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2600" firstSheet="1" activeTab="25"/>
  </bookViews>
  <sheets>
    <sheet name="Sample (2)" sheetId="24" r:id="rId1"/>
    <sheet name="1" sheetId="3" r:id="rId2"/>
    <sheet name="2" sheetId="4" r:id="rId3"/>
    <sheet name="3" sheetId="5" r:id="rId4"/>
    <sheet name="4" sheetId="7" r:id="rId5"/>
    <sheet name="5" sheetId="8" r:id="rId6"/>
    <sheet name="6" sheetId="9" r:id="rId7"/>
    <sheet name="7" sheetId="10" r:id="rId8"/>
    <sheet name="8" sheetId="11" r:id="rId9"/>
    <sheet name="9" sheetId="12" r:id="rId10"/>
    <sheet name="10" sheetId="13" r:id="rId11"/>
    <sheet name="11" sheetId="14" r:id="rId12"/>
    <sheet name="12" sheetId="15" r:id="rId13"/>
    <sheet name="13" sheetId="16" r:id="rId14"/>
    <sheet name="14" sheetId="17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5" r:id="rId21"/>
    <sheet name="21" sheetId="26" r:id="rId22"/>
    <sheet name="22" sheetId="27" r:id="rId23"/>
    <sheet name="23" sheetId="28" r:id="rId24"/>
    <sheet name="24" sheetId="29" r:id="rId25"/>
    <sheet name="25" sheetId="30" r:id="rId26"/>
    <sheet name="26" sheetId="31" r:id="rId27"/>
    <sheet name="27" sheetId="32" r:id="rId28"/>
    <sheet name="28" sheetId="33" r:id="rId29"/>
    <sheet name="29" sheetId="34" r:id="rId30"/>
    <sheet name="30" sheetId="35" r:id="rId31"/>
    <sheet name="31" sheetId="36" r:id="rId32"/>
    <sheet name="32" sheetId="37" r:id="rId33"/>
    <sheet name="Sample" sheetId="1" r:id="rId34"/>
    <sheet name="Sheet2" sheetId="6" r:id="rId35"/>
  </sheets>
  <externalReferences>
    <externalReference r:id="rId36"/>
    <externalReference r:id="rId37"/>
  </externalReferences>
  <definedNames>
    <definedName name="IPP" localSheetId="1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">#REF!</definedName>
    <definedName name="IPP" localSheetId="30">#REF!</definedName>
    <definedName name="IPP" localSheetId="31">#REF!</definedName>
    <definedName name="IPP" localSheetId="32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33">#REF!</definedName>
    <definedName name="IPP" localSheetId="0">#REF!</definedName>
    <definedName name="IPP">#REF!</definedName>
    <definedName name="ippp" localSheetId="1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">#REF!</definedName>
    <definedName name="ippp" localSheetId="30">#REF!</definedName>
    <definedName name="ippp" localSheetId="31">#REF!</definedName>
    <definedName name="ippp" localSheetId="32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33">#REF!</definedName>
    <definedName name="ippp" localSheetId="0">#REF!</definedName>
    <definedName name="ippp">#REF!</definedName>
    <definedName name="sdasdf" localSheetId="1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">#REF!</definedName>
    <definedName name="sdasdf" localSheetId="30">#REF!</definedName>
    <definedName name="sdasdf" localSheetId="31">#REF!</definedName>
    <definedName name="sdasdf" localSheetId="32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33">#REF!</definedName>
    <definedName name="sdasdf" localSheetId="0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C96" i="37" l="1"/>
  <c r="AC37" i="37"/>
  <c r="AB37" i="37"/>
  <c r="AA37" i="37"/>
  <c r="Z37" i="37"/>
  <c r="Y37" i="37"/>
  <c r="X37" i="37"/>
  <c r="W37" i="37"/>
  <c r="V37" i="37"/>
  <c r="U37" i="37"/>
  <c r="T37" i="37"/>
  <c r="S37" i="37"/>
  <c r="R37" i="37"/>
  <c r="Q37" i="37" l="1"/>
  <c r="P37" i="37" l="1"/>
  <c r="O37" i="37"/>
  <c r="N37" i="37"/>
  <c r="M37" i="37"/>
  <c r="L95" i="37"/>
  <c r="L37" i="37"/>
  <c r="K95" i="37"/>
  <c r="K37" i="37"/>
  <c r="J95" i="37"/>
  <c r="J37" i="37"/>
  <c r="I95" i="37"/>
  <c r="I37" i="37"/>
  <c r="H95" i="37"/>
  <c r="H37" i="37"/>
  <c r="G95" i="37"/>
  <c r="G37" i="37"/>
  <c r="F95" i="37"/>
  <c r="F37" i="37"/>
  <c r="E95" i="37"/>
  <c r="E37" i="37"/>
  <c r="D95" i="37"/>
  <c r="C95" i="37"/>
  <c r="B95" i="37"/>
  <c r="AF239" i="37"/>
  <c r="AE239" i="37"/>
  <c r="AD239" i="37"/>
  <c r="AC239" i="37"/>
  <c r="AB239" i="37"/>
  <c r="AA239" i="37"/>
  <c r="Z239" i="37"/>
  <c r="Y239" i="37"/>
  <c r="X239" i="37"/>
  <c r="W239" i="37"/>
  <c r="V239" i="37"/>
  <c r="U239" i="37"/>
  <c r="T239" i="37"/>
  <c r="S239" i="37"/>
  <c r="R239" i="37"/>
  <c r="Q239" i="37"/>
  <c r="P239" i="37"/>
  <c r="O239" i="37"/>
  <c r="N239" i="37"/>
  <c r="M239" i="37"/>
  <c r="L239" i="37"/>
  <c r="K239" i="37"/>
  <c r="J239" i="37"/>
  <c r="I239" i="37"/>
  <c r="H239" i="37"/>
  <c r="G239" i="37"/>
  <c r="F239" i="37"/>
  <c r="E239" i="37"/>
  <c r="D239" i="37"/>
  <c r="C239" i="37"/>
  <c r="B239" i="37"/>
  <c r="A239" i="37"/>
  <c r="AF238" i="37"/>
  <c r="AE238" i="37"/>
  <c r="AD238" i="37"/>
  <c r="AC238" i="37"/>
  <c r="AB238" i="37"/>
  <c r="AA238" i="37"/>
  <c r="Z238" i="37"/>
  <c r="Y238" i="37"/>
  <c r="X238" i="37"/>
  <c r="W238" i="37"/>
  <c r="V238" i="37"/>
  <c r="U238" i="37"/>
  <c r="T238" i="37"/>
  <c r="S238" i="37"/>
  <c r="R238" i="37"/>
  <c r="Q238" i="37"/>
  <c r="P238" i="37"/>
  <c r="O238" i="37"/>
  <c r="N238" i="37"/>
  <c r="M238" i="37"/>
  <c r="L238" i="37"/>
  <c r="K238" i="37"/>
  <c r="J238" i="37"/>
  <c r="I238" i="37"/>
  <c r="H238" i="37"/>
  <c r="G238" i="37"/>
  <c r="F238" i="37"/>
  <c r="E238" i="37"/>
  <c r="D238" i="37"/>
  <c r="C238" i="37"/>
  <c r="B238" i="37"/>
  <c r="A238" i="37"/>
  <c r="AF237" i="37"/>
  <c r="AE237" i="37"/>
  <c r="AD237" i="37"/>
  <c r="AC237" i="37"/>
  <c r="AB237" i="37"/>
  <c r="AA237" i="37"/>
  <c r="Z237" i="37"/>
  <c r="Y237" i="37"/>
  <c r="X237" i="37"/>
  <c r="W237" i="37"/>
  <c r="V237" i="37"/>
  <c r="U237" i="37"/>
  <c r="T237" i="37"/>
  <c r="S237" i="37"/>
  <c r="R237" i="37"/>
  <c r="Q237" i="37"/>
  <c r="P237" i="37"/>
  <c r="O237" i="37"/>
  <c r="N237" i="37"/>
  <c r="M237" i="37"/>
  <c r="L237" i="37"/>
  <c r="K237" i="37"/>
  <c r="J237" i="37"/>
  <c r="I237" i="37"/>
  <c r="H237" i="37"/>
  <c r="G237" i="37"/>
  <c r="F237" i="37"/>
  <c r="E237" i="37"/>
  <c r="D237" i="37"/>
  <c r="C237" i="37"/>
  <c r="B237" i="37"/>
  <c r="A237" i="37"/>
  <c r="AF236" i="37"/>
  <c r="AE236" i="37"/>
  <c r="AD236" i="37"/>
  <c r="AC236" i="37"/>
  <c r="AB236" i="37"/>
  <c r="AA236" i="37"/>
  <c r="Z236" i="37"/>
  <c r="Y236" i="37"/>
  <c r="X236" i="37"/>
  <c r="W236" i="37"/>
  <c r="V236" i="37"/>
  <c r="U236" i="37"/>
  <c r="T236" i="37"/>
  <c r="S236" i="37"/>
  <c r="R236" i="37"/>
  <c r="Q236" i="37"/>
  <c r="P236" i="37"/>
  <c r="O236" i="37"/>
  <c r="N236" i="37"/>
  <c r="M236" i="37"/>
  <c r="L236" i="37"/>
  <c r="K236" i="37"/>
  <c r="J236" i="37"/>
  <c r="I236" i="37"/>
  <c r="H236" i="37"/>
  <c r="G236" i="37"/>
  <c r="F236" i="37"/>
  <c r="E236" i="37"/>
  <c r="D236" i="37"/>
  <c r="C236" i="37"/>
  <c r="B236" i="37"/>
  <c r="A236" i="37"/>
  <c r="B235" i="37"/>
  <c r="S210" i="37"/>
  <c r="AG200" i="37"/>
  <c r="C200" i="37"/>
  <c r="D199" i="37"/>
  <c r="Q198" i="37"/>
  <c r="R198" i="37" s="1"/>
  <c r="S198" i="37" s="1"/>
  <c r="T198" i="37" s="1"/>
  <c r="U198" i="37" s="1"/>
  <c r="V198" i="37" s="1"/>
  <c r="W198" i="37" s="1"/>
  <c r="X198" i="37" s="1"/>
  <c r="Y198" i="37" s="1"/>
  <c r="Z198" i="37" s="1"/>
  <c r="AA198" i="37" s="1"/>
  <c r="AB198" i="37" s="1"/>
  <c r="AC198" i="37" s="1"/>
  <c r="AD198" i="37" s="1"/>
  <c r="AE198" i="37" s="1"/>
  <c r="AF198" i="37" s="1"/>
  <c r="B198" i="37" s="1"/>
  <c r="D198" i="37"/>
  <c r="E198" i="37" s="1"/>
  <c r="F198" i="37" s="1"/>
  <c r="G198" i="37" s="1"/>
  <c r="H198" i="37" s="1"/>
  <c r="I198" i="37" s="1"/>
  <c r="J198" i="37" s="1"/>
  <c r="K198" i="37" s="1"/>
  <c r="L198" i="37" s="1"/>
  <c r="M198" i="37" s="1"/>
  <c r="N198" i="37" s="1"/>
  <c r="O198" i="37" s="1"/>
  <c r="P198" i="37" s="1"/>
  <c r="G197" i="37"/>
  <c r="H197" i="37" s="1"/>
  <c r="I197" i="37" s="1"/>
  <c r="J197" i="37" s="1"/>
  <c r="K197" i="37" s="1"/>
  <c r="L197" i="37" s="1"/>
  <c r="M197" i="37" s="1"/>
  <c r="N197" i="37" s="1"/>
  <c r="O197" i="37" s="1"/>
  <c r="P197" i="37" s="1"/>
  <c r="Q197" i="37" s="1"/>
  <c r="R197" i="37" s="1"/>
  <c r="S197" i="37" s="1"/>
  <c r="T197" i="37" s="1"/>
  <c r="U197" i="37" s="1"/>
  <c r="V197" i="37" s="1"/>
  <c r="W197" i="37" s="1"/>
  <c r="X197" i="37" s="1"/>
  <c r="Y197" i="37" s="1"/>
  <c r="Z197" i="37" s="1"/>
  <c r="AA197" i="37" s="1"/>
  <c r="AB197" i="37" s="1"/>
  <c r="AC197" i="37" s="1"/>
  <c r="AD197" i="37" s="1"/>
  <c r="AE197" i="37" s="1"/>
  <c r="AF197" i="37" s="1"/>
  <c r="B197" i="37" s="1"/>
  <c r="D197" i="37"/>
  <c r="E197" i="37" s="1"/>
  <c r="F197" i="37" s="1"/>
  <c r="E196" i="37"/>
  <c r="F196" i="37" s="1"/>
  <c r="G196" i="37" s="1"/>
  <c r="H196" i="37" s="1"/>
  <c r="I196" i="37" s="1"/>
  <c r="J196" i="37" s="1"/>
  <c r="K196" i="37" s="1"/>
  <c r="L196" i="37" s="1"/>
  <c r="M196" i="37" s="1"/>
  <c r="N196" i="37" s="1"/>
  <c r="O196" i="37" s="1"/>
  <c r="P196" i="37" s="1"/>
  <c r="Q196" i="37" s="1"/>
  <c r="R196" i="37" s="1"/>
  <c r="S196" i="37" s="1"/>
  <c r="T196" i="37" s="1"/>
  <c r="U196" i="37" s="1"/>
  <c r="V196" i="37" s="1"/>
  <c r="W196" i="37" s="1"/>
  <c r="X196" i="37" s="1"/>
  <c r="Y196" i="37" s="1"/>
  <c r="Z196" i="37" s="1"/>
  <c r="AA196" i="37" s="1"/>
  <c r="AB196" i="37" s="1"/>
  <c r="AC196" i="37" s="1"/>
  <c r="AD196" i="37" s="1"/>
  <c r="AE196" i="37" s="1"/>
  <c r="AF196" i="37" s="1"/>
  <c r="B196" i="37" s="1"/>
  <c r="D196" i="37"/>
  <c r="D195" i="37"/>
  <c r="E195" i="37" s="1"/>
  <c r="F195" i="37" s="1"/>
  <c r="G195" i="37" s="1"/>
  <c r="H195" i="37" s="1"/>
  <c r="I195" i="37" s="1"/>
  <c r="J195" i="37" s="1"/>
  <c r="K195" i="37" s="1"/>
  <c r="L195" i="37" s="1"/>
  <c r="M195" i="37" s="1"/>
  <c r="N195" i="37" s="1"/>
  <c r="O195" i="37" s="1"/>
  <c r="P195" i="37" s="1"/>
  <c r="Q195" i="37" s="1"/>
  <c r="R195" i="37" s="1"/>
  <c r="S195" i="37" s="1"/>
  <c r="T195" i="37" s="1"/>
  <c r="U195" i="37" s="1"/>
  <c r="V195" i="37" s="1"/>
  <c r="W195" i="37" s="1"/>
  <c r="X195" i="37" s="1"/>
  <c r="Y195" i="37" s="1"/>
  <c r="Z195" i="37" s="1"/>
  <c r="AA195" i="37" s="1"/>
  <c r="AB195" i="37" s="1"/>
  <c r="AC195" i="37" s="1"/>
  <c r="AD195" i="37" s="1"/>
  <c r="AE195" i="37" s="1"/>
  <c r="AF195" i="37" s="1"/>
  <c r="B195" i="37" s="1"/>
  <c r="D194" i="37"/>
  <c r="E194" i="37" s="1"/>
  <c r="AG192" i="37"/>
  <c r="C192" i="37"/>
  <c r="G191" i="37"/>
  <c r="H191" i="37" s="1"/>
  <c r="I191" i="37" s="1"/>
  <c r="J191" i="37" s="1"/>
  <c r="K191" i="37" s="1"/>
  <c r="L191" i="37" s="1"/>
  <c r="M191" i="37" s="1"/>
  <c r="N191" i="37" s="1"/>
  <c r="O191" i="37" s="1"/>
  <c r="P191" i="37" s="1"/>
  <c r="Q191" i="37" s="1"/>
  <c r="R191" i="37" s="1"/>
  <c r="S191" i="37" s="1"/>
  <c r="T191" i="37" s="1"/>
  <c r="U191" i="37" s="1"/>
  <c r="V191" i="37" s="1"/>
  <c r="W191" i="37" s="1"/>
  <c r="X191" i="37" s="1"/>
  <c r="Y191" i="37" s="1"/>
  <c r="Z191" i="37" s="1"/>
  <c r="AA191" i="37" s="1"/>
  <c r="AB191" i="37" s="1"/>
  <c r="AC191" i="37" s="1"/>
  <c r="AD191" i="37" s="1"/>
  <c r="AE191" i="37" s="1"/>
  <c r="AF191" i="37" s="1"/>
  <c r="B191" i="37" s="1"/>
  <c r="D191" i="37"/>
  <c r="E191" i="37" s="1"/>
  <c r="F191" i="37" s="1"/>
  <c r="F190" i="37"/>
  <c r="G190" i="37" s="1"/>
  <c r="H190" i="37" s="1"/>
  <c r="I190" i="37" s="1"/>
  <c r="J190" i="37" s="1"/>
  <c r="K190" i="37" s="1"/>
  <c r="L190" i="37" s="1"/>
  <c r="M190" i="37" s="1"/>
  <c r="N190" i="37" s="1"/>
  <c r="O190" i="37" s="1"/>
  <c r="P190" i="37" s="1"/>
  <c r="Q190" i="37" s="1"/>
  <c r="R190" i="37" s="1"/>
  <c r="S190" i="37" s="1"/>
  <c r="T190" i="37" s="1"/>
  <c r="U190" i="37" s="1"/>
  <c r="V190" i="37" s="1"/>
  <c r="W190" i="37" s="1"/>
  <c r="X190" i="37" s="1"/>
  <c r="Y190" i="37" s="1"/>
  <c r="Z190" i="37" s="1"/>
  <c r="AA190" i="37" s="1"/>
  <c r="AB190" i="37" s="1"/>
  <c r="AC190" i="37" s="1"/>
  <c r="AD190" i="37" s="1"/>
  <c r="AE190" i="37" s="1"/>
  <c r="AF190" i="37" s="1"/>
  <c r="B190" i="37" s="1"/>
  <c r="E190" i="37"/>
  <c r="D190" i="37"/>
  <c r="L189" i="37"/>
  <c r="M189" i="37" s="1"/>
  <c r="N189" i="37" s="1"/>
  <c r="O189" i="37" s="1"/>
  <c r="P189" i="37" s="1"/>
  <c r="Q189" i="37" s="1"/>
  <c r="R189" i="37" s="1"/>
  <c r="S189" i="37" s="1"/>
  <c r="T189" i="37" s="1"/>
  <c r="U189" i="37" s="1"/>
  <c r="V189" i="37" s="1"/>
  <c r="W189" i="37" s="1"/>
  <c r="X189" i="37" s="1"/>
  <c r="Y189" i="37" s="1"/>
  <c r="Z189" i="37" s="1"/>
  <c r="AA189" i="37" s="1"/>
  <c r="AB189" i="37" s="1"/>
  <c r="AC189" i="37" s="1"/>
  <c r="AD189" i="37" s="1"/>
  <c r="AE189" i="37" s="1"/>
  <c r="AF189" i="37" s="1"/>
  <c r="B189" i="37" s="1"/>
  <c r="K189" i="37"/>
  <c r="D189" i="37"/>
  <c r="E189" i="37" s="1"/>
  <c r="F189" i="37" s="1"/>
  <c r="G189" i="37" s="1"/>
  <c r="H189" i="37" s="1"/>
  <c r="I189" i="37" s="1"/>
  <c r="J189" i="37" s="1"/>
  <c r="D188" i="37"/>
  <c r="E188" i="37" s="1"/>
  <c r="F188" i="37" s="1"/>
  <c r="G188" i="37" s="1"/>
  <c r="H188" i="37" s="1"/>
  <c r="I188" i="37" s="1"/>
  <c r="J188" i="37" s="1"/>
  <c r="K188" i="37" s="1"/>
  <c r="L188" i="37" s="1"/>
  <c r="M188" i="37" s="1"/>
  <c r="N188" i="37" s="1"/>
  <c r="O188" i="37" s="1"/>
  <c r="P188" i="37" s="1"/>
  <c r="Q188" i="37" s="1"/>
  <c r="R188" i="37" s="1"/>
  <c r="S188" i="37" s="1"/>
  <c r="T188" i="37" s="1"/>
  <c r="U188" i="37" s="1"/>
  <c r="V188" i="37" s="1"/>
  <c r="W188" i="37" s="1"/>
  <c r="X188" i="37" s="1"/>
  <c r="Y188" i="37" s="1"/>
  <c r="Z188" i="37" s="1"/>
  <c r="AA188" i="37" s="1"/>
  <c r="AB188" i="37" s="1"/>
  <c r="AC188" i="37" s="1"/>
  <c r="AD188" i="37" s="1"/>
  <c r="AE188" i="37" s="1"/>
  <c r="AF188" i="37" s="1"/>
  <c r="B188" i="37" s="1"/>
  <c r="P187" i="37"/>
  <c r="Q187" i="37" s="1"/>
  <c r="R187" i="37" s="1"/>
  <c r="S187" i="37" s="1"/>
  <c r="T187" i="37" s="1"/>
  <c r="U187" i="37" s="1"/>
  <c r="V187" i="37" s="1"/>
  <c r="W187" i="37" s="1"/>
  <c r="X187" i="37" s="1"/>
  <c r="Y187" i="37" s="1"/>
  <c r="Z187" i="37" s="1"/>
  <c r="AA187" i="37" s="1"/>
  <c r="AB187" i="37" s="1"/>
  <c r="AC187" i="37" s="1"/>
  <c r="AD187" i="37" s="1"/>
  <c r="AE187" i="37" s="1"/>
  <c r="AF187" i="37" s="1"/>
  <c r="B187" i="37" s="1"/>
  <c r="O187" i="37"/>
  <c r="F187" i="37"/>
  <c r="G187" i="37" s="1"/>
  <c r="H187" i="37" s="1"/>
  <c r="I187" i="37" s="1"/>
  <c r="J187" i="37" s="1"/>
  <c r="K187" i="37" s="1"/>
  <c r="L187" i="37" s="1"/>
  <c r="M187" i="37" s="1"/>
  <c r="N187" i="37" s="1"/>
  <c r="D187" i="37"/>
  <c r="E187" i="37" s="1"/>
  <c r="N186" i="37"/>
  <c r="O186" i="37" s="1"/>
  <c r="P186" i="37" s="1"/>
  <c r="Q186" i="37" s="1"/>
  <c r="R186" i="37" s="1"/>
  <c r="S186" i="37" s="1"/>
  <c r="T186" i="37" s="1"/>
  <c r="U186" i="37" s="1"/>
  <c r="V186" i="37" s="1"/>
  <c r="W186" i="37" s="1"/>
  <c r="X186" i="37" s="1"/>
  <c r="Y186" i="37" s="1"/>
  <c r="Z186" i="37" s="1"/>
  <c r="AA186" i="37" s="1"/>
  <c r="AB186" i="37" s="1"/>
  <c r="AC186" i="37" s="1"/>
  <c r="AD186" i="37" s="1"/>
  <c r="AE186" i="37" s="1"/>
  <c r="AF186" i="37" s="1"/>
  <c r="B186" i="37" s="1"/>
  <c r="H186" i="37"/>
  <c r="I186" i="37" s="1"/>
  <c r="J186" i="37" s="1"/>
  <c r="K186" i="37" s="1"/>
  <c r="L186" i="37" s="1"/>
  <c r="M186" i="37" s="1"/>
  <c r="D186" i="37"/>
  <c r="E186" i="37" s="1"/>
  <c r="F186" i="37" s="1"/>
  <c r="G186" i="37" s="1"/>
  <c r="K185" i="37"/>
  <c r="L185" i="37" s="1"/>
  <c r="M185" i="37" s="1"/>
  <c r="N185" i="37" s="1"/>
  <c r="O185" i="37" s="1"/>
  <c r="P185" i="37" s="1"/>
  <c r="Q185" i="37" s="1"/>
  <c r="R185" i="37" s="1"/>
  <c r="S185" i="37" s="1"/>
  <c r="T185" i="37" s="1"/>
  <c r="U185" i="37" s="1"/>
  <c r="V185" i="37" s="1"/>
  <c r="W185" i="37" s="1"/>
  <c r="X185" i="37" s="1"/>
  <c r="Y185" i="37" s="1"/>
  <c r="Z185" i="37" s="1"/>
  <c r="AA185" i="37" s="1"/>
  <c r="AB185" i="37" s="1"/>
  <c r="AC185" i="37" s="1"/>
  <c r="AD185" i="37" s="1"/>
  <c r="AE185" i="37" s="1"/>
  <c r="AF185" i="37" s="1"/>
  <c r="B185" i="37" s="1"/>
  <c r="F185" i="37"/>
  <c r="G185" i="37" s="1"/>
  <c r="H185" i="37" s="1"/>
  <c r="I185" i="37" s="1"/>
  <c r="J185" i="37" s="1"/>
  <c r="D185" i="37"/>
  <c r="E185" i="37" s="1"/>
  <c r="U184" i="37"/>
  <c r="V184" i="37" s="1"/>
  <c r="W184" i="37" s="1"/>
  <c r="X184" i="37" s="1"/>
  <c r="Y184" i="37" s="1"/>
  <c r="Z184" i="37" s="1"/>
  <c r="AA184" i="37" s="1"/>
  <c r="AB184" i="37" s="1"/>
  <c r="AC184" i="37" s="1"/>
  <c r="AD184" i="37" s="1"/>
  <c r="AE184" i="37" s="1"/>
  <c r="AF184" i="37" s="1"/>
  <c r="B184" i="37" s="1"/>
  <c r="I184" i="37"/>
  <c r="J184" i="37" s="1"/>
  <c r="K184" i="37" s="1"/>
  <c r="L184" i="37" s="1"/>
  <c r="M184" i="37" s="1"/>
  <c r="N184" i="37" s="1"/>
  <c r="O184" i="37" s="1"/>
  <c r="P184" i="37" s="1"/>
  <c r="Q184" i="37" s="1"/>
  <c r="R184" i="37" s="1"/>
  <c r="S184" i="37" s="1"/>
  <c r="T184" i="37" s="1"/>
  <c r="D184" i="37"/>
  <c r="E184" i="37" s="1"/>
  <c r="F184" i="37" s="1"/>
  <c r="G184" i="37" s="1"/>
  <c r="H184" i="37" s="1"/>
  <c r="AB183" i="37"/>
  <c r="AC183" i="37" s="1"/>
  <c r="AD183" i="37" s="1"/>
  <c r="AE183" i="37" s="1"/>
  <c r="AF183" i="37" s="1"/>
  <c r="B183" i="37" s="1"/>
  <c r="W183" i="37"/>
  <c r="X183" i="37" s="1"/>
  <c r="Y183" i="37" s="1"/>
  <c r="Z183" i="37" s="1"/>
  <c r="AA183" i="37" s="1"/>
  <c r="H183" i="37"/>
  <c r="I183" i="37" s="1"/>
  <c r="J183" i="37" s="1"/>
  <c r="K183" i="37" s="1"/>
  <c r="L183" i="37" s="1"/>
  <c r="M183" i="37" s="1"/>
  <c r="N183" i="37" s="1"/>
  <c r="O183" i="37" s="1"/>
  <c r="P183" i="37" s="1"/>
  <c r="Q183" i="37" s="1"/>
  <c r="R183" i="37" s="1"/>
  <c r="S183" i="37" s="1"/>
  <c r="T183" i="37" s="1"/>
  <c r="U183" i="37" s="1"/>
  <c r="V183" i="37" s="1"/>
  <c r="G183" i="37"/>
  <c r="D183" i="37"/>
  <c r="E183" i="37" s="1"/>
  <c r="F183" i="37" s="1"/>
  <c r="E182" i="37"/>
  <c r="F182" i="37" s="1"/>
  <c r="G182" i="37" s="1"/>
  <c r="H182" i="37" s="1"/>
  <c r="I182" i="37" s="1"/>
  <c r="J182" i="37" s="1"/>
  <c r="K182" i="37" s="1"/>
  <c r="L182" i="37" s="1"/>
  <c r="M182" i="37" s="1"/>
  <c r="N182" i="37" s="1"/>
  <c r="O182" i="37" s="1"/>
  <c r="P182" i="37" s="1"/>
  <c r="Q182" i="37" s="1"/>
  <c r="R182" i="37" s="1"/>
  <c r="S182" i="37" s="1"/>
  <c r="T182" i="37" s="1"/>
  <c r="U182" i="37" s="1"/>
  <c r="V182" i="37" s="1"/>
  <c r="W182" i="37" s="1"/>
  <c r="X182" i="37" s="1"/>
  <c r="Y182" i="37" s="1"/>
  <c r="Z182" i="37" s="1"/>
  <c r="AA182" i="37" s="1"/>
  <c r="AB182" i="37" s="1"/>
  <c r="AC182" i="37" s="1"/>
  <c r="AD182" i="37" s="1"/>
  <c r="AE182" i="37" s="1"/>
  <c r="AF182" i="37" s="1"/>
  <c r="B182" i="37" s="1"/>
  <c r="D182" i="37"/>
  <c r="H181" i="37"/>
  <c r="I181" i="37" s="1"/>
  <c r="J181" i="37" s="1"/>
  <c r="K181" i="37" s="1"/>
  <c r="L181" i="37" s="1"/>
  <c r="M181" i="37" s="1"/>
  <c r="N181" i="37" s="1"/>
  <c r="O181" i="37" s="1"/>
  <c r="P181" i="37" s="1"/>
  <c r="Q181" i="37" s="1"/>
  <c r="R181" i="37" s="1"/>
  <c r="S181" i="37" s="1"/>
  <c r="T181" i="37" s="1"/>
  <c r="U181" i="37" s="1"/>
  <c r="V181" i="37" s="1"/>
  <c r="W181" i="37" s="1"/>
  <c r="X181" i="37" s="1"/>
  <c r="Y181" i="37" s="1"/>
  <c r="Z181" i="37" s="1"/>
  <c r="AA181" i="37" s="1"/>
  <c r="AB181" i="37" s="1"/>
  <c r="AC181" i="37" s="1"/>
  <c r="AD181" i="37" s="1"/>
  <c r="AE181" i="37" s="1"/>
  <c r="AF181" i="37" s="1"/>
  <c r="B181" i="37" s="1"/>
  <c r="D181" i="37"/>
  <c r="E181" i="37" s="1"/>
  <c r="F181" i="37" s="1"/>
  <c r="G181" i="37" s="1"/>
  <c r="V180" i="37"/>
  <c r="W180" i="37" s="1"/>
  <c r="X180" i="37" s="1"/>
  <c r="Y180" i="37" s="1"/>
  <c r="Z180" i="37" s="1"/>
  <c r="AA180" i="37" s="1"/>
  <c r="AB180" i="37" s="1"/>
  <c r="AC180" i="37" s="1"/>
  <c r="AD180" i="37" s="1"/>
  <c r="AE180" i="37" s="1"/>
  <c r="AF180" i="37" s="1"/>
  <c r="B180" i="37" s="1"/>
  <c r="L180" i="37"/>
  <c r="M180" i="37" s="1"/>
  <c r="N180" i="37" s="1"/>
  <c r="O180" i="37" s="1"/>
  <c r="P180" i="37" s="1"/>
  <c r="Q180" i="37" s="1"/>
  <c r="R180" i="37" s="1"/>
  <c r="S180" i="37" s="1"/>
  <c r="T180" i="37" s="1"/>
  <c r="U180" i="37" s="1"/>
  <c r="F180" i="37"/>
  <c r="G180" i="37" s="1"/>
  <c r="H180" i="37" s="1"/>
  <c r="I180" i="37" s="1"/>
  <c r="J180" i="37" s="1"/>
  <c r="K180" i="37" s="1"/>
  <c r="D180" i="37"/>
  <c r="E180" i="37" s="1"/>
  <c r="Z179" i="37"/>
  <c r="AA179" i="37" s="1"/>
  <c r="AB179" i="37" s="1"/>
  <c r="AC179" i="37" s="1"/>
  <c r="AD179" i="37" s="1"/>
  <c r="AE179" i="37" s="1"/>
  <c r="AF179" i="37" s="1"/>
  <c r="B179" i="37" s="1"/>
  <c r="N179" i="37"/>
  <c r="O179" i="37" s="1"/>
  <c r="P179" i="37" s="1"/>
  <c r="Q179" i="37" s="1"/>
  <c r="R179" i="37" s="1"/>
  <c r="S179" i="37" s="1"/>
  <c r="T179" i="37" s="1"/>
  <c r="U179" i="37" s="1"/>
  <c r="V179" i="37" s="1"/>
  <c r="W179" i="37" s="1"/>
  <c r="X179" i="37" s="1"/>
  <c r="Y179" i="37" s="1"/>
  <c r="E179" i="37"/>
  <c r="F179" i="37" s="1"/>
  <c r="G179" i="37" s="1"/>
  <c r="H179" i="37" s="1"/>
  <c r="I179" i="37" s="1"/>
  <c r="J179" i="37" s="1"/>
  <c r="K179" i="37" s="1"/>
  <c r="L179" i="37" s="1"/>
  <c r="M179" i="37" s="1"/>
  <c r="D179" i="37"/>
  <c r="O177" i="37"/>
  <c r="P177" i="37" s="1"/>
  <c r="Q177" i="37" s="1"/>
  <c r="R177" i="37" s="1"/>
  <c r="S177" i="37" s="1"/>
  <c r="T177" i="37" s="1"/>
  <c r="U177" i="37" s="1"/>
  <c r="V177" i="37" s="1"/>
  <c r="W177" i="37" s="1"/>
  <c r="X177" i="37" s="1"/>
  <c r="Y177" i="37" s="1"/>
  <c r="Z177" i="37" s="1"/>
  <c r="AA177" i="37" s="1"/>
  <c r="AB177" i="37" s="1"/>
  <c r="AC177" i="37" s="1"/>
  <c r="AD177" i="37" s="1"/>
  <c r="AE177" i="37" s="1"/>
  <c r="AF177" i="37" s="1"/>
  <c r="B177" i="37" s="1"/>
  <c r="G177" i="37"/>
  <c r="H177" i="37" s="1"/>
  <c r="I177" i="37" s="1"/>
  <c r="J177" i="37" s="1"/>
  <c r="K177" i="37" s="1"/>
  <c r="L177" i="37" s="1"/>
  <c r="M177" i="37" s="1"/>
  <c r="N177" i="37" s="1"/>
  <c r="D177" i="37"/>
  <c r="E177" i="37" s="1"/>
  <c r="F177" i="37" s="1"/>
  <c r="M176" i="37"/>
  <c r="N176" i="37" s="1"/>
  <c r="O176" i="37" s="1"/>
  <c r="P176" i="37" s="1"/>
  <c r="Q176" i="37" s="1"/>
  <c r="R176" i="37" s="1"/>
  <c r="S176" i="37" s="1"/>
  <c r="T176" i="37" s="1"/>
  <c r="U176" i="37" s="1"/>
  <c r="V176" i="37" s="1"/>
  <c r="W176" i="37" s="1"/>
  <c r="X176" i="37" s="1"/>
  <c r="Y176" i="37" s="1"/>
  <c r="Z176" i="37" s="1"/>
  <c r="AA176" i="37" s="1"/>
  <c r="AB176" i="37" s="1"/>
  <c r="AC176" i="37" s="1"/>
  <c r="AD176" i="37" s="1"/>
  <c r="AE176" i="37" s="1"/>
  <c r="AF176" i="37" s="1"/>
  <c r="B176" i="37" s="1"/>
  <c r="I176" i="37"/>
  <c r="J176" i="37" s="1"/>
  <c r="K176" i="37" s="1"/>
  <c r="L176" i="37" s="1"/>
  <c r="E176" i="37"/>
  <c r="F176" i="37" s="1"/>
  <c r="G176" i="37" s="1"/>
  <c r="H176" i="37" s="1"/>
  <c r="D176" i="37"/>
  <c r="D175" i="37"/>
  <c r="E175" i="37" s="1"/>
  <c r="F175" i="37" s="1"/>
  <c r="G175" i="37" s="1"/>
  <c r="H175" i="37" s="1"/>
  <c r="I175" i="37" s="1"/>
  <c r="J175" i="37" s="1"/>
  <c r="K175" i="37" s="1"/>
  <c r="L175" i="37" s="1"/>
  <c r="M175" i="37" s="1"/>
  <c r="N175" i="37" s="1"/>
  <c r="O175" i="37" s="1"/>
  <c r="P175" i="37" s="1"/>
  <c r="Q175" i="37" s="1"/>
  <c r="R175" i="37" s="1"/>
  <c r="S175" i="37" s="1"/>
  <c r="T175" i="37" s="1"/>
  <c r="U175" i="37" s="1"/>
  <c r="V175" i="37" s="1"/>
  <c r="W175" i="37" s="1"/>
  <c r="X175" i="37" s="1"/>
  <c r="Y175" i="37" s="1"/>
  <c r="Z175" i="37" s="1"/>
  <c r="AA175" i="37" s="1"/>
  <c r="AB175" i="37" s="1"/>
  <c r="AC175" i="37" s="1"/>
  <c r="AD175" i="37" s="1"/>
  <c r="AE175" i="37" s="1"/>
  <c r="AF175" i="37" s="1"/>
  <c r="B175" i="37" s="1"/>
  <c r="E174" i="37"/>
  <c r="F174" i="37" s="1"/>
  <c r="G174" i="37" s="1"/>
  <c r="H174" i="37" s="1"/>
  <c r="I174" i="37" s="1"/>
  <c r="J174" i="37" s="1"/>
  <c r="K174" i="37" s="1"/>
  <c r="L174" i="37" s="1"/>
  <c r="M174" i="37" s="1"/>
  <c r="N174" i="37" s="1"/>
  <c r="O174" i="37" s="1"/>
  <c r="P174" i="37" s="1"/>
  <c r="Q174" i="37" s="1"/>
  <c r="R174" i="37" s="1"/>
  <c r="S174" i="37" s="1"/>
  <c r="T174" i="37" s="1"/>
  <c r="U174" i="37" s="1"/>
  <c r="V174" i="37" s="1"/>
  <c r="W174" i="37" s="1"/>
  <c r="X174" i="37" s="1"/>
  <c r="Y174" i="37" s="1"/>
  <c r="Z174" i="37" s="1"/>
  <c r="AA174" i="37" s="1"/>
  <c r="AB174" i="37" s="1"/>
  <c r="AC174" i="37" s="1"/>
  <c r="AD174" i="37" s="1"/>
  <c r="AE174" i="37" s="1"/>
  <c r="AF174" i="37" s="1"/>
  <c r="B174" i="37" s="1"/>
  <c r="D174" i="37"/>
  <c r="O173" i="37"/>
  <c r="P173" i="37" s="1"/>
  <c r="Q173" i="37" s="1"/>
  <c r="R173" i="37" s="1"/>
  <c r="S173" i="37" s="1"/>
  <c r="T173" i="37" s="1"/>
  <c r="U173" i="37" s="1"/>
  <c r="V173" i="37" s="1"/>
  <c r="W173" i="37" s="1"/>
  <c r="X173" i="37" s="1"/>
  <c r="Y173" i="37" s="1"/>
  <c r="Z173" i="37" s="1"/>
  <c r="AA173" i="37" s="1"/>
  <c r="AB173" i="37" s="1"/>
  <c r="AC173" i="37" s="1"/>
  <c r="AD173" i="37" s="1"/>
  <c r="AE173" i="37" s="1"/>
  <c r="AF173" i="37" s="1"/>
  <c r="B173" i="37" s="1"/>
  <c r="G173" i="37"/>
  <c r="H173" i="37" s="1"/>
  <c r="I173" i="37" s="1"/>
  <c r="J173" i="37" s="1"/>
  <c r="K173" i="37" s="1"/>
  <c r="L173" i="37" s="1"/>
  <c r="M173" i="37" s="1"/>
  <c r="N173" i="37" s="1"/>
  <c r="D173" i="37"/>
  <c r="E173" i="37" s="1"/>
  <c r="F173" i="37" s="1"/>
  <c r="Q172" i="37"/>
  <c r="R172" i="37" s="1"/>
  <c r="S172" i="37" s="1"/>
  <c r="T172" i="37" s="1"/>
  <c r="U172" i="37" s="1"/>
  <c r="V172" i="37" s="1"/>
  <c r="W172" i="37" s="1"/>
  <c r="X172" i="37" s="1"/>
  <c r="Y172" i="37" s="1"/>
  <c r="Z172" i="37" s="1"/>
  <c r="AA172" i="37" s="1"/>
  <c r="AB172" i="37" s="1"/>
  <c r="AC172" i="37" s="1"/>
  <c r="AD172" i="37" s="1"/>
  <c r="AE172" i="37" s="1"/>
  <c r="AF172" i="37" s="1"/>
  <c r="B172" i="37" s="1"/>
  <c r="I172" i="37"/>
  <c r="J172" i="37" s="1"/>
  <c r="K172" i="37" s="1"/>
  <c r="L172" i="37" s="1"/>
  <c r="M172" i="37" s="1"/>
  <c r="N172" i="37" s="1"/>
  <c r="O172" i="37" s="1"/>
  <c r="P172" i="37" s="1"/>
  <c r="E172" i="37"/>
  <c r="F172" i="37" s="1"/>
  <c r="G172" i="37" s="1"/>
  <c r="H172" i="37" s="1"/>
  <c r="D172" i="37"/>
  <c r="D171" i="37"/>
  <c r="E171" i="37" s="1"/>
  <c r="F171" i="37" s="1"/>
  <c r="G171" i="37" s="1"/>
  <c r="H171" i="37" s="1"/>
  <c r="I171" i="37" s="1"/>
  <c r="J171" i="37" s="1"/>
  <c r="K171" i="37" s="1"/>
  <c r="L171" i="37" s="1"/>
  <c r="M171" i="37" s="1"/>
  <c r="N171" i="37" s="1"/>
  <c r="O171" i="37" s="1"/>
  <c r="P171" i="37" s="1"/>
  <c r="Q171" i="37" s="1"/>
  <c r="R171" i="37" s="1"/>
  <c r="S171" i="37" s="1"/>
  <c r="T171" i="37" s="1"/>
  <c r="U171" i="37" s="1"/>
  <c r="V171" i="37" s="1"/>
  <c r="W171" i="37" s="1"/>
  <c r="X171" i="37" s="1"/>
  <c r="Y171" i="37" s="1"/>
  <c r="Z171" i="37" s="1"/>
  <c r="AA171" i="37" s="1"/>
  <c r="AB171" i="37" s="1"/>
  <c r="AC171" i="37" s="1"/>
  <c r="AD171" i="37" s="1"/>
  <c r="AE171" i="37" s="1"/>
  <c r="AF171" i="37" s="1"/>
  <c r="B171" i="37" s="1"/>
  <c r="M170" i="37"/>
  <c r="N170" i="37" s="1"/>
  <c r="O170" i="37" s="1"/>
  <c r="P170" i="37" s="1"/>
  <c r="Q170" i="37" s="1"/>
  <c r="R170" i="37" s="1"/>
  <c r="S170" i="37" s="1"/>
  <c r="T170" i="37" s="1"/>
  <c r="U170" i="37" s="1"/>
  <c r="V170" i="37" s="1"/>
  <c r="W170" i="37" s="1"/>
  <c r="X170" i="37" s="1"/>
  <c r="Y170" i="37" s="1"/>
  <c r="Z170" i="37" s="1"/>
  <c r="AA170" i="37" s="1"/>
  <c r="AB170" i="37" s="1"/>
  <c r="AC170" i="37" s="1"/>
  <c r="AD170" i="37" s="1"/>
  <c r="AE170" i="37" s="1"/>
  <c r="AF170" i="37" s="1"/>
  <c r="B170" i="37" s="1"/>
  <c r="L170" i="37"/>
  <c r="F170" i="37"/>
  <c r="G170" i="37" s="1"/>
  <c r="H170" i="37" s="1"/>
  <c r="I170" i="37" s="1"/>
  <c r="J170" i="37" s="1"/>
  <c r="K170" i="37" s="1"/>
  <c r="E170" i="37"/>
  <c r="D170" i="37"/>
  <c r="K168" i="37"/>
  <c r="L168" i="37" s="1"/>
  <c r="M168" i="37" s="1"/>
  <c r="N168" i="37" s="1"/>
  <c r="O168" i="37" s="1"/>
  <c r="P168" i="37" s="1"/>
  <c r="Q168" i="37" s="1"/>
  <c r="R168" i="37" s="1"/>
  <c r="S168" i="37" s="1"/>
  <c r="T168" i="37" s="1"/>
  <c r="U168" i="37" s="1"/>
  <c r="V168" i="37" s="1"/>
  <c r="W168" i="37" s="1"/>
  <c r="X168" i="37" s="1"/>
  <c r="Y168" i="37" s="1"/>
  <c r="Z168" i="37" s="1"/>
  <c r="AA168" i="37" s="1"/>
  <c r="AB168" i="37" s="1"/>
  <c r="AC168" i="37" s="1"/>
  <c r="AD168" i="37" s="1"/>
  <c r="AE168" i="37" s="1"/>
  <c r="AF168" i="37" s="1"/>
  <c r="B168" i="37" s="1"/>
  <c r="H168" i="37"/>
  <c r="I168" i="37" s="1"/>
  <c r="J168" i="37" s="1"/>
  <c r="G168" i="37"/>
  <c r="F168" i="37"/>
  <c r="E168" i="37"/>
  <c r="D168" i="37"/>
  <c r="Q167" i="37"/>
  <c r="R167" i="37" s="1"/>
  <c r="S167" i="37" s="1"/>
  <c r="T167" i="37" s="1"/>
  <c r="U167" i="37" s="1"/>
  <c r="V167" i="37" s="1"/>
  <c r="W167" i="37" s="1"/>
  <c r="X167" i="37" s="1"/>
  <c r="Y167" i="37" s="1"/>
  <c r="Z167" i="37" s="1"/>
  <c r="AA167" i="37" s="1"/>
  <c r="AB167" i="37" s="1"/>
  <c r="AC167" i="37" s="1"/>
  <c r="AD167" i="37" s="1"/>
  <c r="AE167" i="37" s="1"/>
  <c r="AF167" i="37" s="1"/>
  <c r="B167" i="37" s="1"/>
  <c r="F167" i="37"/>
  <c r="G167" i="37" s="1"/>
  <c r="H167" i="37" s="1"/>
  <c r="I167" i="37" s="1"/>
  <c r="J167" i="37" s="1"/>
  <c r="K167" i="37" s="1"/>
  <c r="L167" i="37" s="1"/>
  <c r="M167" i="37" s="1"/>
  <c r="N167" i="37" s="1"/>
  <c r="O167" i="37" s="1"/>
  <c r="P167" i="37" s="1"/>
  <c r="E167" i="37"/>
  <c r="D167" i="37"/>
  <c r="G166" i="37"/>
  <c r="H166" i="37" s="1"/>
  <c r="I166" i="37" s="1"/>
  <c r="J166" i="37" s="1"/>
  <c r="K166" i="37" s="1"/>
  <c r="L166" i="37" s="1"/>
  <c r="M166" i="37" s="1"/>
  <c r="N166" i="37" s="1"/>
  <c r="O166" i="37" s="1"/>
  <c r="P166" i="37" s="1"/>
  <c r="Q166" i="37" s="1"/>
  <c r="R166" i="37" s="1"/>
  <c r="S166" i="37" s="1"/>
  <c r="T166" i="37" s="1"/>
  <c r="U166" i="37" s="1"/>
  <c r="V166" i="37" s="1"/>
  <c r="W166" i="37" s="1"/>
  <c r="X166" i="37" s="1"/>
  <c r="Y166" i="37" s="1"/>
  <c r="Z166" i="37" s="1"/>
  <c r="AA166" i="37" s="1"/>
  <c r="AB166" i="37" s="1"/>
  <c r="AC166" i="37" s="1"/>
  <c r="AD166" i="37" s="1"/>
  <c r="AE166" i="37" s="1"/>
  <c r="AF166" i="37" s="1"/>
  <c r="B166" i="37" s="1"/>
  <c r="D166" i="37"/>
  <c r="E166" i="37" s="1"/>
  <c r="F166" i="37" s="1"/>
  <c r="E165" i="37"/>
  <c r="F165" i="37" s="1"/>
  <c r="G165" i="37" s="1"/>
  <c r="H165" i="37" s="1"/>
  <c r="I165" i="37" s="1"/>
  <c r="J165" i="37" s="1"/>
  <c r="K165" i="37" s="1"/>
  <c r="L165" i="37" s="1"/>
  <c r="M165" i="37" s="1"/>
  <c r="N165" i="37" s="1"/>
  <c r="O165" i="37" s="1"/>
  <c r="P165" i="37" s="1"/>
  <c r="Q165" i="37" s="1"/>
  <c r="R165" i="37" s="1"/>
  <c r="S165" i="37" s="1"/>
  <c r="T165" i="37" s="1"/>
  <c r="U165" i="37" s="1"/>
  <c r="V165" i="37" s="1"/>
  <c r="W165" i="37" s="1"/>
  <c r="X165" i="37" s="1"/>
  <c r="Y165" i="37" s="1"/>
  <c r="Z165" i="37" s="1"/>
  <c r="AA165" i="37" s="1"/>
  <c r="AB165" i="37" s="1"/>
  <c r="AC165" i="37" s="1"/>
  <c r="AD165" i="37" s="1"/>
  <c r="AE165" i="37" s="1"/>
  <c r="AF165" i="37" s="1"/>
  <c r="B165" i="37" s="1"/>
  <c r="D165" i="37"/>
  <c r="G164" i="37"/>
  <c r="H164" i="37" s="1"/>
  <c r="I164" i="37" s="1"/>
  <c r="J164" i="37" s="1"/>
  <c r="K164" i="37" s="1"/>
  <c r="L164" i="37" s="1"/>
  <c r="M164" i="37" s="1"/>
  <c r="N164" i="37" s="1"/>
  <c r="O164" i="37" s="1"/>
  <c r="P164" i="37" s="1"/>
  <c r="Q164" i="37" s="1"/>
  <c r="R164" i="37" s="1"/>
  <c r="S164" i="37" s="1"/>
  <c r="T164" i="37" s="1"/>
  <c r="U164" i="37" s="1"/>
  <c r="V164" i="37" s="1"/>
  <c r="W164" i="37" s="1"/>
  <c r="X164" i="37" s="1"/>
  <c r="Y164" i="37" s="1"/>
  <c r="Z164" i="37" s="1"/>
  <c r="AA164" i="37" s="1"/>
  <c r="AB164" i="37" s="1"/>
  <c r="AC164" i="37" s="1"/>
  <c r="AD164" i="37" s="1"/>
  <c r="AE164" i="37" s="1"/>
  <c r="AF164" i="37" s="1"/>
  <c r="B164" i="37" s="1"/>
  <c r="F164" i="37"/>
  <c r="E164" i="37"/>
  <c r="D164" i="37"/>
  <c r="E163" i="37"/>
  <c r="F163" i="37" s="1"/>
  <c r="G163" i="37" s="1"/>
  <c r="H163" i="37" s="1"/>
  <c r="I163" i="37" s="1"/>
  <c r="J163" i="37" s="1"/>
  <c r="K163" i="37" s="1"/>
  <c r="L163" i="37" s="1"/>
  <c r="M163" i="37" s="1"/>
  <c r="N163" i="37" s="1"/>
  <c r="O163" i="37" s="1"/>
  <c r="P163" i="37" s="1"/>
  <c r="Q163" i="37" s="1"/>
  <c r="R163" i="37" s="1"/>
  <c r="S163" i="37" s="1"/>
  <c r="T163" i="37" s="1"/>
  <c r="U163" i="37" s="1"/>
  <c r="V163" i="37" s="1"/>
  <c r="W163" i="37" s="1"/>
  <c r="X163" i="37" s="1"/>
  <c r="Y163" i="37" s="1"/>
  <c r="Z163" i="37" s="1"/>
  <c r="AA163" i="37" s="1"/>
  <c r="AB163" i="37" s="1"/>
  <c r="AC163" i="37" s="1"/>
  <c r="AD163" i="37" s="1"/>
  <c r="AE163" i="37" s="1"/>
  <c r="AF163" i="37" s="1"/>
  <c r="B163" i="37" s="1"/>
  <c r="D163" i="37"/>
  <c r="G162" i="37"/>
  <c r="H162" i="37" s="1"/>
  <c r="I162" i="37" s="1"/>
  <c r="J162" i="37" s="1"/>
  <c r="K162" i="37" s="1"/>
  <c r="L162" i="37" s="1"/>
  <c r="M162" i="37" s="1"/>
  <c r="N162" i="37" s="1"/>
  <c r="O162" i="37" s="1"/>
  <c r="P162" i="37" s="1"/>
  <c r="Q162" i="37" s="1"/>
  <c r="R162" i="37" s="1"/>
  <c r="S162" i="37" s="1"/>
  <c r="T162" i="37" s="1"/>
  <c r="U162" i="37" s="1"/>
  <c r="V162" i="37" s="1"/>
  <c r="W162" i="37" s="1"/>
  <c r="X162" i="37" s="1"/>
  <c r="Y162" i="37" s="1"/>
  <c r="Z162" i="37" s="1"/>
  <c r="AA162" i="37" s="1"/>
  <c r="AB162" i="37" s="1"/>
  <c r="AC162" i="37" s="1"/>
  <c r="AD162" i="37" s="1"/>
  <c r="AE162" i="37" s="1"/>
  <c r="AF162" i="37" s="1"/>
  <c r="B162" i="37" s="1"/>
  <c r="D162" i="37"/>
  <c r="E162" i="37" s="1"/>
  <c r="F162" i="37" s="1"/>
  <c r="J161" i="37"/>
  <c r="K161" i="37" s="1"/>
  <c r="L161" i="37" s="1"/>
  <c r="M161" i="37" s="1"/>
  <c r="N161" i="37" s="1"/>
  <c r="O161" i="37" s="1"/>
  <c r="P161" i="37" s="1"/>
  <c r="Q161" i="37" s="1"/>
  <c r="R161" i="37" s="1"/>
  <c r="S161" i="37" s="1"/>
  <c r="T161" i="37" s="1"/>
  <c r="U161" i="37" s="1"/>
  <c r="V161" i="37" s="1"/>
  <c r="W161" i="37" s="1"/>
  <c r="X161" i="37" s="1"/>
  <c r="Y161" i="37" s="1"/>
  <c r="Z161" i="37" s="1"/>
  <c r="AA161" i="37" s="1"/>
  <c r="AB161" i="37" s="1"/>
  <c r="AC161" i="37" s="1"/>
  <c r="AD161" i="37" s="1"/>
  <c r="AE161" i="37" s="1"/>
  <c r="AF161" i="37" s="1"/>
  <c r="B161" i="37" s="1"/>
  <c r="I161" i="37"/>
  <c r="E161" i="37"/>
  <c r="F161" i="37" s="1"/>
  <c r="G161" i="37" s="1"/>
  <c r="H161" i="37" s="1"/>
  <c r="D161" i="37"/>
  <c r="G160" i="37"/>
  <c r="H160" i="37" s="1"/>
  <c r="I160" i="37" s="1"/>
  <c r="J160" i="37" s="1"/>
  <c r="K160" i="37" s="1"/>
  <c r="L160" i="37" s="1"/>
  <c r="M160" i="37" s="1"/>
  <c r="N160" i="37" s="1"/>
  <c r="O160" i="37" s="1"/>
  <c r="P160" i="37" s="1"/>
  <c r="Q160" i="37" s="1"/>
  <c r="R160" i="37" s="1"/>
  <c r="S160" i="37" s="1"/>
  <c r="T160" i="37" s="1"/>
  <c r="U160" i="37" s="1"/>
  <c r="V160" i="37" s="1"/>
  <c r="W160" i="37" s="1"/>
  <c r="X160" i="37" s="1"/>
  <c r="Y160" i="37" s="1"/>
  <c r="Z160" i="37" s="1"/>
  <c r="AA160" i="37" s="1"/>
  <c r="AB160" i="37" s="1"/>
  <c r="AC160" i="37" s="1"/>
  <c r="AD160" i="37" s="1"/>
  <c r="AE160" i="37" s="1"/>
  <c r="AF160" i="37" s="1"/>
  <c r="B160" i="37" s="1"/>
  <c r="F160" i="37"/>
  <c r="E160" i="37"/>
  <c r="D160" i="37"/>
  <c r="I159" i="37"/>
  <c r="J159" i="37" s="1"/>
  <c r="K159" i="37" s="1"/>
  <c r="L159" i="37" s="1"/>
  <c r="M159" i="37" s="1"/>
  <c r="N159" i="37" s="1"/>
  <c r="O159" i="37" s="1"/>
  <c r="P159" i="37" s="1"/>
  <c r="Q159" i="37" s="1"/>
  <c r="R159" i="37" s="1"/>
  <c r="S159" i="37" s="1"/>
  <c r="T159" i="37" s="1"/>
  <c r="U159" i="37" s="1"/>
  <c r="V159" i="37" s="1"/>
  <c r="W159" i="37" s="1"/>
  <c r="X159" i="37" s="1"/>
  <c r="Y159" i="37" s="1"/>
  <c r="Z159" i="37" s="1"/>
  <c r="AA159" i="37" s="1"/>
  <c r="AB159" i="37" s="1"/>
  <c r="AC159" i="37" s="1"/>
  <c r="AD159" i="37" s="1"/>
  <c r="AE159" i="37" s="1"/>
  <c r="AF159" i="37" s="1"/>
  <c r="B159" i="37" s="1"/>
  <c r="F159" i="37"/>
  <c r="G159" i="37" s="1"/>
  <c r="H159" i="37" s="1"/>
  <c r="E159" i="37"/>
  <c r="D159" i="37"/>
  <c r="G158" i="37"/>
  <c r="H158" i="37" s="1"/>
  <c r="I158" i="37" s="1"/>
  <c r="J158" i="37" s="1"/>
  <c r="K158" i="37" s="1"/>
  <c r="L158" i="37" s="1"/>
  <c r="M158" i="37" s="1"/>
  <c r="N158" i="37" s="1"/>
  <c r="O158" i="37" s="1"/>
  <c r="P158" i="37" s="1"/>
  <c r="Q158" i="37" s="1"/>
  <c r="R158" i="37" s="1"/>
  <c r="S158" i="37" s="1"/>
  <c r="T158" i="37" s="1"/>
  <c r="U158" i="37" s="1"/>
  <c r="V158" i="37" s="1"/>
  <c r="W158" i="37" s="1"/>
  <c r="X158" i="37" s="1"/>
  <c r="Y158" i="37" s="1"/>
  <c r="Z158" i="37" s="1"/>
  <c r="AA158" i="37" s="1"/>
  <c r="AB158" i="37" s="1"/>
  <c r="AC158" i="37" s="1"/>
  <c r="AD158" i="37" s="1"/>
  <c r="AE158" i="37" s="1"/>
  <c r="AF158" i="37" s="1"/>
  <c r="B158" i="37" s="1"/>
  <c r="D158" i="37"/>
  <c r="E158" i="37" s="1"/>
  <c r="F158" i="37" s="1"/>
  <c r="E157" i="37"/>
  <c r="F157" i="37" s="1"/>
  <c r="G157" i="37" s="1"/>
  <c r="H157" i="37" s="1"/>
  <c r="I157" i="37" s="1"/>
  <c r="J157" i="37" s="1"/>
  <c r="K157" i="37" s="1"/>
  <c r="L157" i="37" s="1"/>
  <c r="M157" i="37" s="1"/>
  <c r="N157" i="37" s="1"/>
  <c r="O157" i="37" s="1"/>
  <c r="P157" i="37" s="1"/>
  <c r="Q157" i="37" s="1"/>
  <c r="R157" i="37" s="1"/>
  <c r="S157" i="37" s="1"/>
  <c r="T157" i="37" s="1"/>
  <c r="U157" i="37" s="1"/>
  <c r="V157" i="37" s="1"/>
  <c r="W157" i="37" s="1"/>
  <c r="X157" i="37" s="1"/>
  <c r="Y157" i="37" s="1"/>
  <c r="Z157" i="37" s="1"/>
  <c r="AA157" i="37" s="1"/>
  <c r="AB157" i="37" s="1"/>
  <c r="AC157" i="37" s="1"/>
  <c r="AD157" i="37" s="1"/>
  <c r="AE157" i="37" s="1"/>
  <c r="AF157" i="37" s="1"/>
  <c r="B157" i="37" s="1"/>
  <c r="D157" i="37"/>
  <c r="K156" i="37"/>
  <c r="L156" i="37" s="1"/>
  <c r="M156" i="37" s="1"/>
  <c r="N156" i="37" s="1"/>
  <c r="O156" i="37" s="1"/>
  <c r="P156" i="37" s="1"/>
  <c r="Q156" i="37" s="1"/>
  <c r="R156" i="37" s="1"/>
  <c r="S156" i="37" s="1"/>
  <c r="T156" i="37" s="1"/>
  <c r="U156" i="37" s="1"/>
  <c r="V156" i="37" s="1"/>
  <c r="W156" i="37" s="1"/>
  <c r="X156" i="37" s="1"/>
  <c r="Y156" i="37" s="1"/>
  <c r="Z156" i="37" s="1"/>
  <c r="AA156" i="37" s="1"/>
  <c r="AB156" i="37" s="1"/>
  <c r="AC156" i="37" s="1"/>
  <c r="AD156" i="37" s="1"/>
  <c r="AE156" i="37" s="1"/>
  <c r="AF156" i="37" s="1"/>
  <c r="B156" i="37" s="1"/>
  <c r="H156" i="37"/>
  <c r="I156" i="37" s="1"/>
  <c r="J156" i="37" s="1"/>
  <c r="G156" i="37"/>
  <c r="F156" i="37"/>
  <c r="E156" i="37"/>
  <c r="D156" i="37"/>
  <c r="H154" i="37"/>
  <c r="I154" i="37" s="1"/>
  <c r="J154" i="37" s="1"/>
  <c r="K154" i="37" s="1"/>
  <c r="L154" i="37" s="1"/>
  <c r="M154" i="37" s="1"/>
  <c r="N154" i="37" s="1"/>
  <c r="O154" i="37" s="1"/>
  <c r="P154" i="37" s="1"/>
  <c r="Q154" i="37" s="1"/>
  <c r="R154" i="37" s="1"/>
  <c r="S154" i="37" s="1"/>
  <c r="T154" i="37" s="1"/>
  <c r="U154" i="37" s="1"/>
  <c r="V154" i="37" s="1"/>
  <c r="W154" i="37" s="1"/>
  <c r="X154" i="37" s="1"/>
  <c r="Y154" i="37" s="1"/>
  <c r="Z154" i="37" s="1"/>
  <c r="AA154" i="37" s="1"/>
  <c r="AB154" i="37" s="1"/>
  <c r="AC154" i="37" s="1"/>
  <c r="AD154" i="37" s="1"/>
  <c r="AE154" i="37" s="1"/>
  <c r="AF154" i="37" s="1"/>
  <c r="B154" i="37" s="1"/>
  <c r="D154" i="37"/>
  <c r="E154" i="37" s="1"/>
  <c r="F154" i="37" s="1"/>
  <c r="G154" i="37" s="1"/>
  <c r="F153" i="37"/>
  <c r="G153" i="37" s="1"/>
  <c r="H153" i="37" s="1"/>
  <c r="I153" i="37" s="1"/>
  <c r="J153" i="37" s="1"/>
  <c r="K153" i="37" s="1"/>
  <c r="L153" i="37" s="1"/>
  <c r="M153" i="37" s="1"/>
  <c r="N153" i="37" s="1"/>
  <c r="O153" i="37" s="1"/>
  <c r="P153" i="37" s="1"/>
  <c r="Q153" i="37" s="1"/>
  <c r="R153" i="37" s="1"/>
  <c r="S153" i="37" s="1"/>
  <c r="T153" i="37" s="1"/>
  <c r="U153" i="37" s="1"/>
  <c r="V153" i="37" s="1"/>
  <c r="W153" i="37" s="1"/>
  <c r="X153" i="37" s="1"/>
  <c r="Y153" i="37" s="1"/>
  <c r="Z153" i="37" s="1"/>
  <c r="AA153" i="37" s="1"/>
  <c r="AB153" i="37" s="1"/>
  <c r="AC153" i="37" s="1"/>
  <c r="AD153" i="37" s="1"/>
  <c r="AE153" i="37" s="1"/>
  <c r="AF153" i="37" s="1"/>
  <c r="B153" i="37" s="1"/>
  <c r="D153" i="37"/>
  <c r="E153" i="37" s="1"/>
  <c r="D152" i="37"/>
  <c r="E152" i="37" s="1"/>
  <c r="F152" i="37" s="1"/>
  <c r="G152" i="37" s="1"/>
  <c r="H152" i="37" s="1"/>
  <c r="I152" i="37" s="1"/>
  <c r="J152" i="37" s="1"/>
  <c r="K152" i="37" s="1"/>
  <c r="L152" i="37" s="1"/>
  <c r="M152" i="37" s="1"/>
  <c r="N152" i="37" s="1"/>
  <c r="O152" i="37" s="1"/>
  <c r="P152" i="37" s="1"/>
  <c r="Q152" i="37" s="1"/>
  <c r="R152" i="37" s="1"/>
  <c r="S152" i="37" s="1"/>
  <c r="T152" i="37" s="1"/>
  <c r="U152" i="37" s="1"/>
  <c r="V152" i="37" s="1"/>
  <c r="W152" i="37" s="1"/>
  <c r="X152" i="37" s="1"/>
  <c r="Y152" i="37" s="1"/>
  <c r="Z152" i="37" s="1"/>
  <c r="AA152" i="37" s="1"/>
  <c r="AB152" i="37" s="1"/>
  <c r="AC152" i="37" s="1"/>
  <c r="AD152" i="37" s="1"/>
  <c r="AE152" i="37" s="1"/>
  <c r="AF152" i="37" s="1"/>
  <c r="B152" i="37" s="1"/>
  <c r="AD151" i="37"/>
  <c r="AE151" i="37" s="1"/>
  <c r="AF151" i="37" s="1"/>
  <c r="B151" i="37" s="1"/>
  <c r="E151" i="37"/>
  <c r="F151" i="37" s="1"/>
  <c r="G151" i="37" s="1"/>
  <c r="H151" i="37" s="1"/>
  <c r="I151" i="37" s="1"/>
  <c r="J151" i="37" s="1"/>
  <c r="K151" i="37" s="1"/>
  <c r="L151" i="37" s="1"/>
  <c r="M151" i="37" s="1"/>
  <c r="N151" i="37" s="1"/>
  <c r="O151" i="37" s="1"/>
  <c r="P151" i="37" s="1"/>
  <c r="Q151" i="37" s="1"/>
  <c r="R151" i="37" s="1"/>
  <c r="S151" i="37" s="1"/>
  <c r="T151" i="37" s="1"/>
  <c r="U151" i="37" s="1"/>
  <c r="V151" i="37" s="1"/>
  <c r="W151" i="37" s="1"/>
  <c r="X151" i="37" s="1"/>
  <c r="Y151" i="37" s="1"/>
  <c r="Z151" i="37" s="1"/>
  <c r="AA151" i="37" s="1"/>
  <c r="AB151" i="37" s="1"/>
  <c r="AC151" i="37" s="1"/>
  <c r="D151" i="37"/>
  <c r="I149" i="37"/>
  <c r="J149" i="37" s="1"/>
  <c r="K149" i="37" s="1"/>
  <c r="L149" i="37" s="1"/>
  <c r="M149" i="37" s="1"/>
  <c r="N149" i="37" s="1"/>
  <c r="O149" i="37" s="1"/>
  <c r="P149" i="37" s="1"/>
  <c r="Q149" i="37" s="1"/>
  <c r="R149" i="37" s="1"/>
  <c r="S149" i="37" s="1"/>
  <c r="T149" i="37" s="1"/>
  <c r="U149" i="37" s="1"/>
  <c r="V149" i="37" s="1"/>
  <c r="W149" i="37" s="1"/>
  <c r="X149" i="37" s="1"/>
  <c r="Y149" i="37" s="1"/>
  <c r="Z149" i="37" s="1"/>
  <c r="AA149" i="37" s="1"/>
  <c r="AB149" i="37" s="1"/>
  <c r="AC149" i="37" s="1"/>
  <c r="AD149" i="37" s="1"/>
  <c r="AE149" i="37" s="1"/>
  <c r="AF149" i="37" s="1"/>
  <c r="B149" i="37" s="1"/>
  <c r="E149" i="37"/>
  <c r="F149" i="37" s="1"/>
  <c r="G149" i="37" s="1"/>
  <c r="H149" i="37" s="1"/>
  <c r="D149" i="37"/>
  <c r="L148" i="37"/>
  <c r="M148" i="37" s="1"/>
  <c r="N148" i="37" s="1"/>
  <c r="O148" i="37" s="1"/>
  <c r="P148" i="37" s="1"/>
  <c r="Q148" i="37" s="1"/>
  <c r="R148" i="37" s="1"/>
  <c r="S148" i="37" s="1"/>
  <c r="T148" i="37" s="1"/>
  <c r="U148" i="37" s="1"/>
  <c r="V148" i="37" s="1"/>
  <c r="W148" i="37" s="1"/>
  <c r="X148" i="37" s="1"/>
  <c r="Y148" i="37" s="1"/>
  <c r="Z148" i="37" s="1"/>
  <c r="AA148" i="37" s="1"/>
  <c r="AB148" i="37" s="1"/>
  <c r="AC148" i="37" s="1"/>
  <c r="AD148" i="37" s="1"/>
  <c r="AE148" i="37" s="1"/>
  <c r="AF148" i="37" s="1"/>
  <c r="B148" i="37" s="1"/>
  <c r="G148" i="37"/>
  <c r="H148" i="37" s="1"/>
  <c r="I148" i="37" s="1"/>
  <c r="J148" i="37" s="1"/>
  <c r="K148" i="37" s="1"/>
  <c r="F148" i="37"/>
  <c r="D148" i="37"/>
  <c r="E148" i="37" s="1"/>
  <c r="R146" i="37"/>
  <c r="S146" i="37" s="1"/>
  <c r="T146" i="37" s="1"/>
  <c r="U146" i="37" s="1"/>
  <c r="V146" i="37" s="1"/>
  <c r="W146" i="37" s="1"/>
  <c r="X146" i="37" s="1"/>
  <c r="Y146" i="37" s="1"/>
  <c r="Z146" i="37" s="1"/>
  <c r="AA146" i="37" s="1"/>
  <c r="AB146" i="37" s="1"/>
  <c r="AC146" i="37" s="1"/>
  <c r="AD146" i="37" s="1"/>
  <c r="AE146" i="37" s="1"/>
  <c r="AF146" i="37" s="1"/>
  <c r="B146" i="37" s="1"/>
  <c r="E146" i="37"/>
  <c r="F146" i="37" s="1"/>
  <c r="G146" i="37" s="1"/>
  <c r="H146" i="37" s="1"/>
  <c r="I146" i="37" s="1"/>
  <c r="J146" i="37" s="1"/>
  <c r="K146" i="37" s="1"/>
  <c r="L146" i="37" s="1"/>
  <c r="M146" i="37" s="1"/>
  <c r="N146" i="37" s="1"/>
  <c r="O146" i="37" s="1"/>
  <c r="P146" i="37" s="1"/>
  <c r="Q146" i="37" s="1"/>
  <c r="D146" i="37"/>
  <c r="U145" i="37"/>
  <c r="V145" i="37" s="1"/>
  <c r="W145" i="37" s="1"/>
  <c r="X145" i="37" s="1"/>
  <c r="Y145" i="37" s="1"/>
  <c r="Z145" i="37" s="1"/>
  <c r="AA145" i="37" s="1"/>
  <c r="AB145" i="37" s="1"/>
  <c r="AC145" i="37" s="1"/>
  <c r="AD145" i="37" s="1"/>
  <c r="AE145" i="37" s="1"/>
  <c r="AF145" i="37" s="1"/>
  <c r="Q145" i="37"/>
  <c r="R145" i="37" s="1"/>
  <c r="S145" i="37" s="1"/>
  <c r="T145" i="37" s="1"/>
  <c r="K145" i="37"/>
  <c r="L145" i="37" s="1"/>
  <c r="M145" i="37" s="1"/>
  <c r="N145" i="37" s="1"/>
  <c r="O145" i="37" s="1"/>
  <c r="P145" i="37" s="1"/>
  <c r="H145" i="37"/>
  <c r="I145" i="37" s="1"/>
  <c r="J145" i="37" s="1"/>
  <c r="G145" i="37"/>
  <c r="F145" i="37"/>
  <c r="E145" i="37"/>
  <c r="D145" i="37"/>
  <c r="B145" i="37"/>
  <c r="M144" i="37"/>
  <c r="N144" i="37" s="1"/>
  <c r="O144" i="37" s="1"/>
  <c r="P144" i="37" s="1"/>
  <c r="Q144" i="37" s="1"/>
  <c r="R144" i="37" s="1"/>
  <c r="S144" i="37" s="1"/>
  <c r="T144" i="37" s="1"/>
  <c r="U144" i="37" s="1"/>
  <c r="V144" i="37" s="1"/>
  <c r="W144" i="37" s="1"/>
  <c r="X144" i="37" s="1"/>
  <c r="Y144" i="37" s="1"/>
  <c r="Z144" i="37" s="1"/>
  <c r="AA144" i="37" s="1"/>
  <c r="AB144" i="37" s="1"/>
  <c r="AC144" i="37" s="1"/>
  <c r="AD144" i="37" s="1"/>
  <c r="AE144" i="37" s="1"/>
  <c r="AF144" i="37" s="1"/>
  <c r="B144" i="37" s="1"/>
  <c r="F144" i="37"/>
  <c r="G144" i="37" s="1"/>
  <c r="H144" i="37" s="1"/>
  <c r="I144" i="37" s="1"/>
  <c r="J144" i="37" s="1"/>
  <c r="K144" i="37" s="1"/>
  <c r="L144" i="37" s="1"/>
  <c r="E144" i="37"/>
  <c r="D144" i="37"/>
  <c r="D143" i="37"/>
  <c r="E143" i="37" s="1"/>
  <c r="F143" i="37" s="1"/>
  <c r="G143" i="37" s="1"/>
  <c r="H143" i="37" s="1"/>
  <c r="I143" i="37" s="1"/>
  <c r="J143" i="37" s="1"/>
  <c r="K143" i="37" s="1"/>
  <c r="L143" i="37" s="1"/>
  <c r="M143" i="37" s="1"/>
  <c r="N143" i="37" s="1"/>
  <c r="O143" i="37" s="1"/>
  <c r="P143" i="37" s="1"/>
  <c r="Q143" i="37" s="1"/>
  <c r="R143" i="37" s="1"/>
  <c r="S143" i="37" s="1"/>
  <c r="T143" i="37" s="1"/>
  <c r="U143" i="37" s="1"/>
  <c r="V143" i="37" s="1"/>
  <c r="W143" i="37" s="1"/>
  <c r="X143" i="37" s="1"/>
  <c r="Y143" i="37" s="1"/>
  <c r="Z143" i="37" s="1"/>
  <c r="AA143" i="37" s="1"/>
  <c r="AB143" i="37" s="1"/>
  <c r="AC143" i="37" s="1"/>
  <c r="AD143" i="37" s="1"/>
  <c r="AE143" i="37" s="1"/>
  <c r="AF143" i="37" s="1"/>
  <c r="B143" i="37" s="1"/>
  <c r="Q142" i="37"/>
  <c r="R142" i="37" s="1"/>
  <c r="S142" i="37" s="1"/>
  <c r="T142" i="37" s="1"/>
  <c r="U142" i="37" s="1"/>
  <c r="V142" i="37" s="1"/>
  <c r="W142" i="37" s="1"/>
  <c r="X142" i="37" s="1"/>
  <c r="Y142" i="37" s="1"/>
  <c r="Z142" i="37" s="1"/>
  <c r="AA142" i="37" s="1"/>
  <c r="AB142" i="37" s="1"/>
  <c r="AC142" i="37" s="1"/>
  <c r="AD142" i="37" s="1"/>
  <c r="AE142" i="37" s="1"/>
  <c r="AF142" i="37" s="1"/>
  <c r="B142" i="37" s="1"/>
  <c r="E142" i="37"/>
  <c r="F142" i="37" s="1"/>
  <c r="G142" i="37" s="1"/>
  <c r="H142" i="37" s="1"/>
  <c r="I142" i="37" s="1"/>
  <c r="J142" i="37" s="1"/>
  <c r="K142" i="37" s="1"/>
  <c r="L142" i="37" s="1"/>
  <c r="M142" i="37" s="1"/>
  <c r="N142" i="37" s="1"/>
  <c r="O142" i="37" s="1"/>
  <c r="P142" i="37" s="1"/>
  <c r="D142" i="37"/>
  <c r="D141" i="37"/>
  <c r="E141" i="37" s="1"/>
  <c r="F141" i="37" s="1"/>
  <c r="G141" i="37" s="1"/>
  <c r="H141" i="37" s="1"/>
  <c r="I141" i="37" s="1"/>
  <c r="J141" i="37" s="1"/>
  <c r="K141" i="37" s="1"/>
  <c r="L141" i="37" s="1"/>
  <c r="M141" i="37" s="1"/>
  <c r="N141" i="37" s="1"/>
  <c r="O141" i="37" s="1"/>
  <c r="P141" i="37" s="1"/>
  <c r="Q141" i="37" s="1"/>
  <c r="R141" i="37" s="1"/>
  <c r="S141" i="37" s="1"/>
  <c r="T141" i="37" s="1"/>
  <c r="U141" i="37" s="1"/>
  <c r="V141" i="37" s="1"/>
  <c r="W141" i="37" s="1"/>
  <c r="X141" i="37" s="1"/>
  <c r="Y141" i="37" s="1"/>
  <c r="Z141" i="37" s="1"/>
  <c r="AA141" i="37" s="1"/>
  <c r="AB141" i="37" s="1"/>
  <c r="AC141" i="37" s="1"/>
  <c r="AD141" i="37" s="1"/>
  <c r="AE141" i="37" s="1"/>
  <c r="AF141" i="37" s="1"/>
  <c r="B141" i="37" s="1"/>
  <c r="N140" i="37"/>
  <c r="O140" i="37" s="1"/>
  <c r="P140" i="37" s="1"/>
  <c r="Q140" i="37" s="1"/>
  <c r="R140" i="37" s="1"/>
  <c r="S140" i="37" s="1"/>
  <c r="T140" i="37" s="1"/>
  <c r="U140" i="37" s="1"/>
  <c r="V140" i="37" s="1"/>
  <c r="W140" i="37" s="1"/>
  <c r="X140" i="37" s="1"/>
  <c r="Y140" i="37" s="1"/>
  <c r="Z140" i="37" s="1"/>
  <c r="AA140" i="37" s="1"/>
  <c r="AB140" i="37" s="1"/>
  <c r="AC140" i="37" s="1"/>
  <c r="AD140" i="37" s="1"/>
  <c r="AE140" i="37" s="1"/>
  <c r="AF140" i="37" s="1"/>
  <c r="B140" i="37" s="1"/>
  <c r="M140" i="37"/>
  <c r="F140" i="37"/>
  <c r="G140" i="37" s="1"/>
  <c r="H140" i="37" s="1"/>
  <c r="I140" i="37" s="1"/>
  <c r="J140" i="37" s="1"/>
  <c r="K140" i="37" s="1"/>
  <c r="L140" i="37" s="1"/>
  <c r="E140" i="37"/>
  <c r="D140" i="37"/>
  <c r="D138" i="37"/>
  <c r="E138" i="37" s="1"/>
  <c r="F138" i="37" s="1"/>
  <c r="G138" i="37" s="1"/>
  <c r="H138" i="37" s="1"/>
  <c r="I138" i="37" s="1"/>
  <c r="J138" i="37" s="1"/>
  <c r="K138" i="37" s="1"/>
  <c r="L138" i="37" s="1"/>
  <c r="M138" i="37" s="1"/>
  <c r="N138" i="37" s="1"/>
  <c r="O138" i="37" s="1"/>
  <c r="P138" i="37" s="1"/>
  <c r="Q138" i="37" s="1"/>
  <c r="R138" i="37" s="1"/>
  <c r="S138" i="37" s="1"/>
  <c r="T138" i="37" s="1"/>
  <c r="U138" i="37" s="1"/>
  <c r="V138" i="37" s="1"/>
  <c r="W138" i="37" s="1"/>
  <c r="X138" i="37" s="1"/>
  <c r="Y138" i="37" s="1"/>
  <c r="Z138" i="37" s="1"/>
  <c r="AA138" i="37" s="1"/>
  <c r="AB138" i="37" s="1"/>
  <c r="AC138" i="37" s="1"/>
  <c r="AD138" i="37" s="1"/>
  <c r="AE138" i="37" s="1"/>
  <c r="AF138" i="37" s="1"/>
  <c r="B138" i="37" s="1"/>
  <c r="J137" i="37"/>
  <c r="K137" i="37" s="1"/>
  <c r="L137" i="37" s="1"/>
  <c r="M137" i="37" s="1"/>
  <c r="N137" i="37" s="1"/>
  <c r="O137" i="37" s="1"/>
  <c r="P137" i="37" s="1"/>
  <c r="Q137" i="37" s="1"/>
  <c r="R137" i="37" s="1"/>
  <c r="S137" i="37" s="1"/>
  <c r="T137" i="37" s="1"/>
  <c r="U137" i="37" s="1"/>
  <c r="V137" i="37" s="1"/>
  <c r="W137" i="37" s="1"/>
  <c r="X137" i="37" s="1"/>
  <c r="Y137" i="37" s="1"/>
  <c r="Z137" i="37" s="1"/>
  <c r="AA137" i="37" s="1"/>
  <c r="AB137" i="37" s="1"/>
  <c r="AC137" i="37" s="1"/>
  <c r="AD137" i="37" s="1"/>
  <c r="AE137" i="37" s="1"/>
  <c r="AF137" i="37" s="1"/>
  <c r="B137" i="37" s="1"/>
  <c r="E137" i="37"/>
  <c r="F137" i="37" s="1"/>
  <c r="G137" i="37" s="1"/>
  <c r="H137" i="37" s="1"/>
  <c r="I137" i="37" s="1"/>
  <c r="D137" i="37"/>
  <c r="G136" i="37"/>
  <c r="H136" i="37" s="1"/>
  <c r="I136" i="37" s="1"/>
  <c r="J136" i="37" s="1"/>
  <c r="K136" i="37" s="1"/>
  <c r="L136" i="37" s="1"/>
  <c r="M136" i="37" s="1"/>
  <c r="N136" i="37" s="1"/>
  <c r="O136" i="37" s="1"/>
  <c r="P136" i="37" s="1"/>
  <c r="Q136" i="37" s="1"/>
  <c r="R136" i="37" s="1"/>
  <c r="S136" i="37" s="1"/>
  <c r="T136" i="37" s="1"/>
  <c r="U136" i="37" s="1"/>
  <c r="V136" i="37" s="1"/>
  <c r="W136" i="37" s="1"/>
  <c r="X136" i="37" s="1"/>
  <c r="Y136" i="37" s="1"/>
  <c r="Z136" i="37" s="1"/>
  <c r="AA136" i="37" s="1"/>
  <c r="AB136" i="37" s="1"/>
  <c r="AC136" i="37" s="1"/>
  <c r="AD136" i="37" s="1"/>
  <c r="AE136" i="37" s="1"/>
  <c r="AF136" i="37" s="1"/>
  <c r="B136" i="37" s="1"/>
  <c r="F136" i="37"/>
  <c r="E136" i="37"/>
  <c r="D136" i="37"/>
  <c r="E135" i="37"/>
  <c r="F135" i="37" s="1"/>
  <c r="G135" i="37" s="1"/>
  <c r="H135" i="37" s="1"/>
  <c r="I135" i="37" s="1"/>
  <c r="J135" i="37" s="1"/>
  <c r="K135" i="37" s="1"/>
  <c r="L135" i="37" s="1"/>
  <c r="M135" i="37" s="1"/>
  <c r="N135" i="37" s="1"/>
  <c r="O135" i="37" s="1"/>
  <c r="P135" i="37" s="1"/>
  <c r="Q135" i="37" s="1"/>
  <c r="R135" i="37" s="1"/>
  <c r="S135" i="37" s="1"/>
  <c r="T135" i="37" s="1"/>
  <c r="U135" i="37" s="1"/>
  <c r="V135" i="37" s="1"/>
  <c r="W135" i="37" s="1"/>
  <c r="X135" i="37" s="1"/>
  <c r="Y135" i="37" s="1"/>
  <c r="Z135" i="37" s="1"/>
  <c r="AA135" i="37" s="1"/>
  <c r="AB135" i="37" s="1"/>
  <c r="AC135" i="37" s="1"/>
  <c r="AD135" i="37" s="1"/>
  <c r="AE135" i="37" s="1"/>
  <c r="AF135" i="37" s="1"/>
  <c r="B135" i="37" s="1"/>
  <c r="D135" i="37"/>
  <c r="K134" i="37"/>
  <c r="L134" i="37" s="1"/>
  <c r="M134" i="37" s="1"/>
  <c r="N134" i="37" s="1"/>
  <c r="O134" i="37" s="1"/>
  <c r="P134" i="37" s="1"/>
  <c r="Q134" i="37" s="1"/>
  <c r="R134" i="37" s="1"/>
  <c r="S134" i="37" s="1"/>
  <c r="T134" i="37" s="1"/>
  <c r="U134" i="37" s="1"/>
  <c r="V134" i="37" s="1"/>
  <c r="W134" i="37" s="1"/>
  <c r="X134" i="37" s="1"/>
  <c r="Y134" i="37" s="1"/>
  <c r="Z134" i="37" s="1"/>
  <c r="AA134" i="37" s="1"/>
  <c r="AB134" i="37" s="1"/>
  <c r="AC134" i="37" s="1"/>
  <c r="AD134" i="37" s="1"/>
  <c r="AE134" i="37" s="1"/>
  <c r="AF134" i="37" s="1"/>
  <c r="B134" i="37" s="1"/>
  <c r="G134" i="37"/>
  <c r="H134" i="37" s="1"/>
  <c r="I134" i="37" s="1"/>
  <c r="J134" i="37" s="1"/>
  <c r="D134" i="37"/>
  <c r="E134" i="37" s="1"/>
  <c r="F134" i="37" s="1"/>
  <c r="Q133" i="37"/>
  <c r="R133" i="37" s="1"/>
  <c r="S133" i="37" s="1"/>
  <c r="T133" i="37" s="1"/>
  <c r="U133" i="37" s="1"/>
  <c r="V133" i="37" s="1"/>
  <c r="W133" i="37" s="1"/>
  <c r="X133" i="37" s="1"/>
  <c r="Y133" i="37" s="1"/>
  <c r="Z133" i="37" s="1"/>
  <c r="AA133" i="37" s="1"/>
  <c r="AB133" i="37" s="1"/>
  <c r="AC133" i="37" s="1"/>
  <c r="AD133" i="37" s="1"/>
  <c r="AE133" i="37" s="1"/>
  <c r="AF133" i="37" s="1"/>
  <c r="B133" i="37" s="1"/>
  <c r="J133" i="37"/>
  <c r="K133" i="37" s="1"/>
  <c r="L133" i="37" s="1"/>
  <c r="M133" i="37" s="1"/>
  <c r="N133" i="37" s="1"/>
  <c r="O133" i="37" s="1"/>
  <c r="P133" i="37" s="1"/>
  <c r="I133" i="37"/>
  <c r="E133" i="37"/>
  <c r="F133" i="37" s="1"/>
  <c r="G133" i="37" s="1"/>
  <c r="H133" i="37" s="1"/>
  <c r="D133" i="37"/>
  <c r="AF132" i="37"/>
  <c r="B132" i="37" s="1"/>
  <c r="G132" i="37"/>
  <c r="H132" i="37" s="1"/>
  <c r="I132" i="37" s="1"/>
  <c r="J132" i="37" s="1"/>
  <c r="K132" i="37" s="1"/>
  <c r="L132" i="37" s="1"/>
  <c r="M132" i="37" s="1"/>
  <c r="N132" i="37" s="1"/>
  <c r="O132" i="37" s="1"/>
  <c r="P132" i="37" s="1"/>
  <c r="Q132" i="37" s="1"/>
  <c r="R132" i="37" s="1"/>
  <c r="S132" i="37" s="1"/>
  <c r="T132" i="37" s="1"/>
  <c r="U132" i="37" s="1"/>
  <c r="V132" i="37" s="1"/>
  <c r="W132" i="37" s="1"/>
  <c r="X132" i="37" s="1"/>
  <c r="Y132" i="37" s="1"/>
  <c r="Z132" i="37" s="1"/>
  <c r="AA132" i="37" s="1"/>
  <c r="AB132" i="37" s="1"/>
  <c r="AC132" i="37" s="1"/>
  <c r="AD132" i="37" s="1"/>
  <c r="AE132" i="37" s="1"/>
  <c r="F132" i="37"/>
  <c r="E132" i="37"/>
  <c r="D132" i="37"/>
  <c r="Q131" i="37"/>
  <c r="R131" i="37" s="1"/>
  <c r="S131" i="37" s="1"/>
  <c r="T131" i="37" s="1"/>
  <c r="U131" i="37" s="1"/>
  <c r="V131" i="37" s="1"/>
  <c r="W131" i="37" s="1"/>
  <c r="X131" i="37" s="1"/>
  <c r="Y131" i="37" s="1"/>
  <c r="Z131" i="37" s="1"/>
  <c r="AA131" i="37" s="1"/>
  <c r="AB131" i="37" s="1"/>
  <c r="AC131" i="37" s="1"/>
  <c r="AD131" i="37" s="1"/>
  <c r="AE131" i="37" s="1"/>
  <c r="AF131" i="37" s="1"/>
  <c r="B131" i="37" s="1"/>
  <c r="E131" i="37"/>
  <c r="F131" i="37" s="1"/>
  <c r="G131" i="37" s="1"/>
  <c r="H131" i="37" s="1"/>
  <c r="I131" i="37" s="1"/>
  <c r="J131" i="37" s="1"/>
  <c r="K131" i="37" s="1"/>
  <c r="L131" i="37" s="1"/>
  <c r="M131" i="37" s="1"/>
  <c r="N131" i="37" s="1"/>
  <c r="O131" i="37" s="1"/>
  <c r="P131" i="37" s="1"/>
  <c r="D131" i="37"/>
  <c r="J129" i="37"/>
  <c r="K129" i="37" s="1"/>
  <c r="L129" i="37" s="1"/>
  <c r="M129" i="37" s="1"/>
  <c r="N129" i="37" s="1"/>
  <c r="O129" i="37" s="1"/>
  <c r="P129" i="37" s="1"/>
  <c r="Q129" i="37" s="1"/>
  <c r="R129" i="37" s="1"/>
  <c r="S129" i="37" s="1"/>
  <c r="T129" i="37" s="1"/>
  <c r="U129" i="37" s="1"/>
  <c r="V129" i="37" s="1"/>
  <c r="W129" i="37" s="1"/>
  <c r="X129" i="37" s="1"/>
  <c r="Y129" i="37" s="1"/>
  <c r="Z129" i="37" s="1"/>
  <c r="AA129" i="37" s="1"/>
  <c r="AB129" i="37" s="1"/>
  <c r="AC129" i="37" s="1"/>
  <c r="AD129" i="37" s="1"/>
  <c r="AE129" i="37" s="1"/>
  <c r="AF129" i="37" s="1"/>
  <c r="B129" i="37" s="1"/>
  <c r="G129" i="37"/>
  <c r="H129" i="37" s="1"/>
  <c r="I129" i="37" s="1"/>
  <c r="D129" i="37"/>
  <c r="E129" i="37" s="1"/>
  <c r="F129" i="37" s="1"/>
  <c r="I128" i="37"/>
  <c r="J128" i="37" s="1"/>
  <c r="K128" i="37" s="1"/>
  <c r="L128" i="37" s="1"/>
  <c r="M128" i="37" s="1"/>
  <c r="N128" i="37" s="1"/>
  <c r="O128" i="37" s="1"/>
  <c r="P128" i="37" s="1"/>
  <c r="Q128" i="37" s="1"/>
  <c r="R128" i="37" s="1"/>
  <c r="S128" i="37" s="1"/>
  <c r="T128" i="37" s="1"/>
  <c r="U128" i="37" s="1"/>
  <c r="V128" i="37" s="1"/>
  <c r="W128" i="37" s="1"/>
  <c r="X128" i="37" s="1"/>
  <c r="Y128" i="37" s="1"/>
  <c r="Z128" i="37" s="1"/>
  <c r="AA128" i="37" s="1"/>
  <c r="AB128" i="37" s="1"/>
  <c r="AC128" i="37" s="1"/>
  <c r="AD128" i="37" s="1"/>
  <c r="AE128" i="37" s="1"/>
  <c r="AF128" i="37" s="1"/>
  <c r="B128" i="37" s="1"/>
  <c r="D128" i="37"/>
  <c r="E128" i="37" s="1"/>
  <c r="F128" i="37" s="1"/>
  <c r="G128" i="37" s="1"/>
  <c r="H128" i="37" s="1"/>
  <c r="F127" i="37"/>
  <c r="G127" i="37" s="1"/>
  <c r="H127" i="37" s="1"/>
  <c r="I127" i="37" s="1"/>
  <c r="J127" i="37" s="1"/>
  <c r="K127" i="37" s="1"/>
  <c r="L127" i="37" s="1"/>
  <c r="M127" i="37" s="1"/>
  <c r="N127" i="37" s="1"/>
  <c r="O127" i="37" s="1"/>
  <c r="P127" i="37" s="1"/>
  <c r="Q127" i="37" s="1"/>
  <c r="R127" i="37" s="1"/>
  <c r="S127" i="37" s="1"/>
  <c r="T127" i="37" s="1"/>
  <c r="U127" i="37" s="1"/>
  <c r="V127" i="37" s="1"/>
  <c r="W127" i="37" s="1"/>
  <c r="X127" i="37" s="1"/>
  <c r="Y127" i="37" s="1"/>
  <c r="Z127" i="37" s="1"/>
  <c r="AA127" i="37" s="1"/>
  <c r="AB127" i="37" s="1"/>
  <c r="AC127" i="37" s="1"/>
  <c r="AD127" i="37" s="1"/>
  <c r="AE127" i="37" s="1"/>
  <c r="AF127" i="37" s="1"/>
  <c r="B127" i="37" s="1"/>
  <c r="E127" i="37"/>
  <c r="D127" i="37"/>
  <c r="H126" i="37"/>
  <c r="I126" i="37" s="1"/>
  <c r="J126" i="37" s="1"/>
  <c r="K126" i="37" s="1"/>
  <c r="L126" i="37" s="1"/>
  <c r="M126" i="37" s="1"/>
  <c r="N126" i="37" s="1"/>
  <c r="O126" i="37" s="1"/>
  <c r="P126" i="37" s="1"/>
  <c r="Q126" i="37" s="1"/>
  <c r="R126" i="37" s="1"/>
  <c r="S126" i="37" s="1"/>
  <c r="T126" i="37" s="1"/>
  <c r="U126" i="37" s="1"/>
  <c r="V126" i="37" s="1"/>
  <c r="W126" i="37" s="1"/>
  <c r="X126" i="37" s="1"/>
  <c r="Y126" i="37" s="1"/>
  <c r="Z126" i="37" s="1"/>
  <c r="AA126" i="37" s="1"/>
  <c r="AB126" i="37" s="1"/>
  <c r="AC126" i="37" s="1"/>
  <c r="AD126" i="37" s="1"/>
  <c r="AE126" i="37" s="1"/>
  <c r="AF126" i="37" s="1"/>
  <c r="B126" i="37" s="1"/>
  <c r="D126" i="37"/>
  <c r="E126" i="37" s="1"/>
  <c r="F126" i="37" s="1"/>
  <c r="G126" i="37" s="1"/>
  <c r="L125" i="37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X125" i="37" s="1"/>
  <c r="Y125" i="37" s="1"/>
  <c r="Z125" i="37" s="1"/>
  <c r="AA125" i="37" s="1"/>
  <c r="AB125" i="37" s="1"/>
  <c r="AC125" i="37" s="1"/>
  <c r="AD125" i="37" s="1"/>
  <c r="AE125" i="37" s="1"/>
  <c r="AF125" i="37" s="1"/>
  <c r="B125" i="37" s="1"/>
  <c r="J125" i="37"/>
  <c r="K125" i="37" s="1"/>
  <c r="F125" i="37"/>
  <c r="G125" i="37" s="1"/>
  <c r="H125" i="37" s="1"/>
  <c r="E125" i="37"/>
  <c r="D125" i="37"/>
  <c r="D124" i="37"/>
  <c r="E124" i="37" s="1"/>
  <c r="F124" i="37" s="1"/>
  <c r="G124" i="37" s="1"/>
  <c r="H124" i="37" s="1"/>
  <c r="I124" i="37" s="1"/>
  <c r="J124" i="37" s="1"/>
  <c r="K124" i="37" s="1"/>
  <c r="L124" i="37" s="1"/>
  <c r="M124" i="37" s="1"/>
  <c r="N124" i="37" s="1"/>
  <c r="O124" i="37" s="1"/>
  <c r="P124" i="37" s="1"/>
  <c r="Q124" i="37" s="1"/>
  <c r="R124" i="37" s="1"/>
  <c r="S124" i="37" s="1"/>
  <c r="T124" i="37" s="1"/>
  <c r="U124" i="37" s="1"/>
  <c r="V124" i="37" s="1"/>
  <c r="W124" i="37" s="1"/>
  <c r="X124" i="37" s="1"/>
  <c r="Y124" i="37" s="1"/>
  <c r="Z124" i="37" s="1"/>
  <c r="AA124" i="37" s="1"/>
  <c r="AB124" i="37" s="1"/>
  <c r="AC124" i="37" s="1"/>
  <c r="AD124" i="37" s="1"/>
  <c r="AE124" i="37" s="1"/>
  <c r="AF124" i="37" s="1"/>
  <c r="B124" i="37" s="1"/>
  <c r="AD123" i="37"/>
  <c r="AE123" i="37" s="1"/>
  <c r="AF123" i="37" s="1"/>
  <c r="B123" i="37" s="1"/>
  <c r="N123" i="37"/>
  <c r="O123" i="37" s="1"/>
  <c r="P123" i="37" s="1"/>
  <c r="Q123" i="37" s="1"/>
  <c r="R123" i="37" s="1"/>
  <c r="S123" i="37" s="1"/>
  <c r="T123" i="37" s="1"/>
  <c r="U123" i="37" s="1"/>
  <c r="V123" i="37" s="1"/>
  <c r="W123" i="37" s="1"/>
  <c r="X123" i="37" s="1"/>
  <c r="Y123" i="37" s="1"/>
  <c r="Z123" i="37" s="1"/>
  <c r="AA123" i="37" s="1"/>
  <c r="AB123" i="37" s="1"/>
  <c r="AC123" i="37" s="1"/>
  <c r="M123" i="37"/>
  <c r="E123" i="37"/>
  <c r="F123" i="37" s="1"/>
  <c r="G123" i="37" s="1"/>
  <c r="H123" i="37" s="1"/>
  <c r="I123" i="37" s="1"/>
  <c r="J123" i="37" s="1"/>
  <c r="K123" i="37" s="1"/>
  <c r="L123" i="37" s="1"/>
  <c r="D123" i="37"/>
  <c r="E122" i="37"/>
  <c r="F122" i="37" s="1"/>
  <c r="G122" i="37" s="1"/>
  <c r="H122" i="37" s="1"/>
  <c r="I122" i="37" s="1"/>
  <c r="J122" i="37" s="1"/>
  <c r="K122" i="37" s="1"/>
  <c r="L122" i="37" s="1"/>
  <c r="M122" i="37" s="1"/>
  <c r="N122" i="37" s="1"/>
  <c r="O122" i="37" s="1"/>
  <c r="P122" i="37" s="1"/>
  <c r="Q122" i="37" s="1"/>
  <c r="R122" i="37" s="1"/>
  <c r="S122" i="37" s="1"/>
  <c r="T122" i="37" s="1"/>
  <c r="U122" i="37" s="1"/>
  <c r="V122" i="37" s="1"/>
  <c r="W122" i="37" s="1"/>
  <c r="X122" i="37" s="1"/>
  <c r="Y122" i="37" s="1"/>
  <c r="Z122" i="37" s="1"/>
  <c r="AA122" i="37" s="1"/>
  <c r="AB122" i="37" s="1"/>
  <c r="AC122" i="37" s="1"/>
  <c r="AD122" i="37" s="1"/>
  <c r="AE122" i="37" s="1"/>
  <c r="AF122" i="37" s="1"/>
  <c r="B122" i="37" s="1"/>
  <c r="D122" i="37"/>
  <c r="Q121" i="37"/>
  <c r="R121" i="37" s="1"/>
  <c r="S121" i="37" s="1"/>
  <c r="T121" i="37" s="1"/>
  <c r="U121" i="37" s="1"/>
  <c r="V121" i="37" s="1"/>
  <c r="W121" i="37" s="1"/>
  <c r="X121" i="37" s="1"/>
  <c r="Y121" i="37" s="1"/>
  <c r="Z121" i="37" s="1"/>
  <c r="AA121" i="37" s="1"/>
  <c r="AB121" i="37" s="1"/>
  <c r="AC121" i="37" s="1"/>
  <c r="AD121" i="37" s="1"/>
  <c r="AE121" i="37" s="1"/>
  <c r="AF121" i="37" s="1"/>
  <c r="P121" i="37"/>
  <c r="E121" i="37"/>
  <c r="F121" i="37" s="1"/>
  <c r="G121" i="37" s="1"/>
  <c r="H121" i="37" s="1"/>
  <c r="I121" i="37" s="1"/>
  <c r="J121" i="37" s="1"/>
  <c r="K121" i="37" s="1"/>
  <c r="L121" i="37" s="1"/>
  <c r="M121" i="37" s="1"/>
  <c r="N121" i="37" s="1"/>
  <c r="O121" i="37" s="1"/>
  <c r="D121" i="37"/>
  <c r="B121" i="37"/>
  <c r="O120" i="37"/>
  <c r="P120" i="37" s="1"/>
  <c r="Q120" i="37" s="1"/>
  <c r="R120" i="37" s="1"/>
  <c r="S120" i="37" s="1"/>
  <c r="T120" i="37" s="1"/>
  <c r="U120" i="37" s="1"/>
  <c r="V120" i="37" s="1"/>
  <c r="W120" i="37" s="1"/>
  <c r="X120" i="37" s="1"/>
  <c r="Y120" i="37" s="1"/>
  <c r="Z120" i="37" s="1"/>
  <c r="AA120" i="37" s="1"/>
  <c r="AB120" i="37" s="1"/>
  <c r="AC120" i="37" s="1"/>
  <c r="AD120" i="37" s="1"/>
  <c r="AE120" i="37" s="1"/>
  <c r="AF120" i="37" s="1"/>
  <c r="B120" i="37" s="1"/>
  <c r="F120" i="37"/>
  <c r="G120" i="37" s="1"/>
  <c r="H120" i="37" s="1"/>
  <c r="I120" i="37" s="1"/>
  <c r="J120" i="37" s="1"/>
  <c r="K120" i="37" s="1"/>
  <c r="L120" i="37" s="1"/>
  <c r="M120" i="37" s="1"/>
  <c r="N120" i="37" s="1"/>
  <c r="E120" i="37"/>
  <c r="D120" i="37"/>
  <c r="E119" i="37"/>
  <c r="F119" i="37" s="1"/>
  <c r="G119" i="37" s="1"/>
  <c r="H119" i="37" s="1"/>
  <c r="I119" i="37" s="1"/>
  <c r="J119" i="37" s="1"/>
  <c r="K119" i="37" s="1"/>
  <c r="L119" i="37" s="1"/>
  <c r="M119" i="37" s="1"/>
  <c r="N119" i="37" s="1"/>
  <c r="O119" i="37" s="1"/>
  <c r="P119" i="37" s="1"/>
  <c r="Q119" i="37" s="1"/>
  <c r="R119" i="37" s="1"/>
  <c r="S119" i="37" s="1"/>
  <c r="T119" i="37" s="1"/>
  <c r="U119" i="37" s="1"/>
  <c r="V119" i="37" s="1"/>
  <c r="W119" i="37" s="1"/>
  <c r="X119" i="37" s="1"/>
  <c r="Y119" i="37" s="1"/>
  <c r="Z119" i="37" s="1"/>
  <c r="AA119" i="37" s="1"/>
  <c r="AB119" i="37" s="1"/>
  <c r="AC119" i="37" s="1"/>
  <c r="AD119" i="37" s="1"/>
  <c r="AE119" i="37" s="1"/>
  <c r="AF119" i="37" s="1"/>
  <c r="B119" i="37" s="1"/>
  <c r="D119" i="37"/>
  <c r="D118" i="37"/>
  <c r="E118" i="37" s="1"/>
  <c r="F118" i="37" s="1"/>
  <c r="G118" i="37" s="1"/>
  <c r="H118" i="37" s="1"/>
  <c r="I118" i="37" s="1"/>
  <c r="J118" i="37" s="1"/>
  <c r="K118" i="37" s="1"/>
  <c r="L118" i="37" s="1"/>
  <c r="M118" i="37" s="1"/>
  <c r="N118" i="37" s="1"/>
  <c r="O118" i="37" s="1"/>
  <c r="P118" i="37" s="1"/>
  <c r="Q118" i="37" s="1"/>
  <c r="R118" i="37" s="1"/>
  <c r="S118" i="37" s="1"/>
  <c r="T118" i="37" s="1"/>
  <c r="U118" i="37" s="1"/>
  <c r="V118" i="37" s="1"/>
  <c r="W118" i="37" s="1"/>
  <c r="X118" i="37" s="1"/>
  <c r="Y118" i="37" s="1"/>
  <c r="Z118" i="37" s="1"/>
  <c r="AA118" i="37" s="1"/>
  <c r="AB118" i="37" s="1"/>
  <c r="AC118" i="37" s="1"/>
  <c r="AD118" i="37" s="1"/>
  <c r="AE118" i="37" s="1"/>
  <c r="AF118" i="37" s="1"/>
  <c r="B118" i="37" s="1"/>
  <c r="F117" i="37"/>
  <c r="G117" i="37" s="1"/>
  <c r="H117" i="37" s="1"/>
  <c r="I117" i="37" s="1"/>
  <c r="J117" i="37" s="1"/>
  <c r="K117" i="37" s="1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X117" i="37" s="1"/>
  <c r="Y117" i="37" s="1"/>
  <c r="Z117" i="37" s="1"/>
  <c r="AA117" i="37" s="1"/>
  <c r="AB117" i="37" s="1"/>
  <c r="AC117" i="37" s="1"/>
  <c r="AD117" i="37" s="1"/>
  <c r="AE117" i="37" s="1"/>
  <c r="AF117" i="37" s="1"/>
  <c r="B117" i="37" s="1"/>
  <c r="E117" i="37"/>
  <c r="D117" i="37"/>
  <c r="D116" i="37"/>
  <c r="E116" i="37" s="1"/>
  <c r="F116" i="37" s="1"/>
  <c r="G116" i="37" s="1"/>
  <c r="H116" i="37" s="1"/>
  <c r="I116" i="37" s="1"/>
  <c r="J116" i="37" s="1"/>
  <c r="K116" i="37" s="1"/>
  <c r="L116" i="37" s="1"/>
  <c r="M116" i="37" s="1"/>
  <c r="N116" i="37" s="1"/>
  <c r="O116" i="37" s="1"/>
  <c r="P116" i="37" s="1"/>
  <c r="Q116" i="37" s="1"/>
  <c r="R116" i="37" s="1"/>
  <c r="S116" i="37" s="1"/>
  <c r="T116" i="37" s="1"/>
  <c r="U116" i="37" s="1"/>
  <c r="V116" i="37" s="1"/>
  <c r="W116" i="37" s="1"/>
  <c r="X116" i="37" s="1"/>
  <c r="Y116" i="37" s="1"/>
  <c r="Z116" i="37" s="1"/>
  <c r="AA116" i="37" s="1"/>
  <c r="AB116" i="37" s="1"/>
  <c r="AC116" i="37" s="1"/>
  <c r="AD116" i="37" s="1"/>
  <c r="AE116" i="37" s="1"/>
  <c r="AF116" i="37" s="1"/>
  <c r="B116" i="37" s="1"/>
  <c r="E115" i="37"/>
  <c r="F115" i="37" s="1"/>
  <c r="G115" i="37" s="1"/>
  <c r="H115" i="37" s="1"/>
  <c r="I115" i="37" s="1"/>
  <c r="J115" i="37" s="1"/>
  <c r="K115" i="37" s="1"/>
  <c r="L115" i="37" s="1"/>
  <c r="M115" i="37" s="1"/>
  <c r="N115" i="37" s="1"/>
  <c r="O115" i="37" s="1"/>
  <c r="P115" i="37" s="1"/>
  <c r="Q115" i="37" s="1"/>
  <c r="R115" i="37" s="1"/>
  <c r="S115" i="37" s="1"/>
  <c r="T115" i="37" s="1"/>
  <c r="U115" i="37" s="1"/>
  <c r="V115" i="37" s="1"/>
  <c r="W115" i="37" s="1"/>
  <c r="X115" i="37" s="1"/>
  <c r="Y115" i="37" s="1"/>
  <c r="Z115" i="37" s="1"/>
  <c r="AA115" i="37" s="1"/>
  <c r="AB115" i="37" s="1"/>
  <c r="AC115" i="37" s="1"/>
  <c r="AD115" i="37" s="1"/>
  <c r="AE115" i="37" s="1"/>
  <c r="AF115" i="37" s="1"/>
  <c r="B115" i="37" s="1"/>
  <c r="D115" i="37"/>
  <c r="L114" i="37"/>
  <c r="M114" i="37" s="1"/>
  <c r="N114" i="37" s="1"/>
  <c r="O114" i="37" s="1"/>
  <c r="P114" i="37" s="1"/>
  <c r="Q114" i="37" s="1"/>
  <c r="R114" i="37" s="1"/>
  <c r="S114" i="37" s="1"/>
  <c r="T114" i="37" s="1"/>
  <c r="U114" i="37" s="1"/>
  <c r="V114" i="37" s="1"/>
  <c r="W114" i="37" s="1"/>
  <c r="X114" i="37" s="1"/>
  <c r="Y114" i="37" s="1"/>
  <c r="Z114" i="37" s="1"/>
  <c r="AA114" i="37" s="1"/>
  <c r="AB114" i="37" s="1"/>
  <c r="AC114" i="37" s="1"/>
  <c r="AD114" i="37" s="1"/>
  <c r="AE114" i="37" s="1"/>
  <c r="AF114" i="37" s="1"/>
  <c r="B114" i="37" s="1"/>
  <c r="K114" i="37"/>
  <c r="E114" i="37"/>
  <c r="F114" i="37" s="1"/>
  <c r="G114" i="37" s="1"/>
  <c r="H114" i="37" s="1"/>
  <c r="I114" i="37" s="1"/>
  <c r="D114" i="37"/>
  <c r="F113" i="37"/>
  <c r="G113" i="37" s="1"/>
  <c r="H113" i="37" s="1"/>
  <c r="I113" i="37" s="1"/>
  <c r="J113" i="37" s="1"/>
  <c r="K113" i="37" s="1"/>
  <c r="L113" i="37" s="1"/>
  <c r="M113" i="37" s="1"/>
  <c r="N113" i="37" s="1"/>
  <c r="O113" i="37" s="1"/>
  <c r="P113" i="37" s="1"/>
  <c r="Q113" i="37" s="1"/>
  <c r="R113" i="37" s="1"/>
  <c r="S113" i="37" s="1"/>
  <c r="T113" i="37" s="1"/>
  <c r="U113" i="37" s="1"/>
  <c r="V113" i="37" s="1"/>
  <c r="W113" i="37" s="1"/>
  <c r="X113" i="37" s="1"/>
  <c r="Y113" i="37" s="1"/>
  <c r="Z113" i="37" s="1"/>
  <c r="AA113" i="37" s="1"/>
  <c r="AB113" i="37" s="1"/>
  <c r="AC113" i="37" s="1"/>
  <c r="AD113" i="37" s="1"/>
  <c r="AE113" i="37" s="1"/>
  <c r="AF113" i="37" s="1"/>
  <c r="B113" i="37" s="1"/>
  <c r="E113" i="37"/>
  <c r="D113" i="37"/>
  <c r="K112" i="37"/>
  <c r="L112" i="37" s="1"/>
  <c r="M112" i="37" s="1"/>
  <c r="N112" i="37" s="1"/>
  <c r="O112" i="37" s="1"/>
  <c r="P112" i="37" s="1"/>
  <c r="Q112" i="37" s="1"/>
  <c r="R112" i="37" s="1"/>
  <c r="S112" i="37" s="1"/>
  <c r="T112" i="37" s="1"/>
  <c r="U112" i="37" s="1"/>
  <c r="V112" i="37" s="1"/>
  <c r="W112" i="37" s="1"/>
  <c r="X112" i="37" s="1"/>
  <c r="Y112" i="37" s="1"/>
  <c r="Z112" i="37" s="1"/>
  <c r="AA112" i="37" s="1"/>
  <c r="AB112" i="37" s="1"/>
  <c r="AC112" i="37" s="1"/>
  <c r="AD112" i="37" s="1"/>
  <c r="AE112" i="37" s="1"/>
  <c r="AF112" i="37" s="1"/>
  <c r="B112" i="37" s="1"/>
  <c r="D112" i="37"/>
  <c r="E112" i="37" s="1"/>
  <c r="F112" i="37" s="1"/>
  <c r="G112" i="37" s="1"/>
  <c r="H112" i="37" s="1"/>
  <c r="I112" i="37" s="1"/>
  <c r="J112" i="37" s="1"/>
  <c r="I110" i="37"/>
  <c r="J110" i="37" s="1"/>
  <c r="K110" i="37" s="1"/>
  <c r="L110" i="37" s="1"/>
  <c r="M110" i="37" s="1"/>
  <c r="N110" i="37" s="1"/>
  <c r="O110" i="37" s="1"/>
  <c r="P110" i="37" s="1"/>
  <c r="Q110" i="37" s="1"/>
  <c r="R110" i="37" s="1"/>
  <c r="S110" i="37" s="1"/>
  <c r="T110" i="37" s="1"/>
  <c r="U110" i="37" s="1"/>
  <c r="V110" i="37" s="1"/>
  <c r="W110" i="37" s="1"/>
  <c r="X110" i="37" s="1"/>
  <c r="Y110" i="37" s="1"/>
  <c r="Z110" i="37" s="1"/>
  <c r="AA110" i="37" s="1"/>
  <c r="AB110" i="37" s="1"/>
  <c r="AC110" i="37" s="1"/>
  <c r="AD110" i="37" s="1"/>
  <c r="AE110" i="37" s="1"/>
  <c r="AF110" i="37" s="1"/>
  <c r="B110" i="37" s="1"/>
  <c r="D110" i="37"/>
  <c r="E110" i="37" s="1"/>
  <c r="F110" i="37" s="1"/>
  <c r="G110" i="37" s="1"/>
  <c r="H110" i="37" s="1"/>
  <c r="D109" i="37"/>
  <c r="E109" i="37" s="1"/>
  <c r="F109" i="37" s="1"/>
  <c r="G109" i="37" s="1"/>
  <c r="H109" i="37" s="1"/>
  <c r="I109" i="37" s="1"/>
  <c r="J109" i="37" s="1"/>
  <c r="K109" i="37" s="1"/>
  <c r="L109" i="37" s="1"/>
  <c r="M109" i="37" s="1"/>
  <c r="N109" i="37" s="1"/>
  <c r="O109" i="37" s="1"/>
  <c r="P109" i="37" s="1"/>
  <c r="Q109" i="37" s="1"/>
  <c r="R109" i="37" s="1"/>
  <c r="S109" i="37" s="1"/>
  <c r="T109" i="37" s="1"/>
  <c r="U109" i="37" s="1"/>
  <c r="V109" i="37" s="1"/>
  <c r="W109" i="37" s="1"/>
  <c r="X109" i="37" s="1"/>
  <c r="Y109" i="37" s="1"/>
  <c r="Z109" i="37" s="1"/>
  <c r="AA109" i="37" s="1"/>
  <c r="AB109" i="37" s="1"/>
  <c r="AC109" i="37" s="1"/>
  <c r="AD109" i="37" s="1"/>
  <c r="AE109" i="37" s="1"/>
  <c r="AF109" i="37" s="1"/>
  <c r="B109" i="37" s="1"/>
  <c r="E107" i="37"/>
  <c r="F107" i="37" s="1"/>
  <c r="G107" i="37" s="1"/>
  <c r="H107" i="37" s="1"/>
  <c r="I107" i="37" s="1"/>
  <c r="J107" i="37" s="1"/>
  <c r="K107" i="37" s="1"/>
  <c r="L107" i="37" s="1"/>
  <c r="M107" i="37" s="1"/>
  <c r="N107" i="37" s="1"/>
  <c r="O107" i="37" s="1"/>
  <c r="P107" i="37" s="1"/>
  <c r="Q107" i="37" s="1"/>
  <c r="R107" i="37" s="1"/>
  <c r="S107" i="37" s="1"/>
  <c r="T107" i="37" s="1"/>
  <c r="U107" i="37" s="1"/>
  <c r="V107" i="37" s="1"/>
  <c r="W107" i="37" s="1"/>
  <c r="X107" i="37" s="1"/>
  <c r="Y107" i="37" s="1"/>
  <c r="Z107" i="37" s="1"/>
  <c r="AA107" i="37" s="1"/>
  <c r="AB107" i="37" s="1"/>
  <c r="AC107" i="37" s="1"/>
  <c r="AD107" i="37" s="1"/>
  <c r="AE107" i="37" s="1"/>
  <c r="AF107" i="37" s="1"/>
  <c r="B107" i="37" s="1"/>
  <c r="D107" i="37"/>
  <c r="D106" i="37"/>
  <c r="E106" i="37" s="1"/>
  <c r="F106" i="37" s="1"/>
  <c r="G106" i="37" s="1"/>
  <c r="H106" i="37" s="1"/>
  <c r="I106" i="37" s="1"/>
  <c r="J106" i="37" s="1"/>
  <c r="K106" i="37" s="1"/>
  <c r="L106" i="37" s="1"/>
  <c r="M106" i="37" s="1"/>
  <c r="N106" i="37" s="1"/>
  <c r="O106" i="37" s="1"/>
  <c r="P106" i="37" s="1"/>
  <c r="Q106" i="37" s="1"/>
  <c r="R106" i="37" s="1"/>
  <c r="S106" i="37" s="1"/>
  <c r="T106" i="37" s="1"/>
  <c r="U106" i="37" s="1"/>
  <c r="V106" i="37" s="1"/>
  <c r="W106" i="37" s="1"/>
  <c r="X106" i="37" s="1"/>
  <c r="Y106" i="37" s="1"/>
  <c r="Z106" i="37" s="1"/>
  <c r="AA106" i="37" s="1"/>
  <c r="AB106" i="37" s="1"/>
  <c r="AC106" i="37" s="1"/>
  <c r="AD106" i="37" s="1"/>
  <c r="AE106" i="37" s="1"/>
  <c r="AF106" i="37" s="1"/>
  <c r="B106" i="37" s="1"/>
  <c r="D105" i="37"/>
  <c r="E105" i="37" s="1"/>
  <c r="F105" i="37" s="1"/>
  <c r="G105" i="37" s="1"/>
  <c r="H105" i="37" s="1"/>
  <c r="I105" i="37" s="1"/>
  <c r="J105" i="37" s="1"/>
  <c r="K105" i="37" s="1"/>
  <c r="L105" i="37" s="1"/>
  <c r="M105" i="37" s="1"/>
  <c r="N105" i="37" s="1"/>
  <c r="O105" i="37" s="1"/>
  <c r="P105" i="37" s="1"/>
  <c r="Q105" i="37" s="1"/>
  <c r="R105" i="37" s="1"/>
  <c r="S105" i="37" s="1"/>
  <c r="T105" i="37" s="1"/>
  <c r="U105" i="37" s="1"/>
  <c r="V105" i="37" s="1"/>
  <c r="W105" i="37" s="1"/>
  <c r="X105" i="37" s="1"/>
  <c r="Y105" i="37" s="1"/>
  <c r="Z105" i="37" s="1"/>
  <c r="AA105" i="37" s="1"/>
  <c r="AB105" i="37" s="1"/>
  <c r="AC105" i="37" s="1"/>
  <c r="AD105" i="37" s="1"/>
  <c r="AE105" i="37" s="1"/>
  <c r="AF105" i="37" s="1"/>
  <c r="B105" i="37" s="1"/>
  <c r="D104" i="37"/>
  <c r="E104" i="37" s="1"/>
  <c r="F104" i="37" s="1"/>
  <c r="G104" i="37" s="1"/>
  <c r="H104" i="37" s="1"/>
  <c r="I104" i="37" s="1"/>
  <c r="J104" i="37" s="1"/>
  <c r="K104" i="37" s="1"/>
  <c r="L104" i="37" s="1"/>
  <c r="M104" i="37" s="1"/>
  <c r="N104" i="37" s="1"/>
  <c r="O104" i="37" s="1"/>
  <c r="P104" i="37" s="1"/>
  <c r="Q104" i="37" s="1"/>
  <c r="R104" i="37" s="1"/>
  <c r="S104" i="37" s="1"/>
  <c r="T104" i="37" s="1"/>
  <c r="U104" i="37" s="1"/>
  <c r="V104" i="37" s="1"/>
  <c r="W104" i="37" s="1"/>
  <c r="X104" i="37" s="1"/>
  <c r="Y104" i="37" s="1"/>
  <c r="Z104" i="37" s="1"/>
  <c r="AA104" i="37" s="1"/>
  <c r="AB104" i="37" s="1"/>
  <c r="AC104" i="37" s="1"/>
  <c r="AD104" i="37" s="1"/>
  <c r="AE104" i="37" s="1"/>
  <c r="AF104" i="37" s="1"/>
  <c r="B104" i="37" s="1"/>
  <c r="E103" i="37"/>
  <c r="F103" i="37" s="1"/>
  <c r="D103" i="37"/>
  <c r="D102" i="37"/>
  <c r="AH100" i="37"/>
  <c r="AI100" i="37" s="1"/>
  <c r="AH99" i="37"/>
  <c r="AI99" i="37" s="1"/>
  <c r="AH98" i="37"/>
  <c r="AI98" i="37" s="1"/>
  <c r="AH97" i="37"/>
  <c r="AI97" i="37" s="1"/>
  <c r="AH96" i="37"/>
  <c r="AI96" i="37" s="1"/>
  <c r="AH95" i="37"/>
  <c r="AI95" i="37" s="1"/>
  <c r="AH94" i="37"/>
  <c r="AI94" i="37" s="1"/>
  <c r="D93" i="37"/>
  <c r="C93" i="37"/>
  <c r="AI91" i="37"/>
  <c r="AH91" i="37"/>
  <c r="AI90" i="37"/>
  <c r="AH90" i="37"/>
  <c r="AI89" i="37"/>
  <c r="AH89" i="37"/>
  <c r="AI88" i="37"/>
  <c r="AH88" i="37"/>
  <c r="AI87" i="37"/>
  <c r="AH87" i="37"/>
  <c r="AI86" i="37"/>
  <c r="AH86" i="37"/>
  <c r="AI85" i="37"/>
  <c r="AH85" i="37"/>
  <c r="AI84" i="37"/>
  <c r="AH84" i="37"/>
  <c r="AG82" i="37"/>
  <c r="AI81" i="37"/>
  <c r="AH81" i="37"/>
  <c r="AF80" i="37"/>
  <c r="AE80" i="37"/>
  <c r="AD80" i="37"/>
  <c r="AC80" i="37"/>
  <c r="AB80" i="37"/>
  <c r="AA80" i="37"/>
  <c r="Z80" i="37"/>
  <c r="Y80" i="37"/>
  <c r="X80" i="37"/>
  <c r="W80" i="37"/>
  <c r="V80" i="37"/>
  <c r="U80" i="37"/>
  <c r="T80" i="37"/>
  <c r="S80" i="37"/>
  <c r="R80" i="37"/>
  <c r="Q80" i="37"/>
  <c r="P80" i="37"/>
  <c r="O80" i="37"/>
  <c r="N80" i="37"/>
  <c r="M80" i="37"/>
  <c r="L80" i="37"/>
  <c r="K80" i="37"/>
  <c r="J80" i="37"/>
  <c r="I80" i="37"/>
  <c r="H80" i="37"/>
  <c r="G80" i="37"/>
  <c r="F80" i="37"/>
  <c r="E80" i="37"/>
  <c r="D80" i="37"/>
  <c r="C80" i="37"/>
  <c r="B80" i="37"/>
  <c r="AF79" i="37"/>
  <c r="AE79" i="37"/>
  <c r="AD79" i="37"/>
  <c r="AC79" i="37"/>
  <c r="AB79" i="37"/>
  <c r="AA79" i="37"/>
  <c r="Z79" i="37"/>
  <c r="Y79" i="37"/>
  <c r="X79" i="37"/>
  <c r="W79" i="37"/>
  <c r="V79" i="37"/>
  <c r="U79" i="37"/>
  <c r="T79" i="37"/>
  <c r="S79" i="37"/>
  <c r="R79" i="37"/>
  <c r="Q79" i="37"/>
  <c r="P79" i="37"/>
  <c r="O79" i="37"/>
  <c r="N79" i="37"/>
  <c r="M79" i="37"/>
  <c r="L79" i="37"/>
  <c r="K79" i="37"/>
  <c r="J79" i="37"/>
  <c r="I79" i="37"/>
  <c r="H79" i="37"/>
  <c r="G79" i="37"/>
  <c r="F79" i="37"/>
  <c r="E79" i="37"/>
  <c r="D79" i="37"/>
  <c r="C79" i="37"/>
  <c r="B79" i="37"/>
  <c r="AF78" i="37"/>
  <c r="AE78" i="37"/>
  <c r="AD78" i="37"/>
  <c r="AC78" i="37"/>
  <c r="AB78" i="37"/>
  <c r="AA78" i="37"/>
  <c r="Z78" i="37"/>
  <c r="Y78" i="37"/>
  <c r="X78" i="37"/>
  <c r="W78" i="37"/>
  <c r="V78" i="37"/>
  <c r="U78" i="37"/>
  <c r="T78" i="37"/>
  <c r="S78" i="37"/>
  <c r="R78" i="37"/>
  <c r="Q78" i="37"/>
  <c r="P78" i="37"/>
  <c r="O78" i="37"/>
  <c r="N78" i="37"/>
  <c r="M78" i="37"/>
  <c r="L78" i="37"/>
  <c r="K78" i="37"/>
  <c r="J78" i="37"/>
  <c r="I78" i="37"/>
  <c r="H78" i="37"/>
  <c r="G78" i="37"/>
  <c r="F78" i="37"/>
  <c r="E78" i="37"/>
  <c r="D78" i="37"/>
  <c r="C78" i="37"/>
  <c r="B78" i="37"/>
  <c r="AF77" i="37"/>
  <c r="AE77" i="37"/>
  <c r="AD77" i="37"/>
  <c r="AC77" i="37"/>
  <c r="AB77" i="37"/>
  <c r="AA77" i="37"/>
  <c r="Z77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I82" i="37" s="1"/>
  <c r="H77" i="37"/>
  <c r="G77" i="37"/>
  <c r="F77" i="37"/>
  <c r="E77" i="37"/>
  <c r="D77" i="37"/>
  <c r="C77" i="37"/>
  <c r="B77" i="37"/>
  <c r="AF76" i="37"/>
  <c r="AE76" i="37"/>
  <c r="AD76" i="37"/>
  <c r="AD82" i="37" s="1"/>
  <c r="AC76" i="37"/>
  <c r="AB76" i="37"/>
  <c r="AA76" i="37"/>
  <c r="Z76" i="37"/>
  <c r="Y76" i="37"/>
  <c r="X76" i="37"/>
  <c r="X82" i="37" s="1"/>
  <c r="W76" i="37"/>
  <c r="V76" i="37"/>
  <c r="U76" i="37"/>
  <c r="T76" i="37"/>
  <c r="S76" i="37"/>
  <c r="R76" i="37"/>
  <c r="R82" i="37" s="1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AG75" i="37"/>
  <c r="AI74" i="37"/>
  <c r="AH74" i="37"/>
  <c r="AI72" i="37"/>
  <c r="AH72" i="37"/>
  <c r="AG72" i="37"/>
  <c r="AI71" i="37"/>
  <c r="AH71" i="37"/>
  <c r="AI70" i="37"/>
  <c r="AH70" i="37"/>
  <c r="AI69" i="37"/>
  <c r="AH69" i="37"/>
  <c r="AG68" i="37"/>
  <c r="AG73" i="37" s="1"/>
  <c r="AF68" i="37"/>
  <c r="AE68" i="37"/>
  <c r="AD5" i="37" s="1"/>
  <c r="AD68" i="37"/>
  <c r="AC5" i="37" s="1"/>
  <c r="AC68" i="37"/>
  <c r="AB5" i="37" s="1"/>
  <c r="AB68" i="37"/>
  <c r="AA5" i="37" s="1"/>
  <c r="AA68" i="37"/>
  <c r="Z5" i="37" s="1"/>
  <c r="Z68" i="37"/>
  <c r="Y5" i="37" s="1"/>
  <c r="Y68" i="37"/>
  <c r="X5" i="37" s="1"/>
  <c r="X68" i="37"/>
  <c r="W5" i="37" s="1"/>
  <c r="W68" i="37"/>
  <c r="V68" i="37"/>
  <c r="U5" i="37" s="1"/>
  <c r="U68" i="37"/>
  <c r="T5" i="37" s="1"/>
  <c r="T68" i="37"/>
  <c r="S68" i="37"/>
  <c r="R68" i="37"/>
  <c r="Q5" i="37" s="1"/>
  <c r="Q68" i="37"/>
  <c r="P68" i="37"/>
  <c r="O68" i="37"/>
  <c r="N5" i="37" s="1"/>
  <c r="N68" i="37"/>
  <c r="M5" i="37" s="1"/>
  <c r="M68" i="37"/>
  <c r="L5" i="37" s="1"/>
  <c r="L68" i="37"/>
  <c r="K5" i="37" s="1"/>
  <c r="K68" i="37"/>
  <c r="J5" i="37" s="1"/>
  <c r="J68" i="37"/>
  <c r="I5" i="37" s="1"/>
  <c r="I68" i="37"/>
  <c r="H68" i="37"/>
  <c r="G5" i="37" s="1"/>
  <c r="G68" i="37"/>
  <c r="F68" i="37"/>
  <c r="E68" i="37"/>
  <c r="D68" i="37"/>
  <c r="C5" i="37" s="1"/>
  <c r="C68" i="37"/>
  <c r="B5" i="37" s="1"/>
  <c r="B68" i="37"/>
  <c r="AF5" i="37" s="1"/>
  <c r="AI67" i="37"/>
  <c r="AH67" i="37"/>
  <c r="AI66" i="37"/>
  <c r="AH66" i="37"/>
  <c r="AI65" i="37"/>
  <c r="AH65" i="37"/>
  <c r="AI64" i="37"/>
  <c r="AH64" i="37"/>
  <c r="AI63" i="37"/>
  <c r="AH63" i="37"/>
  <c r="AI62" i="37"/>
  <c r="AH62" i="37"/>
  <c r="AI61" i="37"/>
  <c r="AH61" i="37"/>
  <c r="AI60" i="37"/>
  <c r="AH60" i="37"/>
  <c r="AI59" i="37"/>
  <c r="AH59" i="37"/>
  <c r="AI58" i="37"/>
  <c r="AH58" i="37"/>
  <c r="AI57" i="37"/>
  <c r="AH57" i="37"/>
  <c r="AG56" i="37"/>
  <c r="AG4" i="37" s="1"/>
  <c r="AF56" i="37"/>
  <c r="AE56" i="37"/>
  <c r="AD56" i="37"/>
  <c r="AC56" i="37"/>
  <c r="AB56" i="37"/>
  <c r="AA56" i="37"/>
  <c r="Z56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AI55" i="37"/>
  <c r="AH55" i="37"/>
  <c r="AI54" i="37"/>
  <c r="AH54" i="37"/>
  <c r="AI53" i="37"/>
  <c r="AH53" i="37"/>
  <c r="AG52" i="37"/>
  <c r="AF52" i="37"/>
  <c r="AE52" i="37"/>
  <c r="AD52" i="37"/>
  <c r="AC52" i="37"/>
  <c r="AB52" i="37"/>
  <c r="AA52" i="37"/>
  <c r="Z52" i="37"/>
  <c r="Y52" i="37"/>
  <c r="X52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AI51" i="37"/>
  <c r="AH51" i="37"/>
  <c r="AG51" i="37"/>
  <c r="AI50" i="37"/>
  <c r="AH50" i="37"/>
  <c r="AI49" i="37"/>
  <c r="AH49" i="37"/>
  <c r="AI48" i="37"/>
  <c r="AH48" i="37"/>
  <c r="AI47" i="37"/>
  <c r="AH47" i="37"/>
  <c r="AI46" i="37"/>
  <c r="AH46" i="37"/>
  <c r="AI45" i="37"/>
  <c r="AH45" i="37"/>
  <c r="AI44" i="37"/>
  <c r="AH44" i="37"/>
  <c r="AI43" i="37"/>
  <c r="AH43" i="37"/>
  <c r="AI42" i="37"/>
  <c r="AH42" i="37"/>
  <c r="AI41" i="37"/>
  <c r="AH41" i="37"/>
  <c r="AI40" i="37"/>
  <c r="AH40" i="37"/>
  <c r="AI39" i="37"/>
  <c r="AH39" i="37"/>
  <c r="AG38" i="37"/>
  <c r="AG2" i="37" s="1"/>
  <c r="AG6" i="37" s="1"/>
  <c r="AF38" i="37"/>
  <c r="AE38" i="37"/>
  <c r="AD38" i="37"/>
  <c r="AC38" i="37"/>
  <c r="AB38" i="37"/>
  <c r="AA38" i="37"/>
  <c r="AA73" i="37" s="1"/>
  <c r="AA75" i="37" s="1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C38" i="37"/>
  <c r="B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V5" i="37"/>
  <c r="F5" i="37"/>
  <c r="E5" i="37"/>
  <c r="D5" i="37"/>
  <c r="K4" i="37"/>
  <c r="B4" i="37"/>
  <c r="AG3" i="37"/>
  <c r="AF95" i="36"/>
  <c r="AF37" i="36"/>
  <c r="AE95" i="36"/>
  <c r="AE37" i="36"/>
  <c r="AD37" i="36"/>
  <c r="AD95" i="36"/>
  <c r="AC95" i="36"/>
  <c r="AC37" i="36"/>
  <c r="AB95" i="36"/>
  <c r="AB37" i="36"/>
  <c r="AA37" i="36"/>
  <c r="Z37" i="36"/>
  <c r="Y37" i="36"/>
  <c r="X37" i="36"/>
  <c r="W37" i="36"/>
  <c r="V37" i="36"/>
  <c r="T37" i="36"/>
  <c r="S37" i="36"/>
  <c r="R37" i="36"/>
  <c r="Q37" i="36"/>
  <c r="P37" i="36"/>
  <c r="O37" i="36"/>
  <c r="N37" i="36"/>
  <c r="M37" i="36"/>
  <c r="L94" i="36"/>
  <c r="L37" i="36"/>
  <c r="AI37" i="36" s="1"/>
  <c r="K94" i="36"/>
  <c r="K37" i="36"/>
  <c r="J94" i="36"/>
  <c r="J37" i="36"/>
  <c r="I94" i="36"/>
  <c r="I37" i="36"/>
  <c r="H37" i="36"/>
  <c r="G94" i="36"/>
  <c r="G37" i="36"/>
  <c r="F94" i="36"/>
  <c r="F37" i="36"/>
  <c r="E94" i="36"/>
  <c r="E37" i="36"/>
  <c r="D95" i="36"/>
  <c r="D94" i="36"/>
  <c r="D37" i="36"/>
  <c r="C95" i="36"/>
  <c r="C94" i="36"/>
  <c r="C37" i="36"/>
  <c r="B95" i="36"/>
  <c r="B94" i="36"/>
  <c r="B37" i="36"/>
  <c r="B93" i="36"/>
  <c r="B80" i="36"/>
  <c r="B79" i="36"/>
  <c r="B78" i="36"/>
  <c r="B77" i="36"/>
  <c r="B76" i="36"/>
  <c r="B82" i="36" s="1"/>
  <c r="B68" i="36"/>
  <c r="AF5" i="36" s="1"/>
  <c r="B56" i="36"/>
  <c r="B52" i="36"/>
  <c r="B38" i="36"/>
  <c r="AF239" i="36"/>
  <c r="AE239" i="36"/>
  <c r="AD239" i="36"/>
  <c r="AC239" i="36"/>
  <c r="AB239" i="36"/>
  <c r="AA239" i="36"/>
  <c r="Z239" i="36"/>
  <c r="Y239" i="36"/>
  <c r="X239" i="36"/>
  <c r="W239" i="36"/>
  <c r="V239" i="36"/>
  <c r="U239" i="36"/>
  <c r="T239" i="36"/>
  <c r="S239" i="36"/>
  <c r="R239" i="36"/>
  <c r="Q239" i="36"/>
  <c r="P239" i="36"/>
  <c r="O239" i="36"/>
  <c r="N239" i="36"/>
  <c r="M239" i="36"/>
  <c r="L239" i="36"/>
  <c r="K239" i="36"/>
  <c r="J239" i="36"/>
  <c r="I239" i="36"/>
  <c r="H239" i="36"/>
  <c r="G239" i="36"/>
  <c r="F239" i="36"/>
  <c r="E239" i="36"/>
  <c r="D239" i="36"/>
  <c r="C239" i="36"/>
  <c r="B239" i="36"/>
  <c r="A239" i="36"/>
  <c r="AF238" i="36"/>
  <c r="AE238" i="36"/>
  <c r="AD238" i="36"/>
  <c r="AC238" i="36"/>
  <c r="AB238" i="36"/>
  <c r="AA238" i="36"/>
  <c r="Z238" i="36"/>
  <c r="Y238" i="36"/>
  <c r="X238" i="36"/>
  <c r="W238" i="36"/>
  <c r="V238" i="36"/>
  <c r="U238" i="36"/>
  <c r="T238" i="36"/>
  <c r="S238" i="36"/>
  <c r="R238" i="36"/>
  <c r="Q238" i="36"/>
  <c r="P238" i="36"/>
  <c r="O238" i="36"/>
  <c r="N238" i="36"/>
  <c r="M238" i="36"/>
  <c r="L238" i="36"/>
  <c r="K238" i="36"/>
  <c r="J238" i="36"/>
  <c r="I238" i="36"/>
  <c r="H238" i="36"/>
  <c r="G238" i="36"/>
  <c r="F238" i="36"/>
  <c r="E238" i="36"/>
  <c r="D238" i="36"/>
  <c r="C238" i="36"/>
  <c r="B238" i="36"/>
  <c r="A238" i="36"/>
  <c r="AF237" i="36"/>
  <c r="AE237" i="36"/>
  <c r="AD237" i="36"/>
  <c r="AC237" i="36"/>
  <c r="AB237" i="36"/>
  <c r="AA237" i="36"/>
  <c r="Z237" i="36"/>
  <c r="Y237" i="36"/>
  <c r="X237" i="36"/>
  <c r="W237" i="36"/>
  <c r="V237" i="36"/>
  <c r="U237" i="36"/>
  <c r="T237" i="36"/>
  <c r="S237" i="36"/>
  <c r="R237" i="36"/>
  <c r="Q237" i="36"/>
  <c r="P237" i="36"/>
  <c r="O237" i="36"/>
  <c r="N237" i="36"/>
  <c r="M237" i="36"/>
  <c r="L237" i="36"/>
  <c r="K237" i="36"/>
  <c r="J237" i="36"/>
  <c r="I237" i="36"/>
  <c r="H237" i="36"/>
  <c r="G237" i="36"/>
  <c r="F237" i="36"/>
  <c r="E237" i="36"/>
  <c r="D237" i="36"/>
  <c r="C237" i="36"/>
  <c r="B237" i="36"/>
  <c r="A237" i="36"/>
  <c r="AF236" i="36"/>
  <c r="AE236" i="36"/>
  <c r="AD236" i="36"/>
  <c r="AC236" i="36"/>
  <c r="AB236" i="36"/>
  <c r="AA236" i="36"/>
  <c r="Z236" i="36"/>
  <c r="Y236" i="36"/>
  <c r="X236" i="36"/>
  <c r="W236" i="36"/>
  <c r="V236" i="36"/>
  <c r="U236" i="36"/>
  <c r="T236" i="36"/>
  <c r="S236" i="36"/>
  <c r="R236" i="36"/>
  <c r="Q236" i="36"/>
  <c r="P236" i="36"/>
  <c r="O236" i="36"/>
  <c r="N236" i="36"/>
  <c r="M236" i="36"/>
  <c r="L236" i="36"/>
  <c r="K236" i="36"/>
  <c r="J236" i="36"/>
  <c r="I236" i="36"/>
  <c r="H236" i="36"/>
  <c r="G236" i="36"/>
  <c r="F236" i="36"/>
  <c r="E236" i="36"/>
  <c r="D236" i="36"/>
  <c r="C236" i="36"/>
  <c r="B236" i="36"/>
  <c r="A236" i="36"/>
  <c r="C235" i="36"/>
  <c r="B235" i="36"/>
  <c r="S210" i="36"/>
  <c r="AG200" i="36"/>
  <c r="C200" i="36"/>
  <c r="D199" i="36"/>
  <c r="E199" i="36" s="1"/>
  <c r="D235" i="36" s="1"/>
  <c r="D198" i="36"/>
  <c r="E198" i="36" s="1"/>
  <c r="F198" i="36" s="1"/>
  <c r="G198" i="36" s="1"/>
  <c r="H198" i="36" s="1"/>
  <c r="I198" i="36" s="1"/>
  <c r="J198" i="36" s="1"/>
  <c r="K198" i="36" s="1"/>
  <c r="L198" i="36" s="1"/>
  <c r="M198" i="36" s="1"/>
  <c r="N198" i="36" s="1"/>
  <c r="O198" i="36" s="1"/>
  <c r="P198" i="36" s="1"/>
  <c r="Q198" i="36" s="1"/>
  <c r="R198" i="36" s="1"/>
  <c r="S198" i="36" s="1"/>
  <c r="T198" i="36" s="1"/>
  <c r="U198" i="36" s="1"/>
  <c r="V198" i="36" s="1"/>
  <c r="W198" i="36" s="1"/>
  <c r="X198" i="36" s="1"/>
  <c r="Y198" i="36" s="1"/>
  <c r="Z198" i="36" s="1"/>
  <c r="AA198" i="36" s="1"/>
  <c r="AB198" i="36" s="1"/>
  <c r="AC198" i="36" s="1"/>
  <c r="AD198" i="36" s="1"/>
  <c r="AE198" i="36" s="1"/>
  <c r="AF198" i="36" s="1"/>
  <c r="B198" i="36" s="1"/>
  <c r="D197" i="36"/>
  <c r="E197" i="36" s="1"/>
  <c r="F197" i="36" s="1"/>
  <c r="G197" i="36" s="1"/>
  <c r="H197" i="36" s="1"/>
  <c r="I197" i="36" s="1"/>
  <c r="J197" i="36" s="1"/>
  <c r="K197" i="36" s="1"/>
  <c r="L197" i="36" s="1"/>
  <c r="M197" i="36" s="1"/>
  <c r="N197" i="36" s="1"/>
  <c r="O197" i="36" s="1"/>
  <c r="P197" i="36" s="1"/>
  <c r="Q197" i="36" s="1"/>
  <c r="R197" i="36" s="1"/>
  <c r="S197" i="36" s="1"/>
  <c r="T197" i="36" s="1"/>
  <c r="U197" i="36" s="1"/>
  <c r="V197" i="36" s="1"/>
  <c r="W197" i="36" s="1"/>
  <c r="X197" i="36" s="1"/>
  <c r="Y197" i="36" s="1"/>
  <c r="Z197" i="36" s="1"/>
  <c r="AA197" i="36" s="1"/>
  <c r="AB197" i="36" s="1"/>
  <c r="AC197" i="36" s="1"/>
  <c r="AD197" i="36" s="1"/>
  <c r="AE197" i="36" s="1"/>
  <c r="AF197" i="36" s="1"/>
  <c r="B197" i="36" s="1"/>
  <c r="J196" i="36"/>
  <c r="K196" i="36" s="1"/>
  <c r="L196" i="36" s="1"/>
  <c r="M196" i="36" s="1"/>
  <c r="N196" i="36" s="1"/>
  <c r="O196" i="36" s="1"/>
  <c r="P196" i="36" s="1"/>
  <c r="Q196" i="36" s="1"/>
  <c r="R196" i="36" s="1"/>
  <c r="S196" i="36" s="1"/>
  <c r="T196" i="36" s="1"/>
  <c r="U196" i="36" s="1"/>
  <c r="V196" i="36" s="1"/>
  <c r="W196" i="36" s="1"/>
  <c r="X196" i="36" s="1"/>
  <c r="Y196" i="36" s="1"/>
  <c r="Z196" i="36" s="1"/>
  <c r="AA196" i="36" s="1"/>
  <c r="AB196" i="36" s="1"/>
  <c r="AC196" i="36" s="1"/>
  <c r="AD196" i="36" s="1"/>
  <c r="AE196" i="36" s="1"/>
  <c r="AF196" i="36" s="1"/>
  <c r="B196" i="36" s="1"/>
  <c r="E196" i="36"/>
  <c r="F196" i="36" s="1"/>
  <c r="G196" i="36" s="1"/>
  <c r="H196" i="36" s="1"/>
  <c r="I196" i="36" s="1"/>
  <c r="D196" i="36"/>
  <c r="K195" i="36"/>
  <c r="L195" i="36" s="1"/>
  <c r="M195" i="36" s="1"/>
  <c r="N195" i="36" s="1"/>
  <c r="O195" i="36" s="1"/>
  <c r="P195" i="36" s="1"/>
  <c r="Q195" i="36" s="1"/>
  <c r="R195" i="36" s="1"/>
  <c r="S195" i="36" s="1"/>
  <c r="T195" i="36" s="1"/>
  <c r="U195" i="36" s="1"/>
  <c r="V195" i="36" s="1"/>
  <c r="W195" i="36" s="1"/>
  <c r="X195" i="36" s="1"/>
  <c r="Y195" i="36" s="1"/>
  <c r="Z195" i="36" s="1"/>
  <c r="AA195" i="36" s="1"/>
  <c r="AB195" i="36" s="1"/>
  <c r="AC195" i="36" s="1"/>
  <c r="AD195" i="36" s="1"/>
  <c r="AE195" i="36" s="1"/>
  <c r="AF195" i="36" s="1"/>
  <c r="B195" i="36" s="1"/>
  <c r="D195" i="36"/>
  <c r="E195" i="36" s="1"/>
  <c r="F195" i="36" s="1"/>
  <c r="G195" i="36" s="1"/>
  <c r="H195" i="36" s="1"/>
  <c r="I195" i="36" s="1"/>
  <c r="J195" i="36" s="1"/>
  <c r="E194" i="36"/>
  <c r="D194" i="36"/>
  <c r="D200" i="36" s="1"/>
  <c r="AG192" i="36"/>
  <c r="C192" i="36"/>
  <c r="G191" i="36"/>
  <c r="H191" i="36" s="1"/>
  <c r="I191" i="36" s="1"/>
  <c r="J191" i="36" s="1"/>
  <c r="K191" i="36" s="1"/>
  <c r="L191" i="36" s="1"/>
  <c r="M191" i="36" s="1"/>
  <c r="N191" i="36" s="1"/>
  <c r="O191" i="36" s="1"/>
  <c r="P191" i="36" s="1"/>
  <c r="Q191" i="36" s="1"/>
  <c r="R191" i="36" s="1"/>
  <c r="S191" i="36" s="1"/>
  <c r="T191" i="36" s="1"/>
  <c r="U191" i="36" s="1"/>
  <c r="V191" i="36" s="1"/>
  <c r="W191" i="36" s="1"/>
  <c r="X191" i="36" s="1"/>
  <c r="Y191" i="36" s="1"/>
  <c r="Z191" i="36" s="1"/>
  <c r="AA191" i="36" s="1"/>
  <c r="AB191" i="36" s="1"/>
  <c r="AC191" i="36" s="1"/>
  <c r="AD191" i="36" s="1"/>
  <c r="AE191" i="36" s="1"/>
  <c r="AF191" i="36" s="1"/>
  <c r="B191" i="36" s="1"/>
  <c r="D191" i="36"/>
  <c r="E191" i="36" s="1"/>
  <c r="F191" i="36" s="1"/>
  <c r="E190" i="36"/>
  <c r="F190" i="36" s="1"/>
  <c r="G190" i="36" s="1"/>
  <c r="H190" i="36" s="1"/>
  <c r="I190" i="36" s="1"/>
  <c r="J190" i="36" s="1"/>
  <c r="K190" i="36" s="1"/>
  <c r="L190" i="36" s="1"/>
  <c r="M190" i="36" s="1"/>
  <c r="N190" i="36" s="1"/>
  <c r="O190" i="36" s="1"/>
  <c r="P190" i="36" s="1"/>
  <c r="Q190" i="36" s="1"/>
  <c r="R190" i="36" s="1"/>
  <c r="S190" i="36" s="1"/>
  <c r="T190" i="36" s="1"/>
  <c r="U190" i="36" s="1"/>
  <c r="V190" i="36" s="1"/>
  <c r="W190" i="36" s="1"/>
  <c r="X190" i="36" s="1"/>
  <c r="Y190" i="36" s="1"/>
  <c r="Z190" i="36" s="1"/>
  <c r="AA190" i="36" s="1"/>
  <c r="AB190" i="36" s="1"/>
  <c r="AC190" i="36" s="1"/>
  <c r="AD190" i="36" s="1"/>
  <c r="AE190" i="36" s="1"/>
  <c r="AF190" i="36" s="1"/>
  <c r="B190" i="36" s="1"/>
  <c r="D190" i="36"/>
  <c r="G189" i="36"/>
  <c r="H189" i="36" s="1"/>
  <c r="I189" i="36" s="1"/>
  <c r="J189" i="36" s="1"/>
  <c r="K189" i="36" s="1"/>
  <c r="L189" i="36" s="1"/>
  <c r="M189" i="36" s="1"/>
  <c r="N189" i="36" s="1"/>
  <c r="O189" i="36" s="1"/>
  <c r="P189" i="36" s="1"/>
  <c r="Q189" i="36" s="1"/>
  <c r="R189" i="36" s="1"/>
  <c r="S189" i="36" s="1"/>
  <c r="T189" i="36" s="1"/>
  <c r="U189" i="36" s="1"/>
  <c r="V189" i="36" s="1"/>
  <c r="W189" i="36" s="1"/>
  <c r="X189" i="36" s="1"/>
  <c r="Y189" i="36" s="1"/>
  <c r="Z189" i="36" s="1"/>
  <c r="AA189" i="36" s="1"/>
  <c r="AB189" i="36" s="1"/>
  <c r="AC189" i="36" s="1"/>
  <c r="AD189" i="36" s="1"/>
  <c r="AE189" i="36" s="1"/>
  <c r="AF189" i="36" s="1"/>
  <c r="B189" i="36" s="1"/>
  <c r="D189" i="36"/>
  <c r="E189" i="36" s="1"/>
  <c r="F189" i="36" s="1"/>
  <c r="E188" i="36"/>
  <c r="F188" i="36" s="1"/>
  <c r="G188" i="36" s="1"/>
  <c r="H188" i="36" s="1"/>
  <c r="I188" i="36" s="1"/>
  <c r="J188" i="36" s="1"/>
  <c r="K188" i="36" s="1"/>
  <c r="L188" i="36" s="1"/>
  <c r="M188" i="36" s="1"/>
  <c r="N188" i="36" s="1"/>
  <c r="O188" i="36" s="1"/>
  <c r="P188" i="36" s="1"/>
  <c r="Q188" i="36" s="1"/>
  <c r="R188" i="36" s="1"/>
  <c r="S188" i="36" s="1"/>
  <c r="T188" i="36" s="1"/>
  <c r="U188" i="36" s="1"/>
  <c r="V188" i="36" s="1"/>
  <c r="W188" i="36" s="1"/>
  <c r="X188" i="36" s="1"/>
  <c r="Y188" i="36" s="1"/>
  <c r="Z188" i="36" s="1"/>
  <c r="AA188" i="36" s="1"/>
  <c r="AB188" i="36" s="1"/>
  <c r="AC188" i="36" s="1"/>
  <c r="AD188" i="36" s="1"/>
  <c r="AE188" i="36" s="1"/>
  <c r="AF188" i="36" s="1"/>
  <c r="B188" i="36" s="1"/>
  <c r="D188" i="36"/>
  <c r="L187" i="36"/>
  <c r="M187" i="36" s="1"/>
  <c r="N187" i="36" s="1"/>
  <c r="O187" i="36" s="1"/>
  <c r="P187" i="36" s="1"/>
  <c r="Q187" i="36" s="1"/>
  <c r="R187" i="36" s="1"/>
  <c r="S187" i="36" s="1"/>
  <c r="T187" i="36" s="1"/>
  <c r="U187" i="36" s="1"/>
  <c r="V187" i="36" s="1"/>
  <c r="W187" i="36" s="1"/>
  <c r="X187" i="36" s="1"/>
  <c r="Y187" i="36" s="1"/>
  <c r="Z187" i="36" s="1"/>
  <c r="AA187" i="36" s="1"/>
  <c r="AB187" i="36" s="1"/>
  <c r="AC187" i="36" s="1"/>
  <c r="AD187" i="36" s="1"/>
  <c r="AE187" i="36" s="1"/>
  <c r="AF187" i="36" s="1"/>
  <c r="B187" i="36" s="1"/>
  <c r="G187" i="36"/>
  <c r="H187" i="36" s="1"/>
  <c r="I187" i="36" s="1"/>
  <c r="J187" i="36" s="1"/>
  <c r="K187" i="36" s="1"/>
  <c r="F187" i="36"/>
  <c r="D187" i="36"/>
  <c r="E187" i="36" s="1"/>
  <c r="O186" i="36"/>
  <c r="P186" i="36" s="1"/>
  <c r="Q186" i="36" s="1"/>
  <c r="R186" i="36" s="1"/>
  <c r="S186" i="36" s="1"/>
  <c r="T186" i="36" s="1"/>
  <c r="U186" i="36" s="1"/>
  <c r="V186" i="36" s="1"/>
  <c r="W186" i="36" s="1"/>
  <c r="X186" i="36" s="1"/>
  <c r="Y186" i="36" s="1"/>
  <c r="Z186" i="36" s="1"/>
  <c r="AA186" i="36" s="1"/>
  <c r="AB186" i="36" s="1"/>
  <c r="AC186" i="36" s="1"/>
  <c r="AD186" i="36" s="1"/>
  <c r="AE186" i="36" s="1"/>
  <c r="AF186" i="36" s="1"/>
  <c r="B186" i="36" s="1"/>
  <c r="F186" i="36"/>
  <c r="G186" i="36" s="1"/>
  <c r="H186" i="36" s="1"/>
  <c r="I186" i="36" s="1"/>
  <c r="J186" i="36" s="1"/>
  <c r="K186" i="36" s="1"/>
  <c r="L186" i="36" s="1"/>
  <c r="M186" i="36" s="1"/>
  <c r="N186" i="36" s="1"/>
  <c r="E186" i="36"/>
  <c r="D186" i="36"/>
  <c r="K185" i="36"/>
  <c r="L185" i="36" s="1"/>
  <c r="M185" i="36" s="1"/>
  <c r="N185" i="36" s="1"/>
  <c r="O185" i="36" s="1"/>
  <c r="P185" i="36" s="1"/>
  <c r="Q185" i="36" s="1"/>
  <c r="R185" i="36" s="1"/>
  <c r="S185" i="36" s="1"/>
  <c r="T185" i="36" s="1"/>
  <c r="U185" i="36" s="1"/>
  <c r="V185" i="36" s="1"/>
  <c r="W185" i="36" s="1"/>
  <c r="X185" i="36" s="1"/>
  <c r="Y185" i="36" s="1"/>
  <c r="Z185" i="36" s="1"/>
  <c r="AA185" i="36" s="1"/>
  <c r="AB185" i="36" s="1"/>
  <c r="AC185" i="36" s="1"/>
  <c r="AD185" i="36" s="1"/>
  <c r="AE185" i="36" s="1"/>
  <c r="AF185" i="36" s="1"/>
  <c r="B185" i="36" s="1"/>
  <c r="D185" i="36"/>
  <c r="E185" i="36" s="1"/>
  <c r="F185" i="36" s="1"/>
  <c r="G185" i="36" s="1"/>
  <c r="H185" i="36" s="1"/>
  <c r="I185" i="36" s="1"/>
  <c r="J185" i="36" s="1"/>
  <c r="D184" i="36"/>
  <c r="E184" i="36" s="1"/>
  <c r="F184" i="36" s="1"/>
  <c r="G184" i="36" s="1"/>
  <c r="H184" i="36" s="1"/>
  <c r="I184" i="36" s="1"/>
  <c r="J184" i="36" s="1"/>
  <c r="K184" i="36" s="1"/>
  <c r="L184" i="36" s="1"/>
  <c r="M184" i="36" s="1"/>
  <c r="N184" i="36" s="1"/>
  <c r="O184" i="36" s="1"/>
  <c r="P184" i="36" s="1"/>
  <c r="Q184" i="36" s="1"/>
  <c r="R184" i="36" s="1"/>
  <c r="S184" i="36" s="1"/>
  <c r="T184" i="36" s="1"/>
  <c r="U184" i="36" s="1"/>
  <c r="V184" i="36" s="1"/>
  <c r="W184" i="36" s="1"/>
  <c r="X184" i="36" s="1"/>
  <c r="Y184" i="36" s="1"/>
  <c r="Z184" i="36" s="1"/>
  <c r="AA184" i="36" s="1"/>
  <c r="AB184" i="36" s="1"/>
  <c r="AC184" i="36" s="1"/>
  <c r="AD184" i="36" s="1"/>
  <c r="AE184" i="36" s="1"/>
  <c r="AF184" i="36" s="1"/>
  <c r="B184" i="36" s="1"/>
  <c r="D183" i="36"/>
  <c r="E183" i="36" s="1"/>
  <c r="F183" i="36" s="1"/>
  <c r="G183" i="36" s="1"/>
  <c r="H183" i="36" s="1"/>
  <c r="I183" i="36" s="1"/>
  <c r="J183" i="36" s="1"/>
  <c r="K183" i="36" s="1"/>
  <c r="L183" i="36" s="1"/>
  <c r="M183" i="36" s="1"/>
  <c r="N183" i="36" s="1"/>
  <c r="O183" i="36" s="1"/>
  <c r="P183" i="36" s="1"/>
  <c r="Q183" i="36" s="1"/>
  <c r="R183" i="36" s="1"/>
  <c r="S183" i="36" s="1"/>
  <c r="T183" i="36" s="1"/>
  <c r="U183" i="36" s="1"/>
  <c r="V183" i="36" s="1"/>
  <c r="W183" i="36" s="1"/>
  <c r="X183" i="36" s="1"/>
  <c r="Y183" i="36" s="1"/>
  <c r="Z183" i="36" s="1"/>
  <c r="AA183" i="36" s="1"/>
  <c r="AB183" i="36" s="1"/>
  <c r="AC183" i="36" s="1"/>
  <c r="AD183" i="36" s="1"/>
  <c r="AE183" i="36" s="1"/>
  <c r="AF183" i="36" s="1"/>
  <c r="B183" i="36" s="1"/>
  <c r="D182" i="36"/>
  <c r="E182" i="36" s="1"/>
  <c r="F182" i="36" s="1"/>
  <c r="G182" i="36" s="1"/>
  <c r="H182" i="36" s="1"/>
  <c r="I182" i="36" s="1"/>
  <c r="J182" i="36" s="1"/>
  <c r="K182" i="36" s="1"/>
  <c r="L182" i="36" s="1"/>
  <c r="M182" i="36" s="1"/>
  <c r="N182" i="36" s="1"/>
  <c r="O182" i="36" s="1"/>
  <c r="P182" i="36" s="1"/>
  <c r="Q182" i="36" s="1"/>
  <c r="R182" i="36" s="1"/>
  <c r="S182" i="36" s="1"/>
  <c r="T182" i="36" s="1"/>
  <c r="U182" i="36" s="1"/>
  <c r="V182" i="36" s="1"/>
  <c r="W182" i="36" s="1"/>
  <c r="X182" i="36" s="1"/>
  <c r="Y182" i="36" s="1"/>
  <c r="Z182" i="36" s="1"/>
  <c r="AA182" i="36" s="1"/>
  <c r="AB182" i="36" s="1"/>
  <c r="AC182" i="36" s="1"/>
  <c r="AD182" i="36" s="1"/>
  <c r="AE182" i="36" s="1"/>
  <c r="AF182" i="36" s="1"/>
  <c r="B182" i="36" s="1"/>
  <c r="AD181" i="36"/>
  <c r="AE181" i="36" s="1"/>
  <c r="AF181" i="36" s="1"/>
  <c r="B181" i="36" s="1"/>
  <c r="D181" i="36"/>
  <c r="E181" i="36" s="1"/>
  <c r="F181" i="36" s="1"/>
  <c r="G181" i="36" s="1"/>
  <c r="H181" i="36" s="1"/>
  <c r="I181" i="36" s="1"/>
  <c r="J181" i="36" s="1"/>
  <c r="K181" i="36" s="1"/>
  <c r="L181" i="36" s="1"/>
  <c r="M181" i="36" s="1"/>
  <c r="N181" i="36" s="1"/>
  <c r="O181" i="36" s="1"/>
  <c r="P181" i="36" s="1"/>
  <c r="Q181" i="36" s="1"/>
  <c r="R181" i="36" s="1"/>
  <c r="S181" i="36" s="1"/>
  <c r="T181" i="36" s="1"/>
  <c r="U181" i="36" s="1"/>
  <c r="V181" i="36" s="1"/>
  <c r="W181" i="36" s="1"/>
  <c r="X181" i="36" s="1"/>
  <c r="Y181" i="36" s="1"/>
  <c r="Z181" i="36" s="1"/>
  <c r="AA181" i="36" s="1"/>
  <c r="AB181" i="36" s="1"/>
  <c r="AC181" i="36" s="1"/>
  <c r="P180" i="36"/>
  <c r="Q180" i="36" s="1"/>
  <c r="R180" i="36" s="1"/>
  <c r="S180" i="36" s="1"/>
  <c r="T180" i="36" s="1"/>
  <c r="U180" i="36" s="1"/>
  <c r="V180" i="36" s="1"/>
  <c r="W180" i="36" s="1"/>
  <c r="X180" i="36" s="1"/>
  <c r="Y180" i="36" s="1"/>
  <c r="Z180" i="36" s="1"/>
  <c r="AA180" i="36" s="1"/>
  <c r="AB180" i="36" s="1"/>
  <c r="AC180" i="36" s="1"/>
  <c r="AD180" i="36" s="1"/>
  <c r="AE180" i="36" s="1"/>
  <c r="AF180" i="36" s="1"/>
  <c r="B180" i="36" s="1"/>
  <c r="E180" i="36"/>
  <c r="F180" i="36" s="1"/>
  <c r="G180" i="36" s="1"/>
  <c r="H180" i="36" s="1"/>
  <c r="I180" i="36" s="1"/>
  <c r="J180" i="36" s="1"/>
  <c r="K180" i="36" s="1"/>
  <c r="L180" i="36" s="1"/>
  <c r="M180" i="36" s="1"/>
  <c r="N180" i="36" s="1"/>
  <c r="O180" i="36" s="1"/>
  <c r="D180" i="36"/>
  <c r="AB179" i="36"/>
  <c r="AC179" i="36" s="1"/>
  <c r="AD179" i="36" s="1"/>
  <c r="AE179" i="36" s="1"/>
  <c r="AF179" i="36" s="1"/>
  <c r="B179" i="36" s="1"/>
  <c r="D179" i="36"/>
  <c r="E179" i="36" s="1"/>
  <c r="F179" i="36" s="1"/>
  <c r="G179" i="36" s="1"/>
  <c r="H179" i="36" s="1"/>
  <c r="I179" i="36" s="1"/>
  <c r="J179" i="36" s="1"/>
  <c r="K179" i="36" s="1"/>
  <c r="L179" i="36" s="1"/>
  <c r="M179" i="36" s="1"/>
  <c r="N179" i="36" s="1"/>
  <c r="O179" i="36" s="1"/>
  <c r="P179" i="36" s="1"/>
  <c r="Q179" i="36" s="1"/>
  <c r="R179" i="36" s="1"/>
  <c r="S179" i="36" s="1"/>
  <c r="T179" i="36" s="1"/>
  <c r="U179" i="36" s="1"/>
  <c r="V179" i="36" s="1"/>
  <c r="W179" i="36" s="1"/>
  <c r="X179" i="36" s="1"/>
  <c r="Y179" i="36" s="1"/>
  <c r="Z179" i="36" s="1"/>
  <c r="AA179" i="36" s="1"/>
  <c r="D177" i="36"/>
  <c r="E177" i="36" s="1"/>
  <c r="F177" i="36" s="1"/>
  <c r="G177" i="36" s="1"/>
  <c r="H177" i="36" s="1"/>
  <c r="I177" i="36" s="1"/>
  <c r="J177" i="36" s="1"/>
  <c r="K177" i="36" s="1"/>
  <c r="L177" i="36" s="1"/>
  <c r="M177" i="36" s="1"/>
  <c r="N177" i="36" s="1"/>
  <c r="O177" i="36" s="1"/>
  <c r="P177" i="36" s="1"/>
  <c r="Q177" i="36" s="1"/>
  <c r="R177" i="36" s="1"/>
  <c r="S177" i="36" s="1"/>
  <c r="T177" i="36" s="1"/>
  <c r="U177" i="36" s="1"/>
  <c r="V177" i="36" s="1"/>
  <c r="W177" i="36" s="1"/>
  <c r="X177" i="36" s="1"/>
  <c r="Y177" i="36" s="1"/>
  <c r="Z177" i="36" s="1"/>
  <c r="AA177" i="36" s="1"/>
  <c r="AB177" i="36" s="1"/>
  <c r="AC177" i="36" s="1"/>
  <c r="AD177" i="36" s="1"/>
  <c r="AE177" i="36" s="1"/>
  <c r="AF177" i="36" s="1"/>
  <c r="B177" i="36" s="1"/>
  <c r="P176" i="36"/>
  <c r="Q176" i="36" s="1"/>
  <c r="R176" i="36" s="1"/>
  <c r="S176" i="36" s="1"/>
  <c r="T176" i="36" s="1"/>
  <c r="U176" i="36" s="1"/>
  <c r="V176" i="36" s="1"/>
  <c r="W176" i="36" s="1"/>
  <c r="X176" i="36" s="1"/>
  <c r="Y176" i="36" s="1"/>
  <c r="Z176" i="36" s="1"/>
  <c r="AA176" i="36" s="1"/>
  <c r="AB176" i="36" s="1"/>
  <c r="AC176" i="36" s="1"/>
  <c r="AD176" i="36" s="1"/>
  <c r="AE176" i="36" s="1"/>
  <c r="AF176" i="36" s="1"/>
  <c r="B176" i="36" s="1"/>
  <c r="D176" i="36"/>
  <c r="E176" i="36" s="1"/>
  <c r="F176" i="36" s="1"/>
  <c r="G176" i="36" s="1"/>
  <c r="H176" i="36" s="1"/>
  <c r="I176" i="36" s="1"/>
  <c r="J176" i="36" s="1"/>
  <c r="K176" i="36" s="1"/>
  <c r="L176" i="36" s="1"/>
  <c r="M176" i="36" s="1"/>
  <c r="N176" i="36" s="1"/>
  <c r="O176" i="36" s="1"/>
  <c r="D175" i="36"/>
  <c r="E175" i="36" s="1"/>
  <c r="F175" i="36" s="1"/>
  <c r="G175" i="36" s="1"/>
  <c r="H175" i="36" s="1"/>
  <c r="I175" i="36" s="1"/>
  <c r="J175" i="36" s="1"/>
  <c r="K175" i="36" s="1"/>
  <c r="L175" i="36" s="1"/>
  <c r="M175" i="36" s="1"/>
  <c r="N175" i="36" s="1"/>
  <c r="O175" i="36" s="1"/>
  <c r="P175" i="36" s="1"/>
  <c r="Q175" i="36" s="1"/>
  <c r="R175" i="36" s="1"/>
  <c r="S175" i="36" s="1"/>
  <c r="T175" i="36" s="1"/>
  <c r="U175" i="36" s="1"/>
  <c r="V175" i="36" s="1"/>
  <c r="W175" i="36" s="1"/>
  <c r="X175" i="36" s="1"/>
  <c r="Y175" i="36" s="1"/>
  <c r="Z175" i="36" s="1"/>
  <c r="AA175" i="36" s="1"/>
  <c r="AB175" i="36" s="1"/>
  <c r="AC175" i="36" s="1"/>
  <c r="AD175" i="36" s="1"/>
  <c r="AE175" i="36" s="1"/>
  <c r="AF175" i="36" s="1"/>
  <c r="B175" i="36" s="1"/>
  <c r="F174" i="36"/>
  <c r="G174" i="36" s="1"/>
  <c r="H174" i="36" s="1"/>
  <c r="I174" i="36" s="1"/>
  <c r="J174" i="36" s="1"/>
  <c r="K174" i="36" s="1"/>
  <c r="L174" i="36" s="1"/>
  <c r="M174" i="36" s="1"/>
  <c r="N174" i="36" s="1"/>
  <c r="O174" i="36" s="1"/>
  <c r="P174" i="36" s="1"/>
  <c r="Q174" i="36" s="1"/>
  <c r="R174" i="36" s="1"/>
  <c r="S174" i="36" s="1"/>
  <c r="T174" i="36" s="1"/>
  <c r="U174" i="36" s="1"/>
  <c r="V174" i="36" s="1"/>
  <c r="W174" i="36" s="1"/>
  <c r="X174" i="36" s="1"/>
  <c r="Y174" i="36" s="1"/>
  <c r="Z174" i="36" s="1"/>
  <c r="AA174" i="36" s="1"/>
  <c r="AB174" i="36" s="1"/>
  <c r="AC174" i="36" s="1"/>
  <c r="AD174" i="36" s="1"/>
  <c r="AE174" i="36" s="1"/>
  <c r="AF174" i="36" s="1"/>
  <c r="B174" i="36" s="1"/>
  <c r="D174" i="36"/>
  <c r="E174" i="36" s="1"/>
  <c r="D173" i="36"/>
  <c r="E173" i="36" s="1"/>
  <c r="F173" i="36" s="1"/>
  <c r="G173" i="36" s="1"/>
  <c r="H173" i="36" s="1"/>
  <c r="I173" i="36" s="1"/>
  <c r="J173" i="36" s="1"/>
  <c r="K173" i="36" s="1"/>
  <c r="L173" i="36" s="1"/>
  <c r="M173" i="36" s="1"/>
  <c r="N173" i="36" s="1"/>
  <c r="O173" i="36" s="1"/>
  <c r="P173" i="36" s="1"/>
  <c r="Q173" i="36" s="1"/>
  <c r="R173" i="36" s="1"/>
  <c r="S173" i="36" s="1"/>
  <c r="T173" i="36" s="1"/>
  <c r="U173" i="36" s="1"/>
  <c r="V173" i="36" s="1"/>
  <c r="W173" i="36" s="1"/>
  <c r="X173" i="36" s="1"/>
  <c r="Y173" i="36" s="1"/>
  <c r="Z173" i="36" s="1"/>
  <c r="AA173" i="36" s="1"/>
  <c r="AB173" i="36" s="1"/>
  <c r="AC173" i="36" s="1"/>
  <c r="AD173" i="36" s="1"/>
  <c r="AE173" i="36" s="1"/>
  <c r="AF173" i="36" s="1"/>
  <c r="B173" i="36" s="1"/>
  <c r="D172" i="36"/>
  <c r="E172" i="36" s="1"/>
  <c r="F172" i="36" s="1"/>
  <c r="G172" i="36" s="1"/>
  <c r="H172" i="36" s="1"/>
  <c r="I172" i="36" s="1"/>
  <c r="J172" i="36" s="1"/>
  <c r="K172" i="36" s="1"/>
  <c r="L172" i="36" s="1"/>
  <c r="M172" i="36" s="1"/>
  <c r="N172" i="36" s="1"/>
  <c r="O172" i="36" s="1"/>
  <c r="P172" i="36" s="1"/>
  <c r="Q172" i="36" s="1"/>
  <c r="R172" i="36" s="1"/>
  <c r="S172" i="36" s="1"/>
  <c r="T172" i="36" s="1"/>
  <c r="U172" i="36" s="1"/>
  <c r="V172" i="36" s="1"/>
  <c r="W172" i="36" s="1"/>
  <c r="X172" i="36" s="1"/>
  <c r="Y172" i="36" s="1"/>
  <c r="Z172" i="36" s="1"/>
  <c r="AA172" i="36" s="1"/>
  <c r="AB172" i="36" s="1"/>
  <c r="AC172" i="36" s="1"/>
  <c r="AD172" i="36" s="1"/>
  <c r="AE172" i="36" s="1"/>
  <c r="AF172" i="36" s="1"/>
  <c r="B172" i="36" s="1"/>
  <c r="U171" i="36"/>
  <c r="V171" i="36" s="1"/>
  <c r="W171" i="36" s="1"/>
  <c r="X171" i="36" s="1"/>
  <c r="Y171" i="36" s="1"/>
  <c r="Z171" i="36" s="1"/>
  <c r="AA171" i="36" s="1"/>
  <c r="AB171" i="36" s="1"/>
  <c r="AC171" i="36" s="1"/>
  <c r="AD171" i="36" s="1"/>
  <c r="AE171" i="36" s="1"/>
  <c r="AF171" i="36" s="1"/>
  <c r="B171" i="36" s="1"/>
  <c r="E171" i="36"/>
  <c r="F171" i="36" s="1"/>
  <c r="G171" i="36" s="1"/>
  <c r="H171" i="36" s="1"/>
  <c r="I171" i="36" s="1"/>
  <c r="J171" i="36" s="1"/>
  <c r="K171" i="36" s="1"/>
  <c r="L171" i="36" s="1"/>
  <c r="M171" i="36" s="1"/>
  <c r="N171" i="36" s="1"/>
  <c r="O171" i="36" s="1"/>
  <c r="P171" i="36" s="1"/>
  <c r="Q171" i="36" s="1"/>
  <c r="R171" i="36" s="1"/>
  <c r="S171" i="36" s="1"/>
  <c r="T171" i="36" s="1"/>
  <c r="D171" i="36"/>
  <c r="D170" i="36"/>
  <c r="E170" i="36" s="1"/>
  <c r="F170" i="36" s="1"/>
  <c r="G170" i="36" s="1"/>
  <c r="H170" i="36" s="1"/>
  <c r="I170" i="36" s="1"/>
  <c r="J170" i="36" s="1"/>
  <c r="K170" i="36" s="1"/>
  <c r="L170" i="36" s="1"/>
  <c r="M170" i="36" s="1"/>
  <c r="N170" i="36" s="1"/>
  <c r="O170" i="36" s="1"/>
  <c r="P170" i="36" s="1"/>
  <c r="Q170" i="36" s="1"/>
  <c r="R170" i="36" s="1"/>
  <c r="S170" i="36" s="1"/>
  <c r="T170" i="36" s="1"/>
  <c r="U170" i="36" s="1"/>
  <c r="V170" i="36" s="1"/>
  <c r="W170" i="36" s="1"/>
  <c r="X170" i="36" s="1"/>
  <c r="Y170" i="36" s="1"/>
  <c r="Z170" i="36" s="1"/>
  <c r="AA170" i="36" s="1"/>
  <c r="AB170" i="36" s="1"/>
  <c r="AC170" i="36" s="1"/>
  <c r="AD170" i="36" s="1"/>
  <c r="AE170" i="36" s="1"/>
  <c r="AF170" i="36" s="1"/>
  <c r="B170" i="36" s="1"/>
  <c r="I168" i="36"/>
  <c r="J168" i="36" s="1"/>
  <c r="K168" i="36" s="1"/>
  <c r="L168" i="36" s="1"/>
  <c r="M168" i="36" s="1"/>
  <c r="N168" i="36" s="1"/>
  <c r="O168" i="36" s="1"/>
  <c r="P168" i="36" s="1"/>
  <c r="Q168" i="36" s="1"/>
  <c r="R168" i="36" s="1"/>
  <c r="S168" i="36" s="1"/>
  <c r="T168" i="36" s="1"/>
  <c r="U168" i="36" s="1"/>
  <c r="V168" i="36" s="1"/>
  <c r="W168" i="36" s="1"/>
  <c r="X168" i="36" s="1"/>
  <c r="Y168" i="36" s="1"/>
  <c r="Z168" i="36" s="1"/>
  <c r="AA168" i="36" s="1"/>
  <c r="AB168" i="36" s="1"/>
  <c r="AC168" i="36" s="1"/>
  <c r="AD168" i="36" s="1"/>
  <c r="AE168" i="36" s="1"/>
  <c r="AF168" i="36" s="1"/>
  <c r="B168" i="36" s="1"/>
  <c r="D168" i="36"/>
  <c r="E168" i="36" s="1"/>
  <c r="F168" i="36" s="1"/>
  <c r="G168" i="36" s="1"/>
  <c r="H168" i="36" s="1"/>
  <c r="X167" i="36"/>
  <c r="Y167" i="36" s="1"/>
  <c r="Z167" i="36" s="1"/>
  <c r="AA167" i="36" s="1"/>
  <c r="AB167" i="36" s="1"/>
  <c r="AC167" i="36" s="1"/>
  <c r="AD167" i="36" s="1"/>
  <c r="AE167" i="36" s="1"/>
  <c r="AF167" i="36" s="1"/>
  <c r="B167" i="36" s="1"/>
  <c r="D167" i="36"/>
  <c r="E167" i="36" s="1"/>
  <c r="F167" i="36" s="1"/>
  <c r="G167" i="36" s="1"/>
  <c r="H167" i="36" s="1"/>
  <c r="I167" i="36" s="1"/>
  <c r="J167" i="36" s="1"/>
  <c r="K167" i="36" s="1"/>
  <c r="L167" i="36" s="1"/>
  <c r="M167" i="36" s="1"/>
  <c r="N167" i="36" s="1"/>
  <c r="O167" i="36" s="1"/>
  <c r="P167" i="36" s="1"/>
  <c r="Q167" i="36" s="1"/>
  <c r="R167" i="36" s="1"/>
  <c r="S167" i="36" s="1"/>
  <c r="T167" i="36" s="1"/>
  <c r="U167" i="36" s="1"/>
  <c r="V167" i="36" s="1"/>
  <c r="W167" i="36" s="1"/>
  <c r="E166" i="36"/>
  <c r="F166" i="36" s="1"/>
  <c r="G166" i="36" s="1"/>
  <c r="H166" i="36" s="1"/>
  <c r="I166" i="36" s="1"/>
  <c r="J166" i="36" s="1"/>
  <c r="K166" i="36" s="1"/>
  <c r="L166" i="36" s="1"/>
  <c r="M166" i="36" s="1"/>
  <c r="N166" i="36" s="1"/>
  <c r="O166" i="36" s="1"/>
  <c r="P166" i="36" s="1"/>
  <c r="Q166" i="36" s="1"/>
  <c r="R166" i="36" s="1"/>
  <c r="S166" i="36" s="1"/>
  <c r="T166" i="36" s="1"/>
  <c r="U166" i="36" s="1"/>
  <c r="V166" i="36" s="1"/>
  <c r="W166" i="36" s="1"/>
  <c r="X166" i="36" s="1"/>
  <c r="Y166" i="36" s="1"/>
  <c r="Z166" i="36" s="1"/>
  <c r="AA166" i="36" s="1"/>
  <c r="AB166" i="36" s="1"/>
  <c r="AC166" i="36" s="1"/>
  <c r="AD166" i="36" s="1"/>
  <c r="AE166" i="36" s="1"/>
  <c r="AF166" i="36" s="1"/>
  <c r="B166" i="36" s="1"/>
  <c r="D166" i="36"/>
  <c r="AB165" i="36"/>
  <c r="AC165" i="36" s="1"/>
  <c r="AD165" i="36" s="1"/>
  <c r="AE165" i="36" s="1"/>
  <c r="AF165" i="36" s="1"/>
  <c r="B165" i="36" s="1"/>
  <c r="D165" i="36"/>
  <c r="E165" i="36" s="1"/>
  <c r="F165" i="36" s="1"/>
  <c r="G165" i="36" s="1"/>
  <c r="H165" i="36" s="1"/>
  <c r="I165" i="36" s="1"/>
  <c r="J165" i="36" s="1"/>
  <c r="K165" i="36" s="1"/>
  <c r="L165" i="36" s="1"/>
  <c r="M165" i="36" s="1"/>
  <c r="N165" i="36" s="1"/>
  <c r="O165" i="36" s="1"/>
  <c r="P165" i="36" s="1"/>
  <c r="Q165" i="36" s="1"/>
  <c r="R165" i="36" s="1"/>
  <c r="S165" i="36" s="1"/>
  <c r="T165" i="36" s="1"/>
  <c r="U165" i="36" s="1"/>
  <c r="V165" i="36" s="1"/>
  <c r="W165" i="36" s="1"/>
  <c r="X165" i="36" s="1"/>
  <c r="Y165" i="36" s="1"/>
  <c r="Z165" i="36" s="1"/>
  <c r="AA165" i="36" s="1"/>
  <c r="T164" i="36"/>
  <c r="U164" i="36" s="1"/>
  <c r="V164" i="36" s="1"/>
  <c r="W164" i="36" s="1"/>
  <c r="X164" i="36" s="1"/>
  <c r="Y164" i="36" s="1"/>
  <c r="Z164" i="36" s="1"/>
  <c r="AA164" i="36" s="1"/>
  <c r="AB164" i="36" s="1"/>
  <c r="AC164" i="36" s="1"/>
  <c r="AD164" i="36" s="1"/>
  <c r="AE164" i="36" s="1"/>
  <c r="AF164" i="36" s="1"/>
  <c r="B164" i="36" s="1"/>
  <c r="H164" i="36"/>
  <c r="I164" i="36" s="1"/>
  <c r="J164" i="36" s="1"/>
  <c r="K164" i="36" s="1"/>
  <c r="L164" i="36" s="1"/>
  <c r="M164" i="36" s="1"/>
  <c r="N164" i="36" s="1"/>
  <c r="O164" i="36" s="1"/>
  <c r="P164" i="36" s="1"/>
  <c r="Q164" i="36" s="1"/>
  <c r="R164" i="36" s="1"/>
  <c r="S164" i="36" s="1"/>
  <c r="F164" i="36"/>
  <c r="G164" i="36" s="1"/>
  <c r="D164" i="36"/>
  <c r="E164" i="36" s="1"/>
  <c r="J163" i="36"/>
  <c r="K163" i="36" s="1"/>
  <c r="L163" i="36" s="1"/>
  <c r="M163" i="36" s="1"/>
  <c r="N163" i="36" s="1"/>
  <c r="O163" i="36" s="1"/>
  <c r="P163" i="36" s="1"/>
  <c r="Q163" i="36" s="1"/>
  <c r="R163" i="36" s="1"/>
  <c r="S163" i="36" s="1"/>
  <c r="T163" i="36" s="1"/>
  <c r="U163" i="36" s="1"/>
  <c r="V163" i="36" s="1"/>
  <c r="W163" i="36" s="1"/>
  <c r="X163" i="36" s="1"/>
  <c r="Y163" i="36" s="1"/>
  <c r="Z163" i="36" s="1"/>
  <c r="AA163" i="36" s="1"/>
  <c r="AB163" i="36" s="1"/>
  <c r="AC163" i="36" s="1"/>
  <c r="AD163" i="36" s="1"/>
  <c r="AE163" i="36" s="1"/>
  <c r="AF163" i="36" s="1"/>
  <c r="B163" i="36" s="1"/>
  <c r="E163" i="36"/>
  <c r="F163" i="36" s="1"/>
  <c r="G163" i="36" s="1"/>
  <c r="H163" i="36" s="1"/>
  <c r="I163" i="36" s="1"/>
  <c r="D163" i="36"/>
  <c r="V162" i="36"/>
  <c r="W162" i="36" s="1"/>
  <c r="X162" i="36" s="1"/>
  <c r="Y162" i="36" s="1"/>
  <c r="Z162" i="36" s="1"/>
  <c r="AA162" i="36" s="1"/>
  <c r="AB162" i="36" s="1"/>
  <c r="AC162" i="36" s="1"/>
  <c r="AD162" i="36" s="1"/>
  <c r="AE162" i="36" s="1"/>
  <c r="AF162" i="36" s="1"/>
  <c r="B162" i="36" s="1"/>
  <c r="G162" i="36"/>
  <c r="H162" i="36" s="1"/>
  <c r="I162" i="36" s="1"/>
  <c r="J162" i="36" s="1"/>
  <c r="K162" i="36" s="1"/>
  <c r="L162" i="36" s="1"/>
  <c r="M162" i="36" s="1"/>
  <c r="N162" i="36" s="1"/>
  <c r="O162" i="36" s="1"/>
  <c r="P162" i="36" s="1"/>
  <c r="Q162" i="36" s="1"/>
  <c r="R162" i="36" s="1"/>
  <c r="S162" i="36" s="1"/>
  <c r="T162" i="36" s="1"/>
  <c r="U162" i="36" s="1"/>
  <c r="D162" i="36"/>
  <c r="E162" i="36" s="1"/>
  <c r="F162" i="36" s="1"/>
  <c r="D161" i="36"/>
  <c r="E161" i="36" s="1"/>
  <c r="F161" i="36" s="1"/>
  <c r="G161" i="36" s="1"/>
  <c r="H161" i="36" s="1"/>
  <c r="I161" i="36" s="1"/>
  <c r="J161" i="36" s="1"/>
  <c r="K161" i="36" s="1"/>
  <c r="L161" i="36" s="1"/>
  <c r="M161" i="36" s="1"/>
  <c r="N161" i="36" s="1"/>
  <c r="O161" i="36" s="1"/>
  <c r="P161" i="36" s="1"/>
  <c r="Q161" i="36" s="1"/>
  <c r="R161" i="36" s="1"/>
  <c r="S161" i="36" s="1"/>
  <c r="T161" i="36" s="1"/>
  <c r="U161" i="36" s="1"/>
  <c r="V161" i="36" s="1"/>
  <c r="W161" i="36" s="1"/>
  <c r="X161" i="36" s="1"/>
  <c r="Y161" i="36" s="1"/>
  <c r="Z161" i="36" s="1"/>
  <c r="AA161" i="36" s="1"/>
  <c r="AB161" i="36" s="1"/>
  <c r="AC161" i="36" s="1"/>
  <c r="AD161" i="36" s="1"/>
  <c r="AE161" i="36" s="1"/>
  <c r="AF161" i="36" s="1"/>
  <c r="B161" i="36" s="1"/>
  <c r="AA160" i="36"/>
  <c r="AB160" i="36" s="1"/>
  <c r="AC160" i="36" s="1"/>
  <c r="AD160" i="36" s="1"/>
  <c r="AE160" i="36" s="1"/>
  <c r="AF160" i="36" s="1"/>
  <c r="B160" i="36" s="1"/>
  <c r="D160" i="36"/>
  <c r="E160" i="36" s="1"/>
  <c r="F160" i="36" s="1"/>
  <c r="G160" i="36" s="1"/>
  <c r="H160" i="36" s="1"/>
  <c r="I160" i="36" s="1"/>
  <c r="J160" i="36" s="1"/>
  <c r="K160" i="36" s="1"/>
  <c r="L160" i="36" s="1"/>
  <c r="M160" i="36" s="1"/>
  <c r="N160" i="36" s="1"/>
  <c r="O160" i="36" s="1"/>
  <c r="P160" i="36" s="1"/>
  <c r="Q160" i="36" s="1"/>
  <c r="R160" i="36" s="1"/>
  <c r="S160" i="36" s="1"/>
  <c r="T160" i="36" s="1"/>
  <c r="U160" i="36" s="1"/>
  <c r="V160" i="36" s="1"/>
  <c r="W160" i="36" s="1"/>
  <c r="X160" i="36" s="1"/>
  <c r="Y160" i="36" s="1"/>
  <c r="Z160" i="36" s="1"/>
  <c r="U159" i="36"/>
  <c r="V159" i="36" s="1"/>
  <c r="W159" i="36" s="1"/>
  <c r="X159" i="36" s="1"/>
  <c r="Y159" i="36" s="1"/>
  <c r="Z159" i="36" s="1"/>
  <c r="AA159" i="36" s="1"/>
  <c r="AB159" i="36" s="1"/>
  <c r="AC159" i="36" s="1"/>
  <c r="AD159" i="36" s="1"/>
  <c r="AE159" i="36" s="1"/>
  <c r="AF159" i="36" s="1"/>
  <c r="B159" i="36" s="1"/>
  <c r="G159" i="36"/>
  <c r="H159" i="36" s="1"/>
  <c r="I159" i="36" s="1"/>
  <c r="J159" i="36" s="1"/>
  <c r="K159" i="36" s="1"/>
  <c r="L159" i="36" s="1"/>
  <c r="M159" i="36" s="1"/>
  <c r="N159" i="36" s="1"/>
  <c r="O159" i="36" s="1"/>
  <c r="P159" i="36" s="1"/>
  <c r="Q159" i="36" s="1"/>
  <c r="R159" i="36" s="1"/>
  <c r="S159" i="36" s="1"/>
  <c r="T159" i="36" s="1"/>
  <c r="D159" i="36"/>
  <c r="E159" i="36" s="1"/>
  <c r="F159" i="36" s="1"/>
  <c r="H158" i="36"/>
  <c r="I158" i="36" s="1"/>
  <c r="J158" i="36" s="1"/>
  <c r="K158" i="36" s="1"/>
  <c r="L158" i="36" s="1"/>
  <c r="M158" i="36" s="1"/>
  <c r="N158" i="36" s="1"/>
  <c r="O158" i="36" s="1"/>
  <c r="P158" i="36" s="1"/>
  <c r="Q158" i="36" s="1"/>
  <c r="R158" i="36" s="1"/>
  <c r="S158" i="36" s="1"/>
  <c r="T158" i="36" s="1"/>
  <c r="U158" i="36" s="1"/>
  <c r="V158" i="36" s="1"/>
  <c r="W158" i="36" s="1"/>
  <c r="X158" i="36" s="1"/>
  <c r="Y158" i="36" s="1"/>
  <c r="Z158" i="36" s="1"/>
  <c r="AA158" i="36" s="1"/>
  <c r="AB158" i="36" s="1"/>
  <c r="AC158" i="36" s="1"/>
  <c r="AD158" i="36" s="1"/>
  <c r="AE158" i="36" s="1"/>
  <c r="AF158" i="36" s="1"/>
  <c r="B158" i="36" s="1"/>
  <c r="E158" i="36"/>
  <c r="F158" i="36" s="1"/>
  <c r="G158" i="36" s="1"/>
  <c r="D158" i="36"/>
  <c r="D157" i="36"/>
  <c r="E157" i="36" s="1"/>
  <c r="F157" i="36" s="1"/>
  <c r="G157" i="36" s="1"/>
  <c r="H157" i="36" s="1"/>
  <c r="I157" i="36" s="1"/>
  <c r="J157" i="36" s="1"/>
  <c r="K157" i="36" s="1"/>
  <c r="L157" i="36" s="1"/>
  <c r="M157" i="36" s="1"/>
  <c r="N157" i="36" s="1"/>
  <c r="O157" i="36" s="1"/>
  <c r="P157" i="36" s="1"/>
  <c r="Q157" i="36" s="1"/>
  <c r="R157" i="36" s="1"/>
  <c r="S157" i="36" s="1"/>
  <c r="T157" i="36" s="1"/>
  <c r="U157" i="36" s="1"/>
  <c r="V157" i="36" s="1"/>
  <c r="W157" i="36" s="1"/>
  <c r="X157" i="36" s="1"/>
  <c r="Y157" i="36" s="1"/>
  <c r="Z157" i="36" s="1"/>
  <c r="AA157" i="36" s="1"/>
  <c r="AB157" i="36" s="1"/>
  <c r="AC157" i="36" s="1"/>
  <c r="AD157" i="36" s="1"/>
  <c r="AE157" i="36" s="1"/>
  <c r="AF157" i="36" s="1"/>
  <c r="B157" i="36" s="1"/>
  <c r="D156" i="36"/>
  <c r="E156" i="36" s="1"/>
  <c r="F156" i="36" s="1"/>
  <c r="G156" i="36" s="1"/>
  <c r="H156" i="36" s="1"/>
  <c r="I156" i="36" s="1"/>
  <c r="J156" i="36" s="1"/>
  <c r="K156" i="36" s="1"/>
  <c r="L156" i="36" s="1"/>
  <c r="M156" i="36" s="1"/>
  <c r="N156" i="36" s="1"/>
  <c r="O156" i="36" s="1"/>
  <c r="P156" i="36" s="1"/>
  <c r="Q156" i="36" s="1"/>
  <c r="R156" i="36" s="1"/>
  <c r="S156" i="36" s="1"/>
  <c r="T156" i="36" s="1"/>
  <c r="U156" i="36" s="1"/>
  <c r="V156" i="36" s="1"/>
  <c r="W156" i="36" s="1"/>
  <c r="X156" i="36" s="1"/>
  <c r="Y156" i="36" s="1"/>
  <c r="Z156" i="36" s="1"/>
  <c r="AA156" i="36" s="1"/>
  <c r="AB156" i="36" s="1"/>
  <c r="AC156" i="36" s="1"/>
  <c r="AD156" i="36" s="1"/>
  <c r="AE156" i="36" s="1"/>
  <c r="AF156" i="36" s="1"/>
  <c r="B156" i="36" s="1"/>
  <c r="E154" i="36"/>
  <c r="F154" i="36" s="1"/>
  <c r="G154" i="36" s="1"/>
  <c r="H154" i="36" s="1"/>
  <c r="I154" i="36" s="1"/>
  <c r="J154" i="36" s="1"/>
  <c r="K154" i="36" s="1"/>
  <c r="L154" i="36" s="1"/>
  <c r="M154" i="36" s="1"/>
  <c r="N154" i="36" s="1"/>
  <c r="O154" i="36" s="1"/>
  <c r="P154" i="36" s="1"/>
  <c r="Q154" i="36" s="1"/>
  <c r="R154" i="36" s="1"/>
  <c r="S154" i="36" s="1"/>
  <c r="T154" i="36" s="1"/>
  <c r="U154" i="36" s="1"/>
  <c r="V154" i="36" s="1"/>
  <c r="W154" i="36" s="1"/>
  <c r="X154" i="36" s="1"/>
  <c r="Y154" i="36" s="1"/>
  <c r="Z154" i="36" s="1"/>
  <c r="AA154" i="36" s="1"/>
  <c r="AB154" i="36" s="1"/>
  <c r="AC154" i="36" s="1"/>
  <c r="AD154" i="36" s="1"/>
  <c r="AE154" i="36" s="1"/>
  <c r="AF154" i="36" s="1"/>
  <c r="B154" i="36" s="1"/>
  <c r="D154" i="36"/>
  <c r="R153" i="36"/>
  <c r="S153" i="36" s="1"/>
  <c r="T153" i="36" s="1"/>
  <c r="U153" i="36" s="1"/>
  <c r="V153" i="36" s="1"/>
  <c r="W153" i="36" s="1"/>
  <c r="X153" i="36" s="1"/>
  <c r="Y153" i="36" s="1"/>
  <c r="Z153" i="36" s="1"/>
  <c r="AA153" i="36" s="1"/>
  <c r="AB153" i="36" s="1"/>
  <c r="AC153" i="36" s="1"/>
  <c r="AD153" i="36" s="1"/>
  <c r="AE153" i="36" s="1"/>
  <c r="AF153" i="36" s="1"/>
  <c r="B153" i="36" s="1"/>
  <c r="M153" i="36"/>
  <c r="N153" i="36" s="1"/>
  <c r="O153" i="36" s="1"/>
  <c r="P153" i="36" s="1"/>
  <c r="Q153" i="36" s="1"/>
  <c r="E153" i="36"/>
  <c r="F153" i="36" s="1"/>
  <c r="G153" i="36" s="1"/>
  <c r="H153" i="36" s="1"/>
  <c r="I153" i="36" s="1"/>
  <c r="J153" i="36" s="1"/>
  <c r="K153" i="36" s="1"/>
  <c r="L153" i="36" s="1"/>
  <c r="D153" i="36"/>
  <c r="G152" i="36"/>
  <c r="H152" i="36" s="1"/>
  <c r="I152" i="36" s="1"/>
  <c r="J152" i="36" s="1"/>
  <c r="K152" i="36" s="1"/>
  <c r="L152" i="36" s="1"/>
  <c r="M152" i="36" s="1"/>
  <c r="N152" i="36" s="1"/>
  <c r="O152" i="36" s="1"/>
  <c r="P152" i="36" s="1"/>
  <c r="Q152" i="36" s="1"/>
  <c r="R152" i="36" s="1"/>
  <c r="S152" i="36" s="1"/>
  <c r="T152" i="36" s="1"/>
  <c r="U152" i="36" s="1"/>
  <c r="V152" i="36" s="1"/>
  <c r="W152" i="36" s="1"/>
  <c r="X152" i="36" s="1"/>
  <c r="Y152" i="36" s="1"/>
  <c r="Z152" i="36" s="1"/>
  <c r="AA152" i="36" s="1"/>
  <c r="AB152" i="36" s="1"/>
  <c r="AC152" i="36" s="1"/>
  <c r="AD152" i="36" s="1"/>
  <c r="AE152" i="36" s="1"/>
  <c r="AF152" i="36" s="1"/>
  <c r="B152" i="36" s="1"/>
  <c r="D152" i="36"/>
  <c r="E152" i="36" s="1"/>
  <c r="F152" i="36" s="1"/>
  <c r="E151" i="36"/>
  <c r="F151" i="36" s="1"/>
  <c r="G151" i="36" s="1"/>
  <c r="H151" i="36" s="1"/>
  <c r="I151" i="36" s="1"/>
  <c r="J151" i="36" s="1"/>
  <c r="K151" i="36" s="1"/>
  <c r="L151" i="36" s="1"/>
  <c r="M151" i="36" s="1"/>
  <c r="N151" i="36" s="1"/>
  <c r="O151" i="36" s="1"/>
  <c r="P151" i="36" s="1"/>
  <c r="Q151" i="36" s="1"/>
  <c r="R151" i="36" s="1"/>
  <c r="S151" i="36" s="1"/>
  <c r="T151" i="36" s="1"/>
  <c r="U151" i="36" s="1"/>
  <c r="V151" i="36" s="1"/>
  <c r="W151" i="36" s="1"/>
  <c r="X151" i="36" s="1"/>
  <c r="Y151" i="36" s="1"/>
  <c r="Z151" i="36" s="1"/>
  <c r="AA151" i="36" s="1"/>
  <c r="AB151" i="36" s="1"/>
  <c r="AC151" i="36" s="1"/>
  <c r="AD151" i="36" s="1"/>
  <c r="AE151" i="36" s="1"/>
  <c r="AF151" i="36" s="1"/>
  <c r="B151" i="36" s="1"/>
  <c r="D151" i="36"/>
  <c r="D149" i="36"/>
  <c r="E149" i="36" s="1"/>
  <c r="F149" i="36" s="1"/>
  <c r="G149" i="36" s="1"/>
  <c r="H149" i="36" s="1"/>
  <c r="I149" i="36" s="1"/>
  <c r="J149" i="36" s="1"/>
  <c r="K149" i="36" s="1"/>
  <c r="L149" i="36" s="1"/>
  <c r="M149" i="36" s="1"/>
  <c r="N149" i="36" s="1"/>
  <c r="O149" i="36" s="1"/>
  <c r="P149" i="36" s="1"/>
  <c r="Q149" i="36" s="1"/>
  <c r="R149" i="36" s="1"/>
  <c r="S149" i="36" s="1"/>
  <c r="T149" i="36" s="1"/>
  <c r="U149" i="36" s="1"/>
  <c r="V149" i="36" s="1"/>
  <c r="W149" i="36" s="1"/>
  <c r="X149" i="36" s="1"/>
  <c r="Y149" i="36" s="1"/>
  <c r="Z149" i="36" s="1"/>
  <c r="AA149" i="36" s="1"/>
  <c r="AB149" i="36" s="1"/>
  <c r="AC149" i="36" s="1"/>
  <c r="AD149" i="36" s="1"/>
  <c r="AE149" i="36" s="1"/>
  <c r="AF149" i="36" s="1"/>
  <c r="B149" i="36" s="1"/>
  <c r="I148" i="36"/>
  <c r="J148" i="36" s="1"/>
  <c r="K148" i="36" s="1"/>
  <c r="L148" i="36" s="1"/>
  <c r="M148" i="36" s="1"/>
  <c r="N148" i="36" s="1"/>
  <c r="O148" i="36" s="1"/>
  <c r="P148" i="36" s="1"/>
  <c r="Q148" i="36" s="1"/>
  <c r="R148" i="36" s="1"/>
  <c r="S148" i="36" s="1"/>
  <c r="T148" i="36" s="1"/>
  <c r="U148" i="36" s="1"/>
  <c r="V148" i="36" s="1"/>
  <c r="W148" i="36" s="1"/>
  <c r="X148" i="36" s="1"/>
  <c r="Y148" i="36" s="1"/>
  <c r="Z148" i="36" s="1"/>
  <c r="AA148" i="36" s="1"/>
  <c r="AB148" i="36" s="1"/>
  <c r="AC148" i="36" s="1"/>
  <c r="AD148" i="36" s="1"/>
  <c r="AE148" i="36" s="1"/>
  <c r="AF148" i="36" s="1"/>
  <c r="B148" i="36" s="1"/>
  <c r="E148" i="36"/>
  <c r="F148" i="36" s="1"/>
  <c r="G148" i="36" s="1"/>
  <c r="H148" i="36" s="1"/>
  <c r="D148" i="36"/>
  <c r="AA146" i="36"/>
  <c r="AB146" i="36" s="1"/>
  <c r="AC146" i="36" s="1"/>
  <c r="AD146" i="36" s="1"/>
  <c r="AE146" i="36" s="1"/>
  <c r="AF146" i="36" s="1"/>
  <c r="B146" i="36" s="1"/>
  <c r="D146" i="36"/>
  <c r="E146" i="36" s="1"/>
  <c r="F146" i="36" s="1"/>
  <c r="G146" i="36" s="1"/>
  <c r="H146" i="36" s="1"/>
  <c r="I146" i="36" s="1"/>
  <c r="J146" i="36" s="1"/>
  <c r="K146" i="36" s="1"/>
  <c r="L146" i="36" s="1"/>
  <c r="M146" i="36" s="1"/>
  <c r="N146" i="36" s="1"/>
  <c r="O146" i="36" s="1"/>
  <c r="P146" i="36" s="1"/>
  <c r="Q146" i="36" s="1"/>
  <c r="R146" i="36" s="1"/>
  <c r="S146" i="36" s="1"/>
  <c r="T146" i="36" s="1"/>
  <c r="U146" i="36" s="1"/>
  <c r="V146" i="36" s="1"/>
  <c r="W146" i="36" s="1"/>
  <c r="X146" i="36" s="1"/>
  <c r="Y146" i="36" s="1"/>
  <c r="Z146" i="36" s="1"/>
  <c r="D145" i="36"/>
  <c r="E145" i="36" s="1"/>
  <c r="F145" i="36" s="1"/>
  <c r="G145" i="36" s="1"/>
  <c r="H145" i="36" s="1"/>
  <c r="I145" i="36" s="1"/>
  <c r="J145" i="36" s="1"/>
  <c r="K145" i="36" s="1"/>
  <c r="L145" i="36" s="1"/>
  <c r="M145" i="36" s="1"/>
  <c r="N145" i="36" s="1"/>
  <c r="O145" i="36" s="1"/>
  <c r="P145" i="36" s="1"/>
  <c r="Q145" i="36" s="1"/>
  <c r="R145" i="36" s="1"/>
  <c r="S145" i="36" s="1"/>
  <c r="T145" i="36" s="1"/>
  <c r="U145" i="36" s="1"/>
  <c r="V145" i="36" s="1"/>
  <c r="W145" i="36" s="1"/>
  <c r="X145" i="36" s="1"/>
  <c r="Y145" i="36" s="1"/>
  <c r="Z145" i="36" s="1"/>
  <c r="AA145" i="36" s="1"/>
  <c r="AB145" i="36" s="1"/>
  <c r="AC145" i="36" s="1"/>
  <c r="AD145" i="36" s="1"/>
  <c r="AE145" i="36" s="1"/>
  <c r="AF145" i="36" s="1"/>
  <c r="B145" i="36" s="1"/>
  <c r="Z144" i="36"/>
  <c r="AA144" i="36" s="1"/>
  <c r="AB144" i="36" s="1"/>
  <c r="AC144" i="36" s="1"/>
  <c r="AD144" i="36" s="1"/>
  <c r="AE144" i="36" s="1"/>
  <c r="AF144" i="36" s="1"/>
  <c r="B144" i="36" s="1"/>
  <c r="D144" i="36"/>
  <c r="E144" i="36" s="1"/>
  <c r="F144" i="36" s="1"/>
  <c r="G144" i="36" s="1"/>
  <c r="H144" i="36" s="1"/>
  <c r="I144" i="36" s="1"/>
  <c r="J144" i="36" s="1"/>
  <c r="K144" i="36" s="1"/>
  <c r="L144" i="36" s="1"/>
  <c r="M144" i="36" s="1"/>
  <c r="N144" i="36" s="1"/>
  <c r="O144" i="36" s="1"/>
  <c r="P144" i="36" s="1"/>
  <c r="Q144" i="36" s="1"/>
  <c r="R144" i="36" s="1"/>
  <c r="S144" i="36" s="1"/>
  <c r="T144" i="36" s="1"/>
  <c r="U144" i="36" s="1"/>
  <c r="V144" i="36" s="1"/>
  <c r="W144" i="36" s="1"/>
  <c r="X144" i="36" s="1"/>
  <c r="Y144" i="36" s="1"/>
  <c r="M143" i="36"/>
  <c r="N143" i="36" s="1"/>
  <c r="O143" i="36" s="1"/>
  <c r="P143" i="36" s="1"/>
  <c r="Q143" i="36" s="1"/>
  <c r="R143" i="36" s="1"/>
  <c r="S143" i="36" s="1"/>
  <c r="T143" i="36" s="1"/>
  <c r="U143" i="36" s="1"/>
  <c r="V143" i="36" s="1"/>
  <c r="W143" i="36" s="1"/>
  <c r="X143" i="36" s="1"/>
  <c r="Y143" i="36" s="1"/>
  <c r="Z143" i="36" s="1"/>
  <c r="AA143" i="36" s="1"/>
  <c r="AB143" i="36" s="1"/>
  <c r="AC143" i="36" s="1"/>
  <c r="AD143" i="36" s="1"/>
  <c r="AE143" i="36" s="1"/>
  <c r="AF143" i="36" s="1"/>
  <c r="B143" i="36" s="1"/>
  <c r="I143" i="36"/>
  <c r="J143" i="36" s="1"/>
  <c r="K143" i="36" s="1"/>
  <c r="L143" i="36" s="1"/>
  <c r="F143" i="36"/>
  <c r="G143" i="36" s="1"/>
  <c r="H143" i="36" s="1"/>
  <c r="E143" i="36"/>
  <c r="D143" i="36"/>
  <c r="V142" i="36"/>
  <c r="W142" i="36" s="1"/>
  <c r="X142" i="36" s="1"/>
  <c r="Y142" i="36" s="1"/>
  <c r="Z142" i="36" s="1"/>
  <c r="AA142" i="36" s="1"/>
  <c r="AB142" i="36" s="1"/>
  <c r="AC142" i="36" s="1"/>
  <c r="AD142" i="36" s="1"/>
  <c r="AE142" i="36" s="1"/>
  <c r="AF142" i="36" s="1"/>
  <c r="B142" i="36" s="1"/>
  <c r="I142" i="36"/>
  <c r="J142" i="36" s="1"/>
  <c r="K142" i="36" s="1"/>
  <c r="L142" i="36" s="1"/>
  <c r="M142" i="36" s="1"/>
  <c r="N142" i="36" s="1"/>
  <c r="O142" i="36" s="1"/>
  <c r="P142" i="36" s="1"/>
  <c r="Q142" i="36" s="1"/>
  <c r="R142" i="36" s="1"/>
  <c r="S142" i="36" s="1"/>
  <c r="T142" i="36" s="1"/>
  <c r="U142" i="36" s="1"/>
  <c r="D142" i="36"/>
  <c r="E142" i="36" s="1"/>
  <c r="F142" i="36" s="1"/>
  <c r="G142" i="36" s="1"/>
  <c r="H142" i="36" s="1"/>
  <c r="O141" i="36"/>
  <c r="P141" i="36" s="1"/>
  <c r="Q141" i="36" s="1"/>
  <c r="R141" i="36" s="1"/>
  <c r="S141" i="36" s="1"/>
  <c r="T141" i="36" s="1"/>
  <c r="U141" i="36" s="1"/>
  <c r="V141" i="36" s="1"/>
  <c r="W141" i="36" s="1"/>
  <c r="X141" i="36" s="1"/>
  <c r="Y141" i="36" s="1"/>
  <c r="Z141" i="36" s="1"/>
  <c r="AA141" i="36" s="1"/>
  <c r="AB141" i="36" s="1"/>
  <c r="AC141" i="36" s="1"/>
  <c r="AD141" i="36" s="1"/>
  <c r="AE141" i="36" s="1"/>
  <c r="AF141" i="36" s="1"/>
  <c r="B141" i="36" s="1"/>
  <c r="D141" i="36"/>
  <c r="E141" i="36" s="1"/>
  <c r="F141" i="36" s="1"/>
  <c r="G141" i="36" s="1"/>
  <c r="H141" i="36" s="1"/>
  <c r="I141" i="36" s="1"/>
  <c r="J141" i="36" s="1"/>
  <c r="K141" i="36" s="1"/>
  <c r="L141" i="36" s="1"/>
  <c r="M141" i="36" s="1"/>
  <c r="N141" i="36" s="1"/>
  <c r="L140" i="36"/>
  <c r="M140" i="36" s="1"/>
  <c r="N140" i="36" s="1"/>
  <c r="O140" i="36" s="1"/>
  <c r="P140" i="36" s="1"/>
  <c r="Q140" i="36" s="1"/>
  <c r="R140" i="36" s="1"/>
  <c r="S140" i="36" s="1"/>
  <c r="T140" i="36" s="1"/>
  <c r="U140" i="36" s="1"/>
  <c r="V140" i="36" s="1"/>
  <c r="W140" i="36" s="1"/>
  <c r="X140" i="36" s="1"/>
  <c r="Y140" i="36" s="1"/>
  <c r="Z140" i="36" s="1"/>
  <c r="AA140" i="36" s="1"/>
  <c r="AB140" i="36" s="1"/>
  <c r="AC140" i="36" s="1"/>
  <c r="AD140" i="36" s="1"/>
  <c r="AE140" i="36" s="1"/>
  <c r="AF140" i="36" s="1"/>
  <c r="B140" i="36" s="1"/>
  <c r="I140" i="36"/>
  <c r="J140" i="36" s="1"/>
  <c r="K140" i="36" s="1"/>
  <c r="E140" i="36"/>
  <c r="F140" i="36" s="1"/>
  <c r="G140" i="36" s="1"/>
  <c r="H140" i="36" s="1"/>
  <c r="D140" i="36"/>
  <c r="U138" i="36"/>
  <c r="V138" i="36" s="1"/>
  <c r="W138" i="36" s="1"/>
  <c r="X138" i="36" s="1"/>
  <c r="Y138" i="36" s="1"/>
  <c r="Z138" i="36" s="1"/>
  <c r="AA138" i="36" s="1"/>
  <c r="AB138" i="36" s="1"/>
  <c r="AC138" i="36" s="1"/>
  <c r="AD138" i="36" s="1"/>
  <c r="AE138" i="36" s="1"/>
  <c r="AF138" i="36" s="1"/>
  <c r="B138" i="36" s="1"/>
  <c r="H138" i="36"/>
  <c r="I138" i="36" s="1"/>
  <c r="J138" i="36" s="1"/>
  <c r="K138" i="36" s="1"/>
  <c r="L138" i="36" s="1"/>
  <c r="M138" i="36" s="1"/>
  <c r="N138" i="36" s="1"/>
  <c r="O138" i="36" s="1"/>
  <c r="P138" i="36" s="1"/>
  <c r="Q138" i="36" s="1"/>
  <c r="R138" i="36" s="1"/>
  <c r="S138" i="36" s="1"/>
  <c r="T138" i="36" s="1"/>
  <c r="F138" i="36"/>
  <c r="G138" i="36" s="1"/>
  <c r="E138" i="36"/>
  <c r="D138" i="36"/>
  <c r="F137" i="36"/>
  <c r="G137" i="36" s="1"/>
  <c r="H137" i="36" s="1"/>
  <c r="I137" i="36" s="1"/>
  <c r="J137" i="36" s="1"/>
  <c r="K137" i="36" s="1"/>
  <c r="L137" i="36" s="1"/>
  <c r="M137" i="36" s="1"/>
  <c r="N137" i="36" s="1"/>
  <c r="O137" i="36" s="1"/>
  <c r="P137" i="36" s="1"/>
  <c r="Q137" i="36" s="1"/>
  <c r="R137" i="36" s="1"/>
  <c r="S137" i="36" s="1"/>
  <c r="T137" i="36" s="1"/>
  <c r="U137" i="36" s="1"/>
  <c r="V137" i="36" s="1"/>
  <c r="W137" i="36" s="1"/>
  <c r="X137" i="36" s="1"/>
  <c r="Y137" i="36" s="1"/>
  <c r="Z137" i="36" s="1"/>
  <c r="AA137" i="36" s="1"/>
  <c r="AB137" i="36" s="1"/>
  <c r="AC137" i="36" s="1"/>
  <c r="AD137" i="36" s="1"/>
  <c r="AE137" i="36" s="1"/>
  <c r="AF137" i="36" s="1"/>
  <c r="B137" i="36" s="1"/>
  <c r="D137" i="36"/>
  <c r="E137" i="36" s="1"/>
  <c r="R136" i="36"/>
  <c r="S136" i="36" s="1"/>
  <c r="T136" i="36" s="1"/>
  <c r="U136" i="36" s="1"/>
  <c r="V136" i="36" s="1"/>
  <c r="W136" i="36" s="1"/>
  <c r="X136" i="36" s="1"/>
  <c r="Y136" i="36" s="1"/>
  <c r="Z136" i="36" s="1"/>
  <c r="AA136" i="36" s="1"/>
  <c r="AB136" i="36" s="1"/>
  <c r="AC136" i="36" s="1"/>
  <c r="AD136" i="36" s="1"/>
  <c r="AE136" i="36" s="1"/>
  <c r="AF136" i="36" s="1"/>
  <c r="B136" i="36" s="1"/>
  <c r="I136" i="36"/>
  <c r="J136" i="36" s="1"/>
  <c r="K136" i="36" s="1"/>
  <c r="L136" i="36" s="1"/>
  <c r="M136" i="36" s="1"/>
  <c r="N136" i="36" s="1"/>
  <c r="O136" i="36" s="1"/>
  <c r="P136" i="36" s="1"/>
  <c r="Q136" i="36" s="1"/>
  <c r="F136" i="36"/>
  <c r="G136" i="36" s="1"/>
  <c r="H136" i="36" s="1"/>
  <c r="E136" i="36"/>
  <c r="D136" i="36"/>
  <c r="E135" i="36"/>
  <c r="F135" i="36" s="1"/>
  <c r="G135" i="36" s="1"/>
  <c r="H135" i="36" s="1"/>
  <c r="I135" i="36" s="1"/>
  <c r="J135" i="36" s="1"/>
  <c r="K135" i="36" s="1"/>
  <c r="L135" i="36" s="1"/>
  <c r="M135" i="36" s="1"/>
  <c r="N135" i="36" s="1"/>
  <c r="O135" i="36" s="1"/>
  <c r="P135" i="36" s="1"/>
  <c r="Q135" i="36" s="1"/>
  <c r="R135" i="36" s="1"/>
  <c r="S135" i="36" s="1"/>
  <c r="T135" i="36" s="1"/>
  <c r="U135" i="36" s="1"/>
  <c r="V135" i="36" s="1"/>
  <c r="W135" i="36" s="1"/>
  <c r="X135" i="36" s="1"/>
  <c r="Y135" i="36" s="1"/>
  <c r="Z135" i="36" s="1"/>
  <c r="AA135" i="36" s="1"/>
  <c r="AB135" i="36" s="1"/>
  <c r="AC135" i="36" s="1"/>
  <c r="AD135" i="36" s="1"/>
  <c r="AE135" i="36" s="1"/>
  <c r="AF135" i="36" s="1"/>
  <c r="B135" i="36" s="1"/>
  <c r="D135" i="36"/>
  <c r="E134" i="36"/>
  <c r="F134" i="36" s="1"/>
  <c r="G134" i="36" s="1"/>
  <c r="H134" i="36" s="1"/>
  <c r="I134" i="36" s="1"/>
  <c r="J134" i="36" s="1"/>
  <c r="K134" i="36" s="1"/>
  <c r="L134" i="36" s="1"/>
  <c r="M134" i="36" s="1"/>
  <c r="N134" i="36" s="1"/>
  <c r="O134" i="36" s="1"/>
  <c r="P134" i="36" s="1"/>
  <c r="Q134" i="36" s="1"/>
  <c r="R134" i="36" s="1"/>
  <c r="S134" i="36" s="1"/>
  <c r="T134" i="36" s="1"/>
  <c r="U134" i="36" s="1"/>
  <c r="V134" i="36" s="1"/>
  <c r="W134" i="36" s="1"/>
  <c r="X134" i="36" s="1"/>
  <c r="Y134" i="36" s="1"/>
  <c r="Z134" i="36" s="1"/>
  <c r="AA134" i="36" s="1"/>
  <c r="AB134" i="36" s="1"/>
  <c r="AC134" i="36" s="1"/>
  <c r="AD134" i="36" s="1"/>
  <c r="AE134" i="36" s="1"/>
  <c r="AF134" i="36" s="1"/>
  <c r="B134" i="36" s="1"/>
  <c r="D134" i="36"/>
  <c r="T133" i="36"/>
  <c r="U133" i="36" s="1"/>
  <c r="V133" i="36" s="1"/>
  <c r="W133" i="36" s="1"/>
  <c r="X133" i="36" s="1"/>
  <c r="Y133" i="36" s="1"/>
  <c r="Z133" i="36" s="1"/>
  <c r="AA133" i="36" s="1"/>
  <c r="AB133" i="36" s="1"/>
  <c r="AC133" i="36" s="1"/>
  <c r="AD133" i="36" s="1"/>
  <c r="AE133" i="36" s="1"/>
  <c r="AF133" i="36" s="1"/>
  <c r="B133" i="36" s="1"/>
  <c r="L133" i="36"/>
  <c r="M133" i="36" s="1"/>
  <c r="N133" i="36" s="1"/>
  <c r="O133" i="36" s="1"/>
  <c r="P133" i="36" s="1"/>
  <c r="Q133" i="36" s="1"/>
  <c r="R133" i="36" s="1"/>
  <c r="S133" i="36" s="1"/>
  <c r="D133" i="36"/>
  <c r="E133" i="36" s="1"/>
  <c r="F133" i="36" s="1"/>
  <c r="G133" i="36" s="1"/>
  <c r="H133" i="36" s="1"/>
  <c r="I133" i="36" s="1"/>
  <c r="J133" i="36" s="1"/>
  <c r="K133" i="36" s="1"/>
  <c r="J132" i="36"/>
  <c r="K132" i="36" s="1"/>
  <c r="L132" i="36" s="1"/>
  <c r="M132" i="36" s="1"/>
  <c r="N132" i="36" s="1"/>
  <c r="O132" i="36" s="1"/>
  <c r="P132" i="36" s="1"/>
  <c r="Q132" i="36" s="1"/>
  <c r="R132" i="36" s="1"/>
  <c r="S132" i="36" s="1"/>
  <c r="T132" i="36" s="1"/>
  <c r="U132" i="36" s="1"/>
  <c r="V132" i="36" s="1"/>
  <c r="W132" i="36" s="1"/>
  <c r="X132" i="36" s="1"/>
  <c r="Y132" i="36" s="1"/>
  <c r="Z132" i="36" s="1"/>
  <c r="AA132" i="36" s="1"/>
  <c r="AB132" i="36" s="1"/>
  <c r="AC132" i="36" s="1"/>
  <c r="AD132" i="36" s="1"/>
  <c r="AE132" i="36" s="1"/>
  <c r="AF132" i="36" s="1"/>
  <c r="B132" i="36" s="1"/>
  <c r="G132" i="36"/>
  <c r="H132" i="36" s="1"/>
  <c r="I132" i="36" s="1"/>
  <c r="D132" i="36"/>
  <c r="E132" i="36" s="1"/>
  <c r="F132" i="36" s="1"/>
  <c r="E131" i="36"/>
  <c r="F131" i="36" s="1"/>
  <c r="G131" i="36" s="1"/>
  <c r="H131" i="36" s="1"/>
  <c r="I131" i="36" s="1"/>
  <c r="J131" i="36" s="1"/>
  <c r="K131" i="36" s="1"/>
  <c r="L131" i="36" s="1"/>
  <c r="M131" i="36" s="1"/>
  <c r="N131" i="36" s="1"/>
  <c r="O131" i="36" s="1"/>
  <c r="P131" i="36" s="1"/>
  <c r="Q131" i="36" s="1"/>
  <c r="R131" i="36" s="1"/>
  <c r="S131" i="36" s="1"/>
  <c r="T131" i="36" s="1"/>
  <c r="U131" i="36" s="1"/>
  <c r="V131" i="36" s="1"/>
  <c r="W131" i="36" s="1"/>
  <c r="X131" i="36" s="1"/>
  <c r="Y131" i="36" s="1"/>
  <c r="Z131" i="36" s="1"/>
  <c r="AA131" i="36" s="1"/>
  <c r="AB131" i="36" s="1"/>
  <c r="AC131" i="36" s="1"/>
  <c r="AD131" i="36" s="1"/>
  <c r="AE131" i="36" s="1"/>
  <c r="AF131" i="36" s="1"/>
  <c r="B131" i="36" s="1"/>
  <c r="D131" i="36"/>
  <c r="P129" i="36"/>
  <c r="Q129" i="36" s="1"/>
  <c r="R129" i="36" s="1"/>
  <c r="S129" i="36" s="1"/>
  <c r="T129" i="36" s="1"/>
  <c r="U129" i="36" s="1"/>
  <c r="V129" i="36" s="1"/>
  <c r="W129" i="36" s="1"/>
  <c r="X129" i="36" s="1"/>
  <c r="Y129" i="36" s="1"/>
  <c r="Z129" i="36" s="1"/>
  <c r="AA129" i="36" s="1"/>
  <c r="AB129" i="36" s="1"/>
  <c r="AC129" i="36" s="1"/>
  <c r="AD129" i="36" s="1"/>
  <c r="AE129" i="36" s="1"/>
  <c r="AF129" i="36" s="1"/>
  <c r="B129" i="36" s="1"/>
  <c r="H129" i="36"/>
  <c r="I129" i="36" s="1"/>
  <c r="J129" i="36" s="1"/>
  <c r="K129" i="36" s="1"/>
  <c r="L129" i="36" s="1"/>
  <c r="M129" i="36" s="1"/>
  <c r="N129" i="36" s="1"/>
  <c r="O129" i="36" s="1"/>
  <c r="E129" i="36"/>
  <c r="F129" i="36" s="1"/>
  <c r="G129" i="36" s="1"/>
  <c r="D129" i="36"/>
  <c r="D128" i="36"/>
  <c r="E128" i="36" s="1"/>
  <c r="F128" i="36" s="1"/>
  <c r="G128" i="36" s="1"/>
  <c r="H128" i="36" s="1"/>
  <c r="I128" i="36" s="1"/>
  <c r="J128" i="36" s="1"/>
  <c r="K128" i="36" s="1"/>
  <c r="L128" i="36" s="1"/>
  <c r="M128" i="36" s="1"/>
  <c r="N128" i="36" s="1"/>
  <c r="O128" i="36" s="1"/>
  <c r="P128" i="36" s="1"/>
  <c r="Q128" i="36" s="1"/>
  <c r="R128" i="36" s="1"/>
  <c r="S128" i="36" s="1"/>
  <c r="T128" i="36" s="1"/>
  <c r="U128" i="36" s="1"/>
  <c r="V128" i="36" s="1"/>
  <c r="W128" i="36" s="1"/>
  <c r="X128" i="36" s="1"/>
  <c r="Y128" i="36" s="1"/>
  <c r="Z128" i="36" s="1"/>
  <c r="AA128" i="36" s="1"/>
  <c r="AB128" i="36" s="1"/>
  <c r="AC128" i="36" s="1"/>
  <c r="AD128" i="36" s="1"/>
  <c r="AE128" i="36" s="1"/>
  <c r="AF128" i="36" s="1"/>
  <c r="B128" i="36" s="1"/>
  <c r="G127" i="36"/>
  <c r="H127" i="36" s="1"/>
  <c r="I127" i="36" s="1"/>
  <c r="J127" i="36" s="1"/>
  <c r="K127" i="36" s="1"/>
  <c r="L127" i="36" s="1"/>
  <c r="M127" i="36" s="1"/>
  <c r="N127" i="36" s="1"/>
  <c r="O127" i="36" s="1"/>
  <c r="P127" i="36" s="1"/>
  <c r="Q127" i="36" s="1"/>
  <c r="R127" i="36" s="1"/>
  <c r="S127" i="36" s="1"/>
  <c r="T127" i="36" s="1"/>
  <c r="U127" i="36" s="1"/>
  <c r="V127" i="36" s="1"/>
  <c r="W127" i="36" s="1"/>
  <c r="X127" i="36" s="1"/>
  <c r="Y127" i="36" s="1"/>
  <c r="Z127" i="36" s="1"/>
  <c r="AA127" i="36" s="1"/>
  <c r="AB127" i="36" s="1"/>
  <c r="AC127" i="36" s="1"/>
  <c r="AD127" i="36" s="1"/>
  <c r="AE127" i="36" s="1"/>
  <c r="AF127" i="36" s="1"/>
  <c r="B127" i="36" s="1"/>
  <c r="D127" i="36"/>
  <c r="E127" i="36" s="1"/>
  <c r="F127" i="36" s="1"/>
  <c r="M126" i="36"/>
  <c r="N126" i="36" s="1"/>
  <c r="O126" i="36" s="1"/>
  <c r="P126" i="36" s="1"/>
  <c r="Q126" i="36" s="1"/>
  <c r="R126" i="36" s="1"/>
  <c r="S126" i="36" s="1"/>
  <c r="T126" i="36" s="1"/>
  <c r="U126" i="36" s="1"/>
  <c r="V126" i="36" s="1"/>
  <c r="W126" i="36" s="1"/>
  <c r="X126" i="36" s="1"/>
  <c r="Y126" i="36" s="1"/>
  <c r="Z126" i="36" s="1"/>
  <c r="AA126" i="36" s="1"/>
  <c r="AB126" i="36" s="1"/>
  <c r="AC126" i="36" s="1"/>
  <c r="AD126" i="36" s="1"/>
  <c r="AE126" i="36" s="1"/>
  <c r="AF126" i="36" s="1"/>
  <c r="B126" i="36" s="1"/>
  <c r="E126" i="36"/>
  <c r="F126" i="36" s="1"/>
  <c r="G126" i="36" s="1"/>
  <c r="H126" i="36" s="1"/>
  <c r="I126" i="36" s="1"/>
  <c r="J126" i="36" s="1"/>
  <c r="K126" i="36" s="1"/>
  <c r="L126" i="36" s="1"/>
  <c r="D126" i="36"/>
  <c r="M125" i="36"/>
  <c r="N125" i="36" s="1"/>
  <c r="O125" i="36" s="1"/>
  <c r="P125" i="36" s="1"/>
  <c r="Q125" i="36" s="1"/>
  <c r="R125" i="36" s="1"/>
  <c r="S125" i="36" s="1"/>
  <c r="T125" i="36" s="1"/>
  <c r="U125" i="36" s="1"/>
  <c r="V125" i="36" s="1"/>
  <c r="W125" i="36" s="1"/>
  <c r="X125" i="36" s="1"/>
  <c r="Y125" i="36" s="1"/>
  <c r="Z125" i="36" s="1"/>
  <c r="AA125" i="36" s="1"/>
  <c r="AB125" i="36" s="1"/>
  <c r="AC125" i="36" s="1"/>
  <c r="AD125" i="36" s="1"/>
  <c r="AE125" i="36" s="1"/>
  <c r="AF125" i="36" s="1"/>
  <c r="B125" i="36" s="1"/>
  <c r="K125" i="36"/>
  <c r="L125" i="36" s="1"/>
  <c r="J125" i="36"/>
  <c r="E125" i="36"/>
  <c r="F125" i="36" s="1"/>
  <c r="G125" i="36" s="1"/>
  <c r="H125" i="36" s="1"/>
  <c r="D125" i="36"/>
  <c r="E124" i="36"/>
  <c r="F124" i="36" s="1"/>
  <c r="G124" i="36" s="1"/>
  <c r="H124" i="36" s="1"/>
  <c r="I124" i="36" s="1"/>
  <c r="J124" i="36" s="1"/>
  <c r="K124" i="36" s="1"/>
  <c r="L124" i="36" s="1"/>
  <c r="M124" i="36" s="1"/>
  <c r="N124" i="36" s="1"/>
  <c r="O124" i="36" s="1"/>
  <c r="P124" i="36" s="1"/>
  <c r="Q124" i="36" s="1"/>
  <c r="R124" i="36" s="1"/>
  <c r="S124" i="36" s="1"/>
  <c r="T124" i="36" s="1"/>
  <c r="U124" i="36" s="1"/>
  <c r="V124" i="36" s="1"/>
  <c r="W124" i="36" s="1"/>
  <c r="X124" i="36" s="1"/>
  <c r="Y124" i="36" s="1"/>
  <c r="Z124" i="36" s="1"/>
  <c r="AA124" i="36" s="1"/>
  <c r="AB124" i="36" s="1"/>
  <c r="AC124" i="36" s="1"/>
  <c r="AD124" i="36" s="1"/>
  <c r="AE124" i="36" s="1"/>
  <c r="AF124" i="36" s="1"/>
  <c r="B124" i="36" s="1"/>
  <c r="D124" i="36"/>
  <c r="H123" i="36"/>
  <c r="I123" i="36" s="1"/>
  <c r="J123" i="36" s="1"/>
  <c r="K123" i="36" s="1"/>
  <c r="L123" i="36" s="1"/>
  <c r="M123" i="36" s="1"/>
  <c r="N123" i="36" s="1"/>
  <c r="O123" i="36" s="1"/>
  <c r="P123" i="36" s="1"/>
  <c r="Q123" i="36" s="1"/>
  <c r="R123" i="36" s="1"/>
  <c r="S123" i="36" s="1"/>
  <c r="T123" i="36" s="1"/>
  <c r="U123" i="36" s="1"/>
  <c r="V123" i="36" s="1"/>
  <c r="W123" i="36" s="1"/>
  <c r="X123" i="36" s="1"/>
  <c r="Y123" i="36" s="1"/>
  <c r="Z123" i="36" s="1"/>
  <c r="AA123" i="36" s="1"/>
  <c r="AB123" i="36" s="1"/>
  <c r="AC123" i="36" s="1"/>
  <c r="AD123" i="36" s="1"/>
  <c r="AE123" i="36" s="1"/>
  <c r="AF123" i="36" s="1"/>
  <c r="B123" i="36" s="1"/>
  <c r="E123" i="36"/>
  <c r="F123" i="36" s="1"/>
  <c r="G123" i="36" s="1"/>
  <c r="D123" i="36"/>
  <c r="F122" i="36"/>
  <c r="G122" i="36" s="1"/>
  <c r="H122" i="36" s="1"/>
  <c r="I122" i="36" s="1"/>
  <c r="J122" i="36" s="1"/>
  <c r="K122" i="36" s="1"/>
  <c r="L122" i="36" s="1"/>
  <c r="M122" i="36" s="1"/>
  <c r="N122" i="36" s="1"/>
  <c r="O122" i="36" s="1"/>
  <c r="P122" i="36" s="1"/>
  <c r="Q122" i="36" s="1"/>
  <c r="R122" i="36" s="1"/>
  <c r="S122" i="36" s="1"/>
  <c r="T122" i="36" s="1"/>
  <c r="U122" i="36" s="1"/>
  <c r="V122" i="36" s="1"/>
  <c r="W122" i="36" s="1"/>
  <c r="X122" i="36" s="1"/>
  <c r="Y122" i="36" s="1"/>
  <c r="Z122" i="36" s="1"/>
  <c r="AA122" i="36" s="1"/>
  <c r="AB122" i="36" s="1"/>
  <c r="AC122" i="36" s="1"/>
  <c r="AD122" i="36" s="1"/>
  <c r="AE122" i="36" s="1"/>
  <c r="AF122" i="36" s="1"/>
  <c r="B122" i="36" s="1"/>
  <c r="D122" i="36"/>
  <c r="E122" i="36" s="1"/>
  <c r="D121" i="36"/>
  <c r="E121" i="36" s="1"/>
  <c r="F121" i="36" s="1"/>
  <c r="G121" i="36" s="1"/>
  <c r="H121" i="36" s="1"/>
  <c r="I121" i="36" s="1"/>
  <c r="J121" i="36" s="1"/>
  <c r="K121" i="36" s="1"/>
  <c r="L121" i="36" s="1"/>
  <c r="M121" i="36" s="1"/>
  <c r="N121" i="36" s="1"/>
  <c r="O121" i="36" s="1"/>
  <c r="P121" i="36" s="1"/>
  <c r="Q121" i="36" s="1"/>
  <c r="R121" i="36" s="1"/>
  <c r="S121" i="36" s="1"/>
  <c r="T121" i="36" s="1"/>
  <c r="U121" i="36" s="1"/>
  <c r="V121" i="36" s="1"/>
  <c r="W121" i="36" s="1"/>
  <c r="X121" i="36" s="1"/>
  <c r="Y121" i="36" s="1"/>
  <c r="Z121" i="36" s="1"/>
  <c r="AA121" i="36" s="1"/>
  <c r="AB121" i="36" s="1"/>
  <c r="AC121" i="36" s="1"/>
  <c r="AD121" i="36" s="1"/>
  <c r="AE121" i="36" s="1"/>
  <c r="AF121" i="36" s="1"/>
  <c r="B121" i="36" s="1"/>
  <c r="U120" i="36"/>
  <c r="V120" i="36" s="1"/>
  <c r="W120" i="36" s="1"/>
  <c r="X120" i="36" s="1"/>
  <c r="Y120" i="36" s="1"/>
  <c r="Z120" i="36" s="1"/>
  <c r="AA120" i="36" s="1"/>
  <c r="AB120" i="36" s="1"/>
  <c r="AC120" i="36" s="1"/>
  <c r="AD120" i="36" s="1"/>
  <c r="AE120" i="36" s="1"/>
  <c r="AF120" i="36" s="1"/>
  <c r="B120" i="36" s="1"/>
  <c r="P120" i="36"/>
  <c r="Q120" i="36" s="1"/>
  <c r="R120" i="36" s="1"/>
  <c r="S120" i="36" s="1"/>
  <c r="T120" i="36" s="1"/>
  <c r="K120" i="36"/>
  <c r="L120" i="36" s="1"/>
  <c r="M120" i="36" s="1"/>
  <c r="N120" i="36" s="1"/>
  <c r="O120" i="36" s="1"/>
  <c r="G120" i="36"/>
  <c r="H120" i="36" s="1"/>
  <c r="I120" i="36" s="1"/>
  <c r="J120" i="36" s="1"/>
  <c r="F120" i="36"/>
  <c r="E120" i="36"/>
  <c r="D120" i="36"/>
  <c r="H119" i="36"/>
  <c r="I119" i="36" s="1"/>
  <c r="J119" i="36" s="1"/>
  <c r="K119" i="36" s="1"/>
  <c r="L119" i="36" s="1"/>
  <c r="M119" i="36" s="1"/>
  <c r="N119" i="36" s="1"/>
  <c r="O119" i="36" s="1"/>
  <c r="P119" i="36" s="1"/>
  <c r="Q119" i="36" s="1"/>
  <c r="R119" i="36" s="1"/>
  <c r="S119" i="36" s="1"/>
  <c r="T119" i="36" s="1"/>
  <c r="U119" i="36" s="1"/>
  <c r="V119" i="36" s="1"/>
  <c r="W119" i="36" s="1"/>
  <c r="X119" i="36" s="1"/>
  <c r="Y119" i="36" s="1"/>
  <c r="Z119" i="36" s="1"/>
  <c r="AA119" i="36" s="1"/>
  <c r="AB119" i="36" s="1"/>
  <c r="AC119" i="36" s="1"/>
  <c r="AD119" i="36" s="1"/>
  <c r="AE119" i="36" s="1"/>
  <c r="AF119" i="36" s="1"/>
  <c r="B119" i="36" s="1"/>
  <c r="D119" i="36"/>
  <c r="E119" i="36" s="1"/>
  <c r="F119" i="36" s="1"/>
  <c r="G119" i="36" s="1"/>
  <c r="F118" i="36"/>
  <c r="G118" i="36" s="1"/>
  <c r="H118" i="36" s="1"/>
  <c r="I118" i="36" s="1"/>
  <c r="J118" i="36" s="1"/>
  <c r="K118" i="36" s="1"/>
  <c r="L118" i="36" s="1"/>
  <c r="M118" i="36" s="1"/>
  <c r="N118" i="36" s="1"/>
  <c r="O118" i="36" s="1"/>
  <c r="P118" i="36" s="1"/>
  <c r="Q118" i="36" s="1"/>
  <c r="R118" i="36" s="1"/>
  <c r="S118" i="36" s="1"/>
  <c r="T118" i="36" s="1"/>
  <c r="U118" i="36" s="1"/>
  <c r="V118" i="36" s="1"/>
  <c r="W118" i="36" s="1"/>
  <c r="X118" i="36" s="1"/>
  <c r="Y118" i="36" s="1"/>
  <c r="Z118" i="36" s="1"/>
  <c r="AA118" i="36" s="1"/>
  <c r="AB118" i="36" s="1"/>
  <c r="AC118" i="36" s="1"/>
  <c r="AD118" i="36" s="1"/>
  <c r="AE118" i="36" s="1"/>
  <c r="AF118" i="36" s="1"/>
  <c r="B118" i="36" s="1"/>
  <c r="D118" i="36"/>
  <c r="E118" i="36" s="1"/>
  <c r="H117" i="36"/>
  <c r="I117" i="36" s="1"/>
  <c r="J117" i="36" s="1"/>
  <c r="K117" i="36" s="1"/>
  <c r="L117" i="36" s="1"/>
  <c r="M117" i="36" s="1"/>
  <c r="N117" i="36" s="1"/>
  <c r="O117" i="36" s="1"/>
  <c r="P117" i="36" s="1"/>
  <c r="Q117" i="36" s="1"/>
  <c r="R117" i="36" s="1"/>
  <c r="S117" i="36" s="1"/>
  <c r="T117" i="36" s="1"/>
  <c r="U117" i="36" s="1"/>
  <c r="V117" i="36" s="1"/>
  <c r="W117" i="36" s="1"/>
  <c r="X117" i="36" s="1"/>
  <c r="Y117" i="36" s="1"/>
  <c r="Z117" i="36" s="1"/>
  <c r="AA117" i="36" s="1"/>
  <c r="AB117" i="36" s="1"/>
  <c r="AC117" i="36" s="1"/>
  <c r="AD117" i="36" s="1"/>
  <c r="AE117" i="36" s="1"/>
  <c r="AF117" i="36" s="1"/>
  <c r="B117" i="36" s="1"/>
  <c r="D117" i="36"/>
  <c r="E117" i="36" s="1"/>
  <c r="F117" i="36" s="1"/>
  <c r="G117" i="36" s="1"/>
  <c r="F116" i="36"/>
  <c r="G116" i="36" s="1"/>
  <c r="H116" i="36" s="1"/>
  <c r="I116" i="36" s="1"/>
  <c r="J116" i="36" s="1"/>
  <c r="K116" i="36" s="1"/>
  <c r="L116" i="36" s="1"/>
  <c r="M116" i="36" s="1"/>
  <c r="N116" i="36" s="1"/>
  <c r="O116" i="36" s="1"/>
  <c r="P116" i="36" s="1"/>
  <c r="Q116" i="36" s="1"/>
  <c r="R116" i="36" s="1"/>
  <c r="S116" i="36" s="1"/>
  <c r="T116" i="36" s="1"/>
  <c r="U116" i="36" s="1"/>
  <c r="V116" i="36" s="1"/>
  <c r="W116" i="36" s="1"/>
  <c r="X116" i="36" s="1"/>
  <c r="Y116" i="36" s="1"/>
  <c r="Z116" i="36" s="1"/>
  <c r="AA116" i="36" s="1"/>
  <c r="AB116" i="36" s="1"/>
  <c r="AC116" i="36" s="1"/>
  <c r="AD116" i="36" s="1"/>
  <c r="AE116" i="36" s="1"/>
  <c r="AF116" i="36" s="1"/>
  <c r="B116" i="36" s="1"/>
  <c r="E116" i="36"/>
  <c r="D116" i="36"/>
  <c r="D115" i="36"/>
  <c r="E115" i="36" s="1"/>
  <c r="F115" i="36" s="1"/>
  <c r="G115" i="36" s="1"/>
  <c r="H115" i="36" s="1"/>
  <c r="I115" i="36" s="1"/>
  <c r="J115" i="36" s="1"/>
  <c r="K115" i="36" s="1"/>
  <c r="L115" i="36" s="1"/>
  <c r="M115" i="36" s="1"/>
  <c r="N115" i="36" s="1"/>
  <c r="O115" i="36" s="1"/>
  <c r="P115" i="36" s="1"/>
  <c r="Q115" i="36" s="1"/>
  <c r="R115" i="36" s="1"/>
  <c r="S115" i="36" s="1"/>
  <c r="T115" i="36" s="1"/>
  <c r="U115" i="36" s="1"/>
  <c r="V115" i="36" s="1"/>
  <c r="W115" i="36" s="1"/>
  <c r="X115" i="36" s="1"/>
  <c r="Y115" i="36" s="1"/>
  <c r="Z115" i="36" s="1"/>
  <c r="AA115" i="36" s="1"/>
  <c r="AB115" i="36" s="1"/>
  <c r="AC115" i="36" s="1"/>
  <c r="AD115" i="36" s="1"/>
  <c r="AE115" i="36" s="1"/>
  <c r="AF115" i="36" s="1"/>
  <c r="B115" i="36" s="1"/>
  <c r="L114" i="36"/>
  <c r="M114" i="36" s="1"/>
  <c r="N114" i="36" s="1"/>
  <c r="O114" i="36" s="1"/>
  <c r="P114" i="36" s="1"/>
  <c r="Q114" i="36" s="1"/>
  <c r="R114" i="36" s="1"/>
  <c r="S114" i="36" s="1"/>
  <c r="T114" i="36" s="1"/>
  <c r="U114" i="36" s="1"/>
  <c r="V114" i="36" s="1"/>
  <c r="W114" i="36" s="1"/>
  <c r="X114" i="36" s="1"/>
  <c r="Y114" i="36" s="1"/>
  <c r="Z114" i="36" s="1"/>
  <c r="AA114" i="36" s="1"/>
  <c r="AB114" i="36" s="1"/>
  <c r="AC114" i="36" s="1"/>
  <c r="AD114" i="36" s="1"/>
  <c r="AE114" i="36" s="1"/>
  <c r="AF114" i="36" s="1"/>
  <c r="B114" i="36" s="1"/>
  <c r="K114" i="36"/>
  <c r="E114" i="36"/>
  <c r="F114" i="36" s="1"/>
  <c r="G114" i="36" s="1"/>
  <c r="H114" i="36" s="1"/>
  <c r="I114" i="36" s="1"/>
  <c r="D114" i="36"/>
  <c r="D113" i="36"/>
  <c r="E113" i="36" s="1"/>
  <c r="F113" i="36" s="1"/>
  <c r="G113" i="36" s="1"/>
  <c r="H113" i="36" s="1"/>
  <c r="I113" i="36" s="1"/>
  <c r="J113" i="36" s="1"/>
  <c r="K113" i="36" s="1"/>
  <c r="L113" i="36" s="1"/>
  <c r="M113" i="36" s="1"/>
  <c r="N113" i="36" s="1"/>
  <c r="O113" i="36" s="1"/>
  <c r="P113" i="36" s="1"/>
  <c r="Q113" i="36" s="1"/>
  <c r="R113" i="36" s="1"/>
  <c r="S113" i="36" s="1"/>
  <c r="T113" i="36" s="1"/>
  <c r="U113" i="36" s="1"/>
  <c r="V113" i="36" s="1"/>
  <c r="W113" i="36" s="1"/>
  <c r="X113" i="36" s="1"/>
  <c r="Y113" i="36" s="1"/>
  <c r="Z113" i="36" s="1"/>
  <c r="AA113" i="36" s="1"/>
  <c r="AB113" i="36" s="1"/>
  <c r="AC113" i="36" s="1"/>
  <c r="AD113" i="36" s="1"/>
  <c r="AE113" i="36" s="1"/>
  <c r="AF113" i="36" s="1"/>
  <c r="B113" i="36" s="1"/>
  <c r="E112" i="36"/>
  <c r="F112" i="36" s="1"/>
  <c r="G112" i="36" s="1"/>
  <c r="H112" i="36" s="1"/>
  <c r="I112" i="36" s="1"/>
  <c r="J112" i="36" s="1"/>
  <c r="K112" i="36" s="1"/>
  <c r="L112" i="36" s="1"/>
  <c r="M112" i="36" s="1"/>
  <c r="N112" i="36" s="1"/>
  <c r="O112" i="36" s="1"/>
  <c r="P112" i="36" s="1"/>
  <c r="Q112" i="36" s="1"/>
  <c r="R112" i="36" s="1"/>
  <c r="S112" i="36" s="1"/>
  <c r="T112" i="36" s="1"/>
  <c r="U112" i="36" s="1"/>
  <c r="V112" i="36" s="1"/>
  <c r="W112" i="36" s="1"/>
  <c r="X112" i="36" s="1"/>
  <c r="Y112" i="36" s="1"/>
  <c r="Z112" i="36" s="1"/>
  <c r="AA112" i="36" s="1"/>
  <c r="AB112" i="36" s="1"/>
  <c r="AC112" i="36" s="1"/>
  <c r="AD112" i="36" s="1"/>
  <c r="AE112" i="36" s="1"/>
  <c r="AF112" i="36" s="1"/>
  <c r="B112" i="36" s="1"/>
  <c r="D112" i="36"/>
  <c r="O110" i="36"/>
  <c r="P110" i="36" s="1"/>
  <c r="Q110" i="36" s="1"/>
  <c r="R110" i="36" s="1"/>
  <c r="S110" i="36" s="1"/>
  <c r="T110" i="36" s="1"/>
  <c r="U110" i="36" s="1"/>
  <c r="V110" i="36" s="1"/>
  <c r="W110" i="36" s="1"/>
  <c r="X110" i="36" s="1"/>
  <c r="Y110" i="36" s="1"/>
  <c r="Z110" i="36" s="1"/>
  <c r="AA110" i="36" s="1"/>
  <c r="AB110" i="36" s="1"/>
  <c r="AC110" i="36" s="1"/>
  <c r="AD110" i="36" s="1"/>
  <c r="AE110" i="36" s="1"/>
  <c r="AF110" i="36" s="1"/>
  <c r="B110" i="36" s="1"/>
  <c r="K110" i="36"/>
  <c r="L110" i="36" s="1"/>
  <c r="M110" i="36" s="1"/>
  <c r="N110" i="36" s="1"/>
  <c r="H110" i="36"/>
  <c r="I110" i="36" s="1"/>
  <c r="J110" i="36" s="1"/>
  <c r="G110" i="36"/>
  <c r="F110" i="36"/>
  <c r="E110" i="36"/>
  <c r="D110" i="36"/>
  <c r="I109" i="36"/>
  <c r="J109" i="36" s="1"/>
  <c r="K109" i="36" s="1"/>
  <c r="L109" i="36" s="1"/>
  <c r="M109" i="36" s="1"/>
  <c r="N109" i="36" s="1"/>
  <c r="O109" i="36" s="1"/>
  <c r="P109" i="36" s="1"/>
  <c r="Q109" i="36" s="1"/>
  <c r="R109" i="36" s="1"/>
  <c r="S109" i="36" s="1"/>
  <c r="T109" i="36" s="1"/>
  <c r="U109" i="36" s="1"/>
  <c r="V109" i="36" s="1"/>
  <c r="W109" i="36" s="1"/>
  <c r="X109" i="36" s="1"/>
  <c r="Y109" i="36" s="1"/>
  <c r="Z109" i="36" s="1"/>
  <c r="AA109" i="36" s="1"/>
  <c r="AB109" i="36" s="1"/>
  <c r="AC109" i="36" s="1"/>
  <c r="AD109" i="36" s="1"/>
  <c r="AE109" i="36" s="1"/>
  <c r="AF109" i="36" s="1"/>
  <c r="B109" i="36" s="1"/>
  <c r="F109" i="36"/>
  <c r="G109" i="36" s="1"/>
  <c r="H109" i="36" s="1"/>
  <c r="E109" i="36"/>
  <c r="D109" i="36"/>
  <c r="F107" i="36"/>
  <c r="G107" i="36" s="1"/>
  <c r="H107" i="36" s="1"/>
  <c r="I107" i="36" s="1"/>
  <c r="J107" i="36" s="1"/>
  <c r="K107" i="36" s="1"/>
  <c r="L107" i="36" s="1"/>
  <c r="M107" i="36" s="1"/>
  <c r="N107" i="36" s="1"/>
  <c r="O107" i="36" s="1"/>
  <c r="P107" i="36" s="1"/>
  <c r="Q107" i="36" s="1"/>
  <c r="R107" i="36" s="1"/>
  <c r="S107" i="36" s="1"/>
  <c r="T107" i="36" s="1"/>
  <c r="U107" i="36" s="1"/>
  <c r="V107" i="36" s="1"/>
  <c r="W107" i="36" s="1"/>
  <c r="X107" i="36" s="1"/>
  <c r="Y107" i="36" s="1"/>
  <c r="Z107" i="36" s="1"/>
  <c r="AA107" i="36" s="1"/>
  <c r="AB107" i="36" s="1"/>
  <c r="AC107" i="36" s="1"/>
  <c r="AD107" i="36" s="1"/>
  <c r="AE107" i="36" s="1"/>
  <c r="AF107" i="36" s="1"/>
  <c r="B107" i="36" s="1"/>
  <c r="D107" i="36"/>
  <c r="E107" i="36" s="1"/>
  <c r="D106" i="36"/>
  <c r="E106" i="36" s="1"/>
  <c r="F106" i="36" s="1"/>
  <c r="G106" i="36" s="1"/>
  <c r="H106" i="36" s="1"/>
  <c r="I106" i="36" s="1"/>
  <c r="J106" i="36" s="1"/>
  <c r="K106" i="36" s="1"/>
  <c r="L106" i="36" s="1"/>
  <c r="M106" i="36" s="1"/>
  <c r="N106" i="36" s="1"/>
  <c r="O106" i="36" s="1"/>
  <c r="P106" i="36" s="1"/>
  <c r="Q106" i="36" s="1"/>
  <c r="R106" i="36" s="1"/>
  <c r="S106" i="36" s="1"/>
  <c r="T106" i="36" s="1"/>
  <c r="U106" i="36" s="1"/>
  <c r="V106" i="36" s="1"/>
  <c r="W106" i="36" s="1"/>
  <c r="X106" i="36" s="1"/>
  <c r="Y106" i="36" s="1"/>
  <c r="Z106" i="36" s="1"/>
  <c r="AA106" i="36" s="1"/>
  <c r="AB106" i="36" s="1"/>
  <c r="AC106" i="36" s="1"/>
  <c r="AD106" i="36" s="1"/>
  <c r="AE106" i="36" s="1"/>
  <c r="AF106" i="36" s="1"/>
  <c r="B106" i="36" s="1"/>
  <c r="F105" i="36"/>
  <c r="G105" i="36" s="1"/>
  <c r="H105" i="36" s="1"/>
  <c r="I105" i="36" s="1"/>
  <c r="J105" i="36" s="1"/>
  <c r="K105" i="36" s="1"/>
  <c r="L105" i="36" s="1"/>
  <c r="M105" i="36" s="1"/>
  <c r="N105" i="36" s="1"/>
  <c r="O105" i="36" s="1"/>
  <c r="P105" i="36" s="1"/>
  <c r="Q105" i="36" s="1"/>
  <c r="R105" i="36" s="1"/>
  <c r="S105" i="36" s="1"/>
  <c r="T105" i="36" s="1"/>
  <c r="U105" i="36" s="1"/>
  <c r="V105" i="36" s="1"/>
  <c r="W105" i="36" s="1"/>
  <c r="X105" i="36" s="1"/>
  <c r="Y105" i="36" s="1"/>
  <c r="Z105" i="36" s="1"/>
  <c r="AA105" i="36" s="1"/>
  <c r="AB105" i="36" s="1"/>
  <c r="AC105" i="36" s="1"/>
  <c r="AD105" i="36" s="1"/>
  <c r="AE105" i="36" s="1"/>
  <c r="AF105" i="36" s="1"/>
  <c r="B105" i="36" s="1"/>
  <c r="E105" i="36"/>
  <c r="D105" i="36"/>
  <c r="E104" i="36"/>
  <c r="F104" i="36" s="1"/>
  <c r="G104" i="36" s="1"/>
  <c r="H104" i="36" s="1"/>
  <c r="I104" i="36" s="1"/>
  <c r="J104" i="36" s="1"/>
  <c r="K104" i="36" s="1"/>
  <c r="L104" i="36" s="1"/>
  <c r="M104" i="36" s="1"/>
  <c r="N104" i="36" s="1"/>
  <c r="O104" i="36" s="1"/>
  <c r="P104" i="36" s="1"/>
  <c r="Q104" i="36" s="1"/>
  <c r="R104" i="36" s="1"/>
  <c r="S104" i="36" s="1"/>
  <c r="T104" i="36" s="1"/>
  <c r="U104" i="36" s="1"/>
  <c r="V104" i="36" s="1"/>
  <c r="W104" i="36" s="1"/>
  <c r="X104" i="36" s="1"/>
  <c r="Y104" i="36" s="1"/>
  <c r="Z104" i="36" s="1"/>
  <c r="AA104" i="36" s="1"/>
  <c r="AB104" i="36" s="1"/>
  <c r="AC104" i="36" s="1"/>
  <c r="AD104" i="36" s="1"/>
  <c r="AE104" i="36" s="1"/>
  <c r="AF104" i="36" s="1"/>
  <c r="B104" i="36" s="1"/>
  <c r="D104" i="36"/>
  <c r="D103" i="36"/>
  <c r="E103" i="36" s="1"/>
  <c r="F103" i="36" s="1"/>
  <c r="E102" i="36"/>
  <c r="D102" i="36"/>
  <c r="AH100" i="36"/>
  <c r="AI100" i="36" s="1"/>
  <c r="AH99" i="36"/>
  <c r="AI99" i="36" s="1"/>
  <c r="AH98" i="36"/>
  <c r="AI98" i="36" s="1"/>
  <c r="AH97" i="36"/>
  <c r="AI97" i="36" s="1"/>
  <c r="AH96" i="36"/>
  <c r="AI96" i="36" s="1"/>
  <c r="AH95" i="36"/>
  <c r="AI95" i="36" s="1"/>
  <c r="AH94" i="36"/>
  <c r="AI94" i="36" s="1"/>
  <c r="E93" i="36"/>
  <c r="D93" i="36"/>
  <c r="C93" i="36"/>
  <c r="AI91" i="36"/>
  <c r="AH91" i="36"/>
  <c r="AI90" i="36"/>
  <c r="AH90" i="36"/>
  <c r="AI89" i="36"/>
  <c r="AH89" i="36"/>
  <c r="AI88" i="36"/>
  <c r="AH88" i="36"/>
  <c r="AI87" i="36"/>
  <c r="AH87" i="36"/>
  <c r="AI86" i="36"/>
  <c r="AH86" i="36"/>
  <c r="AI85" i="36"/>
  <c r="AH85" i="36"/>
  <c r="AI84" i="36"/>
  <c r="AH84" i="36"/>
  <c r="AG82" i="36"/>
  <c r="AI81" i="36"/>
  <c r="AH81" i="36"/>
  <c r="AF80" i="36"/>
  <c r="AE80" i="36"/>
  <c r="AD80" i="36"/>
  <c r="AC80" i="36"/>
  <c r="AB80" i="36"/>
  <c r="AA80" i="36"/>
  <c r="Z80" i="36"/>
  <c r="Y80" i="36"/>
  <c r="X80" i="36"/>
  <c r="W80" i="36"/>
  <c r="V80" i="36"/>
  <c r="U80" i="36"/>
  <c r="T80" i="36"/>
  <c r="S80" i="36"/>
  <c r="R80" i="36"/>
  <c r="Q80" i="36"/>
  <c r="P80" i="36"/>
  <c r="O80" i="36"/>
  <c r="N80" i="36"/>
  <c r="M80" i="36"/>
  <c r="L80" i="36"/>
  <c r="K80" i="36"/>
  <c r="J80" i="36"/>
  <c r="I80" i="36"/>
  <c r="H80" i="36"/>
  <c r="G80" i="36"/>
  <c r="F80" i="36"/>
  <c r="E80" i="36"/>
  <c r="D80" i="36"/>
  <c r="C80" i="36"/>
  <c r="AF79" i="36"/>
  <c r="AE79" i="36"/>
  <c r="AD79" i="36"/>
  <c r="AC79" i="36"/>
  <c r="AB79" i="36"/>
  <c r="AA79" i="36"/>
  <c r="Z79" i="36"/>
  <c r="Y79" i="36"/>
  <c r="X79" i="36"/>
  <c r="W79" i="36"/>
  <c r="V79" i="36"/>
  <c r="U79" i="36"/>
  <c r="T79" i="36"/>
  <c r="S79" i="36"/>
  <c r="R79" i="36"/>
  <c r="Q79" i="36"/>
  <c r="P79" i="36"/>
  <c r="O79" i="36"/>
  <c r="N79" i="36"/>
  <c r="M79" i="36"/>
  <c r="L79" i="36"/>
  <c r="K79" i="36"/>
  <c r="J79" i="36"/>
  <c r="I79" i="36"/>
  <c r="H79" i="36"/>
  <c r="G79" i="36"/>
  <c r="F79" i="36"/>
  <c r="E79" i="36"/>
  <c r="D79" i="36"/>
  <c r="C79" i="36"/>
  <c r="AF78" i="36"/>
  <c r="AE78" i="36"/>
  <c r="AD78" i="36"/>
  <c r="AC78" i="36"/>
  <c r="AB78" i="36"/>
  <c r="AA78" i="36"/>
  <c r="Z78" i="36"/>
  <c r="Y78" i="36"/>
  <c r="X78" i="36"/>
  <c r="W78" i="36"/>
  <c r="V78" i="36"/>
  <c r="U78" i="36"/>
  <c r="U82" i="36" s="1"/>
  <c r="T78" i="36"/>
  <c r="S78" i="36"/>
  <c r="R78" i="36"/>
  <c r="Q78" i="36"/>
  <c r="P78" i="36"/>
  <c r="O78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AF77" i="36"/>
  <c r="AE77" i="36"/>
  <c r="AD77" i="36"/>
  <c r="AC77" i="36"/>
  <c r="AB77" i="36"/>
  <c r="AA77" i="36"/>
  <c r="Z77" i="36"/>
  <c r="Y77" i="36"/>
  <c r="X77" i="36"/>
  <c r="W77" i="36"/>
  <c r="V77" i="36"/>
  <c r="U77" i="36"/>
  <c r="T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AF76" i="36"/>
  <c r="AE76" i="36"/>
  <c r="AD76" i="36"/>
  <c r="AD82" i="36" s="1"/>
  <c r="AC76" i="36"/>
  <c r="AB76" i="36"/>
  <c r="AA76" i="36"/>
  <c r="Z76" i="36"/>
  <c r="Z82" i="36" s="1"/>
  <c r="Y76" i="36"/>
  <c r="X76" i="36"/>
  <c r="W76" i="36"/>
  <c r="W82" i="36" s="1"/>
  <c r="V76" i="36"/>
  <c r="U76" i="36"/>
  <c r="T76" i="36"/>
  <c r="S76" i="36"/>
  <c r="R76" i="36"/>
  <c r="Q76" i="36"/>
  <c r="P76" i="36"/>
  <c r="O76" i="36"/>
  <c r="N76" i="36"/>
  <c r="M76" i="36"/>
  <c r="L76" i="36"/>
  <c r="L82" i="36" s="1"/>
  <c r="K76" i="36"/>
  <c r="J76" i="36"/>
  <c r="I76" i="36"/>
  <c r="H76" i="36"/>
  <c r="G76" i="36"/>
  <c r="F76" i="36"/>
  <c r="E76" i="36"/>
  <c r="D76" i="36"/>
  <c r="C76" i="36"/>
  <c r="AG75" i="36"/>
  <c r="AI74" i="36"/>
  <c r="AH74" i="36"/>
  <c r="AI72" i="36"/>
  <c r="AH72" i="36"/>
  <c r="AG72" i="36"/>
  <c r="AI71" i="36"/>
  <c r="AH71" i="36"/>
  <c r="AI70" i="36"/>
  <c r="AH70" i="36"/>
  <c r="AI69" i="36"/>
  <c r="AH69" i="36"/>
  <c r="AG68" i="36"/>
  <c r="AG73" i="36" s="1"/>
  <c r="AF68" i="36"/>
  <c r="AE5" i="36" s="1"/>
  <c r="AE68" i="36"/>
  <c r="AD5" i="36" s="1"/>
  <c r="AD68" i="36"/>
  <c r="AC5" i="36" s="1"/>
  <c r="AC68" i="36"/>
  <c r="AB68" i="36"/>
  <c r="AA5" i="36" s="1"/>
  <c r="AA68" i="36"/>
  <c r="Z5" i="36" s="1"/>
  <c r="Z68" i="36"/>
  <c r="Z83" i="36" s="1"/>
  <c r="Y68" i="36"/>
  <c r="X68" i="36"/>
  <c r="W5" i="36" s="1"/>
  <c r="W68" i="36"/>
  <c r="V5" i="36" s="1"/>
  <c r="V68" i="36"/>
  <c r="U5" i="36" s="1"/>
  <c r="U68" i="36"/>
  <c r="U83" i="36" s="1"/>
  <c r="T68" i="36"/>
  <c r="S5" i="36" s="1"/>
  <c r="S68" i="36"/>
  <c r="R5" i="36" s="1"/>
  <c r="R68" i="36"/>
  <c r="Q68" i="36"/>
  <c r="P5" i="36" s="1"/>
  <c r="P68" i="36"/>
  <c r="O5" i="36" s="1"/>
  <c r="O68" i="36"/>
  <c r="N5" i="36" s="1"/>
  <c r="N68" i="36"/>
  <c r="M5" i="36" s="1"/>
  <c r="M68" i="36"/>
  <c r="L68" i="36"/>
  <c r="K5" i="36" s="1"/>
  <c r="K68" i="36"/>
  <c r="J5" i="36" s="1"/>
  <c r="J68" i="36"/>
  <c r="I68" i="36"/>
  <c r="H5" i="36" s="1"/>
  <c r="H68" i="36"/>
  <c r="G5" i="36" s="1"/>
  <c r="G68" i="36"/>
  <c r="F5" i="36" s="1"/>
  <c r="F68" i="36"/>
  <c r="E5" i="36" s="1"/>
  <c r="E68" i="36"/>
  <c r="D68" i="36"/>
  <c r="C5" i="36" s="1"/>
  <c r="C68" i="36"/>
  <c r="B5" i="36" s="1"/>
  <c r="AI67" i="36"/>
  <c r="AH67" i="36"/>
  <c r="AI66" i="36"/>
  <c r="AH66" i="36"/>
  <c r="AI65" i="36"/>
  <c r="AH65" i="36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G56" i="36"/>
  <c r="AF56" i="36"/>
  <c r="AE56" i="36"/>
  <c r="AD56" i="36"/>
  <c r="AC56" i="36"/>
  <c r="AB56" i="36"/>
  <c r="AA56" i="36"/>
  <c r="Z56" i="36"/>
  <c r="Y56" i="36"/>
  <c r="X56" i="36"/>
  <c r="W56" i="36"/>
  <c r="V56" i="36"/>
  <c r="U56" i="36"/>
  <c r="T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C56" i="36"/>
  <c r="AI55" i="36"/>
  <c r="AH55" i="36"/>
  <c r="AI54" i="36"/>
  <c r="AH54" i="36"/>
  <c r="AI53" i="36"/>
  <c r="AH53" i="36"/>
  <c r="AG52" i="36"/>
  <c r="AF52" i="36"/>
  <c r="AE52" i="36"/>
  <c r="AD52" i="36"/>
  <c r="AC52" i="36"/>
  <c r="AB52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AI51" i="36"/>
  <c r="AH51" i="36"/>
  <c r="AG51" i="36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G38" i="36"/>
  <c r="AG2" i="36" s="1"/>
  <c r="AG6" i="36" s="1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U73" i="36" s="1"/>
  <c r="U75" i="36" s="1"/>
  <c r="T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T5" i="36"/>
  <c r="AG4" i="36"/>
  <c r="K4" i="36"/>
  <c r="B4" i="36"/>
  <c r="AG3" i="36"/>
  <c r="AF95" i="35"/>
  <c r="AF94" i="35"/>
  <c r="AF37" i="35"/>
  <c r="AE95" i="35"/>
  <c r="AE94" i="35"/>
  <c r="AE37" i="35"/>
  <c r="AD37" i="35"/>
  <c r="AC37" i="35"/>
  <c r="AB95" i="35"/>
  <c r="AB94" i="35"/>
  <c r="AB37" i="35"/>
  <c r="AA95" i="35"/>
  <c r="AA37" i="35"/>
  <c r="Z95" i="35"/>
  <c r="Z37" i="35"/>
  <c r="Y95" i="35"/>
  <c r="Y37" i="35"/>
  <c r="W37" i="35"/>
  <c r="X37" i="35"/>
  <c r="X95" i="35"/>
  <c r="W95" i="35"/>
  <c r="V95" i="35"/>
  <c r="V37" i="35"/>
  <c r="U95" i="35"/>
  <c r="U37" i="35"/>
  <c r="T95" i="35"/>
  <c r="T37" i="35"/>
  <c r="E4" i="37"/>
  <c r="E4" i="36"/>
  <c r="AF82" i="37" l="1"/>
  <c r="AF83" i="37" s="1"/>
  <c r="AF73" i="37"/>
  <c r="AF75" i="37" s="1"/>
  <c r="AE82" i="37"/>
  <c r="AE73" i="37"/>
  <c r="AE75" i="37" s="1"/>
  <c r="AD73" i="37"/>
  <c r="AD75" i="37" s="1"/>
  <c r="AC73" i="37"/>
  <c r="AC75" i="37" s="1"/>
  <c r="AC7" i="37" s="1"/>
  <c r="AC82" i="37"/>
  <c r="AB73" i="37"/>
  <c r="AB75" i="37" s="1"/>
  <c r="AT214" i="37" s="1"/>
  <c r="AB82" i="37"/>
  <c r="AB83" i="37" s="1"/>
  <c r="AA82" i="37"/>
  <c r="Z82" i="37"/>
  <c r="Z73" i="37"/>
  <c r="Z75" i="37" s="1"/>
  <c r="Y82" i="37"/>
  <c r="Y73" i="37"/>
  <c r="Y75" i="37" s="1"/>
  <c r="X73" i="37"/>
  <c r="X75" i="37" s="1"/>
  <c r="W82" i="37"/>
  <c r="W73" i="37"/>
  <c r="W75" i="37" s="1"/>
  <c r="V73" i="37"/>
  <c r="V75" i="37" s="1"/>
  <c r="AN214" i="37" s="1"/>
  <c r="V82" i="37"/>
  <c r="V83" i="37" s="1"/>
  <c r="U73" i="37"/>
  <c r="U75" i="37" s="1"/>
  <c r="U82" i="37"/>
  <c r="T82" i="37"/>
  <c r="T83" i="37" s="1"/>
  <c r="T73" i="37"/>
  <c r="T75" i="37" s="1"/>
  <c r="S82" i="37"/>
  <c r="S83" i="37" s="1"/>
  <c r="S73" i="37"/>
  <c r="S75" i="37" s="1"/>
  <c r="R73" i="37"/>
  <c r="R75" i="37" s="1"/>
  <c r="Q82" i="37"/>
  <c r="Q73" i="37"/>
  <c r="Q75" i="37" s="1"/>
  <c r="P82" i="37"/>
  <c r="P83" i="37"/>
  <c r="P73" i="37"/>
  <c r="P75" i="37" s="1"/>
  <c r="O82" i="37"/>
  <c r="N82" i="37"/>
  <c r="O73" i="37"/>
  <c r="O75" i="37" s="1"/>
  <c r="AG214" i="37" s="1"/>
  <c r="N73" i="37"/>
  <c r="N75" i="37" s="1"/>
  <c r="AF214" i="37" s="1"/>
  <c r="M82" i="37"/>
  <c r="M73" i="37"/>
  <c r="M75" i="37" s="1"/>
  <c r="AE214" i="37" s="1"/>
  <c r="L82" i="37"/>
  <c r="L83" i="37" s="1"/>
  <c r="L73" i="37"/>
  <c r="L75" i="37" s="1"/>
  <c r="AD214" i="37" s="1"/>
  <c r="K82" i="37"/>
  <c r="K73" i="37"/>
  <c r="K75" i="37" s="1"/>
  <c r="AC214" i="37" s="1"/>
  <c r="J82" i="37"/>
  <c r="J73" i="37"/>
  <c r="J75" i="37" s="1"/>
  <c r="I73" i="37"/>
  <c r="I75" i="37" s="1"/>
  <c r="H82" i="37"/>
  <c r="AI80" i="37"/>
  <c r="H73" i="37"/>
  <c r="H75" i="37" s="1"/>
  <c r="Z214" i="37" s="1"/>
  <c r="G82" i="37"/>
  <c r="G83" i="37" s="1"/>
  <c r="G73" i="37"/>
  <c r="G75" i="37" s="1"/>
  <c r="F82" i="37"/>
  <c r="F73" i="37"/>
  <c r="F75" i="37" s="1"/>
  <c r="E82" i="37"/>
  <c r="AI56" i="37"/>
  <c r="E73" i="37"/>
  <c r="E75" i="37" s="1"/>
  <c r="E7" i="37" s="1"/>
  <c r="D73" i="37"/>
  <c r="D75" i="37" s="1"/>
  <c r="AI78" i="37"/>
  <c r="D82" i="37"/>
  <c r="AI52" i="37"/>
  <c r="AI79" i="37"/>
  <c r="AH77" i="37"/>
  <c r="C82" i="37"/>
  <c r="AI77" i="37"/>
  <c r="AI76" i="37"/>
  <c r="AH78" i="37"/>
  <c r="AH56" i="37"/>
  <c r="C73" i="37"/>
  <c r="C75" i="37" s="1"/>
  <c r="U214" i="37" s="1"/>
  <c r="AH52" i="37"/>
  <c r="AI38" i="37"/>
  <c r="H4" i="37"/>
  <c r="N7" i="37"/>
  <c r="W214" i="37"/>
  <c r="AM214" i="37"/>
  <c r="U7" i="37"/>
  <c r="F83" i="37"/>
  <c r="N83" i="37"/>
  <c r="AD83" i="37"/>
  <c r="Y214" i="37"/>
  <c r="G7" i="37"/>
  <c r="AO214" i="37"/>
  <c r="W7" i="37"/>
  <c r="AW214" i="37"/>
  <c r="AE7" i="37"/>
  <c r="AV214" i="37"/>
  <c r="AD7" i="37"/>
  <c r="AH214" i="37"/>
  <c r="P7" i="37"/>
  <c r="AP214" i="37"/>
  <c r="X7" i="37"/>
  <c r="AX214" i="37"/>
  <c r="AF7" i="37"/>
  <c r="AA214" i="37"/>
  <c r="I7" i="37"/>
  <c r="AI214" i="37"/>
  <c r="Q7" i="37"/>
  <c r="AQ214" i="37"/>
  <c r="Y7" i="37"/>
  <c r="V7" i="37"/>
  <c r="G103" i="37"/>
  <c r="AB214" i="37"/>
  <c r="J7" i="37"/>
  <c r="AJ214" i="37"/>
  <c r="R7" i="37"/>
  <c r="AR214" i="37"/>
  <c r="Z7" i="37"/>
  <c r="X214" i="37"/>
  <c r="F7" i="37"/>
  <c r="AK214" i="37"/>
  <c r="S7" i="37"/>
  <c r="AS214" i="37"/>
  <c r="AA7" i="37"/>
  <c r="V214" i="37"/>
  <c r="D7" i="37"/>
  <c r="L7" i="37"/>
  <c r="AL214" i="37"/>
  <c r="T7" i="37"/>
  <c r="E83" i="37"/>
  <c r="D192" i="37"/>
  <c r="E102" i="37"/>
  <c r="H83" i="37"/>
  <c r="X83" i="37"/>
  <c r="J83" i="37"/>
  <c r="R83" i="37"/>
  <c r="Z83" i="37"/>
  <c r="AH68" i="37"/>
  <c r="AG83" i="37"/>
  <c r="AH76" i="37"/>
  <c r="B82" i="37"/>
  <c r="B83" i="37" s="1"/>
  <c r="K83" i="37"/>
  <c r="AA83" i="37"/>
  <c r="S211" i="37"/>
  <c r="D211" i="37"/>
  <c r="Q83" i="37"/>
  <c r="C83" i="37"/>
  <c r="I83" i="37"/>
  <c r="O5" i="37"/>
  <c r="AE5" i="37"/>
  <c r="AH38" i="37"/>
  <c r="M83" i="37"/>
  <c r="U83" i="37"/>
  <c r="AC83" i="37"/>
  <c r="B73" i="37"/>
  <c r="AH79" i="37"/>
  <c r="D83" i="37"/>
  <c r="AI68" i="37"/>
  <c r="H5" i="37"/>
  <c r="R5" i="37"/>
  <c r="AH80" i="37"/>
  <c r="Y83" i="37"/>
  <c r="P5" i="37"/>
  <c r="S5" i="37"/>
  <c r="O83" i="37"/>
  <c r="W83" i="37"/>
  <c r="AE83" i="37"/>
  <c r="E199" i="37"/>
  <c r="E93" i="37" s="1"/>
  <c r="C235" i="37"/>
  <c r="D200" i="37"/>
  <c r="F194" i="37"/>
  <c r="AF82" i="36"/>
  <c r="AF73" i="36"/>
  <c r="AF75" i="36" s="1"/>
  <c r="AE82" i="36"/>
  <c r="AE73" i="36"/>
  <c r="AE75" i="36" s="1"/>
  <c r="AD83" i="36"/>
  <c r="AD73" i="36"/>
  <c r="AD75" i="36" s="1"/>
  <c r="AC82" i="36"/>
  <c r="AC83" i="36" s="1"/>
  <c r="AB5" i="36"/>
  <c r="AC73" i="36"/>
  <c r="AC75" i="36" s="1"/>
  <c r="AB82" i="36"/>
  <c r="AB73" i="36"/>
  <c r="AB75" i="36" s="1"/>
  <c r="AB7" i="36" s="1"/>
  <c r="AA82" i="36"/>
  <c r="AA83" i="36"/>
  <c r="AA73" i="36"/>
  <c r="AA75" i="36" s="1"/>
  <c r="Y5" i="36"/>
  <c r="Z73" i="36"/>
  <c r="Z75" i="36" s="1"/>
  <c r="Y82" i="36"/>
  <c r="Y83" i="36"/>
  <c r="X5" i="36"/>
  <c r="Y73" i="36"/>
  <c r="Y75" i="36" s="1"/>
  <c r="X82" i="36"/>
  <c r="X73" i="36"/>
  <c r="X75" i="36" s="1"/>
  <c r="W73" i="36"/>
  <c r="W75" i="36" s="1"/>
  <c r="V73" i="36"/>
  <c r="V75" i="36" s="1"/>
  <c r="V82" i="36"/>
  <c r="V83" i="36" s="1"/>
  <c r="T82" i="36"/>
  <c r="T73" i="36"/>
  <c r="T75" i="36" s="1"/>
  <c r="S82" i="36"/>
  <c r="S83" i="36" s="1"/>
  <c r="S73" i="36"/>
  <c r="S75" i="36" s="1"/>
  <c r="R82" i="36"/>
  <c r="R83" i="36" s="1"/>
  <c r="Q5" i="36"/>
  <c r="R73" i="36"/>
  <c r="R75" i="36" s="1"/>
  <c r="Q82" i="36"/>
  <c r="Q73" i="36"/>
  <c r="Q75" i="36" s="1"/>
  <c r="P82" i="36"/>
  <c r="P73" i="36"/>
  <c r="P75" i="36" s="1"/>
  <c r="O82" i="36"/>
  <c r="AI80" i="36"/>
  <c r="O73" i="36"/>
  <c r="O75" i="36" s="1"/>
  <c r="N82" i="36"/>
  <c r="N83" i="36" s="1"/>
  <c r="N73" i="36"/>
  <c r="N75" i="36" s="1"/>
  <c r="M82" i="36"/>
  <c r="M83" i="36" s="1"/>
  <c r="L5" i="36"/>
  <c r="M73" i="36"/>
  <c r="M75" i="36" s="1"/>
  <c r="M7" i="36" s="1"/>
  <c r="L73" i="36"/>
  <c r="L75" i="36" s="1"/>
  <c r="K82" i="36"/>
  <c r="K83" i="36" s="1"/>
  <c r="K73" i="36"/>
  <c r="K75" i="36" s="1"/>
  <c r="J82" i="36"/>
  <c r="J83" i="36" s="1"/>
  <c r="J73" i="36"/>
  <c r="J75" i="36" s="1"/>
  <c r="AB214" i="36" s="1"/>
  <c r="I5" i="36"/>
  <c r="I73" i="36"/>
  <c r="I75" i="36" s="1"/>
  <c r="I82" i="36"/>
  <c r="I83" i="36"/>
  <c r="AI56" i="36"/>
  <c r="AI79" i="36"/>
  <c r="H82" i="36"/>
  <c r="H73" i="36"/>
  <c r="H75" i="36" s="1"/>
  <c r="H7" i="36" s="1"/>
  <c r="G82" i="36"/>
  <c r="G73" i="36"/>
  <c r="G75" i="36" s="1"/>
  <c r="AH37" i="36"/>
  <c r="F82" i="36"/>
  <c r="F83" i="36" s="1"/>
  <c r="F73" i="36"/>
  <c r="F75" i="36" s="1"/>
  <c r="AI77" i="36"/>
  <c r="D5" i="36"/>
  <c r="E73" i="36"/>
  <c r="E75" i="36" s="1"/>
  <c r="E82" i="36"/>
  <c r="E83" i="36" s="1"/>
  <c r="AH80" i="36"/>
  <c r="AI76" i="36"/>
  <c r="D82" i="36"/>
  <c r="D73" i="36"/>
  <c r="D75" i="36" s="1"/>
  <c r="V214" i="36" s="1"/>
  <c r="AI52" i="36"/>
  <c r="AI78" i="36"/>
  <c r="AH79" i="36"/>
  <c r="C82" i="36"/>
  <c r="C83" i="36"/>
  <c r="C73" i="36"/>
  <c r="C75" i="36" s="1"/>
  <c r="C7" i="36" s="1"/>
  <c r="B83" i="36"/>
  <c r="B73" i="36"/>
  <c r="B75" i="36" s="1"/>
  <c r="H4" i="36"/>
  <c r="Y214" i="36"/>
  <c r="AG214" i="36"/>
  <c r="O7" i="36"/>
  <c r="AO214" i="36"/>
  <c r="W7" i="36"/>
  <c r="AW214" i="36"/>
  <c r="AE7" i="36"/>
  <c r="AG83" i="36"/>
  <c r="AX214" i="36"/>
  <c r="AF7" i="36"/>
  <c r="AP214" i="36"/>
  <c r="X7" i="36"/>
  <c r="AA214" i="36"/>
  <c r="I7" i="36"/>
  <c r="Q83" i="36"/>
  <c r="AQ214" i="36"/>
  <c r="Y7" i="36"/>
  <c r="AR214" i="36"/>
  <c r="Z7" i="36"/>
  <c r="AS214" i="36"/>
  <c r="AA7" i="36"/>
  <c r="D83" i="36"/>
  <c r="L83" i="36"/>
  <c r="T83" i="36"/>
  <c r="AB83" i="36"/>
  <c r="AD214" i="36"/>
  <c r="L7" i="36"/>
  <c r="AL214" i="36"/>
  <c r="T7" i="36"/>
  <c r="AT214" i="36"/>
  <c r="AH214" i="36"/>
  <c r="P7" i="36"/>
  <c r="AC214" i="36"/>
  <c r="K7" i="36"/>
  <c r="W214" i="36"/>
  <c r="E7" i="36"/>
  <c r="G103" i="36"/>
  <c r="Z214" i="36"/>
  <c r="AI214" i="36"/>
  <c r="Q7" i="36"/>
  <c r="AJ214" i="36"/>
  <c r="R7" i="36"/>
  <c r="AK214" i="36"/>
  <c r="S7" i="36"/>
  <c r="AM214" i="36"/>
  <c r="U7" i="36"/>
  <c r="AU214" i="36"/>
  <c r="AC7" i="36"/>
  <c r="X214" i="36"/>
  <c r="F7" i="36"/>
  <c r="AF214" i="36"/>
  <c r="N7" i="36"/>
  <c r="AN214" i="36"/>
  <c r="V7" i="36"/>
  <c r="AV214" i="36"/>
  <c r="AD7" i="36"/>
  <c r="O83" i="36"/>
  <c r="W83" i="36"/>
  <c r="AE83" i="36"/>
  <c r="S211" i="36"/>
  <c r="D211" i="36"/>
  <c r="AH52" i="36"/>
  <c r="AH56" i="36"/>
  <c r="AH68" i="36"/>
  <c r="AH76" i="36"/>
  <c r="H83" i="36"/>
  <c r="P83" i="36"/>
  <c r="X83" i="36"/>
  <c r="AF83" i="36"/>
  <c r="D192" i="36"/>
  <c r="AI68" i="36"/>
  <c r="AH77" i="36"/>
  <c r="E192" i="36"/>
  <c r="F102" i="36"/>
  <c r="AH78" i="36"/>
  <c r="AH38" i="36"/>
  <c r="AI38" i="36"/>
  <c r="F199" i="36"/>
  <c r="E200" i="36"/>
  <c r="F194" i="36"/>
  <c r="AU214" i="37" l="1"/>
  <c r="AB7" i="37"/>
  <c r="K7" i="37"/>
  <c r="O7" i="37"/>
  <c r="M7" i="37"/>
  <c r="C209" i="37"/>
  <c r="B209" i="37"/>
  <c r="H7" i="37"/>
  <c r="C7" i="37"/>
  <c r="AH83" i="37"/>
  <c r="AI83" i="37"/>
  <c r="E192" i="37"/>
  <c r="F102" i="37"/>
  <c r="K6" i="37"/>
  <c r="D235" i="37"/>
  <c r="F199" i="37"/>
  <c r="H103" i="37"/>
  <c r="E200" i="37"/>
  <c r="AI82" i="37"/>
  <c r="AH82" i="37"/>
  <c r="G194" i="37"/>
  <c r="F200" i="37"/>
  <c r="B75" i="37"/>
  <c r="AI73" i="37"/>
  <c r="AH73" i="37"/>
  <c r="AE214" i="36"/>
  <c r="C209" i="36"/>
  <c r="K6" i="36" s="1"/>
  <c r="J7" i="36"/>
  <c r="B209" i="36"/>
  <c r="G7" i="36"/>
  <c r="D7" i="36"/>
  <c r="AH73" i="36"/>
  <c r="AI73" i="36"/>
  <c r="U214" i="36"/>
  <c r="F192" i="36"/>
  <c r="G102" i="36"/>
  <c r="G194" i="36"/>
  <c r="F200" i="36"/>
  <c r="AI82" i="36"/>
  <c r="AH82" i="36"/>
  <c r="E235" i="36"/>
  <c r="G199" i="36"/>
  <c r="H103" i="36"/>
  <c r="G93" i="36"/>
  <c r="F93" i="36"/>
  <c r="T214" i="36"/>
  <c r="AI75" i="36"/>
  <c r="B7" i="36"/>
  <c r="A7" i="36" s="1"/>
  <c r="AH75" i="36"/>
  <c r="F192" i="37" l="1"/>
  <c r="G102" i="37"/>
  <c r="H194" i="37"/>
  <c r="I103" i="37"/>
  <c r="G93" i="37"/>
  <c r="T214" i="37"/>
  <c r="AH75" i="37"/>
  <c r="B7" i="37"/>
  <c r="A7" i="37" s="1"/>
  <c r="AI75" i="37"/>
  <c r="G199" i="37"/>
  <c r="E235" i="37"/>
  <c r="F93" i="37"/>
  <c r="F235" i="36"/>
  <c r="H199" i="36"/>
  <c r="AI83" i="36"/>
  <c r="AH83" i="36"/>
  <c r="H194" i="36"/>
  <c r="G200" i="36"/>
  <c r="G192" i="36"/>
  <c r="H102" i="36"/>
  <c r="I103" i="36"/>
  <c r="H93" i="36"/>
  <c r="J103" i="37" l="1"/>
  <c r="F235" i="37"/>
  <c r="H199" i="37"/>
  <c r="G200" i="37"/>
  <c r="H200" i="37"/>
  <c r="I194" i="37"/>
  <c r="G192" i="37"/>
  <c r="H102" i="37"/>
  <c r="H192" i="36"/>
  <c r="I102" i="36"/>
  <c r="H200" i="36"/>
  <c r="I194" i="36"/>
  <c r="G235" i="36"/>
  <c r="I199" i="36"/>
  <c r="J103" i="36"/>
  <c r="G235" i="37" l="1"/>
  <c r="I199" i="37"/>
  <c r="H93" i="37"/>
  <c r="H192" i="37"/>
  <c r="I102" i="37"/>
  <c r="K103" i="37"/>
  <c r="J194" i="37"/>
  <c r="H235" i="36"/>
  <c r="J199" i="36"/>
  <c r="I200" i="36"/>
  <c r="J194" i="36"/>
  <c r="I192" i="36"/>
  <c r="J102" i="36"/>
  <c r="K103" i="36"/>
  <c r="J93" i="36"/>
  <c r="I93" i="36"/>
  <c r="S95" i="35"/>
  <c r="S37" i="35"/>
  <c r="R95" i="35"/>
  <c r="R37" i="35"/>
  <c r="Q95" i="35"/>
  <c r="Q37" i="35"/>
  <c r="P95" i="35"/>
  <c r="P37" i="35"/>
  <c r="K194" i="37" l="1"/>
  <c r="I192" i="37"/>
  <c r="J102" i="37"/>
  <c r="L103" i="37"/>
  <c r="J199" i="37"/>
  <c r="H235" i="37"/>
  <c r="I93" i="37"/>
  <c r="I200" i="37"/>
  <c r="L103" i="36"/>
  <c r="J192" i="36"/>
  <c r="K102" i="36"/>
  <c r="J200" i="36"/>
  <c r="K194" i="36"/>
  <c r="I235" i="36"/>
  <c r="K199" i="36"/>
  <c r="O95" i="35"/>
  <c r="O37" i="35"/>
  <c r="N95" i="35"/>
  <c r="J37" i="35"/>
  <c r="I37" i="35"/>
  <c r="AF239" i="35"/>
  <c r="AE239" i="35"/>
  <c r="AD239" i="35"/>
  <c r="AC239" i="35"/>
  <c r="AB239" i="35"/>
  <c r="AA239" i="35"/>
  <c r="Z239" i="35"/>
  <c r="Y239" i="35"/>
  <c r="X239" i="35"/>
  <c r="W239" i="35"/>
  <c r="V239" i="35"/>
  <c r="U239" i="35"/>
  <c r="T239" i="35"/>
  <c r="S239" i="35"/>
  <c r="R239" i="35"/>
  <c r="Q239" i="35"/>
  <c r="P239" i="35"/>
  <c r="O239" i="35"/>
  <c r="N239" i="35"/>
  <c r="M239" i="35"/>
  <c r="L239" i="35"/>
  <c r="K239" i="35"/>
  <c r="J239" i="35"/>
  <c r="I239" i="35"/>
  <c r="H239" i="35"/>
  <c r="G239" i="35"/>
  <c r="F239" i="35"/>
  <c r="E239" i="35"/>
  <c r="D239" i="35"/>
  <c r="C239" i="35"/>
  <c r="B239" i="35"/>
  <c r="A239" i="35"/>
  <c r="AF238" i="35"/>
  <c r="AE238" i="35"/>
  <c r="AD238" i="35"/>
  <c r="AC238" i="35"/>
  <c r="AB238" i="35"/>
  <c r="AA238" i="35"/>
  <c r="Z238" i="35"/>
  <c r="Y238" i="35"/>
  <c r="X238" i="35"/>
  <c r="W238" i="35"/>
  <c r="V238" i="35"/>
  <c r="U238" i="35"/>
  <c r="T238" i="35"/>
  <c r="S238" i="35"/>
  <c r="R238" i="35"/>
  <c r="Q238" i="35"/>
  <c r="P238" i="35"/>
  <c r="O238" i="35"/>
  <c r="N238" i="35"/>
  <c r="M238" i="35"/>
  <c r="L238" i="35"/>
  <c r="K238" i="35"/>
  <c r="J238" i="35"/>
  <c r="I238" i="35"/>
  <c r="H238" i="35"/>
  <c r="G238" i="35"/>
  <c r="F238" i="35"/>
  <c r="E238" i="35"/>
  <c r="D238" i="35"/>
  <c r="C238" i="35"/>
  <c r="B238" i="35"/>
  <c r="A238" i="35"/>
  <c r="AF237" i="35"/>
  <c r="AE237" i="35"/>
  <c r="AD237" i="35"/>
  <c r="AC237" i="35"/>
  <c r="AB237" i="35"/>
  <c r="AA237" i="35"/>
  <c r="Z237" i="35"/>
  <c r="Y237" i="35"/>
  <c r="X237" i="35"/>
  <c r="W237" i="35"/>
  <c r="V237" i="35"/>
  <c r="U237" i="35"/>
  <c r="T237" i="35"/>
  <c r="S237" i="35"/>
  <c r="R237" i="35"/>
  <c r="Q237" i="35"/>
  <c r="P237" i="35"/>
  <c r="O237" i="35"/>
  <c r="N237" i="35"/>
  <c r="M237" i="35"/>
  <c r="L237" i="35"/>
  <c r="K237" i="35"/>
  <c r="J237" i="35"/>
  <c r="I237" i="35"/>
  <c r="H237" i="35"/>
  <c r="G237" i="35"/>
  <c r="F237" i="35"/>
  <c r="E237" i="35"/>
  <c r="D237" i="35"/>
  <c r="C237" i="35"/>
  <c r="B237" i="35"/>
  <c r="A237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B236" i="35"/>
  <c r="A236" i="35"/>
  <c r="B235" i="35"/>
  <c r="S210" i="35"/>
  <c r="AG200" i="35"/>
  <c r="C200" i="35"/>
  <c r="D199" i="35"/>
  <c r="C235" i="35" s="1"/>
  <c r="E198" i="35"/>
  <c r="F198" i="35" s="1"/>
  <c r="G198" i="35" s="1"/>
  <c r="H198" i="35" s="1"/>
  <c r="I198" i="35" s="1"/>
  <c r="J198" i="35" s="1"/>
  <c r="K198" i="35" s="1"/>
  <c r="L198" i="35" s="1"/>
  <c r="M198" i="35" s="1"/>
  <c r="N198" i="35" s="1"/>
  <c r="O198" i="35" s="1"/>
  <c r="P198" i="35" s="1"/>
  <c r="Q198" i="35" s="1"/>
  <c r="R198" i="35" s="1"/>
  <c r="S198" i="35" s="1"/>
  <c r="T198" i="35" s="1"/>
  <c r="U198" i="35" s="1"/>
  <c r="V198" i="35" s="1"/>
  <c r="W198" i="35" s="1"/>
  <c r="X198" i="35" s="1"/>
  <c r="Y198" i="35" s="1"/>
  <c r="Z198" i="35" s="1"/>
  <c r="AA198" i="35" s="1"/>
  <c r="AB198" i="35" s="1"/>
  <c r="AC198" i="35" s="1"/>
  <c r="AD198" i="35" s="1"/>
  <c r="AE198" i="35" s="1"/>
  <c r="AF198" i="35" s="1"/>
  <c r="B198" i="35" s="1"/>
  <c r="D198" i="35"/>
  <c r="Q197" i="35"/>
  <c r="R197" i="35" s="1"/>
  <c r="S197" i="35" s="1"/>
  <c r="T197" i="35" s="1"/>
  <c r="U197" i="35" s="1"/>
  <c r="V197" i="35" s="1"/>
  <c r="W197" i="35" s="1"/>
  <c r="X197" i="35" s="1"/>
  <c r="Y197" i="35" s="1"/>
  <c r="Z197" i="35" s="1"/>
  <c r="AA197" i="35" s="1"/>
  <c r="AB197" i="35" s="1"/>
  <c r="AC197" i="35" s="1"/>
  <c r="AD197" i="35" s="1"/>
  <c r="AE197" i="35" s="1"/>
  <c r="AF197" i="35" s="1"/>
  <c r="B197" i="35" s="1"/>
  <c r="H197" i="35"/>
  <c r="I197" i="35" s="1"/>
  <c r="J197" i="35" s="1"/>
  <c r="K197" i="35" s="1"/>
  <c r="L197" i="35" s="1"/>
  <c r="M197" i="35" s="1"/>
  <c r="N197" i="35" s="1"/>
  <c r="O197" i="35" s="1"/>
  <c r="P197" i="35" s="1"/>
  <c r="E197" i="35"/>
  <c r="F197" i="35" s="1"/>
  <c r="G197" i="35" s="1"/>
  <c r="D197" i="35"/>
  <c r="D196" i="35"/>
  <c r="E196" i="35" s="1"/>
  <c r="F196" i="35" s="1"/>
  <c r="G196" i="35" s="1"/>
  <c r="H196" i="35" s="1"/>
  <c r="I196" i="35" s="1"/>
  <c r="J196" i="35" s="1"/>
  <c r="K196" i="35" s="1"/>
  <c r="L196" i="35" s="1"/>
  <c r="M196" i="35" s="1"/>
  <c r="N196" i="35" s="1"/>
  <c r="O196" i="35" s="1"/>
  <c r="P196" i="35" s="1"/>
  <c r="Q196" i="35" s="1"/>
  <c r="R196" i="35" s="1"/>
  <c r="S196" i="35" s="1"/>
  <c r="T196" i="35" s="1"/>
  <c r="U196" i="35" s="1"/>
  <c r="V196" i="35" s="1"/>
  <c r="W196" i="35" s="1"/>
  <c r="X196" i="35" s="1"/>
  <c r="Y196" i="35" s="1"/>
  <c r="Z196" i="35" s="1"/>
  <c r="AA196" i="35" s="1"/>
  <c r="AB196" i="35" s="1"/>
  <c r="AC196" i="35" s="1"/>
  <c r="AD196" i="35" s="1"/>
  <c r="AE196" i="35" s="1"/>
  <c r="AF196" i="35" s="1"/>
  <c r="B196" i="35" s="1"/>
  <c r="E195" i="35"/>
  <c r="F195" i="35" s="1"/>
  <c r="G195" i="35" s="1"/>
  <c r="H195" i="35" s="1"/>
  <c r="I195" i="35" s="1"/>
  <c r="J195" i="35" s="1"/>
  <c r="K195" i="35" s="1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Y195" i="35" s="1"/>
  <c r="Z195" i="35" s="1"/>
  <c r="AA195" i="35" s="1"/>
  <c r="AB195" i="35" s="1"/>
  <c r="AC195" i="35" s="1"/>
  <c r="AD195" i="35" s="1"/>
  <c r="AE195" i="35" s="1"/>
  <c r="AF195" i="35" s="1"/>
  <c r="B195" i="35" s="1"/>
  <c r="D195" i="35"/>
  <c r="D194" i="35"/>
  <c r="E194" i="35" s="1"/>
  <c r="AG192" i="35"/>
  <c r="C192" i="35"/>
  <c r="Y191" i="35"/>
  <c r="Z191" i="35" s="1"/>
  <c r="AA191" i="35" s="1"/>
  <c r="AB191" i="35" s="1"/>
  <c r="AC191" i="35" s="1"/>
  <c r="AD191" i="35" s="1"/>
  <c r="AE191" i="35" s="1"/>
  <c r="AF191" i="35" s="1"/>
  <c r="B191" i="35" s="1"/>
  <c r="X191" i="35"/>
  <c r="G191" i="35"/>
  <c r="H191" i="35" s="1"/>
  <c r="I191" i="35" s="1"/>
  <c r="J191" i="35" s="1"/>
  <c r="K191" i="35" s="1"/>
  <c r="L191" i="35" s="1"/>
  <c r="M191" i="35" s="1"/>
  <c r="N191" i="35" s="1"/>
  <c r="O191" i="35" s="1"/>
  <c r="P191" i="35" s="1"/>
  <c r="Q191" i="35" s="1"/>
  <c r="R191" i="35" s="1"/>
  <c r="S191" i="35" s="1"/>
  <c r="T191" i="35" s="1"/>
  <c r="U191" i="35" s="1"/>
  <c r="V191" i="35" s="1"/>
  <c r="W191" i="35" s="1"/>
  <c r="F191" i="35"/>
  <c r="E191" i="35"/>
  <c r="D191" i="35"/>
  <c r="D190" i="35"/>
  <c r="E190" i="35" s="1"/>
  <c r="F190" i="35" s="1"/>
  <c r="G190" i="35" s="1"/>
  <c r="H190" i="35" s="1"/>
  <c r="I190" i="35" s="1"/>
  <c r="J190" i="35" s="1"/>
  <c r="K190" i="35" s="1"/>
  <c r="L190" i="35" s="1"/>
  <c r="M190" i="35" s="1"/>
  <c r="N190" i="35" s="1"/>
  <c r="O190" i="35" s="1"/>
  <c r="P190" i="35" s="1"/>
  <c r="Q190" i="35" s="1"/>
  <c r="R190" i="35" s="1"/>
  <c r="S190" i="35" s="1"/>
  <c r="T190" i="35" s="1"/>
  <c r="U190" i="35" s="1"/>
  <c r="V190" i="35" s="1"/>
  <c r="W190" i="35" s="1"/>
  <c r="X190" i="35" s="1"/>
  <c r="Y190" i="35" s="1"/>
  <c r="Z190" i="35" s="1"/>
  <c r="AA190" i="35" s="1"/>
  <c r="AB190" i="35" s="1"/>
  <c r="AC190" i="35" s="1"/>
  <c r="AD190" i="35" s="1"/>
  <c r="AE190" i="35" s="1"/>
  <c r="AF190" i="35" s="1"/>
  <c r="B190" i="35" s="1"/>
  <c r="AD189" i="35"/>
  <c r="AE189" i="35" s="1"/>
  <c r="AF189" i="35" s="1"/>
  <c r="B189" i="35" s="1"/>
  <c r="V189" i="35"/>
  <c r="W189" i="35" s="1"/>
  <c r="X189" i="35" s="1"/>
  <c r="Y189" i="35" s="1"/>
  <c r="Z189" i="35" s="1"/>
  <c r="AA189" i="35" s="1"/>
  <c r="AB189" i="35" s="1"/>
  <c r="AC189" i="35" s="1"/>
  <c r="L189" i="35"/>
  <c r="M189" i="35" s="1"/>
  <c r="N189" i="35" s="1"/>
  <c r="O189" i="35" s="1"/>
  <c r="P189" i="35" s="1"/>
  <c r="Q189" i="35" s="1"/>
  <c r="R189" i="35" s="1"/>
  <c r="S189" i="35" s="1"/>
  <c r="T189" i="35" s="1"/>
  <c r="U189" i="35" s="1"/>
  <c r="D189" i="35"/>
  <c r="E189" i="35" s="1"/>
  <c r="F189" i="35" s="1"/>
  <c r="G189" i="35" s="1"/>
  <c r="H189" i="35" s="1"/>
  <c r="I189" i="35" s="1"/>
  <c r="J189" i="35" s="1"/>
  <c r="K189" i="35" s="1"/>
  <c r="I188" i="35"/>
  <c r="J188" i="35" s="1"/>
  <c r="K188" i="35" s="1"/>
  <c r="L188" i="35" s="1"/>
  <c r="M188" i="35" s="1"/>
  <c r="N188" i="35" s="1"/>
  <c r="O188" i="35" s="1"/>
  <c r="P188" i="35" s="1"/>
  <c r="Q188" i="35" s="1"/>
  <c r="R188" i="35" s="1"/>
  <c r="S188" i="35" s="1"/>
  <c r="T188" i="35" s="1"/>
  <c r="U188" i="35" s="1"/>
  <c r="V188" i="35" s="1"/>
  <c r="W188" i="35" s="1"/>
  <c r="X188" i="35" s="1"/>
  <c r="Y188" i="35" s="1"/>
  <c r="Z188" i="35" s="1"/>
  <c r="AA188" i="35" s="1"/>
  <c r="AB188" i="35" s="1"/>
  <c r="AC188" i="35" s="1"/>
  <c r="AD188" i="35" s="1"/>
  <c r="AE188" i="35" s="1"/>
  <c r="AF188" i="35" s="1"/>
  <c r="B188" i="35" s="1"/>
  <c r="G188" i="35"/>
  <c r="H188" i="35" s="1"/>
  <c r="E188" i="35"/>
  <c r="F188" i="35" s="1"/>
  <c r="D188" i="35"/>
  <c r="E187" i="35"/>
  <c r="F187" i="35" s="1"/>
  <c r="G187" i="35" s="1"/>
  <c r="H187" i="35" s="1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Z187" i="35" s="1"/>
  <c r="AA187" i="35" s="1"/>
  <c r="AB187" i="35" s="1"/>
  <c r="AC187" i="35" s="1"/>
  <c r="AD187" i="35" s="1"/>
  <c r="AE187" i="35" s="1"/>
  <c r="AF187" i="35" s="1"/>
  <c r="B187" i="35" s="1"/>
  <c r="D187" i="35"/>
  <c r="U186" i="35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B186" i="35" s="1"/>
  <c r="O186" i="35"/>
  <c r="P186" i="35" s="1"/>
  <c r="Q186" i="35" s="1"/>
  <c r="R186" i="35" s="1"/>
  <c r="S186" i="35" s="1"/>
  <c r="T186" i="35" s="1"/>
  <c r="F186" i="35"/>
  <c r="G186" i="35" s="1"/>
  <c r="H186" i="35" s="1"/>
  <c r="I186" i="35" s="1"/>
  <c r="J186" i="35" s="1"/>
  <c r="K186" i="35" s="1"/>
  <c r="L186" i="35" s="1"/>
  <c r="M186" i="35" s="1"/>
  <c r="N186" i="35" s="1"/>
  <c r="D186" i="35"/>
  <c r="E186" i="35" s="1"/>
  <c r="E185" i="35"/>
  <c r="F185" i="35" s="1"/>
  <c r="G185" i="35" s="1"/>
  <c r="H185" i="35" s="1"/>
  <c r="I185" i="35" s="1"/>
  <c r="J185" i="35" s="1"/>
  <c r="K185" i="35" s="1"/>
  <c r="L185" i="35" s="1"/>
  <c r="M185" i="35" s="1"/>
  <c r="N185" i="35" s="1"/>
  <c r="O185" i="35" s="1"/>
  <c r="P185" i="35" s="1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B185" i="35" s="1"/>
  <c r="D185" i="35"/>
  <c r="AC184" i="35"/>
  <c r="AD184" i="35" s="1"/>
  <c r="AE184" i="35" s="1"/>
  <c r="AF184" i="35" s="1"/>
  <c r="B184" i="35" s="1"/>
  <c r="I184" i="35"/>
  <c r="J184" i="35" s="1"/>
  <c r="K184" i="35" s="1"/>
  <c r="L184" i="35" s="1"/>
  <c r="M184" i="35" s="1"/>
  <c r="N184" i="35" s="1"/>
  <c r="O184" i="35" s="1"/>
  <c r="P184" i="35" s="1"/>
  <c r="Q184" i="35" s="1"/>
  <c r="R184" i="35" s="1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H184" i="35"/>
  <c r="D184" i="35"/>
  <c r="E184" i="35" s="1"/>
  <c r="F184" i="35" s="1"/>
  <c r="G184" i="35" s="1"/>
  <c r="J183" i="35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B183" i="35" s="1"/>
  <c r="E183" i="35"/>
  <c r="F183" i="35" s="1"/>
  <c r="G183" i="35" s="1"/>
  <c r="H183" i="35" s="1"/>
  <c r="I183" i="35" s="1"/>
  <c r="D183" i="35"/>
  <c r="H182" i="35"/>
  <c r="I182" i="35" s="1"/>
  <c r="J182" i="35" s="1"/>
  <c r="K182" i="35" s="1"/>
  <c r="L182" i="35" s="1"/>
  <c r="M182" i="35" s="1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AB182" i="35" s="1"/>
  <c r="AC182" i="35" s="1"/>
  <c r="AD182" i="35" s="1"/>
  <c r="AE182" i="35" s="1"/>
  <c r="AF182" i="35" s="1"/>
  <c r="B182" i="35" s="1"/>
  <c r="E182" i="35"/>
  <c r="F182" i="35" s="1"/>
  <c r="G182" i="35" s="1"/>
  <c r="D182" i="35"/>
  <c r="Z181" i="35"/>
  <c r="AA181" i="35" s="1"/>
  <c r="AB181" i="35" s="1"/>
  <c r="AC181" i="35" s="1"/>
  <c r="AD181" i="35" s="1"/>
  <c r="AE181" i="35" s="1"/>
  <c r="AF181" i="35" s="1"/>
  <c r="B181" i="35" s="1"/>
  <c r="I181" i="35"/>
  <c r="J181" i="35" s="1"/>
  <c r="K181" i="35" s="1"/>
  <c r="L181" i="35" s="1"/>
  <c r="M181" i="35" s="1"/>
  <c r="N181" i="35" s="1"/>
  <c r="O181" i="35" s="1"/>
  <c r="P181" i="35" s="1"/>
  <c r="Q181" i="35" s="1"/>
  <c r="R181" i="35" s="1"/>
  <c r="S181" i="35" s="1"/>
  <c r="T181" i="35" s="1"/>
  <c r="U181" i="35" s="1"/>
  <c r="V181" i="35" s="1"/>
  <c r="W181" i="35" s="1"/>
  <c r="X181" i="35" s="1"/>
  <c r="Y181" i="35" s="1"/>
  <c r="G181" i="35"/>
  <c r="H181" i="35" s="1"/>
  <c r="D181" i="35"/>
  <c r="E181" i="35" s="1"/>
  <c r="F181" i="35" s="1"/>
  <c r="D180" i="35"/>
  <c r="E180" i="35" s="1"/>
  <c r="F180" i="35" s="1"/>
  <c r="G180" i="35" s="1"/>
  <c r="H180" i="35" s="1"/>
  <c r="I180" i="35" s="1"/>
  <c r="J180" i="35" s="1"/>
  <c r="K180" i="35" s="1"/>
  <c r="L180" i="35" s="1"/>
  <c r="M180" i="35" s="1"/>
  <c r="N180" i="35" s="1"/>
  <c r="O180" i="35" s="1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B180" i="35" s="1"/>
  <c r="AF179" i="35"/>
  <c r="B179" i="35" s="1"/>
  <c r="I179" i="35"/>
  <c r="J179" i="35" s="1"/>
  <c r="K179" i="35" s="1"/>
  <c r="L179" i="35" s="1"/>
  <c r="M179" i="35" s="1"/>
  <c r="N179" i="35" s="1"/>
  <c r="O179" i="35" s="1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AE179" i="35" s="1"/>
  <c r="E179" i="35"/>
  <c r="F179" i="35" s="1"/>
  <c r="G179" i="35" s="1"/>
  <c r="H179" i="35" s="1"/>
  <c r="D179" i="35"/>
  <c r="H177" i="35"/>
  <c r="I177" i="35" s="1"/>
  <c r="J177" i="35" s="1"/>
  <c r="K177" i="35" s="1"/>
  <c r="L177" i="35" s="1"/>
  <c r="M177" i="35" s="1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AB177" i="35" s="1"/>
  <c r="AC177" i="35" s="1"/>
  <c r="AD177" i="35" s="1"/>
  <c r="AE177" i="35" s="1"/>
  <c r="AF177" i="35" s="1"/>
  <c r="B177" i="35" s="1"/>
  <c r="E177" i="35"/>
  <c r="F177" i="35" s="1"/>
  <c r="G177" i="35" s="1"/>
  <c r="D177" i="35"/>
  <c r="AC176" i="35"/>
  <c r="AD176" i="35" s="1"/>
  <c r="AE176" i="35" s="1"/>
  <c r="AF176" i="35" s="1"/>
  <c r="B176" i="35" s="1"/>
  <c r="K176" i="35"/>
  <c r="L176" i="35" s="1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D176" i="35"/>
  <c r="E176" i="35" s="1"/>
  <c r="F176" i="35" s="1"/>
  <c r="G176" i="35" s="1"/>
  <c r="H176" i="35" s="1"/>
  <c r="I176" i="35" s="1"/>
  <c r="J176" i="35" s="1"/>
  <c r="E175" i="35"/>
  <c r="F175" i="35" s="1"/>
  <c r="G175" i="35" s="1"/>
  <c r="H175" i="35" s="1"/>
  <c r="I175" i="35" s="1"/>
  <c r="J175" i="35" s="1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B175" i="35" s="1"/>
  <c r="D175" i="35"/>
  <c r="D174" i="35"/>
  <c r="E174" i="35" s="1"/>
  <c r="F174" i="35" s="1"/>
  <c r="G174" i="35" s="1"/>
  <c r="H174" i="35" s="1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B174" i="35" s="1"/>
  <c r="X173" i="35"/>
  <c r="Y173" i="35" s="1"/>
  <c r="Z173" i="35" s="1"/>
  <c r="AA173" i="35" s="1"/>
  <c r="AB173" i="35" s="1"/>
  <c r="AC173" i="35" s="1"/>
  <c r="AD173" i="35" s="1"/>
  <c r="AE173" i="35" s="1"/>
  <c r="AF173" i="35" s="1"/>
  <c r="B173" i="35" s="1"/>
  <c r="H173" i="35"/>
  <c r="I173" i="35" s="1"/>
  <c r="J173" i="35" s="1"/>
  <c r="K173" i="35" s="1"/>
  <c r="L173" i="35" s="1"/>
  <c r="M173" i="35" s="1"/>
  <c r="N173" i="35" s="1"/>
  <c r="O173" i="35" s="1"/>
  <c r="P173" i="35" s="1"/>
  <c r="Q173" i="35" s="1"/>
  <c r="R173" i="35" s="1"/>
  <c r="S173" i="35" s="1"/>
  <c r="T173" i="35" s="1"/>
  <c r="U173" i="35" s="1"/>
  <c r="V173" i="35" s="1"/>
  <c r="W173" i="35" s="1"/>
  <c r="E173" i="35"/>
  <c r="F173" i="35" s="1"/>
  <c r="G173" i="35" s="1"/>
  <c r="D173" i="35"/>
  <c r="D172" i="35"/>
  <c r="E172" i="35" s="1"/>
  <c r="F172" i="35" s="1"/>
  <c r="G172" i="35" s="1"/>
  <c r="H172" i="35" s="1"/>
  <c r="I172" i="35" s="1"/>
  <c r="J172" i="35" s="1"/>
  <c r="K172" i="35" s="1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B172" i="35" s="1"/>
  <c r="D171" i="35"/>
  <c r="E171" i="35" s="1"/>
  <c r="F171" i="35" s="1"/>
  <c r="G171" i="35" s="1"/>
  <c r="H171" i="35" s="1"/>
  <c r="I171" i="35" s="1"/>
  <c r="J171" i="35" s="1"/>
  <c r="K171" i="35" s="1"/>
  <c r="L171" i="35" s="1"/>
  <c r="M171" i="35" s="1"/>
  <c r="N171" i="35" s="1"/>
  <c r="O171" i="35" s="1"/>
  <c r="P171" i="35" s="1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B171" i="35" s="1"/>
  <c r="D170" i="35"/>
  <c r="E170" i="35" s="1"/>
  <c r="F170" i="35" s="1"/>
  <c r="G170" i="35" s="1"/>
  <c r="H170" i="35" s="1"/>
  <c r="I170" i="35" s="1"/>
  <c r="J170" i="35" s="1"/>
  <c r="K170" i="35" s="1"/>
  <c r="L170" i="35" s="1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B170" i="35" s="1"/>
  <c r="E168" i="35"/>
  <c r="F168" i="35" s="1"/>
  <c r="G168" i="35" s="1"/>
  <c r="H168" i="35" s="1"/>
  <c r="I168" i="35" s="1"/>
  <c r="J168" i="35" s="1"/>
  <c r="K168" i="35" s="1"/>
  <c r="L168" i="35" s="1"/>
  <c r="M168" i="35" s="1"/>
  <c r="N168" i="35" s="1"/>
  <c r="O168" i="35" s="1"/>
  <c r="P168" i="35" s="1"/>
  <c r="Q168" i="35" s="1"/>
  <c r="R168" i="35" s="1"/>
  <c r="S168" i="35" s="1"/>
  <c r="T168" i="35" s="1"/>
  <c r="U168" i="35" s="1"/>
  <c r="V168" i="35" s="1"/>
  <c r="W168" i="35" s="1"/>
  <c r="X168" i="35" s="1"/>
  <c r="Y168" i="35" s="1"/>
  <c r="Z168" i="35" s="1"/>
  <c r="AA168" i="35" s="1"/>
  <c r="AB168" i="35" s="1"/>
  <c r="AC168" i="35" s="1"/>
  <c r="AD168" i="35" s="1"/>
  <c r="AE168" i="35" s="1"/>
  <c r="AF168" i="35" s="1"/>
  <c r="B168" i="35" s="1"/>
  <c r="D168" i="35"/>
  <c r="F167" i="35"/>
  <c r="G167" i="35" s="1"/>
  <c r="H167" i="35" s="1"/>
  <c r="I167" i="35" s="1"/>
  <c r="J167" i="35" s="1"/>
  <c r="K167" i="35" s="1"/>
  <c r="L167" i="35" s="1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AD167" i="35" s="1"/>
  <c r="AE167" i="35" s="1"/>
  <c r="AF167" i="35" s="1"/>
  <c r="B167" i="35" s="1"/>
  <c r="D167" i="35"/>
  <c r="E167" i="35" s="1"/>
  <c r="E166" i="35"/>
  <c r="F166" i="35" s="1"/>
  <c r="G166" i="35" s="1"/>
  <c r="H166" i="35" s="1"/>
  <c r="I166" i="35" s="1"/>
  <c r="J166" i="35" s="1"/>
  <c r="K166" i="35" s="1"/>
  <c r="L166" i="35" s="1"/>
  <c r="M166" i="35" s="1"/>
  <c r="N166" i="35" s="1"/>
  <c r="O166" i="35" s="1"/>
  <c r="P166" i="35" s="1"/>
  <c r="Q166" i="35" s="1"/>
  <c r="R166" i="35" s="1"/>
  <c r="S166" i="35" s="1"/>
  <c r="T166" i="35" s="1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B166" i="35" s="1"/>
  <c r="D166" i="35"/>
  <c r="G165" i="35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B165" i="35" s="1"/>
  <c r="D165" i="35"/>
  <c r="E165" i="35" s="1"/>
  <c r="F165" i="35" s="1"/>
  <c r="H164" i="35"/>
  <c r="I164" i="35" s="1"/>
  <c r="J164" i="35" s="1"/>
  <c r="K164" i="35" s="1"/>
  <c r="L164" i="35" s="1"/>
  <c r="M164" i="35" s="1"/>
  <c r="N164" i="35" s="1"/>
  <c r="O164" i="35" s="1"/>
  <c r="P164" i="35" s="1"/>
  <c r="Q164" i="35" s="1"/>
  <c r="R164" i="35" s="1"/>
  <c r="S164" i="35" s="1"/>
  <c r="T164" i="35" s="1"/>
  <c r="U164" i="35" s="1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B164" i="35" s="1"/>
  <c r="E164" i="35"/>
  <c r="F164" i="35" s="1"/>
  <c r="G164" i="35" s="1"/>
  <c r="D164" i="35"/>
  <c r="D163" i="35"/>
  <c r="E163" i="35" s="1"/>
  <c r="F163" i="35" s="1"/>
  <c r="G163" i="35" s="1"/>
  <c r="H163" i="35" s="1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B163" i="35" s="1"/>
  <c r="D162" i="35"/>
  <c r="E162" i="35" s="1"/>
  <c r="F162" i="35" s="1"/>
  <c r="G162" i="35" s="1"/>
  <c r="H162" i="35" s="1"/>
  <c r="I162" i="35" s="1"/>
  <c r="J162" i="35" s="1"/>
  <c r="K162" i="35" s="1"/>
  <c r="L162" i="35" s="1"/>
  <c r="M162" i="35" s="1"/>
  <c r="N162" i="35" s="1"/>
  <c r="O162" i="35" s="1"/>
  <c r="P162" i="35" s="1"/>
  <c r="Q162" i="35" s="1"/>
  <c r="R162" i="35" s="1"/>
  <c r="S162" i="35" s="1"/>
  <c r="T162" i="35" s="1"/>
  <c r="U162" i="35" s="1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B162" i="35" s="1"/>
  <c r="X161" i="35"/>
  <c r="Y161" i="35" s="1"/>
  <c r="Z161" i="35" s="1"/>
  <c r="AA161" i="35" s="1"/>
  <c r="AB161" i="35" s="1"/>
  <c r="AC161" i="35" s="1"/>
  <c r="AD161" i="35" s="1"/>
  <c r="AE161" i="35" s="1"/>
  <c r="AF161" i="35" s="1"/>
  <c r="B161" i="35" s="1"/>
  <c r="F161" i="35"/>
  <c r="G161" i="35" s="1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D161" i="35"/>
  <c r="E161" i="35" s="1"/>
  <c r="AD160" i="35"/>
  <c r="AE160" i="35" s="1"/>
  <c r="AF160" i="35" s="1"/>
  <c r="B160" i="35" s="1"/>
  <c r="E160" i="35"/>
  <c r="F160" i="35" s="1"/>
  <c r="G160" i="35" s="1"/>
  <c r="H160" i="35" s="1"/>
  <c r="I160" i="35" s="1"/>
  <c r="J160" i="35" s="1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D160" i="35"/>
  <c r="V159" i="35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B159" i="35" s="1"/>
  <c r="F159" i="35"/>
  <c r="G159" i="35" s="1"/>
  <c r="H159" i="35" s="1"/>
  <c r="I159" i="35" s="1"/>
  <c r="J159" i="35" s="1"/>
  <c r="K159" i="35" s="1"/>
  <c r="L159" i="35" s="1"/>
  <c r="M159" i="35" s="1"/>
  <c r="N159" i="35" s="1"/>
  <c r="O159" i="35" s="1"/>
  <c r="P159" i="35" s="1"/>
  <c r="Q159" i="35" s="1"/>
  <c r="R159" i="35" s="1"/>
  <c r="S159" i="35" s="1"/>
  <c r="T159" i="35" s="1"/>
  <c r="U159" i="35" s="1"/>
  <c r="E159" i="35"/>
  <c r="D159" i="35"/>
  <c r="F158" i="35"/>
  <c r="G158" i="35" s="1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B158" i="35" s="1"/>
  <c r="E158" i="35"/>
  <c r="D158" i="35"/>
  <c r="D157" i="35"/>
  <c r="E157" i="35" s="1"/>
  <c r="F157" i="35" s="1"/>
  <c r="G157" i="35" s="1"/>
  <c r="H157" i="35" s="1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B157" i="35" s="1"/>
  <c r="F156" i="35"/>
  <c r="G156" i="35" s="1"/>
  <c r="H156" i="35" s="1"/>
  <c r="I156" i="35" s="1"/>
  <c r="J156" i="35" s="1"/>
  <c r="K156" i="35" s="1"/>
  <c r="L156" i="35" s="1"/>
  <c r="M156" i="35" s="1"/>
  <c r="N156" i="35" s="1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B156" i="35" s="1"/>
  <c r="E156" i="35"/>
  <c r="D156" i="35"/>
  <c r="H154" i="35"/>
  <c r="I154" i="35" s="1"/>
  <c r="J154" i="35" s="1"/>
  <c r="K154" i="35" s="1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V154" i="35" s="1"/>
  <c r="W154" i="35" s="1"/>
  <c r="X154" i="35" s="1"/>
  <c r="Y154" i="35" s="1"/>
  <c r="Z154" i="35" s="1"/>
  <c r="AA154" i="35" s="1"/>
  <c r="AB154" i="35" s="1"/>
  <c r="AC154" i="35" s="1"/>
  <c r="AD154" i="35" s="1"/>
  <c r="AE154" i="35" s="1"/>
  <c r="AF154" i="35" s="1"/>
  <c r="B154" i="35" s="1"/>
  <c r="D154" i="35"/>
  <c r="E154" i="35" s="1"/>
  <c r="F154" i="35" s="1"/>
  <c r="G154" i="35" s="1"/>
  <c r="U153" i="35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B153" i="35" s="1"/>
  <c r="E153" i="35"/>
  <c r="F153" i="35" s="1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S153" i="35" s="1"/>
  <c r="T153" i="35" s="1"/>
  <c r="D153" i="35"/>
  <c r="D152" i="35"/>
  <c r="E152" i="35" s="1"/>
  <c r="F152" i="35" s="1"/>
  <c r="G152" i="35" s="1"/>
  <c r="H152" i="35" s="1"/>
  <c r="I152" i="35" s="1"/>
  <c r="J152" i="35" s="1"/>
  <c r="K152" i="35" s="1"/>
  <c r="L152" i="35" s="1"/>
  <c r="M152" i="35" s="1"/>
  <c r="N152" i="35" s="1"/>
  <c r="O152" i="35" s="1"/>
  <c r="P152" i="35" s="1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B152" i="35" s="1"/>
  <c r="J151" i="35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AB151" i="35" s="1"/>
  <c r="AC151" i="35" s="1"/>
  <c r="AD151" i="35" s="1"/>
  <c r="AE151" i="35" s="1"/>
  <c r="AF151" i="35" s="1"/>
  <c r="B151" i="35" s="1"/>
  <c r="F151" i="35"/>
  <c r="G151" i="35" s="1"/>
  <c r="H151" i="35" s="1"/>
  <c r="I151" i="35" s="1"/>
  <c r="E151" i="35"/>
  <c r="D151" i="35"/>
  <c r="D149" i="35"/>
  <c r="E149" i="35" s="1"/>
  <c r="F149" i="35" s="1"/>
  <c r="G149" i="35" s="1"/>
  <c r="H149" i="35" s="1"/>
  <c r="I149" i="35" s="1"/>
  <c r="J149" i="35" s="1"/>
  <c r="K149" i="35" s="1"/>
  <c r="L149" i="35" s="1"/>
  <c r="M149" i="35" s="1"/>
  <c r="N149" i="35" s="1"/>
  <c r="O149" i="35" s="1"/>
  <c r="P149" i="35" s="1"/>
  <c r="Q149" i="35" s="1"/>
  <c r="R149" i="35" s="1"/>
  <c r="S149" i="35" s="1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B149" i="35" s="1"/>
  <c r="M148" i="35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B148" i="35" s="1"/>
  <c r="F148" i="35"/>
  <c r="G148" i="35" s="1"/>
  <c r="H148" i="35" s="1"/>
  <c r="I148" i="35" s="1"/>
  <c r="J148" i="35" s="1"/>
  <c r="K148" i="35" s="1"/>
  <c r="L148" i="35" s="1"/>
  <c r="E148" i="35"/>
  <c r="D148" i="35"/>
  <c r="L146" i="35"/>
  <c r="M146" i="35" s="1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B146" i="35" s="1"/>
  <c r="D146" i="35"/>
  <c r="E146" i="35" s="1"/>
  <c r="F146" i="35" s="1"/>
  <c r="G146" i="35" s="1"/>
  <c r="H146" i="35" s="1"/>
  <c r="I146" i="35" s="1"/>
  <c r="J146" i="35" s="1"/>
  <c r="K146" i="35" s="1"/>
  <c r="R145" i="35"/>
  <c r="S145" i="35" s="1"/>
  <c r="T145" i="35" s="1"/>
  <c r="U145" i="35" s="1"/>
  <c r="V145" i="35" s="1"/>
  <c r="W145" i="35" s="1"/>
  <c r="X145" i="35" s="1"/>
  <c r="Y145" i="35" s="1"/>
  <c r="Z145" i="35" s="1"/>
  <c r="AA145" i="35" s="1"/>
  <c r="AB145" i="35" s="1"/>
  <c r="AC145" i="35" s="1"/>
  <c r="AD145" i="35" s="1"/>
  <c r="AE145" i="35" s="1"/>
  <c r="AF145" i="35" s="1"/>
  <c r="B145" i="35" s="1"/>
  <c r="J145" i="35"/>
  <c r="K145" i="35" s="1"/>
  <c r="L145" i="35" s="1"/>
  <c r="M145" i="35" s="1"/>
  <c r="N145" i="35" s="1"/>
  <c r="O145" i="35" s="1"/>
  <c r="P145" i="35" s="1"/>
  <c r="Q145" i="35" s="1"/>
  <c r="E145" i="35"/>
  <c r="F145" i="35" s="1"/>
  <c r="G145" i="35" s="1"/>
  <c r="H145" i="35" s="1"/>
  <c r="I145" i="35" s="1"/>
  <c r="D145" i="35"/>
  <c r="I144" i="35"/>
  <c r="J144" i="35" s="1"/>
  <c r="K144" i="35" s="1"/>
  <c r="L144" i="35" s="1"/>
  <c r="M144" i="35" s="1"/>
  <c r="N144" i="35" s="1"/>
  <c r="O144" i="35" s="1"/>
  <c r="P144" i="35" s="1"/>
  <c r="Q144" i="35" s="1"/>
  <c r="R144" i="35" s="1"/>
  <c r="S144" i="35" s="1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AD144" i="35" s="1"/>
  <c r="AE144" i="35" s="1"/>
  <c r="AF144" i="35" s="1"/>
  <c r="B144" i="35" s="1"/>
  <c r="G144" i="35"/>
  <c r="H144" i="35" s="1"/>
  <c r="D144" i="35"/>
  <c r="E144" i="35" s="1"/>
  <c r="F144" i="35" s="1"/>
  <c r="J143" i="35"/>
  <c r="K143" i="35" s="1"/>
  <c r="L143" i="35" s="1"/>
  <c r="M143" i="35" s="1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B143" i="35" s="1"/>
  <c r="F143" i="35"/>
  <c r="G143" i="35" s="1"/>
  <c r="H143" i="35" s="1"/>
  <c r="I143" i="35" s="1"/>
  <c r="E143" i="35"/>
  <c r="D143" i="35"/>
  <c r="E142" i="35"/>
  <c r="F142" i="35" s="1"/>
  <c r="G142" i="35" s="1"/>
  <c r="H142" i="35" s="1"/>
  <c r="I142" i="35" s="1"/>
  <c r="J142" i="35" s="1"/>
  <c r="K142" i="35" s="1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B142" i="35" s="1"/>
  <c r="D142" i="35"/>
  <c r="E141" i="35"/>
  <c r="F141" i="35" s="1"/>
  <c r="G141" i="35" s="1"/>
  <c r="H141" i="35" s="1"/>
  <c r="I141" i="35" s="1"/>
  <c r="J141" i="35" s="1"/>
  <c r="K141" i="35" s="1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B141" i="35" s="1"/>
  <c r="D141" i="35"/>
  <c r="E140" i="35"/>
  <c r="F140" i="35" s="1"/>
  <c r="G140" i="35" s="1"/>
  <c r="H140" i="35" s="1"/>
  <c r="I140" i="35" s="1"/>
  <c r="J140" i="35" s="1"/>
  <c r="K140" i="35" s="1"/>
  <c r="L140" i="35" s="1"/>
  <c r="M140" i="35" s="1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B140" i="35" s="1"/>
  <c r="D140" i="35"/>
  <c r="J138" i="35"/>
  <c r="K138" i="35" s="1"/>
  <c r="L138" i="35" s="1"/>
  <c r="M138" i="35" s="1"/>
  <c r="N138" i="35" s="1"/>
  <c r="O138" i="35" s="1"/>
  <c r="P138" i="35" s="1"/>
  <c r="Q138" i="35" s="1"/>
  <c r="R138" i="35" s="1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B138" i="35" s="1"/>
  <c r="D138" i="35"/>
  <c r="E138" i="35" s="1"/>
  <c r="F138" i="35" s="1"/>
  <c r="G138" i="35" s="1"/>
  <c r="H138" i="35" s="1"/>
  <c r="I138" i="35" s="1"/>
  <c r="V137" i="35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B137" i="35" s="1"/>
  <c r="F137" i="35"/>
  <c r="G137" i="35" s="1"/>
  <c r="H137" i="35" s="1"/>
  <c r="I137" i="35" s="1"/>
  <c r="J137" i="35" s="1"/>
  <c r="K137" i="35" s="1"/>
  <c r="L137" i="35" s="1"/>
  <c r="M137" i="35" s="1"/>
  <c r="N137" i="35" s="1"/>
  <c r="O137" i="35" s="1"/>
  <c r="P137" i="35" s="1"/>
  <c r="Q137" i="35" s="1"/>
  <c r="R137" i="35" s="1"/>
  <c r="S137" i="35" s="1"/>
  <c r="T137" i="35" s="1"/>
  <c r="U137" i="35" s="1"/>
  <c r="D137" i="35"/>
  <c r="E137" i="35" s="1"/>
  <c r="D136" i="35"/>
  <c r="E136" i="35" s="1"/>
  <c r="F136" i="35" s="1"/>
  <c r="G136" i="35" s="1"/>
  <c r="H136" i="35" s="1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W136" i="35" s="1"/>
  <c r="X136" i="35" s="1"/>
  <c r="Y136" i="35" s="1"/>
  <c r="Z136" i="35" s="1"/>
  <c r="AA136" i="35" s="1"/>
  <c r="AB136" i="35" s="1"/>
  <c r="AC136" i="35" s="1"/>
  <c r="AD136" i="35" s="1"/>
  <c r="AE136" i="35" s="1"/>
  <c r="AF136" i="35" s="1"/>
  <c r="B136" i="35" s="1"/>
  <c r="D135" i="35"/>
  <c r="E135" i="35" s="1"/>
  <c r="F135" i="35" s="1"/>
  <c r="G135" i="35" s="1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B135" i="35" s="1"/>
  <c r="K134" i="35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B134" i="35" s="1"/>
  <c r="D134" i="35"/>
  <c r="E134" i="35" s="1"/>
  <c r="F134" i="35" s="1"/>
  <c r="G134" i="35" s="1"/>
  <c r="H134" i="35" s="1"/>
  <c r="I134" i="35" s="1"/>
  <c r="J134" i="35" s="1"/>
  <c r="I133" i="35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B133" i="35" s="1"/>
  <c r="D133" i="35"/>
  <c r="E133" i="35" s="1"/>
  <c r="F133" i="35" s="1"/>
  <c r="G133" i="35" s="1"/>
  <c r="H133" i="35" s="1"/>
  <c r="D132" i="35"/>
  <c r="E132" i="35" s="1"/>
  <c r="F132" i="35" s="1"/>
  <c r="G132" i="35" s="1"/>
  <c r="H132" i="35" s="1"/>
  <c r="I132" i="35" s="1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B132" i="35" s="1"/>
  <c r="Z131" i="35"/>
  <c r="AA131" i="35" s="1"/>
  <c r="AB131" i="35" s="1"/>
  <c r="AC131" i="35" s="1"/>
  <c r="AD131" i="35" s="1"/>
  <c r="AE131" i="35" s="1"/>
  <c r="AF131" i="35" s="1"/>
  <c r="B131" i="35" s="1"/>
  <c r="I131" i="35"/>
  <c r="J131" i="35" s="1"/>
  <c r="K131" i="35" s="1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E131" i="35"/>
  <c r="F131" i="35" s="1"/>
  <c r="G131" i="35" s="1"/>
  <c r="H131" i="35" s="1"/>
  <c r="D131" i="35"/>
  <c r="D129" i="35"/>
  <c r="E129" i="35" s="1"/>
  <c r="F129" i="35" s="1"/>
  <c r="G129" i="35" s="1"/>
  <c r="H129" i="35" s="1"/>
  <c r="I129" i="35" s="1"/>
  <c r="J129" i="35" s="1"/>
  <c r="K129" i="35" s="1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B129" i="35" s="1"/>
  <c r="F128" i="35"/>
  <c r="G128" i="35" s="1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B128" i="35" s="1"/>
  <c r="E128" i="35"/>
  <c r="D128" i="35"/>
  <c r="F127" i="35"/>
  <c r="G127" i="35" s="1"/>
  <c r="H127" i="35" s="1"/>
  <c r="I127" i="35" s="1"/>
  <c r="J127" i="35" s="1"/>
  <c r="K127" i="35" s="1"/>
  <c r="L127" i="35" s="1"/>
  <c r="M127" i="35" s="1"/>
  <c r="N127" i="35" s="1"/>
  <c r="O127" i="35" s="1"/>
  <c r="P127" i="35" s="1"/>
  <c r="Q127" i="35" s="1"/>
  <c r="R127" i="35" s="1"/>
  <c r="S127" i="35" s="1"/>
  <c r="T127" i="35" s="1"/>
  <c r="U127" i="35" s="1"/>
  <c r="V127" i="35" s="1"/>
  <c r="W127" i="35" s="1"/>
  <c r="X127" i="35" s="1"/>
  <c r="Y127" i="35" s="1"/>
  <c r="Z127" i="35" s="1"/>
  <c r="AA127" i="35" s="1"/>
  <c r="AB127" i="35" s="1"/>
  <c r="AC127" i="35" s="1"/>
  <c r="AD127" i="35" s="1"/>
  <c r="AE127" i="35" s="1"/>
  <c r="AF127" i="35" s="1"/>
  <c r="B127" i="35" s="1"/>
  <c r="D127" i="35"/>
  <c r="E127" i="35" s="1"/>
  <c r="Q126" i="35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B126" i="35" s="1"/>
  <c r="G126" i="35"/>
  <c r="H126" i="35" s="1"/>
  <c r="I126" i="35" s="1"/>
  <c r="J126" i="35" s="1"/>
  <c r="K126" i="35" s="1"/>
  <c r="L126" i="35" s="1"/>
  <c r="M126" i="35" s="1"/>
  <c r="N126" i="35" s="1"/>
  <c r="O126" i="35" s="1"/>
  <c r="P126" i="35" s="1"/>
  <c r="D126" i="35"/>
  <c r="E126" i="35" s="1"/>
  <c r="F126" i="35" s="1"/>
  <c r="K125" i="35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B125" i="35" s="1"/>
  <c r="J125" i="35"/>
  <c r="E125" i="35"/>
  <c r="F125" i="35" s="1"/>
  <c r="G125" i="35" s="1"/>
  <c r="H125" i="35" s="1"/>
  <c r="D125" i="35"/>
  <c r="E124" i="35"/>
  <c r="F124" i="35" s="1"/>
  <c r="G124" i="35" s="1"/>
  <c r="H124" i="35" s="1"/>
  <c r="I124" i="35" s="1"/>
  <c r="J124" i="35" s="1"/>
  <c r="K124" i="35" s="1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B124" i="35" s="1"/>
  <c r="D124" i="35"/>
  <c r="H123" i="35"/>
  <c r="I123" i="35" s="1"/>
  <c r="J123" i="35" s="1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B123" i="35" s="1"/>
  <c r="E123" i="35"/>
  <c r="F123" i="35" s="1"/>
  <c r="G123" i="35" s="1"/>
  <c r="D123" i="35"/>
  <c r="L122" i="35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B122" i="35" s="1"/>
  <c r="E122" i="35"/>
  <c r="F122" i="35" s="1"/>
  <c r="G122" i="35" s="1"/>
  <c r="H122" i="35" s="1"/>
  <c r="I122" i="35" s="1"/>
  <c r="J122" i="35" s="1"/>
  <c r="K122" i="35" s="1"/>
  <c r="D122" i="35"/>
  <c r="E121" i="35"/>
  <c r="F121" i="35" s="1"/>
  <c r="G121" i="35" s="1"/>
  <c r="H121" i="35" s="1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B121" i="35" s="1"/>
  <c r="D121" i="35"/>
  <c r="D120" i="35"/>
  <c r="E120" i="35" s="1"/>
  <c r="F120" i="35" s="1"/>
  <c r="G120" i="35" s="1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B120" i="35" s="1"/>
  <c r="F119" i="35"/>
  <c r="G119" i="35" s="1"/>
  <c r="H119" i="35" s="1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B119" i="35" s="1"/>
  <c r="D119" i="35"/>
  <c r="E119" i="35" s="1"/>
  <c r="D118" i="35"/>
  <c r="E118" i="35" s="1"/>
  <c r="F118" i="35" s="1"/>
  <c r="G118" i="35" s="1"/>
  <c r="H118" i="35" s="1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B118" i="35" s="1"/>
  <c r="E117" i="35"/>
  <c r="F117" i="35" s="1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B117" i="35" s="1"/>
  <c r="D117" i="35"/>
  <c r="D116" i="35"/>
  <c r="E116" i="35" s="1"/>
  <c r="F116" i="35" s="1"/>
  <c r="G116" i="35" s="1"/>
  <c r="H116" i="35" s="1"/>
  <c r="I116" i="35" s="1"/>
  <c r="J116" i="35" s="1"/>
  <c r="K116" i="35" s="1"/>
  <c r="L116" i="35" s="1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B116" i="35" s="1"/>
  <c r="D115" i="35"/>
  <c r="E115" i="35" s="1"/>
  <c r="F115" i="35" s="1"/>
  <c r="G115" i="35" s="1"/>
  <c r="H115" i="35" s="1"/>
  <c r="I115" i="35" s="1"/>
  <c r="J115" i="35" s="1"/>
  <c r="K115" i="35" s="1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B115" i="35" s="1"/>
  <c r="K114" i="35"/>
  <c r="L114" i="35" s="1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B114" i="35" s="1"/>
  <c r="E114" i="35"/>
  <c r="F114" i="35" s="1"/>
  <c r="G114" i="35" s="1"/>
  <c r="H114" i="35" s="1"/>
  <c r="I114" i="35" s="1"/>
  <c r="D114" i="35"/>
  <c r="H113" i="35"/>
  <c r="I113" i="35" s="1"/>
  <c r="J113" i="35" s="1"/>
  <c r="K113" i="35" s="1"/>
  <c r="L113" i="35" s="1"/>
  <c r="M113" i="35" s="1"/>
  <c r="N113" i="35" s="1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B113" i="35" s="1"/>
  <c r="E113" i="35"/>
  <c r="F113" i="35" s="1"/>
  <c r="G113" i="35" s="1"/>
  <c r="D113" i="35"/>
  <c r="F112" i="35"/>
  <c r="G112" i="35" s="1"/>
  <c r="H112" i="35" s="1"/>
  <c r="I112" i="35" s="1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B112" i="35" s="1"/>
  <c r="D112" i="35"/>
  <c r="E112" i="35" s="1"/>
  <c r="G110" i="35"/>
  <c r="H110" i="35" s="1"/>
  <c r="I110" i="35" s="1"/>
  <c r="J110" i="35" s="1"/>
  <c r="K110" i="35" s="1"/>
  <c r="L110" i="35" s="1"/>
  <c r="M110" i="35" s="1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B110" i="35" s="1"/>
  <c r="D110" i="35"/>
  <c r="E110" i="35" s="1"/>
  <c r="F110" i="35" s="1"/>
  <c r="E109" i="35"/>
  <c r="F109" i="35" s="1"/>
  <c r="G109" i="35" s="1"/>
  <c r="H109" i="35" s="1"/>
  <c r="I109" i="35" s="1"/>
  <c r="J109" i="35" s="1"/>
  <c r="K109" i="35" s="1"/>
  <c r="L109" i="35" s="1"/>
  <c r="M109" i="35" s="1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B109" i="35" s="1"/>
  <c r="D109" i="35"/>
  <c r="H107" i="35"/>
  <c r="I107" i="35" s="1"/>
  <c r="J107" i="35" s="1"/>
  <c r="K107" i="35" s="1"/>
  <c r="L107" i="35" s="1"/>
  <c r="M107" i="35" s="1"/>
  <c r="N107" i="35" s="1"/>
  <c r="O107" i="35" s="1"/>
  <c r="P107" i="35" s="1"/>
  <c r="Q107" i="35" s="1"/>
  <c r="R107" i="35" s="1"/>
  <c r="S107" i="35" s="1"/>
  <c r="T107" i="35" s="1"/>
  <c r="U107" i="35" s="1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B107" i="35" s="1"/>
  <c r="E107" i="35"/>
  <c r="F107" i="35" s="1"/>
  <c r="G107" i="35" s="1"/>
  <c r="D107" i="35"/>
  <c r="D106" i="35"/>
  <c r="E106" i="35" s="1"/>
  <c r="F106" i="35" s="1"/>
  <c r="G106" i="35" s="1"/>
  <c r="H106" i="35" s="1"/>
  <c r="I106" i="35" s="1"/>
  <c r="J106" i="35" s="1"/>
  <c r="K106" i="35" s="1"/>
  <c r="L106" i="35" s="1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B106" i="35" s="1"/>
  <c r="D105" i="35"/>
  <c r="E105" i="35" s="1"/>
  <c r="F105" i="35" s="1"/>
  <c r="G105" i="35" s="1"/>
  <c r="H105" i="35" s="1"/>
  <c r="I105" i="35" s="1"/>
  <c r="J105" i="35" s="1"/>
  <c r="K105" i="35" s="1"/>
  <c r="L105" i="35" s="1"/>
  <c r="M105" i="35" s="1"/>
  <c r="N105" i="35" s="1"/>
  <c r="O105" i="35" s="1"/>
  <c r="P105" i="35" s="1"/>
  <c r="Q105" i="35" s="1"/>
  <c r="R105" i="35" s="1"/>
  <c r="S105" i="35" s="1"/>
  <c r="T105" i="35" s="1"/>
  <c r="U105" i="35" s="1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B105" i="35" s="1"/>
  <c r="E104" i="35"/>
  <c r="F104" i="35" s="1"/>
  <c r="G104" i="35" s="1"/>
  <c r="H104" i="35" s="1"/>
  <c r="I104" i="35" s="1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U104" i="35" s="1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B104" i="35" s="1"/>
  <c r="D104" i="35"/>
  <c r="E103" i="35"/>
  <c r="F103" i="35" s="1"/>
  <c r="G103" i="35" s="1"/>
  <c r="H103" i="35" s="1"/>
  <c r="D103" i="35"/>
  <c r="D102" i="35"/>
  <c r="AH100" i="35"/>
  <c r="AI100" i="35" s="1"/>
  <c r="AH99" i="35"/>
  <c r="AI99" i="35" s="1"/>
  <c r="AH98" i="35"/>
  <c r="AI98" i="35" s="1"/>
  <c r="AH97" i="35"/>
  <c r="AI97" i="35" s="1"/>
  <c r="AH96" i="35"/>
  <c r="AI96" i="35" s="1"/>
  <c r="AH95" i="35"/>
  <c r="AI95" i="35" s="1"/>
  <c r="AH94" i="35"/>
  <c r="AI94" i="35" s="1"/>
  <c r="D93" i="35"/>
  <c r="C93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G82" i="35"/>
  <c r="AI81" i="35"/>
  <c r="AH81" i="35"/>
  <c r="AF80" i="35"/>
  <c r="AE80" i="35"/>
  <c r="AD80" i="35"/>
  <c r="AC80" i="35"/>
  <c r="AB80" i="35"/>
  <c r="AA80" i="35"/>
  <c r="Z80" i="35"/>
  <c r="Y80" i="35"/>
  <c r="X80" i="35"/>
  <c r="W80" i="35"/>
  <c r="V80" i="35"/>
  <c r="U80" i="35"/>
  <c r="T80" i="35"/>
  <c r="S80" i="35"/>
  <c r="R80" i="35"/>
  <c r="Q80" i="35"/>
  <c r="P80" i="35"/>
  <c r="O80" i="35"/>
  <c r="N80" i="35"/>
  <c r="M80" i="35"/>
  <c r="L80" i="35"/>
  <c r="K80" i="35"/>
  <c r="J80" i="35"/>
  <c r="I80" i="35"/>
  <c r="H80" i="35"/>
  <c r="G80" i="35"/>
  <c r="F80" i="35"/>
  <c r="E80" i="35"/>
  <c r="D80" i="35"/>
  <c r="C80" i="35"/>
  <c r="B80" i="35"/>
  <c r="AF79" i="35"/>
  <c r="AE79" i="35"/>
  <c r="AD79" i="35"/>
  <c r="AC79" i="35"/>
  <c r="AB79" i="35"/>
  <c r="AA79" i="35"/>
  <c r="Z79" i="35"/>
  <c r="Y79" i="35"/>
  <c r="X79" i="35"/>
  <c r="W79" i="35"/>
  <c r="V79" i="35"/>
  <c r="V82" i="35" s="1"/>
  <c r="U79" i="35"/>
  <c r="T79" i="35"/>
  <c r="S79" i="35"/>
  <c r="R79" i="35"/>
  <c r="Q79" i="35"/>
  <c r="P79" i="35"/>
  <c r="O79" i="35"/>
  <c r="N79" i="35"/>
  <c r="M79" i="35"/>
  <c r="L79" i="35"/>
  <c r="K79" i="35"/>
  <c r="J79" i="35"/>
  <c r="I79" i="35"/>
  <c r="H79" i="35"/>
  <c r="G79" i="35"/>
  <c r="F79" i="35"/>
  <c r="E79" i="35"/>
  <c r="D79" i="35"/>
  <c r="C79" i="35"/>
  <c r="B79" i="35"/>
  <c r="AF78" i="35"/>
  <c r="AE78" i="35"/>
  <c r="AD78" i="35"/>
  <c r="AC78" i="35"/>
  <c r="AB78" i="35"/>
  <c r="AA78" i="35"/>
  <c r="Z78" i="35"/>
  <c r="Y78" i="35"/>
  <c r="X78" i="35"/>
  <c r="W78" i="35"/>
  <c r="V78" i="35"/>
  <c r="U78" i="35"/>
  <c r="T78" i="35"/>
  <c r="S78" i="35"/>
  <c r="R78" i="35"/>
  <c r="Q78" i="35"/>
  <c r="P78" i="35"/>
  <c r="O78" i="35"/>
  <c r="N78" i="35"/>
  <c r="M78" i="35"/>
  <c r="L78" i="35"/>
  <c r="K78" i="35"/>
  <c r="J78" i="35"/>
  <c r="I78" i="35"/>
  <c r="H78" i="35"/>
  <c r="G78" i="35"/>
  <c r="F78" i="35"/>
  <c r="E78" i="35"/>
  <c r="D78" i="35"/>
  <c r="C78" i="35"/>
  <c r="B78" i="35"/>
  <c r="AF77" i="35"/>
  <c r="AE77" i="35"/>
  <c r="AD77" i="35"/>
  <c r="AC77" i="35"/>
  <c r="AB77" i="35"/>
  <c r="AA77" i="35"/>
  <c r="Z77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AF76" i="35"/>
  <c r="AE76" i="35"/>
  <c r="AD76" i="35"/>
  <c r="AC76" i="35"/>
  <c r="AC82" i="35" s="1"/>
  <c r="AB76" i="35"/>
  <c r="AA76" i="35"/>
  <c r="Z76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AI74" i="35"/>
  <c r="AH74" i="35"/>
  <c r="AI72" i="35"/>
  <c r="AH72" i="35"/>
  <c r="AG72" i="35"/>
  <c r="AI71" i="35"/>
  <c r="AH71" i="35"/>
  <c r="AI70" i="35"/>
  <c r="AH70" i="35"/>
  <c r="AI69" i="35"/>
  <c r="AH69" i="35"/>
  <c r="AG68" i="35"/>
  <c r="AF68" i="35"/>
  <c r="AE68" i="35"/>
  <c r="AD5" i="35" s="1"/>
  <c r="AD68" i="35"/>
  <c r="AC5" i="35" s="1"/>
  <c r="AC68" i="35"/>
  <c r="AB5" i="35" s="1"/>
  <c r="AB68" i="35"/>
  <c r="AA5" i="35" s="1"/>
  <c r="AA68" i="35"/>
  <c r="Z68" i="35"/>
  <c r="Y68" i="35"/>
  <c r="X5" i="35" s="1"/>
  <c r="X68" i="35"/>
  <c r="W68" i="35"/>
  <c r="V5" i="35" s="1"/>
  <c r="V68" i="35"/>
  <c r="U5" i="35" s="1"/>
  <c r="U68" i="35"/>
  <c r="T5" i="35" s="1"/>
  <c r="T68" i="35"/>
  <c r="S5" i="35" s="1"/>
  <c r="S68" i="35"/>
  <c r="R68" i="35"/>
  <c r="Q68" i="35"/>
  <c r="P5" i="35" s="1"/>
  <c r="P68" i="35"/>
  <c r="O68" i="35"/>
  <c r="N5" i="35" s="1"/>
  <c r="N68" i="35"/>
  <c r="M5" i="35" s="1"/>
  <c r="M68" i="35"/>
  <c r="L5" i="35" s="1"/>
  <c r="L68" i="35"/>
  <c r="K68" i="35"/>
  <c r="J5" i="35" s="1"/>
  <c r="J68" i="35"/>
  <c r="I68" i="35"/>
  <c r="H5" i="35" s="1"/>
  <c r="H68" i="35"/>
  <c r="G68" i="35"/>
  <c r="F5" i="35" s="1"/>
  <c r="F68" i="35"/>
  <c r="E68" i="35"/>
  <c r="D5" i="35" s="1"/>
  <c r="D68" i="35"/>
  <c r="C5" i="35" s="1"/>
  <c r="C68" i="35"/>
  <c r="B5" i="35" s="1"/>
  <c r="B68" i="35"/>
  <c r="AI67" i="35"/>
  <c r="AH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G56" i="35"/>
  <c r="AF56" i="35"/>
  <c r="AE56" i="35"/>
  <c r="AD56" i="35"/>
  <c r="AC56" i="35"/>
  <c r="AB56" i="35"/>
  <c r="AA56" i="35"/>
  <c r="Z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AI55" i="35"/>
  <c r="AH55" i="35"/>
  <c r="AI54" i="35"/>
  <c r="AH54" i="35"/>
  <c r="AI53" i="35"/>
  <c r="AH53" i="35"/>
  <c r="AF52" i="35"/>
  <c r="AE52" i="35"/>
  <c r="AD52" i="35"/>
  <c r="AC52" i="35"/>
  <c r="AB52" i="35"/>
  <c r="AA52" i="35"/>
  <c r="Z52" i="35"/>
  <c r="Y52" i="35"/>
  <c r="X52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AI51" i="35"/>
  <c r="AH51" i="35"/>
  <c r="AG51" i="35"/>
  <c r="AG52" i="35" s="1"/>
  <c r="AG3" i="35" s="1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G38" i="35"/>
  <c r="AF38" i="35"/>
  <c r="AE38" i="35"/>
  <c r="AD38" i="35"/>
  <c r="AC38" i="35"/>
  <c r="AB38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O73" i="35" s="1"/>
  <c r="O75" i="35" s="1"/>
  <c r="N38" i="35"/>
  <c r="M38" i="35"/>
  <c r="L38" i="35"/>
  <c r="L73" i="35" s="1"/>
  <c r="L75" i="35" s="1"/>
  <c r="K38" i="35"/>
  <c r="J38" i="35"/>
  <c r="I38" i="35"/>
  <c r="H38" i="35"/>
  <c r="G38" i="35"/>
  <c r="F38" i="35"/>
  <c r="E38" i="35"/>
  <c r="D38" i="35"/>
  <c r="C38" i="35"/>
  <c r="B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K5" i="35"/>
  <c r="AG4" i="35"/>
  <c r="K4" i="35"/>
  <c r="B4" i="35"/>
  <c r="AG2" i="35"/>
  <c r="AC37" i="34"/>
  <c r="AD37" i="34"/>
  <c r="AB37" i="34"/>
  <c r="AA37" i="34"/>
  <c r="Z37" i="34"/>
  <c r="Y37" i="34"/>
  <c r="X37" i="34"/>
  <c r="W37" i="34"/>
  <c r="V37" i="34"/>
  <c r="U95" i="34"/>
  <c r="U37" i="34"/>
  <c r="T37" i="34"/>
  <c r="S37" i="34"/>
  <c r="R37" i="34"/>
  <c r="Q37" i="34"/>
  <c r="E4" i="35"/>
  <c r="I235" i="37" l="1"/>
  <c r="K199" i="37"/>
  <c r="J93" i="37"/>
  <c r="M103" i="37"/>
  <c r="J192" i="37"/>
  <c r="K102" i="37"/>
  <c r="K200" i="37"/>
  <c r="L194" i="37"/>
  <c r="J200" i="37"/>
  <c r="J235" i="36"/>
  <c r="L199" i="36"/>
  <c r="K200" i="36"/>
  <c r="L194" i="36"/>
  <c r="K192" i="36"/>
  <c r="L102" i="36"/>
  <c r="K93" i="36"/>
  <c r="M103" i="36"/>
  <c r="L93" i="36"/>
  <c r="AF82" i="35"/>
  <c r="AF83" i="35" s="1"/>
  <c r="AF73" i="35"/>
  <c r="AF75" i="35" s="1"/>
  <c r="AE73" i="35"/>
  <c r="AE75" i="35" s="1"/>
  <c r="AD73" i="35"/>
  <c r="AD75" i="35" s="1"/>
  <c r="AD82" i="35"/>
  <c r="AD83" i="35"/>
  <c r="AC73" i="35"/>
  <c r="AC75" i="35" s="1"/>
  <c r="AB73" i="35"/>
  <c r="AB75" i="35" s="1"/>
  <c r="AA82" i="35"/>
  <c r="AA73" i="35"/>
  <c r="AA75" i="35" s="1"/>
  <c r="Z82" i="35"/>
  <c r="Z73" i="35"/>
  <c r="Z75" i="35" s="1"/>
  <c r="Y82" i="35"/>
  <c r="Y83" i="35"/>
  <c r="Y73" i="35"/>
  <c r="Y75" i="35" s="1"/>
  <c r="AQ214" i="35" s="1"/>
  <c r="W73" i="35"/>
  <c r="W75" i="35" s="1"/>
  <c r="AO214" i="35" s="1"/>
  <c r="X82" i="35"/>
  <c r="X83" i="35"/>
  <c r="X73" i="35"/>
  <c r="X75" i="35" s="1"/>
  <c r="V73" i="35"/>
  <c r="V75" i="35" s="1"/>
  <c r="V83" i="35"/>
  <c r="U82" i="35"/>
  <c r="U73" i="35"/>
  <c r="U75" i="35" s="1"/>
  <c r="T73" i="35"/>
  <c r="T75" i="35" s="1"/>
  <c r="T7" i="35" s="1"/>
  <c r="S82" i="35"/>
  <c r="S73" i="35"/>
  <c r="S75" i="35" s="1"/>
  <c r="R73" i="35"/>
  <c r="R75" i="35" s="1"/>
  <c r="R82" i="35"/>
  <c r="Q82" i="35"/>
  <c r="Q83" i="35" s="1"/>
  <c r="Q73" i="35"/>
  <c r="Q75" i="35" s="1"/>
  <c r="P82" i="35"/>
  <c r="P73" i="35"/>
  <c r="P75" i="35" s="1"/>
  <c r="P83" i="35"/>
  <c r="N82" i="35"/>
  <c r="N83" i="35" s="1"/>
  <c r="N73" i="35"/>
  <c r="N75" i="35" s="1"/>
  <c r="AI78" i="35"/>
  <c r="M82" i="35"/>
  <c r="M73" i="35"/>
  <c r="M75" i="35" s="1"/>
  <c r="AE214" i="35" s="1"/>
  <c r="K82" i="35"/>
  <c r="K73" i="35"/>
  <c r="K75" i="35" s="1"/>
  <c r="J73" i="35"/>
  <c r="J75" i="35" s="1"/>
  <c r="J82" i="35"/>
  <c r="I82" i="35"/>
  <c r="I83" i="35" s="1"/>
  <c r="AI77" i="35"/>
  <c r="I73" i="35"/>
  <c r="I75" i="35" s="1"/>
  <c r="H82" i="35"/>
  <c r="H83" i="35" s="1"/>
  <c r="H73" i="35"/>
  <c r="H75" i="35" s="1"/>
  <c r="Z214" i="35" s="1"/>
  <c r="G82" i="35"/>
  <c r="G73" i="35"/>
  <c r="G75" i="35" s="1"/>
  <c r="Y214" i="35" s="1"/>
  <c r="G83" i="35"/>
  <c r="F82" i="35"/>
  <c r="F83" i="35" s="1"/>
  <c r="E5" i="35"/>
  <c r="F73" i="35"/>
  <c r="F75" i="35" s="1"/>
  <c r="X214" i="35" s="1"/>
  <c r="E82" i="35"/>
  <c r="E73" i="35"/>
  <c r="E75" i="35" s="1"/>
  <c r="E7" i="35" s="1"/>
  <c r="AI76" i="35"/>
  <c r="D73" i="35"/>
  <c r="D75" i="35" s="1"/>
  <c r="V214" i="35" s="1"/>
  <c r="AI80" i="35"/>
  <c r="AH80" i="35"/>
  <c r="AH56" i="35"/>
  <c r="AI38" i="35"/>
  <c r="AI79" i="35"/>
  <c r="C82" i="35"/>
  <c r="C73" i="35"/>
  <c r="C75" i="35" s="1"/>
  <c r="AI52" i="35"/>
  <c r="B82" i="35"/>
  <c r="AH79" i="35"/>
  <c r="B83" i="35"/>
  <c r="H4" i="35"/>
  <c r="AF214" i="35"/>
  <c r="N7" i="35"/>
  <c r="AG214" i="35"/>
  <c r="O7" i="35"/>
  <c r="W7" i="35"/>
  <c r="AW214" i="35"/>
  <c r="AE7" i="35"/>
  <c r="AH214" i="35"/>
  <c r="P7" i="35"/>
  <c r="AP214" i="35"/>
  <c r="X7" i="35"/>
  <c r="AX214" i="35"/>
  <c r="AF7" i="35"/>
  <c r="AA214" i="35"/>
  <c r="I7" i="35"/>
  <c r="AI214" i="35"/>
  <c r="Q7" i="35"/>
  <c r="AG73" i="35"/>
  <c r="S83" i="35"/>
  <c r="AA83" i="35"/>
  <c r="I103" i="35"/>
  <c r="AB214" i="35"/>
  <c r="J7" i="35"/>
  <c r="AJ214" i="35"/>
  <c r="R7" i="35"/>
  <c r="AR214" i="35"/>
  <c r="Z7" i="35"/>
  <c r="U214" i="35"/>
  <c r="C7" i="35"/>
  <c r="AC214" i="35"/>
  <c r="K7" i="35"/>
  <c r="AK214" i="35"/>
  <c r="S7" i="35"/>
  <c r="AS214" i="35"/>
  <c r="AA7" i="35"/>
  <c r="D7" i="35"/>
  <c r="AL214" i="35"/>
  <c r="AT214" i="35"/>
  <c r="AB7" i="35"/>
  <c r="AD214" i="35"/>
  <c r="L7" i="35"/>
  <c r="AG6" i="35"/>
  <c r="AM214" i="35"/>
  <c r="U7" i="35"/>
  <c r="AU214" i="35"/>
  <c r="AC7" i="35"/>
  <c r="AN214" i="35"/>
  <c r="V7" i="35"/>
  <c r="AV214" i="35"/>
  <c r="AD7" i="35"/>
  <c r="AG75" i="35"/>
  <c r="Z83" i="35"/>
  <c r="O5" i="35"/>
  <c r="AI56" i="35"/>
  <c r="AI68" i="35"/>
  <c r="AH77" i="35"/>
  <c r="K83" i="35"/>
  <c r="AH52" i="35"/>
  <c r="R83" i="35"/>
  <c r="AG83" i="35"/>
  <c r="G5" i="35"/>
  <c r="W5" i="35"/>
  <c r="AE5" i="35"/>
  <c r="AF5" i="35"/>
  <c r="AB83" i="35"/>
  <c r="AH78" i="35"/>
  <c r="Q5" i="35"/>
  <c r="U83" i="35"/>
  <c r="B73" i="35"/>
  <c r="D82" i="35"/>
  <c r="D83" i="35" s="1"/>
  <c r="AB82" i="35"/>
  <c r="C83" i="35"/>
  <c r="AH68" i="35"/>
  <c r="AH38" i="35"/>
  <c r="M83" i="35"/>
  <c r="T82" i="35"/>
  <c r="T83" i="35" s="1"/>
  <c r="R5" i="35"/>
  <c r="Z5" i="35"/>
  <c r="J83" i="35"/>
  <c r="AH76" i="35"/>
  <c r="I5" i="35"/>
  <c r="Y5" i="35"/>
  <c r="E83" i="35"/>
  <c r="AC83" i="35"/>
  <c r="L82" i="35"/>
  <c r="L83" i="35" s="1"/>
  <c r="O82" i="35"/>
  <c r="O83" i="35" s="1"/>
  <c r="W82" i="35"/>
  <c r="W83" i="35" s="1"/>
  <c r="AE82" i="35"/>
  <c r="AE83" i="35" s="1"/>
  <c r="S211" i="35"/>
  <c r="D211" i="35"/>
  <c r="D192" i="35"/>
  <c r="E102" i="35"/>
  <c r="F194" i="35"/>
  <c r="E199" i="35"/>
  <c r="D200" i="35"/>
  <c r="K192" i="37" l="1"/>
  <c r="L102" i="37"/>
  <c r="N103" i="37"/>
  <c r="J235" i="37"/>
  <c r="L199" i="37"/>
  <c r="K93" i="37"/>
  <c r="M194" i="37"/>
  <c r="L192" i="36"/>
  <c r="M102" i="36"/>
  <c r="N103" i="36"/>
  <c r="M194" i="36"/>
  <c r="L200" i="36"/>
  <c r="K235" i="36"/>
  <c r="M199" i="36"/>
  <c r="Y7" i="35"/>
  <c r="M7" i="35"/>
  <c r="H7" i="35"/>
  <c r="C209" i="35"/>
  <c r="W214" i="35"/>
  <c r="G7" i="35"/>
  <c r="B209" i="35"/>
  <c r="F7" i="35"/>
  <c r="AH83" i="35"/>
  <c r="AI83" i="35"/>
  <c r="B75" i="35"/>
  <c r="AH73" i="35"/>
  <c r="AI73" i="35"/>
  <c r="AI82" i="35"/>
  <c r="D235" i="35"/>
  <c r="F199" i="35"/>
  <c r="E200" i="35"/>
  <c r="G194" i="35"/>
  <c r="E192" i="35"/>
  <c r="F102" i="35"/>
  <c r="E93" i="35"/>
  <c r="J103" i="35"/>
  <c r="AH82" i="35"/>
  <c r="M199" i="37" l="1"/>
  <c r="K235" i="37"/>
  <c r="L93" i="37"/>
  <c r="O103" i="37"/>
  <c r="L200" i="37"/>
  <c r="L192" i="37"/>
  <c r="M102" i="37"/>
  <c r="M200" i="37"/>
  <c r="N194" i="37"/>
  <c r="N199" i="36"/>
  <c r="L235" i="36"/>
  <c r="N194" i="36"/>
  <c r="M200" i="36"/>
  <c r="M93" i="36"/>
  <c r="N93" i="36"/>
  <c r="O103" i="36"/>
  <c r="M192" i="36"/>
  <c r="N102" i="36"/>
  <c r="K6" i="35"/>
  <c r="K103" i="35"/>
  <c r="E235" i="35"/>
  <c r="G199" i="35"/>
  <c r="F93" i="35"/>
  <c r="F192" i="35"/>
  <c r="G102" i="35"/>
  <c r="H194" i="35"/>
  <c r="G93" i="35"/>
  <c r="F200" i="35"/>
  <c r="T214" i="35"/>
  <c r="AH75" i="35"/>
  <c r="B7" i="35"/>
  <c r="A7" i="35" s="1"/>
  <c r="AI75" i="35"/>
  <c r="M192" i="37" l="1"/>
  <c r="N102" i="37"/>
  <c r="O194" i="37"/>
  <c r="P103" i="37"/>
  <c r="L235" i="37"/>
  <c r="N199" i="37"/>
  <c r="M93" i="37"/>
  <c r="P103" i="36"/>
  <c r="O194" i="36"/>
  <c r="N200" i="36"/>
  <c r="N192" i="36"/>
  <c r="O102" i="36"/>
  <c r="O199" i="36"/>
  <c r="M235" i="36"/>
  <c r="H199" i="35"/>
  <c r="F235" i="35"/>
  <c r="I194" i="35"/>
  <c r="H200" i="35"/>
  <c r="H93" i="35"/>
  <c r="G200" i="35"/>
  <c r="L103" i="35"/>
  <c r="G192" i="35"/>
  <c r="H102" i="35"/>
  <c r="P194" i="37" l="1"/>
  <c r="O199" i="37"/>
  <c r="M235" i="37"/>
  <c r="N93" i="37"/>
  <c r="Q103" i="37"/>
  <c r="N200" i="37"/>
  <c r="N192" i="37"/>
  <c r="O102" i="37"/>
  <c r="O192" i="36"/>
  <c r="P102" i="36"/>
  <c r="N235" i="36"/>
  <c r="P199" i="36"/>
  <c r="O93" i="36"/>
  <c r="P194" i="36"/>
  <c r="O200" i="36"/>
  <c r="P93" i="36"/>
  <c r="Q103" i="36"/>
  <c r="J194" i="35"/>
  <c r="H192" i="35"/>
  <c r="I102" i="35"/>
  <c r="I199" i="35"/>
  <c r="G235" i="35"/>
  <c r="M103" i="35"/>
  <c r="R103" i="37" l="1"/>
  <c r="N235" i="37"/>
  <c r="P199" i="37"/>
  <c r="O93" i="37"/>
  <c r="O192" i="37"/>
  <c r="P102" i="37"/>
  <c r="O200" i="37"/>
  <c r="Q194" i="37"/>
  <c r="O235" i="36"/>
  <c r="Q199" i="36"/>
  <c r="P192" i="36"/>
  <c r="Q102" i="36"/>
  <c r="P200" i="36"/>
  <c r="Q194" i="36"/>
  <c r="Q93" i="36"/>
  <c r="R103" i="36"/>
  <c r="H235" i="35"/>
  <c r="J199" i="35"/>
  <c r="I192" i="35"/>
  <c r="J102" i="35"/>
  <c r="I93" i="35"/>
  <c r="K194" i="35"/>
  <c r="J200" i="35"/>
  <c r="J93" i="35"/>
  <c r="I200" i="35"/>
  <c r="N103" i="35"/>
  <c r="P192" i="37" l="1"/>
  <c r="Q102" i="37"/>
  <c r="O235" i="37"/>
  <c r="Q199" i="37"/>
  <c r="Q200" i="37" s="1"/>
  <c r="P93" i="37"/>
  <c r="R194" i="37"/>
  <c r="P200" i="37"/>
  <c r="S103" i="37"/>
  <c r="S103" i="36"/>
  <c r="Q200" i="36"/>
  <c r="R194" i="36"/>
  <c r="Q192" i="36"/>
  <c r="R102" i="36"/>
  <c r="P235" i="36"/>
  <c r="R199" i="36"/>
  <c r="L194" i="35"/>
  <c r="O103" i="35"/>
  <c r="J192" i="35"/>
  <c r="K102" i="35"/>
  <c r="K199" i="35"/>
  <c r="I235" i="35"/>
  <c r="P37" i="34"/>
  <c r="O37" i="34"/>
  <c r="N37" i="34"/>
  <c r="M37" i="34"/>
  <c r="L37" i="34"/>
  <c r="K37" i="34"/>
  <c r="J37" i="34"/>
  <c r="I37" i="34"/>
  <c r="H37" i="34"/>
  <c r="G37" i="34"/>
  <c r="F37" i="34"/>
  <c r="E37" i="34"/>
  <c r="D37" i="34"/>
  <c r="C37" i="34"/>
  <c r="B37" i="34"/>
  <c r="B4" i="34"/>
  <c r="B80" i="34"/>
  <c r="B79" i="34"/>
  <c r="B78" i="34"/>
  <c r="B77" i="34"/>
  <c r="B76" i="34"/>
  <c r="B82" i="34" s="1"/>
  <c r="B68" i="34"/>
  <c r="B56" i="34"/>
  <c r="B52" i="34"/>
  <c r="B38" i="34"/>
  <c r="AF239" i="34"/>
  <c r="AE239" i="34"/>
  <c r="AD239" i="34"/>
  <c r="AC239" i="34"/>
  <c r="AB239" i="34"/>
  <c r="AA239" i="34"/>
  <c r="Z239" i="34"/>
  <c r="Y239" i="34"/>
  <c r="X239" i="34"/>
  <c r="W239" i="34"/>
  <c r="V239" i="34"/>
  <c r="U239" i="34"/>
  <c r="T239" i="34"/>
  <c r="S239" i="34"/>
  <c r="R239" i="34"/>
  <c r="Q239" i="34"/>
  <c r="P239" i="34"/>
  <c r="O239" i="34"/>
  <c r="N239" i="34"/>
  <c r="M239" i="34"/>
  <c r="L239" i="34"/>
  <c r="K239" i="34"/>
  <c r="J239" i="34"/>
  <c r="I239" i="34"/>
  <c r="H239" i="34"/>
  <c r="G239" i="34"/>
  <c r="F239" i="34"/>
  <c r="E239" i="34"/>
  <c r="D239" i="34"/>
  <c r="C239" i="34"/>
  <c r="B239" i="34"/>
  <c r="A239" i="34"/>
  <c r="AF238" i="34"/>
  <c r="AE238" i="34"/>
  <c r="AD238" i="34"/>
  <c r="AC238" i="34"/>
  <c r="AB238" i="34"/>
  <c r="AA238" i="34"/>
  <c r="Z238" i="34"/>
  <c r="Y238" i="34"/>
  <c r="X238" i="34"/>
  <c r="W238" i="34"/>
  <c r="V238" i="34"/>
  <c r="U238" i="34"/>
  <c r="T238" i="34"/>
  <c r="S238" i="34"/>
  <c r="R238" i="34"/>
  <c r="Q238" i="34"/>
  <c r="P238" i="34"/>
  <c r="O238" i="34"/>
  <c r="N238" i="34"/>
  <c r="M238" i="34"/>
  <c r="L238" i="34"/>
  <c r="K238" i="34"/>
  <c r="J238" i="34"/>
  <c r="I238" i="34"/>
  <c r="H238" i="34"/>
  <c r="G238" i="34"/>
  <c r="F238" i="34"/>
  <c r="E238" i="34"/>
  <c r="D238" i="34"/>
  <c r="C238" i="34"/>
  <c r="B238" i="34"/>
  <c r="A238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M237" i="34"/>
  <c r="L237" i="34"/>
  <c r="K237" i="34"/>
  <c r="J237" i="34"/>
  <c r="I237" i="34"/>
  <c r="H237" i="34"/>
  <c r="G237" i="34"/>
  <c r="F237" i="34"/>
  <c r="E237" i="34"/>
  <c r="D237" i="34"/>
  <c r="C237" i="34"/>
  <c r="B237" i="34"/>
  <c r="A237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B236" i="34"/>
  <c r="A236" i="34"/>
  <c r="D235" i="34"/>
  <c r="C235" i="34"/>
  <c r="B235" i="34"/>
  <c r="S210" i="34"/>
  <c r="AG200" i="34"/>
  <c r="C200" i="34"/>
  <c r="E199" i="34"/>
  <c r="F199" i="34" s="1"/>
  <c r="E235" i="34" s="1"/>
  <c r="D199" i="34"/>
  <c r="U198" i="34"/>
  <c r="V198" i="34" s="1"/>
  <c r="W198" i="34" s="1"/>
  <c r="X198" i="34" s="1"/>
  <c r="Y198" i="34" s="1"/>
  <c r="Z198" i="34" s="1"/>
  <c r="AA198" i="34" s="1"/>
  <c r="AB198" i="34" s="1"/>
  <c r="AC198" i="34" s="1"/>
  <c r="AD198" i="34" s="1"/>
  <c r="AE198" i="34" s="1"/>
  <c r="AF198" i="34" s="1"/>
  <c r="B198" i="34" s="1"/>
  <c r="D198" i="34"/>
  <c r="E198" i="34" s="1"/>
  <c r="F198" i="34" s="1"/>
  <c r="G198" i="34" s="1"/>
  <c r="H198" i="34" s="1"/>
  <c r="I198" i="34" s="1"/>
  <c r="J198" i="34" s="1"/>
  <c r="K198" i="34" s="1"/>
  <c r="L198" i="34" s="1"/>
  <c r="M198" i="34" s="1"/>
  <c r="N198" i="34" s="1"/>
  <c r="O198" i="34" s="1"/>
  <c r="P198" i="34" s="1"/>
  <c r="Q198" i="34" s="1"/>
  <c r="R198" i="34" s="1"/>
  <c r="S198" i="34" s="1"/>
  <c r="T198" i="34" s="1"/>
  <c r="R197" i="34"/>
  <c r="S197" i="34" s="1"/>
  <c r="T197" i="34" s="1"/>
  <c r="U197" i="34" s="1"/>
  <c r="V197" i="34" s="1"/>
  <c r="W197" i="34" s="1"/>
  <c r="X197" i="34" s="1"/>
  <c r="Y197" i="34" s="1"/>
  <c r="Z197" i="34" s="1"/>
  <c r="AA197" i="34" s="1"/>
  <c r="AB197" i="34" s="1"/>
  <c r="AC197" i="34" s="1"/>
  <c r="AD197" i="34" s="1"/>
  <c r="AE197" i="34" s="1"/>
  <c r="AF197" i="34" s="1"/>
  <c r="B197" i="34" s="1"/>
  <c r="D197" i="34"/>
  <c r="E197" i="34" s="1"/>
  <c r="F197" i="34" s="1"/>
  <c r="G197" i="34" s="1"/>
  <c r="H197" i="34" s="1"/>
  <c r="I197" i="34" s="1"/>
  <c r="J197" i="34" s="1"/>
  <c r="K197" i="34" s="1"/>
  <c r="L197" i="34" s="1"/>
  <c r="M197" i="34" s="1"/>
  <c r="N197" i="34" s="1"/>
  <c r="O197" i="34" s="1"/>
  <c r="P197" i="34" s="1"/>
  <c r="Q197" i="34" s="1"/>
  <c r="E196" i="34"/>
  <c r="F196" i="34" s="1"/>
  <c r="G196" i="34" s="1"/>
  <c r="H196" i="34" s="1"/>
  <c r="I196" i="34" s="1"/>
  <c r="J196" i="34" s="1"/>
  <c r="K196" i="34" s="1"/>
  <c r="L196" i="34" s="1"/>
  <c r="M196" i="34" s="1"/>
  <c r="N196" i="34" s="1"/>
  <c r="O196" i="34" s="1"/>
  <c r="P196" i="34" s="1"/>
  <c r="Q196" i="34" s="1"/>
  <c r="R196" i="34" s="1"/>
  <c r="S196" i="34" s="1"/>
  <c r="T196" i="34" s="1"/>
  <c r="U196" i="34" s="1"/>
  <c r="V196" i="34" s="1"/>
  <c r="W196" i="34" s="1"/>
  <c r="X196" i="34" s="1"/>
  <c r="Y196" i="34" s="1"/>
  <c r="Z196" i="34" s="1"/>
  <c r="AA196" i="34" s="1"/>
  <c r="AB196" i="34" s="1"/>
  <c r="AC196" i="34" s="1"/>
  <c r="AD196" i="34" s="1"/>
  <c r="AE196" i="34" s="1"/>
  <c r="AF196" i="34" s="1"/>
  <c r="B196" i="34" s="1"/>
  <c r="D196" i="34"/>
  <c r="U195" i="34"/>
  <c r="V195" i="34" s="1"/>
  <c r="W195" i="34" s="1"/>
  <c r="X195" i="34" s="1"/>
  <c r="Y195" i="34" s="1"/>
  <c r="Z195" i="34" s="1"/>
  <c r="AA195" i="34" s="1"/>
  <c r="AB195" i="34" s="1"/>
  <c r="AC195" i="34" s="1"/>
  <c r="AD195" i="34" s="1"/>
  <c r="AE195" i="34" s="1"/>
  <c r="AF195" i="34" s="1"/>
  <c r="B195" i="34" s="1"/>
  <c r="D195" i="34"/>
  <c r="E195" i="34" s="1"/>
  <c r="F195" i="34" s="1"/>
  <c r="G195" i="34" s="1"/>
  <c r="H195" i="34" s="1"/>
  <c r="I195" i="34" s="1"/>
  <c r="J195" i="34" s="1"/>
  <c r="K195" i="34" s="1"/>
  <c r="L195" i="34" s="1"/>
  <c r="M195" i="34" s="1"/>
  <c r="N195" i="34" s="1"/>
  <c r="O195" i="34" s="1"/>
  <c r="P195" i="34" s="1"/>
  <c r="Q195" i="34" s="1"/>
  <c r="R195" i="34" s="1"/>
  <c r="S195" i="34" s="1"/>
  <c r="T195" i="34" s="1"/>
  <c r="D194" i="34"/>
  <c r="AG192" i="34"/>
  <c r="C192" i="34"/>
  <c r="G191" i="34"/>
  <c r="H191" i="34" s="1"/>
  <c r="I191" i="34" s="1"/>
  <c r="J191" i="34" s="1"/>
  <c r="K191" i="34" s="1"/>
  <c r="L191" i="34" s="1"/>
  <c r="M191" i="34" s="1"/>
  <c r="N191" i="34" s="1"/>
  <c r="O191" i="34" s="1"/>
  <c r="P191" i="34" s="1"/>
  <c r="Q191" i="34" s="1"/>
  <c r="R191" i="34" s="1"/>
  <c r="S191" i="34" s="1"/>
  <c r="T191" i="34" s="1"/>
  <c r="U191" i="34" s="1"/>
  <c r="V191" i="34" s="1"/>
  <c r="W191" i="34" s="1"/>
  <c r="X191" i="34" s="1"/>
  <c r="Y191" i="34" s="1"/>
  <c r="Z191" i="34" s="1"/>
  <c r="AA191" i="34" s="1"/>
  <c r="AB191" i="34" s="1"/>
  <c r="AC191" i="34" s="1"/>
  <c r="AD191" i="34" s="1"/>
  <c r="AE191" i="34" s="1"/>
  <c r="AF191" i="34" s="1"/>
  <c r="B191" i="34" s="1"/>
  <c r="D191" i="34"/>
  <c r="E191" i="34" s="1"/>
  <c r="F191" i="34" s="1"/>
  <c r="E190" i="34"/>
  <c r="F190" i="34" s="1"/>
  <c r="G190" i="34" s="1"/>
  <c r="H190" i="34" s="1"/>
  <c r="I190" i="34" s="1"/>
  <c r="J190" i="34" s="1"/>
  <c r="K190" i="34" s="1"/>
  <c r="L190" i="34" s="1"/>
  <c r="M190" i="34" s="1"/>
  <c r="N190" i="34" s="1"/>
  <c r="O190" i="34" s="1"/>
  <c r="P190" i="34" s="1"/>
  <c r="Q190" i="34" s="1"/>
  <c r="R190" i="34" s="1"/>
  <c r="S190" i="34" s="1"/>
  <c r="T190" i="34" s="1"/>
  <c r="U190" i="34" s="1"/>
  <c r="V190" i="34" s="1"/>
  <c r="W190" i="34" s="1"/>
  <c r="X190" i="34" s="1"/>
  <c r="Y190" i="34" s="1"/>
  <c r="Z190" i="34" s="1"/>
  <c r="AA190" i="34" s="1"/>
  <c r="AB190" i="34" s="1"/>
  <c r="AC190" i="34" s="1"/>
  <c r="AD190" i="34" s="1"/>
  <c r="AE190" i="34" s="1"/>
  <c r="AF190" i="34" s="1"/>
  <c r="B190" i="34" s="1"/>
  <c r="D190" i="34"/>
  <c r="D189" i="34"/>
  <c r="E189" i="34" s="1"/>
  <c r="F189" i="34" s="1"/>
  <c r="G189" i="34" s="1"/>
  <c r="H189" i="34" s="1"/>
  <c r="I189" i="34" s="1"/>
  <c r="J189" i="34" s="1"/>
  <c r="K189" i="34" s="1"/>
  <c r="L189" i="34" s="1"/>
  <c r="M189" i="34" s="1"/>
  <c r="N189" i="34" s="1"/>
  <c r="O189" i="34" s="1"/>
  <c r="P189" i="34" s="1"/>
  <c r="Q189" i="34" s="1"/>
  <c r="R189" i="34" s="1"/>
  <c r="S189" i="34" s="1"/>
  <c r="T189" i="34" s="1"/>
  <c r="U189" i="34" s="1"/>
  <c r="V189" i="34" s="1"/>
  <c r="W189" i="34" s="1"/>
  <c r="X189" i="34" s="1"/>
  <c r="Y189" i="34" s="1"/>
  <c r="Z189" i="34" s="1"/>
  <c r="AA189" i="34" s="1"/>
  <c r="AB189" i="34" s="1"/>
  <c r="AC189" i="34" s="1"/>
  <c r="AD189" i="34" s="1"/>
  <c r="AE189" i="34" s="1"/>
  <c r="AF189" i="34" s="1"/>
  <c r="B189" i="34" s="1"/>
  <c r="AC188" i="34"/>
  <c r="AD188" i="34" s="1"/>
  <c r="AE188" i="34" s="1"/>
  <c r="AF188" i="34" s="1"/>
  <c r="B188" i="34" s="1"/>
  <c r="L188" i="34"/>
  <c r="M188" i="34" s="1"/>
  <c r="N188" i="34" s="1"/>
  <c r="O188" i="34" s="1"/>
  <c r="P188" i="34" s="1"/>
  <c r="Q188" i="34" s="1"/>
  <c r="R188" i="34" s="1"/>
  <c r="S188" i="34" s="1"/>
  <c r="T188" i="34" s="1"/>
  <c r="U188" i="34" s="1"/>
  <c r="V188" i="34" s="1"/>
  <c r="W188" i="34" s="1"/>
  <c r="X188" i="34" s="1"/>
  <c r="Y188" i="34" s="1"/>
  <c r="Z188" i="34" s="1"/>
  <c r="AA188" i="34" s="1"/>
  <c r="AB188" i="34" s="1"/>
  <c r="D188" i="34"/>
  <c r="E188" i="34" s="1"/>
  <c r="F188" i="34" s="1"/>
  <c r="G188" i="34" s="1"/>
  <c r="H188" i="34" s="1"/>
  <c r="I188" i="34" s="1"/>
  <c r="J188" i="34" s="1"/>
  <c r="K188" i="34" s="1"/>
  <c r="G187" i="34"/>
  <c r="H187" i="34" s="1"/>
  <c r="I187" i="34" s="1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B187" i="34" s="1"/>
  <c r="D187" i="34"/>
  <c r="E187" i="34" s="1"/>
  <c r="F187" i="34" s="1"/>
  <c r="H186" i="34"/>
  <c r="I186" i="34" s="1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B186" i="34" s="1"/>
  <c r="E186" i="34"/>
  <c r="F186" i="34" s="1"/>
  <c r="G186" i="34" s="1"/>
  <c r="D186" i="34"/>
  <c r="N185" i="34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B185" i="34" s="1"/>
  <c r="D185" i="34"/>
  <c r="E185" i="34" s="1"/>
  <c r="F185" i="34" s="1"/>
  <c r="G185" i="34" s="1"/>
  <c r="H185" i="34" s="1"/>
  <c r="I185" i="34" s="1"/>
  <c r="J185" i="34" s="1"/>
  <c r="K185" i="34" s="1"/>
  <c r="L185" i="34" s="1"/>
  <c r="M185" i="34" s="1"/>
  <c r="AA184" i="34"/>
  <c r="AB184" i="34" s="1"/>
  <c r="AC184" i="34" s="1"/>
  <c r="AD184" i="34" s="1"/>
  <c r="AE184" i="34" s="1"/>
  <c r="AF184" i="34" s="1"/>
  <c r="B184" i="34" s="1"/>
  <c r="Q184" i="34"/>
  <c r="R184" i="34" s="1"/>
  <c r="S184" i="34" s="1"/>
  <c r="T184" i="34" s="1"/>
  <c r="U184" i="34" s="1"/>
  <c r="V184" i="34" s="1"/>
  <c r="W184" i="34" s="1"/>
  <c r="X184" i="34" s="1"/>
  <c r="Y184" i="34" s="1"/>
  <c r="Z184" i="34" s="1"/>
  <c r="E184" i="34"/>
  <c r="F184" i="34" s="1"/>
  <c r="G184" i="34" s="1"/>
  <c r="H184" i="34" s="1"/>
  <c r="I184" i="34" s="1"/>
  <c r="J184" i="34" s="1"/>
  <c r="K184" i="34" s="1"/>
  <c r="L184" i="34" s="1"/>
  <c r="M184" i="34" s="1"/>
  <c r="N184" i="34" s="1"/>
  <c r="O184" i="34" s="1"/>
  <c r="P184" i="34" s="1"/>
  <c r="D184" i="34"/>
  <c r="J183" i="34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U183" i="34" s="1"/>
  <c r="V183" i="34" s="1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B183" i="34" s="1"/>
  <c r="G183" i="34"/>
  <c r="H183" i="34" s="1"/>
  <c r="I183" i="34" s="1"/>
  <c r="D183" i="34"/>
  <c r="E183" i="34" s="1"/>
  <c r="F183" i="34" s="1"/>
  <c r="H182" i="34"/>
  <c r="I182" i="34" s="1"/>
  <c r="J182" i="34" s="1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U182" i="34" s="1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B182" i="34" s="1"/>
  <c r="E182" i="34"/>
  <c r="F182" i="34" s="1"/>
  <c r="G182" i="34" s="1"/>
  <c r="D182" i="34"/>
  <c r="E181" i="34"/>
  <c r="F181" i="34" s="1"/>
  <c r="G181" i="34" s="1"/>
  <c r="H181" i="34" s="1"/>
  <c r="I181" i="34" s="1"/>
  <c r="J181" i="34" s="1"/>
  <c r="K181" i="34" s="1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Y181" i="34" s="1"/>
  <c r="Z181" i="34" s="1"/>
  <c r="AA181" i="34" s="1"/>
  <c r="AB181" i="34" s="1"/>
  <c r="AC181" i="34" s="1"/>
  <c r="AD181" i="34" s="1"/>
  <c r="AE181" i="34" s="1"/>
  <c r="AF181" i="34" s="1"/>
  <c r="B181" i="34" s="1"/>
  <c r="D181" i="34"/>
  <c r="E180" i="34"/>
  <c r="F180" i="34" s="1"/>
  <c r="G180" i="34" s="1"/>
  <c r="H180" i="34" s="1"/>
  <c r="I180" i="34" s="1"/>
  <c r="J180" i="34" s="1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U180" i="34" s="1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B180" i="34" s="1"/>
  <c r="D180" i="34"/>
  <c r="H179" i="34"/>
  <c r="I179" i="34" s="1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B179" i="34" s="1"/>
  <c r="D179" i="34"/>
  <c r="E179" i="34" s="1"/>
  <c r="F179" i="34" s="1"/>
  <c r="G179" i="34" s="1"/>
  <c r="AD177" i="34"/>
  <c r="AE177" i="34" s="1"/>
  <c r="AF177" i="34" s="1"/>
  <c r="B177" i="34" s="1"/>
  <c r="H177" i="34"/>
  <c r="I177" i="34" s="1"/>
  <c r="J177" i="34" s="1"/>
  <c r="K177" i="34" s="1"/>
  <c r="L177" i="34" s="1"/>
  <c r="M177" i="34" s="1"/>
  <c r="N177" i="34" s="1"/>
  <c r="O177" i="34" s="1"/>
  <c r="P177" i="34" s="1"/>
  <c r="Q177" i="34" s="1"/>
  <c r="R177" i="34" s="1"/>
  <c r="S177" i="34" s="1"/>
  <c r="T177" i="34" s="1"/>
  <c r="U177" i="34" s="1"/>
  <c r="V177" i="34" s="1"/>
  <c r="W177" i="34" s="1"/>
  <c r="X177" i="34" s="1"/>
  <c r="Y177" i="34" s="1"/>
  <c r="Z177" i="34" s="1"/>
  <c r="AA177" i="34" s="1"/>
  <c r="AB177" i="34" s="1"/>
  <c r="AC177" i="34" s="1"/>
  <c r="F177" i="34"/>
  <c r="G177" i="34" s="1"/>
  <c r="E177" i="34"/>
  <c r="D177" i="34"/>
  <c r="H176" i="34"/>
  <c r="I176" i="34" s="1"/>
  <c r="J176" i="34" s="1"/>
  <c r="K176" i="34" s="1"/>
  <c r="L176" i="34" s="1"/>
  <c r="M176" i="34" s="1"/>
  <c r="N176" i="34" s="1"/>
  <c r="O176" i="34" s="1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B176" i="34" s="1"/>
  <c r="E176" i="34"/>
  <c r="F176" i="34" s="1"/>
  <c r="G176" i="34" s="1"/>
  <c r="D176" i="34"/>
  <c r="Y175" i="34"/>
  <c r="Z175" i="34" s="1"/>
  <c r="AA175" i="34" s="1"/>
  <c r="AB175" i="34" s="1"/>
  <c r="AC175" i="34" s="1"/>
  <c r="AD175" i="34" s="1"/>
  <c r="AE175" i="34" s="1"/>
  <c r="AF175" i="34" s="1"/>
  <c r="B175" i="34" s="1"/>
  <c r="F175" i="34"/>
  <c r="G175" i="34" s="1"/>
  <c r="H175" i="34" s="1"/>
  <c r="I175" i="34" s="1"/>
  <c r="J175" i="34" s="1"/>
  <c r="K175" i="34" s="1"/>
  <c r="L175" i="34" s="1"/>
  <c r="M175" i="34" s="1"/>
  <c r="N175" i="34" s="1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D175" i="34"/>
  <c r="E175" i="34" s="1"/>
  <c r="D174" i="34"/>
  <c r="E174" i="34" s="1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B174" i="34" s="1"/>
  <c r="F173" i="34"/>
  <c r="G173" i="34" s="1"/>
  <c r="H173" i="34" s="1"/>
  <c r="I173" i="34" s="1"/>
  <c r="J173" i="34" s="1"/>
  <c r="K173" i="34" s="1"/>
  <c r="L173" i="34" s="1"/>
  <c r="M173" i="34" s="1"/>
  <c r="N173" i="34" s="1"/>
  <c r="O173" i="34" s="1"/>
  <c r="P173" i="34" s="1"/>
  <c r="Q173" i="34" s="1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B173" i="34" s="1"/>
  <c r="E173" i="34"/>
  <c r="D173" i="34"/>
  <c r="AD172" i="34"/>
  <c r="AE172" i="34" s="1"/>
  <c r="AF172" i="34" s="1"/>
  <c r="B172" i="34" s="1"/>
  <c r="E172" i="34"/>
  <c r="F172" i="34" s="1"/>
  <c r="G172" i="34" s="1"/>
  <c r="H172" i="34" s="1"/>
  <c r="I172" i="34" s="1"/>
  <c r="J172" i="34" s="1"/>
  <c r="K172" i="34" s="1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D172" i="34"/>
  <c r="G171" i="34"/>
  <c r="H171" i="34" s="1"/>
  <c r="I171" i="34" s="1"/>
  <c r="J171" i="34" s="1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B171" i="34" s="1"/>
  <c r="E171" i="34"/>
  <c r="F171" i="34" s="1"/>
  <c r="D171" i="34"/>
  <c r="D170" i="34"/>
  <c r="E170" i="34" s="1"/>
  <c r="F170" i="34" s="1"/>
  <c r="G170" i="34" s="1"/>
  <c r="H170" i="34" s="1"/>
  <c r="I170" i="34" s="1"/>
  <c r="J170" i="34" s="1"/>
  <c r="K170" i="34" s="1"/>
  <c r="L170" i="34" s="1"/>
  <c r="M170" i="34" s="1"/>
  <c r="N170" i="34" s="1"/>
  <c r="O170" i="34" s="1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B170" i="34" s="1"/>
  <c r="E168" i="34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Q168" i="34" s="1"/>
  <c r="R168" i="34" s="1"/>
  <c r="S168" i="34" s="1"/>
  <c r="T168" i="34" s="1"/>
  <c r="U168" i="34" s="1"/>
  <c r="V168" i="34" s="1"/>
  <c r="W168" i="34" s="1"/>
  <c r="X168" i="34" s="1"/>
  <c r="Y168" i="34" s="1"/>
  <c r="Z168" i="34" s="1"/>
  <c r="AA168" i="34" s="1"/>
  <c r="AB168" i="34" s="1"/>
  <c r="AC168" i="34" s="1"/>
  <c r="AD168" i="34" s="1"/>
  <c r="AE168" i="34" s="1"/>
  <c r="AF168" i="34" s="1"/>
  <c r="B168" i="34" s="1"/>
  <c r="D168" i="34"/>
  <c r="D167" i="34"/>
  <c r="E167" i="34" s="1"/>
  <c r="F167" i="34" s="1"/>
  <c r="G167" i="34" s="1"/>
  <c r="H167" i="34" s="1"/>
  <c r="I167" i="34" s="1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B167" i="34" s="1"/>
  <c r="F166" i="34"/>
  <c r="G166" i="34" s="1"/>
  <c r="H166" i="34" s="1"/>
  <c r="I166" i="34" s="1"/>
  <c r="J166" i="34" s="1"/>
  <c r="K166" i="34" s="1"/>
  <c r="L166" i="34" s="1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B166" i="34" s="1"/>
  <c r="D166" i="34"/>
  <c r="E166" i="34" s="1"/>
  <c r="D165" i="34"/>
  <c r="E165" i="34" s="1"/>
  <c r="F165" i="34" s="1"/>
  <c r="G165" i="34" s="1"/>
  <c r="H165" i="34" s="1"/>
  <c r="I165" i="34" s="1"/>
  <c r="J165" i="34" s="1"/>
  <c r="K165" i="34" s="1"/>
  <c r="L165" i="34" s="1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B165" i="34" s="1"/>
  <c r="F164" i="34"/>
  <c r="G164" i="34" s="1"/>
  <c r="H164" i="34" s="1"/>
  <c r="I164" i="34" s="1"/>
  <c r="J164" i="34" s="1"/>
  <c r="K164" i="34" s="1"/>
  <c r="L164" i="34" s="1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B164" i="34" s="1"/>
  <c r="E164" i="34"/>
  <c r="D164" i="34"/>
  <c r="F163" i="34"/>
  <c r="G163" i="34" s="1"/>
  <c r="H163" i="34" s="1"/>
  <c r="I163" i="34" s="1"/>
  <c r="J163" i="34" s="1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B163" i="34" s="1"/>
  <c r="D163" i="34"/>
  <c r="E163" i="34" s="1"/>
  <c r="S162" i="34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B162" i="34" s="1"/>
  <c r="F162" i="34"/>
  <c r="G162" i="34" s="1"/>
  <c r="H162" i="34" s="1"/>
  <c r="I162" i="34" s="1"/>
  <c r="J162" i="34" s="1"/>
  <c r="K162" i="34" s="1"/>
  <c r="L162" i="34" s="1"/>
  <c r="M162" i="34" s="1"/>
  <c r="N162" i="34" s="1"/>
  <c r="O162" i="34" s="1"/>
  <c r="P162" i="34" s="1"/>
  <c r="Q162" i="34" s="1"/>
  <c r="R162" i="34" s="1"/>
  <c r="D162" i="34"/>
  <c r="E162" i="34" s="1"/>
  <c r="P161" i="34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B161" i="34" s="1"/>
  <c r="D161" i="34"/>
  <c r="E161" i="34" s="1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E160" i="34"/>
  <c r="F160" i="34" s="1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B160" i="34" s="1"/>
  <c r="D160" i="34"/>
  <c r="M159" i="34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B159" i="34" s="1"/>
  <c r="E159" i="34"/>
  <c r="F159" i="34" s="1"/>
  <c r="G159" i="34" s="1"/>
  <c r="H159" i="34" s="1"/>
  <c r="I159" i="34" s="1"/>
  <c r="J159" i="34" s="1"/>
  <c r="K159" i="34" s="1"/>
  <c r="L159" i="34" s="1"/>
  <c r="D159" i="34"/>
  <c r="D158" i="34"/>
  <c r="E158" i="34" s="1"/>
  <c r="F158" i="34" s="1"/>
  <c r="G158" i="34" s="1"/>
  <c r="H158" i="34" s="1"/>
  <c r="I158" i="34" s="1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B158" i="34" s="1"/>
  <c r="AE157" i="34"/>
  <c r="AF157" i="34" s="1"/>
  <c r="B157" i="34" s="1"/>
  <c r="E157" i="34"/>
  <c r="F157" i="34" s="1"/>
  <c r="G157" i="34" s="1"/>
  <c r="H157" i="34" s="1"/>
  <c r="I157" i="34" s="1"/>
  <c r="J157" i="34" s="1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D157" i="34"/>
  <c r="J156" i="34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B156" i="34" s="1"/>
  <c r="D156" i="34"/>
  <c r="E156" i="34" s="1"/>
  <c r="F156" i="34" s="1"/>
  <c r="G156" i="34" s="1"/>
  <c r="H156" i="34" s="1"/>
  <c r="I156" i="34" s="1"/>
  <c r="J154" i="34"/>
  <c r="K154" i="34" s="1"/>
  <c r="L154" i="34" s="1"/>
  <c r="M154" i="34" s="1"/>
  <c r="N154" i="34" s="1"/>
  <c r="O154" i="34" s="1"/>
  <c r="P154" i="34" s="1"/>
  <c r="Q154" i="34" s="1"/>
  <c r="R154" i="34" s="1"/>
  <c r="S154" i="34" s="1"/>
  <c r="T154" i="34" s="1"/>
  <c r="U154" i="34" s="1"/>
  <c r="V154" i="34" s="1"/>
  <c r="W154" i="34" s="1"/>
  <c r="X154" i="34" s="1"/>
  <c r="Y154" i="34" s="1"/>
  <c r="Z154" i="34" s="1"/>
  <c r="AA154" i="34" s="1"/>
  <c r="AB154" i="34" s="1"/>
  <c r="AC154" i="34" s="1"/>
  <c r="AD154" i="34" s="1"/>
  <c r="AE154" i="34" s="1"/>
  <c r="AF154" i="34" s="1"/>
  <c r="B154" i="34" s="1"/>
  <c r="D154" i="34"/>
  <c r="E154" i="34" s="1"/>
  <c r="F154" i="34" s="1"/>
  <c r="G154" i="34" s="1"/>
  <c r="H154" i="34" s="1"/>
  <c r="I154" i="34" s="1"/>
  <c r="F153" i="34"/>
  <c r="G153" i="34" s="1"/>
  <c r="H153" i="34" s="1"/>
  <c r="I153" i="34" s="1"/>
  <c r="J153" i="34" s="1"/>
  <c r="K153" i="34" s="1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B153" i="34" s="1"/>
  <c r="D153" i="34"/>
  <c r="E153" i="34" s="1"/>
  <c r="E152" i="34"/>
  <c r="F152" i="34" s="1"/>
  <c r="G152" i="34" s="1"/>
  <c r="H152" i="34" s="1"/>
  <c r="I152" i="34" s="1"/>
  <c r="J152" i="34" s="1"/>
  <c r="K152" i="34" s="1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B152" i="34" s="1"/>
  <c r="D152" i="34"/>
  <c r="T151" i="34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B151" i="34" s="1"/>
  <c r="E151" i="34"/>
  <c r="F151" i="34" s="1"/>
  <c r="G151" i="34" s="1"/>
  <c r="H151" i="34" s="1"/>
  <c r="I151" i="34" s="1"/>
  <c r="J151" i="34" s="1"/>
  <c r="K151" i="34" s="1"/>
  <c r="L151" i="34" s="1"/>
  <c r="M151" i="34" s="1"/>
  <c r="N151" i="34" s="1"/>
  <c r="O151" i="34" s="1"/>
  <c r="P151" i="34" s="1"/>
  <c r="Q151" i="34" s="1"/>
  <c r="R151" i="34" s="1"/>
  <c r="S151" i="34" s="1"/>
  <c r="D151" i="34"/>
  <c r="J149" i="34"/>
  <c r="K149" i="34" s="1"/>
  <c r="L149" i="34" s="1"/>
  <c r="M149" i="34" s="1"/>
  <c r="N149" i="34" s="1"/>
  <c r="O149" i="34" s="1"/>
  <c r="P149" i="34" s="1"/>
  <c r="Q149" i="34" s="1"/>
  <c r="R149" i="34" s="1"/>
  <c r="S149" i="34" s="1"/>
  <c r="T149" i="34" s="1"/>
  <c r="U149" i="34" s="1"/>
  <c r="V149" i="34" s="1"/>
  <c r="W149" i="34" s="1"/>
  <c r="X149" i="34" s="1"/>
  <c r="Y149" i="34" s="1"/>
  <c r="Z149" i="34" s="1"/>
  <c r="AA149" i="34" s="1"/>
  <c r="AB149" i="34" s="1"/>
  <c r="AC149" i="34" s="1"/>
  <c r="AD149" i="34" s="1"/>
  <c r="AE149" i="34" s="1"/>
  <c r="AF149" i="34" s="1"/>
  <c r="B149" i="34" s="1"/>
  <c r="D149" i="34"/>
  <c r="E149" i="34" s="1"/>
  <c r="F149" i="34" s="1"/>
  <c r="G149" i="34" s="1"/>
  <c r="H149" i="34" s="1"/>
  <c r="I149" i="34" s="1"/>
  <c r="D148" i="34"/>
  <c r="E148" i="34" s="1"/>
  <c r="F148" i="34" s="1"/>
  <c r="G148" i="34" s="1"/>
  <c r="H148" i="34" s="1"/>
  <c r="I148" i="34" s="1"/>
  <c r="J148" i="34" s="1"/>
  <c r="K148" i="34" s="1"/>
  <c r="L148" i="34" s="1"/>
  <c r="M148" i="34" s="1"/>
  <c r="N148" i="34" s="1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B148" i="34" s="1"/>
  <c r="D146" i="34"/>
  <c r="E146" i="34" s="1"/>
  <c r="F146" i="34" s="1"/>
  <c r="G146" i="34" s="1"/>
  <c r="H146" i="34" s="1"/>
  <c r="I146" i="34" s="1"/>
  <c r="J146" i="34" s="1"/>
  <c r="K146" i="34" s="1"/>
  <c r="L146" i="34" s="1"/>
  <c r="M146" i="34" s="1"/>
  <c r="N146" i="34" s="1"/>
  <c r="O146" i="34" s="1"/>
  <c r="P146" i="34" s="1"/>
  <c r="Q146" i="34" s="1"/>
  <c r="R146" i="34" s="1"/>
  <c r="S146" i="34" s="1"/>
  <c r="T146" i="34" s="1"/>
  <c r="U146" i="34" s="1"/>
  <c r="V146" i="34" s="1"/>
  <c r="W146" i="34" s="1"/>
  <c r="X146" i="34" s="1"/>
  <c r="Y146" i="34" s="1"/>
  <c r="Z146" i="34" s="1"/>
  <c r="AA146" i="34" s="1"/>
  <c r="AB146" i="34" s="1"/>
  <c r="AC146" i="34" s="1"/>
  <c r="AD146" i="34" s="1"/>
  <c r="AE146" i="34" s="1"/>
  <c r="AF146" i="34" s="1"/>
  <c r="B146" i="34" s="1"/>
  <c r="AB145" i="34"/>
  <c r="AC145" i="34" s="1"/>
  <c r="AD145" i="34" s="1"/>
  <c r="AE145" i="34" s="1"/>
  <c r="AF145" i="34" s="1"/>
  <c r="B145" i="34" s="1"/>
  <c r="H145" i="34"/>
  <c r="I145" i="34" s="1"/>
  <c r="J145" i="34" s="1"/>
  <c r="K145" i="34" s="1"/>
  <c r="L145" i="34" s="1"/>
  <c r="M145" i="34" s="1"/>
  <c r="N145" i="34" s="1"/>
  <c r="O145" i="34" s="1"/>
  <c r="P145" i="34" s="1"/>
  <c r="Q145" i="34" s="1"/>
  <c r="R145" i="34" s="1"/>
  <c r="S145" i="34" s="1"/>
  <c r="T145" i="34" s="1"/>
  <c r="U145" i="34" s="1"/>
  <c r="V145" i="34" s="1"/>
  <c r="W145" i="34" s="1"/>
  <c r="X145" i="34" s="1"/>
  <c r="Y145" i="34" s="1"/>
  <c r="Z145" i="34" s="1"/>
  <c r="AA145" i="34" s="1"/>
  <c r="D145" i="34"/>
  <c r="E145" i="34" s="1"/>
  <c r="F145" i="34" s="1"/>
  <c r="G145" i="34" s="1"/>
  <c r="T144" i="34"/>
  <c r="U144" i="34" s="1"/>
  <c r="V144" i="34" s="1"/>
  <c r="W144" i="34" s="1"/>
  <c r="X144" i="34" s="1"/>
  <c r="Y144" i="34" s="1"/>
  <c r="Z144" i="34" s="1"/>
  <c r="AA144" i="34" s="1"/>
  <c r="AB144" i="34" s="1"/>
  <c r="AC144" i="34" s="1"/>
  <c r="AD144" i="34" s="1"/>
  <c r="AE144" i="34" s="1"/>
  <c r="AF144" i="34" s="1"/>
  <c r="B144" i="34" s="1"/>
  <c r="E144" i="34"/>
  <c r="F144" i="34" s="1"/>
  <c r="G144" i="34" s="1"/>
  <c r="H144" i="34" s="1"/>
  <c r="I144" i="34" s="1"/>
  <c r="J144" i="34" s="1"/>
  <c r="K144" i="34" s="1"/>
  <c r="L144" i="34" s="1"/>
  <c r="M144" i="34" s="1"/>
  <c r="N144" i="34" s="1"/>
  <c r="O144" i="34" s="1"/>
  <c r="P144" i="34" s="1"/>
  <c r="Q144" i="34" s="1"/>
  <c r="R144" i="34" s="1"/>
  <c r="S144" i="34" s="1"/>
  <c r="D144" i="34"/>
  <c r="F143" i="34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B143" i="34" s="1"/>
  <c r="D143" i="34"/>
  <c r="E143" i="34" s="1"/>
  <c r="P142" i="34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B142" i="34" s="1"/>
  <c r="G142" i="34"/>
  <c r="H142" i="34" s="1"/>
  <c r="I142" i="34" s="1"/>
  <c r="J142" i="34" s="1"/>
  <c r="K142" i="34" s="1"/>
  <c r="L142" i="34" s="1"/>
  <c r="M142" i="34" s="1"/>
  <c r="N142" i="34" s="1"/>
  <c r="O142" i="34" s="1"/>
  <c r="E142" i="34"/>
  <c r="F142" i="34" s="1"/>
  <c r="D142" i="34"/>
  <c r="W141" i="34"/>
  <c r="X141" i="34" s="1"/>
  <c r="Y141" i="34" s="1"/>
  <c r="Z141" i="34" s="1"/>
  <c r="AA141" i="34" s="1"/>
  <c r="AB141" i="34" s="1"/>
  <c r="AC141" i="34" s="1"/>
  <c r="AD141" i="34" s="1"/>
  <c r="AE141" i="34" s="1"/>
  <c r="AF141" i="34" s="1"/>
  <c r="B141" i="34" s="1"/>
  <c r="E141" i="34"/>
  <c r="F141" i="34" s="1"/>
  <c r="G141" i="34" s="1"/>
  <c r="H141" i="34" s="1"/>
  <c r="I141" i="34" s="1"/>
  <c r="J141" i="34" s="1"/>
  <c r="K141" i="34" s="1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D141" i="34"/>
  <c r="AA140" i="34"/>
  <c r="AB140" i="34" s="1"/>
  <c r="AC140" i="34" s="1"/>
  <c r="AD140" i="34" s="1"/>
  <c r="AE140" i="34" s="1"/>
  <c r="AF140" i="34" s="1"/>
  <c r="B140" i="34" s="1"/>
  <c r="J140" i="34"/>
  <c r="K140" i="34" s="1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D140" i="34"/>
  <c r="E140" i="34" s="1"/>
  <c r="F140" i="34" s="1"/>
  <c r="G140" i="34" s="1"/>
  <c r="H140" i="34" s="1"/>
  <c r="I140" i="34" s="1"/>
  <c r="D138" i="34"/>
  <c r="E138" i="34" s="1"/>
  <c r="F138" i="34" s="1"/>
  <c r="G138" i="34" s="1"/>
  <c r="H138" i="34" s="1"/>
  <c r="I138" i="34" s="1"/>
  <c r="J138" i="34" s="1"/>
  <c r="K138" i="34" s="1"/>
  <c r="L138" i="34" s="1"/>
  <c r="M138" i="34" s="1"/>
  <c r="N138" i="34" s="1"/>
  <c r="O138" i="34" s="1"/>
  <c r="P138" i="34" s="1"/>
  <c r="Q138" i="34" s="1"/>
  <c r="R138" i="34" s="1"/>
  <c r="S138" i="34" s="1"/>
  <c r="T138" i="34" s="1"/>
  <c r="U138" i="34" s="1"/>
  <c r="V138" i="34" s="1"/>
  <c r="W138" i="34" s="1"/>
  <c r="X138" i="34" s="1"/>
  <c r="Y138" i="34" s="1"/>
  <c r="Z138" i="34" s="1"/>
  <c r="AA138" i="34" s="1"/>
  <c r="AB138" i="34" s="1"/>
  <c r="AC138" i="34" s="1"/>
  <c r="AD138" i="34" s="1"/>
  <c r="AE138" i="34" s="1"/>
  <c r="AF138" i="34" s="1"/>
  <c r="B138" i="34" s="1"/>
  <c r="N137" i="34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B137" i="34" s="1"/>
  <c r="E137" i="34"/>
  <c r="F137" i="34" s="1"/>
  <c r="G137" i="34" s="1"/>
  <c r="H137" i="34" s="1"/>
  <c r="I137" i="34" s="1"/>
  <c r="J137" i="34" s="1"/>
  <c r="K137" i="34" s="1"/>
  <c r="L137" i="34" s="1"/>
  <c r="M137" i="34" s="1"/>
  <c r="D137" i="34"/>
  <c r="M136" i="34"/>
  <c r="N136" i="34" s="1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B136" i="34" s="1"/>
  <c r="D136" i="34"/>
  <c r="E136" i="34" s="1"/>
  <c r="F136" i="34" s="1"/>
  <c r="G136" i="34" s="1"/>
  <c r="H136" i="34" s="1"/>
  <c r="I136" i="34" s="1"/>
  <c r="J136" i="34" s="1"/>
  <c r="K136" i="34" s="1"/>
  <c r="L136" i="34" s="1"/>
  <c r="P135" i="34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B135" i="34" s="1"/>
  <c r="F135" i="34"/>
  <c r="G135" i="34" s="1"/>
  <c r="H135" i="34" s="1"/>
  <c r="I135" i="34" s="1"/>
  <c r="J135" i="34" s="1"/>
  <c r="K135" i="34" s="1"/>
  <c r="L135" i="34" s="1"/>
  <c r="M135" i="34" s="1"/>
  <c r="N135" i="34" s="1"/>
  <c r="O135" i="34" s="1"/>
  <c r="D135" i="34"/>
  <c r="E135" i="34" s="1"/>
  <c r="D134" i="34"/>
  <c r="E134" i="34" s="1"/>
  <c r="F134" i="34" s="1"/>
  <c r="G134" i="34" s="1"/>
  <c r="H134" i="34" s="1"/>
  <c r="I134" i="34" s="1"/>
  <c r="J134" i="34" s="1"/>
  <c r="K134" i="34" s="1"/>
  <c r="L134" i="34" s="1"/>
  <c r="M134" i="34" s="1"/>
  <c r="N134" i="34" s="1"/>
  <c r="O134" i="34" s="1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B134" i="34" s="1"/>
  <c r="D133" i="34"/>
  <c r="E133" i="34" s="1"/>
  <c r="F133" i="34" s="1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B133" i="34" s="1"/>
  <c r="F132" i="34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B132" i="34" s="1"/>
  <c r="E132" i="34"/>
  <c r="D132" i="34"/>
  <c r="I131" i="34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B131" i="34" s="1"/>
  <c r="D131" i="34"/>
  <c r="E131" i="34" s="1"/>
  <c r="F131" i="34" s="1"/>
  <c r="G131" i="34" s="1"/>
  <c r="H131" i="34" s="1"/>
  <c r="K129" i="34"/>
  <c r="L129" i="34" s="1"/>
  <c r="M129" i="34" s="1"/>
  <c r="N129" i="34" s="1"/>
  <c r="O129" i="34" s="1"/>
  <c r="P129" i="34" s="1"/>
  <c r="Q129" i="34" s="1"/>
  <c r="R129" i="34" s="1"/>
  <c r="S129" i="34" s="1"/>
  <c r="T129" i="34" s="1"/>
  <c r="U129" i="34" s="1"/>
  <c r="V129" i="34" s="1"/>
  <c r="W129" i="34" s="1"/>
  <c r="X129" i="34" s="1"/>
  <c r="Y129" i="34" s="1"/>
  <c r="Z129" i="34" s="1"/>
  <c r="AA129" i="34" s="1"/>
  <c r="AB129" i="34" s="1"/>
  <c r="AC129" i="34" s="1"/>
  <c r="AD129" i="34" s="1"/>
  <c r="AE129" i="34" s="1"/>
  <c r="AF129" i="34" s="1"/>
  <c r="B129" i="34" s="1"/>
  <c r="D129" i="34"/>
  <c r="E129" i="34" s="1"/>
  <c r="F129" i="34" s="1"/>
  <c r="G129" i="34" s="1"/>
  <c r="H129" i="34" s="1"/>
  <c r="I129" i="34" s="1"/>
  <c r="J129" i="34" s="1"/>
  <c r="P128" i="34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B128" i="34" s="1"/>
  <c r="H128" i="34"/>
  <c r="I128" i="34" s="1"/>
  <c r="J128" i="34" s="1"/>
  <c r="K128" i="34" s="1"/>
  <c r="L128" i="34" s="1"/>
  <c r="M128" i="34" s="1"/>
  <c r="N128" i="34" s="1"/>
  <c r="O128" i="34" s="1"/>
  <c r="E128" i="34"/>
  <c r="F128" i="34" s="1"/>
  <c r="G128" i="34" s="1"/>
  <c r="D128" i="34"/>
  <c r="E127" i="34"/>
  <c r="F127" i="34" s="1"/>
  <c r="G127" i="34" s="1"/>
  <c r="H127" i="34" s="1"/>
  <c r="I127" i="34" s="1"/>
  <c r="J127" i="34" s="1"/>
  <c r="K127" i="34" s="1"/>
  <c r="L127" i="34" s="1"/>
  <c r="M127" i="34" s="1"/>
  <c r="N127" i="34" s="1"/>
  <c r="O127" i="34" s="1"/>
  <c r="P127" i="34" s="1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B127" i="34" s="1"/>
  <c r="D127" i="34"/>
  <c r="J126" i="34"/>
  <c r="K126" i="34" s="1"/>
  <c r="L126" i="34" s="1"/>
  <c r="M126" i="34" s="1"/>
  <c r="N126" i="34" s="1"/>
  <c r="O126" i="34" s="1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B126" i="34" s="1"/>
  <c r="D126" i="34"/>
  <c r="E126" i="34" s="1"/>
  <c r="F126" i="34" s="1"/>
  <c r="G126" i="34" s="1"/>
  <c r="H126" i="34" s="1"/>
  <c r="I126" i="34" s="1"/>
  <c r="J125" i="34"/>
  <c r="K125" i="34" s="1"/>
  <c r="L125" i="34" s="1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B125" i="34" s="1"/>
  <c r="E125" i="34"/>
  <c r="F125" i="34" s="1"/>
  <c r="G125" i="34" s="1"/>
  <c r="H125" i="34" s="1"/>
  <c r="D125" i="34"/>
  <c r="J124" i="34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B124" i="34" s="1"/>
  <c r="F124" i="34"/>
  <c r="G124" i="34" s="1"/>
  <c r="H124" i="34" s="1"/>
  <c r="I124" i="34" s="1"/>
  <c r="E124" i="34"/>
  <c r="D124" i="34"/>
  <c r="E123" i="34"/>
  <c r="F123" i="34" s="1"/>
  <c r="G123" i="34" s="1"/>
  <c r="H123" i="34" s="1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B123" i="34" s="1"/>
  <c r="D123" i="34"/>
  <c r="D122" i="34"/>
  <c r="E122" i="34" s="1"/>
  <c r="F122" i="34" s="1"/>
  <c r="G122" i="34" s="1"/>
  <c r="H122" i="34" s="1"/>
  <c r="I122" i="34" s="1"/>
  <c r="J122" i="34" s="1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B122" i="34" s="1"/>
  <c r="G121" i="34"/>
  <c r="H121" i="34" s="1"/>
  <c r="I121" i="34" s="1"/>
  <c r="J121" i="34" s="1"/>
  <c r="K121" i="34" s="1"/>
  <c r="L121" i="34" s="1"/>
  <c r="M121" i="34" s="1"/>
  <c r="N121" i="34" s="1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B121" i="34" s="1"/>
  <c r="D121" i="34"/>
  <c r="E121" i="34" s="1"/>
  <c r="F121" i="34" s="1"/>
  <c r="F120" i="34"/>
  <c r="G120" i="34" s="1"/>
  <c r="H120" i="34" s="1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B120" i="34" s="1"/>
  <c r="D120" i="34"/>
  <c r="E120" i="34" s="1"/>
  <c r="F119" i="34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B119" i="34" s="1"/>
  <c r="D119" i="34"/>
  <c r="E119" i="34" s="1"/>
  <c r="F118" i="34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B118" i="34" s="1"/>
  <c r="D118" i="34"/>
  <c r="E118" i="34" s="1"/>
  <c r="E117" i="34"/>
  <c r="F117" i="34" s="1"/>
  <c r="G117" i="34" s="1"/>
  <c r="H117" i="34" s="1"/>
  <c r="I117" i="34" s="1"/>
  <c r="J117" i="34" s="1"/>
  <c r="K117" i="34" s="1"/>
  <c r="L117" i="34" s="1"/>
  <c r="M117" i="34" s="1"/>
  <c r="N117" i="34" s="1"/>
  <c r="O117" i="34" s="1"/>
  <c r="P117" i="34" s="1"/>
  <c r="Q117" i="34" s="1"/>
  <c r="R117" i="34" s="1"/>
  <c r="S117" i="34" s="1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B117" i="34" s="1"/>
  <c r="D117" i="34"/>
  <c r="G116" i="34"/>
  <c r="H116" i="34" s="1"/>
  <c r="I116" i="34" s="1"/>
  <c r="J116" i="34" s="1"/>
  <c r="K116" i="34" s="1"/>
  <c r="L116" i="34" s="1"/>
  <c r="M116" i="34" s="1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B116" i="34" s="1"/>
  <c r="E116" i="34"/>
  <c r="F116" i="34" s="1"/>
  <c r="D116" i="34"/>
  <c r="D115" i="34"/>
  <c r="E115" i="34" s="1"/>
  <c r="F115" i="34" s="1"/>
  <c r="G115" i="34" s="1"/>
  <c r="H115" i="34" s="1"/>
  <c r="I115" i="34" s="1"/>
  <c r="J115" i="34" s="1"/>
  <c r="K115" i="34" s="1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B115" i="34" s="1"/>
  <c r="L114" i="34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B114" i="34" s="1"/>
  <c r="K114" i="34"/>
  <c r="F114" i="34"/>
  <c r="G114" i="34" s="1"/>
  <c r="H114" i="34" s="1"/>
  <c r="I114" i="34" s="1"/>
  <c r="E114" i="34"/>
  <c r="D114" i="34"/>
  <c r="D113" i="34"/>
  <c r="E113" i="34" s="1"/>
  <c r="F113" i="34" s="1"/>
  <c r="G113" i="34" s="1"/>
  <c r="H113" i="34" s="1"/>
  <c r="I113" i="34" s="1"/>
  <c r="J113" i="34" s="1"/>
  <c r="K113" i="34" s="1"/>
  <c r="L113" i="34" s="1"/>
  <c r="M113" i="34" s="1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B113" i="34" s="1"/>
  <c r="F112" i="34"/>
  <c r="G112" i="34" s="1"/>
  <c r="H112" i="34" s="1"/>
  <c r="I112" i="34" s="1"/>
  <c r="J112" i="34" s="1"/>
  <c r="K112" i="34" s="1"/>
  <c r="L112" i="34" s="1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B112" i="34" s="1"/>
  <c r="D112" i="34"/>
  <c r="E112" i="34" s="1"/>
  <c r="K110" i="34"/>
  <c r="L110" i="34" s="1"/>
  <c r="M110" i="34" s="1"/>
  <c r="N110" i="34" s="1"/>
  <c r="O110" i="34" s="1"/>
  <c r="P110" i="34" s="1"/>
  <c r="Q110" i="34" s="1"/>
  <c r="R110" i="34" s="1"/>
  <c r="S110" i="34" s="1"/>
  <c r="T110" i="34" s="1"/>
  <c r="U110" i="34" s="1"/>
  <c r="V110" i="34" s="1"/>
  <c r="W110" i="34" s="1"/>
  <c r="X110" i="34" s="1"/>
  <c r="Y110" i="34" s="1"/>
  <c r="Z110" i="34" s="1"/>
  <c r="AA110" i="34" s="1"/>
  <c r="AB110" i="34" s="1"/>
  <c r="AC110" i="34" s="1"/>
  <c r="AD110" i="34" s="1"/>
  <c r="AE110" i="34" s="1"/>
  <c r="AF110" i="34" s="1"/>
  <c r="B110" i="34" s="1"/>
  <c r="I110" i="34"/>
  <c r="J110" i="34" s="1"/>
  <c r="E110" i="34"/>
  <c r="F110" i="34" s="1"/>
  <c r="G110" i="34" s="1"/>
  <c r="H110" i="34" s="1"/>
  <c r="D110" i="34"/>
  <c r="F109" i="34"/>
  <c r="G109" i="34" s="1"/>
  <c r="H109" i="34" s="1"/>
  <c r="I109" i="34" s="1"/>
  <c r="J109" i="34" s="1"/>
  <c r="K109" i="34" s="1"/>
  <c r="L109" i="34" s="1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B109" i="34" s="1"/>
  <c r="E109" i="34"/>
  <c r="D109" i="34"/>
  <c r="D107" i="34"/>
  <c r="E107" i="34" s="1"/>
  <c r="F107" i="34" s="1"/>
  <c r="G107" i="34" s="1"/>
  <c r="H107" i="34" s="1"/>
  <c r="I107" i="34" s="1"/>
  <c r="J107" i="34" s="1"/>
  <c r="K107" i="34" s="1"/>
  <c r="L107" i="34" s="1"/>
  <c r="M107" i="34" s="1"/>
  <c r="N107" i="34" s="1"/>
  <c r="O107" i="34" s="1"/>
  <c r="P107" i="34" s="1"/>
  <c r="Q107" i="34" s="1"/>
  <c r="R107" i="34" s="1"/>
  <c r="S107" i="34" s="1"/>
  <c r="T107" i="34" s="1"/>
  <c r="U107" i="34" s="1"/>
  <c r="V107" i="34" s="1"/>
  <c r="W107" i="34" s="1"/>
  <c r="X107" i="34" s="1"/>
  <c r="Y107" i="34" s="1"/>
  <c r="Z107" i="34" s="1"/>
  <c r="AA107" i="34" s="1"/>
  <c r="AB107" i="34" s="1"/>
  <c r="AC107" i="34" s="1"/>
  <c r="AD107" i="34" s="1"/>
  <c r="AE107" i="34" s="1"/>
  <c r="AF107" i="34" s="1"/>
  <c r="B107" i="34" s="1"/>
  <c r="I106" i="34"/>
  <c r="J106" i="34" s="1"/>
  <c r="K106" i="34" s="1"/>
  <c r="L106" i="34" s="1"/>
  <c r="M106" i="34" s="1"/>
  <c r="N106" i="34" s="1"/>
  <c r="O106" i="34" s="1"/>
  <c r="P106" i="34" s="1"/>
  <c r="Q106" i="34" s="1"/>
  <c r="R106" i="34" s="1"/>
  <c r="S106" i="34" s="1"/>
  <c r="T106" i="34" s="1"/>
  <c r="U106" i="34" s="1"/>
  <c r="V106" i="34" s="1"/>
  <c r="W106" i="34" s="1"/>
  <c r="X106" i="34" s="1"/>
  <c r="Y106" i="34" s="1"/>
  <c r="Z106" i="34" s="1"/>
  <c r="AA106" i="34" s="1"/>
  <c r="AB106" i="34" s="1"/>
  <c r="AC106" i="34" s="1"/>
  <c r="AD106" i="34" s="1"/>
  <c r="AE106" i="34" s="1"/>
  <c r="AF106" i="34" s="1"/>
  <c r="B106" i="34" s="1"/>
  <c r="E106" i="34"/>
  <c r="F106" i="34" s="1"/>
  <c r="G106" i="34" s="1"/>
  <c r="H106" i="34" s="1"/>
  <c r="D106" i="34"/>
  <c r="D105" i="34"/>
  <c r="E105" i="34" s="1"/>
  <c r="F105" i="34" s="1"/>
  <c r="G105" i="34" s="1"/>
  <c r="H105" i="34" s="1"/>
  <c r="I105" i="34" s="1"/>
  <c r="J105" i="34" s="1"/>
  <c r="K105" i="34" s="1"/>
  <c r="L105" i="34" s="1"/>
  <c r="M105" i="34" s="1"/>
  <c r="N105" i="34" s="1"/>
  <c r="O105" i="34" s="1"/>
  <c r="P105" i="34" s="1"/>
  <c r="Q105" i="34" s="1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B105" i="34" s="1"/>
  <c r="G104" i="34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B104" i="34" s="1"/>
  <c r="E104" i="34"/>
  <c r="F104" i="34" s="1"/>
  <c r="D104" i="34"/>
  <c r="D103" i="34"/>
  <c r="E103" i="34" s="1"/>
  <c r="F103" i="34" s="1"/>
  <c r="D102" i="34"/>
  <c r="AH100" i="34"/>
  <c r="AI100" i="34" s="1"/>
  <c r="AH99" i="34"/>
  <c r="AI99" i="34" s="1"/>
  <c r="AH98" i="34"/>
  <c r="AI98" i="34" s="1"/>
  <c r="AH97" i="34"/>
  <c r="AI97" i="34" s="1"/>
  <c r="AH96" i="34"/>
  <c r="AI96" i="34" s="1"/>
  <c r="AH95" i="34"/>
  <c r="AI95" i="34" s="1"/>
  <c r="AH94" i="34"/>
  <c r="AI94" i="34" s="1"/>
  <c r="C93" i="34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G82" i="34"/>
  <c r="E82" i="34"/>
  <c r="AI81" i="34"/>
  <c r="AH81" i="34"/>
  <c r="AF80" i="34"/>
  <c r="AE80" i="34"/>
  <c r="AD80" i="34"/>
  <c r="AC80" i="34"/>
  <c r="AB80" i="34"/>
  <c r="AA80" i="34"/>
  <c r="Z80" i="34"/>
  <c r="Y80" i="34"/>
  <c r="X80" i="34"/>
  <c r="W80" i="34"/>
  <c r="V80" i="34"/>
  <c r="U80" i="34"/>
  <c r="T80" i="34"/>
  <c r="S80" i="34"/>
  <c r="R80" i="34"/>
  <c r="Q80" i="34"/>
  <c r="P80" i="34"/>
  <c r="O80" i="34"/>
  <c r="N80" i="34"/>
  <c r="M80" i="34"/>
  <c r="L80" i="34"/>
  <c r="K80" i="34"/>
  <c r="J80" i="34"/>
  <c r="I80" i="34"/>
  <c r="H80" i="34"/>
  <c r="G80" i="34"/>
  <c r="F80" i="34"/>
  <c r="E80" i="34"/>
  <c r="D80" i="34"/>
  <c r="C80" i="34"/>
  <c r="AF79" i="34"/>
  <c r="AE79" i="34"/>
  <c r="AD79" i="34"/>
  <c r="AC79" i="34"/>
  <c r="AB79" i="34"/>
  <c r="AA79" i="34"/>
  <c r="Z79" i="34"/>
  <c r="Y79" i="34"/>
  <c r="X79" i="34"/>
  <c r="W79" i="34"/>
  <c r="V79" i="34"/>
  <c r="U79" i="34"/>
  <c r="T79" i="34"/>
  <c r="S79" i="34"/>
  <c r="R79" i="34"/>
  <c r="Q79" i="34"/>
  <c r="P79" i="34"/>
  <c r="O79" i="34"/>
  <c r="N79" i="34"/>
  <c r="M79" i="34"/>
  <c r="L79" i="34"/>
  <c r="K79" i="34"/>
  <c r="J79" i="34"/>
  <c r="I79" i="34"/>
  <c r="H79" i="34"/>
  <c r="G79" i="34"/>
  <c r="F79" i="34"/>
  <c r="E79" i="34"/>
  <c r="D79" i="34"/>
  <c r="C79" i="34"/>
  <c r="AF78" i="34"/>
  <c r="AE78" i="34"/>
  <c r="AD78" i="34"/>
  <c r="AC78" i="34"/>
  <c r="AB78" i="34"/>
  <c r="AA78" i="34"/>
  <c r="Z78" i="34"/>
  <c r="Y78" i="34"/>
  <c r="X78" i="34"/>
  <c r="W78" i="34"/>
  <c r="V78" i="34"/>
  <c r="U78" i="34"/>
  <c r="T78" i="34"/>
  <c r="S78" i="34"/>
  <c r="R78" i="34"/>
  <c r="Q78" i="34"/>
  <c r="P78" i="34"/>
  <c r="O78" i="34"/>
  <c r="N78" i="34"/>
  <c r="M78" i="34"/>
  <c r="L78" i="34"/>
  <c r="K78" i="34"/>
  <c r="J78" i="34"/>
  <c r="I78" i="34"/>
  <c r="H78" i="34"/>
  <c r="G78" i="34"/>
  <c r="F78" i="34"/>
  <c r="E78" i="34"/>
  <c r="D78" i="34"/>
  <c r="C78" i="34"/>
  <c r="AF77" i="34"/>
  <c r="AE77" i="34"/>
  <c r="AD77" i="34"/>
  <c r="AC77" i="34"/>
  <c r="AB77" i="34"/>
  <c r="AA77" i="34"/>
  <c r="Z77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AF76" i="34"/>
  <c r="AE76" i="34"/>
  <c r="AD76" i="34"/>
  <c r="AC76" i="34"/>
  <c r="AC82" i="34" s="1"/>
  <c r="AB76" i="34"/>
  <c r="AA76" i="34"/>
  <c r="Z76" i="34"/>
  <c r="Y76" i="34"/>
  <c r="Y82" i="34" s="1"/>
  <c r="X76" i="34"/>
  <c r="W76" i="34"/>
  <c r="V76" i="34"/>
  <c r="U76" i="34"/>
  <c r="T76" i="34"/>
  <c r="S76" i="34"/>
  <c r="S82" i="34" s="1"/>
  <c r="R76" i="34"/>
  <c r="Q76" i="34"/>
  <c r="Q82" i="34" s="1"/>
  <c r="P76" i="34"/>
  <c r="O76" i="34"/>
  <c r="O82" i="34" s="1"/>
  <c r="N76" i="34"/>
  <c r="M76" i="34"/>
  <c r="L76" i="34"/>
  <c r="K76" i="34"/>
  <c r="J76" i="34"/>
  <c r="I76" i="34"/>
  <c r="I82" i="34" s="1"/>
  <c r="H76" i="34"/>
  <c r="G76" i="34"/>
  <c r="F76" i="34"/>
  <c r="E76" i="34"/>
  <c r="D76" i="34"/>
  <c r="C76" i="34"/>
  <c r="AI74" i="34"/>
  <c r="AH74" i="34"/>
  <c r="AI72" i="34"/>
  <c r="AH72" i="34"/>
  <c r="AG72" i="34"/>
  <c r="AI71" i="34"/>
  <c r="AH71" i="34"/>
  <c r="AI70" i="34"/>
  <c r="AH70" i="34"/>
  <c r="AI69" i="34"/>
  <c r="AH69" i="34"/>
  <c r="AG68" i="34"/>
  <c r="AF68" i="34"/>
  <c r="AE5" i="34" s="1"/>
  <c r="AE68" i="34"/>
  <c r="AD68" i="34"/>
  <c r="AC5" i="34" s="1"/>
  <c r="AC68" i="34"/>
  <c r="AB5" i="34" s="1"/>
  <c r="AB68" i="34"/>
  <c r="AA5" i="34" s="1"/>
  <c r="AA68" i="34"/>
  <c r="Z5" i="34" s="1"/>
  <c r="Z68" i="34"/>
  <c r="Y5" i="34" s="1"/>
  <c r="Y68" i="34"/>
  <c r="X5" i="34" s="1"/>
  <c r="X68" i="34"/>
  <c r="W5" i="34" s="1"/>
  <c r="W68" i="34"/>
  <c r="V5" i="34" s="1"/>
  <c r="V68" i="34"/>
  <c r="U68" i="34"/>
  <c r="T5" i="34" s="1"/>
  <c r="T68" i="34"/>
  <c r="S5" i="34" s="1"/>
  <c r="S68" i="34"/>
  <c r="R5" i="34" s="1"/>
  <c r="R68" i="34"/>
  <c r="Q5" i="34" s="1"/>
  <c r="Q68" i="34"/>
  <c r="P5" i="34" s="1"/>
  <c r="P68" i="34"/>
  <c r="O5" i="34" s="1"/>
  <c r="O68" i="34"/>
  <c r="N68" i="34"/>
  <c r="M5" i="34" s="1"/>
  <c r="M68" i="34"/>
  <c r="L5" i="34" s="1"/>
  <c r="L68" i="34"/>
  <c r="K5" i="34" s="1"/>
  <c r="K68" i="34"/>
  <c r="J5" i="34" s="1"/>
  <c r="J68" i="34"/>
  <c r="I5" i="34" s="1"/>
  <c r="I68" i="34"/>
  <c r="H5" i="34" s="1"/>
  <c r="H68" i="34"/>
  <c r="G5" i="34" s="1"/>
  <c r="G68" i="34"/>
  <c r="F68" i="34"/>
  <c r="E5" i="34" s="1"/>
  <c r="E68" i="34"/>
  <c r="D5" i="34" s="1"/>
  <c r="D68" i="34"/>
  <c r="C5" i="34" s="1"/>
  <c r="C68" i="34"/>
  <c r="B5" i="34" s="1"/>
  <c r="AI67" i="34"/>
  <c r="AH67" i="34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G56" i="34"/>
  <c r="AF56" i="34"/>
  <c r="AE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AI55" i="34"/>
  <c r="AH55" i="34"/>
  <c r="AI54" i="34"/>
  <c r="AH54" i="34"/>
  <c r="AI53" i="34"/>
  <c r="AH53" i="34"/>
  <c r="AF52" i="34"/>
  <c r="AE52" i="34"/>
  <c r="AD52" i="34"/>
  <c r="AC52" i="34"/>
  <c r="AB52" i="34"/>
  <c r="AA52" i="34"/>
  <c r="Z52" i="34"/>
  <c r="Y52" i="34"/>
  <c r="X52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AI51" i="34"/>
  <c r="AH51" i="34"/>
  <c r="AG51" i="34"/>
  <c r="AG52" i="34" s="1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G38" i="34"/>
  <c r="AG2" i="34" s="1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D38" i="34"/>
  <c r="C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F5" i="34"/>
  <c r="U5" i="34"/>
  <c r="N5" i="34"/>
  <c r="AG4" i="34"/>
  <c r="K4" i="34"/>
  <c r="AF37" i="33"/>
  <c r="AE37" i="33"/>
  <c r="AD37" i="33"/>
  <c r="AC37" i="33"/>
  <c r="AB37" i="33"/>
  <c r="Z56" i="33"/>
  <c r="U37" i="33"/>
  <c r="T37" i="33"/>
  <c r="S37" i="33"/>
  <c r="E4" i="34"/>
  <c r="S194" i="37" l="1"/>
  <c r="R199" i="37"/>
  <c r="P235" i="37"/>
  <c r="Q93" i="37"/>
  <c r="R93" i="37"/>
  <c r="Q192" i="37"/>
  <c r="R102" i="37"/>
  <c r="T103" i="37"/>
  <c r="Q235" i="36"/>
  <c r="S199" i="36"/>
  <c r="R192" i="36"/>
  <c r="S102" i="36"/>
  <c r="R200" i="36"/>
  <c r="S194" i="36"/>
  <c r="S93" i="36"/>
  <c r="T103" i="36"/>
  <c r="R93" i="36"/>
  <c r="J235" i="35"/>
  <c r="L199" i="35"/>
  <c r="K192" i="35"/>
  <c r="L102" i="35"/>
  <c r="P103" i="35"/>
  <c r="K93" i="35"/>
  <c r="K200" i="35"/>
  <c r="M194" i="35"/>
  <c r="L200" i="35"/>
  <c r="L93" i="35"/>
  <c r="AF82" i="34"/>
  <c r="AF73" i="34"/>
  <c r="AF75" i="34" s="1"/>
  <c r="AE82" i="34"/>
  <c r="AE83" i="34" s="1"/>
  <c r="AE73" i="34"/>
  <c r="AE75" i="34" s="1"/>
  <c r="AE7" i="34" s="1"/>
  <c r="AD5" i="34"/>
  <c r="AD82" i="34"/>
  <c r="AC73" i="34"/>
  <c r="AC75" i="34" s="1"/>
  <c r="AD73" i="34"/>
  <c r="AD75" i="34" s="1"/>
  <c r="AD83" i="34"/>
  <c r="AB82" i="34"/>
  <c r="AB73" i="34"/>
  <c r="AB75" i="34" s="1"/>
  <c r="AA82" i="34"/>
  <c r="AA83" i="34" s="1"/>
  <c r="AA73" i="34"/>
  <c r="AA75" i="34" s="1"/>
  <c r="Z82" i="34"/>
  <c r="Z83" i="34" s="1"/>
  <c r="Z73" i="34"/>
  <c r="Z75" i="34" s="1"/>
  <c r="Y73" i="34"/>
  <c r="Y75" i="34" s="1"/>
  <c r="X82" i="34"/>
  <c r="X73" i="34"/>
  <c r="X75" i="34" s="1"/>
  <c r="W73" i="34"/>
  <c r="W75" i="34" s="1"/>
  <c r="W82" i="34"/>
  <c r="W83" i="34" s="1"/>
  <c r="V82" i="34"/>
  <c r="V83" i="34" s="1"/>
  <c r="V73" i="34"/>
  <c r="V75" i="34" s="1"/>
  <c r="U82" i="34"/>
  <c r="U73" i="34"/>
  <c r="U75" i="34" s="1"/>
  <c r="T82" i="34"/>
  <c r="T73" i="34"/>
  <c r="T75" i="34" s="1"/>
  <c r="S83" i="34"/>
  <c r="S73" i="34"/>
  <c r="S75" i="34" s="1"/>
  <c r="R82" i="34"/>
  <c r="R83" i="34" s="1"/>
  <c r="R73" i="34"/>
  <c r="R75" i="34" s="1"/>
  <c r="Q73" i="34"/>
  <c r="Q75" i="34" s="1"/>
  <c r="P82" i="34"/>
  <c r="P73" i="34"/>
  <c r="P75" i="34" s="1"/>
  <c r="O83" i="34"/>
  <c r="O73" i="34"/>
  <c r="O75" i="34" s="1"/>
  <c r="N82" i="34"/>
  <c r="N73" i="34"/>
  <c r="N75" i="34" s="1"/>
  <c r="N83" i="34"/>
  <c r="M82" i="34"/>
  <c r="M73" i="34"/>
  <c r="M75" i="34" s="1"/>
  <c r="L82" i="34"/>
  <c r="L83" i="34" s="1"/>
  <c r="L73" i="34"/>
  <c r="L75" i="34" s="1"/>
  <c r="K82" i="34"/>
  <c r="K83" i="34" s="1"/>
  <c r="K73" i="34"/>
  <c r="K75" i="34" s="1"/>
  <c r="AC214" i="34" s="1"/>
  <c r="AI79" i="34"/>
  <c r="J82" i="34"/>
  <c r="J83" i="34" s="1"/>
  <c r="J73" i="34"/>
  <c r="J75" i="34" s="1"/>
  <c r="J7" i="34" s="1"/>
  <c r="I73" i="34"/>
  <c r="I75" i="34" s="1"/>
  <c r="AA214" i="34" s="1"/>
  <c r="AI78" i="34"/>
  <c r="H82" i="34"/>
  <c r="AI56" i="34"/>
  <c r="H73" i="34"/>
  <c r="H75" i="34" s="1"/>
  <c r="Z214" i="34" s="1"/>
  <c r="AH78" i="34"/>
  <c r="G82" i="34"/>
  <c r="G83" i="34" s="1"/>
  <c r="AI76" i="34"/>
  <c r="F5" i="34"/>
  <c r="G73" i="34"/>
  <c r="G75" i="34" s="1"/>
  <c r="G7" i="34" s="1"/>
  <c r="AH77" i="34"/>
  <c r="F82" i="34"/>
  <c r="F83" i="34" s="1"/>
  <c r="F73" i="34"/>
  <c r="F75" i="34" s="1"/>
  <c r="X214" i="34" s="1"/>
  <c r="E73" i="34"/>
  <c r="E75" i="34" s="1"/>
  <c r="D82" i="34"/>
  <c r="D83" i="34" s="1"/>
  <c r="AI80" i="34"/>
  <c r="D73" i="34"/>
  <c r="D75" i="34" s="1"/>
  <c r="D7" i="34" s="1"/>
  <c r="AI52" i="34"/>
  <c r="AI38" i="34"/>
  <c r="C82" i="34"/>
  <c r="AI68" i="34"/>
  <c r="C83" i="34"/>
  <c r="B83" i="34"/>
  <c r="C73" i="34"/>
  <c r="C75" i="34" s="1"/>
  <c r="C7" i="34" s="1"/>
  <c r="B73" i="34"/>
  <c r="B75" i="34" s="1"/>
  <c r="H4" i="34"/>
  <c r="AM214" i="34"/>
  <c r="U7" i="34"/>
  <c r="AG75" i="34"/>
  <c r="AG3" i="34"/>
  <c r="AG73" i="34"/>
  <c r="AG83" i="34" s="1"/>
  <c r="AU214" i="34"/>
  <c r="AC7" i="34"/>
  <c r="AJ214" i="34"/>
  <c r="R7" i="34"/>
  <c r="AK214" i="34"/>
  <c r="S7" i="34"/>
  <c r="AS214" i="34"/>
  <c r="AA7" i="34"/>
  <c r="AR214" i="34"/>
  <c r="Z7" i="34"/>
  <c r="AD214" i="34"/>
  <c r="L7" i="34"/>
  <c r="AL214" i="34"/>
  <c r="T7" i="34"/>
  <c r="AT214" i="34"/>
  <c r="AB7" i="34"/>
  <c r="AE214" i="34"/>
  <c r="M7" i="34"/>
  <c r="AV214" i="34"/>
  <c r="AD7" i="34"/>
  <c r="AW214" i="34"/>
  <c r="AN214" i="34"/>
  <c r="V7" i="34"/>
  <c r="G103" i="34"/>
  <c r="AG214" i="34"/>
  <c r="O7" i="34"/>
  <c r="AO214" i="34"/>
  <c r="W7" i="34"/>
  <c r="I83" i="34"/>
  <c r="Q83" i="34"/>
  <c r="Y83" i="34"/>
  <c r="AH214" i="34"/>
  <c r="P7" i="34"/>
  <c r="AP214" i="34"/>
  <c r="X7" i="34"/>
  <c r="AX214" i="34"/>
  <c r="AF7" i="34"/>
  <c r="W214" i="34"/>
  <c r="E7" i="34"/>
  <c r="AF214" i="34"/>
  <c r="N7" i="34"/>
  <c r="AI214" i="34"/>
  <c r="Q7" i="34"/>
  <c r="AQ214" i="34"/>
  <c r="Y7" i="34"/>
  <c r="AG6" i="34"/>
  <c r="AI77" i="34"/>
  <c r="AH38" i="34"/>
  <c r="AH80" i="34"/>
  <c r="T83" i="34"/>
  <c r="AB83" i="34"/>
  <c r="AH79" i="34"/>
  <c r="E83" i="34"/>
  <c r="M83" i="34"/>
  <c r="U83" i="34"/>
  <c r="AC83" i="34"/>
  <c r="D192" i="34"/>
  <c r="E102" i="34"/>
  <c r="D93" i="34"/>
  <c r="D211" i="34"/>
  <c r="S211" i="34"/>
  <c r="AH52" i="34"/>
  <c r="AH56" i="34"/>
  <c r="AH68" i="34"/>
  <c r="AH76" i="34"/>
  <c r="H83" i="34"/>
  <c r="P83" i="34"/>
  <c r="X83" i="34"/>
  <c r="AF83" i="34"/>
  <c r="D200" i="34"/>
  <c r="E194" i="34"/>
  <c r="G199" i="34"/>
  <c r="R37" i="33"/>
  <c r="R192" i="37" l="1"/>
  <c r="S102" i="37"/>
  <c r="Q235" i="37"/>
  <c r="S199" i="37"/>
  <c r="S200" i="37"/>
  <c r="T194" i="37"/>
  <c r="U103" i="37"/>
  <c r="R200" i="37"/>
  <c r="U103" i="36"/>
  <c r="S200" i="36"/>
  <c r="T194" i="36"/>
  <c r="S192" i="36"/>
  <c r="T102" i="36"/>
  <c r="R235" i="36"/>
  <c r="T199" i="36"/>
  <c r="Q103" i="35"/>
  <c r="L192" i="35"/>
  <c r="M102" i="35"/>
  <c r="K235" i="35"/>
  <c r="M199" i="35"/>
  <c r="N194" i="35"/>
  <c r="M200" i="35"/>
  <c r="M93" i="35"/>
  <c r="I7" i="34"/>
  <c r="K7" i="34"/>
  <c r="AB214" i="34"/>
  <c r="H7" i="34"/>
  <c r="B209" i="34"/>
  <c r="Y214" i="34"/>
  <c r="C209" i="34"/>
  <c r="K6" i="34" s="1"/>
  <c r="F7" i="34"/>
  <c r="V214" i="34"/>
  <c r="U214" i="34"/>
  <c r="H103" i="34"/>
  <c r="E200" i="34"/>
  <c r="F194" i="34"/>
  <c r="E93" i="34"/>
  <c r="AH73" i="34"/>
  <c r="AI73" i="34"/>
  <c r="F235" i="34"/>
  <c r="H199" i="34"/>
  <c r="AI82" i="34"/>
  <c r="AH82" i="34"/>
  <c r="E192" i="34"/>
  <c r="F102" i="34"/>
  <c r="U194" i="37" l="1"/>
  <c r="V103" i="37"/>
  <c r="R235" i="37"/>
  <c r="T199" i="37"/>
  <c r="T200" i="37" s="1"/>
  <c r="S93" i="37"/>
  <c r="S192" i="37"/>
  <c r="T102" i="37"/>
  <c r="U194" i="36"/>
  <c r="T200" i="36"/>
  <c r="U199" i="36"/>
  <c r="S235" i="36"/>
  <c r="T93" i="36"/>
  <c r="T192" i="36"/>
  <c r="U102" i="36"/>
  <c r="V103" i="36"/>
  <c r="U93" i="36"/>
  <c r="L235" i="35"/>
  <c r="N199" i="35"/>
  <c r="M192" i="35"/>
  <c r="N102" i="35"/>
  <c r="O194" i="35"/>
  <c r="N200" i="35"/>
  <c r="N93" i="35"/>
  <c r="R103" i="35"/>
  <c r="F192" i="34"/>
  <c r="G102" i="34"/>
  <c r="T214" i="34"/>
  <c r="AI75" i="34"/>
  <c r="AH75" i="34"/>
  <c r="B7" i="34"/>
  <c r="A7" i="34" s="1"/>
  <c r="AH83" i="34"/>
  <c r="AI83" i="34"/>
  <c r="G194" i="34"/>
  <c r="F200" i="34"/>
  <c r="F93" i="34"/>
  <c r="G235" i="34"/>
  <c r="I199" i="34"/>
  <c r="I103" i="34"/>
  <c r="W103" i="37" l="1"/>
  <c r="U199" i="37"/>
  <c r="S235" i="37"/>
  <c r="T93" i="37"/>
  <c r="T192" i="37"/>
  <c r="U102" i="37"/>
  <c r="V194" i="37"/>
  <c r="U200" i="37"/>
  <c r="U192" i="36"/>
  <c r="V102" i="36"/>
  <c r="W103" i="36"/>
  <c r="V93" i="36"/>
  <c r="V199" i="36"/>
  <c r="T235" i="36"/>
  <c r="V194" i="36"/>
  <c r="U200" i="36"/>
  <c r="S103" i="35"/>
  <c r="P194" i="35"/>
  <c r="O93" i="35"/>
  <c r="N192" i="35"/>
  <c r="O102" i="35"/>
  <c r="M235" i="35"/>
  <c r="O199" i="35"/>
  <c r="O200" i="35" s="1"/>
  <c r="J103" i="34"/>
  <c r="H235" i="34"/>
  <c r="J199" i="34"/>
  <c r="H194" i="34"/>
  <c r="G200" i="34"/>
  <c r="G93" i="34"/>
  <c r="G192" i="34"/>
  <c r="H102" i="34"/>
  <c r="T235" i="37" l="1"/>
  <c r="V199" i="37"/>
  <c r="U93" i="37"/>
  <c r="X103" i="37"/>
  <c r="W194" i="37"/>
  <c r="V200" i="37"/>
  <c r="U192" i="37"/>
  <c r="V102" i="37"/>
  <c r="V93" i="37"/>
  <c r="W199" i="36"/>
  <c r="U235" i="36"/>
  <c r="X103" i="36"/>
  <c r="W93" i="36"/>
  <c r="V192" i="36"/>
  <c r="W102" i="36"/>
  <c r="W194" i="36"/>
  <c r="V200" i="36"/>
  <c r="Q194" i="35"/>
  <c r="T103" i="35"/>
  <c r="O192" i="35"/>
  <c r="P102" i="35"/>
  <c r="P199" i="35"/>
  <c r="N235" i="35"/>
  <c r="H200" i="34"/>
  <c r="I194" i="34"/>
  <c r="H93" i="34"/>
  <c r="H192" i="34"/>
  <c r="I102" i="34"/>
  <c r="K103" i="34"/>
  <c r="I235" i="34"/>
  <c r="K199" i="34"/>
  <c r="X194" i="37" l="1"/>
  <c r="Y103" i="37"/>
  <c r="W199" i="37"/>
  <c r="U235" i="37"/>
  <c r="V192" i="37"/>
  <c r="W102" i="37"/>
  <c r="W192" i="36"/>
  <c r="X102" i="36"/>
  <c r="X93" i="36"/>
  <c r="Y103" i="36"/>
  <c r="X194" i="36"/>
  <c r="W200" i="36"/>
  <c r="V235" i="36"/>
  <c r="X199" i="36"/>
  <c r="O235" i="35"/>
  <c r="Q199" i="35"/>
  <c r="P192" i="35"/>
  <c r="Q102" i="35"/>
  <c r="U103" i="35"/>
  <c r="P93" i="35"/>
  <c r="Q200" i="35"/>
  <c r="R194" i="35"/>
  <c r="Q93" i="35"/>
  <c r="P200" i="35"/>
  <c r="L103" i="34"/>
  <c r="I192" i="34"/>
  <c r="J102" i="34"/>
  <c r="J194" i="34"/>
  <c r="I200" i="34"/>
  <c r="I93" i="34"/>
  <c r="J235" i="34"/>
  <c r="L199" i="34"/>
  <c r="W192" i="37" l="1"/>
  <c r="X102" i="37"/>
  <c r="V235" i="37"/>
  <c r="X199" i="37"/>
  <c r="W93" i="37"/>
  <c r="Z103" i="37"/>
  <c r="W200" i="37"/>
  <c r="Y194" i="37"/>
  <c r="Z103" i="36"/>
  <c r="Y194" i="36"/>
  <c r="X200" i="36"/>
  <c r="X192" i="36"/>
  <c r="Y102" i="36"/>
  <c r="W235" i="36"/>
  <c r="Y199" i="36"/>
  <c r="V103" i="35"/>
  <c r="Q192" i="35"/>
  <c r="R102" i="35"/>
  <c r="P235" i="35"/>
  <c r="R199" i="35"/>
  <c r="S194" i="35"/>
  <c r="R200" i="35"/>
  <c r="J200" i="34"/>
  <c r="K194" i="34"/>
  <c r="J93" i="34"/>
  <c r="J192" i="34"/>
  <c r="K102" i="34"/>
  <c r="M103" i="34"/>
  <c r="K235" i="34"/>
  <c r="M199" i="34"/>
  <c r="AA103" i="37" l="1"/>
  <c r="W235" i="37"/>
  <c r="Y199" i="37"/>
  <c r="X93" i="37"/>
  <c r="Z194" i="37"/>
  <c r="Y200" i="37"/>
  <c r="X192" i="37"/>
  <c r="Y102" i="37"/>
  <c r="X200" i="37"/>
  <c r="X235" i="36"/>
  <c r="Z199" i="36"/>
  <c r="Z194" i="36"/>
  <c r="Y200" i="36"/>
  <c r="Y192" i="36"/>
  <c r="Z102" i="36"/>
  <c r="Z93" i="36"/>
  <c r="AA103" i="36"/>
  <c r="Y93" i="36"/>
  <c r="R192" i="35"/>
  <c r="S102" i="35"/>
  <c r="T194" i="35"/>
  <c r="S93" i="35"/>
  <c r="Q235" i="35"/>
  <c r="S199" i="35"/>
  <c r="R93" i="35"/>
  <c r="W103" i="35"/>
  <c r="N103" i="34"/>
  <c r="K192" i="34"/>
  <c r="L102" i="34"/>
  <c r="K200" i="34"/>
  <c r="L194" i="34"/>
  <c r="K93" i="34"/>
  <c r="N199" i="34"/>
  <c r="L235" i="34"/>
  <c r="AA194" i="37" l="1"/>
  <c r="Z93" i="37"/>
  <c r="Z199" i="37"/>
  <c r="X235" i="37"/>
  <c r="Y93" i="37"/>
  <c r="Y192" i="37"/>
  <c r="Z102" i="37"/>
  <c r="AB103" i="37"/>
  <c r="AB103" i="36"/>
  <c r="Z192" i="36"/>
  <c r="AA102" i="36"/>
  <c r="Y235" i="36"/>
  <c r="AA199" i="36"/>
  <c r="Z200" i="36"/>
  <c r="AA194" i="36"/>
  <c r="R235" i="35"/>
  <c r="T199" i="35"/>
  <c r="U194" i="35"/>
  <c r="T200" i="35"/>
  <c r="T93" i="35"/>
  <c r="S192" i="35"/>
  <c r="T102" i="35"/>
  <c r="S200" i="35"/>
  <c r="X103" i="35"/>
  <c r="O103" i="34"/>
  <c r="O199" i="34"/>
  <c r="M235" i="34"/>
  <c r="L200" i="34"/>
  <c r="M194" i="34"/>
  <c r="L93" i="34"/>
  <c r="L192" i="34"/>
  <c r="M102" i="34"/>
  <c r="Z192" i="37" l="1"/>
  <c r="AA102" i="37"/>
  <c r="Y235" i="37"/>
  <c r="AA199" i="37"/>
  <c r="AA200" i="37"/>
  <c r="AB194" i="37"/>
  <c r="AC103" i="37"/>
  <c r="Z200" i="37"/>
  <c r="AA200" i="36"/>
  <c r="AB194" i="36"/>
  <c r="Z235" i="36"/>
  <c r="AB199" i="36"/>
  <c r="AA192" i="36"/>
  <c r="AB102" i="36"/>
  <c r="AB93" i="36"/>
  <c r="AC103" i="36"/>
  <c r="AA93" i="36"/>
  <c r="V194" i="35"/>
  <c r="Y103" i="35"/>
  <c r="S235" i="35"/>
  <c r="U199" i="35"/>
  <c r="T192" i="35"/>
  <c r="U102" i="35"/>
  <c r="M200" i="34"/>
  <c r="N194" i="34"/>
  <c r="M93" i="34"/>
  <c r="N235" i="34"/>
  <c r="P199" i="34"/>
  <c r="M192" i="34"/>
  <c r="N102" i="34"/>
  <c r="P103" i="34"/>
  <c r="AD103" i="37" l="1"/>
  <c r="AC194" i="37"/>
  <c r="Z235" i="37"/>
  <c r="AB199" i="37"/>
  <c r="AA93" i="37"/>
  <c r="AA192" i="37"/>
  <c r="AB102" i="37"/>
  <c r="AD103" i="36"/>
  <c r="AB192" i="36"/>
  <c r="AC102" i="36"/>
  <c r="AA235" i="36"/>
  <c r="AC199" i="36"/>
  <c r="AB200" i="36"/>
  <c r="AC194" i="36"/>
  <c r="T235" i="35"/>
  <c r="V199" i="35"/>
  <c r="Z103" i="35"/>
  <c r="U93" i="35"/>
  <c r="U200" i="35"/>
  <c r="U192" i="35"/>
  <c r="V102" i="35"/>
  <c r="W194" i="35"/>
  <c r="V200" i="35"/>
  <c r="V93" i="35"/>
  <c r="Q103" i="34"/>
  <c r="N192" i="34"/>
  <c r="O102" i="34"/>
  <c r="O235" i="34"/>
  <c r="Q199" i="34"/>
  <c r="O194" i="34"/>
  <c r="N200" i="34"/>
  <c r="N93" i="34"/>
  <c r="AA235" i="37" l="1"/>
  <c r="AC199" i="37"/>
  <c r="AB93" i="37"/>
  <c r="AC200" i="37"/>
  <c r="AD194" i="37"/>
  <c r="AB200" i="37"/>
  <c r="AE103" i="37"/>
  <c r="AB192" i="37"/>
  <c r="AC102" i="37"/>
  <c r="AC93" i="37"/>
  <c r="AC200" i="36"/>
  <c r="AD194" i="36"/>
  <c r="AB235" i="36"/>
  <c r="AD199" i="36"/>
  <c r="AC192" i="36"/>
  <c r="AD102" i="36"/>
  <c r="AC93" i="36"/>
  <c r="AE103" i="36"/>
  <c r="AA103" i="35"/>
  <c r="V192" i="35"/>
  <c r="W102" i="35"/>
  <c r="U235" i="35"/>
  <c r="W199" i="35"/>
  <c r="X194" i="35"/>
  <c r="W200" i="35"/>
  <c r="W93" i="35"/>
  <c r="P235" i="34"/>
  <c r="R199" i="34"/>
  <c r="O192" i="34"/>
  <c r="P102" i="34"/>
  <c r="P194" i="34"/>
  <c r="O200" i="34"/>
  <c r="O93" i="34"/>
  <c r="R103" i="34"/>
  <c r="Q37" i="33"/>
  <c r="AE194" i="37" l="1"/>
  <c r="AF103" i="37"/>
  <c r="AC192" i="37"/>
  <c r="AD102" i="37"/>
  <c r="AB235" i="37"/>
  <c r="AD199" i="37"/>
  <c r="AF103" i="36"/>
  <c r="AD192" i="36"/>
  <c r="AE102" i="36"/>
  <c r="AE194" i="36"/>
  <c r="AD200" i="36"/>
  <c r="AC235" i="36"/>
  <c r="AE199" i="36"/>
  <c r="AD93" i="36"/>
  <c r="Y194" i="35"/>
  <c r="X93" i="35"/>
  <c r="X199" i="35"/>
  <c r="V235" i="35"/>
  <c r="W192" i="35"/>
  <c r="X102" i="35"/>
  <c r="AB103" i="35"/>
  <c r="S103" i="34"/>
  <c r="Q194" i="34"/>
  <c r="P200" i="34"/>
  <c r="P93" i="34"/>
  <c r="P192" i="34"/>
  <c r="Q102" i="34"/>
  <c r="Q235" i="34"/>
  <c r="S199" i="34"/>
  <c r="AE199" i="37" l="1"/>
  <c r="AC235" i="37"/>
  <c r="AD93" i="37"/>
  <c r="AD192" i="37"/>
  <c r="AE102" i="37"/>
  <c r="B103" i="37"/>
  <c r="AD200" i="37"/>
  <c r="AF194" i="37"/>
  <c r="AE200" i="37"/>
  <c r="AD235" i="36"/>
  <c r="AF199" i="36"/>
  <c r="AE93" i="36"/>
  <c r="AF194" i="36"/>
  <c r="AE200" i="36"/>
  <c r="AE192" i="36"/>
  <c r="AF102" i="36"/>
  <c r="AF93" i="36"/>
  <c r="B103" i="36"/>
  <c r="X192" i="35"/>
  <c r="Y102" i="35"/>
  <c r="W235" i="35"/>
  <c r="Y199" i="35"/>
  <c r="Y200" i="35"/>
  <c r="Z194" i="35"/>
  <c r="Y93" i="35"/>
  <c r="AC103" i="35"/>
  <c r="X200" i="35"/>
  <c r="Q192" i="34"/>
  <c r="R102" i="34"/>
  <c r="Q200" i="34"/>
  <c r="R194" i="34"/>
  <c r="Q93" i="34"/>
  <c r="R235" i="34"/>
  <c r="T199" i="34"/>
  <c r="T103" i="34"/>
  <c r="AE192" i="37" l="1"/>
  <c r="AF102" i="37"/>
  <c r="B194" i="37"/>
  <c r="AD235" i="37"/>
  <c r="AF199" i="37"/>
  <c r="AE93" i="37"/>
  <c r="AH93" i="36"/>
  <c r="AI93" i="36"/>
  <c r="AF192" i="36"/>
  <c r="B102" i="36"/>
  <c r="B192" i="36" s="1"/>
  <c r="B194" i="36"/>
  <c r="AF200" i="36"/>
  <c r="AE235" i="36"/>
  <c r="B199" i="36"/>
  <c r="AF235" i="36" s="1"/>
  <c r="AD103" i="35"/>
  <c r="X235" i="35"/>
  <c r="Z199" i="35"/>
  <c r="AA194" i="35"/>
  <c r="Z200" i="35"/>
  <c r="Z93" i="35"/>
  <c r="Y192" i="35"/>
  <c r="Z102" i="35"/>
  <c r="S235" i="34"/>
  <c r="U199" i="34"/>
  <c r="U103" i="34"/>
  <c r="R200" i="34"/>
  <c r="S194" i="34"/>
  <c r="R93" i="34"/>
  <c r="R192" i="34"/>
  <c r="S102" i="34"/>
  <c r="AE235" i="37" l="1"/>
  <c r="B199" i="37"/>
  <c r="AF235" i="37" s="1"/>
  <c r="AF93" i="37"/>
  <c r="B200" i="37"/>
  <c r="AF192" i="37"/>
  <c r="B102" i="37"/>
  <c r="B192" i="37" s="1"/>
  <c r="AF200" i="37"/>
  <c r="B93" i="37"/>
  <c r="B200" i="36"/>
  <c r="AB194" i="35"/>
  <c r="Y235" i="35"/>
  <c r="AA199" i="35"/>
  <c r="Z192" i="35"/>
  <c r="AA102" i="35"/>
  <c r="AE103" i="35"/>
  <c r="S200" i="34"/>
  <c r="T194" i="34"/>
  <c r="S93" i="34"/>
  <c r="V103" i="34"/>
  <c r="T235" i="34"/>
  <c r="V199" i="34"/>
  <c r="S192" i="34"/>
  <c r="T102" i="34"/>
  <c r="AI93" i="37" l="1"/>
  <c r="AH93" i="37"/>
  <c r="AB199" i="35"/>
  <c r="AB200" i="35" s="1"/>
  <c r="Z235" i="35"/>
  <c r="AA93" i="35"/>
  <c r="AA200" i="35"/>
  <c r="AF103" i="35"/>
  <c r="AA192" i="35"/>
  <c r="AB102" i="35"/>
  <c r="AC194" i="35"/>
  <c r="AB93" i="35"/>
  <c r="U235" i="34"/>
  <c r="W199" i="34"/>
  <c r="W103" i="34"/>
  <c r="T200" i="34"/>
  <c r="U194" i="34"/>
  <c r="T93" i="34"/>
  <c r="T192" i="34"/>
  <c r="U102" i="34"/>
  <c r="P37" i="33"/>
  <c r="O37" i="33"/>
  <c r="N37" i="33"/>
  <c r="M37" i="33"/>
  <c r="L37" i="33"/>
  <c r="AH37" i="33"/>
  <c r="K37" i="33"/>
  <c r="J37" i="33"/>
  <c r="H37" i="33"/>
  <c r="I37" i="33"/>
  <c r="G37" i="33"/>
  <c r="F37" i="33"/>
  <c r="AF239" i="33"/>
  <c r="AE239" i="33"/>
  <c r="AD239" i="33"/>
  <c r="AC239" i="33"/>
  <c r="AB239" i="33"/>
  <c r="AA239" i="33"/>
  <c r="Z239" i="33"/>
  <c r="Y239" i="33"/>
  <c r="X239" i="33"/>
  <c r="W239" i="33"/>
  <c r="V239" i="33"/>
  <c r="U239" i="33"/>
  <c r="T239" i="33"/>
  <c r="S239" i="33"/>
  <c r="R239" i="33"/>
  <c r="Q239" i="33"/>
  <c r="P239" i="33"/>
  <c r="O239" i="33"/>
  <c r="N239" i="33"/>
  <c r="M239" i="33"/>
  <c r="L239" i="33"/>
  <c r="K239" i="33"/>
  <c r="J239" i="33"/>
  <c r="I239" i="33"/>
  <c r="H239" i="33"/>
  <c r="G239" i="33"/>
  <c r="F239" i="33"/>
  <c r="E239" i="33"/>
  <c r="D239" i="33"/>
  <c r="C239" i="33"/>
  <c r="B239" i="33"/>
  <c r="A239" i="33"/>
  <c r="AF238" i="33"/>
  <c r="AE238" i="33"/>
  <c r="AD238" i="33"/>
  <c r="AC238" i="33"/>
  <c r="AB238" i="33"/>
  <c r="AA238" i="33"/>
  <c r="Z238" i="33"/>
  <c r="Y238" i="33"/>
  <c r="X238" i="33"/>
  <c r="W238" i="33"/>
  <c r="V238" i="33"/>
  <c r="U238" i="33"/>
  <c r="T238" i="33"/>
  <c r="S238" i="33"/>
  <c r="R238" i="33"/>
  <c r="Q238" i="33"/>
  <c r="P238" i="33"/>
  <c r="O238" i="33"/>
  <c r="N238" i="33"/>
  <c r="M238" i="33"/>
  <c r="L238" i="33"/>
  <c r="K238" i="33"/>
  <c r="J238" i="33"/>
  <c r="I238" i="33"/>
  <c r="H238" i="33"/>
  <c r="G238" i="33"/>
  <c r="F238" i="33"/>
  <c r="E238" i="33"/>
  <c r="D238" i="33"/>
  <c r="C238" i="33"/>
  <c r="B238" i="33"/>
  <c r="A238" i="33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B235" i="33"/>
  <c r="S210" i="33"/>
  <c r="AG200" i="33"/>
  <c r="C200" i="33"/>
  <c r="D199" i="33"/>
  <c r="C235" i="33" s="1"/>
  <c r="F198" i="33"/>
  <c r="G198" i="33" s="1"/>
  <c r="H198" i="33" s="1"/>
  <c r="I198" i="33" s="1"/>
  <c r="J198" i="33" s="1"/>
  <c r="K198" i="33" s="1"/>
  <c r="L198" i="33" s="1"/>
  <c r="M198" i="33" s="1"/>
  <c r="N198" i="33" s="1"/>
  <c r="O198" i="33" s="1"/>
  <c r="P198" i="33" s="1"/>
  <c r="Q198" i="33" s="1"/>
  <c r="R198" i="33" s="1"/>
  <c r="S198" i="33" s="1"/>
  <c r="T198" i="33" s="1"/>
  <c r="U198" i="33" s="1"/>
  <c r="V198" i="33" s="1"/>
  <c r="W198" i="33" s="1"/>
  <c r="X198" i="33" s="1"/>
  <c r="Y198" i="33" s="1"/>
  <c r="Z198" i="33" s="1"/>
  <c r="AA198" i="33" s="1"/>
  <c r="AB198" i="33" s="1"/>
  <c r="AC198" i="33" s="1"/>
  <c r="AD198" i="33" s="1"/>
  <c r="AE198" i="33" s="1"/>
  <c r="AF198" i="33" s="1"/>
  <c r="B198" i="33" s="1"/>
  <c r="E198" i="33"/>
  <c r="D198" i="33"/>
  <c r="D197" i="33"/>
  <c r="E197" i="33" s="1"/>
  <c r="F197" i="33" s="1"/>
  <c r="G197" i="33" s="1"/>
  <c r="H197" i="33" s="1"/>
  <c r="I197" i="33" s="1"/>
  <c r="J197" i="33" s="1"/>
  <c r="K197" i="33" s="1"/>
  <c r="L197" i="33" s="1"/>
  <c r="M197" i="33" s="1"/>
  <c r="N197" i="33" s="1"/>
  <c r="O197" i="33" s="1"/>
  <c r="P197" i="33" s="1"/>
  <c r="Q197" i="33" s="1"/>
  <c r="R197" i="33" s="1"/>
  <c r="S197" i="33" s="1"/>
  <c r="T197" i="33" s="1"/>
  <c r="U197" i="33" s="1"/>
  <c r="V197" i="33" s="1"/>
  <c r="W197" i="33" s="1"/>
  <c r="X197" i="33" s="1"/>
  <c r="Y197" i="33" s="1"/>
  <c r="Z197" i="33" s="1"/>
  <c r="AA197" i="33" s="1"/>
  <c r="AB197" i="33" s="1"/>
  <c r="AC197" i="33" s="1"/>
  <c r="AD197" i="33" s="1"/>
  <c r="AE197" i="33" s="1"/>
  <c r="AF197" i="33" s="1"/>
  <c r="B197" i="33" s="1"/>
  <c r="V196" i="33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B196" i="33" s="1"/>
  <c r="D196" i="33"/>
  <c r="E196" i="33" s="1"/>
  <c r="F196" i="33" s="1"/>
  <c r="G196" i="33" s="1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E195" i="33"/>
  <c r="F195" i="33" s="1"/>
  <c r="G195" i="33" s="1"/>
  <c r="H195" i="33" s="1"/>
  <c r="I195" i="33" s="1"/>
  <c r="J195" i="33" s="1"/>
  <c r="K195" i="33" s="1"/>
  <c r="L195" i="33" s="1"/>
  <c r="M195" i="33" s="1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B195" i="33" s="1"/>
  <c r="D195" i="33"/>
  <c r="F194" i="33"/>
  <c r="E194" i="33"/>
  <c r="D194" i="33"/>
  <c r="AG192" i="33"/>
  <c r="C192" i="33"/>
  <c r="I191" i="33"/>
  <c r="J191" i="33" s="1"/>
  <c r="K191" i="33" s="1"/>
  <c r="L191" i="33" s="1"/>
  <c r="M191" i="33" s="1"/>
  <c r="N191" i="33" s="1"/>
  <c r="O191" i="33" s="1"/>
  <c r="P191" i="33" s="1"/>
  <c r="Q191" i="33" s="1"/>
  <c r="R191" i="33" s="1"/>
  <c r="S191" i="33" s="1"/>
  <c r="T191" i="33" s="1"/>
  <c r="U191" i="33" s="1"/>
  <c r="V191" i="33" s="1"/>
  <c r="W191" i="33" s="1"/>
  <c r="X191" i="33" s="1"/>
  <c r="Y191" i="33" s="1"/>
  <c r="Z191" i="33" s="1"/>
  <c r="AA191" i="33" s="1"/>
  <c r="AB191" i="33" s="1"/>
  <c r="AC191" i="33" s="1"/>
  <c r="AD191" i="33" s="1"/>
  <c r="AE191" i="33" s="1"/>
  <c r="AF191" i="33" s="1"/>
  <c r="B191" i="33" s="1"/>
  <c r="G191" i="33"/>
  <c r="H191" i="33" s="1"/>
  <c r="F191" i="33"/>
  <c r="D191" i="33"/>
  <c r="E191" i="33" s="1"/>
  <c r="G190" i="33"/>
  <c r="H190" i="33" s="1"/>
  <c r="I190" i="33" s="1"/>
  <c r="J190" i="33" s="1"/>
  <c r="K190" i="33" s="1"/>
  <c r="L190" i="33" s="1"/>
  <c r="M190" i="33" s="1"/>
  <c r="N190" i="33" s="1"/>
  <c r="O190" i="33" s="1"/>
  <c r="P190" i="33" s="1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AB190" i="33" s="1"/>
  <c r="AC190" i="33" s="1"/>
  <c r="AD190" i="33" s="1"/>
  <c r="AE190" i="33" s="1"/>
  <c r="AF190" i="33" s="1"/>
  <c r="B190" i="33" s="1"/>
  <c r="F190" i="33"/>
  <c r="E190" i="33"/>
  <c r="D190" i="33"/>
  <c r="T189" i="33"/>
  <c r="U189" i="33" s="1"/>
  <c r="V189" i="33" s="1"/>
  <c r="W189" i="33" s="1"/>
  <c r="X189" i="33" s="1"/>
  <c r="Y189" i="33" s="1"/>
  <c r="Z189" i="33" s="1"/>
  <c r="AA189" i="33" s="1"/>
  <c r="AB189" i="33" s="1"/>
  <c r="AC189" i="33" s="1"/>
  <c r="AD189" i="33" s="1"/>
  <c r="AE189" i="33" s="1"/>
  <c r="AF189" i="33" s="1"/>
  <c r="B189" i="33" s="1"/>
  <c r="E189" i="33"/>
  <c r="F189" i="33" s="1"/>
  <c r="G189" i="33" s="1"/>
  <c r="H189" i="33" s="1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D189" i="33"/>
  <c r="N188" i="33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B188" i="33" s="1"/>
  <c r="E188" i="33"/>
  <c r="F188" i="33" s="1"/>
  <c r="G188" i="33" s="1"/>
  <c r="H188" i="33" s="1"/>
  <c r="I188" i="33" s="1"/>
  <c r="J188" i="33" s="1"/>
  <c r="K188" i="33" s="1"/>
  <c r="L188" i="33" s="1"/>
  <c r="M188" i="33" s="1"/>
  <c r="D188" i="33"/>
  <c r="H187" i="33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B187" i="33" s="1"/>
  <c r="G187" i="33"/>
  <c r="F187" i="33"/>
  <c r="D187" i="33"/>
  <c r="E187" i="33" s="1"/>
  <c r="H186" i="33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B186" i="33" s="1"/>
  <c r="D186" i="33"/>
  <c r="E186" i="33" s="1"/>
  <c r="F186" i="33" s="1"/>
  <c r="G186" i="33" s="1"/>
  <c r="E185" i="33"/>
  <c r="F185" i="33" s="1"/>
  <c r="G185" i="33" s="1"/>
  <c r="H185" i="33" s="1"/>
  <c r="I185" i="33" s="1"/>
  <c r="J185" i="33" s="1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B185" i="33" s="1"/>
  <c r="D185" i="33"/>
  <c r="F184" i="33"/>
  <c r="G184" i="33" s="1"/>
  <c r="H184" i="33" s="1"/>
  <c r="I184" i="33" s="1"/>
  <c r="J184" i="33" s="1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B184" i="33" s="1"/>
  <c r="E184" i="33"/>
  <c r="D184" i="33"/>
  <c r="S183" i="33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B183" i="33" s="1"/>
  <c r="H183" i="33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G183" i="33"/>
  <c r="F183" i="33"/>
  <c r="D183" i="33"/>
  <c r="E183" i="33" s="1"/>
  <c r="L182" i="33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B182" i="33" s="1"/>
  <c r="E182" i="33"/>
  <c r="F182" i="33" s="1"/>
  <c r="G182" i="33" s="1"/>
  <c r="H182" i="33" s="1"/>
  <c r="I182" i="33" s="1"/>
  <c r="J182" i="33" s="1"/>
  <c r="K182" i="33" s="1"/>
  <c r="D182" i="33"/>
  <c r="E181" i="33"/>
  <c r="F181" i="33" s="1"/>
  <c r="G181" i="33" s="1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B181" i="33" s="1"/>
  <c r="D181" i="33"/>
  <c r="E180" i="33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B180" i="33" s="1"/>
  <c r="D180" i="33"/>
  <c r="I179" i="33"/>
  <c r="J179" i="33" s="1"/>
  <c r="K179" i="33" s="1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B179" i="33" s="1"/>
  <c r="F179" i="33"/>
  <c r="G179" i="33" s="1"/>
  <c r="H179" i="33" s="1"/>
  <c r="E179" i="33"/>
  <c r="D179" i="33"/>
  <c r="G177" i="33"/>
  <c r="H177" i="33" s="1"/>
  <c r="I177" i="33" s="1"/>
  <c r="J177" i="33" s="1"/>
  <c r="K177" i="33" s="1"/>
  <c r="L177" i="33" s="1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B177" i="33" s="1"/>
  <c r="D177" i="33"/>
  <c r="E177" i="33" s="1"/>
  <c r="F177" i="33" s="1"/>
  <c r="O176" i="33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B176" i="33" s="1"/>
  <c r="N176" i="33"/>
  <c r="E176" i="33"/>
  <c r="F176" i="33" s="1"/>
  <c r="G176" i="33" s="1"/>
  <c r="H176" i="33" s="1"/>
  <c r="I176" i="33" s="1"/>
  <c r="J176" i="33" s="1"/>
  <c r="K176" i="33" s="1"/>
  <c r="L176" i="33" s="1"/>
  <c r="M176" i="33" s="1"/>
  <c r="D176" i="33"/>
  <c r="D175" i="33"/>
  <c r="E175" i="33" s="1"/>
  <c r="F175" i="33" s="1"/>
  <c r="G175" i="33" s="1"/>
  <c r="H175" i="33" s="1"/>
  <c r="I175" i="33" s="1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B175" i="33" s="1"/>
  <c r="D174" i="33"/>
  <c r="E174" i="33" s="1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B174" i="33" s="1"/>
  <c r="Z173" i="33"/>
  <c r="AA173" i="33" s="1"/>
  <c r="AB173" i="33" s="1"/>
  <c r="AC173" i="33" s="1"/>
  <c r="AD173" i="33" s="1"/>
  <c r="AE173" i="33" s="1"/>
  <c r="AF173" i="33" s="1"/>
  <c r="B173" i="33" s="1"/>
  <c r="D173" i="33"/>
  <c r="E173" i="33" s="1"/>
  <c r="F173" i="33" s="1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AE172" i="33"/>
  <c r="AF172" i="33" s="1"/>
  <c r="B172" i="33" s="1"/>
  <c r="G172" i="33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F172" i="33"/>
  <c r="E172" i="33"/>
  <c r="D172" i="33"/>
  <c r="Y171" i="33"/>
  <c r="Z171" i="33" s="1"/>
  <c r="AA171" i="33" s="1"/>
  <c r="AB171" i="33" s="1"/>
  <c r="AC171" i="33" s="1"/>
  <c r="AD171" i="33" s="1"/>
  <c r="AE171" i="33" s="1"/>
  <c r="AF171" i="33" s="1"/>
  <c r="B171" i="33" s="1"/>
  <c r="N171" i="33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E171" i="33"/>
  <c r="F171" i="33" s="1"/>
  <c r="G171" i="33" s="1"/>
  <c r="H171" i="33" s="1"/>
  <c r="I171" i="33" s="1"/>
  <c r="J171" i="33" s="1"/>
  <c r="K171" i="33" s="1"/>
  <c r="L171" i="33" s="1"/>
  <c r="M171" i="33" s="1"/>
  <c r="D171" i="33"/>
  <c r="F170" i="33"/>
  <c r="G170" i="33" s="1"/>
  <c r="H170" i="33" s="1"/>
  <c r="I170" i="33" s="1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B170" i="33" s="1"/>
  <c r="E170" i="33"/>
  <c r="D170" i="33"/>
  <c r="D168" i="33"/>
  <c r="E168" i="33" s="1"/>
  <c r="F168" i="33" s="1"/>
  <c r="G168" i="33" s="1"/>
  <c r="H168" i="33" s="1"/>
  <c r="I168" i="33" s="1"/>
  <c r="J168" i="33" s="1"/>
  <c r="K168" i="33" s="1"/>
  <c r="L168" i="33" s="1"/>
  <c r="M168" i="33" s="1"/>
  <c r="N168" i="33" s="1"/>
  <c r="O168" i="33" s="1"/>
  <c r="P168" i="33" s="1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B168" i="33" s="1"/>
  <c r="E167" i="33"/>
  <c r="F167" i="33" s="1"/>
  <c r="G167" i="33" s="1"/>
  <c r="H167" i="33" s="1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B167" i="33" s="1"/>
  <c r="D167" i="33"/>
  <c r="X166" i="33"/>
  <c r="Y166" i="33" s="1"/>
  <c r="Z166" i="33" s="1"/>
  <c r="AA166" i="33" s="1"/>
  <c r="AB166" i="33" s="1"/>
  <c r="AC166" i="33" s="1"/>
  <c r="AD166" i="33" s="1"/>
  <c r="AE166" i="33" s="1"/>
  <c r="AF166" i="33" s="1"/>
  <c r="B166" i="33" s="1"/>
  <c r="W166" i="33"/>
  <c r="I166" i="33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E166" i="33"/>
  <c r="F166" i="33" s="1"/>
  <c r="G166" i="33" s="1"/>
  <c r="H166" i="33" s="1"/>
  <c r="D166" i="33"/>
  <c r="D165" i="33"/>
  <c r="E165" i="33" s="1"/>
  <c r="F165" i="33" s="1"/>
  <c r="G165" i="33" s="1"/>
  <c r="H165" i="33" s="1"/>
  <c r="I165" i="33" s="1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B165" i="33" s="1"/>
  <c r="I164" i="33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B164" i="33" s="1"/>
  <c r="E164" i="33"/>
  <c r="F164" i="33" s="1"/>
  <c r="G164" i="33" s="1"/>
  <c r="H164" i="33" s="1"/>
  <c r="D164" i="33"/>
  <c r="E163" i="33"/>
  <c r="F163" i="33" s="1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D163" i="33"/>
  <c r="B163" i="33"/>
  <c r="N162" i="33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B162" i="33" s="1"/>
  <c r="M162" i="33"/>
  <c r="G162" i="33"/>
  <c r="H162" i="33" s="1"/>
  <c r="I162" i="33" s="1"/>
  <c r="J162" i="33" s="1"/>
  <c r="K162" i="33" s="1"/>
  <c r="L162" i="33" s="1"/>
  <c r="F162" i="33"/>
  <c r="E162" i="33"/>
  <c r="D162" i="33"/>
  <c r="F161" i="33"/>
  <c r="G161" i="33" s="1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B161" i="33" s="1"/>
  <c r="E161" i="33"/>
  <c r="D161" i="33"/>
  <c r="H160" i="33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B160" i="33" s="1"/>
  <c r="E160" i="33"/>
  <c r="F160" i="33" s="1"/>
  <c r="G160" i="33" s="1"/>
  <c r="D160" i="33"/>
  <c r="K159" i="33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B159" i="33" s="1"/>
  <c r="J159" i="33"/>
  <c r="F159" i="33"/>
  <c r="G159" i="33" s="1"/>
  <c r="H159" i="33" s="1"/>
  <c r="I159" i="33" s="1"/>
  <c r="E159" i="33"/>
  <c r="D159" i="33"/>
  <c r="L158" i="33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B158" i="33" s="1"/>
  <c r="H158" i="33"/>
  <c r="I158" i="33" s="1"/>
  <c r="J158" i="33" s="1"/>
  <c r="K158" i="33" s="1"/>
  <c r="G158" i="33"/>
  <c r="D158" i="33"/>
  <c r="E158" i="33" s="1"/>
  <c r="F158" i="33" s="1"/>
  <c r="F157" i="33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B157" i="33" s="1"/>
  <c r="E157" i="33"/>
  <c r="D157" i="33"/>
  <c r="L156" i="33"/>
  <c r="M156" i="33" s="1"/>
  <c r="N156" i="33" s="1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B156" i="33" s="1"/>
  <c r="K156" i="33"/>
  <c r="E156" i="33"/>
  <c r="F156" i="33" s="1"/>
  <c r="G156" i="33" s="1"/>
  <c r="H156" i="33" s="1"/>
  <c r="I156" i="33" s="1"/>
  <c r="J156" i="33" s="1"/>
  <c r="D156" i="33"/>
  <c r="F154" i="33"/>
  <c r="G154" i="33" s="1"/>
  <c r="H154" i="33" s="1"/>
  <c r="I154" i="33" s="1"/>
  <c r="J154" i="33" s="1"/>
  <c r="K154" i="33" s="1"/>
  <c r="L154" i="33" s="1"/>
  <c r="M154" i="33" s="1"/>
  <c r="N154" i="33" s="1"/>
  <c r="O154" i="33" s="1"/>
  <c r="P154" i="33" s="1"/>
  <c r="Q154" i="33" s="1"/>
  <c r="R154" i="33" s="1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AD154" i="33" s="1"/>
  <c r="AE154" i="33" s="1"/>
  <c r="AF154" i="33" s="1"/>
  <c r="B154" i="33" s="1"/>
  <c r="E154" i="33"/>
  <c r="D154" i="33"/>
  <c r="AE153" i="33"/>
  <c r="AF153" i="33" s="1"/>
  <c r="B153" i="33" s="1"/>
  <c r="D153" i="33"/>
  <c r="E153" i="33" s="1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O152" i="33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B152" i="33" s="1"/>
  <c r="N152" i="33"/>
  <c r="E152" i="33"/>
  <c r="F152" i="33" s="1"/>
  <c r="G152" i="33" s="1"/>
  <c r="H152" i="33" s="1"/>
  <c r="I152" i="33" s="1"/>
  <c r="J152" i="33" s="1"/>
  <c r="K152" i="33" s="1"/>
  <c r="L152" i="33" s="1"/>
  <c r="M152" i="33" s="1"/>
  <c r="D152" i="33"/>
  <c r="D151" i="33"/>
  <c r="E151" i="33" s="1"/>
  <c r="F151" i="33" s="1"/>
  <c r="G151" i="33" s="1"/>
  <c r="H151" i="33" s="1"/>
  <c r="I151" i="33" s="1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B151" i="33" s="1"/>
  <c r="K149" i="33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B149" i="33" s="1"/>
  <c r="D149" i="33"/>
  <c r="E149" i="33" s="1"/>
  <c r="F149" i="33" s="1"/>
  <c r="G149" i="33" s="1"/>
  <c r="H149" i="33" s="1"/>
  <c r="I149" i="33" s="1"/>
  <c r="J149" i="33" s="1"/>
  <c r="AE148" i="33"/>
  <c r="AF148" i="33" s="1"/>
  <c r="B148" i="33" s="1"/>
  <c r="G148" i="33"/>
  <c r="H148" i="33" s="1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D148" i="33"/>
  <c r="E148" i="33" s="1"/>
  <c r="F148" i="33" s="1"/>
  <c r="AC146" i="33"/>
  <c r="AD146" i="33" s="1"/>
  <c r="AE146" i="33" s="1"/>
  <c r="AF146" i="33" s="1"/>
  <c r="B146" i="33" s="1"/>
  <c r="E146" i="33"/>
  <c r="F146" i="33" s="1"/>
  <c r="G146" i="33" s="1"/>
  <c r="H146" i="33" s="1"/>
  <c r="I146" i="33" s="1"/>
  <c r="J146" i="33" s="1"/>
  <c r="K146" i="33" s="1"/>
  <c r="L146" i="33" s="1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W146" i="33" s="1"/>
  <c r="X146" i="33" s="1"/>
  <c r="Y146" i="33" s="1"/>
  <c r="Z146" i="33" s="1"/>
  <c r="AA146" i="33" s="1"/>
  <c r="AB146" i="33" s="1"/>
  <c r="D146" i="33"/>
  <c r="AB145" i="33"/>
  <c r="AC145" i="33" s="1"/>
  <c r="AD145" i="33" s="1"/>
  <c r="AE145" i="33" s="1"/>
  <c r="AF145" i="33" s="1"/>
  <c r="B145" i="33" s="1"/>
  <c r="D145" i="33"/>
  <c r="E145" i="33" s="1"/>
  <c r="F145" i="33" s="1"/>
  <c r="G145" i="33" s="1"/>
  <c r="H145" i="33" s="1"/>
  <c r="I145" i="33" s="1"/>
  <c r="J145" i="33" s="1"/>
  <c r="K145" i="33" s="1"/>
  <c r="L145" i="33" s="1"/>
  <c r="M145" i="33" s="1"/>
  <c r="N145" i="33" s="1"/>
  <c r="O145" i="33" s="1"/>
  <c r="P145" i="33" s="1"/>
  <c r="Q145" i="33" s="1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Q144" i="33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B144" i="33" s="1"/>
  <c r="D144" i="33"/>
  <c r="E144" i="33" s="1"/>
  <c r="F144" i="33" s="1"/>
  <c r="G144" i="33" s="1"/>
  <c r="H144" i="33" s="1"/>
  <c r="I144" i="33" s="1"/>
  <c r="J144" i="33" s="1"/>
  <c r="K144" i="33" s="1"/>
  <c r="L144" i="33" s="1"/>
  <c r="M144" i="33" s="1"/>
  <c r="N144" i="33" s="1"/>
  <c r="O144" i="33" s="1"/>
  <c r="P144" i="33" s="1"/>
  <c r="R143" i="33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B143" i="33" s="1"/>
  <c r="H143" i="33"/>
  <c r="I143" i="33" s="1"/>
  <c r="J143" i="33" s="1"/>
  <c r="K143" i="33" s="1"/>
  <c r="L143" i="33" s="1"/>
  <c r="M143" i="33" s="1"/>
  <c r="N143" i="33" s="1"/>
  <c r="O143" i="33" s="1"/>
  <c r="P143" i="33" s="1"/>
  <c r="Q143" i="33" s="1"/>
  <c r="F143" i="33"/>
  <c r="G143" i="33" s="1"/>
  <c r="E143" i="33"/>
  <c r="D143" i="33"/>
  <c r="D142" i="33"/>
  <c r="E142" i="33" s="1"/>
  <c r="F142" i="33" s="1"/>
  <c r="G142" i="33" s="1"/>
  <c r="H142" i="33" s="1"/>
  <c r="I142" i="33" s="1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B142" i="33" s="1"/>
  <c r="E141" i="33"/>
  <c r="F141" i="33" s="1"/>
  <c r="G141" i="33" s="1"/>
  <c r="H141" i="33" s="1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B141" i="33" s="1"/>
  <c r="D141" i="33"/>
  <c r="L140" i="33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B140" i="33" s="1"/>
  <c r="D140" i="33"/>
  <c r="E140" i="33" s="1"/>
  <c r="F140" i="33" s="1"/>
  <c r="G140" i="33" s="1"/>
  <c r="H140" i="33" s="1"/>
  <c r="I140" i="33" s="1"/>
  <c r="J140" i="33" s="1"/>
  <c r="K140" i="33" s="1"/>
  <c r="N138" i="33"/>
  <c r="O138" i="33" s="1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B138" i="33" s="1"/>
  <c r="H138" i="33"/>
  <c r="I138" i="33" s="1"/>
  <c r="J138" i="33" s="1"/>
  <c r="K138" i="33" s="1"/>
  <c r="L138" i="33" s="1"/>
  <c r="M138" i="33" s="1"/>
  <c r="F138" i="33"/>
  <c r="G138" i="33" s="1"/>
  <c r="E138" i="33"/>
  <c r="D138" i="33"/>
  <c r="O137" i="33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B137" i="33" s="1"/>
  <c r="G137" i="33"/>
  <c r="H137" i="33" s="1"/>
  <c r="I137" i="33" s="1"/>
  <c r="J137" i="33" s="1"/>
  <c r="K137" i="33" s="1"/>
  <c r="L137" i="33" s="1"/>
  <c r="M137" i="33" s="1"/>
  <c r="N137" i="33" s="1"/>
  <c r="F137" i="33"/>
  <c r="D137" i="33"/>
  <c r="E137" i="33" s="1"/>
  <c r="V136" i="33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B136" i="33" s="1"/>
  <c r="U136" i="33"/>
  <c r="D136" i="33"/>
  <c r="E136" i="33" s="1"/>
  <c r="F136" i="33" s="1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Z135" i="33"/>
  <c r="AA135" i="33" s="1"/>
  <c r="AB135" i="33" s="1"/>
  <c r="AC135" i="33" s="1"/>
  <c r="AD135" i="33" s="1"/>
  <c r="AE135" i="33" s="1"/>
  <c r="AF135" i="33" s="1"/>
  <c r="B135" i="33" s="1"/>
  <c r="H135" i="33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E135" i="33"/>
  <c r="F135" i="33" s="1"/>
  <c r="G135" i="33" s="1"/>
  <c r="D135" i="33"/>
  <c r="K134" i="33"/>
  <c r="L134" i="33" s="1"/>
  <c r="M134" i="33" s="1"/>
  <c r="N134" i="33" s="1"/>
  <c r="O134" i="33" s="1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B134" i="33" s="1"/>
  <c r="H134" i="33"/>
  <c r="I134" i="33" s="1"/>
  <c r="J134" i="33" s="1"/>
  <c r="F134" i="33"/>
  <c r="G134" i="33" s="1"/>
  <c r="E134" i="33"/>
  <c r="D134" i="33"/>
  <c r="G133" i="33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B133" i="33" s="1"/>
  <c r="F133" i="33"/>
  <c r="D133" i="33"/>
  <c r="E133" i="33" s="1"/>
  <c r="E132" i="33"/>
  <c r="F132" i="33" s="1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B132" i="33" s="1"/>
  <c r="D132" i="33"/>
  <c r="J131" i="33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B131" i="33" s="1"/>
  <c r="D131" i="33"/>
  <c r="E131" i="33" s="1"/>
  <c r="F131" i="33" s="1"/>
  <c r="G131" i="33" s="1"/>
  <c r="H131" i="33" s="1"/>
  <c r="I131" i="33" s="1"/>
  <c r="P129" i="33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B129" i="33" s="1"/>
  <c r="K129" i="33"/>
  <c r="L129" i="33" s="1"/>
  <c r="M129" i="33" s="1"/>
  <c r="N129" i="33" s="1"/>
  <c r="O129" i="33" s="1"/>
  <c r="H129" i="33"/>
  <c r="I129" i="33" s="1"/>
  <c r="J129" i="33" s="1"/>
  <c r="F129" i="33"/>
  <c r="G129" i="33" s="1"/>
  <c r="E129" i="33"/>
  <c r="D129" i="33"/>
  <c r="I128" i="33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B128" i="33" s="1"/>
  <c r="H128" i="33"/>
  <c r="D128" i="33"/>
  <c r="E128" i="33" s="1"/>
  <c r="F128" i="33" s="1"/>
  <c r="G128" i="33" s="1"/>
  <c r="D127" i="33"/>
  <c r="E127" i="33" s="1"/>
  <c r="F127" i="33" s="1"/>
  <c r="G127" i="33" s="1"/>
  <c r="H127" i="33" s="1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B127" i="33" s="1"/>
  <c r="G126" i="33"/>
  <c r="H126" i="33" s="1"/>
  <c r="I126" i="33" s="1"/>
  <c r="J126" i="33" s="1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B126" i="33" s="1"/>
  <c r="E126" i="33"/>
  <c r="F126" i="33" s="1"/>
  <c r="D126" i="33"/>
  <c r="J125" i="33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B125" i="33" s="1"/>
  <c r="D125" i="33"/>
  <c r="E125" i="33" s="1"/>
  <c r="F125" i="33" s="1"/>
  <c r="G125" i="33" s="1"/>
  <c r="H125" i="33" s="1"/>
  <c r="W124" i="33"/>
  <c r="X124" i="33" s="1"/>
  <c r="Y124" i="33" s="1"/>
  <c r="Z124" i="33" s="1"/>
  <c r="AA124" i="33" s="1"/>
  <c r="AB124" i="33" s="1"/>
  <c r="AC124" i="33" s="1"/>
  <c r="AD124" i="33" s="1"/>
  <c r="AE124" i="33" s="1"/>
  <c r="AF124" i="33" s="1"/>
  <c r="B124" i="33" s="1"/>
  <c r="F124" i="33"/>
  <c r="G124" i="33" s="1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E124" i="33"/>
  <c r="D124" i="33"/>
  <c r="T123" i="33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B123" i="33" s="1"/>
  <c r="E123" i="33"/>
  <c r="F123" i="33" s="1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D123" i="33"/>
  <c r="G122" i="33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B122" i="33" s="1"/>
  <c r="D122" i="33"/>
  <c r="E122" i="33" s="1"/>
  <c r="F122" i="33" s="1"/>
  <c r="E121" i="33"/>
  <c r="F121" i="33" s="1"/>
  <c r="G121" i="33" s="1"/>
  <c r="H121" i="33" s="1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B121" i="33" s="1"/>
  <c r="D121" i="33"/>
  <c r="X120" i="33"/>
  <c r="Y120" i="33" s="1"/>
  <c r="Z120" i="33" s="1"/>
  <c r="AA120" i="33" s="1"/>
  <c r="AB120" i="33" s="1"/>
  <c r="AC120" i="33" s="1"/>
  <c r="AD120" i="33" s="1"/>
  <c r="AE120" i="33" s="1"/>
  <c r="AF120" i="33" s="1"/>
  <c r="B120" i="33" s="1"/>
  <c r="H120" i="33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F120" i="33"/>
  <c r="G120" i="33" s="1"/>
  <c r="E120" i="33"/>
  <c r="D120" i="33"/>
  <c r="D119" i="33"/>
  <c r="E119" i="33" s="1"/>
  <c r="F119" i="33" s="1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B119" i="33" s="1"/>
  <c r="F118" i="33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B118" i="33" s="1"/>
  <c r="D118" i="33"/>
  <c r="E118" i="33" s="1"/>
  <c r="O117" i="33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B117" i="33" s="1"/>
  <c r="D117" i="33"/>
  <c r="E117" i="33" s="1"/>
  <c r="F117" i="33" s="1"/>
  <c r="G117" i="33" s="1"/>
  <c r="H117" i="33" s="1"/>
  <c r="I117" i="33" s="1"/>
  <c r="J117" i="33" s="1"/>
  <c r="K117" i="33" s="1"/>
  <c r="L117" i="33" s="1"/>
  <c r="M117" i="33" s="1"/>
  <c r="N117" i="33" s="1"/>
  <c r="J116" i="33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B116" i="33" s="1"/>
  <c r="G116" i="33"/>
  <c r="H116" i="33" s="1"/>
  <c r="I116" i="33" s="1"/>
  <c r="E116" i="33"/>
  <c r="F116" i="33" s="1"/>
  <c r="D116" i="33"/>
  <c r="F115" i="33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B115" i="33" s="1"/>
  <c r="D115" i="33"/>
  <c r="E115" i="33" s="1"/>
  <c r="Z114" i="33"/>
  <c r="AA114" i="33" s="1"/>
  <c r="AB114" i="33" s="1"/>
  <c r="AC114" i="33" s="1"/>
  <c r="AD114" i="33" s="1"/>
  <c r="AE114" i="33" s="1"/>
  <c r="AF114" i="33" s="1"/>
  <c r="B114" i="33" s="1"/>
  <c r="O114" i="33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K114" i="33"/>
  <c r="L114" i="33" s="1"/>
  <c r="M114" i="33" s="1"/>
  <c r="N114" i="33" s="1"/>
  <c r="I114" i="33"/>
  <c r="F114" i="33"/>
  <c r="G114" i="33" s="1"/>
  <c r="H114" i="33" s="1"/>
  <c r="E114" i="33"/>
  <c r="D114" i="33"/>
  <c r="D113" i="33"/>
  <c r="E113" i="33" s="1"/>
  <c r="F113" i="33" s="1"/>
  <c r="G113" i="33" s="1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B113" i="33" s="1"/>
  <c r="F112" i="33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B112" i="33" s="1"/>
  <c r="E112" i="33"/>
  <c r="D112" i="33"/>
  <c r="D110" i="33"/>
  <c r="E110" i="33" s="1"/>
  <c r="F110" i="33" s="1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B110" i="33" s="1"/>
  <c r="E109" i="33"/>
  <c r="D109" i="33"/>
  <c r="H107" i="33"/>
  <c r="I107" i="33" s="1"/>
  <c r="J107" i="33" s="1"/>
  <c r="K107" i="33" s="1"/>
  <c r="L107" i="33" s="1"/>
  <c r="M107" i="33" s="1"/>
  <c r="N107" i="33" s="1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B107" i="33" s="1"/>
  <c r="D107" i="33"/>
  <c r="E107" i="33" s="1"/>
  <c r="F107" i="33" s="1"/>
  <c r="G107" i="33" s="1"/>
  <c r="D106" i="33"/>
  <c r="E106" i="33" s="1"/>
  <c r="F106" i="33" s="1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B106" i="33" s="1"/>
  <c r="F105" i="33"/>
  <c r="G105" i="33" s="1"/>
  <c r="H105" i="33" s="1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B105" i="33" s="1"/>
  <c r="E105" i="33"/>
  <c r="D105" i="33"/>
  <c r="E104" i="33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B104" i="33" s="1"/>
  <c r="D104" i="33"/>
  <c r="F103" i="33"/>
  <c r="G103" i="33" s="1"/>
  <c r="D103" i="33"/>
  <c r="E103" i="33" s="1"/>
  <c r="E102" i="33"/>
  <c r="D102" i="33"/>
  <c r="AH100" i="33"/>
  <c r="AI100" i="33" s="1"/>
  <c r="AH99" i="33"/>
  <c r="AI99" i="33" s="1"/>
  <c r="AH98" i="33"/>
  <c r="AI98" i="33" s="1"/>
  <c r="AH97" i="33"/>
  <c r="AI97" i="33" s="1"/>
  <c r="AH96" i="33"/>
  <c r="AI96" i="33" s="1"/>
  <c r="AH95" i="33"/>
  <c r="AI95" i="33" s="1"/>
  <c r="AH94" i="33"/>
  <c r="AI94" i="33" s="1"/>
  <c r="D93" i="33"/>
  <c r="C93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G82" i="33"/>
  <c r="AI81" i="33"/>
  <c r="AH81" i="33"/>
  <c r="AF80" i="33"/>
  <c r="AE80" i="33"/>
  <c r="AD80" i="33"/>
  <c r="AC80" i="33"/>
  <c r="AB80" i="33"/>
  <c r="AA80" i="33"/>
  <c r="Z80" i="33"/>
  <c r="Y80" i="33"/>
  <c r="X80" i="33"/>
  <c r="W80" i="33"/>
  <c r="V80" i="33"/>
  <c r="U80" i="33"/>
  <c r="T80" i="33"/>
  <c r="S80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E80" i="33"/>
  <c r="D80" i="33"/>
  <c r="C80" i="33"/>
  <c r="AF79" i="33"/>
  <c r="AE79" i="33"/>
  <c r="AD79" i="33"/>
  <c r="AC79" i="33"/>
  <c r="AB79" i="33"/>
  <c r="AA79" i="33"/>
  <c r="Z79" i="33"/>
  <c r="Y79" i="33"/>
  <c r="X79" i="33"/>
  <c r="W79" i="33"/>
  <c r="V79" i="33"/>
  <c r="U79" i="33"/>
  <c r="T79" i="33"/>
  <c r="S79" i="33"/>
  <c r="R79" i="33"/>
  <c r="Q79" i="33"/>
  <c r="P79" i="33"/>
  <c r="O79" i="33"/>
  <c r="N79" i="33"/>
  <c r="M79" i="33"/>
  <c r="L79" i="33"/>
  <c r="K79" i="33"/>
  <c r="J79" i="33"/>
  <c r="I79" i="33"/>
  <c r="H79" i="33"/>
  <c r="G79" i="33"/>
  <c r="F79" i="33"/>
  <c r="E79" i="33"/>
  <c r="D79" i="33"/>
  <c r="C79" i="33"/>
  <c r="AF78" i="33"/>
  <c r="AE78" i="33"/>
  <c r="AD78" i="33"/>
  <c r="AC78" i="33"/>
  <c r="AB78" i="33"/>
  <c r="AA78" i="33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H78" i="33"/>
  <c r="G78" i="33"/>
  <c r="F78" i="33"/>
  <c r="E78" i="33"/>
  <c r="D78" i="33"/>
  <c r="C78" i="33"/>
  <c r="AF77" i="33"/>
  <c r="AE77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H82" i="33" s="1"/>
  <c r="G77" i="33"/>
  <c r="F77" i="33"/>
  <c r="E77" i="33"/>
  <c r="D77" i="33"/>
  <c r="C77" i="33"/>
  <c r="AF76" i="33"/>
  <c r="AE76" i="33"/>
  <c r="AE82" i="33" s="1"/>
  <c r="AD76" i="33"/>
  <c r="AC76" i="33"/>
  <c r="AB76" i="33"/>
  <c r="AA76" i="33"/>
  <c r="Z76" i="33"/>
  <c r="Y76" i="33"/>
  <c r="X76" i="33"/>
  <c r="W76" i="33"/>
  <c r="V76" i="33"/>
  <c r="U76" i="33"/>
  <c r="T76" i="33"/>
  <c r="S76" i="33"/>
  <c r="R76" i="33"/>
  <c r="Q76" i="33"/>
  <c r="P76" i="33"/>
  <c r="O76" i="33"/>
  <c r="O82" i="33" s="1"/>
  <c r="N76" i="33"/>
  <c r="M76" i="33"/>
  <c r="L76" i="33"/>
  <c r="K76" i="33"/>
  <c r="J76" i="33"/>
  <c r="I76" i="33"/>
  <c r="H76" i="33"/>
  <c r="G76" i="33"/>
  <c r="F76" i="33"/>
  <c r="E76" i="33"/>
  <c r="D76" i="33"/>
  <c r="C76" i="33"/>
  <c r="AI74" i="33"/>
  <c r="AH74" i="33"/>
  <c r="AI72" i="33"/>
  <c r="AH72" i="33"/>
  <c r="AG72" i="33"/>
  <c r="AI71" i="33"/>
  <c r="AH71" i="33"/>
  <c r="AI70" i="33"/>
  <c r="AH70" i="33"/>
  <c r="AI69" i="33"/>
  <c r="AH69" i="33"/>
  <c r="AG68" i="33"/>
  <c r="AF68" i="33"/>
  <c r="AE68" i="33"/>
  <c r="AD5" i="33" s="1"/>
  <c r="AD68" i="33"/>
  <c r="AC5" i="33" s="1"/>
  <c r="AC68" i="33"/>
  <c r="AB5" i="33" s="1"/>
  <c r="AB68" i="33"/>
  <c r="AA68" i="33"/>
  <c r="Z68" i="33"/>
  <c r="Y68" i="33"/>
  <c r="X5" i="33" s="1"/>
  <c r="X68" i="33"/>
  <c r="W5" i="33" s="1"/>
  <c r="W68" i="33"/>
  <c r="V5" i="33" s="1"/>
  <c r="V68" i="33"/>
  <c r="U5" i="33" s="1"/>
  <c r="U68" i="33"/>
  <c r="T5" i="33" s="1"/>
  <c r="T68" i="33"/>
  <c r="S68" i="33"/>
  <c r="R68" i="33"/>
  <c r="Q5" i="33" s="1"/>
  <c r="Q68" i="33"/>
  <c r="P5" i="33" s="1"/>
  <c r="P68" i="33"/>
  <c r="O68" i="33"/>
  <c r="N5" i="33" s="1"/>
  <c r="N68" i="33"/>
  <c r="M5" i="33" s="1"/>
  <c r="M68" i="33"/>
  <c r="L5" i="33" s="1"/>
  <c r="L68" i="33"/>
  <c r="K68" i="33"/>
  <c r="J68" i="33"/>
  <c r="I5" i="33" s="1"/>
  <c r="I68" i="33"/>
  <c r="H5" i="33" s="1"/>
  <c r="H68" i="33"/>
  <c r="H83" i="33" s="1"/>
  <c r="G68" i="33"/>
  <c r="F5" i="33" s="1"/>
  <c r="F68" i="33"/>
  <c r="E5" i="33" s="1"/>
  <c r="E68" i="33"/>
  <c r="D5" i="33" s="1"/>
  <c r="D68" i="33"/>
  <c r="C68" i="33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G56" i="33"/>
  <c r="AF56" i="33"/>
  <c r="AE56" i="33"/>
  <c r="AD56" i="33"/>
  <c r="AC56" i="33"/>
  <c r="AB56" i="33"/>
  <c r="AA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AI55" i="33"/>
  <c r="AH55" i="33"/>
  <c r="AI54" i="33"/>
  <c r="AH54" i="33"/>
  <c r="AI53" i="33"/>
  <c r="AH53" i="33"/>
  <c r="AF52" i="33"/>
  <c r="AE52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AI51" i="33"/>
  <c r="AH51" i="33"/>
  <c r="AG51" i="33"/>
  <c r="AG52" i="33" s="1"/>
  <c r="AG3" i="33" s="1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G38" i="33"/>
  <c r="AF38" i="33"/>
  <c r="AE38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Q73" i="33" s="1"/>
  <c r="Q75" i="33" s="1"/>
  <c r="AI214" i="33" s="1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G6" i="33"/>
  <c r="AG4" i="33"/>
  <c r="K4" i="33"/>
  <c r="B4" i="33"/>
  <c r="AG2" i="33"/>
  <c r="E4" i="33"/>
  <c r="AB192" i="35" l="1"/>
  <c r="AC102" i="35"/>
  <c r="B103" i="35"/>
  <c r="AD194" i="35"/>
  <c r="AC200" i="35"/>
  <c r="AC93" i="35"/>
  <c r="AA235" i="35"/>
  <c r="AC199" i="35"/>
  <c r="U200" i="34"/>
  <c r="V194" i="34"/>
  <c r="U93" i="34"/>
  <c r="X103" i="34"/>
  <c r="V235" i="34"/>
  <c r="X199" i="34"/>
  <c r="U192" i="34"/>
  <c r="V102" i="34"/>
  <c r="AF82" i="33"/>
  <c r="AF83" i="33" s="1"/>
  <c r="AE5" i="33"/>
  <c r="AF73" i="33"/>
  <c r="AF75" i="33" s="1"/>
  <c r="AE73" i="33"/>
  <c r="AE75" i="33" s="1"/>
  <c r="AD73" i="33"/>
  <c r="AD75" i="33" s="1"/>
  <c r="AC82" i="33"/>
  <c r="AC73" i="33"/>
  <c r="AC75" i="33" s="1"/>
  <c r="AU214" i="33" s="1"/>
  <c r="AB82" i="33"/>
  <c r="AB83" i="33" s="1"/>
  <c r="AA5" i="33"/>
  <c r="AB73" i="33"/>
  <c r="AB75" i="33" s="1"/>
  <c r="AA73" i="33"/>
  <c r="AA75" i="33" s="1"/>
  <c r="AA82" i="33"/>
  <c r="AA83" i="33"/>
  <c r="Z5" i="33"/>
  <c r="Z82" i="33"/>
  <c r="Y73" i="33"/>
  <c r="Y75" i="33" s="1"/>
  <c r="AQ214" i="33" s="1"/>
  <c r="X82" i="33"/>
  <c r="X83" i="33" s="1"/>
  <c r="X73" i="33"/>
  <c r="X75" i="33" s="1"/>
  <c r="W73" i="33"/>
  <c r="W75" i="33" s="1"/>
  <c r="V73" i="33"/>
  <c r="V75" i="33" s="1"/>
  <c r="U73" i="33"/>
  <c r="U75" i="33" s="1"/>
  <c r="AM214" i="33" s="1"/>
  <c r="U82" i="33"/>
  <c r="T82" i="33"/>
  <c r="T83" i="33" s="1"/>
  <c r="S5" i="33"/>
  <c r="T73" i="33"/>
  <c r="T75" i="33" s="1"/>
  <c r="S82" i="33"/>
  <c r="S73" i="33"/>
  <c r="S75" i="33" s="1"/>
  <c r="S83" i="33"/>
  <c r="R82" i="33"/>
  <c r="Q7" i="33"/>
  <c r="P82" i="33"/>
  <c r="P83" i="33"/>
  <c r="O5" i="33"/>
  <c r="P73" i="33"/>
  <c r="P75" i="33" s="1"/>
  <c r="P7" i="33" s="1"/>
  <c r="AI78" i="33"/>
  <c r="O73" i="33"/>
  <c r="O75" i="33" s="1"/>
  <c r="N73" i="33"/>
  <c r="N75" i="33" s="1"/>
  <c r="M82" i="33"/>
  <c r="M73" i="33"/>
  <c r="M75" i="33" s="1"/>
  <c r="AH77" i="33"/>
  <c r="L82" i="33"/>
  <c r="L83" i="33" s="1"/>
  <c r="K5" i="33"/>
  <c r="L73" i="33"/>
  <c r="L75" i="33" s="1"/>
  <c r="AD214" i="33" s="1"/>
  <c r="K82" i="33"/>
  <c r="K73" i="33"/>
  <c r="K75" i="33" s="1"/>
  <c r="AC214" i="33" s="1"/>
  <c r="AI37" i="33"/>
  <c r="J82" i="33"/>
  <c r="G5" i="33"/>
  <c r="H73" i="33"/>
  <c r="H75" i="33" s="1"/>
  <c r="I73" i="33"/>
  <c r="I75" i="33" s="1"/>
  <c r="G82" i="33"/>
  <c r="G73" i="33"/>
  <c r="G75" i="33" s="1"/>
  <c r="G7" i="33" s="1"/>
  <c r="F73" i="33"/>
  <c r="F75" i="33" s="1"/>
  <c r="X214" i="33" s="1"/>
  <c r="AI79" i="33"/>
  <c r="E82" i="33"/>
  <c r="E83" i="33" s="1"/>
  <c r="AI56" i="33"/>
  <c r="E73" i="33"/>
  <c r="E75" i="33" s="1"/>
  <c r="D82" i="33"/>
  <c r="D83" i="33"/>
  <c r="D73" i="33"/>
  <c r="D75" i="33" s="1"/>
  <c r="V214" i="33" s="1"/>
  <c r="C5" i="33"/>
  <c r="AI52" i="33"/>
  <c r="AH56" i="33"/>
  <c r="K83" i="33"/>
  <c r="AH76" i="33"/>
  <c r="C82" i="33"/>
  <c r="C73" i="33"/>
  <c r="C75" i="33" s="1"/>
  <c r="H4" i="33"/>
  <c r="U214" i="33"/>
  <c r="C7" i="33"/>
  <c r="AK214" i="33"/>
  <c r="S7" i="33"/>
  <c r="AS214" i="33"/>
  <c r="AA7" i="33"/>
  <c r="AL214" i="33"/>
  <c r="T7" i="33"/>
  <c r="AT214" i="33"/>
  <c r="AB7" i="33"/>
  <c r="AG214" i="33"/>
  <c r="O7" i="33"/>
  <c r="Z214" i="33"/>
  <c r="H7" i="33"/>
  <c r="AP214" i="33"/>
  <c r="X7" i="33"/>
  <c r="AX214" i="33"/>
  <c r="AF7" i="33"/>
  <c r="AI76" i="33"/>
  <c r="AG73" i="33"/>
  <c r="H103" i="33"/>
  <c r="D7" i="33"/>
  <c r="AH52" i="33"/>
  <c r="AF5" i="33"/>
  <c r="J83" i="33"/>
  <c r="R83" i="33"/>
  <c r="Y5" i="33"/>
  <c r="Z83" i="33"/>
  <c r="AH68" i="33"/>
  <c r="AG75" i="33"/>
  <c r="AH80" i="33"/>
  <c r="AG83" i="33"/>
  <c r="AN214" i="33"/>
  <c r="V7" i="33"/>
  <c r="AW214" i="33"/>
  <c r="AE7" i="33"/>
  <c r="F82" i="33"/>
  <c r="F83" i="33" s="1"/>
  <c r="N82" i="33"/>
  <c r="N83" i="33" s="1"/>
  <c r="V82" i="33"/>
  <c r="V83" i="33" s="1"/>
  <c r="AD82" i="33"/>
  <c r="AD83" i="33" s="1"/>
  <c r="AH79" i="33"/>
  <c r="AO214" i="33"/>
  <c r="W7" i="33"/>
  <c r="C83" i="33"/>
  <c r="AI68" i="33"/>
  <c r="AC83" i="33"/>
  <c r="AV214" i="33"/>
  <c r="AD7" i="33"/>
  <c r="R5" i="33"/>
  <c r="M83" i="33"/>
  <c r="W82" i="33"/>
  <c r="J5" i="33"/>
  <c r="AI77" i="33"/>
  <c r="AF214" i="33"/>
  <c r="N7" i="33"/>
  <c r="U83" i="33"/>
  <c r="B5" i="33"/>
  <c r="J73" i="33"/>
  <c r="J75" i="33" s="1"/>
  <c r="R73" i="33"/>
  <c r="R75" i="33" s="1"/>
  <c r="Z73" i="33"/>
  <c r="Z75" i="33" s="1"/>
  <c r="AI38" i="33"/>
  <c r="G83" i="33"/>
  <c r="O83" i="33"/>
  <c r="W83" i="33"/>
  <c r="AE83" i="33"/>
  <c r="I82" i="33"/>
  <c r="I83" i="33" s="1"/>
  <c r="Q82" i="33"/>
  <c r="Q83" i="33" s="1"/>
  <c r="Y82" i="33"/>
  <c r="Y83" i="33" s="1"/>
  <c r="AI80" i="33"/>
  <c r="AH78" i="33"/>
  <c r="D192" i="33"/>
  <c r="AH38" i="33"/>
  <c r="E192" i="33"/>
  <c r="F102" i="33"/>
  <c r="F109" i="33"/>
  <c r="S211" i="33"/>
  <c r="D211" i="33"/>
  <c r="D200" i="33"/>
  <c r="E199" i="33"/>
  <c r="E200" i="33"/>
  <c r="G194" i="33"/>
  <c r="X37" i="32"/>
  <c r="W37" i="32"/>
  <c r="V37" i="32"/>
  <c r="AE194" i="35" l="1"/>
  <c r="AC192" i="35"/>
  <c r="AD102" i="35"/>
  <c r="AB235" i="35"/>
  <c r="AD199" i="35"/>
  <c r="W235" i="34"/>
  <c r="Y199" i="34"/>
  <c r="Y103" i="34"/>
  <c r="W194" i="34"/>
  <c r="V200" i="34"/>
  <c r="V93" i="34"/>
  <c r="V192" i="34"/>
  <c r="W102" i="34"/>
  <c r="AC7" i="33"/>
  <c r="Y7" i="33"/>
  <c r="U7" i="33"/>
  <c r="L7" i="33"/>
  <c r="F7" i="33"/>
  <c r="Y214" i="33"/>
  <c r="AH214" i="33"/>
  <c r="K7" i="33"/>
  <c r="AE214" i="33"/>
  <c r="M7" i="33"/>
  <c r="C209" i="33"/>
  <c r="B209" i="33"/>
  <c r="K6" i="33" s="1"/>
  <c r="AA214" i="33"/>
  <c r="I7" i="33"/>
  <c r="W214" i="33"/>
  <c r="E7" i="33"/>
  <c r="AI83" i="33"/>
  <c r="AH83" i="33"/>
  <c r="H194" i="33"/>
  <c r="F199" i="33"/>
  <c r="D235" i="33"/>
  <c r="AR214" i="33"/>
  <c r="Z7" i="33"/>
  <c r="AJ214" i="33"/>
  <c r="R7" i="33"/>
  <c r="I103" i="33"/>
  <c r="F192" i="33"/>
  <c r="G102" i="33"/>
  <c r="AB214" i="33"/>
  <c r="J7" i="33"/>
  <c r="G109" i="33"/>
  <c r="F93" i="33"/>
  <c r="AI73" i="33"/>
  <c r="AH73" i="33"/>
  <c r="E93" i="33"/>
  <c r="AH82" i="33"/>
  <c r="AI82" i="33"/>
  <c r="U37" i="32"/>
  <c r="T37" i="32"/>
  <c r="S37" i="32"/>
  <c r="R37" i="32"/>
  <c r="Q37" i="32"/>
  <c r="O37" i="32"/>
  <c r="N37" i="32"/>
  <c r="M37" i="32"/>
  <c r="L95" i="32"/>
  <c r="L37" i="32"/>
  <c r="K95" i="32"/>
  <c r="K37" i="32"/>
  <c r="J95" i="32"/>
  <c r="J37" i="32"/>
  <c r="I95" i="32"/>
  <c r="I37" i="32"/>
  <c r="H95" i="32"/>
  <c r="H37" i="32"/>
  <c r="G95" i="32"/>
  <c r="G37" i="32"/>
  <c r="F95" i="32"/>
  <c r="E95" i="32"/>
  <c r="AF239" i="32"/>
  <c r="AE239" i="32"/>
  <c r="AD239" i="32"/>
  <c r="AC239" i="32"/>
  <c r="AB239" i="32"/>
  <c r="AA239" i="32"/>
  <c r="Z239" i="32"/>
  <c r="Y239" i="32"/>
  <c r="X239" i="32"/>
  <c r="W239" i="32"/>
  <c r="V239" i="32"/>
  <c r="U239" i="32"/>
  <c r="T239" i="32"/>
  <c r="S239" i="32"/>
  <c r="R239" i="32"/>
  <c r="Q239" i="32"/>
  <c r="P239" i="32"/>
  <c r="O239" i="32"/>
  <c r="N239" i="32"/>
  <c r="M239" i="32"/>
  <c r="L239" i="32"/>
  <c r="K239" i="32"/>
  <c r="J239" i="32"/>
  <c r="I239" i="32"/>
  <c r="H239" i="32"/>
  <c r="G239" i="32"/>
  <c r="F239" i="32"/>
  <c r="E239" i="32"/>
  <c r="D239" i="32"/>
  <c r="C239" i="32"/>
  <c r="B239" i="32"/>
  <c r="A239" i="32"/>
  <c r="AF238" i="32"/>
  <c r="AE238" i="32"/>
  <c r="AD238" i="32"/>
  <c r="AC238" i="32"/>
  <c r="AB238" i="32"/>
  <c r="AA238" i="32"/>
  <c r="Z238" i="32"/>
  <c r="Y238" i="32"/>
  <c r="X238" i="32"/>
  <c r="W238" i="32"/>
  <c r="V238" i="32"/>
  <c r="U238" i="32"/>
  <c r="T238" i="32"/>
  <c r="S238" i="32"/>
  <c r="R238" i="32"/>
  <c r="Q238" i="32"/>
  <c r="P238" i="32"/>
  <c r="O238" i="32"/>
  <c r="N238" i="32"/>
  <c r="M238" i="32"/>
  <c r="L238" i="32"/>
  <c r="K238" i="32"/>
  <c r="J238" i="32"/>
  <c r="I238" i="32"/>
  <c r="H238" i="32"/>
  <c r="G238" i="32"/>
  <c r="F238" i="32"/>
  <c r="E238" i="32"/>
  <c r="D238" i="32"/>
  <c r="C238" i="32"/>
  <c r="B238" i="32"/>
  <c r="A238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E237" i="32"/>
  <c r="D237" i="32"/>
  <c r="C237" i="32"/>
  <c r="B237" i="32"/>
  <c r="A237" i="32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B236" i="32"/>
  <c r="A236" i="32"/>
  <c r="C235" i="32"/>
  <c r="B235" i="32"/>
  <c r="S210" i="32"/>
  <c r="AG200" i="32"/>
  <c r="C200" i="32"/>
  <c r="D199" i="32"/>
  <c r="E199" i="32" s="1"/>
  <c r="F199" i="32" s="1"/>
  <c r="L198" i="32"/>
  <c r="M198" i="32" s="1"/>
  <c r="N198" i="32" s="1"/>
  <c r="O198" i="32" s="1"/>
  <c r="P198" i="32" s="1"/>
  <c r="Q198" i="32" s="1"/>
  <c r="R198" i="32" s="1"/>
  <c r="S198" i="32" s="1"/>
  <c r="T198" i="32" s="1"/>
  <c r="U198" i="32" s="1"/>
  <c r="V198" i="32" s="1"/>
  <c r="W198" i="32" s="1"/>
  <c r="X198" i="32" s="1"/>
  <c r="Y198" i="32" s="1"/>
  <c r="Z198" i="32" s="1"/>
  <c r="AA198" i="32" s="1"/>
  <c r="AB198" i="32" s="1"/>
  <c r="AC198" i="32" s="1"/>
  <c r="AD198" i="32" s="1"/>
  <c r="AE198" i="32" s="1"/>
  <c r="AF198" i="32" s="1"/>
  <c r="B198" i="32" s="1"/>
  <c r="D198" i="32"/>
  <c r="E198" i="32" s="1"/>
  <c r="F198" i="32" s="1"/>
  <c r="G198" i="32" s="1"/>
  <c r="H198" i="32" s="1"/>
  <c r="I198" i="32" s="1"/>
  <c r="J198" i="32" s="1"/>
  <c r="K198" i="32" s="1"/>
  <c r="G197" i="32"/>
  <c r="H197" i="32" s="1"/>
  <c r="I197" i="32" s="1"/>
  <c r="J197" i="32" s="1"/>
  <c r="K197" i="32" s="1"/>
  <c r="L197" i="32" s="1"/>
  <c r="M197" i="32" s="1"/>
  <c r="N197" i="32" s="1"/>
  <c r="O197" i="32" s="1"/>
  <c r="P197" i="32" s="1"/>
  <c r="Q197" i="32" s="1"/>
  <c r="R197" i="32" s="1"/>
  <c r="S197" i="32" s="1"/>
  <c r="T197" i="32" s="1"/>
  <c r="U197" i="32" s="1"/>
  <c r="V197" i="32" s="1"/>
  <c r="W197" i="32" s="1"/>
  <c r="X197" i="32" s="1"/>
  <c r="Y197" i="32" s="1"/>
  <c r="Z197" i="32" s="1"/>
  <c r="AA197" i="32" s="1"/>
  <c r="AB197" i="32" s="1"/>
  <c r="AC197" i="32" s="1"/>
  <c r="AD197" i="32" s="1"/>
  <c r="AE197" i="32" s="1"/>
  <c r="AF197" i="32" s="1"/>
  <c r="B197" i="32" s="1"/>
  <c r="D197" i="32"/>
  <c r="E197" i="32" s="1"/>
  <c r="F197" i="32" s="1"/>
  <c r="H196" i="32"/>
  <c r="I196" i="32" s="1"/>
  <c r="J196" i="32" s="1"/>
  <c r="K196" i="32" s="1"/>
  <c r="L196" i="32" s="1"/>
  <c r="M196" i="32" s="1"/>
  <c r="N196" i="32" s="1"/>
  <c r="O196" i="32" s="1"/>
  <c r="P196" i="32" s="1"/>
  <c r="Q196" i="32" s="1"/>
  <c r="R196" i="32" s="1"/>
  <c r="S196" i="32" s="1"/>
  <c r="T196" i="32" s="1"/>
  <c r="U196" i="32" s="1"/>
  <c r="V196" i="32" s="1"/>
  <c r="W196" i="32" s="1"/>
  <c r="X196" i="32" s="1"/>
  <c r="Y196" i="32" s="1"/>
  <c r="Z196" i="32" s="1"/>
  <c r="AA196" i="32" s="1"/>
  <c r="AB196" i="32" s="1"/>
  <c r="AC196" i="32" s="1"/>
  <c r="AD196" i="32" s="1"/>
  <c r="AE196" i="32" s="1"/>
  <c r="AF196" i="32" s="1"/>
  <c r="B196" i="32" s="1"/>
  <c r="F196" i="32"/>
  <c r="G196" i="32" s="1"/>
  <c r="E196" i="32"/>
  <c r="D196" i="32"/>
  <c r="D195" i="32"/>
  <c r="E195" i="32" s="1"/>
  <c r="F195" i="32" s="1"/>
  <c r="G195" i="32" s="1"/>
  <c r="H195" i="32" s="1"/>
  <c r="I195" i="32" s="1"/>
  <c r="J195" i="32" s="1"/>
  <c r="K195" i="32" s="1"/>
  <c r="L195" i="32" s="1"/>
  <c r="M195" i="32" s="1"/>
  <c r="N195" i="32" s="1"/>
  <c r="O195" i="32" s="1"/>
  <c r="P195" i="32" s="1"/>
  <c r="Q195" i="32" s="1"/>
  <c r="R195" i="32" s="1"/>
  <c r="S195" i="32" s="1"/>
  <c r="T195" i="32" s="1"/>
  <c r="U195" i="32" s="1"/>
  <c r="V195" i="32" s="1"/>
  <c r="W195" i="32" s="1"/>
  <c r="X195" i="32" s="1"/>
  <c r="Y195" i="32" s="1"/>
  <c r="Z195" i="32" s="1"/>
  <c r="AA195" i="32" s="1"/>
  <c r="AB195" i="32" s="1"/>
  <c r="AC195" i="32" s="1"/>
  <c r="AD195" i="32" s="1"/>
  <c r="AE195" i="32" s="1"/>
  <c r="AF195" i="32" s="1"/>
  <c r="B195" i="32" s="1"/>
  <c r="D194" i="32"/>
  <c r="AG192" i="32"/>
  <c r="C192" i="32"/>
  <c r="D191" i="32"/>
  <c r="E191" i="32" s="1"/>
  <c r="F191" i="32" s="1"/>
  <c r="G191" i="32" s="1"/>
  <c r="H191" i="32" s="1"/>
  <c r="I191" i="32" s="1"/>
  <c r="J191" i="32" s="1"/>
  <c r="K191" i="32" s="1"/>
  <c r="L191" i="32" s="1"/>
  <c r="M191" i="32" s="1"/>
  <c r="N191" i="32" s="1"/>
  <c r="O191" i="32" s="1"/>
  <c r="P191" i="32" s="1"/>
  <c r="Q191" i="32" s="1"/>
  <c r="R191" i="32" s="1"/>
  <c r="S191" i="32" s="1"/>
  <c r="T191" i="32" s="1"/>
  <c r="U191" i="32" s="1"/>
  <c r="V191" i="32" s="1"/>
  <c r="W191" i="32" s="1"/>
  <c r="X191" i="32" s="1"/>
  <c r="Y191" i="32" s="1"/>
  <c r="Z191" i="32" s="1"/>
  <c r="AA191" i="32" s="1"/>
  <c r="AB191" i="32" s="1"/>
  <c r="AC191" i="32" s="1"/>
  <c r="AD191" i="32" s="1"/>
  <c r="AE191" i="32" s="1"/>
  <c r="AF191" i="32" s="1"/>
  <c r="B191" i="32" s="1"/>
  <c r="E190" i="32"/>
  <c r="F190" i="32" s="1"/>
  <c r="G190" i="32" s="1"/>
  <c r="H190" i="32" s="1"/>
  <c r="I190" i="32" s="1"/>
  <c r="J190" i="32" s="1"/>
  <c r="K190" i="32" s="1"/>
  <c r="L190" i="32" s="1"/>
  <c r="M190" i="32" s="1"/>
  <c r="N190" i="32" s="1"/>
  <c r="O190" i="32" s="1"/>
  <c r="P190" i="32" s="1"/>
  <c r="Q190" i="32" s="1"/>
  <c r="R190" i="32" s="1"/>
  <c r="S190" i="32" s="1"/>
  <c r="T190" i="32" s="1"/>
  <c r="U190" i="32" s="1"/>
  <c r="V190" i="32" s="1"/>
  <c r="W190" i="32" s="1"/>
  <c r="X190" i="32" s="1"/>
  <c r="Y190" i="32" s="1"/>
  <c r="Z190" i="32" s="1"/>
  <c r="AA190" i="32" s="1"/>
  <c r="AB190" i="32" s="1"/>
  <c r="AC190" i="32" s="1"/>
  <c r="AD190" i="32" s="1"/>
  <c r="AE190" i="32" s="1"/>
  <c r="AF190" i="32" s="1"/>
  <c r="B190" i="32" s="1"/>
  <c r="D190" i="32"/>
  <c r="D189" i="32"/>
  <c r="E189" i="32" s="1"/>
  <c r="F189" i="32" s="1"/>
  <c r="G189" i="32" s="1"/>
  <c r="H189" i="32" s="1"/>
  <c r="I189" i="32" s="1"/>
  <c r="J189" i="32" s="1"/>
  <c r="K189" i="32" s="1"/>
  <c r="L189" i="32" s="1"/>
  <c r="M189" i="32" s="1"/>
  <c r="N189" i="32" s="1"/>
  <c r="O189" i="32" s="1"/>
  <c r="P189" i="32" s="1"/>
  <c r="Q189" i="32" s="1"/>
  <c r="R189" i="32" s="1"/>
  <c r="S189" i="32" s="1"/>
  <c r="T189" i="32" s="1"/>
  <c r="U189" i="32" s="1"/>
  <c r="V189" i="32" s="1"/>
  <c r="W189" i="32" s="1"/>
  <c r="X189" i="32" s="1"/>
  <c r="Y189" i="32" s="1"/>
  <c r="Z189" i="32" s="1"/>
  <c r="AA189" i="32" s="1"/>
  <c r="AB189" i="32" s="1"/>
  <c r="AC189" i="32" s="1"/>
  <c r="AD189" i="32" s="1"/>
  <c r="AE189" i="32" s="1"/>
  <c r="AF189" i="32" s="1"/>
  <c r="B189" i="32" s="1"/>
  <c r="E188" i="32"/>
  <c r="F188" i="32" s="1"/>
  <c r="G188" i="32" s="1"/>
  <c r="H188" i="32" s="1"/>
  <c r="I188" i="32" s="1"/>
  <c r="J188" i="32" s="1"/>
  <c r="K188" i="32" s="1"/>
  <c r="L188" i="32" s="1"/>
  <c r="M188" i="32" s="1"/>
  <c r="N188" i="32" s="1"/>
  <c r="O188" i="32" s="1"/>
  <c r="P188" i="32" s="1"/>
  <c r="Q188" i="32" s="1"/>
  <c r="R188" i="32" s="1"/>
  <c r="S188" i="32" s="1"/>
  <c r="T188" i="32" s="1"/>
  <c r="U188" i="32" s="1"/>
  <c r="V188" i="32" s="1"/>
  <c r="W188" i="32" s="1"/>
  <c r="X188" i="32" s="1"/>
  <c r="Y188" i="32" s="1"/>
  <c r="Z188" i="32" s="1"/>
  <c r="AA188" i="32" s="1"/>
  <c r="AB188" i="32" s="1"/>
  <c r="AC188" i="32" s="1"/>
  <c r="AD188" i="32" s="1"/>
  <c r="AE188" i="32" s="1"/>
  <c r="AF188" i="32" s="1"/>
  <c r="B188" i="32" s="1"/>
  <c r="D188" i="32"/>
  <c r="G187" i="32"/>
  <c r="H187" i="32" s="1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B187" i="32" s="1"/>
  <c r="D187" i="32"/>
  <c r="E187" i="32" s="1"/>
  <c r="F187" i="32" s="1"/>
  <c r="M186" i="32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B186" i="32" s="1"/>
  <c r="F186" i="32"/>
  <c r="G186" i="32" s="1"/>
  <c r="H186" i="32" s="1"/>
  <c r="I186" i="32" s="1"/>
  <c r="J186" i="32" s="1"/>
  <c r="K186" i="32" s="1"/>
  <c r="L186" i="32" s="1"/>
  <c r="E186" i="32"/>
  <c r="D186" i="32"/>
  <c r="D185" i="32"/>
  <c r="E185" i="32" s="1"/>
  <c r="F185" i="32" s="1"/>
  <c r="G185" i="32" s="1"/>
  <c r="H185" i="32" s="1"/>
  <c r="I185" i="32" s="1"/>
  <c r="J185" i="32" s="1"/>
  <c r="K185" i="32" s="1"/>
  <c r="L185" i="32" s="1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W185" i="32" s="1"/>
  <c r="X185" i="32" s="1"/>
  <c r="Y185" i="32" s="1"/>
  <c r="Z185" i="32" s="1"/>
  <c r="AA185" i="32" s="1"/>
  <c r="AB185" i="32" s="1"/>
  <c r="AC185" i="32" s="1"/>
  <c r="AD185" i="32" s="1"/>
  <c r="AE185" i="32" s="1"/>
  <c r="AF185" i="32" s="1"/>
  <c r="B185" i="32" s="1"/>
  <c r="D184" i="32"/>
  <c r="E184" i="32" s="1"/>
  <c r="F184" i="32" s="1"/>
  <c r="G184" i="32" s="1"/>
  <c r="H184" i="32" s="1"/>
  <c r="I184" i="32" s="1"/>
  <c r="J184" i="32" s="1"/>
  <c r="K184" i="32" s="1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AC184" i="32" s="1"/>
  <c r="AD184" i="32" s="1"/>
  <c r="AE184" i="32" s="1"/>
  <c r="AF184" i="32" s="1"/>
  <c r="B184" i="32" s="1"/>
  <c r="W183" i="32"/>
  <c r="X183" i="32" s="1"/>
  <c r="Y183" i="32" s="1"/>
  <c r="Z183" i="32" s="1"/>
  <c r="AA183" i="32" s="1"/>
  <c r="AB183" i="32" s="1"/>
  <c r="AC183" i="32" s="1"/>
  <c r="AD183" i="32" s="1"/>
  <c r="AE183" i="32" s="1"/>
  <c r="AF183" i="32" s="1"/>
  <c r="B183" i="32" s="1"/>
  <c r="H183" i="32"/>
  <c r="I183" i="32" s="1"/>
  <c r="J183" i="32" s="1"/>
  <c r="K183" i="32" s="1"/>
  <c r="L183" i="32" s="1"/>
  <c r="M183" i="32" s="1"/>
  <c r="N183" i="32" s="1"/>
  <c r="O183" i="32" s="1"/>
  <c r="P183" i="32" s="1"/>
  <c r="Q183" i="32" s="1"/>
  <c r="R183" i="32" s="1"/>
  <c r="S183" i="32" s="1"/>
  <c r="T183" i="32" s="1"/>
  <c r="U183" i="32" s="1"/>
  <c r="V183" i="32" s="1"/>
  <c r="G183" i="32"/>
  <c r="D183" i="32"/>
  <c r="E183" i="32" s="1"/>
  <c r="F183" i="32" s="1"/>
  <c r="F182" i="32"/>
  <c r="G182" i="32" s="1"/>
  <c r="H182" i="32" s="1"/>
  <c r="I182" i="32" s="1"/>
  <c r="J182" i="32" s="1"/>
  <c r="K182" i="32" s="1"/>
  <c r="L182" i="32" s="1"/>
  <c r="M182" i="32" s="1"/>
  <c r="N182" i="32" s="1"/>
  <c r="O182" i="32" s="1"/>
  <c r="P182" i="32" s="1"/>
  <c r="Q182" i="32" s="1"/>
  <c r="R182" i="32" s="1"/>
  <c r="S182" i="32" s="1"/>
  <c r="T182" i="32" s="1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B182" i="32" s="1"/>
  <c r="E182" i="32"/>
  <c r="D182" i="32"/>
  <c r="O181" i="32"/>
  <c r="P181" i="32" s="1"/>
  <c r="Q181" i="32" s="1"/>
  <c r="R181" i="32" s="1"/>
  <c r="S181" i="32" s="1"/>
  <c r="T181" i="32" s="1"/>
  <c r="U181" i="32" s="1"/>
  <c r="V181" i="32" s="1"/>
  <c r="W181" i="32" s="1"/>
  <c r="X181" i="32" s="1"/>
  <c r="Y181" i="32" s="1"/>
  <c r="Z181" i="32" s="1"/>
  <c r="AA181" i="32" s="1"/>
  <c r="AB181" i="32" s="1"/>
  <c r="AC181" i="32" s="1"/>
  <c r="AD181" i="32" s="1"/>
  <c r="AE181" i="32" s="1"/>
  <c r="AF181" i="32" s="1"/>
  <c r="B181" i="32" s="1"/>
  <c r="H181" i="32"/>
  <c r="I181" i="32" s="1"/>
  <c r="J181" i="32" s="1"/>
  <c r="K181" i="32" s="1"/>
  <c r="L181" i="32" s="1"/>
  <c r="M181" i="32" s="1"/>
  <c r="N181" i="32" s="1"/>
  <c r="G181" i="32"/>
  <c r="E181" i="32"/>
  <c r="F181" i="32" s="1"/>
  <c r="D181" i="32"/>
  <c r="R180" i="32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B180" i="32" s="1"/>
  <c r="E180" i="32"/>
  <c r="F180" i="32" s="1"/>
  <c r="G180" i="32" s="1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D180" i="32"/>
  <c r="Y179" i="32"/>
  <c r="Z179" i="32" s="1"/>
  <c r="AA179" i="32" s="1"/>
  <c r="AB179" i="32" s="1"/>
  <c r="AC179" i="32" s="1"/>
  <c r="AD179" i="32" s="1"/>
  <c r="AE179" i="32" s="1"/>
  <c r="AF179" i="32" s="1"/>
  <c r="B179" i="32" s="1"/>
  <c r="E179" i="32"/>
  <c r="F179" i="32" s="1"/>
  <c r="G179" i="32" s="1"/>
  <c r="H179" i="32" s="1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D179" i="32"/>
  <c r="M177" i="32"/>
  <c r="N177" i="32" s="1"/>
  <c r="O177" i="32" s="1"/>
  <c r="P177" i="32" s="1"/>
  <c r="Q177" i="32" s="1"/>
  <c r="R177" i="32" s="1"/>
  <c r="S177" i="32" s="1"/>
  <c r="T177" i="32" s="1"/>
  <c r="U177" i="32" s="1"/>
  <c r="V177" i="32" s="1"/>
  <c r="W177" i="32" s="1"/>
  <c r="X177" i="32" s="1"/>
  <c r="Y177" i="32" s="1"/>
  <c r="Z177" i="32" s="1"/>
  <c r="AA177" i="32" s="1"/>
  <c r="AB177" i="32" s="1"/>
  <c r="AC177" i="32" s="1"/>
  <c r="AD177" i="32" s="1"/>
  <c r="AE177" i="32" s="1"/>
  <c r="AF177" i="32" s="1"/>
  <c r="B177" i="32" s="1"/>
  <c r="K177" i="32"/>
  <c r="L177" i="32" s="1"/>
  <c r="F177" i="32"/>
  <c r="G177" i="32" s="1"/>
  <c r="H177" i="32" s="1"/>
  <c r="I177" i="32" s="1"/>
  <c r="J177" i="32" s="1"/>
  <c r="E177" i="32"/>
  <c r="D177" i="32"/>
  <c r="Y176" i="32"/>
  <c r="Z176" i="32" s="1"/>
  <c r="AA176" i="32" s="1"/>
  <c r="AB176" i="32" s="1"/>
  <c r="AC176" i="32" s="1"/>
  <c r="AD176" i="32" s="1"/>
  <c r="AE176" i="32" s="1"/>
  <c r="AF176" i="32" s="1"/>
  <c r="B176" i="32" s="1"/>
  <c r="E176" i="32"/>
  <c r="F176" i="32" s="1"/>
  <c r="G176" i="32" s="1"/>
  <c r="H176" i="32" s="1"/>
  <c r="I176" i="32" s="1"/>
  <c r="J176" i="32" s="1"/>
  <c r="K176" i="32" s="1"/>
  <c r="L176" i="32" s="1"/>
  <c r="M176" i="32" s="1"/>
  <c r="N176" i="32" s="1"/>
  <c r="O176" i="32" s="1"/>
  <c r="P176" i="32" s="1"/>
  <c r="Q176" i="32" s="1"/>
  <c r="R176" i="32" s="1"/>
  <c r="S176" i="32" s="1"/>
  <c r="T176" i="32" s="1"/>
  <c r="U176" i="32" s="1"/>
  <c r="V176" i="32" s="1"/>
  <c r="W176" i="32" s="1"/>
  <c r="X176" i="32" s="1"/>
  <c r="D176" i="32"/>
  <c r="D175" i="32"/>
  <c r="E175" i="32" s="1"/>
  <c r="F175" i="32" s="1"/>
  <c r="G175" i="32" s="1"/>
  <c r="H175" i="32" s="1"/>
  <c r="I175" i="32" s="1"/>
  <c r="J175" i="32" s="1"/>
  <c r="K175" i="32" s="1"/>
  <c r="L175" i="32" s="1"/>
  <c r="M175" i="32" s="1"/>
  <c r="N175" i="32" s="1"/>
  <c r="O175" i="32" s="1"/>
  <c r="P175" i="32" s="1"/>
  <c r="Q175" i="32" s="1"/>
  <c r="R175" i="32" s="1"/>
  <c r="S175" i="32" s="1"/>
  <c r="T175" i="32" s="1"/>
  <c r="U175" i="32" s="1"/>
  <c r="V175" i="32" s="1"/>
  <c r="W175" i="32" s="1"/>
  <c r="X175" i="32" s="1"/>
  <c r="Y175" i="32" s="1"/>
  <c r="Z175" i="32" s="1"/>
  <c r="AA175" i="32" s="1"/>
  <c r="AB175" i="32" s="1"/>
  <c r="AC175" i="32" s="1"/>
  <c r="AD175" i="32" s="1"/>
  <c r="AE175" i="32" s="1"/>
  <c r="AF175" i="32" s="1"/>
  <c r="B175" i="32" s="1"/>
  <c r="P174" i="32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B174" i="32" s="1"/>
  <c r="E174" i="32"/>
  <c r="F174" i="32" s="1"/>
  <c r="G174" i="32" s="1"/>
  <c r="H174" i="32" s="1"/>
  <c r="I174" i="32" s="1"/>
  <c r="J174" i="32" s="1"/>
  <c r="K174" i="32" s="1"/>
  <c r="L174" i="32" s="1"/>
  <c r="M174" i="32" s="1"/>
  <c r="N174" i="32" s="1"/>
  <c r="O174" i="32" s="1"/>
  <c r="D174" i="32"/>
  <c r="K173" i="32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B173" i="32" s="1"/>
  <c r="D173" i="32"/>
  <c r="E173" i="32" s="1"/>
  <c r="F173" i="32" s="1"/>
  <c r="G173" i="32" s="1"/>
  <c r="H173" i="32" s="1"/>
  <c r="I173" i="32" s="1"/>
  <c r="J173" i="32" s="1"/>
  <c r="D172" i="32"/>
  <c r="E172" i="32" s="1"/>
  <c r="F172" i="32" s="1"/>
  <c r="G172" i="32" s="1"/>
  <c r="H172" i="32" s="1"/>
  <c r="I172" i="32" s="1"/>
  <c r="J172" i="32" s="1"/>
  <c r="K172" i="32" s="1"/>
  <c r="L172" i="32" s="1"/>
  <c r="M172" i="32" s="1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B172" i="32" s="1"/>
  <c r="D171" i="32"/>
  <c r="E171" i="32" s="1"/>
  <c r="F171" i="32" s="1"/>
  <c r="G171" i="32" s="1"/>
  <c r="H171" i="32" s="1"/>
  <c r="I171" i="32" s="1"/>
  <c r="J171" i="32" s="1"/>
  <c r="K171" i="32" s="1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B171" i="32" s="1"/>
  <c r="E170" i="32"/>
  <c r="F170" i="32" s="1"/>
  <c r="G170" i="32" s="1"/>
  <c r="H170" i="32" s="1"/>
  <c r="I170" i="32" s="1"/>
  <c r="J170" i="32" s="1"/>
  <c r="K170" i="32" s="1"/>
  <c r="L170" i="32" s="1"/>
  <c r="M170" i="32" s="1"/>
  <c r="N170" i="32" s="1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B170" i="32" s="1"/>
  <c r="D170" i="32"/>
  <c r="D168" i="32"/>
  <c r="E168" i="32" s="1"/>
  <c r="F168" i="32" s="1"/>
  <c r="G168" i="32" s="1"/>
  <c r="H168" i="32" s="1"/>
  <c r="I168" i="32" s="1"/>
  <c r="J168" i="32" s="1"/>
  <c r="K168" i="32" s="1"/>
  <c r="L168" i="32" s="1"/>
  <c r="M168" i="32" s="1"/>
  <c r="N168" i="32" s="1"/>
  <c r="O168" i="32" s="1"/>
  <c r="P168" i="32" s="1"/>
  <c r="Q168" i="32" s="1"/>
  <c r="R168" i="32" s="1"/>
  <c r="S168" i="32" s="1"/>
  <c r="T168" i="32" s="1"/>
  <c r="U168" i="32" s="1"/>
  <c r="V168" i="32" s="1"/>
  <c r="W168" i="32" s="1"/>
  <c r="X168" i="32" s="1"/>
  <c r="Y168" i="32" s="1"/>
  <c r="Z168" i="32" s="1"/>
  <c r="AA168" i="32" s="1"/>
  <c r="AB168" i="32" s="1"/>
  <c r="AC168" i="32" s="1"/>
  <c r="AD168" i="32" s="1"/>
  <c r="AE168" i="32" s="1"/>
  <c r="AF168" i="32" s="1"/>
  <c r="B168" i="32" s="1"/>
  <c r="V167" i="32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B167" i="32" s="1"/>
  <c r="N167" i="32"/>
  <c r="O167" i="32" s="1"/>
  <c r="P167" i="32" s="1"/>
  <c r="Q167" i="32" s="1"/>
  <c r="R167" i="32" s="1"/>
  <c r="S167" i="32" s="1"/>
  <c r="T167" i="32" s="1"/>
  <c r="U167" i="32" s="1"/>
  <c r="F167" i="32"/>
  <c r="G167" i="32" s="1"/>
  <c r="H167" i="32" s="1"/>
  <c r="I167" i="32" s="1"/>
  <c r="J167" i="32" s="1"/>
  <c r="K167" i="32" s="1"/>
  <c r="L167" i="32" s="1"/>
  <c r="M167" i="32" s="1"/>
  <c r="E167" i="32"/>
  <c r="D167" i="32"/>
  <c r="F166" i="32"/>
  <c r="G166" i="32" s="1"/>
  <c r="H166" i="32" s="1"/>
  <c r="I166" i="32" s="1"/>
  <c r="J166" i="32" s="1"/>
  <c r="K166" i="32" s="1"/>
  <c r="L166" i="32" s="1"/>
  <c r="M166" i="32" s="1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B166" i="32" s="1"/>
  <c r="D166" i="32"/>
  <c r="E166" i="32" s="1"/>
  <c r="J165" i="32"/>
  <c r="K165" i="32" s="1"/>
  <c r="L165" i="32" s="1"/>
  <c r="M165" i="32" s="1"/>
  <c r="N165" i="32" s="1"/>
  <c r="O165" i="32" s="1"/>
  <c r="P165" i="32" s="1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B165" i="32" s="1"/>
  <c r="E165" i="32"/>
  <c r="F165" i="32" s="1"/>
  <c r="G165" i="32" s="1"/>
  <c r="H165" i="32" s="1"/>
  <c r="I165" i="32" s="1"/>
  <c r="D165" i="32"/>
  <c r="R164" i="32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B164" i="32" s="1"/>
  <c r="D164" i="32"/>
  <c r="E164" i="32" s="1"/>
  <c r="F164" i="32" s="1"/>
  <c r="G164" i="32" s="1"/>
  <c r="H164" i="32" s="1"/>
  <c r="I164" i="32" s="1"/>
  <c r="J164" i="32" s="1"/>
  <c r="K164" i="32" s="1"/>
  <c r="L164" i="32" s="1"/>
  <c r="M164" i="32" s="1"/>
  <c r="N164" i="32" s="1"/>
  <c r="O164" i="32" s="1"/>
  <c r="P164" i="32" s="1"/>
  <c r="Q164" i="32" s="1"/>
  <c r="P163" i="32"/>
  <c r="Q163" i="32" s="1"/>
  <c r="R163" i="32" s="1"/>
  <c r="S163" i="32" s="1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B163" i="32" s="1"/>
  <c r="H163" i="32"/>
  <c r="I163" i="32" s="1"/>
  <c r="J163" i="32" s="1"/>
  <c r="K163" i="32" s="1"/>
  <c r="L163" i="32" s="1"/>
  <c r="M163" i="32" s="1"/>
  <c r="N163" i="32" s="1"/>
  <c r="O163" i="32" s="1"/>
  <c r="F163" i="32"/>
  <c r="G163" i="32" s="1"/>
  <c r="E163" i="32"/>
  <c r="D163" i="32"/>
  <c r="G162" i="32"/>
  <c r="H162" i="32" s="1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B162" i="32" s="1"/>
  <c r="F162" i="32"/>
  <c r="E162" i="32"/>
  <c r="D162" i="32"/>
  <c r="Q161" i="32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B161" i="32" s="1"/>
  <c r="E161" i="32"/>
  <c r="F161" i="32" s="1"/>
  <c r="G161" i="32" s="1"/>
  <c r="H161" i="32" s="1"/>
  <c r="I161" i="32" s="1"/>
  <c r="J161" i="32" s="1"/>
  <c r="K161" i="32" s="1"/>
  <c r="L161" i="32" s="1"/>
  <c r="M161" i="32" s="1"/>
  <c r="N161" i="32" s="1"/>
  <c r="O161" i="32" s="1"/>
  <c r="P161" i="32" s="1"/>
  <c r="D161" i="32"/>
  <c r="O160" i="32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B160" i="32" s="1"/>
  <c r="G160" i="32"/>
  <c r="H160" i="32" s="1"/>
  <c r="I160" i="32" s="1"/>
  <c r="J160" i="32" s="1"/>
  <c r="K160" i="32" s="1"/>
  <c r="L160" i="32" s="1"/>
  <c r="M160" i="32" s="1"/>
  <c r="N160" i="32" s="1"/>
  <c r="D160" i="32"/>
  <c r="E160" i="32" s="1"/>
  <c r="F160" i="32" s="1"/>
  <c r="W159" i="32"/>
  <c r="X159" i="32" s="1"/>
  <c r="Y159" i="32" s="1"/>
  <c r="Z159" i="32" s="1"/>
  <c r="AA159" i="32" s="1"/>
  <c r="AB159" i="32" s="1"/>
  <c r="AC159" i="32" s="1"/>
  <c r="AD159" i="32" s="1"/>
  <c r="AE159" i="32" s="1"/>
  <c r="AF159" i="32" s="1"/>
  <c r="B159" i="32" s="1"/>
  <c r="M159" i="32"/>
  <c r="N159" i="32" s="1"/>
  <c r="O159" i="32" s="1"/>
  <c r="P159" i="32" s="1"/>
  <c r="Q159" i="32" s="1"/>
  <c r="R159" i="32" s="1"/>
  <c r="S159" i="32" s="1"/>
  <c r="T159" i="32" s="1"/>
  <c r="U159" i="32" s="1"/>
  <c r="V159" i="32" s="1"/>
  <c r="E159" i="32"/>
  <c r="F159" i="32" s="1"/>
  <c r="G159" i="32" s="1"/>
  <c r="H159" i="32" s="1"/>
  <c r="I159" i="32" s="1"/>
  <c r="J159" i="32" s="1"/>
  <c r="K159" i="32" s="1"/>
  <c r="L159" i="32" s="1"/>
  <c r="D159" i="32"/>
  <c r="D158" i="32"/>
  <c r="E158" i="32" s="1"/>
  <c r="F158" i="32" s="1"/>
  <c r="G158" i="32" s="1"/>
  <c r="H158" i="32" s="1"/>
  <c r="I158" i="32" s="1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B158" i="32" s="1"/>
  <c r="E157" i="32"/>
  <c r="F157" i="32" s="1"/>
  <c r="G157" i="32" s="1"/>
  <c r="H157" i="32" s="1"/>
  <c r="I157" i="32" s="1"/>
  <c r="J157" i="32" s="1"/>
  <c r="K157" i="32" s="1"/>
  <c r="L157" i="32" s="1"/>
  <c r="M157" i="32" s="1"/>
  <c r="N157" i="32" s="1"/>
  <c r="O157" i="32" s="1"/>
  <c r="P157" i="32" s="1"/>
  <c r="Q157" i="32" s="1"/>
  <c r="R157" i="32" s="1"/>
  <c r="S157" i="32" s="1"/>
  <c r="T157" i="32" s="1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B157" i="32" s="1"/>
  <c r="D157" i="32"/>
  <c r="F156" i="32"/>
  <c r="G156" i="32" s="1"/>
  <c r="H156" i="32" s="1"/>
  <c r="I156" i="32" s="1"/>
  <c r="J156" i="32" s="1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B156" i="32" s="1"/>
  <c r="D156" i="32"/>
  <c r="E156" i="32" s="1"/>
  <c r="D154" i="32"/>
  <c r="E154" i="32" s="1"/>
  <c r="F154" i="32" s="1"/>
  <c r="G154" i="32" s="1"/>
  <c r="H154" i="32" s="1"/>
  <c r="I154" i="32" s="1"/>
  <c r="J154" i="32" s="1"/>
  <c r="K154" i="32" s="1"/>
  <c r="L154" i="32" s="1"/>
  <c r="M154" i="32" s="1"/>
  <c r="N154" i="32" s="1"/>
  <c r="O154" i="32" s="1"/>
  <c r="P154" i="32" s="1"/>
  <c r="Q154" i="32" s="1"/>
  <c r="R154" i="32" s="1"/>
  <c r="S154" i="32" s="1"/>
  <c r="T154" i="32" s="1"/>
  <c r="U154" i="32" s="1"/>
  <c r="V154" i="32" s="1"/>
  <c r="W154" i="32" s="1"/>
  <c r="X154" i="32" s="1"/>
  <c r="Y154" i="32" s="1"/>
  <c r="Z154" i="32" s="1"/>
  <c r="AA154" i="32" s="1"/>
  <c r="AB154" i="32" s="1"/>
  <c r="AC154" i="32" s="1"/>
  <c r="AD154" i="32" s="1"/>
  <c r="AE154" i="32" s="1"/>
  <c r="AF154" i="32" s="1"/>
  <c r="B154" i="32" s="1"/>
  <c r="E153" i="32"/>
  <c r="F153" i="32" s="1"/>
  <c r="G153" i="32" s="1"/>
  <c r="H153" i="32" s="1"/>
  <c r="I153" i="32" s="1"/>
  <c r="J153" i="32" s="1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B153" i="32" s="1"/>
  <c r="D153" i="32"/>
  <c r="D152" i="32"/>
  <c r="E152" i="32" s="1"/>
  <c r="F152" i="32" s="1"/>
  <c r="G152" i="32" s="1"/>
  <c r="H152" i="32" s="1"/>
  <c r="I152" i="32" s="1"/>
  <c r="J152" i="32" s="1"/>
  <c r="K152" i="32" s="1"/>
  <c r="L152" i="32" s="1"/>
  <c r="M152" i="32" s="1"/>
  <c r="N152" i="32" s="1"/>
  <c r="O152" i="32" s="1"/>
  <c r="P152" i="32" s="1"/>
  <c r="Q152" i="32" s="1"/>
  <c r="R152" i="32" s="1"/>
  <c r="S152" i="32" s="1"/>
  <c r="T152" i="32" s="1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B152" i="32" s="1"/>
  <c r="D151" i="32"/>
  <c r="E151" i="32" s="1"/>
  <c r="F151" i="32" s="1"/>
  <c r="G151" i="32" s="1"/>
  <c r="H151" i="32" s="1"/>
  <c r="I151" i="32" s="1"/>
  <c r="J151" i="32" s="1"/>
  <c r="K151" i="32" s="1"/>
  <c r="L151" i="32" s="1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B151" i="32" s="1"/>
  <c r="AA149" i="32"/>
  <c r="AB149" i="32" s="1"/>
  <c r="AC149" i="32" s="1"/>
  <c r="AD149" i="32" s="1"/>
  <c r="AE149" i="32" s="1"/>
  <c r="AF149" i="32" s="1"/>
  <c r="B149" i="32" s="1"/>
  <c r="O149" i="32"/>
  <c r="P149" i="32" s="1"/>
  <c r="Q149" i="32" s="1"/>
  <c r="R149" i="32" s="1"/>
  <c r="S149" i="32" s="1"/>
  <c r="T149" i="32" s="1"/>
  <c r="U149" i="32" s="1"/>
  <c r="V149" i="32" s="1"/>
  <c r="W149" i="32" s="1"/>
  <c r="X149" i="32" s="1"/>
  <c r="Y149" i="32" s="1"/>
  <c r="Z149" i="32" s="1"/>
  <c r="D149" i="32"/>
  <c r="E149" i="32" s="1"/>
  <c r="F149" i="32" s="1"/>
  <c r="G149" i="32" s="1"/>
  <c r="H149" i="32" s="1"/>
  <c r="I149" i="32" s="1"/>
  <c r="J149" i="32" s="1"/>
  <c r="K149" i="32" s="1"/>
  <c r="L149" i="32" s="1"/>
  <c r="M149" i="32" s="1"/>
  <c r="N149" i="32" s="1"/>
  <c r="F148" i="32"/>
  <c r="G148" i="32" s="1"/>
  <c r="H148" i="32" s="1"/>
  <c r="I148" i="32" s="1"/>
  <c r="J148" i="32" s="1"/>
  <c r="K148" i="32" s="1"/>
  <c r="L148" i="32" s="1"/>
  <c r="M148" i="32" s="1"/>
  <c r="N148" i="32" s="1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B148" i="32" s="1"/>
  <c r="E148" i="32"/>
  <c r="D148" i="32"/>
  <c r="X146" i="32"/>
  <c r="Y146" i="32" s="1"/>
  <c r="Z146" i="32" s="1"/>
  <c r="AA146" i="32" s="1"/>
  <c r="AB146" i="32" s="1"/>
  <c r="AC146" i="32" s="1"/>
  <c r="AD146" i="32" s="1"/>
  <c r="AE146" i="32" s="1"/>
  <c r="AF146" i="32" s="1"/>
  <c r="B146" i="32" s="1"/>
  <c r="L146" i="32"/>
  <c r="M146" i="32" s="1"/>
  <c r="N146" i="32" s="1"/>
  <c r="O146" i="32" s="1"/>
  <c r="P146" i="32" s="1"/>
  <c r="Q146" i="32" s="1"/>
  <c r="R146" i="32" s="1"/>
  <c r="S146" i="32" s="1"/>
  <c r="T146" i="32" s="1"/>
  <c r="U146" i="32" s="1"/>
  <c r="V146" i="32" s="1"/>
  <c r="W146" i="32" s="1"/>
  <c r="F146" i="32"/>
  <c r="G146" i="32" s="1"/>
  <c r="H146" i="32" s="1"/>
  <c r="I146" i="32" s="1"/>
  <c r="J146" i="32" s="1"/>
  <c r="K146" i="32" s="1"/>
  <c r="D146" i="32"/>
  <c r="E146" i="32" s="1"/>
  <c r="D145" i="32"/>
  <c r="E145" i="32" s="1"/>
  <c r="F145" i="32" s="1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Q145" i="32" s="1"/>
  <c r="R145" i="32" s="1"/>
  <c r="S145" i="32" s="1"/>
  <c r="T145" i="32" s="1"/>
  <c r="U145" i="32" s="1"/>
  <c r="V145" i="32" s="1"/>
  <c r="W145" i="32" s="1"/>
  <c r="X145" i="32" s="1"/>
  <c r="Y145" i="32" s="1"/>
  <c r="Z145" i="32" s="1"/>
  <c r="AA145" i="32" s="1"/>
  <c r="AB145" i="32" s="1"/>
  <c r="AC145" i="32" s="1"/>
  <c r="AD145" i="32" s="1"/>
  <c r="AE145" i="32" s="1"/>
  <c r="AF145" i="32" s="1"/>
  <c r="B145" i="32" s="1"/>
  <c r="V144" i="32"/>
  <c r="W144" i="32" s="1"/>
  <c r="X144" i="32" s="1"/>
  <c r="Y144" i="32" s="1"/>
  <c r="Z144" i="32" s="1"/>
  <c r="AA144" i="32" s="1"/>
  <c r="AB144" i="32" s="1"/>
  <c r="AC144" i="32" s="1"/>
  <c r="AD144" i="32" s="1"/>
  <c r="AE144" i="32" s="1"/>
  <c r="AF144" i="32" s="1"/>
  <c r="B144" i="32" s="1"/>
  <c r="K144" i="32"/>
  <c r="L144" i="32" s="1"/>
  <c r="M144" i="32" s="1"/>
  <c r="N144" i="32" s="1"/>
  <c r="O144" i="32" s="1"/>
  <c r="P144" i="32" s="1"/>
  <c r="Q144" i="32" s="1"/>
  <c r="R144" i="32" s="1"/>
  <c r="S144" i="32" s="1"/>
  <c r="T144" i="32" s="1"/>
  <c r="U144" i="32" s="1"/>
  <c r="F144" i="32"/>
  <c r="G144" i="32" s="1"/>
  <c r="H144" i="32" s="1"/>
  <c r="I144" i="32" s="1"/>
  <c r="J144" i="32" s="1"/>
  <c r="D144" i="32"/>
  <c r="E144" i="32" s="1"/>
  <c r="D143" i="32"/>
  <c r="E143" i="32" s="1"/>
  <c r="F143" i="32" s="1"/>
  <c r="G143" i="32" s="1"/>
  <c r="H143" i="32" s="1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B143" i="32" s="1"/>
  <c r="AB142" i="32"/>
  <c r="AC142" i="32" s="1"/>
  <c r="AD142" i="32" s="1"/>
  <c r="AE142" i="32" s="1"/>
  <c r="AF142" i="32" s="1"/>
  <c r="B142" i="32" s="1"/>
  <c r="W142" i="32"/>
  <c r="X142" i="32" s="1"/>
  <c r="Y142" i="32" s="1"/>
  <c r="Z142" i="32" s="1"/>
  <c r="AA142" i="32" s="1"/>
  <c r="R142" i="32"/>
  <c r="S142" i="32" s="1"/>
  <c r="T142" i="32" s="1"/>
  <c r="U142" i="32" s="1"/>
  <c r="V142" i="32" s="1"/>
  <c r="L142" i="32"/>
  <c r="M142" i="32" s="1"/>
  <c r="N142" i="32" s="1"/>
  <c r="O142" i="32" s="1"/>
  <c r="P142" i="32" s="1"/>
  <c r="Q142" i="32" s="1"/>
  <c r="G142" i="32"/>
  <c r="H142" i="32" s="1"/>
  <c r="I142" i="32" s="1"/>
  <c r="J142" i="32" s="1"/>
  <c r="K142" i="32" s="1"/>
  <c r="F142" i="32"/>
  <c r="D142" i="32"/>
  <c r="E142" i="32" s="1"/>
  <c r="E141" i="32"/>
  <c r="F141" i="32" s="1"/>
  <c r="G141" i="32" s="1"/>
  <c r="H141" i="32" s="1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B141" i="32" s="1"/>
  <c r="D141" i="32"/>
  <c r="D140" i="32"/>
  <c r="E140" i="32" s="1"/>
  <c r="F140" i="32" s="1"/>
  <c r="G140" i="32" s="1"/>
  <c r="H140" i="32" s="1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B140" i="32" s="1"/>
  <c r="AB138" i="32"/>
  <c r="AC138" i="32" s="1"/>
  <c r="AD138" i="32" s="1"/>
  <c r="AE138" i="32" s="1"/>
  <c r="AF138" i="32" s="1"/>
  <c r="B138" i="32" s="1"/>
  <c r="D138" i="32"/>
  <c r="E138" i="32" s="1"/>
  <c r="F138" i="32" s="1"/>
  <c r="G138" i="32" s="1"/>
  <c r="H138" i="32" s="1"/>
  <c r="I138" i="32" s="1"/>
  <c r="J138" i="32" s="1"/>
  <c r="K138" i="32" s="1"/>
  <c r="L138" i="32" s="1"/>
  <c r="M138" i="32" s="1"/>
  <c r="N138" i="32" s="1"/>
  <c r="O138" i="32" s="1"/>
  <c r="P138" i="32" s="1"/>
  <c r="Q138" i="32" s="1"/>
  <c r="R138" i="32" s="1"/>
  <c r="S138" i="32" s="1"/>
  <c r="T138" i="32" s="1"/>
  <c r="U138" i="32" s="1"/>
  <c r="V138" i="32" s="1"/>
  <c r="W138" i="32" s="1"/>
  <c r="X138" i="32" s="1"/>
  <c r="Y138" i="32" s="1"/>
  <c r="Z138" i="32" s="1"/>
  <c r="AA138" i="32" s="1"/>
  <c r="J137" i="32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B137" i="32" s="1"/>
  <c r="D137" i="32"/>
  <c r="E137" i="32" s="1"/>
  <c r="F137" i="32" s="1"/>
  <c r="G137" i="32" s="1"/>
  <c r="H137" i="32" s="1"/>
  <c r="I137" i="32" s="1"/>
  <c r="K136" i="32"/>
  <c r="L136" i="32" s="1"/>
  <c r="M136" i="32" s="1"/>
  <c r="N136" i="32" s="1"/>
  <c r="O136" i="32" s="1"/>
  <c r="P136" i="32" s="1"/>
  <c r="Q136" i="32" s="1"/>
  <c r="R136" i="32" s="1"/>
  <c r="S136" i="32" s="1"/>
  <c r="T136" i="32" s="1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B136" i="32" s="1"/>
  <c r="G136" i="32"/>
  <c r="H136" i="32" s="1"/>
  <c r="I136" i="32" s="1"/>
  <c r="J136" i="32" s="1"/>
  <c r="D136" i="32"/>
  <c r="E136" i="32" s="1"/>
  <c r="F136" i="32" s="1"/>
  <c r="E135" i="32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B135" i="32" s="1"/>
  <c r="D135" i="32"/>
  <c r="G134" i="32"/>
  <c r="H134" i="32" s="1"/>
  <c r="I134" i="32" s="1"/>
  <c r="J134" i="32" s="1"/>
  <c r="K134" i="32" s="1"/>
  <c r="L134" i="32" s="1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B134" i="32" s="1"/>
  <c r="F134" i="32"/>
  <c r="E134" i="32"/>
  <c r="D134" i="32"/>
  <c r="E133" i="32"/>
  <c r="F133" i="32" s="1"/>
  <c r="G133" i="32" s="1"/>
  <c r="H133" i="32" s="1"/>
  <c r="I133" i="32" s="1"/>
  <c r="J133" i="32" s="1"/>
  <c r="K133" i="32" s="1"/>
  <c r="L133" i="32" s="1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B133" i="32" s="1"/>
  <c r="D133" i="32"/>
  <c r="O132" i="32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B132" i="32" s="1"/>
  <c r="N132" i="32"/>
  <c r="D132" i="32"/>
  <c r="E132" i="32" s="1"/>
  <c r="F132" i="32" s="1"/>
  <c r="G132" i="32" s="1"/>
  <c r="H132" i="32" s="1"/>
  <c r="I132" i="32" s="1"/>
  <c r="J132" i="32" s="1"/>
  <c r="K132" i="32" s="1"/>
  <c r="L132" i="32" s="1"/>
  <c r="M132" i="32" s="1"/>
  <c r="E131" i="32"/>
  <c r="F131" i="32" s="1"/>
  <c r="G131" i="32" s="1"/>
  <c r="H131" i="32" s="1"/>
  <c r="I131" i="32" s="1"/>
  <c r="J131" i="32" s="1"/>
  <c r="K131" i="32" s="1"/>
  <c r="L131" i="32" s="1"/>
  <c r="M131" i="32" s="1"/>
  <c r="N131" i="32" s="1"/>
  <c r="O131" i="32" s="1"/>
  <c r="P131" i="32" s="1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B131" i="32" s="1"/>
  <c r="D131" i="32"/>
  <c r="J129" i="32"/>
  <c r="K129" i="32" s="1"/>
  <c r="L129" i="32" s="1"/>
  <c r="M129" i="32" s="1"/>
  <c r="N129" i="32" s="1"/>
  <c r="O129" i="32" s="1"/>
  <c r="P129" i="32" s="1"/>
  <c r="Q129" i="32" s="1"/>
  <c r="R129" i="32" s="1"/>
  <c r="S129" i="32" s="1"/>
  <c r="T129" i="32" s="1"/>
  <c r="U129" i="32" s="1"/>
  <c r="V129" i="32" s="1"/>
  <c r="W129" i="32" s="1"/>
  <c r="X129" i="32" s="1"/>
  <c r="Y129" i="32" s="1"/>
  <c r="Z129" i="32" s="1"/>
  <c r="AA129" i="32" s="1"/>
  <c r="AB129" i="32" s="1"/>
  <c r="AC129" i="32" s="1"/>
  <c r="AD129" i="32" s="1"/>
  <c r="AE129" i="32" s="1"/>
  <c r="AF129" i="32" s="1"/>
  <c r="B129" i="32" s="1"/>
  <c r="G129" i="32"/>
  <c r="H129" i="32" s="1"/>
  <c r="I129" i="32" s="1"/>
  <c r="E129" i="32"/>
  <c r="F129" i="32" s="1"/>
  <c r="D129" i="32"/>
  <c r="G128" i="32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B128" i="32" s="1"/>
  <c r="F128" i="32"/>
  <c r="E128" i="32"/>
  <c r="D128" i="32"/>
  <c r="D127" i="32"/>
  <c r="E127" i="32" s="1"/>
  <c r="F127" i="32" s="1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B127" i="32" s="1"/>
  <c r="Q126" i="32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B126" i="32" s="1"/>
  <c r="D126" i="32"/>
  <c r="E126" i="32" s="1"/>
  <c r="F126" i="32" s="1"/>
  <c r="G126" i="32" s="1"/>
  <c r="H126" i="32" s="1"/>
  <c r="I126" i="32" s="1"/>
  <c r="J126" i="32" s="1"/>
  <c r="K126" i="32" s="1"/>
  <c r="L126" i="32" s="1"/>
  <c r="M126" i="32" s="1"/>
  <c r="N126" i="32" s="1"/>
  <c r="O126" i="32" s="1"/>
  <c r="P126" i="32" s="1"/>
  <c r="S125" i="32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B125" i="32" s="1"/>
  <c r="J125" i="32"/>
  <c r="K125" i="32" s="1"/>
  <c r="L125" i="32" s="1"/>
  <c r="M125" i="32" s="1"/>
  <c r="N125" i="32" s="1"/>
  <c r="O125" i="32" s="1"/>
  <c r="P125" i="32" s="1"/>
  <c r="Q125" i="32" s="1"/>
  <c r="R125" i="32" s="1"/>
  <c r="G125" i="32"/>
  <c r="H125" i="32" s="1"/>
  <c r="F125" i="32"/>
  <c r="D125" i="32"/>
  <c r="E125" i="32" s="1"/>
  <c r="N124" i="32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B124" i="32" s="1"/>
  <c r="M124" i="32"/>
  <c r="D124" i="32"/>
  <c r="E124" i="32" s="1"/>
  <c r="F124" i="32" s="1"/>
  <c r="G124" i="32" s="1"/>
  <c r="H124" i="32" s="1"/>
  <c r="I124" i="32" s="1"/>
  <c r="J124" i="32" s="1"/>
  <c r="K124" i="32" s="1"/>
  <c r="L124" i="32" s="1"/>
  <c r="J123" i="32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B123" i="32" s="1"/>
  <c r="E123" i="32"/>
  <c r="F123" i="32" s="1"/>
  <c r="G123" i="32" s="1"/>
  <c r="H123" i="32" s="1"/>
  <c r="I123" i="32" s="1"/>
  <c r="D123" i="32"/>
  <c r="H122" i="32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B122" i="32" s="1"/>
  <c r="F122" i="32"/>
  <c r="G122" i="32" s="1"/>
  <c r="D122" i="32"/>
  <c r="E122" i="32" s="1"/>
  <c r="I121" i="32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B121" i="32" s="1"/>
  <c r="D121" i="32"/>
  <c r="E121" i="32" s="1"/>
  <c r="F121" i="32" s="1"/>
  <c r="G121" i="32" s="1"/>
  <c r="H121" i="32" s="1"/>
  <c r="H120" i="32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B120" i="32" s="1"/>
  <c r="G120" i="32"/>
  <c r="D120" i="32"/>
  <c r="E120" i="32" s="1"/>
  <c r="F120" i="32" s="1"/>
  <c r="M119" i="32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B119" i="32" s="1"/>
  <c r="F119" i="32"/>
  <c r="G119" i="32" s="1"/>
  <c r="H119" i="32" s="1"/>
  <c r="I119" i="32" s="1"/>
  <c r="J119" i="32" s="1"/>
  <c r="K119" i="32" s="1"/>
  <c r="L119" i="32" s="1"/>
  <c r="E119" i="32"/>
  <c r="D119" i="32"/>
  <c r="L118" i="32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B118" i="32" s="1"/>
  <c r="K118" i="32"/>
  <c r="D118" i="32"/>
  <c r="E118" i="32" s="1"/>
  <c r="F118" i="32" s="1"/>
  <c r="G118" i="32" s="1"/>
  <c r="H118" i="32" s="1"/>
  <c r="I118" i="32" s="1"/>
  <c r="J118" i="32" s="1"/>
  <c r="D117" i="32"/>
  <c r="E117" i="32" s="1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B117" i="32" s="1"/>
  <c r="D116" i="32"/>
  <c r="E116" i="32" s="1"/>
  <c r="F116" i="32" s="1"/>
  <c r="G116" i="32" s="1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B116" i="32" s="1"/>
  <c r="E115" i="32"/>
  <c r="F115" i="32" s="1"/>
  <c r="D115" i="32"/>
  <c r="M114" i="32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B114" i="32" s="1"/>
  <c r="L114" i="32"/>
  <c r="K114" i="32"/>
  <c r="D114" i="32"/>
  <c r="E114" i="32" s="1"/>
  <c r="F114" i="32" s="1"/>
  <c r="G114" i="32" s="1"/>
  <c r="H114" i="32" s="1"/>
  <c r="I114" i="32" s="1"/>
  <c r="D113" i="32"/>
  <c r="E113" i="32" s="1"/>
  <c r="F113" i="32" s="1"/>
  <c r="G113" i="32" s="1"/>
  <c r="H113" i="32" s="1"/>
  <c r="I113" i="32" s="1"/>
  <c r="J113" i="32" s="1"/>
  <c r="K113" i="32" s="1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B113" i="32" s="1"/>
  <c r="D112" i="32"/>
  <c r="E112" i="32" s="1"/>
  <c r="F112" i="32" s="1"/>
  <c r="G112" i="32" s="1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B112" i="32" s="1"/>
  <c r="D110" i="32"/>
  <c r="E110" i="32" s="1"/>
  <c r="F110" i="32" s="1"/>
  <c r="G110" i="32" s="1"/>
  <c r="H110" i="32" s="1"/>
  <c r="I110" i="32" s="1"/>
  <c r="J110" i="32" s="1"/>
  <c r="K110" i="32" s="1"/>
  <c r="L110" i="32" s="1"/>
  <c r="M110" i="32" s="1"/>
  <c r="N110" i="32" s="1"/>
  <c r="O110" i="32" s="1"/>
  <c r="P110" i="32" s="1"/>
  <c r="Q110" i="32" s="1"/>
  <c r="R110" i="32" s="1"/>
  <c r="S110" i="32" s="1"/>
  <c r="T110" i="32" s="1"/>
  <c r="U110" i="32" s="1"/>
  <c r="V110" i="32" s="1"/>
  <c r="W110" i="32" s="1"/>
  <c r="X110" i="32" s="1"/>
  <c r="Y110" i="32" s="1"/>
  <c r="Z110" i="32" s="1"/>
  <c r="AA110" i="32" s="1"/>
  <c r="AB110" i="32" s="1"/>
  <c r="AC110" i="32" s="1"/>
  <c r="AD110" i="32" s="1"/>
  <c r="AE110" i="32" s="1"/>
  <c r="AF110" i="32" s="1"/>
  <c r="B110" i="32" s="1"/>
  <c r="K109" i="32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B109" i="32" s="1"/>
  <c r="J109" i="32"/>
  <c r="D109" i="32"/>
  <c r="E109" i="32" s="1"/>
  <c r="F109" i="32" s="1"/>
  <c r="G109" i="32" s="1"/>
  <c r="H109" i="32" s="1"/>
  <c r="I109" i="32" s="1"/>
  <c r="I107" i="32"/>
  <c r="J107" i="32" s="1"/>
  <c r="K107" i="32" s="1"/>
  <c r="L107" i="32" s="1"/>
  <c r="M107" i="32" s="1"/>
  <c r="N107" i="32" s="1"/>
  <c r="O107" i="32" s="1"/>
  <c r="P107" i="32" s="1"/>
  <c r="Q107" i="32" s="1"/>
  <c r="R107" i="32" s="1"/>
  <c r="S107" i="32" s="1"/>
  <c r="T107" i="32" s="1"/>
  <c r="U107" i="32" s="1"/>
  <c r="V107" i="32" s="1"/>
  <c r="W107" i="32" s="1"/>
  <c r="X107" i="32" s="1"/>
  <c r="Y107" i="32" s="1"/>
  <c r="Z107" i="32" s="1"/>
  <c r="AA107" i="32" s="1"/>
  <c r="AB107" i="32" s="1"/>
  <c r="AC107" i="32" s="1"/>
  <c r="AD107" i="32" s="1"/>
  <c r="AE107" i="32" s="1"/>
  <c r="AF107" i="32" s="1"/>
  <c r="B107" i="32" s="1"/>
  <c r="H107" i="32"/>
  <c r="D107" i="32"/>
  <c r="E107" i="32" s="1"/>
  <c r="F107" i="32" s="1"/>
  <c r="G107" i="32" s="1"/>
  <c r="F106" i="32"/>
  <c r="G106" i="32" s="1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B106" i="32" s="1"/>
  <c r="D106" i="32"/>
  <c r="E106" i="32" s="1"/>
  <c r="E105" i="32"/>
  <c r="F105" i="32" s="1"/>
  <c r="G105" i="32" s="1"/>
  <c r="H105" i="32" s="1"/>
  <c r="I105" i="32" s="1"/>
  <c r="J105" i="32" s="1"/>
  <c r="K105" i="32" s="1"/>
  <c r="L105" i="32" s="1"/>
  <c r="M105" i="32" s="1"/>
  <c r="N105" i="32" s="1"/>
  <c r="O105" i="32" s="1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B105" i="32" s="1"/>
  <c r="D105" i="32"/>
  <c r="D104" i="32"/>
  <c r="E104" i="32" s="1"/>
  <c r="F104" i="32" s="1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B104" i="32" s="1"/>
  <c r="I103" i="32"/>
  <c r="J103" i="32" s="1"/>
  <c r="H103" i="32"/>
  <c r="D103" i="32"/>
  <c r="E103" i="32" s="1"/>
  <c r="F103" i="32" s="1"/>
  <c r="G103" i="32" s="1"/>
  <c r="D102" i="32"/>
  <c r="E102" i="32" s="1"/>
  <c r="AH100" i="32"/>
  <c r="AI100" i="32" s="1"/>
  <c r="AH99" i="32"/>
  <c r="AI99" i="32" s="1"/>
  <c r="AH98" i="32"/>
  <c r="AI98" i="32" s="1"/>
  <c r="AH97" i="32"/>
  <c r="AI97" i="32" s="1"/>
  <c r="AH96" i="32"/>
  <c r="AI96" i="32" s="1"/>
  <c r="AH95" i="32"/>
  <c r="AI95" i="32" s="1"/>
  <c r="AH94" i="32"/>
  <c r="AI94" i="32" s="1"/>
  <c r="D93" i="32"/>
  <c r="C93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G82" i="32"/>
  <c r="M82" i="32"/>
  <c r="AI81" i="32"/>
  <c r="AH81" i="32"/>
  <c r="AF80" i="32"/>
  <c r="AE80" i="32"/>
  <c r="AD80" i="32"/>
  <c r="AC80" i="32"/>
  <c r="AB80" i="32"/>
  <c r="AA80" i="32"/>
  <c r="Z80" i="32"/>
  <c r="Y80" i="32"/>
  <c r="X80" i="32"/>
  <c r="W80" i="32"/>
  <c r="V80" i="32"/>
  <c r="U80" i="32"/>
  <c r="T80" i="32"/>
  <c r="S80" i="32"/>
  <c r="R80" i="32"/>
  <c r="Q80" i="32"/>
  <c r="P80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C80" i="32"/>
  <c r="B80" i="32"/>
  <c r="AF79" i="32"/>
  <c r="AE79" i="32"/>
  <c r="AD79" i="32"/>
  <c r="AC79" i="32"/>
  <c r="AB79" i="32"/>
  <c r="AA79" i="32"/>
  <c r="Z79" i="32"/>
  <c r="Y79" i="32"/>
  <c r="X79" i="32"/>
  <c r="W79" i="32"/>
  <c r="V79" i="32"/>
  <c r="U79" i="32"/>
  <c r="T79" i="32"/>
  <c r="S79" i="32"/>
  <c r="R79" i="32"/>
  <c r="Q79" i="32"/>
  <c r="P79" i="32"/>
  <c r="O79" i="32"/>
  <c r="N79" i="32"/>
  <c r="M79" i="32"/>
  <c r="L79" i="32"/>
  <c r="K79" i="32"/>
  <c r="J79" i="32"/>
  <c r="I79" i="32"/>
  <c r="H79" i="32"/>
  <c r="G79" i="32"/>
  <c r="F79" i="32"/>
  <c r="E79" i="32"/>
  <c r="D79" i="32"/>
  <c r="C79" i="32"/>
  <c r="B79" i="32"/>
  <c r="AF78" i="32"/>
  <c r="AE78" i="32"/>
  <c r="AD78" i="32"/>
  <c r="AC78" i="32"/>
  <c r="AB78" i="32"/>
  <c r="AA78" i="32"/>
  <c r="Z78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N82" i="32" s="1"/>
  <c r="M78" i="32"/>
  <c r="L78" i="32"/>
  <c r="K78" i="32"/>
  <c r="J78" i="32"/>
  <c r="I78" i="32"/>
  <c r="H78" i="32"/>
  <c r="G78" i="32"/>
  <c r="F78" i="32"/>
  <c r="F82" i="32" s="1"/>
  <c r="E78" i="32"/>
  <c r="D78" i="32"/>
  <c r="C78" i="32"/>
  <c r="B78" i="32"/>
  <c r="AF77" i="32"/>
  <c r="AE77" i="32"/>
  <c r="AD77" i="32"/>
  <c r="AC77" i="32"/>
  <c r="AB77" i="32"/>
  <c r="AA77" i="32"/>
  <c r="Z77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AF76" i="32"/>
  <c r="AF82" i="32" s="1"/>
  <c r="AE76" i="32"/>
  <c r="AE82" i="32" s="1"/>
  <c r="AD76" i="32"/>
  <c r="AC76" i="32"/>
  <c r="AB76" i="32"/>
  <c r="AA76" i="32"/>
  <c r="Z76" i="32"/>
  <c r="Y76" i="32"/>
  <c r="X76" i="32"/>
  <c r="W76" i="32"/>
  <c r="V76" i="32"/>
  <c r="U76" i="32"/>
  <c r="T76" i="32"/>
  <c r="T82" i="32" s="1"/>
  <c r="S76" i="32"/>
  <c r="R76" i="32"/>
  <c r="R82" i="32" s="1"/>
  <c r="Q76" i="32"/>
  <c r="P76" i="32"/>
  <c r="O76" i="32"/>
  <c r="N76" i="32"/>
  <c r="M76" i="32"/>
  <c r="L76" i="32"/>
  <c r="L82" i="32" s="1"/>
  <c r="K76" i="32"/>
  <c r="J76" i="32"/>
  <c r="I76" i="32"/>
  <c r="H76" i="32"/>
  <c r="G76" i="32"/>
  <c r="F76" i="32"/>
  <c r="E76" i="32"/>
  <c r="D76" i="32"/>
  <c r="C76" i="32"/>
  <c r="B76" i="32"/>
  <c r="AI74" i="32"/>
  <c r="AH74" i="32"/>
  <c r="AI72" i="32"/>
  <c r="AH72" i="32"/>
  <c r="AG72" i="32"/>
  <c r="AI71" i="32"/>
  <c r="AH71" i="32"/>
  <c r="AI70" i="32"/>
  <c r="AH70" i="32"/>
  <c r="AI69" i="32"/>
  <c r="AH69" i="32"/>
  <c r="AG68" i="32"/>
  <c r="AG75" i="32" s="1"/>
  <c r="AF68" i="32"/>
  <c r="AE5" i="32" s="1"/>
  <c r="AE68" i="32"/>
  <c r="AD5" i="32" s="1"/>
  <c r="AD68" i="32"/>
  <c r="AC5" i="32" s="1"/>
  <c r="AC68" i="32"/>
  <c r="AB5" i="32" s="1"/>
  <c r="AB68" i="32"/>
  <c r="AA5" i="32" s="1"/>
  <c r="AA68" i="32"/>
  <c r="Z5" i="32" s="1"/>
  <c r="Z68" i="32"/>
  <c r="Y68" i="32"/>
  <c r="X68" i="32"/>
  <c r="W5" i="32" s="1"/>
  <c r="W68" i="32"/>
  <c r="V5" i="32" s="1"/>
  <c r="V68" i="32"/>
  <c r="U5" i="32" s="1"/>
  <c r="U68" i="32"/>
  <c r="T5" i="32" s="1"/>
  <c r="T68" i="32"/>
  <c r="S5" i="32" s="1"/>
  <c r="S68" i="32"/>
  <c r="R5" i="32" s="1"/>
  <c r="R68" i="32"/>
  <c r="R83" i="32" s="1"/>
  <c r="Q68" i="32"/>
  <c r="P68" i="32"/>
  <c r="O5" i="32" s="1"/>
  <c r="O68" i="32"/>
  <c r="N5" i="32" s="1"/>
  <c r="N68" i="32"/>
  <c r="M5" i="32" s="1"/>
  <c r="M68" i="32"/>
  <c r="L5" i="32" s="1"/>
  <c r="L68" i="32"/>
  <c r="K5" i="32" s="1"/>
  <c r="K68" i="32"/>
  <c r="J5" i="32" s="1"/>
  <c r="J68" i="32"/>
  <c r="I68" i="32"/>
  <c r="H68" i="32"/>
  <c r="G5" i="32" s="1"/>
  <c r="G68" i="32"/>
  <c r="F5" i="32" s="1"/>
  <c r="F68" i="32"/>
  <c r="E5" i="32" s="1"/>
  <c r="E68" i="32"/>
  <c r="D5" i="32" s="1"/>
  <c r="D68" i="32"/>
  <c r="C5" i="32" s="1"/>
  <c r="C68" i="32"/>
  <c r="B5" i="32" s="1"/>
  <c r="B68" i="32"/>
  <c r="AI67" i="32"/>
  <c r="AH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AI55" i="32"/>
  <c r="AH55" i="32"/>
  <c r="AI54" i="32"/>
  <c r="AH54" i="32"/>
  <c r="AI53" i="32"/>
  <c r="AH53" i="32"/>
  <c r="AG52" i="32"/>
  <c r="AG3" i="32" s="1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AI51" i="32"/>
  <c r="AH51" i="32"/>
  <c r="AG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G38" i="32"/>
  <c r="AG2" i="32" s="1"/>
  <c r="AG6" i="32" s="1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G4" i="32"/>
  <c r="K4" i="32"/>
  <c r="B4" i="32"/>
  <c r="AE37" i="31"/>
  <c r="AD37" i="31"/>
  <c r="AC37" i="31"/>
  <c r="AB37" i="31"/>
  <c r="AA95" i="31"/>
  <c r="AA37" i="31"/>
  <c r="Z95" i="31"/>
  <c r="Z37" i="31"/>
  <c r="Y95" i="31"/>
  <c r="X95" i="31"/>
  <c r="X84" i="31"/>
  <c r="Y37" i="31"/>
  <c r="X37" i="31"/>
  <c r="W95" i="31"/>
  <c r="W84" i="31"/>
  <c r="W37" i="31"/>
  <c r="V95" i="31"/>
  <c r="V83" i="31"/>
  <c r="V37" i="31"/>
  <c r="U95" i="31"/>
  <c r="U37" i="31"/>
  <c r="T37" i="31"/>
  <c r="S37" i="31"/>
  <c r="R37" i="31"/>
  <c r="Q37" i="31"/>
  <c r="P37" i="31"/>
  <c r="N37" i="31"/>
  <c r="M37" i="31"/>
  <c r="D37" i="31"/>
  <c r="C37" i="31"/>
  <c r="B37" i="31"/>
  <c r="AF239" i="31"/>
  <c r="AE239" i="31"/>
  <c r="AD239" i="31"/>
  <c r="AC239" i="31"/>
  <c r="AB239" i="31"/>
  <c r="AA239" i="31"/>
  <c r="Z239" i="31"/>
  <c r="Y239" i="31"/>
  <c r="X239" i="31"/>
  <c r="W239" i="31"/>
  <c r="V239" i="31"/>
  <c r="U239" i="31"/>
  <c r="T239" i="31"/>
  <c r="S239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C239" i="31"/>
  <c r="B239" i="31"/>
  <c r="A239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238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C235" i="31"/>
  <c r="B235" i="31"/>
  <c r="S210" i="31"/>
  <c r="AG200" i="31"/>
  <c r="C200" i="31"/>
  <c r="E199" i="31"/>
  <c r="D235" i="31" s="1"/>
  <c r="D199" i="31"/>
  <c r="I198" i="31"/>
  <c r="J198" i="31" s="1"/>
  <c r="K198" i="31" s="1"/>
  <c r="L198" i="31" s="1"/>
  <c r="M198" i="31" s="1"/>
  <c r="N198" i="31" s="1"/>
  <c r="O198" i="31" s="1"/>
  <c r="P198" i="31" s="1"/>
  <c r="Q198" i="31" s="1"/>
  <c r="R198" i="31" s="1"/>
  <c r="S198" i="31" s="1"/>
  <c r="T198" i="31" s="1"/>
  <c r="U198" i="31" s="1"/>
  <c r="V198" i="31" s="1"/>
  <c r="W198" i="31" s="1"/>
  <c r="X198" i="31" s="1"/>
  <c r="Y198" i="31" s="1"/>
  <c r="Z198" i="31" s="1"/>
  <c r="AA198" i="31" s="1"/>
  <c r="AB198" i="31" s="1"/>
  <c r="AC198" i="31" s="1"/>
  <c r="AD198" i="31" s="1"/>
  <c r="AE198" i="31" s="1"/>
  <c r="AF198" i="31" s="1"/>
  <c r="B198" i="31" s="1"/>
  <c r="D198" i="31"/>
  <c r="E198" i="31" s="1"/>
  <c r="F198" i="31" s="1"/>
  <c r="G198" i="31" s="1"/>
  <c r="H198" i="31" s="1"/>
  <c r="D197" i="31"/>
  <c r="E197" i="31" s="1"/>
  <c r="F197" i="31" s="1"/>
  <c r="G197" i="31" s="1"/>
  <c r="H197" i="31" s="1"/>
  <c r="I197" i="31" s="1"/>
  <c r="J197" i="31" s="1"/>
  <c r="K197" i="31" s="1"/>
  <c r="L197" i="31" s="1"/>
  <c r="M197" i="31" s="1"/>
  <c r="N197" i="31" s="1"/>
  <c r="O197" i="31" s="1"/>
  <c r="P197" i="31" s="1"/>
  <c r="Q197" i="31" s="1"/>
  <c r="R197" i="31" s="1"/>
  <c r="S197" i="31" s="1"/>
  <c r="T197" i="31" s="1"/>
  <c r="U197" i="31" s="1"/>
  <c r="V197" i="31" s="1"/>
  <c r="W197" i="31" s="1"/>
  <c r="X197" i="31" s="1"/>
  <c r="Y197" i="31" s="1"/>
  <c r="Z197" i="31" s="1"/>
  <c r="AA197" i="31" s="1"/>
  <c r="AB197" i="31" s="1"/>
  <c r="AC197" i="31" s="1"/>
  <c r="AD197" i="31" s="1"/>
  <c r="AE197" i="31" s="1"/>
  <c r="AF197" i="31" s="1"/>
  <c r="B197" i="31" s="1"/>
  <c r="E196" i="31"/>
  <c r="F196" i="31" s="1"/>
  <c r="G196" i="31" s="1"/>
  <c r="H196" i="31" s="1"/>
  <c r="I196" i="31" s="1"/>
  <c r="J196" i="31" s="1"/>
  <c r="K196" i="31" s="1"/>
  <c r="L196" i="31" s="1"/>
  <c r="M196" i="31" s="1"/>
  <c r="N196" i="31" s="1"/>
  <c r="O196" i="31" s="1"/>
  <c r="P196" i="31" s="1"/>
  <c r="Q196" i="31" s="1"/>
  <c r="R196" i="31" s="1"/>
  <c r="S196" i="31" s="1"/>
  <c r="T196" i="31" s="1"/>
  <c r="U196" i="31" s="1"/>
  <c r="V196" i="31" s="1"/>
  <c r="W196" i="31" s="1"/>
  <c r="X196" i="31" s="1"/>
  <c r="Y196" i="31" s="1"/>
  <c r="Z196" i="31" s="1"/>
  <c r="AA196" i="31" s="1"/>
  <c r="AB196" i="31" s="1"/>
  <c r="AC196" i="31" s="1"/>
  <c r="AD196" i="31" s="1"/>
  <c r="AE196" i="31" s="1"/>
  <c r="AF196" i="31" s="1"/>
  <c r="B196" i="31" s="1"/>
  <c r="D196" i="31"/>
  <c r="E195" i="31"/>
  <c r="F195" i="31" s="1"/>
  <c r="G195" i="31" s="1"/>
  <c r="H195" i="31" s="1"/>
  <c r="I195" i="31" s="1"/>
  <c r="J195" i="31" s="1"/>
  <c r="K195" i="31" s="1"/>
  <c r="L195" i="31" s="1"/>
  <c r="M195" i="31" s="1"/>
  <c r="N195" i="31" s="1"/>
  <c r="O195" i="31" s="1"/>
  <c r="P195" i="31" s="1"/>
  <c r="Q195" i="31" s="1"/>
  <c r="R195" i="31" s="1"/>
  <c r="S195" i="31" s="1"/>
  <c r="T195" i="31" s="1"/>
  <c r="U195" i="31" s="1"/>
  <c r="V195" i="31" s="1"/>
  <c r="W195" i="31" s="1"/>
  <c r="X195" i="31" s="1"/>
  <c r="Y195" i="31" s="1"/>
  <c r="Z195" i="31" s="1"/>
  <c r="AA195" i="31" s="1"/>
  <c r="AB195" i="31" s="1"/>
  <c r="AC195" i="31" s="1"/>
  <c r="AD195" i="31" s="1"/>
  <c r="AE195" i="31" s="1"/>
  <c r="AF195" i="31" s="1"/>
  <c r="B195" i="31" s="1"/>
  <c r="D195" i="31"/>
  <c r="D194" i="31"/>
  <c r="AG192" i="31"/>
  <c r="C192" i="31"/>
  <c r="D191" i="31"/>
  <c r="E191" i="31" s="1"/>
  <c r="F191" i="31" s="1"/>
  <c r="G191" i="31" s="1"/>
  <c r="H191" i="31" s="1"/>
  <c r="I191" i="31" s="1"/>
  <c r="J191" i="31" s="1"/>
  <c r="K191" i="31" s="1"/>
  <c r="L191" i="31" s="1"/>
  <c r="M191" i="31" s="1"/>
  <c r="N191" i="31" s="1"/>
  <c r="O191" i="31" s="1"/>
  <c r="P191" i="31" s="1"/>
  <c r="Q191" i="31" s="1"/>
  <c r="R191" i="31" s="1"/>
  <c r="S191" i="31" s="1"/>
  <c r="T191" i="31" s="1"/>
  <c r="U191" i="31" s="1"/>
  <c r="V191" i="31" s="1"/>
  <c r="W191" i="31" s="1"/>
  <c r="X191" i="31" s="1"/>
  <c r="Y191" i="31" s="1"/>
  <c r="Z191" i="31" s="1"/>
  <c r="AA191" i="31" s="1"/>
  <c r="AB191" i="31" s="1"/>
  <c r="AC191" i="31" s="1"/>
  <c r="AD191" i="31" s="1"/>
  <c r="AE191" i="31" s="1"/>
  <c r="AF191" i="31" s="1"/>
  <c r="B191" i="31" s="1"/>
  <c r="H190" i="3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B190" i="31" s="1"/>
  <c r="G190" i="31"/>
  <c r="E190" i="31"/>
  <c r="F190" i="31" s="1"/>
  <c r="D190" i="31"/>
  <c r="F189" i="31"/>
  <c r="G189" i="31" s="1"/>
  <c r="H189" i="31" s="1"/>
  <c r="I189" i="31" s="1"/>
  <c r="J189" i="31" s="1"/>
  <c r="K189" i="31" s="1"/>
  <c r="L189" i="31" s="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B189" i="31" s="1"/>
  <c r="E189" i="31"/>
  <c r="D189" i="31"/>
  <c r="D188" i="31"/>
  <c r="E188" i="31" s="1"/>
  <c r="F188" i="31" s="1"/>
  <c r="G188" i="31" s="1"/>
  <c r="H188" i="31" s="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B188" i="31" s="1"/>
  <c r="G187" i="31"/>
  <c r="H187" i="31" s="1"/>
  <c r="I187" i="31" s="1"/>
  <c r="J187" i="31" s="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B187" i="31" s="1"/>
  <c r="D187" i="31"/>
  <c r="E187" i="31" s="1"/>
  <c r="F187" i="31" s="1"/>
  <c r="O186" i="3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B186" i="31" s="1"/>
  <c r="E186" i="31"/>
  <c r="F186" i="31" s="1"/>
  <c r="G186" i="31" s="1"/>
  <c r="H186" i="31" s="1"/>
  <c r="I186" i="31" s="1"/>
  <c r="J186" i="31" s="1"/>
  <c r="K186" i="31" s="1"/>
  <c r="L186" i="31" s="1"/>
  <c r="M186" i="31" s="1"/>
  <c r="N186" i="31" s="1"/>
  <c r="D186" i="31"/>
  <c r="G185" i="31"/>
  <c r="H185" i="31" s="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B185" i="31" s="1"/>
  <c r="D185" i="31"/>
  <c r="E185" i="31" s="1"/>
  <c r="F185" i="31" s="1"/>
  <c r="E184" i="3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B184" i="31" s="1"/>
  <c r="D184" i="31"/>
  <c r="AF183" i="31"/>
  <c r="B183" i="31" s="1"/>
  <c r="D183" i="31"/>
  <c r="E183" i="31" s="1"/>
  <c r="F183" i="31" s="1"/>
  <c r="G183" i="31" s="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H182" i="3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B182" i="31" s="1"/>
  <c r="E182" i="31"/>
  <c r="F182" i="31" s="1"/>
  <c r="G182" i="31" s="1"/>
  <c r="D182" i="31"/>
  <c r="D181" i="31"/>
  <c r="E181" i="31" s="1"/>
  <c r="F181" i="31" s="1"/>
  <c r="G181" i="31" s="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B181" i="31" s="1"/>
  <c r="T180" i="3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B180" i="31" s="1"/>
  <c r="E180" i="31"/>
  <c r="F180" i="31" s="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D180" i="31"/>
  <c r="D179" i="3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B179" i="31" s="1"/>
  <c r="D177" i="31"/>
  <c r="E177" i="31" s="1"/>
  <c r="F177" i="31" s="1"/>
  <c r="G177" i="31" s="1"/>
  <c r="H177" i="31" s="1"/>
  <c r="I177" i="31" s="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B177" i="31" s="1"/>
  <c r="W176" i="3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B176" i="31" s="1"/>
  <c r="I176" i="3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D176" i="31"/>
  <c r="E176" i="31" s="1"/>
  <c r="F176" i="31" s="1"/>
  <c r="G176" i="31" s="1"/>
  <c r="H176" i="31" s="1"/>
  <c r="D175" i="31"/>
  <c r="E175" i="31" s="1"/>
  <c r="F175" i="31" s="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B175" i="31" s="1"/>
  <c r="F174" i="3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B174" i="31" s="1"/>
  <c r="E174" i="31"/>
  <c r="D174" i="31"/>
  <c r="J173" i="31"/>
  <c r="K173" i="31" s="1"/>
  <c r="L173" i="31" s="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B173" i="31" s="1"/>
  <c r="D173" i="31"/>
  <c r="E173" i="31" s="1"/>
  <c r="F173" i="31" s="1"/>
  <c r="G173" i="31" s="1"/>
  <c r="H173" i="31" s="1"/>
  <c r="I173" i="31" s="1"/>
  <c r="T172" i="3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B172" i="31" s="1"/>
  <c r="K172" i="31"/>
  <c r="L172" i="31" s="1"/>
  <c r="M172" i="31" s="1"/>
  <c r="N172" i="31" s="1"/>
  <c r="O172" i="31" s="1"/>
  <c r="P172" i="31" s="1"/>
  <c r="Q172" i="31" s="1"/>
  <c r="R172" i="31" s="1"/>
  <c r="S172" i="31" s="1"/>
  <c r="G172" i="31"/>
  <c r="H172" i="31" s="1"/>
  <c r="I172" i="31" s="1"/>
  <c r="J172" i="31" s="1"/>
  <c r="F172" i="31"/>
  <c r="D172" i="31"/>
  <c r="E172" i="31" s="1"/>
  <c r="E171" i="31"/>
  <c r="F171" i="31" s="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B171" i="31" s="1"/>
  <c r="D171" i="31"/>
  <c r="E170" i="3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B170" i="31" s="1"/>
  <c r="D170" i="31"/>
  <c r="D168" i="31"/>
  <c r="E168" i="31" s="1"/>
  <c r="F168" i="31" s="1"/>
  <c r="G168" i="31" s="1"/>
  <c r="H168" i="31" s="1"/>
  <c r="I168" i="31" s="1"/>
  <c r="J168" i="31" s="1"/>
  <c r="K168" i="31" s="1"/>
  <c r="L168" i="31" s="1"/>
  <c r="M168" i="31" s="1"/>
  <c r="N168" i="31" s="1"/>
  <c r="O168" i="31" s="1"/>
  <c r="P168" i="31" s="1"/>
  <c r="Q168" i="31" s="1"/>
  <c r="R168" i="31" s="1"/>
  <c r="S168" i="31" s="1"/>
  <c r="T168" i="31" s="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B168" i="31" s="1"/>
  <c r="E167" i="31"/>
  <c r="F167" i="31" s="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B167" i="31" s="1"/>
  <c r="D167" i="31"/>
  <c r="G166" i="31"/>
  <c r="H166" i="31" s="1"/>
  <c r="I166" i="31" s="1"/>
  <c r="J166" i="31" s="1"/>
  <c r="K166" i="31" s="1"/>
  <c r="L166" i="31" s="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B166" i="31" s="1"/>
  <c r="F166" i="31"/>
  <c r="E166" i="31"/>
  <c r="D166" i="31"/>
  <c r="I165" i="3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B165" i="31" s="1"/>
  <c r="E165" i="31"/>
  <c r="F165" i="31" s="1"/>
  <c r="G165" i="31" s="1"/>
  <c r="H165" i="31" s="1"/>
  <c r="D165" i="31"/>
  <c r="G164" i="3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B164" i="31" s="1"/>
  <c r="D164" i="31"/>
  <c r="E164" i="31" s="1"/>
  <c r="F164" i="31" s="1"/>
  <c r="E163" i="31"/>
  <c r="F163" i="31" s="1"/>
  <c r="G163" i="31" s="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B163" i="31" s="1"/>
  <c r="D163" i="31"/>
  <c r="G162" i="3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B162" i="31" s="1"/>
  <c r="F162" i="31"/>
  <c r="D162" i="31"/>
  <c r="E162" i="31" s="1"/>
  <c r="T161" i="3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B161" i="31" s="1"/>
  <c r="E161" i="3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D161" i="31"/>
  <c r="O160" i="3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B160" i="31" s="1"/>
  <c r="G160" i="31"/>
  <c r="H160" i="31" s="1"/>
  <c r="I160" i="31" s="1"/>
  <c r="J160" i="31" s="1"/>
  <c r="K160" i="31" s="1"/>
  <c r="L160" i="31" s="1"/>
  <c r="M160" i="31" s="1"/>
  <c r="N160" i="31" s="1"/>
  <c r="D160" i="31"/>
  <c r="E160" i="31" s="1"/>
  <c r="F160" i="31" s="1"/>
  <c r="U159" i="3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B159" i="31" s="1"/>
  <c r="J159" i="3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E159" i="31"/>
  <c r="F159" i="31" s="1"/>
  <c r="G159" i="31" s="1"/>
  <c r="H159" i="31" s="1"/>
  <c r="I159" i="31" s="1"/>
  <c r="D159" i="31"/>
  <c r="D158" i="31"/>
  <c r="E158" i="31" s="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B158" i="31" s="1"/>
  <c r="H157" i="3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B157" i="31" s="1"/>
  <c r="D157" i="31"/>
  <c r="E157" i="31" s="1"/>
  <c r="F157" i="31" s="1"/>
  <c r="G157" i="31" s="1"/>
  <c r="K156" i="3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B156" i="31" s="1"/>
  <c r="F156" i="31"/>
  <c r="G156" i="31" s="1"/>
  <c r="H156" i="31" s="1"/>
  <c r="I156" i="31" s="1"/>
  <c r="J156" i="31" s="1"/>
  <c r="E156" i="31"/>
  <c r="D156" i="31"/>
  <c r="I154" i="31"/>
  <c r="J154" i="31" s="1"/>
  <c r="K154" i="31" s="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B154" i="31" s="1"/>
  <c r="D154" i="31"/>
  <c r="E154" i="31" s="1"/>
  <c r="F154" i="31" s="1"/>
  <c r="G154" i="31" s="1"/>
  <c r="H154" i="31" s="1"/>
  <c r="D153" i="31"/>
  <c r="E153" i="31" s="1"/>
  <c r="F153" i="31" s="1"/>
  <c r="G153" i="31" s="1"/>
  <c r="H153" i="31" s="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B153" i="31" s="1"/>
  <c r="E152" i="3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B152" i="31" s="1"/>
  <c r="D152" i="31"/>
  <c r="F151" i="3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B151" i="31" s="1"/>
  <c r="E151" i="31"/>
  <c r="D151" i="31"/>
  <c r="L149" i="3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B149" i="31" s="1"/>
  <c r="D149" i="31"/>
  <c r="E149" i="31" s="1"/>
  <c r="F149" i="31" s="1"/>
  <c r="G149" i="31" s="1"/>
  <c r="H149" i="31" s="1"/>
  <c r="I149" i="31" s="1"/>
  <c r="J149" i="31" s="1"/>
  <c r="K149" i="31" s="1"/>
  <c r="J148" i="31"/>
  <c r="K148" i="31" s="1"/>
  <c r="L148" i="31" s="1"/>
  <c r="M148" i="31" s="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B148" i="31" s="1"/>
  <c r="G148" i="31"/>
  <c r="H148" i="31" s="1"/>
  <c r="I148" i="31" s="1"/>
  <c r="F148" i="31"/>
  <c r="E148" i="31"/>
  <c r="D148" i="31"/>
  <c r="E146" i="31"/>
  <c r="F146" i="31" s="1"/>
  <c r="G146" i="31" s="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B146" i="31" s="1"/>
  <c r="D146" i="31"/>
  <c r="AA145" i="31"/>
  <c r="AB145" i="31" s="1"/>
  <c r="AC145" i="31" s="1"/>
  <c r="AD145" i="31" s="1"/>
  <c r="AE145" i="31" s="1"/>
  <c r="AF145" i="31" s="1"/>
  <c r="B145" i="31" s="1"/>
  <c r="F145" i="31"/>
  <c r="G145" i="31" s="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E145" i="31"/>
  <c r="D145" i="31"/>
  <c r="T144" i="3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B144" i="31" s="1"/>
  <c r="I144" i="31"/>
  <c r="J144" i="31" s="1"/>
  <c r="K144" i="31" s="1"/>
  <c r="L144" i="31" s="1"/>
  <c r="M144" i="31" s="1"/>
  <c r="N144" i="31" s="1"/>
  <c r="O144" i="31" s="1"/>
  <c r="P144" i="31" s="1"/>
  <c r="Q144" i="31" s="1"/>
  <c r="R144" i="31" s="1"/>
  <c r="S144" i="31" s="1"/>
  <c r="E144" i="31"/>
  <c r="F144" i="31" s="1"/>
  <c r="G144" i="31" s="1"/>
  <c r="H144" i="31" s="1"/>
  <c r="D144" i="31"/>
  <c r="AA143" i="31"/>
  <c r="AB143" i="31" s="1"/>
  <c r="AC143" i="31" s="1"/>
  <c r="AD143" i="31" s="1"/>
  <c r="AE143" i="31" s="1"/>
  <c r="AF143" i="31" s="1"/>
  <c r="B143" i="31" s="1"/>
  <c r="G143" i="3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F143" i="31"/>
  <c r="E143" i="31"/>
  <c r="D143" i="31"/>
  <c r="E142" i="31"/>
  <c r="F142" i="31" s="1"/>
  <c r="G142" i="31" s="1"/>
  <c r="H142" i="31" s="1"/>
  <c r="I142" i="31" s="1"/>
  <c r="J142" i="31" s="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B142" i="31" s="1"/>
  <c r="D142" i="31"/>
  <c r="N141" i="3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B141" i="31" s="1"/>
  <c r="F141" i="31"/>
  <c r="G141" i="31" s="1"/>
  <c r="H141" i="31" s="1"/>
  <c r="I141" i="31" s="1"/>
  <c r="J141" i="31" s="1"/>
  <c r="K141" i="31" s="1"/>
  <c r="L141" i="31" s="1"/>
  <c r="M141" i="31" s="1"/>
  <c r="E141" i="31"/>
  <c r="D141" i="31"/>
  <c r="E140" i="3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B140" i="31" s="1"/>
  <c r="D140" i="31"/>
  <c r="D138" i="31"/>
  <c r="E138" i="31" s="1"/>
  <c r="F138" i="31" s="1"/>
  <c r="G138" i="31" s="1"/>
  <c r="H138" i="31" s="1"/>
  <c r="I138" i="31" s="1"/>
  <c r="J138" i="31" s="1"/>
  <c r="K138" i="31" s="1"/>
  <c r="L138" i="31" s="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B138" i="31" s="1"/>
  <c r="E137" i="3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B137" i="31" s="1"/>
  <c r="D137" i="31"/>
  <c r="G136" i="3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B136" i="31" s="1"/>
  <c r="E136" i="31"/>
  <c r="F136" i="31" s="1"/>
  <c r="D136" i="31"/>
  <c r="E135" i="31"/>
  <c r="F135" i="31" s="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B135" i="31" s="1"/>
  <c r="D135" i="31"/>
  <c r="Q134" i="3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B134" i="31" s="1"/>
  <c r="D134" i="31"/>
  <c r="E134" i="31" s="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W133" i="3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B133" i="31" s="1"/>
  <c r="M133" i="31"/>
  <c r="N133" i="31" s="1"/>
  <c r="O133" i="31" s="1"/>
  <c r="P133" i="31" s="1"/>
  <c r="Q133" i="31" s="1"/>
  <c r="R133" i="31" s="1"/>
  <c r="S133" i="31" s="1"/>
  <c r="T133" i="31" s="1"/>
  <c r="U133" i="31" s="1"/>
  <c r="V133" i="31" s="1"/>
  <c r="D133" i="31"/>
  <c r="E133" i="31" s="1"/>
  <c r="F133" i="31" s="1"/>
  <c r="G133" i="31" s="1"/>
  <c r="H133" i="31" s="1"/>
  <c r="I133" i="31" s="1"/>
  <c r="J133" i="31" s="1"/>
  <c r="K133" i="31" s="1"/>
  <c r="L133" i="31" s="1"/>
  <c r="E132" i="31"/>
  <c r="F132" i="31" s="1"/>
  <c r="G132" i="31" s="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B132" i="31" s="1"/>
  <c r="D132" i="31"/>
  <c r="F131" i="3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B131" i="31" s="1"/>
  <c r="E131" i="31"/>
  <c r="D131" i="31"/>
  <c r="I129" i="31"/>
  <c r="J129" i="31" s="1"/>
  <c r="K129" i="31" s="1"/>
  <c r="L129" i="31" s="1"/>
  <c r="M129" i="31" s="1"/>
  <c r="N129" i="31" s="1"/>
  <c r="O129" i="31" s="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B129" i="31" s="1"/>
  <c r="D129" i="31"/>
  <c r="E129" i="31" s="1"/>
  <c r="F129" i="31" s="1"/>
  <c r="G129" i="31" s="1"/>
  <c r="H129" i="31" s="1"/>
  <c r="Y128" i="31"/>
  <c r="Z128" i="31" s="1"/>
  <c r="AA128" i="31" s="1"/>
  <c r="AB128" i="31" s="1"/>
  <c r="AC128" i="31" s="1"/>
  <c r="AD128" i="31" s="1"/>
  <c r="AE128" i="31" s="1"/>
  <c r="AF128" i="31" s="1"/>
  <c r="B128" i="31" s="1"/>
  <c r="D128" i="31"/>
  <c r="E128" i="31" s="1"/>
  <c r="F128" i="31" s="1"/>
  <c r="G128" i="31" s="1"/>
  <c r="H128" i="31" s="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D127" i="31"/>
  <c r="E127" i="31" s="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B127" i="31" s="1"/>
  <c r="D126" i="31"/>
  <c r="J125" i="3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B125" i="31" s="1"/>
  <c r="E125" i="31"/>
  <c r="F125" i="31" s="1"/>
  <c r="G125" i="31" s="1"/>
  <c r="H125" i="31" s="1"/>
  <c r="D125" i="31"/>
  <c r="D124" i="3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B124" i="31" s="1"/>
  <c r="Y123" i="31"/>
  <c r="Z123" i="31" s="1"/>
  <c r="AA123" i="31" s="1"/>
  <c r="AB123" i="31" s="1"/>
  <c r="AC123" i="31" s="1"/>
  <c r="AD123" i="31" s="1"/>
  <c r="AE123" i="31" s="1"/>
  <c r="AF123" i="31" s="1"/>
  <c r="B123" i="31" s="1"/>
  <c r="E123" i="31"/>
  <c r="F123" i="31" s="1"/>
  <c r="G123" i="31" s="1"/>
  <c r="H123" i="31" s="1"/>
  <c r="I123" i="31" s="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D123" i="31"/>
  <c r="D122" i="3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B122" i="31" s="1"/>
  <c r="T121" i="3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B121" i="31" s="1"/>
  <c r="E121" i="3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D121" i="31"/>
  <c r="AA120" i="31"/>
  <c r="AB120" i="31" s="1"/>
  <c r="AC120" i="31" s="1"/>
  <c r="AD120" i="31" s="1"/>
  <c r="AE120" i="31" s="1"/>
  <c r="AF120" i="31" s="1"/>
  <c r="B120" i="31" s="1"/>
  <c r="O120" i="3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G120" i="31"/>
  <c r="H120" i="31" s="1"/>
  <c r="I120" i="31" s="1"/>
  <c r="J120" i="31" s="1"/>
  <c r="K120" i="31" s="1"/>
  <c r="L120" i="31" s="1"/>
  <c r="M120" i="31" s="1"/>
  <c r="N120" i="31" s="1"/>
  <c r="D120" i="31"/>
  <c r="E120" i="31" s="1"/>
  <c r="F120" i="31" s="1"/>
  <c r="Q119" i="3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B119" i="31" s="1"/>
  <c r="E119" i="31"/>
  <c r="F119" i="31" s="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D119" i="31"/>
  <c r="D118" i="31"/>
  <c r="E118" i="31" s="1"/>
  <c r="F118" i="31" s="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B118" i="31" s="1"/>
  <c r="T117" i="3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B117" i="31" s="1"/>
  <c r="I117" i="3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E117" i="31"/>
  <c r="F117" i="31" s="1"/>
  <c r="G117" i="31" s="1"/>
  <c r="H117" i="31" s="1"/>
  <c r="D117" i="31"/>
  <c r="G116" i="3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B116" i="31" s="1"/>
  <c r="D116" i="31"/>
  <c r="E116" i="31" s="1"/>
  <c r="F116" i="31" s="1"/>
  <c r="Q115" i="3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B115" i="31" s="1"/>
  <c r="I115" i="31"/>
  <c r="J115" i="31" s="1"/>
  <c r="K115" i="31" s="1"/>
  <c r="L115" i="31" s="1"/>
  <c r="M115" i="31" s="1"/>
  <c r="N115" i="31" s="1"/>
  <c r="O115" i="31" s="1"/>
  <c r="P115" i="31" s="1"/>
  <c r="F115" i="31"/>
  <c r="G115" i="31" s="1"/>
  <c r="H115" i="31" s="1"/>
  <c r="E115" i="31"/>
  <c r="D115" i="31"/>
  <c r="L114" i="3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B114" i="31" s="1"/>
  <c r="K114" i="31"/>
  <c r="E114" i="31"/>
  <c r="F114" i="31" s="1"/>
  <c r="G114" i="31" s="1"/>
  <c r="H114" i="31" s="1"/>
  <c r="I114" i="31" s="1"/>
  <c r="D114" i="31"/>
  <c r="H113" i="31"/>
  <c r="I113" i="31" s="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B113" i="31" s="1"/>
  <c r="D113" i="31"/>
  <c r="E113" i="31" s="1"/>
  <c r="F113" i="31" s="1"/>
  <c r="G113" i="31" s="1"/>
  <c r="D112" i="31"/>
  <c r="E112" i="31" s="1"/>
  <c r="F112" i="31" s="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B112" i="31" s="1"/>
  <c r="D110" i="31"/>
  <c r="E110" i="31" s="1"/>
  <c r="F110" i="31" s="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B110" i="31" s="1"/>
  <c r="E109" i="31"/>
  <c r="D109" i="31"/>
  <c r="K107" i="3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B107" i="31" s="1"/>
  <c r="F107" i="31"/>
  <c r="G107" i="31" s="1"/>
  <c r="H107" i="31" s="1"/>
  <c r="I107" i="31" s="1"/>
  <c r="J107" i="31" s="1"/>
  <c r="E107" i="31"/>
  <c r="D107" i="31"/>
  <c r="D106" i="31"/>
  <c r="E106" i="31" s="1"/>
  <c r="F106" i="31" s="1"/>
  <c r="G106" i="31" s="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B106" i="31" s="1"/>
  <c r="D105" i="3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B105" i="31" s="1"/>
  <c r="E104" i="3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B104" i="31" s="1"/>
  <c r="D104" i="31"/>
  <c r="F103" i="31"/>
  <c r="E103" i="31"/>
  <c r="D103" i="31"/>
  <c r="D102" i="31"/>
  <c r="AH100" i="31"/>
  <c r="AI100" i="31" s="1"/>
  <c r="AH99" i="31"/>
  <c r="AI99" i="31" s="1"/>
  <c r="AH98" i="31"/>
  <c r="AI98" i="31" s="1"/>
  <c r="AH97" i="31"/>
  <c r="AI97" i="31" s="1"/>
  <c r="AH96" i="31"/>
  <c r="AI96" i="31" s="1"/>
  <c r="AH95" i="31"/>
  <c r="AI95" i="31" s="1"/>
  <c r="AH94" i="31"/>
  <c r="AI94" i="31" s="1"/>
  <c r="C93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G82" i="31"/>
  <c r="N82" i="31"/>
  <c r="AI81" i="31"/>
  <c r="AH81" i="31"/>
  <c r="AF80" i="31"/>
  <c r="AE80" i="31"/>
  <c r="AD80" i="31"/>
  <c r="AD82" i="31" s="1"/>
  <c r="AC80" i="31"/>
  <c r="AB80" i="31"/>
  <c r="AA80" i="31"/>
  <c r="Z80" i="31"/>
  <c r="Y80" i="31"/>
  <c r="X80" i="31"/>
  <c r="W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B80" i="31"/>
  <c r="AF79" i="31"/>
  <c r="AE79" i="31"/>
  <c r="AD79" i="31"/>
  <c r="AC79" i="31"/>
  <c r="AB79" i="31"/>
  <c r="AA79" i="31"/>
  <c r="Z79" i="31"/>
  <c r="Y79" i="31"/>
  <c r="X79" i="31"/>
  <c r="W79" i="31"/>
  <c r="V79" i="31"/>
  <c r="U79" i="31"/>
  <c r="T79" i="31"/>
  <c r="S79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B79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AF76" i="31"/>
  <c r="AE76" i="31"/>
  <c r="AD76" i="31"/>
  <c r="AC76" i="31"/>
  <c r="AC82" i="31" s="1"/>
  <c r="AB76" i="31"/>
  <c r="AA76" i="31"/>
  <c r="AA82" i="31" s="1"/>
  <c r="Z76" i="31"/>
  <c r="Y76" i="31"/>
  <c r="X76" i="31"/>
  <c r="W76" i="31"/>
  <c r="V76" i="31"/>
  <c r="U76" i="31"/>
  <c r="U82" i="31" s="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AI74" i="31"/>
  <c r="AH74" i="31"/>
  <c r="AI72" i="31"/>
  <c r="AH72" i="31"/>
  <c r="AG72" i="31"/>
  <c r="AI71" i="31"/>
  <c r="AH71" i="31"/>
  <c r="AI70" i="31"/>
  <c r="AH70" i="31"/>
  <c r="AI69" i="31"/>
  <c r="AH69" i="31"/>
  <c r="AG68" i="31"/>
  <c r="AG73" i="31" s="1"/>
  <c r="AG83" i="31" s="1"/>
  <c r="AF68" i="31"/>
  <c r="AE5" i="31" s="1"/>
  <c r="AE68" i="31"/>
  <c r="AD5" i="31" s="1"/>
  <c r="AD68" i="31"/>
  <c r="AC68" i="31"/>
  <c r="AB5" i="31" s="1"/>
  <c r="AB68" i="31"/>
  <c r="AA5" i="31" s="1"/>
  <c r="AA68" i="31"/>
  <c r="Z68" i="31"/>
  <c r="Y5" i="31" s="1"/>
  <c r="Y68" i="31"/>
  <c r="X5" i="31" s="1"/>
  <c r="X68" i="31"/>
  <c r="W5" i="31" s="1"/>
  <c r="W68" i="31"/>
  <c r="V5" i="31" s="1"/>
  <c r="V68" i="31"/>
  <c r="U68" i="31"/>
  <c r="T68" i="31"/>
  <c r="S68" i="31"/>
  <c r="R68" i="31"/>
  <c r="Q5" i="31" s="1"/>
  <c r="Q68" i="31"/>
  <c r="P5" i="31" s="1"/>
  <c r="P68" i="31"/>
  <c r="O68" i="31"/>
  <c r="N5" i="31" s="1"/>
  <c r="N68" i="31"/>
  <c r="M68" i="31"/>
  <c r="L68" i="31"/>
  <c r="K68" i="31"/>
  <c r="J68" i="31"/>
  <c r="I68" i="31"/>
  <c r="H68" i="31"/>
  <c r="G68" i="31"/>
  <c r="F5" i="31" s="1"/>
  <c r="F68" i="31"/>
  <c r="E68" i="31"/>
  <c r="D68" i="31"/>
  <c r="C5" i="31" s="1"/>
  <c r="C68" i="31"/>
  <c r="B68" i="31"/>
  <c r="AF5" i="31" s="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G56" i="31"/>
  <c r="AG75" i="31" s="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AI55" i="31"/>
  <c r="AH55" i="31"/>
  <c r="AI54" i="31"/>
  <c r="AH54" i="31"/>
  <c r="AI53" i="31"/>
  <c r="AH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AI51" i="31"/>
  <c r="AH51" i="31"/>
  <c r="AG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M73" i="31" s="1"/>
  <c r="M75" i="31" s="1"/>
  <c r="AE214" i="31" s="1"/>
  <c r="L38" i="31"/>
  <c r="K38" i="31"/>
  <c r="J38" i="31"/>
  <c r="I38" i="31"/>
  <c r="H38" i="31"/>
  <c r="G38" i="31"/>
  <c r="F38" i="31"/>
  <c r="E38" i="31"/>
  <c r="D38" i="31"/>
  <c r="C38" i="31"/>
  <c r="B38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G6" i="31"/>
  <c r="Z5" i="31"/>
  <c r="T5" i="31"/>
  <c r="O5" i="31"/>
  <c r="I5" i="31"/>
  <c r="H5" i="31"/>
  <c r="G5" i="31"/>
  <c r="AG4" i="31"/>
  <c r="K4" i="31"/>
  <c r="B4" i="31"/>
  <c r="AG3" i="31"/>
  <c r="AG2" i="31"/>
  <c r="AF37" i="30"/>
  <c r="AE37" i="30"/>
  <c r="AD37" i="30"/>
  <c r="AC37" i="30"/>
  <c r="AA37" i="30"/>
  <c r="Z37" i="30"/>
  <c r="Y37" i="30"/>
  <c r="X37" i="30"/>
  <c r="W37" i="30"/>
  <c r="V37" i="30"/>
  <c r="U37" i="30"/>
  <c r="T37" i="30"/>
  <c r="S37" i="30"/>
  <c r="R37" i="30"/>
  <c r="Q93" i="30"/>
  <c r="O37" i="30"/>
  <c r="N37" i="30"/>
  <c r="L37" i="30"/>
  <c r="G37" i="30"/>
  <c r="H37" i="30"/>
  <c r="I37" i="30"/>
  <c r="F37" i="30"/>
  <c r="E94" i="30"/>
  <c r="F94" i="30"/>
  <c r="G94" i="30"/>
  <c r="D94" i="30"/>
  <c r="D37" i="30"/>
  <c r="B37" i="30"/>
  <c r="C94" i="30"/>
  <c r="C37" i="30"/>
  <c r="C93" i="30"/>
  <c r="C80" i="30"/>
  <c r="C79" i="30"/>
  <c r="C78" i="30"/>
  <c r="C77" i="30"/>
  <c r="C82" i="30" s="1"/>
  <c r="C76" i="30"/>
  <c r="C68" i="30"/>
  <c r="C56" i="30"/>
  <c r="C52" i="30"/>
  <c r="C38" i="30"/>
  <c r="B94" i="30"/>
  <c r="B93" i="30"/>
  <c r="B80" i="30"/>
  <c r="B79" i="30"/>
  <c r="B78" i="30"/>
  <c r="B77" i="30"/>
  <c r="B76" i="30"/>
  <c r="B68" i="30"/>
  <c r="B56" i="30"/>
  <c r="B52" i="30"/>
  <c r="B38" i="30"/>
  <c r="AF37" i="29"/>
  <c r="AF38" i="29"/>
  <c r="AF52" i="29"/>
  <c r="AF56" i="29"/>
  <c r="AF68" i="29"/>
  <c r="AF73" i="29" s="1"/>
  <c r="AF75" i="29" s="1"/>
  <c r="AF76" i="29"/>
  <c r="AF77" i="29"/>
  <c r="AF78" i="29"/>
  <c r="AF79" i="29"/>
  <c r="AF80" i="29"/>
  <c r="AF82" i="29"/>
  <c r="AF93" i="29"/>
  <c r="AF94" i="29"/>
  <c r="AF239" i="30"/>
  <c r="AE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B239" i="30"/>
  <c r="A239" i="30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B238" i="30"/>
  <c r="A238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A237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B235" i="30"/>
  <c r="S210" i="30"/>
  <c r="AG200" i="30"/>
  <c r="C200" i="30"/>
  <c r="D199" i="30"/>
  <c r="I198" i="30"/>
  <c r="J198" i="30" s="1"/>
  <c r="K198" i="30" s="1"/>
  <c r="L198" i="30" s="1"/>
  <c r="M198" i="30" s="1"/>
  <c r="N198" i="30" s="1"/>
  <c r="O198" i="30" s="1"/>
  <c r="P198" i="30" s="1"/>
  <c r="Q198" i="30" s="1"/>
  <c r="R198" i="30" s="1"/>
  <c r="S198" i="30" s="1"/>
  <c r="T198" i="30" s="1"/>
  <c r="U198" i="30" s="1"/>
  <c r="V198" i="30" s="1"/>
  <c r="W198" i="30" s="1"/>
  <c r="X198" i="30" s="1"/>
  <c r="Y198" i="30" s="1"/>
  <c r="Z198" i="30" s="1"/>
  <c r="AA198" i="30" s="1"/>
  <c r="AB198" i="30" s="1"/>
  <c r="AC198" i="30" s="1"/>
  <c r="AD198" i="30" s="1"/>
  <c r="AE198" i="30" s="1"/>
  <c r="AF198" i="30" s="1"/>
  <c r="B198" i="30" s="1"/>
  <c r="D198" i="30"/>
  <c r="E198" i="30" s="1"/>
  <c r="F198" i="30" s="1"/>
  <c r="G198" i="30" s="1"/>
  <c r="H198" i="30" s="1"/>
  <c r="G197" i="30"/>
  <c r="H197" i="30" s="1"/>
  <c r="I197" i="30" s="1"/>
  <c r="J197" i="30" s="1"/>
  <c r="K197" i="30" s="1"/>
  <c r="L197" i="30" s="1"/>
  <c r="M197" i="30" s="1"/>
  <c r="N197" i="30" s="1"/>
  <c r="O197" i="30" s="1"/>
  <c r="P197" i="30" s="1"/>
  <c r="Q197" i="30" s="1"/>
  <c r="R197" i="30" s="1"/>
  <c r="S197" i="30" s="1"/>
  <c r="T197" i="30" s="1"/>
  <c r="U197" i="30" s="1"/>
  <c r="V197" i="30" s="1"/>
  <c r="W197" i="30" s="1"/>
  <c r="X197" i="30" s="1"/>
  <c r="Y197" i="30" s="1"/>
  <c r="Z197" i="30" s="1"/>
  <c r="AA197" i="30" s="1"/>
  <c r="AB197" i="30" s="1"/>
  <c r="AC197" i="30" s="1"/>
  <c r="AD197" i="30" s="1"/>
  <c r="AE197" i="30" s="1"/>
  <c r="AF197" i="30" s="1"/>
  <c r="B197" i="30" s="1"/>
  <c r="E197" i="30"/>
  <c r="F197" i="30" s="1"/>
  <c r="D197" i="30"/>
  <c r="E196" i="30"/>
  <c r="F196" i="30" s="1"/>
  <c r="G196" i="30" s="1"/>
  <c r="H196" i="30" s="1"/>
  <c r="I196" i="30" s="1"/>
  <c r="J196" i="30" s="1"/>
  <c r="K196" i="30" s="1"/>
  <c r="L196" i="30" s="1"/>
  <c r="M196" i="30" s="1"/>
  <c r="N196" i="30" s="1"/>
  <c r="O196" i="30" s="1"/>
  <c r="P196" i="30" s="1"/>
  <c r="Q196" i="30" s="1"/>
  <c r="R196" i="30" s="1"/>
  <c r="S196" i="30" s="1"/>
  <c r="T196" i="30" s="1"/>
  <c r="U196" i="30" s="1"/>
  <c r="V196" i="30" s="1"/>
  <c r="W196" i="30" s="1"/>
  <c r="X196" i="30" s="1"/>
  <c r="Y196" i="30" s="1"/>
  <c r="Z196" i="30" s="1"/>
  <c r="AA196" i="30" s="1"/>
  <c r="AB196" i="30" s="1"/>
  <c r="AC196" i="30" s="1"/>
  <c r="AD196" i="30" s="1"/>
  <c r="AE196" i="30" s="1"/>
  <c r="AF196" i="30" s="1"/>
  <c r="B196" i="30" s="1"/>
  <c r="D196" i="30"/>
  <c r="D195" i="30"/>
  <c r="E195" i="30" s="1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B195" i="30" s="1"/>
  <c r="F194" i="30"/>
  <c r="E194" i="30"/>
  <c r="D194" i="30"/>
  <c r="AG192" i="30"/>
  <c r="C192" i="30"/>
  <c r="E191" i="30"/>
  <c r="F191" i="30" s="1"/>
  <c r="G191" i="30" s="1"/>
  <c r="H191" i="30" s="1"/>
  <c r="I191" i="30" s="1"/>
  <c r="J191" i="30" s="1"/>
  <c r="K191" i="30" s="1"/>
  <c r="L191" i="30" s="1"/>
  <c r="M191" i="30" s="1"/>
  <c r="N191" i="30" s="1"/>
  <c r="O191" i="30" s="1"/>
  <c r="P191" i="30" s="1"/>
  <c r="Q191" i="30" s="1"/>
  <c r="R191" i="30" s="1"/>
  <c r="S191" i="30" s="1"/>
  <c r="T191" i="30" s="1"/>
  <c r="U191" i="30" s="1"/>
  <c r="V191" i="30" s="1"/>
  <c r="W191" i="30" s="1"/>
  <c r="X191" i="30" s="1"/>
  <c r="Y191" i="30" s="1"/>
  <c r="Z191" i="30" s="1"/>
  <c r="AA191" i="30" s="1"/>
  <c r="AB191" i="30" s="1"/>
  <c r="AC191" i="30" s="1"/>
  <c r="AD191" i="30" s="1"/>
  <c r="AE191" i="30" s="1"/>
  <c r="AF191" i="30" s="1"/>
  <c r="B191" i="30" s="1"/>
  <c r="D191" i="30"/>
  <c r="H190" i="30"/>
  <c r="I190" i="30" s="1"/>
  <c r="J190" i="30" s="1"/>
  <c r="K190" i="30" s="1"/>
  <c r="L190" i="30" s="1"/>
  <c r="M190" i="30" s="1"/>
  <c r="N190" i="30" s="1"/>
  <c r="O190" i="30" s="1"/>
  <c r="P190" i="30" s="1"/>
  <c r="Q190" i="30" s="1"/>
  <c r="R190" i="30" s="1"/>
  <c r="S190" i="30" s="1"/>
  <c r="T190" i="30" s="1"/>
  <c r="U190" i="30" s="1"/>
  <c r="V190" i="30" s="1"/>
  <c r="W190" i="30" s="1"/>
  <c r="X190" i="30" s="1"/>
  <c r="Y190" i="30" s="1"/>
  <c r="Z190" i="30" s="1"/>
  <c r="AA190" i="30" s="1"/>
  <c r="AB190" i="30" s="1"/>
  <c r="AC190" i="30" s="1"/>
  <c r="AD190" i="30" s="1"/>
  <c r="AE190" i="30" s="1"/>
  <c r="AF190" i="30" s="1"/>
  <c r="B190" i="30" s="1"/>
  <c r="E190" i="30"/>
  <c r="F190" i="30" s="1"/>
  <c r="G190" i="30" s="1"/>
  <c r="D190" i="30"/>
  <c r="E189" i="30"/>
  <c r="F189" i="30" s="1"/>
  <c r="G189" i="30" s="1"/>
  <c r="H189" i="30" s="1"/>
  <c r="I189" i="30" s="1"/>
  <c r="J189" i="30" s="1"/>
  <c r="K189" i="30" s="1"/>
  <c r="L189" i="30" s="1"/>
  <c r="M189" i="30" s="1"/>
  <c r="N189" i="30" s="1"/>
  <c r="O189" i="30" s="1"/>
  <c r="P189" i="30" s="1"/>
  <c r="Q189" i="30" s="1"/>
  <c r="R189" i="30" s="1"/>
  <c r="S189" i="30" s="1"/>
  <c r="T189" i="30" s="1"/>
  <c r="U189" i="30" s="1"/>
  <c r="V189" i="30" s="1"/>
  <c r="W189" i="30" s="1"/>
  <c r="X189" i="30" s="1"/>
  <c r="Y189" i="30" s="1"/>
  <c r="Z189" i="30" s="1"/>
  <c r="AA189" i="30" s="1"/>
  <c r="AB189" i="30" s="1"/>
  <c r="AC189" i="30" s="1"/>
  <c r="AD189" i="30" s="1"/>
  <c r="AE189" i="30" s="1"/>
  <c r="AF189" i="30" s="1"/>
  <c r="B189" i="30" s="1"/>
  <c r="D189" i="30"/>
  <c r="AA188" i="30"/>
  <c r="AB188" i="30" s="1"/>
  <c r="AC188" i="30" s="1"/>
  <c r="AD188" i="30" s="1"/>
  <c r="AE188" i="30" s="1"/>
  <c r="AF188" i="30" s="1"/>
  <c r="B188" i="30" s="1"/>
  <c r="E188" i="30"/>
  <c r="F188" i="30" s="1"/>
  <c r="G188" i="30" s="1"/>
  <c r="H188" i="30" s="1"/>
  <c r="I188" i="30" s="1"/>
  <c r="J188" i="30" s="1"/>
  <c r="K188" i="30" s="1"/>
  <c r="L188" i="30" s="1"/>
  <c r="M188" i="30" s="1"/>
  <c r="N188" i="30" s="1"/>
  <c r="O188" i="30" s="1"/>
  <c r="P188" i="30" s="1"/>
  <c r="Q188" i="30" s="1"/>
  <c r="R188" i="30" s="1"/>
  <c r="S188" i="30" s="1"/>
  <c r="T188" i="30" s="1"/>
  <c r="U188" i="30" s="1"/>
  <c r="V188" i="30" s="1"/>
  <c r="W188" i="30" s="1"/>
  <c r="X188" i="30" s="1"/>
  <c r="Y188" i="30" s="1"/>
  <c r="Z188" i="30" s="1"/>
  <c r="D188" i="30"/>
  <c r="D187" i="30"/>
  <c r="E187" i="30" s="1"/>
  <c r="F187" i="30" s="1"/>
  <c r="G187" i="30" s="1"/>
  <c r="H187" i="30" s="1"/>
  <c r="I187" i="30" s="1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B187" i="30" s="1"/>
  <c r="E186" i="30"/>
  <c r="F186" i="30" s="1"/>
  <c r="G186" i="30" s="1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B186" i="30" s="1"/>
  <c r="D186" i="30"/>
  <c r="AA185" i="30"/>
  <c r="AB185" i="30" s="1"/>
  <c r="AC185" i="30" s="1"/>
  <c r="AD185" i="30" s="1"/>
  <c r="AE185" i="30" s="1"/>
  <c r="AF185" i="30" s="1"/>
  <c r="B185" i="30" s="1"/>
  <c r="F185" i="30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E185" i="30"/>
  <c r="D185" i="30"/>
  <c r="S184" i="30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B184" i="30" s="1"/>
  <c r="G184" i="30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D184" i="30"/>
  <c r="E184" i="30" s="1"/>
  <c r="F184" i="30" s="1"/>
  <c r="AF183" i="30"/>
  <c r="B183" i="30" s="1"/>
  <c r="O183" i="30"/>
  <c r="P183" i="30" s="1"/>
  <c r="Q183" i="30" s="1"/>
  <c r="R183" i="30" s="1"/>
  <c r="S183" i="30" s="1"/>
  <c r="T183" i="30" s="1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D183" i="30"/>
  <c r="E183" i="30" s="1"/>
  <c r="F183" i="30" s="1"/>
  <c r="G183" i="30" s="1"/>
  <c r="H183" i="30" s="1"/>
  <c r="I183" i="30" s="1"/>
  <c r="J183" i="30" s="1"/>
  <c r="K183" i="30" s="1"/>
  <c r="L183" i="30" s="1"/>
  <c r="M183" i="30" s="1"/>
  <c r="N183" i="30" s="1"/>
  <c r="F182" i="30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B182" i="30" s="1"/>
  <c r="E182" i="30"/>
  <c r="D182" i="30"/>
  <c r="S181" i="30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B181" i="30" s="1"/>
  <c r="D181" i="30"/>
  <c r="E181" i="30" s="1"/>
  <c r="F181" i="30" s="1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U180" i="30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B180" i="30" s="1"/>
  <c r="E180" i="30"/>
  <c r="F180" i="30" s="1"/>
  <c r="G180" i="30" s="1"/>
  <c r="H180" i="30" s="1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D180" i="30"/>
  <c r="W179" i="30"/>
  <c r="X179" i="30" s="1"/>
  <c r="Y179" i="30" s="1"/>
  <c r="Z179" i="30" s="1"/>
  <c r="AA179" i="30" s="1"/>
  <c r="AB179" i="30" s="1"/>
  <c r="AC179" i="30" s="1"/>
  <c r="AD179" i="30" s="1"/>
  <c r="AE179" i="30" s="1"/>
  <c r="AF179" i="30" s="1"/>
  <c r="B179" i="30" s="1"/>
  <c r="G179" i="30"/>
  <c r="H179" i="30" s="1"/>
  <c r="I179" i="30" s="1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E179" i="30"/>
  <c r="F179" i="30" s="1"/>
  <c r="D179" i="30"/>
  <c r="X177" i="30"/>
  <c r="Y177" i="30" s="1"/>
  <c r="Z177" i="30" s="1"/>
  <c r="AA177" i="30" s="1"/>
  <c r="AB177" i="30" s="1"/>
  <c r="AC177" i="30" s="1"/>
  <c r="AD177" i="30" s="1"/>
  <c r="AE177" i="30" s="1"/>
  <c r="AF177" i="30" s="1"/>
  <c r="B177" i="30" s="1"/>
  <c r="K177" i="30"/>
  <c r="L177" i="30" s="1"/>
  <c r="M177" i="30" s="1"/>
  <c r="N177" i="30" s="1"/>
  <c r="O177" i="30" s="1"/>
  <c r="P177" i="30" s="1"/>
  <c r="Q177" i="30" s="1"/>
  <c r="R177" i="30" s="1"/>
  <c r="S177" i="30" s="1"/>
  <c r="T177" i="30" s="1"/>
  <c r="U177" i="30" s="1"/>
  <c r="V177" i="30" s="1"/>
  <c r="W177" i="30" s="1"/>
  <c r="D177" i="30"/>
  <c r="E177" i="30" s="1"/>
  <c r="F177" i="30" s="1"/>
  <c r="G177" i="30" s="1"/>
  <c r="H177" i="30" s="1"/>
  <c r="I177" i="30" s="1"/>
  <c r="J177" i="30" s="1"/>
  <c r="E176" i="30"/>
  <c r="F176" i="30" s="1"/>
  <c r="G176" i="30" s="1"/>
  <c r="H176" i="30" s="1"/>
  <c r="I176" i="30" s="1"/>
  <c r="J176" i="30" s="1"/>
  <c r="K176" i="30" s="1"/>
  <c r="L176" i="30" s="1"/>
  <c r="M176" i="30" s="1"/>
  <c r="N176" i="30" s="1"/>
  <c r="O176" i="30" s="1"/>
  <c r="P176" i="30" s="1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B176" i="30" s="1"/>
  <c r="D176" i="30"/>
  <c r="P175" i="30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B175" i="30" s="1"/>
  <c r="G175" i="30"/>
  <c r="H175" i="30" s="1"/>
  <c r="I175" i="30" s="1"/>
  <c r="J175" i="30" s="1"/>
  <c r="K175" i="30" s="1"/>
  <c r="L175" i="30" s="1"/>
  <c r="M175" i="30" s="1"/>
  <c r="N175" i="30" s="1"/>
  <c r="O175" i="30" s="1"/>
  <c r="D175" i="30"/>
  <c r="E175" i="30" s="1"/>
  <c r="F175" i="30" s="1"/>
  <c r="AB174" i="30"/>
  <c r="AC174" i="30" s="1"/>
  <c r="AD174" i="30" s="1"/>
  <c r="AE174" i="30" s="1"/>
  <c r="AF174" i="30" s="1"/>
  <c r="B174" i="30" s="1"/>
  <c r="D174" i="30"/>
  <c r="E174" i="30" s="1"/>
  <c r="F174" i="30" s="1"/>
  <c r="G174" i="30" s="1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F173" i="30"/>
  <c r="G173" i="30" s="1"/>
  <c r="H173" i="30" s="1"/>
  <c r="I173" i="30" s="1"/>
  <c r="J173" i="30" s="1"/>
  <c r="K173" i="30" s="1"/>
  <c r="L173" i="30" s="1"/>
  <c r="M173" i="30" s="1"/>
  <c r="N173" i="30" s="1"/>
  <c r="O173" i="30" s="1"/>
  <c r="P173" i="30" s="1"/>
  <c r="Q173" i="30" s="1"/>
  <c r="R173" i="30" s="1"/>
  <c r="S173" i="30" s="1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B173" i="30" s="1"/>
  <c r="E173" i="30"/>
  <c r="D173" i="30"/>
  <c r="L172" i="30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B172" i="30" s="1"/>
  <c r="D172" i="30"/>
  <c r="E172" i="30" s="1"/>
  <c r="F172" i="30" s="1"/>
  <c r="G172" i="30" s="1"/>
  <c r="H172" i="30" s="1"/>
  <c r="I172" i="30" s="1"/>
  <c r="J172" i="30" s="1"/>
  <c r="K172" i="30" s="1"/>
  <c r="T171" i="30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B171" i="30" s="1"/>
  <c r="L171" i="30"/>
  <c r="M171" i="30" s="1"/>
  <c r="N171" i="30" s="1"/>
  <c r="O171" i="30" s="1"/>
  <c r="P171" i="30" s="1"/>
  <c r="Q171" i="30" s="1"/>
  <c r="R171" i="30" s="1"/>
  <c r="S171" i="30" s="1"/>
  <c r="E171" i="30"/>
  <c r="F171" i="30" s="1"/>
  <c r="G171" i="30" s="1"/>
  <c r="H171" i="30" s="1"/>
  <c r="I171" i="30" s="1"/>
  <c r="J171" i="30" s="1"/>
  <c r="K171" i="30" s="1"/>
  <c r="D171" i="30"/>
  <c r="H170" i="30"/>
  <c r="I170" i="30" s="1"/>
  <c r="J170" i="30" s="1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B170" i="30" s="1"/>
  <c r="E170" i="30"/>
  <c r="F170" i="30" s="1"/>
  <c r="G170" i="30" s="1"/>
  <c r="D170" i="30"/>
  <c r="H168" i="30"/>
  <c r="I168" i="30" s="1"/>
  <c r="J168" i="30" s="1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AC168" i="30" s="1"/>
  <c r="AD168" i="30" s="1"/>
  <c r="AE168" i="30" s="1"/>
  <c r="AF168" i="30" s="1"/>
  <c r="B168" i="30" s="1"/>
  <c r="F168" i="30"/>
  <c r="G168" i="30" s="1"/>
  <c r="E168" i="30"/>
  <c r="D168" i="30"/>
  <c r="AB167" i="30"/>
  <c r="AC167" i="30" s="1"/>
  <c r="AD167" i="30" s="1"/>
  <c r="AE167" i="30" s="1"/>
  <c r="AF167" i="30" s="1"/>
  <c r="B167" i="30" s="1"/>
  <c r="N167" i="30"/>
  <c r="O167" i="30" s="1"/>
  <c r="P167" i="30" s="1"/>
  <c r="Q167" i="30" s="1"/>
  <c r="R167" i="30" s="1"/>
  <c r="S167" i="30" s="1"/>
  <c r="T167" i="30" s="1"/>
  <c r="U167" i="30" s="1"/>
  <c r="V167" i="30" s="1"/>
  <c r="W167" i="30" s="1"/>
  <c r="X167" i="30" s="1"/>
  <c r="Y167" i="30" s="1"/>
  <c r="Z167" i="30" s="1"/>
  <c r="AA167" i="30" s="1"/>
  <c r="F167" i="30"/>
  <c r="G167" i="30" s="1"/>
  <c r="H167" i="30" s="1"/>
  <c r="I167" i="30" s="1"/>
  <c r="J167" i="30" s="1"/>
  <c r="K167" i="30" s="1"/>
  <c r="L167" i="30" s="1"/>
  <c r="M167" i="30" s="1"/>
  <c r="D167" i="30"/>
  <c r="E167" i="30" s="1"/>
  <c r="J166" i="30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B166" i="30" s="1"/>
  <c r="E166" i="30"/>
  <c r="F166" i="30" s="1"/>
  <c r="G166" i="30" s="1"/>
  <c r="H166" i="30" s="1"/>
  <c r="I166" i="30" s="1"/>
  <c r="D166" i="30"/>
  <c r="E165" i="30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B165" i="30" s="1"/>
  <c r="D165" i="30"/>
  <c r="D164" i="30"/>
  <c r="E164" i="30" s="1"/>
  <c r="F164" i="30" s="1"/>
  <c r="G164" i="30" s="1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B164" i="30" s="1"/>
  <c r="F163" i="30"/>
  <c r="G163" i="30" s="1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B163" i="30" s="1"/>
  <c r="D163" i="30"/>
  <c r="E163" i="30" s="1"/>
  <c r="J162" i="30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B162" i="30" s="1"/>
  <c r="G162" i="30"/>
  <c r="H162" i="30" s="1"/>
  <c r="I162" i="30" s="1"/>
  <c r="E162" i="30"/>
  <c r="F162" i="30" s="1"/>
  <c r="D162" i="30"/>
  <c r="K161" i="30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B161" i="30" s="1"/>
  <c r="F161" i="30"/>
  <c r="G161" i="30" s="1"/>
  <c r="H161" i="30" s="1"/>
  <c r="I161" i="30" s="1"/>
  <c r="J161" i="30" s="1"/>
  <c r="D161" i="30"/>
  <c r="E161" i="30" s="1"/>
  <c r="D160" i="30"/>
  <c r="E160" i="30" s="1"/>
  <c r="F160" i="30" s="1"/>
  <c r="G160" i="30" s="1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B160" i="30" s="1"/>
  <c r="G159" i="30"/>
  <c r="H159" i="30" s="1"/>
  <c r="I159" i="30" s="1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B159" i="30" s="1"/>
  <c r="E159" i="30"/>
  <c r="F159" i="30" s="1"/>
  <c r="D159" i="30"/>
  <c r="E158" i="30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B158" i="30" s="1"/>
  <c r="D158" i="30"/>
  <c r="N157" i="30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B157" i="30" s="1"/>
  <c r="F157" i="30"/>
  <c r="G157" i="30" s="1"/>
  <c r="H157" i="30" s="1"/>
  <c r="I157" i="30" s="1"/>
  <c r="J157" i="30" s="1"/>
  <c r="K157" i="30" s="1"/>
  <c r="L157" i="30" s="1"/>
  <c r="M157" i="30" s="1"/>
  <c r="E157" i="30"/>
  <c r="D157" i="30"/>
  <c r="G156" i="30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B156" i="30" s="1"/>
  <c r="D156" i="30"/>
  <c r="E156" i="30" s="1"/>
  <c r="F156" i="30" s="1"/>
  <c r="O154" i="30"/>
  <c r="P154" i="30" s="1"/>
  <c r="Q154" i="30" s="1"/>
  <c r="R154" i="30" s="1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B154" i="30" s="1"/>
  <c r="E154" i="30"/>
  <c r="F154" i="30" s="1"/>
  <c r="G154" i="30" s="1"/>
  <c r="H154" i="30" s="1"/>
  <c r="I154" i="30" s="1"/>
  <c r="J154" i="30" s="1"/>
  <c r="K154" i="30" s="1"/>
  <c r="L154" i="30" s="1"/>
  <c r="M154" i="30" s="1"/>
  <c r="N154" i="30" s="1"/>
  <c r="D154" i="30"/>
  <c r="M153" i="30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B153" i="30" s="1"/>
  <c r="E153" i="30"/>
  <c r="F153" i="30" s="1"/>
  <c r="G153" i="30" s="1"/>
  <c r="H153" i="30" s="1"/>
  <c r="I153" i="30" s="1"/>
  <c r="J153" i="30" s="1"/>
  <c r="K153" i="30" s="1"/>
  <c r="L153" i="30" s="1"/>
  <c r="D153" i="30"/>
  <c r="AC152" i="30"/>
  <c r="AD152" i="30" s="1"/>
  <c r="AE152" i="30" s="1"/>
  <c r="AF152" i="30" s="1"/>
  <c r="B152" i="30" s="1"/>
  <c r="M152" i="30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D152" i="30"/>
  <c r="E152" i="30" s="1"/>
  <c r="F152" i="30" s="1"/>
  <c r="G152" i="30" s="1"/>
  <c r="H152" i="30" s="1"/>
  <c r="I152" i="30" s="1"/>
  <c r="J152" i="30" s="1"/>
  <c r="K152" i="30" s="1"/>
  <c r="L152" i="30" s="1"/>
  <c r="J151" i="30"/>
  <c r="K151" i="30" s="1"/>
  <c r="L151" i="30" s="1"/>
  <c r="M151" i="30" s="1"/>
  <c r="N151" i="30" s="1"/>
  <c r="O151" i="30" s="1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B151" i="30" s="1"/>
  <c r="D151" i="30"/>
  <c r="E151" i="30" s="1"/>
  <c r="F151" i="30" s="1"/>
  <c r="G151" i="30" s="1"/>
  <c r="H151" i="30" s="1"/>
  <c r="I151" i="30" s="1"/>
  <c r="R149" i="30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B149" i="30" s="1"/>
  <c r="H149" i="30"/>
  <c r="I149" i="30" s="1"/>
  <c r="J149" i="30" s="1"/>
  <c r="K149" i="30" s="1"/>
  <c r="L149" i="30" s="1"/>
  <c r="M149" i="30" s="1"/>
  <c r="N149" i="30" s="1"/>
  <c r="O149" i="30" s="1"/>
  <c r="P149" i="30" s="1"/>
  <c r="Q149" i="30" s="1"/>
  <c r="G149" i="30"/>
  <c r="F149" i="30"/>
  <c r="E149" i="30"/>
  <c r="D149" i="30"/>
  <c r="G148" i="30"/>
  <c r="H148" i="30" s="1"/>
  <c r="I148" i="30" s="1"/>
  <c r="J148" i="30" s="1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B148" i="30" s="1"/>
  <c r="D148" i="30"/>
  <c r="E148" i="30" s="1"/>
  <c r="F148" i="30" s="1"/>
  <c r="Q146" i="30"/>
  <c r="R146" i="30" s="1"/>
  <c r="S146" i="30" s="1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AD146" i="30" s="1"/>
  <c r="AE146" i="30" s="1"/>
  <c r="AF146" i="30" s="1"/>
  <c r="B146" i="30" s="1"/>
  <c r="I146" i="30"/>
  <c r="J146" i="30" s="1"/>
  <c r="K146" i="30" s="1"/>
  <c r="L146" i="30" s="1"/>
  <c r="M146" i="30" s="1"/>
  <c r="N146" i="30" s="1"/>
  <c r="O146" i="30" s="1"/>
  <c r="P146" i="30" s="1"/>
  <c r="E146" i="30"/>
  <c r="F146" i="30" s="1"/>
  <c r="G146" i="30" s="1"/>
  <c r="H146" i="30" s="1"/>
  <c r="D146" i="30"/>
  <c r="H145" i="30"/>
  <c r="I145" i="30" s="1"/>
  <c r="J145" i="30" s="1"/>
  <c r="K145" i="30" s="1"/>
  <c r="L145" i="30" s="1"/>
  <c r="M145" i="30" s="1"/>
  <c r="N145" i="30" s="1"/>
  <c r="O145" i="30" s="1"/>
  <c r="P145" i="30" s="1"/>
  <c r="Q145" i="30" s="1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B145" i="30" s="1"/>
  <c r="F145" i="30"/>
  <c r="G145" i="30" s="1"/>
  <c r="D145" i="30"/>
  <c r="E145" i="30" s="1"/>
  <c r="H144" i="30"/>
  <c r="I144" i="30" s="1"/>
  <c r="J144" i="30" s="1"/>
  <c r="K144" i="30" s="1"/>
  <c r="L144" i="30" s="1"/>
  <c r="M144" i="30" s="1"/>
  <c r="N144" i="30" s="1"/>
  <c r="O144" i="30" s="1"/>
  <c r="P144" i="30" s="1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B144" i="30" s="1"/>
  <c r="D144" i="30"/>
  <c r="E144" i="30" s="1"/>
  <c r="F144" i="30" s="1"/>
  <c r="G144" i="30" s="1"/>
  <c r="D143" i="30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B143" i="30" s="1"/>
  <c r="D142" i="30"/>
  <c r="E142" i="30" s="1"/>
  <c r="F142" i="30" s="1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B142" i="30" s="1"/>
  <c r="AA141" i="30"/>
  <c r="AB141" i="30" s="1"/>
  <c r="AC141" i="30" s="1"/>
  <c r="AD141" i="30" s="1"/>
  <c r="AE141" i="30" s="1"/>
  <c r="AF141" i="30" s="1"/>
  <c r="B141" i="30" s="1"/>
  <c r="P141" i="30"/>
  <c r="Q141" i="30" s="1"/>
  <c r="R141" i="30" s="1"/>
  <c r="S141" i="30" s="1"/>
  <c r="T141" i="30" s="1"/>
  <c r="U141" i="30" s="1"/>
  <c r="V141" i="30" s="1"/>
  <c r="W141" i="30" s="1"/>
  <c r="X141" i="30" s="1"/>
  <c r="Y141" i="30" s="1"/>
  <c r="Z141" i="30" s="1"/>
  <c r="I141" i="30"/>
  <c r="J141" i="30" s="1"/>
  <c r="K141" i="30" s="1"/>
  <c r="L141" i="30" s="1"/>
  <c r="M141" i="30" s="1"/>
  <c r="N141" i="30" s="1"/>
  <c r="O141" i="30" s="1"/>
  <c r="G141" i="30"/>
  <c r="H141" i="30" s="1"/>
  <c r="F141" i="30"/>
  <c r="D141" i="30"/>
  <c r="E141" i="30" s="1"/>
  <c r="R140" i="30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B140" i="30" s="1"/>
  <c r="L140" i="30"/>
  <c r="M140" i="30" s="1"/>
  <c r="N140" i="30" s="1"/>
  <c r="O140" i="30" s="1"/>
  <c r="P140" i="30" s="1"/>
  <c r="Q140" i="30" s="1"/>
  <c r="I140" i="30"/>
  <c r="J140" i="30" s="1"/>
  <c r="K140" i="30" s="1"/>
  <c r="E140" i="30"/>
  <c r="F140" i="30" s="1"/>
  <c r="G140" i="30" s="1"/>
  <c r="H140" i="30" s="1"/>
  <c r="D140" i="30"/>
  <c r="W138" i="30"/>
  <c r="X138" i="30" s="1"/>
  <c r="Y138" i="30" s="1"/>
  <c r="Z138" i="30" s="1"/>
  <c r="AA138" i="30" s="1"/>
  <c r="AB138" i="30" s="1"/>
  <c r="AC138" i="30" s="1"/>
  <c r="AD138" i="30" s="1"/>
  <c r="AE138" i="30" s="1"/>
  <c r="AF138" i="30" s="1"/>
  <c r="B138" i="30" s="1"/>
  <c r="D138" i="30"/>
  <c r="E138" i="30" s="1"/>
  <c r="F138" i="30" s="1"/>
  <c r="G138" i="30" s="1"/>
  <c r="H138" i="30" s="1"/>
  <c r="I138" i="30" s="1"/>
  <c r="J138" i="30" s="1"/>
  <c r="K138" i="30" s="1"/>
  <c r="L138" i="30" s="1"/>
  <c r="M138" i="30" s="1"/>
  <c r="N138" i="30" s="1"/>
  <c r="O138" i="30" s="1"/>
  <c r="P138" i="30" s="1"/>
  <c r="Q138" i="30" s="1"/>
  <c r="R138" i="30" s="1"/>
  <c r="S138" i="30" s="1"/>
  <c r="T138" i="30" s="1"/>
  <c r="U138" i="30" s="1"/>
  <c r="V138" i="30" s="1"/>
  <c r="W137" i="30"/>
  <c r="X137" i="30" s="1"/>
  <c r="Y137" i="30" s="1"/>
  <c r="Z137" i="30" s="1"/>
  <c r="AA137" i="30" s="1"/>
  <c r="AB137" i="30" s="1"/>
  <c r="AC137" i="30" s="1"/>
  <c r="AD137" i="30" s="1"/>
  <c r="AE137" i="30" s="1"/>
  <c r="AF137" i="30" s="1"/>
  <c r="B137" i="30" s="1"/>
  <c r="E137" i="30"/>
  <c r="F137" i="30" s="1"/>
  <c r="G137" i="30" s="1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D137" i="30"/>
  <c r="AA136" i="30"/>
  <c r="AB136" i="30" s="1"/>
  <c r="AC136" i="30" s="1"/>
  <c r="AD136" i="30" s="1"/>
  <c r="AE136" i="30" s="1"/>
  <c r="AF136" i="30" s="1"/>
  <c r="B136" i="30" s="1"/>
  <c r="E136" i="30"/>
  <c r="F136" i="30" s="1"/>
  <c r="G136" i="30" s="1"/>
  <c r="H136" i="30" s="1"/>
  <c r="I136" i="30" s="1"/>
  <c r="J136" i="30" s="1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D136" i="30"/>
  <c r="AA135" i="30"/>
  <c r="AB135" i="30" s="1"/>
  <c r="AC135" i="30" s="1"/>
  <c r="AD135" i="30" s="1"/>
  <c r="AE135" i="30" s="1"/>
  <c r="AF135" i="30" s="1"/>
  <c r="B135" i="30" s="1"/>
  <c r="I135" i="30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E135" i="30"/>
  <c r="F135" i="30" s="1"/>
  <c r="G135" i="30" s="1"/>
  <c r="H135" i="30" s="1"/>
  <c r="D135" i="30"/>
  <c r="O134" i="30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B134" i="30" s="1"/>
  <c r="D134" i="30"/>
  <c r="E134" i="30" s="1"/>
  <c r="F134" i="30" s="1"/>
  <c r="G134" i="30" s="1"/>
  <c r="H134" i="30" s="1"/>
  <c r="I134" i="30" s="1"/>
  <c r="J134" i="30" s="1"/>
  <c r="K134" i="30" s="1"/>
  <c r="L134" i="30" s="1"/>
  <c r="M134" i="30" s="1"/>
  <c r="N134" i="30" s="1"/>
  <c r="E133" i="30"/>
  <c r="F133" i="30" s="1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B133" i="30" s="1"/>
  <c r="D133" i="30"/>
  <c r="U132" i="30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B132" i="30" s="1"/>
  <c r="R132" i="30"/>
  <c r="S132" i="30" s="1"/>
  <c r="T132" i="30" s="1"/>
  <c r="E132" i="30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D132" i="30"/>
  <c r="E131" i="30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B131" i="30" s="1"/>
  <c r="D131" i="30"/>
  <c r="D129" i="30"/>
  <c r="E129" i="30" s="1"/>
  <c r="F129" i="30" s="1"/>
  <c r="G129" i="30" s="1"/>
  <c r="H129" i="30" s="1"/>
  <c r="I129" i="30" s="1"/>
  <c r="J129" i="30" s="1"/>
  <c r="K129" i="30" s="1"/>
  <c r="L129" i="30" s="1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B129" i="30" s="1"/>
  <c r="E128" i="30"/>
  <c r="F128" i="30" s="1"/>
  <c r="G128" i="30" s="1"/>
  <c r="H128" i="30" s="1"/>
  <c r="I128" i="30" s="1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B128" i="30" s="1"/>
  <c r="D128" i="30"/>
  <c r="J127" i="30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B127" i="30" s="1"/>
  <c r="G127" i="30"/>
  <c r="H127" i="30" s="1"/>
  <c r="I127" i="30" s="1"/>
  <c r="E127" i="30"/>
  <c r="F127" i="30" s="1"/>
  <c r="D127" i="30"/>
  <c r="H126" i="30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B126" i="30" s="1"/>
  <c r="E126" i="30"/>
  <c r="F126" i="30" s="1"/>
  <c r="G126" i="30" s="1"/>
  <c r="D126" i="30"/>
  <c r="K125" i="30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B125" i="30" s="1"/>
  <c r="J125" i="30"/>
  <c r="E125" i="30"/>
  <c r="F125" i="30" s="1"/>
  <c r="G125" i="30" s="1"/>
  <c r="H125" i="30" s="1"/>
  <c r="D125" i="30"/>
  <c r="D124" i="30"/>
  <c r="E124" i="30" s="1"/>
  <c r="F124" i="30" s="1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B124" i="30" s="1"/>
  <c r="F123" i="30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B123" i="30" s="1"/>
  <c r="E123" i="30"/>
  <c r="D123" i="30"/>
  <c r="D122" i="30"/>
  <c r="E122" i="30" s="1"/>
  <c r="F122" i="30" s="1"/>
  <c r="G122" i="30" s="1"/>
  <c r="H122" i="30" s="1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B122" i="30" s="1"/>
  <c r="J121" i="30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B121" i="30" s="1"/>
  <c r="E121" i="30"/>
  <c r="F121" i="30" s="1"/>
  <c r="G121" i="30" s="1"/>
  <c r="H121" i="30" s="1"/>
  <c r="I121" i="30" s="1"/>
  <c r="D121" i="30"/>
  <c r="D120" i="30"/>
  <c r="E120" i="30" s="1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B120" i="30" s="1"/>
  <c r="F119" i="30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B119" i="30" s="1"/>
  <c r="E119" i="30"/>
  <c r="D119" i="30"/>
  <c r="D118" i="30"/>
  <c r="E118" i="30" s="1"/>
  <c r="F118" i="30" s="1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B118" i="30" s="1"/>
  <c r="D117" i="30"/>
  <c r="E117" i="30" s="1"/>
  <c r="F117" i="30" s="1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B117" i="30" s="1"/>
  <c r="H116" i="30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B116" i="30" s="1"/>
  <c r="D116" i="30"/>
  <c r="E116" i="30" s="1"/>
  <c r="F116" i="30" s="1"/>
  <c r="G116" i="30" s="1"/>
  <c r="F115" i="30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B115" i="30" s="1"/>
  <c r="E115" i="30"/>
  <c r="D115" i="30"/>
  <c r="L114" i="30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B114" i="30" s="1"/>
  <c r="K114" i="30"/>
  <c r="E114" i="30"/>
  <c r="F114" i="30" s="1"/>
  <c r="G114" i="30" s="1"/>
  <c r="H114" i="30" s="1"/>
  <c r="I114" i="30" s="1"/>
  <c r="D114" i="30"/>
  <c r="I113" i="30"/>
  <c r="J113" i="30" s="1"/>
  <c r="K113" i="30" s="1"/>
  <c r="L113" i="30" s="1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B113" i="30" s="1"/>
  <c r="D113" i="30"/>
  <c r="E113" i="30" s="1"/>
  <c r="F113" i="30" s="1"/>
  <c r="G113" i="30" s="1"/>
  <c r="H113" i="30" s="1"/>
  <c r="E112" i="30"/>
  <c r="F112" i="30" s="1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B112" i="30" s="1"/>
  <c r="D112" i="30"/>
  <c r="E110" i="30"/>
  <c r="F110" i="30" s="1"/>
  <c r="G110" i="30" s="1"/>
  <c r="H110" i="30" s="1"/>
  <c r="I110" i="30" s="1"/>
  <c r="J110" i="30" s="1"/>
  <c r="K110" i="30" s="1"/>
  <c r="L110" i="30" s="1"/>
  <c r="M110" i="30" s="1"/>
  <c r="N110" i="30" s="1"/>
  <c r="O110" i="30" s="1"/>
  <c r="P110" i="30" s="1"/>
  <c r="Q110" i="30" s="1"/>
  <c r="R110" i="30" s="1"/>
  <c r="S110" i="30" s="1"/>
  <c r="T110" i="30" s="1"/>
  <c r="U110" i="30" s="1"/>
  <c r="V110" i="30" s="1"/>
  <c r="W110" i="30" s="1"/>
  <c r="X110" i="30" s="1"/>
  <c r="Y110" i="30" s="1"/>
  <c r="Z110" i="30" s="1"/>
  <c r="AA110" i="30" s="1"/>
  <c r="AB110" i="30" s="1"/>
  <c r="AC110" i="30" s="1"/>
  <c r="AD110" i="30" s="1"/>
  <c r="AE110" i="30" s="1"/>
  <c r="AF110" i="30" s="1"/>
  <c r="B110" i="30" s="1"/>
  <c r="D110" i="30"/>
  <c r="F109" i="30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B109" i="30" s="1"/>
  <c r="E109" i="30"/>
  <c r="D109" i="30"/>
  <c r="D107" i="30"/>
  <c r="E107" i="30" s="1"/>
  <c r="F107" i="30" s="1"/>
  <c r="G107" i="30" s="1"/>
  <c r="H107" i="30" s="1"/>
  <c r="I107" i="30" s="1"/>
  <c r="J107" i="30" s="1"/>
  <c r="K107" i="30" s="1"/>
  <c r="L107" i="30" s="1"/>
  <c r="M107" i="30" s="1"/>
  <c r="N107" i="30" s="1"/>
  <c r="O107" i="30" s="1"/>
  <c r="P107" i="30" s="1"/>
  <c r="Q107" i="30" s="1"/>
  <c r="R107" i="30" s="1"/>
  <c r="S107" i="30" s="1"/>
  <c r="T107" i="30" s="1"/>
  <c r="U107" i="30" s="1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B107" i="30" s="1"/>
  <c r="G106" i="30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B106" i="30" s="1"/>
  <c r="E106" i="30"/>
  <c r="F106" i="30" s="1"/>
  <c r="D106" i="30"/>
  <c r="E105" i="30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B105" i="30" s="1"/>
  <c r="D105" i="30"/>
  <c r="G104" i="30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B104" i="30" s="1"/>
  <c r="F104" i="30"/>
  <c r="E104" i="30"/>
  <c r="D104" i="30"/>
  <c r="D103" i="30"/>
  <c r="D93" i="30" s="1"/>
  <c r="D102" i="30"/>
  <c r="D192" i="30" s="1"/>
  <c r="AH100" i="30"/>
  <c r="AI100" i="30" s="1"/>
  <c r="AH99" i="30"/>
  <c r="AI99" i="30" s="1"/>
  <c r="AH98" i="30"/>
  <c r="AI98" i="30" s="1"/>
  <c r="AH97" i="30"/>
  <c r="AI97" i="30" s="1"/>
  <c r="AH96" i="30"/>
  <c r="AI96" i="30" s="1"/>
  <c r="AH95" i="30"/>
  <c r="AI95" i="30" s="1"/>
  <c r="AH94" i="30"/>
  <c r="AI94" i="30" s="1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G82" i="30"/>
  <c r="AB82" i="30"/>
  <c r="AI81" i="30"/>
  <c r="AH81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AF76" i="30"/>
  <c r="AE76" i="30"/>
  <c r="AD76" i="30"/>
  <c r="AC76" i="30"/>
  <c r="AB76" i="30"/>
  <c r="AA76" i="30"/>
  <c r="Z76" i="30"/>
  <c r="Y76" i="30"/>
  <c r="X76" i="30"/>
  <c r="W76" i="30"/>
  <c r="W82" i="30" s="1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AI74" i="30"/>
  <c r="AH74" i="30"/>
  <c r="AI72" i="30"/>
  <c r="AH72" i="30"/>
  <c r="AG72" i="30"/>
  <c r="AI71" i="30"/>
  <c r="AH71" i="30"/>
  <c r="AI70" i="30"/>
  <c r="AH70" i="30"/>
  <c r="AI69" i="30"/>
  <c r="AH69" i="30"/>
  <c r="AG68" i="30"/>
  <c r="AG75" i="30" s="1"/>
  <c r="AF68" i="30"/>
  <c r="AE68" i="30"/>
  <c r="AD5" i="30" s="1"/>
  <c r="AD68" i="30"/>
  <c r="AC5" i="30" s="1"/>
  <c r="AC68" i="30"/>
  <c r="AB68" i="30"/>
  <c r="AA5" i="30" s="1"/>
  <c r="AA68" i="30"/>
  <c r="Z5" i="30" s="1"/>
  <c r="Z68" i="30"/>
  <c r="Y5" i="30" s="1"/>
  <c r="Y68" i="30"/>
  <c r="X5" i="30" s="1"/>
  <c r="X68" i="30"/>
  <c r="W68" i="30"/>
  <c r="V5" i="30" s="1"/>
  <c r="V68" i="30"/>
  <c r="U5" i="30" s="1"/>
  <c r="U68" i="30"/>
  <c r="T68" i="30"/>
  <c r="S5" i="30" s="1"/>
  <c r="S68" i="30"/>
  <c r="R5" i="30" s="1"/>
  <c r="R68" i="30"/>
  <c r="Q5" i="30" s="1"/>
  <c r="Q68" i="30"/>
  <c r="P5" i="30" s="1"/>
  <c r="P68" i="30"/>
  <c r="O68" i="30"/>
  <c r="N68" i="30"/>
  <c r="M5" i="30" s="1"/>
  <c r="M68" i="30"/>
  <c r="L68" i="30"/>
  <c r="K5" i="30" s="1"/>
  <c r="K68" i="30"/>
  <c r="J5" i="30" s="1"/>
  <c r="J68" i="30"/>
  <c r="I5" i="30" s="1"/>
  <c r="I68" i="30"/>
  <c r="H5" i="30" s="1"/>
  <c r="H68" i="30"/>
  <c r="G68" i="30"/>
  <c r="F68" i="30"/>
  <c r="E5" i="30" s="1"/>
  <c r="E68" i="30"/>
  <c r="D68" i="30"/>
  <c r="C5" i="30" s="1"/>
  <c r="AI67" i="30"/>
  <c r="AH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G56" i="30"/>
  <c r="AG4" i="30" s="1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AI55" i="30"/>
  <c r="AH55" i="30"/>
  <c r="AI54" i="30"/>
  <c r="AH54" i="30"/>
  <c r="AI53" i="30"/>
  <c r="AH53" i="30"/>
  <c r="AG52" i="30"/>
  <c r="AG3" i="30" s="1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AI51" i="30"/>
  <c r="AH51" i="30"/>
  <c r="AG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G38" i="30"/>
  <c r="AG2" i="30" s="1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F5" i="30"/>
  <c r="L5" i="30"/>
  <c r="B5" i="30"/>
  <c r="K4" i="30"/>
  <c r="B4" i="30"/>
  <c r="AE94" i="29"/>
  <c r="AE37" i="29"/>
  <c r="AD37" i="29"/>
  <c r="AC37" i="29"/>
  <c r="AB37" i="29"/>
  <c r="AA37" i="29"/>
  <c r="Z37" i="29"/>
  <c r="Y37" i="29"/>
  <c r="X37" i="29"/>
  <c r="W37" i="29"/>
  <c r="V95" i="29"/>
  <c r="V37" i="29"/>
  <c r="U37" i="29"/>
  <c r="T37" i="29"/>
  <c r="S95" i="29"/>
  <c r="S37" i="29"/>
  <c r="R95" i="29"/>
  <c r="R94" i="29"/>
  <c r="R37" i="29"/>
  <c r="Q37" i="29"/>
  <c r="P37" i="29"/>
  <c r="O37" i="29"/>
  <c r="N37" i="29"/>
  <c r="M37" i="29"/>
  <c r="K37" i="29"/>
  <c r="J37" i="29"/>
  <c r="I37" i="29"/>
  <c r="H37" i="29"/>
  <c r="G37" i="29"/>
  <c r="F37" i="29"/>
  <c r="E37" i="29"/>
  <c r="D37" i="29"/>
  <c r="C37" i="29"/>
  <c r="B80" i="29"/>
  <c r="B79" i="29"/>
  <c r="B78" i="29"/>
  <c r="B77" i="29"/>
  <c r="B76" i="29"/>
  <c r="B82" i="29" s="1"/>
  <c r="B68" i="29"/>
  <c r="B83" i="29" s="1"/>
  <c r="B56" i="29"/>
  <c r="B52" i="29"/>
  <c r="AF239" i="29"/>
  <c r="AE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A239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C235" i="29"/>
  <c r="B235" i="29"/>
  <c r="S210" i="29"/>
  <c r="AG200" i="29"/>
  <c r="C200" i="29"/>
  <c r="E199" i="29"/>
  <c r="D199" i="29"/>
  <c r="D198" i="29"/>
  <c r="E198" i="29" s="1"/>
  <c r="F198" i="29" s="1"/>
  <c r="G198" i="29" s="1"/>
  <c r="H198" i="29" s="1"/>
  <c r="I198" i="29" s="1"/>
  <c r="J198" i="29" s="1"/>
  <c r="K198" i="29" s="1"/>
  <c r="L198" i="29" s="1"/>
  <c r="M198" i="29" s="1"/>
  <c r="N198" i="29" s="1"/>
  <c r="O198" i="29" s="1"/>
  <c r="P198" i="29" s="1"/>
  <c r="Q198" i="29" s="1"/>
  <c r="R198" i="29" s="1"/>
  <c r="S198" i="29" s="1"/>
  <c r="T198" i="29" s="1"/>
  <c r="U198" i="29" s="1"/>
  <c r="V198" i="29" s="1"/>
  <c r="W198" i="29" s="1"/>
  <c r="X198" i="29" s="1"/>
  <c r="Y198" i="29" s="1"/>
  <c r="Z198" i="29" s="1"/>
  <c r="AA198" i="29" s="1"/>
  <c r="AB198" i="29" s="1"/>
  <c r="AC198" i="29" s="1"/>
  <c r="AD198" i="29" s="1"/>
  <c r="AE198" i="29" s="1"/>
  <c r="AF198" i="29" s="1"/>
  <c r="B198" i="29" s="1"/>
  <c r="G197" i="29"/>
  <c r="H197" i="29" s="1"/>
  <c r="I197" i="29" s="1"/>
  <c r="J197" i="29" s="1"/>
  <c r="K197" i="29" s="1"/>
  <c r="L197" i="29" s="1"/>
  <c r="M197" i="29" s="1"/>
  <c r="N197" i="29" s="1"/>
  <c r="O197" i="29" s="1"/>
  <c r="P197" i="29" s="1"/>
  <c r="Q197" i="29" s="1"/>
  <c r="R197" i="29" s="1"/>
  <c r="S197" i="29" s="1"/>
  <c r="T197" i="29" s="1"/>
  <c r="U197" i="29" s="1"/>
  <c r="V197" i="29" s="1"/>
  <c r="W197" i="29" s="1"/>
  <c r="X197" i="29" s="1"/>
  <c r="Y197" i="29" s="1"/>
  <c r="Z197" i="29" s="1"/>
  <c r="AA197" i="29" s="1"/>
  <c r="AB197" i="29" s="1"/>
  <c r="AC197" i="29" s="1"/>
  <c r="AD197" i="29" s="1"/>
  <c r="AE197" i="29" s="1"/>
  <c r="AF197" i="29" s="1"/>
  <c r="B197" i="29" s="1"/>
  <c r="D197" i="29"/>
  <c r="E197" i="29" s="1"/>
  <c r="F197" i="29" s="1"/>
  <c r="G196" i="29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W196" i="29" s="1"/>
  <c r="X196" i="29" s="1"/>
  <c r="Y196" i="29" s="1"/>
  <c r="Z196" i="29" s="1"/>
  <c r="AA196" i="29" s="1"/>
  <c r="AB196" i="29" s="1"/>
  <c r="AC196" i="29" s="1"/>
  <c r="AD196" i="29" s="1"/>
  <c r="AE196" i="29" s="1"/>
  <c r="AF196" i="29" s="1"/>
  <c r="B196" i="29" s="1"/>
  <c r="E196" i="29"/>
  <c r="F196" i="29" s="1"/>
  <c r="D196" i="29"/>
  <c r="E195" i="29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B195" i="29" s="1"/>
  <c r="D195" i="29"/>
  <c r="E194" i="29"/>
  <c r="D194" i="29"/>
  <c r="D200" i="29" s="1"/>
  <c r="AG192" i="29"/>
  <c r="C192" i="29"/>
  <c r="D191" i="29"/>
  <c r="E191" i="29" s="1"/>
  <c r="F191" i="29" s="1"/>
  <c r="G191" i="29" s="1"/>
  <c r="H191" i="29" s="1"/>
  <c r="I191" i="29" s="1"/>
  <c r="J191" i="29" s="1"/>
  <c r="K191" i="29" s="1"/>
  <c r="L191" i="29" s="1"/>
  <c r="M191" i="29" s="1"/>
  <c r="N191" i="29" s="1"/>
  <c r="O191" i="29" s="1"/>
  <c r="P191" i="29" s="1"/>
  <c r="Q191" i="29" s="1"/>
  <c r="R191" i="29" s="1"/>
  <c r="S191" i="29" s="1"/>
  <c r="T191" i="29" s="1"/>
  <c r="U191" i="29" s="1"/>
  <c r="V191" i="29" s="1"/>
  <c r="W191" i="29" s="1"/>
  <c r="X191" i="29" s="1"/>
  <c r="Y191" i="29" s="1"/>
  <c r="Z191" i="29" s="1"/>
  <c r="AA191" i="29" s="1"/>
  <c r="AB191" i="29" s="1"/>
  <c r="AC191" i="29" s="1"/>
  <c r="AD191" i="29" s="1"/>
  <c r="AE191" i="29" s="1"/>
  <c r="AF191" i="29" s="1"/>
  <c r="B191" i="29" s="1"/>
  <c r="M190" i="29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B190" i="29" s="1"/>
  <c r="F190" i="29"/>
  <c r="G190" i="29" s="1"/>
  <c r="H190" i="29" s="1"/>
  <c r="I190" i="29" s="1"/>
  <c r="J190" i="29" s="1"/>
  <c r="K190" i="29" s="1"/>
  <c r="L190" i="29" s="1"/>
  <c r="E190" i="29"/>
  <c r="D190" i="29"/>
  <c r="L189" i="29"/>
  <c r="M189" i="29" s="1"/>
  <c r="N189" i="29" s="1"/>
  <c r="O189" i="29" s="1"/>
  <c r="P189" i="29" s="1"/>
  <c r="Q189" i="29" s="1"/>
  <c r="R189" i="29" s="1"/>
  <c r="S189" i="29" s="1"/>
  <c r="T189" i="29" s="1"/>
  <c r="U189" i="29" s="1"/>
  <c r="V189" i="29" s="1"/>
  <c r="W189" i="29" s="1"/>
  <c r="X189" i="29" s="1"/>
  <c r="Y189" i="29" s="1"/>
  <c r="Z189" i="29" s="1"/>
  <c r="AA189" i="29" s="1"/>
  <c r="AB189" i="29" s="1"/>
  <c r="AC189" i="29" s="1"/>
  <c r="AD189" i="29" s="1"/>
  <c r="AE189" i="29" s="1"/>
  <c r="AF189" i="29" s="1"/>
  <c r="B189" i="29" s="1"/>
  <c r="E189" i="29"/>
  <c r="F189" i="29" s="1"/>
  <c r="G189" i="29" s="1"/>
  <c r="H189" i="29" s="1"/>
  <c r="I189" i="29" s="1"/>
  <c r="J189" i="29" s="1"/>
  <c r="K189" i="29" s="1"/>
  <c r="D189" i="29"/>
  <c r="D188" i="29"/>
  <c r="E188" i="29" s="1"/>
  <c r="F188" i="29" s="1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R188" i="29" s="1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B188" i="29" s="1"/>
  <c r="H187" i="29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B187" i="29" s="1"/>
  <c r="G187" i="29"/>
  <c r="D187" i="29"/>
  <c r="E187" i="29" s="1"/>
  <c r="F187" i="29" s="1"/>
  <c r="F186" i="29"/>
  <c r="G186" i="29" s="1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B186" i="29" s="1"/>
  <c r="E186" i="29"/>
  <c r="D186" i="29"/>
  <c r="E185" i="29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B185" i="29" s="1"/>
  <c r="D185" i="29"/>
  <c r="AB184" i="29"/>
  <c r="AC184" i="29" s="1"/>
  <c r="AD184" i="29" s="1"/>
  <c r="AE184" i="29" s="1"/>
  <c r="AF184" i="29" s="1"/>
  <c r="B184" i="29" s="1"/>
  <c r="F184" i="29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E184" i="29"/>
  <c r="D184" i="29"/>
  <c r="D183" i="29"/>
  <c r="E183" i="29" s="1"/>
  <c r="F183" i="29" s="1"/>
  <c r="G183" i="29" s="1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B183" i="29" s="1"/>
  <c r="N182" i="29"/>
  <c r="O182" i="29" s="1"/>
  <c r="P182" i="29" s="1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B182" i="29" s="1"/>
  <c r="I182" i="29"/>
  <c r="J182" i="29" s="1"/>
  <c r="K182" i="29" s="1"/>
  <c r="L182" i="29" s="1"/>
  <c r="M182" i="29" s="1"/>
  <c r="E182" i="29"/>
  <c r="F182" i="29" s="1"/>
  <c r="G182" i="29" s="1"/>
  <c r="H182" i="29" s="1"/>
  <c r="D182" i="29"/>
  <c r="J181" i="29"/>
  <c r="K181" i="29" s="1"/>
  <c r="L181" i="29" s="1"/>
  <c r="M181" i="29" s="1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B181" i="29" s="1"/>
  <c r="D181" i="29"/>
  <c r="E181" i="29" s="1"/>
  <c r="F181" i="29" s="1"/>
  <c r="G181" i="29" s="1"/>
  <c r="H181" i="29" s="1"/>
  <c r="I181" i="29" s="1"/>
  <c r="F180" i="29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B180" i="29" s="1"/>
  <c r="E180" i="29"/>
  <c r="D180" i="29"/>
  <c r="K179" i="29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B179" i="29" s="1"/>
  <c r="D179" i="29"/>
  <c r="E179" i="29" s="1"/>
  <c r="F179" i="29" s="1"/>
  <c r="G179" i="29" s="1"/>
  <c r="H179" i="29" s="1"/>
  <c r="I179" i="29" s="1"/>
  <c r="J179" i="29" s="1"/>
  <c r="E177" i="29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U177" i="29" s="1"/>
  <c r="V177" i="29" s="1"/>
  <c r="W177" i="29" s="1"/>
  <c r="X177" i="29" s="1"/>
  <c r="Y177" i="29" s="1"/>
  <c r="Z177" i="29" s="1"/>
  <c r="AA177" i="29" s="1"/>
  <c r="AB177" i="29" s="1"/>
  <c r="AC177" i="29" s="1"/>
  <c r="AD177" i="29" s="1"/>
  <c r="AE177" i="29" s="1"/>
  <c r="AF177" i="29" s="1"/>
  <c r="B177" i="29" s="1"/>
  <c r="D177" i="29"/>
  <c r="T176" i="29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B176" i="29" s="1"/>
  <c r="D176" i="29"/>
  <c r="E176" i="29" s="1"/>
  <c r="F176" i="29" s="1"/>
  <c r="G176" i="29" s="1"/>
  <c r="H176" i="29" s="1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D175" i="29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B175" i="29" s="1"/>
  <c r="D174" i="29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B174" i="29" s="1"/>
  <c r="P173" i="29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B173" i="29" s="1"/>
  <c r="E173" i="29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D173" i="29"/>
  <c r="D172" i="29"/>
  <c r="E172" i="29" s="1"/>
  <c r="F172" i="29" s="1"/>
  <c r="G172" i="29" s="1"/>
  <c r="H172" i="29" s="1"/>
  <c r="I172" i="29" s="1"/>
  <c r="J172" i="29" s="1"/>
  <c r="K172" i="29" s="1"/>
  <c r="L172" i="29" s="1"/>
  <c r="M172" i="29" s="1"/>
  <c r="N172" i="29" s="1"/>
  <c r="O172" i="29" s="1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B172" i="29" s="1"/>
  <c r="R171" i="29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B171" i="29" s="1"/>
  <c r="G171" i="29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D171" i="29"/>
  <c r="E171" i="29" s="1"/>
  <c r="F171" i="29" s="1"/>
  <c r="D170" i="29"/>
  <c r="E170" i="29" s="1"/>
  <c r="F170" i="29" s="1"/>
  <c r="G170" i="29" s="1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B170" i="29" s="1"/>
  <c r="D168" i="29"/>
  <c r="E168" i="29" s="1"/>
  <c r="F168" i="29" s="1"/>
  <c r="G168" i="29" s="1"/>
  <c r="H168" i="29" s="1"/>
  <c r="I168" i="29" s="1"/>
  <c r="J168" i="29" s="1"/>
  <c r="K168" i="29" s="1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B168" i="29" s="1"/>
  <c r="F167" i="29"/>
  <c r="G167" i="29" s="1"/>
  <c r="H167" i="29" s="1"/>
  <c r="I167" i="29" s="1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B167" i="29" s="1"/>
  <c r="E167" i="29"/>
  <c r="D167" i="29"/>
  <c r="D166" i="29"/>
  <c r="E166" i="29" s="1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B166" i="29" s="1"/>
  <c r="F165" i="29"/>
  <c r="G165" i="29" s="1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B165" i="29" s="1"/>
  <c r="E165" i="29"/>
  <c r="D165" i="29"/>
  <c r="D164" i="29"/>
  <c r="E164" i="29" s="1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B164" i="29" s="1"/>
  <c r="F163" i="29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B163" i="29" s="1"/>
  <c r="E163" i="29"/>
  <c r="D163" i="29"/>
  <c r="H162" i="29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B162" i="29" s="1"/>
  <c r="D162" i="29"/>
  <c r="E162" i="29" s="1"/>
  <c r="F162" i="29" s="1"/>
  <c r="G162" i="29" s="1"/>
  <c r="F161" i="29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B161" i="29" s="1"/>
  <c r="E161" i="29"/>
  <c r="D161" i="29"/>
  <c r="L160" i="29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B160" i="29" s="1"/>
  <c r="H160" i="29"/>
  <c r="I160" i="29" s="1"/>
  <c r="J160" i="29" s="1"/>
  <c r="K160" i="29" s="1"/>
  <c r="D160" i="29"/>
  <c r="E160" i="29" s="1"/>
  <c r="F160" i="29" s="1"/>
  <c r="G160" i="29" s="1"/>
  <c r="J159" i="29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B159" i="29" s="1"/>
  <c r="F159" i="29"/>
  <c r="G159" i="29" s="1"/>
  <c r="H159" i="29" s="1"/>
  <c r="I159" i="29" s="1"/>
  <c r="E159" i="29"/>
  <c r="D159" i="29"/>
  <c r="G158" i="29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B158" i="29" s="1"/>
  <c r="D158" i="29"/>
  <c r="E158" i="29" s="1"/>
  <c r="F158" i="29" s="1"/>
  <c r="E157" i="29"/>
  <c r="F157" i="29" s="1"/>
  <c r="G157" i="29" s="1"/>
  <c r="H157" i="29" s="1"/>
  <c r="I157" i="29" s="1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B157" i="29" s="1"/>
  <c r="D157" i="29"/>
  <c r="S156" i="29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B156" i="29" s="1"/>
  <c r="D156" i="29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J154" i="29"/>
  <c r="K154" i="29" s="1"/>
  <c r="L154" i="29" s="1"/>
  <c r="M154" i="29" s="1"/>
  <c r="N154" i="29" s="1"/>
  <c r="O154" i="29" s="1"/>
  <c r="P154" i="29" s="1"/>
  <c r="Q154" i="29" s="1"/>
  <c r="R154" i="29" s="1"/>
  <c r="S154" i="29" s="1"/>
  <c r="T154" i="29" s="1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B154" i="29" s="1"/>
  <c r="E154" i="29"/>
  <c r="F154" i="29" s="1"/>
  <c r="G154" i="29" s="1"/>
  <c r="H154" i="29" s="1"/>
  <c r="I154" i="29" s="1"/>
  <c r="D154" i="29"/>
  <c r="H153" i="29"/>
  <c r="I153" i="29" s="1"/>
  <c r="J153" i="29" s="1"/>
  <c r="K153" i="29" s="1"/>
  <c r="L153" i="29" s="1"/>
  <c r="M153" i="29" s="1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B153" i="29" s="1"/>
  <c r="G153" i="29"/>
  <c r="D153" i="29"/>
  <c r="E153" i="29" s="1"/>
  <c r="F153" i="29" s="1"/>
  <c r="F152" i="29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B152" i="29" s="1"/>
  <c r="E152" i="29"/>
  <c r="D152" i="29"/>
  <c r="G151" i="29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B151" i="29" s="1"/>
  <c r="D151" i="29"/>
  <c r="E151" i="29" s="1"/>
  <c r="F151" i="29" s="1"/>
  <c r="H149" i="29"/>
  <c r="I149" i="29" s="1"/>
  <c r="J149" i="29" s="1"/>
  <c r="K149" i="29" s="1"/>
  <c r="L149" i="29" s="1"/>
  <c r="M149" i="29" s="1"/>
  <c r="N149" i="29" s="1"/>
  <c r="O149" i="29" s="1"/>
  <c r="P149" i="29" s="1"/>
  <c r="Q149" i="29" s="1"/>
  <c r="R149" i="29" s="1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B149" i="29" s="1"/>
  <c r="E149" i="29"/>
  <c r="F149" i="29" s="1"/>
  <c r="G149" i="29" s="1"/>
  <c r="D149" i="29"/>
  <c r="K148" i="29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B148" i="29" s="1"/>
  <c r="F148" i="29"/>
  <c r="G148" i="29" s="1"/>
  <c r="H148" i="29" s="1"/>
  <c r="I148" i="29" s="1"/>
  <c r="J148" i="29" s="1"/>
  <c r="E148" i="29"/>
  <c r="D148" i="29"/>
  <c r="D146" i="29"/>
  <c r="E146" i="29" s="1"/>
  <c r="F146" i="29" s="1"/>
  <c r="G146" i="29" s="1"/>
  <c r="H146" i="29" s="1"/>
  <c r="I146" i="29" s="1"/>
  <c r="J146" i="29" s="1"/>
  <c r="K146" i="29" s="1"/>
  <c r="L146" i="29" s="1"/>
  <c r="M146" i="29" s="1"/>
  <c r="N146" i="29" s="1"/>
  <c r="O146" i="29" s="1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B146" i="29" s="1"/>
  <c r="D145" i="29"/>
  <c r="E145" i="29" s="1"/>
  <c r="F145" i="29" s="1"/>
  <c r="G145" i="29" s="1"/>
  <c r="H145" i="29" s="1"/>
  <c r="I145" i="29" s="1"/>
  <c r="J145" i="29" s="1"/>
  <c r="K145" i="29" s="1"/>
  <c r="L145" i="29" s="1"/>
  <c r="M145" i="29" s="1"/>
  <c r="N145" i="29" s="1"/>
  <c r="O145" i="29" s="1"/>
  <c r="P145" i="29" s="1"/>
  <c r="Q145" i="29" s="1"/>
  <c r="R145" i="29" s="1"/>
  <c r="S145" i="29" s="1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B145" i="29" s="1"/>
  <c r="P144" i="29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B144" i="29" s="1"/>
  <c r="G144" i="29"/>
  <c r="H144" i="29" s="1"/>
  <c r="I144" i="29" s="1"/>
  <c r="J144" i="29" s="1"/>
  <c r="K144" i="29" s="1"/>
  <c r="L144" i="29" s="1"/>
  <c r="M144" i="29" s="1"/>
  <c r="N144" i="29" s="1"/>
  <c r="O144" i="29" s="1"/>
  <c r="E144" i="29"/>
  <c r="F144" i="29" s="1"/>
  <c r="D144" i="29"/>
  <c r="F143" i="29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B143" i="29" s="1"/>
  <c r="E143" i="29"/>
  <c r="D143" i="29"/>
  <c r="S142" i="29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B142" i="29" s="1"/>
  <c r="I142" i="29"/>
  <c r="J142" i="29" s="1"/>
  <c r="K142" i="29" s="1"/>
  <c r="L142" i="29" s="1"/>
  <c r="M142" i="29" s="1"/>
  <c r="N142" i="29" s="1"/>
  <c r="O142" i="29" s="1"/>
  <c r="P142" i="29" s="1"/>
  <c r="Q142" i="29" s="1"/>
  <c r="R142" i="29" s="1"/>
  <c r="D142" i="29"/>
  <c r="E142" i="29" s="1"/>
  <c r="F142" i="29" s="1"/>
  <c r="G142" i="29" s="1"/>
  <c r="H142" i="29" s="1"/>
  <c r="G141" i="29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B141" i="29" s="1"/>
  <c r="D141" i="29"/>
  <c r="E141" i="29" s="1"/>
  <c r="F141" i="29" s="1"/>
  <c r="P140" i="29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B140" i="29" s="1"/>
  <c r="G140" i="29"/>
  <c r="H140" i="29" s="1"/>
  <c r="I140" i="29" s="1"/>
  <c r="J140" i="29" s="1"/>
  <c r="K140" i="29" s="1"/>
  <c r="L140" i="29" s="1"/>
  <c r="M140" i="29" s="1"/>
  <c r="N140" i="29" s="1"/>
  <c r="O140" i="29" s="1"/>
  <c r="E140" i="29"/>
  <c r="F140" i="29" s="1"/>
  <c r="D140" i="29"/>
  <c r="F138" i="29"/>
  <c r="G138" i="29" s="1"/>
  <c r="H138" i="29" s="1"/>
  <c r="I138" i="29" s="1"/>
  <c r="J138" i="29" s="1"/>
  <c r="K138" i="29" s="1"/>
  <c r="L138" i="29" s="1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B138" i="29" s="1"/>
  <c r="E138" i="29"/>
  <c r="D138" i="29"/>
  <c r="T137" i="29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B137" i="29" s="1"/>
  <c r="D137" i="29"/>
  <c r="E137" i="29" s="1"/>
  <c r="F137" i="29" s="1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V136" i="29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B136" i="29" s="1"/>
  <c r="I136" i="29"/>
  <c r="J136" i="29" s="1"/>
  <c r="K136" i="29" s="1"/>
  <c r="L136" i="29" s="1"/>
  <c r="M136" i="29" s="1"/>
  <c r="N136" i="29" s="1"/>
  <c r="O136" i="29" s="1"/>
  <c r="P136" i="29" s="1"/>
  <c r="Q136" i="29" s="1"/>
  <c r="R136" i="29" s="1"/>
  <c r="S136" i="29" s="1"/>
  <c r="T136" i="29" s="1"/>
  <c r="U136" i="29" s="1"/>
  <c r="D136" i="29"/>
  <c r="E136" i="29" s="1"/>
  <c r="F136" i="29" s="1"/>
  <c r="G136" i="29" s="1"/>
  <c r="H136" i="29" s="1"/>
  <c r="D135" i="29"/>
  <c r="E135" i="29" s="1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B135" i="29" s="1"/>
  <c r="S134" i="29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B134" i="29" s="1"/>
  <c r="M134" i="29"/>
  <c r="N134" i="29" s="1"/>
  <c r="O134" i="29" s="1"/>
  <c r="P134" i="29" s="1"/>
  <c r="Q134" i="29" s="1"/>
  <c r="R134" i="29" s="1"/>
  <c r="G134" i="29"/>
  <c r="H134" i="29" s="1"/>
  <c r="I134" i="29" s="1"/>
  <c r="J134" i="29" s="1"/>
  <c r="K134" i="29" s="1"/>
  <c r="L134" i="29" s="1"/>
  <c r="F134" i="29"/>
  <c r="E134" i="29"/>
  <c r="D134" i="29"/>
  <c r="V133" i="29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B133" i="29" s="1"/>
  <c r="F133" i="29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E133" i="29"/>
  <c r="D133" i="29"/>
  <c r="T132" i="29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B132" i="29" s="1"/>
  <c r="D132" i="29"/>
  <c r="E132" i="29" s="1"/>
  <c r="F132" i="29" s="1"/>
  <c r="G132" i="29" s="1"/>
  <c r="H132" i="29" s="1"/>
  <c r="I132" i="29" s="1"/>
  <c r="J132" i="29" s="1"/>
  <c r="K132" i="29" s="1"/>
  <c r="L132" i="29" s="1"/>
  <c r="M132" i="29" s="1"/>
  <c r="N132" i="29" s="1"/>
  <c r="O132" i="29" s="1"/>
  <c r="P132" i="29" s="1"/>
  <c r="Q132" i="29" s="1"/>
  <c r="R132" i="29" s="1"/>
  <c r="S132" i="29" s="1"/>
  <c r="D131" i="29"/>
  <c r="E131" i="29" s="1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B131" i="29" s="1"/>
  <c r="R129" i="29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AD129" i="29" s="1"/>
  <c r="AE129" i="29" s="1"/>
  <c r="AF129" i="29" s="1"/>
  <c r="B129" i="29" s="1"/>
  <c r="E129" i="29"/>
  <c r="F129" i="29" s="1"/>
  <c r="G129" i="29" s="1"/>
  <c r="H129" i="29" s="1"/>
  <c r="I129" i="29" s="1"/>
  <c r="J129" i="29" s="1"/>
  <c r="K129" i="29" s="1"/>
  <c r="L129" i="29" s="1"/>
  <c r="M129" i="29" s="1"/>
  <c r="N129" i="29" s="1"/>
  <c r="O129" i="29" s="1"/>
  <c r="P129" i="29" s="1"/>
  <c r="Q129" i="29" s="1"/>
  <c r="D129" i="29"/>
  <c r="H128" i="29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B128" i="29" s="1"/>
  <c r="G128" i="29"/>
  <c r="D128" i="29"/>
  <c r="E128" i="29" s="1"/>
  <c r="F128" i="29" s="1"/>
  <c r="E127" i="29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B127" i="29" s="1"/>
  <c r="D127" i="29"/>
  <c r="K126" i="29"/>
  <c r="L126" i="29" s="1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B126" i="29" s="1"/>
  <c r="G126" i="29"/>
  <c r="H126" i="29" s="1"/>
  <c r="I126" i="29" s="1"/>
  <c r="J126" i="29" s="1"/>
  <c r="D126" i="29"/>
  <c r="E126" i="29" s="1"/>
  <c r="F126" i="29" s="1"/>
  <c r="J125" i="29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B125" i="29" s="1"/>
  <c r="D125" i="29"/>
  <c r="E125" i="29" s="1"/>
  <c r="F125" i="29" s="1"/>
  <c r="G125" i="29" s="1"/>
  <c r="H125" i="29" s="1"/>
  <c r="F124" i="29"/>
  <c r="G124" i="29" s="1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B124" i="29" s="1"/>
  <c r="D124" i="29"/>
  <c r="E124" i="29" s="1"/>
  <c r="D123" i="29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B123" i="29" s="1"/>
  <c r="J122" i="29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B122" i="29" s="1"/>
  <c r="D122" i="29"/>
  <c r="E122" i="29" s="1"/>
  <c r="F122" i="29" s="1"/>
  <c r="G122" i="29" s="1"/>
  <c r="H122" i="29" s="1"/>
  <c r="I122" i="29" s="1"/>
  <c r="R121" i="29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B121" i="29" s="1"/>
  <c r="M121" i="29"/>
  <c r="N121" i="29" s="1"/>
  <c r="O121" i="29" s="1"/>
  <c r="P121" i="29" s="1"/>
  <c r="Q121" i="29" s="1"/>
  <c r="E121" i="29"/>
  <c r="F121" i="29" s="1"/>
  <c r="G121" i="29" s="1"/>
  <c r="H121" i="29" s="1"/>
  <c r="I121" i="29" s="1"/>
  <c r="J121" i="29" s="1"/>
  <c r="K121" i="29" s="1"/>
  <c r="L121" i="29" s="1"/>
  <c r="D121" i="29"/>
  <c r="F120" i="29"/>
  <c r="G120" i="29" s="1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B120" i="29" s="1"/>
  <c r="D120" i="29"/>
  <c r="E120" i="29" s="1"/>
  <c r="D119" i="29"/>
  <c r="E119" i="29" s="1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B119" i="29" s="1"/>
  <c r="T118" i="29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B118" i="29" s="1"/>
  <c r="O118" i="29"/>
  <c r="P118" i="29" s="1"/>
  <c r="Q118" i="29" s="1"/>
  <c r="R118" i="29" s="1"/>
  <c r="S118" i="29" s="1"/>
  <c r="G118" i="29"/>
  <c r="H118" i="29" s="1"/>
  <c r="I118" i="29" s="1"/>
  <c r="J118" i="29" s="1"/>
  <c r="K118" i="29" s="1"/>
  <c r="L118" i="29" s="1"/>
  <c r="M118" i="29" s="1"/>
  <c r="N118" i="29" s="1"/>
  <c r="F118" i="29"/>
  <c r="D118" i="29"/>
  <c r="E118" i="29" s="1"/>
  <c r="L117" i="29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B117" i="29" s="1"/>
  <c r="H117" i="29"/>
  <c r="I117" i="29" s="1"/>
  <c r="J117" i="29" s="1"/>
  <c r="K117" i="29" s="1"/>
  <c r="D117" i="29"/>
  <c r="E117" i="29" s="1"/>
  <c r="F117" i="29" s="1"/>
  <c r="G117" i="29" s="1"/>
  <c r="G116" i="29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B116" i="29" s="1"/>
  <c r="F116" i="29"/>
  <c r="D116" i="29"/>
  <c r="E116" i="29" s="1"/>
  <c r="I115" i="29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B115" i="29" s="1"/>
  <c r="D115" i="29"/>
  <c r="E115" i="29" s="1"/>
  <c r="F115" i="29" s="1"/>
  <c r="G115" i="29" s="1"/>
  <c r="H115" i="29" s="1"/>
  <c r="M114" i="29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B114" i="29" s="1"/>
  <c r="L114" i="29"/>
  <c r="K114" i="29"/>
  <c r="D114" i="29"/>
  <c r="E114" i="29" s="1"/>
  <c r="F114" i="29" s="1"/>
  <c r="G114" i="29" s="1"/>
  <c r="H114" i="29" s="1"/>
  <c r="I114" i="29" s="1"/>
  <c r="D113" i="29"/>
  <c r="E113" i="29" s="1"/>
  <c r="F113" i="29" s="1"/>
  <c r="G113" i="29" s="1"/>
  <c r="H113" i="29" s="1"/>
  <c r="I113" i="29" s="1"/>
  <c r="J113" i="29" s="1"/>
  <c r="K113" i="29" s="1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B113" i="29" s="1"/>
  <c r="E112" i="29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B112" i="29" s="1"/>
  <c r="D112" i="29"/>
  <c r="F110" i="29"/>
  <c r="G110" i="29" s="1"/>
  <c r="H110" i="29" s="1"/>
  <c r="I110" i="29" s="1"/>
  <c r="J110" i="29" s="1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B110" i="29" s="1"/>
  <c r="E110" i="29"/>
  <c r="D110" i="29"/>
  <c r="D109" i="29"/>
  <c r="E109" i="29" s="1"/>
  <c r="F109" i="29" s="1"/>
  <c r="G109" i="29" s="1"/>
  <c r="H109" i="29" s="1"/>
  <c r="I109" i="29" s="1"/>
  <c r="J109" i="29" s="1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B109" i="29" s="1"/>
  <c r="D107" i="29"/>
  <c r="E107" i="29" s="1"/>
  <c r="F107" i="29" s="1"/>
  <c r="G107" i="29" s="1"/>
  <c r="H107" i="29" s="1"/>
  <c r="I107" i="29" s="1"/>
  <c r="J107" i="29" s="1"/>
  <c r="K107" i="29" s="1"/>
  <c r="L107" i="29" s="1"/>
  <c r="M107" i="29" s="1"/>
  <c r="N107" i="29" s="1"/>
  <c r="O107" i="29" s="1"/>
  <c r="P107" i="29" s="1"/>
  <c r="Q107" i="29" s="1"/>
  <c r="R107" i="29" s="1"/>
  <c r="S107" i="29" s="1"/>
  <c r="T107" i="29" s="1"/>
  <c r="U107" i="29" s="1"/>
  <c r="V107" i="29" s="1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B107" i="29" s="1"/>
  <c r="J106" i="29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B106" i="29" s="1"/>
  <c r="E106" i="29"/>
  <c r="F106" i="29" s="1"/>
  <c r="G106" i="29" s="1"/>
  <c r="H106" i="29" s="1"/>
  <c r="I106" i="29" s="1"/>
  <c r="D106" i="29"/>
  <c r="F105" i="29"/>
  <c r="G105" i="29" s="1"/>
  <c r="H105" i="29" s="1"/>
  <c r="I105" i="29" s="1"/>
  <c r="J105" i="29" s="1"/>
  <c r="K105" i="29" s="1"/>
  <c r="L105" i="29" s="1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B105" i="29" s="1"/>
  <c r="E105" i="29"/>
  <c r="D105" i="29"/>
  <c r="I104" i="29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B104" i="29" s="1"/>
  <c r="F104" i="29"/>
  <c r="G104" i="29" s="1"/>
  <c r="H104" i="29" s="1"/>
  <c r="D104" i="29"/>
  <c r="E104" i="29" s="1"/>
  <c r="D103" i="29"/>
  <c r="E102" i="29"/>
  <c r="D102" i="29"/>
  <c r="AH100" i="29"/>
  <c r="AI100" i="29" s="1"/>
  <c r="AH99" i="29"/>
  <c r="AI99" i="29" s="1"/>
  <c r="AH98" i="29"/>
  <c r="AI98" i="29" s="1"/>
  <c r="AH97" i="29"/>
  <c r="AI97" i="29" s="1"/>
  <c r="AH96" i="29"/>
  <c r="AI96" i="29" s="1"/>
  <c r="AH95" i="29"/>
  <c r="AI95" i="29" s="1"/>
  <c r="AH94" i="29"/>
  <c r="AI94" i="29" s="1"/>
  <c r="C93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G82" i="29"/>
  <c r="AI81" i="29"/>
  <c r="AH81" i="29"/>
  <c r="AE80" i="29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C80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AE76" i="29"/>
  <c r="AD76" i="29"/>
  <c r="AD82" i="29" s="1"/>
  <c r="AC76" i="29"/>
  <c r="AB76" i="29"/>
  <c r="AA76" i="29"/>
  <c r="AA82" i="29" s="1"/>
  <c r="Z76" i="29"/>
  <c r="Y76" i="29"/>
  <c r="X76" i="29"/>
  <c r="X82" i="29" s="1"/>
  <c r="W76" i="29"/>
  <c r="W82" i="29" s="1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AI74" i="29"/>
  <c r="AH74" i="29"/>
  <c r="AI72" i="29"/>
  <c r="AH72" i="29"/>
  <c r="AG72" i="29"/>
  <c r="AI71" i="29"/>
  <c r="AH71" i="29"/>
  <c r="AI70" i="29"/>
  <c r="AH70" i="29"/>
  <c r="AI69" i="29"/>
  <c r="AH69" i="29"/>
  <c r="AG68" i="29"/>
  <c r="AE5" i="29"/>
  <c r="AE68" i="29"/>
  <c r="AD68" i="29"/>
  <c r="AC68" i="29"/>
  <c r="AB68" i="29"/>
  <c r="AA5" i="29" s="1"/>
  <c r="AA68" i="29"/>
  <c r="AA83" i="29" s="1"/>
  <c r="Z68" i="29"/>
  <c r="Y68" i="29"/>
  <c r="X5" i="29" s="1"/>
  <c r="X68" i="29"/>
  <c r="X83" i="29" s="1"/>
  <c r="W68" i="29"/>
  <c r="V5" i="29" s="1"/>
  <c r="V68" i="29"/>
  <c r="U68" i="29"/>
  <c r="T5" i="29" s="1"/>
  <c r="T68" i="29"/>
  <c r="S5" i="29" s="1"/>
  <c r="S68" i="29"/>
  <c r="R5" i="29" s="1"/>
  <c r="R68" i="29"/>
  <c r="Q5" i="29" s="1"/>
  <c r="Q68" i="29"/>
  <c r="P5" i="29" s="1"/>
  <c r="P68" i="29"/>
  <c r="O68" i="29"/>
  <c r="N68" i="29"/>
  <c r="M68" i="29"/>
  <c r="L5" i="29" s="1"/>
  <c r="L68" i="29"/>
  <c r="K5" i="29" s="1"/>
  <c r="K68" i="29"/>
  <c r="J5" i="29" s="1"/>
  <c r="J68" i="29"/>
  <c r="I5" i="29" s="1"/>
  <c r="I68" i="29"/>
  <c r="H5" i="29" s="1"/>
  <c r="H68" i="29"/>
  <c r="G68" i="29"/>
  <c r="F5" i="29" s="1"/>
  <c r="F68" i="29"/>
  <c r="E68" i="29"/>
  <c r="D68" i="29"/>
  <c r="C68" i="29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G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I55" i="29"/>
  <c r="AH55" i="29"/>
  <c r="AI54" i="29"/>
  <c r="AH54" i="29"/>
  <c r="AI53" i="29"/>
  <c r="AH53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I51" i="29"/>
  <c r="AH51" i="29"/>
  <c r="AG51" i="29"/>
  <c r="AG52" i="29" s="1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G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F5" i="29"/>
  <c r="D5" i="29"/>
  <c r="C5" i="29"/>
  <c r="AG4" i="29"/>
  <c r="K4" i="29"/>
  <c r="B4" i="29"/>
  <c r="AG2" i="29"/>
  <c r="AF37" i="28"/>
  <c r="AE37" i="28"/>
  <c r="AD37" i="28"/>
  <c r="AC37" i="28"/>
  <c r="AB37" i="28"/>
  <c r="AA37" i="28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95" i="28"/>
  <c r="M37" i="28"/>
  <c r="L37" i="28"/>
  <c r="K37" i="28"/>
  <c r="J37" i="28"/>
  <c r="I37" i="28"/>
  <c r="H37" i="28"/>
  <c r="G37" i="28"/>
  <c r="F37" i="28"/>
  <c r="E37" i="28"/>
  <c r="D95" i="28"/>
  <c r="D37" i="28"/>
  <c r="C95" i="28"/>
  <c r="B95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E239" i="28"/>
  <c r="D239" i="28"/>
  <c r="C239" i="28"/>
  <c r="B239" i="28"/>
  <c r="A239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B235" i="28"/>
  <c r="S210" i="28"/>
  <c r="AG200" i="28"/>
  <c r="C200" i="28"/>
  <c r="D199" i="28"/>
  <c r="C235" i="28" s="1"/>
  <c r="D198" i="28"/>
  <c r="E198" i="28" s="1"/>
  <c r="F198" i="28" s="1"/>
  <c r="G198" i="28" s="1"/>
  <c r="H198" i="28" s="1"/>
  <c r="I198" i="28" s="1"/>
  <c r="J198" i="28" s="1"/>
  <c r="K198" i="28" s="1"/>
  <c r="L198" i="28" s="1"/>
  <c r="M198" i="28" s="1"/>
  <c r="N198" i="28" s="1"/>
  <c r="O198" i="28" s="1"/>
  <c r="P198" i="28" s="1"/>
  <c r="Q198" i="28" s="1"/>
  <c r="R198" i="28" s="1"/>
  <c r="S198" i="28" s="1"/>
  <c r="T198" i="28" s="1"/>
  <c r="U198" i="28" s="1"/>
  <c r="V198" i="28" s="1"/>
  <c r="W198" i="28" s="1"/>
  <c r="X198" i="28" s="1"/>
  <c r="Y198" i="28" s="1"/>
  <c r="Z198" i="28" s="1"/>
  <c r="AA198" i="28" s="1"/>
  <c r="AB198" i="28" s="1"/>
  <c r="AC198" i="28" s="1"/>
  <c r="AD198" i="28" s="1"/>
  <c r="AE198" i="28" s="1"/>
  <c r="AF198" i="28" s="1"/>
  <c r="B198" i="28" s="1"/>
  <c r="G197" i="28"/>
  <c r="H197" i="28" s="1"/>
  <c r="I197" i="28" s="1"/>
  <c r="J197" i="28" s="1"/>
  <c r="K197" i="28" s="1"/>
  <c r="L197" i="28" s="1"/>
  <c r="M197" i="28" s="1"/>
  <c r="N197" i="28" s="1"/>
  <c r="O197" i="28" s="1"/>
  <c r="P197" i="28" s="1"/>
  <c r="Q197" i="28" s="1"/>
  <c r="R197" i="28" s="1"/>
  <c r="S197" i="28" s="1"/>
  <c r="T197" i="28" s="1"/>
  <c r="U197" i="28" s="1"/>
  <c r="V197" i="28" s="1"/>
  <c r="W197" i="28" s="1"/>
  <c r="X197" i="28" s="1"/>
  <c r="Y197" i="28" s="1"/>
  <c r="Z197" i="28" s="1"/>
  <c r="AA197" i="28" s="1"/>
  <c r="AB197" i="28" s="1"/>
  <c r="AC197" i="28" s="1"/>
  <c r="AD197" i="28" s="1"/>
  <c r="AE197" i="28" s="1"/>
  <c r="AF197" i="28" s="1"/>
  <c r="B197" i="28" s="1"/>
  <c r="D197" i="28"/>
  <c r="E197" i="28" s="1"/>
  <c r="F197" i="28" s="1"/>
  <c r="E196" i="28"/>
  <c r="F196" i="28" s="1"/>
  <c r="G196" i="28" s="1"/>
  <c r="H196" i="28" s="1"/>
  <c r="I196" i="28" s="1"/>
  <c r="J196" i="28" s="1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B196" i="28" s="1"/>
  <c r="D196" i="28"/>
  <c r="D195" i="28"/>
  <c r="E194" i="28"/>
  <c r="D194" i="28"/>
  <c r="AG192" i="28"/>
  <c r="C192" i="28"/>
  <c r="O191" i="28"/>
  <c r="P191" i="28" s="1"/>
  <c r="Q191" i="28" s="1"/>
  <c r="R191" i="28" s="1"/>
  <c r="S191" i="28" s="1"/>
  <c r="T191" i="28" s="1"/>
  <c r="U191" i="28" s="1"/>
  <c r="V191" i="28" s="1"/>
  <c r="W191" i="28" s="1"/>
  <c r="X191" i="28" s="1"/>
  <c r="Y191" i="28" s="1"/>
  <c r="Z191" i="28" s="1"/>
  <c r="AA191" i="28" s="1"/>
  <c r="AB191" i="28" s="1"/>
  <c r="AC191" i="28" s="1"/>
  <c r="AD191" i="28" s="1"/>
  <c r="AE191" i="28" s="1"/>
  <c r="AF191" i="28" s="1"/>
  <c r="B191" i="28" s="1"/>
  <c r="J191" i="28"/>
  <c r="K191" i="28" s="1"/>
  <c r="L191" i="28" s="1"/>
  <c r="M191" i="28" s="1"/>
  <c r="N191" i="28" s="1"/>
  <c r="G191" i="28"/>
  <c r="H191" i="28" s="1"/>
  <c r="I191" i="28" s="1"/>
  <c r="D191" i="28"/>
  <c r="E191" i="28" s="1"/>
  <c r="F191" i="28" s="1"/>
  <c r="H190" i="28"/>
  <c r="I190" i="28" s="1"/>
  <c r="J190" i="28" s="1"/>
  <c r="K190" i="28" s="1"/>
  <c r="L190" i="28" s="1"/>
  <c r="M190" i="28" s="1"/>
  <c r="N190" i="28" s="1"/>
  <c r="O190" i="28" s="1"/>
  <c r="P190" i="28" s="1"/>
  <c r="Q190" i="28" s="1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B190" i="28" s="1"/>
  <c r="E190" i="28"/>
  <c r="F190" i="28" s="1"/>
  <c r="G190" i="28" s="1"/>
  <c r="D190" i="28"/>
  <c r="D189" i="28"/>
  <c r="E189" i="28" s="1"/>
  <c r="F189" i="28" s="1"/>
  <c r="G189" i="28" s="1"/>
  <c r="H189" i="28" s="1"/>
  <c r="I189" i="28" s="1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B189" i="28" s="1"/>
  <c r="E188" i="28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B188" i="28" s="1"/>
  <c r="D188" i="28"/>
  <c r="J187" i="28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B187" i="28" s="1"/>
  <c r="H187" i="28"/>
  <c r="I187" i="28" s="1"/>
  <c r="G187" i="28"/>
  <c r="D187" i="28"/>
  <c r="E187" i="28" s="1"/>
  <c r="F187" i="28" s="1"/>
  <c r="M186" i="28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B186" i="28" s="1"/>
  <c r="H186" i="28"/>
  <c r="I186" i="28" s="1"/>
  <c r="J186" i="28" s="1"/>
  <c r="K186" i="28" s="1"/>
  <c r="L186" i="28" s="1"/>
  <c r="F186" i="28"/>
  <c r="G186" i="28" s="1"/>
  <c r="E186" i="28"/>
  <c r="D186" i="28"/>
  <c r="V185" i="28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B185" i="28" s="1"/>
  <c r="E185" i="28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D185" i="28"/>
  <c r="E184" i="28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B184" i="28" s="1"/>
  <c r="D184" i="28"/>
  <c r="K183" i="28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B183" i="28" s="1"/>
  <c r="H183" i="28"/>
  <c r="I183" i="28" s="1"/>
  <c r="J183" i="28" s="1"/>
  <c r="G183" i="28"/>
  <c r="D183" i="28"/>
  <c r="E183" i="28" s="1"/>
  <c r="F183" i="28" s="1"/>
  <c r="M182" i="28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B182" i="28" s="1"/>
  <c r="I182" i="28"/>
  <c r="J182" i="28" s="1"/>
  <c r="K182" i="28" s="1"/>
  <c r="L182" i="28" s="1"/>
  <c r="F182" i="28"/>
  <c r="G182" i="28" s="1"/>
  <c r="H182" i="28" s="1"/>
  <c r="E182" i="28"/>
  <c r="D182" i="28"/>
  <c r="V181" i="28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B181" i="28" s="1"/>
  <c r="E181" i="28"/>
  <c r="F181" i="28" s="1"/>
  <c r="G181" i="28" s="1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D181" i="28"/>
  <c r="F180" i="28"/>
  <c r="G180" i="28" s="1"/>
  <c r="H180" i="28" s="1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B180" i="28" s="1"/>
  <c r="E180" i="28"/>
  <c r="D180" i="28"/>
  <c r="L179" i="28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B179" i="28" s="1"/>
  <c r="D179" i="28"/>
  <c r="E179" i="28" s="1"/>
  <c r="F179" i="28" s="1"/>
  <c r="G179" i="28" s="1"/>
  <c r="H179" i="28" s="1"/>
  <c r="I179" i="28" s="1"/>
  <c r="J179" i="28" s="1"/>
  <c r="K179" i="28" s="1"/>
  <c r="U177" i="28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B177" i="28" s="1"/>
  <c r="E177" i="28"/>
  <c r="F177" i="28" s="1"/>
  <c r="G177" i="28" s="1"/>
  <c r="H177" i="28" s="1"/>
  <c r="I177" i="28" s="1"/>
  <c r="J177" i="28" s="1"/>
  <c r="K177" i="28" s="1"/>
  <c r="L177" i="28" s="1"/>
  <c r="M177" i="28" s="1"/>
  <c r="N177" i="28" s="1"/>
  <c r="O177" i="28" s="1"/>
  <c r="P177" i="28" s="1"/>
  <c r="Q177" i="28" s="1"/>
  <c r="R177" i="28" s="1"/>
  <c r="S177" i="28" s="1"/>
  <c r="T177" i="28" s="1"/>
  <c r="D177" i="28"/>
  <c r="AF176" i="28"/>
  <c r="B176" i="28" s="1"/>
  <c r="K176" i="28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H176" i="28"/>
  <c r="I176" i="28" s="1"/>
  <c r="J176" i="28" s="1"/>
  <c r="F176" i="28"/>
  <c r="G176" i="28" s="1"/>
  <c r="E176" i="28"/>
  <c r="D176" i="28"/>
  <c r="D175" i="28"/>
  <c r="E175" i="28" s="1"/>
  <c r="F175" i="28" s="1"/>
  <c r="G175" i="28" s="1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B175" i="28" s="1"/>
  <c r="L174" i="28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B174" i="28" s="1"/>
  <c r="D174" i="28"/>
  <c r="E174" i="28" s="1"/>
  <c r="F174" i="28" s="1"/>
  <c r="G174" i="28" s="1"/>
  <c r="H174" i="28" s="1"/>
  <c r="I174" i="28" s="1"/>
  <c r="J174" i="28" s="1"/>
  <c r="K174" i="28" s="1"/>
  <c r="X173" i="28"/>
  <c r="Y173" i="28" s="1"/>
  <c r="Z173" i="28" s="1"/>
  <c r="AA173" i="28" s="1"/>
  <c r="AB173" i="28" s="1"/>
  <c r="AC173" i="28" s="1"/>
  <c r="AD173" i="28" s="1"/>
  <c r="AE173" i="28" s="1"/>
  <c r="AF173" i="28" s="1"/>
  <c r="B173" i="28" s="1"/>
  <c r="K173" i="28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E173" i="28"/>
  <c r="F173" i="28" s="1"/>
  <c r="G173" i="28" s="1"/>
  <c r="H173" i="28" s="1"/>
  <c r="I173" i="28" s="1"/>
  <c r="J173" i="28" s="1"/>
  <c r="D173" i="28"/>
  <c r="F172" i="28"/>
  <c r="G172" i="28" s="1"/>
  <c r="H172" i="28" s="1"/>
  <c r="I172" i="28" s="1"/>
  <c r="J172" i="28" s="1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B172" i="28" s="1"/>
  <c r="E172" i="28"/>
  <c r="D172" i="28"/>
  <c r="D171" i="28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B171" i="28" s="1"/>
  <c r="D170" i="28"/>
  <c r="E170" i="28" s="1"/>
  <c r="F170" i="28" s="1"/>
  <c r="G170" i="28" s="1"/>
  <c r="H170" i="28" s="1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B170" i="28" s="1"/>
  <c r="E168" i="28"/>
  <c r="F168" i="28" s="1"/>
  <c r="G168" i="28" s="1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B168" i="28" s="1"/>
  <c r="D168" i="28"/>
  <c r="H167" i="28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B167" i="28" s="1"/>
  <c r="F167" i="28"/>
  <c r="G167" i="28" s="1"/>
  <c r="E167" i="28"/>
  <c r="D167" i="28"/>
  <c r="N166" i="28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B166" i="28" s="1"/>
  <c r="L166" i="28"/>
  <c r="M166" i="28" s="1"/>
  <c r="F166" i="28"/>
  <c r="G166" i="28" s="1"/>
  <c r="H166" i="28" s="1"/>
  <c r="I166" i="28" s="1"/>
  <c r="J166" i="28" s="1"/>
  <c r="K166" i="28" s="1"/>
  <c r="D166" i="28"/>
  <c r="E166" i="28" s="1"/>
  <c r="L165" i="28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B165" i="28" s="1"/>
  <c r="J165" i="28"/>
  <c r="K165" i="28" s="1"/>
  <c r="E165" i="28"/>
  <c r="F165" i="28" s="1"/>
  <c r="G165" i="28" s="1"/>
  <c r="H165" i="28" s="1"/>
  <c r="I165" i="28" s="1"/>
  <c r="D165" i="28"/>
  <c r="G164" i="28"/>
  <c r="H164" i="28" s="1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B164" i="28" s="1"/>
  <c r="D164" i="28"/>
  <c r="E164" i="28" s="1"/>
  <c r="F164" i="28" s="1"/>
  <c r="F163" i="28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B163" i="28" s="1"/>
  <c r="E163" i="28"/>
  <c r="D163" i="28"/>
  <c r="D162" i="28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B162" i="28" s="1"/>
  <c r="I161" i="28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B161" i="28" s="1"/>
  <c r="D161" i="28"/>
  <c r="E161" i="28" s="1"/>
  <c r="F161" i="28" s="1"/>
  <c r="G161" i="28" s="1"/>
  <c r="H161" i="28" s="1"/>
  <c r="G160" i="28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D160" i="28"/>
  <c r="E160" i="28" s="1"/>
  <c r="F160" i="28" s="1"/>
  <c r="B160" i="28"/>
  <c r="P159" i="28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B159" i="28" s="1"/>
  <c r="F159" i="28"/>
  <c r="G159" i="28" s="1"/>
  <c r="H159" i="28" s="1"/>
  <c r="I159" i="28" s="1"/>
  <c r="J159" i="28" s="1"/>
  <c r="K159" i="28" s="1"/>
  <c r="L159" i="28" s="1"/>
  <c r="M159" i="28" s="1"/>
  <c r="N159" i="28" s="1"/>
  <c r="O159" i="28" s="1"/>
  <c r="E159" i="28"/>
  <c r="D159" i="28"/>
  <c r="D158" i="28"/>
  <c r="E158" i="28" s="1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B158" i="28" s="1"/>
  <c r="I157" i="28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B157" i="28" s="1"/>
  <c r="D157" i="28"/>
  <c r="E157" i="28" s="1"/>
  <c r="F157" i="28" s="1"/>
  <c r="G157" i="28" s="1"/>
  <c r="H157" i="28" s="1"/>
  <c r="D156" i="28"/>
  <c r="E156" i="28" s="1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B156" i="28" s="1"/>
  <c r="D154" i="28"/>
  <c r="E154" i="28" s="1"/>
  <c r="F154" i="28" s="1"/>
  <c r="G154" i="28" s="1"/>
  <c r="H154" i="28" s="1"/>
  <c r="I154" i="28" s="1"/>
  <c r="J154" i="28" s="1"/>
  <c r="K154" i="28" s="1"/>
  <c r="L154" i="28" s="1"/>
  <c r="M154" i="28" s="1"/>
  <c r="N154" i="28" s="1"/>
  <c r="O154" i="28" s="1"/>
  <c r="P154" i="28" s="1"/>
  <c r="Q154" i="28" s="1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B154" i="28" s="1"/>
  <c r="Q153" i="28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B153" i="28" s="1"/>
  <c r="E153" i="28"/>
  <c r="F153" i="28" s="1"/>
  <c r="G153" i="28" s="1"/>
  <c r="H153" i="28" s="1"/>
  <c r="I153" i="28" s="1"/>
  <c r="J153" i="28" s="1"/>
  <c r="K153" i="28" s="1"/>
  <c r="L153" i="28" s="1"/>
  <c r="M153" i="28" s="1"/>
  <c r="N153" i="28" s="1"/>
  <c r="O153" i="28" s="1"/>
  <c r="P153" i="28" s="1"/>
  <c r="D153" i="28"/>
  <c r="S152" i="28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B152" i="28" s="1"/>
  <c r="D152" i="28"/>
  <c r="E152" i="28" s="1"/>
  <c r="F152" i="28" s="1"/>
  <c r="G152" i="28" s="1"/>
  <c r="H152" i="28" s="1"/>
  <c r="I152" i="28" s="1"/>
  <c r="J152" i="28" s="1"/>
  <c r="K152" i="28" s="1"/>
  <c r="L152" i="28" s="1"/>
  <c r="M152" i="28" s="1"/>
  <c r="N152" i="28" s="1"/>
  <c r="O152" i="28" s="1"/>
  <c r="P152" i="28" s="1"/>
  <c r="Q152" i="28" s="1"/>
  <c r="R152" i="28" s="1"/>
  <c r="Q151" i="28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B151" i="28" s="1"/>
  <c r="E151" i="28"/>
  <c r="F151" i="28" s="1"/>
  <c r="G151" i="28" s="1"/>
  <c r="H151" i="28" s="1"/>
  <c r="I151" i="28" s="1"/>
  <c r="J151" i="28" s="1"/>
  <c r="K151" i="28" s="1"/>
  <c r="L151" i="28" s="1"/>
  <c r="M151" i="28" s="1"/>
  <c r="N151" i="28" s="1"/>
  <c r="O151" i="28" s="1"/>
  <c r="P151" i="28" s="1"/>
  <c r="D151" i="28"/>
  <c r="S149" i="28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B149" i="28" s="1"/>
  <c r="D149" i="28"/>
  <c r="E149" i="28" s="1"/>
  <c r="F149" i="28" s="1"/>
  <c r="G149" i="28" s="1"/>
  <c r="H149" i="28" s="1"/>
  <c r="I149" i="28" s="1"/>
  <c r="J149" i="28" s="1"/>
  <c r="K149" i="28" s="1"/>
  <c r="L149" i="28" s="1"/>
  <c r="M149" i="28" s="1"/>
  <c r="N149" i="28" s="1"/>
  <c r="O149" i="28" s="1"/>
  <c r="P149" i="28" s="1"/>
  <c r="Q149" i="28" s="1"/>
  <c r="R149" i="28" s="1"/>
  <c r="P148" i="28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B148" i="28" s="1"/>
  <c r="O148" i="28"/>
  <c r="G148" i="28"/>
  <c r="H148" i="28" s="1"/>
  <c r="I148" i="28" s="1"/>
  <c r="J148" i="28" s="1"/>
  <c r="K148" i="28" s="1"/>
  <c r="L148" i="28" s="1"/>
  <c r="M148" i="28" s="1"/>
  <c r="N148" i="28" s="1"/>
  <c r="E148" i="28"/>
  <c r="F148" i="28" s="1"/>
  <c r="D148" i="28"/>
  <c r="K146" i="28"/>
  <c r="L146" i="28" s="1"/>
  <c r="M146" i="28" s="1"/>
  <c r="N146" i="28" s="1"/>
  <c r="O146" i="28" s="1"/>
  <c r="P146" i="28" s="1"/>
  <c r="Q146" i="28" s="1"/>
  <c r="R146" i="28" s="1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B146" i="28" s="1"/>
  <c r="G146" i="28"/>
  <c r="H146" i="28" s="1"/>
  <c r="I146" i="28" s="1"/>
  <c r="J146" i="28" s="1"/>
  <c r="D146" i="28"/>
  <c r="E146" i="28" s="1"/>
  <c r="F146" i="28" s="1"/>
  <c r="M145" i="28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B145" i="28" s="1"/>
  <c r="L145" i="28"/>
  <c r="D145" i="28"/>
  <c r="E145" i="28" s="1"/>
  <c r="F145" i="28" s="1"/>
  <c r="G145" i="28" s="1"/>
  <c r="H145" i="28" s="1"/>
  <c r="I145" i="28" s="1"/>
  <c r="J145" i="28" s="1"/>
  <c r="K145" i="28" s="1"/>
  <c r="I144" i="28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B144" i="28" s="1"/>
  <c r="G144" i="28"/>
  <c r="H144" i="28" s="1"/>
  <c r="D144" i="28"/>
  <c r="E144" i="28" s="1"/>
  <c r="F144" i="28" s="1"/>
  <c r="F143" i="28"/>
  <c r="G143" i="28" s="1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B143" i="28" s="1"/>
  <c r="E143" i="28"/>
  <c r="D143" i="28"/>
  <c r="G142" i="28"/>
  <c r="H142" i="28" s="1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B142" i="28" s="1"/>
  <c r="E142" i="28"/>
  <c r="F142" i="28" s="1"/>
  <c r="D142" i="28"/>
  <c r="I141" i="28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B141" i="28" s="1"/>
  <c r="E141" i="28"/>
  <c r="F141" i="28" s="1"/>
  <c r="G141" i="28" s="1"/>
  <c r="H141" i="28" s="1"/>
  <c r="D141" i="28"/>
  <c r="K140" i="28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B140" i="28" s="1"/>
  <c r="E140" i="28"/>
  <c r="F140" i="28" s="1"/>
  <c r="G140" i="28" s="1"/>
  <c r="H140" i="28" s="1"/>
  <c r="I140" i="28" s="1"/>
  <c r="J140" i="28" s="1"/>
  <c r="D140" i="28"/>
  <c r="O138" i="28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B138" i="28" s="1"/>
  <c r="E138" i="28"/>
  <c r="F138" i="28" s="1"/>
  <c r="G138" i="28" s="1"/>
  <c r="H138" i="28" s="1"/>
  <c r="I138" i="28" s="1"/>
  <c r="J138" i="28" s="1"/>
  <c r="K138" i="28" s="1"/>
  <c r="L138" i="28" s="1"/>
  <c r="M138" i="28" s="1"/>
  <c r="N138" i="28" s="1"/>
  <c r="D138" i="28"/>
  <c r="W137" i="28"/>
  <c r="X137" i="28" s="1"/>
  <c r="Y137" i="28" s="1"/>
  <c r="Z137" i="28" s="1"/>
  <c r="AA137" i="28" s="1"/>
  <c r="AB137" i="28" s="1"/>
  <c r="AC137" i="28" s="1"/>
  <c r="AD137" i="28" s="1"/>
  <c r="AE137" i="28" s="1"/>
  <c r="AF137" i="28" s="1"/>
  <c r="B137" i="28" s="1"/>
  <c r="D137" i="28"/>
  <c r="E137" i="28" s="1"/>
  <c r="F137" i="28" s="1"/>
  <c r="G137" i="28" s="1"/>
  <c r="H137" i="28" s="1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G136" i="28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B136" i="28" s="1"/>
  <c r="E136" i="28"/>
  <c r="F136" i="28" s="1"/>
  <c r="D136" i="28"/>
  <c r="R135" i="28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B135" i="28" s="1"/>
  <c r="J135" i="28"/>
  <c r="K135" i="28" s="1"/>
  <c r="L135" i="28" s="1"/>
  <c r="M135" i="28" s="1"/>
  <c r="N135" i="28" s="1"/>
  <c r="O135" i="28" s="1"/>
  <c r="P135" i="28" s="1"/>
  <c r="Q135" i="28" s="1"/>
  <c r="E135" i="28"/>
  <c r="F135" i="28" s="1"/>
  <c r="G135" i="28" s="1"/>
  <c r="H135" i="28" s="1"/>
  <c r="I135" i="28" s="1"/>
  <c r="D135" i="28"/>
  <c r="AF134" i="28"/>
  <c r="B134" i="28" s="1"/>
  <c r="AA134" i="28"/>
  <c r="AB134" i="28" s="1"/>
  <c r="AC134" i="28" s="1"/>
  <c r="AD134" i="28" s="1"/>
  <c r="AE134" i="28" s="1"/>
  <c r="I134" i="28"/>
  <c r="J134" i="28" s="1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U134" i="28" s="1"/>
  <c r="V134" i="28" s="1"/>
  <c r="W134" i="28" s="1"/>
  <c r="X134" i="28" s="1"/>
  <c r="Y134" i="28" s="1"/>
  <c r="Z134" i="28" s="1"/>
  <c r="H134" i="28"/>
  <c r="E134" i="28"/>
  <c r="F134" i="28" s="1"/>
  <c r="G134" i="28" s="1"/>
  <c r="D134" i="28"/>
  <c r="G133" i="28"/>
  <c r="H133" i="28" s="1"/>
  <c r="I133" i="28" s="1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B133" i="28" s="1"/>
  <c r="F133" i="28"/>
  <c r="E133" i="28"/>
  <c r="D133" i="28"/>
  <c r="G132" i="28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B132" i="28" s="1"/>
  <c r="F132" i="28"/>
  <c r="E132" i="28"/>
  <c r="D132" i="28"/>
  <c r="E131" i="28"/>
  <c r="F131" i="28" s="1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B131" i="28" s="1"/>
  <c r="D131" i="28"/>
  <c r="E129" i="28"/>
  <c r="F129" i="28" s="1"/>
  <c r="G129" i="28" s="1"/>
  <c r="H129" i="28" s="1"/>
  <c r="I129" i="28" s="1"/>
  <c r="J129" i="28" s="1"/>
  <c r="K129" i="28" s="1"/>
  <c r="L129" i="28" s="1"/>
  <c r="M129" i="28" s="1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B129" i="28" s="1"/>
  <c r="D129" i="28"/>
  <c r="F128" i="28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B128" i="28" s="1"/>
  <c r="D128" i="28"/>
  <c r="E128" i="28" s="1"/>
  <c r="E127" i="28"/>
  <c r="F127" i="28" s="1"/>
  <c r="G127" i="28" s="1"/>
  <c r="H127" i="28" s="1"/>
  <c r="I127" i="28" s="1"/>
  <c r="J127" i="28" s="1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B127" i="28" s="1"/>
  <c r="D127" i="28"/>
  <c r="J126" i="28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B126" i="28" s="1"/>
  <c r="G126" i="28"/>
  <c r="H126" i="28" s="1"/>
  <c r="I126" i="28" s="1"/>
  <c r="E126" i="28"/>
  <c r="F126" i="28" s="1"/>
  <c r="D126" i="28"/>
  <c r="M125" i="28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B125" i="28" s="1"/>
  <c r="K125" i="28"/>
  <c r="L125" i="28" s="1"/>
  <c r="J125" i="28"/>
  <c r="G125" i="28"/>
  <c r="H125" i="28" s="1"/>
  <c r="D125" i="28"/>
  <c r="E125" i="28" s="1"/>
  <c r="F125" i="28" s="1"/>
  <c r="E124" i="28"/>
  <c r="F124" i="28" s="1"/>
  <c r="G124" i="28" s="1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B124" i="28" s="1"/>
  <c r="D124" i="28"/>
  <c r="E123" i="28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B123" i="28" s="1"/>
  <c r="D123" i="28"/>
  <c r="G122" i="28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B122" i="28" s="1"/>
  <c r="F122" i="28"/>
  <c r="E122" i="28"/>
  <c r="D122" i="28"/>
  <c r="E121" i="28"/>
  <c r="F121" i="28" s="1"/>
  <c r="G121" i="28" s="1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B121" i="28" s="1"/>
  <c r="D121" i="28"/>
  <c r="F120" i="28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B120" i="28" s="1"/>
  <c r="E120" i="28"/>
  <c r="D120" i="28"/>
  <c r="G119" i="28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B119" i="28" s="1"/>
  <c r="F119" i="28"/>
  <c r="E119" i="28"/>
  <c r="D119" i="28"/>
  <c r="E118" i="28"/>
  <c r="F118" i="28" s="1"/>
  <c r="G118" i="28" s="1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B118" i="28" s="1"/>
  <c r="D118" i="28"/>
  <c r="E117" i="28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B117" i="28" s="1"/>
  <c r="D117" i="28"/>
  <c r="I116" i="28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B116" i="28" s="1"/>
  <c r="H116" i="28"/>
  <c r="E116" i="28"/>
  <c r="F116" i="28" s="1"/>
  <c r="G116" i="28" s="1"/>
  <c r="D116" i="28"/>
  <c r="F115" i="28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B115" i="28" s="1"/>
  <c r="E115" i="28"/>
  <c r="D115" i="28"/>
  <c r="M114" i="28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B114" i="28" s="1"/>
  <c r="L114" i="28"/>
  <c r="K114" i="28"/>
  <c r="D114" i="28"/>
  <c r="E114" i="28" s="1"/>
  <c r="F114" i="28" s="1"/>
  <c r="G114" i="28" s="1"/>
  <c r="H114" i="28" s="1"/>
  <c r="I114" i="28" s="1"/>
  <c r="I113" i="28"/>
  <c r="J113" i="28" s="1"/>
  <c r="K113" i="28" s="1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B113" i="28" s="1"/>
  <c r="D113" i="28"/>
  <c r="E113" i="28" s="1"/>
  <c r="F113" i="28" s="1"/>
  <c r="G113" i="28" s="1"/>
  <c r="H113" i="28" s="1"/>
  <c r="J112" i="28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B112" i="28" s="1"/>
  <c r="H112" i="28"/>
  <c r="I112" i="28" s="1"/>
  <c r="G112" i="28"/>
  <c r="D112" i="28"/>
  <c r="E112" i="28" s="1"/>
  <c r="F112" i="28" s="1"/>
  <c r="E110" i="28"/>
  <c r="F110" i="28" s="1"/>
  <c r="G110" i="28" s="1"/>
  <c r="H110" i="28" s="1"/>
  <c r="I110" i="28" s="1"/>
  <c r="J110" i="28" s="1"/>
  <c r="K110" i="28" s="1"/>
  <c r="L110" i="28" s="1"/>
  <c r="M110" i="28" s="1"/>
  <c r="N110" i="28" s="1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B110" i="28" s="1"/>
  <c r="D110" i="28"/>
  <c r="D109" i="28"/>
  <c r="D93" i="28" s="1"/>
  <c r="D107" i="28"/>
  <c r="E107" i="28" s="1"/>
  <c r="F107" i="28" s="1"/>
  <c r="G107" i="28" s="1"/>
  <c r="H107" i="28" s="1"/>
  <c r="I107" i="28" s="1"/>
  <c r="J107" i="28" s="1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B107" i="28" s="1"/>
  <c r="D106" i="28"/>
  <c r="E106" i="28" s="1"/>
  <c r="F106" i="28" s="1"/>
  <c r="G106" i="28" s="1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B106" i="28" s="1"/>
  <c r="E105" i="28"/>
  <c r="F105" i="28" s="1"/>
  <c r="G105" i="28" s="1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B105" i="28" s="1"/>
  <c r="D105" i="28"/>
  <c r="E104" i="28"/>
  <c r="F104" i="28" s="1"/>
  <c r="G104" i="28" s="1"/>
  <c r="H104" i="28" s="1"/>
  <c r="I104" i="28" s="1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B104" i="28" s="1"/>
  <c r="D104" i="28"/>
  <c r="J103" i="28"/>
  <c r="K103" i="28" s="1"/>
  <c r="I103" i="28"/>
  <c r="F103" i="28"/>
  <c r="G103" i="28" s="1"/>
  <c r="H103" i="28" s="1"/>
  <c r="D103" i="28"/>
  <c r="E103" i="28" s="1"/>
  <c r="D102" i="28"/>
  <c r="AH100" i="28"/>
  <c r="AI100" i="28" s="1"/>
  <c r="AH99" i="28"/>
  <c r="AI99" i="28" s="1"/>
  <c r="AH98" i="28"/>
  <c r="AI98" i="28" s="1"/>
  <c r="AH97" i="28"/>
  <c r="AI97" i="28" s="1"/>
  <c r="AH96" i="28"/>
  <c r="AI96" i="28" s="1"/>
  <c r="AH95" i="28"/>
  <c r="AI95" i="28" s="1"/>
  <c r="AH94" i="28"/>
  <c r="AI94" i="28" s="1"/>
  <c r="C93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G82" i="28"/>
  <c r="S82" i="28"/>
  <c r="D82" i="28"/>
  <c r="AI81" i="28"/>
  <c r="AH81" i="28"/>
  <c r="AF80" i="28"/>
  <c r="AE80" i="28"/>
  <c r="AD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AF79" i="28"/>
  <c r="AE79" i="28"/>
  <c r="AD79" i="28"/>
  <c r="AC79" i="28"/>
  <c r="AB79" i="28"/>
  <c r="AA79" i="28"/>
  <c r="Z79" i="28"/>
  <c r="Y79" i="28"/>
  <c r="X79" i="28"/>
  <c r="W79" i="28"/>
  <c r="V79" i="28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AF76" i="28"/>
  <c r="AF82" i="28" s="1"/>
  <c r="AE76" i="28"/>
  <c r="AE82" i="28" s="1"/>
  <c r="AD76" i="28"/>
  <c r="AC76" i="28"/>
  <c r="AC82" i="28" s="1"/>
  <c r="AB76" i="28"/>
  <c r="AA76" i="28"/>
  <c r="Z76" i="28"/>
  <c r="Y76" i="28"/>
  <c r="X76" i="28"/>
  <c r="W76" i="28"/>
  <c r="V76" i="28"/>
  <c r="V82" i="28" s="1"/>
  <c r="U76" i="28"/>
  <c r="U82" i="28" s="1"/>
  <c r="T76" i="28"/>
  <c r="S76" i="28"/>
  <c r="R76" i="28"/>
  <c r="Q76" i="28"/>
  <c r="P76" i="28"/>
  <c r="O76" i="28"/>
  <c r="O82" i="28" s="1"/>
  <c r="N76" i="28"/>
  <c r="N82" i="28" s="1"/>
  <c r="M76" i="28"/>
  <c r="L76" i="28"/>
  <c r="K76" i="28"/>
  <c r="J76" i="28"/>
  <c r="I76" i="28"/>
  <c r="I82" i="28" s="1"/>
  <c r="H76" i="28"/>
  <c r="G76" i="28"/>
  <c r="F76" i="28"/>
  <c r="E76" i="28"/>
  <c r="D76" i="28"/>
  <c r="C76" i="28"/>
  <c r="AI74" i="28"/>
  <c r="AH74" i="28"/>
  <c r="AI72" i="28"/>
  <c r="AH72" i="28"/>
  <c r="AG72" i="28"/>
  <c r="AG75" i="28" s="1"/>
  <c r="AI71" i="28"/>
  <c r="AH71" i="28"/>
  <c r="AI70" i="28"/>
  <c r="AH70" i="28"/>
  <c r="AI69" i="28"/>
  <c r="AH69" i="28"/>
  <c r="AG68" i="28"/>
  <c r="AF68" i="28"/>
  <c r="AE5" i="28" s="1"/>
  <c r="AE68" i="28"/>
  <c r="AD5" i="28" s="1"/>
  <c r="AD68" i="28"/>
  <c r="AC5" i="28" s="1"/>
  <c r="AC68" i="28"/>
  <c r="AB5" i="28" s="1"/>
  <c r="AB68" i="28"/>
  <c r="AA5" i="28" s="1"/>
  <c r="AA68" i="28"/>
  <c r="Z5" i="28" s="1"/>
  <c r="Z68" i="28"/>
  <c r="Y5" i="28" s="1"/>
  <c r="Y68" i="28"/>
  <c r="X5" i="28" s="1"/>
  <c r="X68" i="28"/>
  <c r="W5" i="28" s="1"/>
  <c r="W68" i="28"/>
  <c r="V5" i="28" s="1"/>
  <c r="V68" i="28"/>
  <c r="U5" i="28" s="1"/>
  <c r="U68" i="28"/>
  <c r="T5" i="28" s="1"/>
  <c r="T68" i="28"/>
  <c r="S5" i="28" s="1"/>
  <c r="S68" i="28"/>
  <c r="R5" i="28" s="1"/>
  <c r="R68" i="28"/>
  <c r="Q5" i="28" s="1"/>
  <c r="Q68" i="28"/>
  <c r="P5" i="28" s="1"/>
  <c r="P68" i="28"/>
  <c r="O5" i="28" s="1"/>
  <c r="O68" i="28"/>
  <c r="N5" i="28" s="1"/>
  <c r="N68" i="28"/>
  <c r="M5" i="28" s="1"/>
  <c r="M68" i="28"/>
  <c r="L5" i="28" s="1"/>
  <c r="L68" i="28"/>
  <c r="K5" i="28" s="1"/>
  <c r="K68" i="28"/>
  <c r="J5" i="28" s="1"/>
  <c r="J68" i="28"/>
  <c r="I5" i="28" s="1"/>
  <c r="I68" i="28"/>
  <c r="H5" i="28" s="1"/>
  <c r="H68" i="28"/>
  <c r="G5" i="28" s="1"/>
  <c r="G68" i="28"/>
  <c r="F5" i="28" s="1"/>
  <c r="F68" i="28"/>
  <c r="E5" i="28" s="1"/>
  <c r="E68" i="28"/>
  <c r="D5" i="28" s="1"/>
  <c r="D68" i="28"/>
  <c r="C5" i="28" s="1"/>
  <c r="C68" i="28"/>
  <c r="B5" i="28" s="1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G56" i="28"/>
  <c r="AG4" i="28" s="1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AI55" i="28"/>
  <c r="AH55" i="28"/>
  <c r="AI54" i="28"/>
  <c r="AH54" i="28"/>
  <c r="AI53" i="28"/>
  <c r="AH53" i="28"/>
  <c r="AG52" i="28"/>
  <c r="AG3" i="28" s="1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AI51" i="28"/>
  <c r="AH51" i="28"/>
  <c r="AG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G38" i="28"/>
  <c r="AG73" i="28" s="1"/>
  <c r="AG83" i="28" s="1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F5" i="28"/>
  <c r="K4" i="28"/>
  <c r="B4" i="28"/>
  <c r="AF95" i="27"/>
  <c r="AF37" i="27"/>
  <c r="AE95" i="27"/>
  <c r="AE37" i="27"/>
  <c r="AD95" i="27"/>
  <c r="AD37" i="27"/>
  <c r="AC95" i="27"/>
  <c r="AC37" i="27"/>
  <c r="AB37" i="27"/>
  <c r="Y37" i="27"/>
  <c r="X37" i="27"/>
  <c r="W37" i="27"/>
  <c r="V37" i="27"/>
  <c r="U37" i="27"/>
  <c r="T37" i="27"/>
  <c r="S37" i="27"/>
  <c r="R37" i="27"/>
  <c r="Q37" i="27"/>
  <c r="P37" i="27"/>
  <c r="N37" i="27"/>
  <c r="M37" i="27"/>
  <c r="K37" i="27"/>
  <c r="L37" i="27"/>
  <c r="L95" i="27"/>
  <c r="J95" i="27"/>
  <c r="K95" i="27"/>
  <c r="H95" i="27"/>
  <c r="H37" i="27"/>
  <c r="G95" i="27"/>
  <c r="G37" i="27"/>
  <c r="F95" i="27"/>
  <c r="F37" i="27"/>
  <c r="E95" i="27"/>
  <c r="E37" i="27"/>
  <c r="D37" i="27"/>
  <c r="C95" i="27"/>
  <c r="C37" i="27"/>
  <c r="B95" i="27"/>
  <c r="AF239" i="27"/>
  <c r="AE239" i="27"/>
  <c r="AD239" i="27"/>
  <c r="AC239" i="27"/>
  <c r="AB239" i="27"/>
  <c r="AA239" i="27"/>
  <c r="Z239" i="27"/>
  <c r="Y239" i="27"/>
  <c r="X239" i="27"/>
  <c r="W239" i="27"/>
  <c r="V239" i="27"/>
  <c r="U239" i="27"/>
  <c r="T239" i="27"/>
  <c r="S239" i="27"/>
  <c r="R239" i="27"/>
  <c r="Q239" i="27"/>
  <c r="P239" i="27"/>
  <c r="O239" i="27"/>
  <c r="N239" i="27"/>
  <c r="M239" i="27"/>
  <c r="L239" i="27"/>
  <c r="K239" i="27"/>
  <c r="J239" i="27"/>
  <c r="I239" i="27"/>
  <c r="H239" i="27"/>
  <c r="G239" i="27"/>
  <c r="F239" i="27"/>
  <c r="E239" i="27"/>
  <c r="D239" i="27"/>
  <c r="C239" i="27"/>
  <c r="B239" i="27"/>
  <c r="A239" i="27"/>
  <c r="AF238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R238" i="27"/>
  <c r="Q238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B235" i="27"/>
  <c r="S210" i="27"/>
  <c r="AG200" i="27"/>
  <c r="C200" i="27"/>
  <c r="E199" i="27"/>
  <c r="D199" i="27"/>
  <c r="C235" i="27" s="1"/>
  <c r="D198" i="27"/>
  <c r="E198" i="27" s="1"/>
  <c r="F198" i="27" s="1"/>
  <c r="G198" i="27" s="1"/>
  <c r="H198" i="27" s="1"/>
  <c r="I198" i="27" s="1"/>
  <c r="J198" i="27" s="1"/>
  <c r="K198" i="27" s="1"/>
  <c r="L198" i="27" s="1"/>
  <c r="M198" i="27" s="1"/>
  <c r="N198" i="27" s="1"/>
  <c r="O198" i="27" s="1"/>
  <c r="P198" i="27" s="1"/>
  <c r="Q198" i="27" s="1"/>
  <c r="R198" i="27" s="1"/>
  <c r="S198" i="27" s="1"/>
  <c r="T198" i="27" s="1"/>
  <c r="U198" i="27" s="1"/>
  <c r="V198" i="27" s="1"/>
  <c r="W198" i="27" s="1"/>
  <c r="X198" i="27" s="1"/>
  <c r="Y198" i="27" s="1"/>
  <c r="Z198" i="27" s="1"/>
  <c r="AA198" i="27" s="1"/>
  <c r="AB198" i="27" s="1"/>
  <c r="AC198" i="27" s="1"/>
  <c r="AD198" i="27" s="1"/>
  <c r="AE198" i="27" s="1"/>
  <c r="AF198" i="27" s="1"/>
  <c r="B198" i="27" s="1"/>
  <c r="J197" i="27"/>
  <c r="K197" i="27" s="1"/>
  <c r="L197" i="27" s="1"/>
  <c r="M197" i="27" s="1"/>
  <c r="N197" i="27" s="1"/>
  <c r="O197" i="27" s="1"/>
  <c r="P197" i="27" s="1"/>
  <c r="Q197" i="27" s="1"/>
  <c r="R197" i="27" s="1"/>
  <c r="S197" i="27" s="1"/>
  <c r="T197" i="27" s="1"/>
  <c r="U197" i="27" s="1"/>
  <c r="V197" i="27" s="1"/>
  <c r="W197" i="27" s="1"/>
  <c r="X197" i="27" s="1"/>
  <c r="Y197" i="27" s="1"/>
  <c r="Z197" i="27" s="1"/>
  <c r="AA197" i="27" s="1"/>
  <c r="AB197" i="27" s="1"/>
  <c r="AC197" i="27" s="1"/>
  <c r="AD197" i="27" s="1"/>
  <c r="AE197" i="27" s="1"/>
  <c r="AF197" i="27" s="1"/>
  <c r="B197" i="27" s="1"/>
  <c r="F197" i="27"/>
  <c r="G197" i="27" s="1"/>
  <c r="H197" i="27" s="1"/>
  <c r="I197" i="27" s="1"/>
  <c r="D197" i="27"/>
  <c r="E197" i="27" s="1"/>
  <c r="H196" i="27"/>
  <c r="I196" i="27" s="1"/>
  <c r="J196" i="27" s="1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B196" i="27" s="1"/>
  <c r="D196" i="27"/>
  <c r="E196" i="27" s="1"/>
  <c r="F196" i="27" s="1"/>
  <c r="G196" i="27" s="1"/>
  <c r="T195" i="27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B195" i="27" s="1"/>
  <c r="E195" i="27"/>
  <c r="F195" i="27" s="1"/>
  <c r="G195" i="27" s="1"/>
  <c r="H195" i="27" s="1"/>
  <c r="I195" i="27" s="1"/>
  <c r="J195" i="27" s="1"/>
  <c r="K195" i="27" s="1"/>
  <c r="L195" i="27" s="1"/>
  <c r="M195" i="27" s="1"/>
  <c r="N195" i="27" s="1"/>
  <c r="O195" i="27" s="1"/>
  <c r="P195" i="27" s="1"/>
  <c r="Q195" i="27" s="1"/>
  <c r="R195" i="27" s="1"/>
  <c r="S195" i="27" s="1"/>
  <c r="D195" i="27"/>
  <c r="E194" i="27"/>
  <c r="D194" i="27"/>
  <c r="AG192" i="27"/>
  <c r="C192" i="27"/>
  <c r="G191" i="27"/>
  <c r="H191" i="27" s="1"/>
  <c r="I191" i="27" s="1"/>
  <c r="J191" i="27" s="1"/>
  <c r="K191" i="27" s="1"/>
  <c r="L191" i="27" s="1"/>
  <c r="M191" i="27" s="1"/>
  <c r="N191" i="27" s="1"/>
  <c r="O191" i="27" s="1"/>
  <c r="P191" i="27" s="1"/>
  <c r="Q191" i="27" s="1"/>
  <c r="R191" i="27" s="1"/>
  <c r="S191" i="27" s="1"/>
  <c r="T191" i="27" s="1"/>
  <c r="U191" i="27" s="1"/>
  <c r="V191" i="27" s="1"/>
  <c r="W191" i="27" s="1"/>
  <c r="X191" i="27" s="1"/>
  <c r="Y191" i="27" s="1"/>
  <c r="Z191" i="27" s="1"/>
  <c r="AA191" i="27" s="1"/>
  <c r="AB191" i="27" s="1"/>
  <c r="AC191" i="27" s="1"/>
  <c r="AD191" i="27" s="1"/>
  <c r="AE191" i="27" s="1"/>
  <c r="AF191" i="27" s="1"/>
  <c r="B191" i="27" s="1"/>
  <c r="F191" i="27"/>
  <c r="D191" i="27"/>
  <c r="E191" i="27" s="1"/>
  <c r="E190" i="27"/>
  <c r="F190" i="27" s="1"/>
  <c r="G190" i="27" s="1"/>
  <c r="H190" i="27" s="1"/>
  <c r="I190" i="27" s="1"/>
  <c r="J190" i="27" s="1"/>
  <c r="K190" i="27" s="1"/>
  <c r="L190" i="27" s="1"/>
  <c r="M190" i="27" s="1"/>
  <c r="N190" i="27" s="1"/>
  <c r="O190" i="27" s="1"/>
  <c r="P190" i="27" s="1"/>
  <c r="Q190" i="27" s="1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B190" i="27" s="1"/>
  <c r="D190" i="27"/>
  <c r="P189" i="27"/>
  <c r="Q189" i="27" s="1"/>
  <c r="R189" i="27" s="1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B189" i="27" s="1"/>
  <c r="H189" i="27"/>
  <c r="I189" i="27" s="1"/>
  <c r="J189" i="27" s="1"/>
  <c r="K189" i="27" s="1"/>
  <c r="L189" i="27" s="1"/>
  <c r="M189" i="27" s="1"/>
  <c r="N189" i="27" s="1"/>
  <c r="O189" i="27" s="1"/>
  <c r="G189" i="27"/>
  <c r="E189" i="27"/>
  <c r="F189" i="27" s="1"/>
  <c r="D189" i="27"/>
  <c r="E188" i="27"/>
  <c r="F188" i="27" s="1"/>
  <c r="G188" i="27" s="1"/>
  <c r="H188" i="27" s="1"/>
  <c r="I188" i="27" s="1"/>
  <c r="J188" i="27" s="1"/>
  <c r="K188" i="27" s="1"/>
  <c r="L188" i="27" s="1"/>
  <c r="M188" i="27" s="1"/>
  <c r="N188" i="27" s="1"/>
  <c r="O188" i="27" s="1"/>
  <c r="P188" i="27" s="1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B188" i="27" s="1"/>
  <c r="D188" i="27"/>
  <c r="G187" i="27"/>
  <c r="H187" i="27" s="1"/>
  <c r="I187" i="27" s="1"/>
  <c r="J187" i="27" s="1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B187" i="27" s="1"/>
  <c r="D187" i="27"/>
  <c r="E187" i="27" s="1"/>
  <c r="F187" i="27" s="1"/>
  <c r="J186" i="27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B186" i="27" s="1"/>
  <c r="D186" i="27"/>
  <c r="E186" i="27" s="1"/>
  <c r="F186" i="27" s="1"/>
  <c r="G186" i="27" s="1"/>
  <c r="H186" i="27" s="1"/>
  <c r="I186" i="27" s="1"/>
  <c r="M185" i="27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B185" i="27" s="1"/>
  <c r="H185" i="27"/>
  <c r="I185" i="27" s="1"/>
  <c r="J185" i="27" s="1"/>
  <c r="K185" i="27" s="1"/>
  <c r="L185" i="27" s="1"/>
  <c r="D185" i="27"/>
  <c r="E185" i="27" s="1"/>
  <c r="F185" i="27" s="1"/>
  <c r="G185" i="27" s="1"/>
  <c r="K184" i="27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B184" i="27" s="1"/>
  <c r="F184" i="27"/>
  <c r="G184" i="27" s="1"/>
  <c r="H184" i="27" s="1"/>
  <c r="I184" i="27" s="1"/>
  <c r="J184" i="27" s="1"/>
  <c r="E184" i="27"/>
  <c r="D184" i="27"/>
  <c r="D183" i="27"/>
  <c r="E183" i="27" s="1"/>
  <c r="F183" i="27" s="1"/>
  <c r="G183" i="27" s="1"/>
  <c r="H183" i="27" s="1"/>
  <c r="I183" i="27" s="1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B183" i="27" s="1"/>
  <c r="E182" i="27"/>
  <c r="F182" i="27" s="1"/>
  <c r="G182" i="27" s="1"/>
  <c r="H182" i="27" s="1"/>
  <c r="I182" i="27" s="1"/>
  <c r="J182" i="27" s="1"/>
  <c r="K182" i="27" s="1"/>
  <c r="L182" i="27" s="1"/>
  <c r="M182" i="27" s="1"/>
  <c r="N182" i="27" s="1"/>
  <c r="O182" i="27" s="1"/>
  <c r="P182" i="27" s="1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B182" i="27" s="1"/>
  <c r="D182" i="27"/>
  <c r="J181" i="27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B181" i="27" s="1"/>
  <c r="E181" i="27"/>
  <c r="F181" i="27" s="1"/>
  <c r="G181" i="27" s="1"/>
  <c r="H181" i="27" s="1"/>
  <c r="I181" i="27" s="1"/>
  <c r="D181" i="27"/>
  <c r="E180" i="27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B180" i="27" s="1"/>
  <c r="D180" i="27"/>
  <c r="H179" i="27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B179" i="27" s="1"/>
  <c r="F179" i="27"/>
  <c r="G179" i="27" s="1"/>
  <c r="D179" i="27"/>
  <c r="E179" i="27" s="1"/>
  <c r="P177" i="27"/>
  <c r="Q177" i="27" s="1"/>
  <c r="R177" i="27" s="1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B177" i="27" s="1"/>
  <c r="I177" i="27"/>
  <c r="J177" i="27" s="1"/>
  <c r="K177" i="27" s="1"/>
  <c r="L177" i="27" s="1"/>
  <c r="M177" i="27" s="1"/>
  <c r="N177" i="27" s="1"/>
  <c r="O177" i="27" s="1"/>
  <c r="F177" i="27"/>
  <c r="G177" i="27" s="1"/>
  <c r="H177" i="27" s="1"/>
  <c r="D177" i="27"/>
  <c r="E177" i="27" s="1"/>
  <c r="D176" i="27"/>
  <c r="E176" i="27" s="1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B176" i="27" s="1"/>
  <c r="L175" i="27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B175" i="27" s="1"/>
  <c r="E175" i="27"/>
  <c r="F175" i="27" s="1"/>
  <c r="G175" i="27" s="1"/>
  <c r="H175" i="27" s="1"/>
  <c r="I175" i="27" s="1"/>
  <c r="J175" i="27" s="1"/>
  <c r="K175" i="27" s="1"/>
  <c r="D175" i="27"/>
  <c r="W174" i="27"/>
  <c r="X174" i="27" s="1"/>
  <c r="Y174" i="27" s="1"/>
  <c r="Z174" i="27" s="1"/>
  <c r="AA174" i="27" s="1"/>
  <c r="AB174" i="27" s="1"/>
  <c r="AC174" i="27" s="1"/>
  <c r="AD174" i="27" s="1"/>
  <c r="AE174" i="27" s="1"/>
  <c r="AF174" i="27" s="1"/>
  <c r="B174" i="27" s="1"/>
  <c r="D174" i="27"/>
  <c r="E174" i="27" s="1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R173" i="27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B173" i="27" s="1"/>
  <c r="D173" i="27"/>
  <c r="E173" i="27" s="1"/>
  <c r="F173" i="27" s="1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X172" i="27"/>
  <c r="Y172" i="27" s="1"/>
  <c r="Z172" i="27" s="1"/>
  <c r="AA172" i="27" s="1"/>
  <c r="AB172" i="27" s="1"/>
  <c r="AC172" i="27" s="1"/>
  <c r="AD172" i="27" s="1"/>
  <c r="AE172" i="27" s="1"/>
  <c r="AF172" i="27" s="1"/>
  <c r="B172" i="27" s="1"/>
  <c r="L172" i="27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G172" i="27"/>
  <c r="H172" i="27" s="1"/>
  <c r="I172" i="27" s="1"/>
  <c r="J172" i="27" s="1"/>
  <c r="K172" i="27" s="1"/>
  <c r="D172" i="27"/>
  <c r="E172" i="27" s="1"/>
  <c r="F172" i="27" s="1"/>
  <c r="J171" i="27"/>
  <c r="K171" i="27" s="1"/>
  <c r="L171" i="27" s="1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B171" i="27" s="1"/>
  <c r="E171" i="27"/>
  <c r="F171" i="27" s="1"/>
  <c r="G171" i="27" s="1"/>
  <c r="H171" i="27" s="1"/>
  <c r="I171" i="27" s="1"/>
  <c r="D171" i="27"/>
  <c r="D170" i="27"/>
  <c r="E170" i="27" s="1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B170" i="27" s="1"/>
  <c r="I168" i="27"/>
  <c r="J168" i="27" s="1"/>
  <c r="K168" i="27" s="1"/>
  <c r="L168" i="27" s="1"/>
  <c r="M168" i="27" s="1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B168" i="27" s="1"/>
  <c r="F168" i="27"/>
  <c r="G168" i="27" s="1"/>
  <c r="H168" i="27" s="1"/>
  <c r="E168" i="27"/>
  <c r="D168" i="27"/>
  <c r="J167" i="27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B167" i="27" s="1"/>
  <c r="G167" i="27"/>
  <c r="H167" i="27" s="1"/>
  <c r="I167" i="27" s="1"/>
  <c r="D167" i="27"/>
  <c r="E167" i="27" s="1"/>
  <c r="F167" i="27" s="1"/>
  <c r="E166" i="27"/>
  <c r="F166" i="27" s="1"/>
  <c r="G166" i="27" s="1"/>
  <c r="H166" i="27" s="1"/>
  <c r="I166" i="27" s="1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B166" i="27" s="1"/>
  <c r="D166" i="27"/>
  <c r="N165" i="27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B165" i="27" s="1"/>
  <c r="G165" i="27"/>
  <c r="H165" i="27" s="1"/>
  <c r="I165" i="27" s="1"/>
  <c r="J165" i="27" s="1"/>
  <c r="K165" i="27" s="1"/>
  <c r="L165" i="27" s="1"/>
  <c r="M165" i="27" s="1"/>
  <c r="D165" i="27"/>
  <c r="E165" i="27" s="1"/>
  <c r="F165" i="27" s="1"/>
  <c r="AA164" i="27"/>
  <c r="AB164" i="27" s="1"/>
  <c r="AC164" i="27" s="1"/>
  <c r="AD164" i="27" s="1"/>
  <c r="AE164" i="27" s="1"/>
  <c r="AF164" i="27" s="1"/>
  <c r="B164" i="27" s="1"/>
  <c r="L164" i="27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E164" i="27"/>
  <c r="F164" i="27" s="1"/>
  <c r="G164" i="27" s="1"/>
  <c r="H164" i="27" s="1"/>
  <c r="I164" i="27" s="1"/>
  <c r="J164" i="27" s="1"/>
  <c r="K164" i="27" s="1"/>
  <c r="D164" i="27"/>
  <c r="T163" i="27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B163" i="27" s="1"/>
  <c r="D163" i="27"/>
  <c r="E163" i="27" s="1"/>
  <c r="F163" i="27" s="1"/>
  <c r="G163" i="27" s="1"/>
  <c r="H163" i="27" s="1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S163" i="27" s="1"/>
  <c r="D162" i="27"/>
  <c r="E162" i="27" s="1"/>
  <c r="F162" i="27" s="1"/>
  <c r="G162" i="27" s="1"/>
  <c r="H162" i="27" s="1"/>
  <c r="I162" i="27" s="1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B162" i="27" s="1"/>
  <c r="M161" i="27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B161" i="27" s="1"/>
  <c r="J161" i="27"/>
  <c r="K161" i="27" s="1"/>
  <c r="L161" i="27" s="1"/>
  <c r="E161" i="27"/>
  <c r="F161" i="27" s="1"/>
  <c r="G161" i="27" s="1"/>
  <c r="H161" i="27" s="1"/>
  <c r="I161" i="27" s="1"/>
  <c r="D161" i="27"/>
  <c r="P160" i="27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B160" i="27" s="1"/>
  <c r="D160" i="27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I159" i="27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B159" i="27" s="1"/>
  <c r="F159" i="27"/>
  <c r="G159" i="27" s="1"/>
  <c r="H159" i="27" s="1"/>
  <c r="E159" i="27"/>
  <c r="D159" i="27"/>
  <c r="G158" i="27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B158" i="27" s="1"/>
  <c r="D158" i="27"/>
  <c r="E158" i="27" s="1"/>
  <c r="F158" i="27" s="1"/>
  <c r="J157" i="27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B157" i="27" s="1"/>
  <c r="F157" i="27"/>
  <c r="G157" i="27" s="1"/>
  <c r="H157" i="27" s="1"/>
  <c r="I157" i="27" s="1"/>
  <c r="E157" i="27"/>
  <c r="D157" i="27"/>
  <c r="H156" i="27"/>
  <c r="I156" i="27" s="1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B156" i="27" s="1"/>
  <c r="D156" i="27"/>
  <c r="E156" i="27" s="1"/>
  <c r="F156" i="27" s="1"/>
  <c r="G156" i="27" s="1"/>
  <c r="F154" i="27"/>
  <c r="G154" i="27" s="1"/>
  <c r="H154" i="27" s="1"/>
  <c r="I154" i="27" s="1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B154" i="27" s="1"/>
  <c r="E154" i="27"/>
  <c r="D154" i="27"/>
  <c r="P153" i="27"/>
  <c r="Q153" i="27" s="1"/>
  <c r="R153" i="27" s="1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B153" i="27" s="1"/>
  <c r="G153" i="27"/>
  <c r="H153" i="27" s="1"/>
  <c r="I153" i="27" s="1"/>
  <c r="J153" i="27" s="1"/>
  <c r="K153" i="27" s="1"/>
  <c r="L153" i="27" s="1"/>
  <c r="M153" i="27" s="1"/>
  <c r="N153" i="27" s="1"/>
  <c r="O153" i="27" s="1"/>
  <c r="E153" i="27"/>
  <c r="F153" i="27" s="1"/>
  <c r="D153" i="27"/>
  <c r="AD152" i="27"/>
  <c r="AE152" i="27" s="1"/>
  <c r="AF152" i="27" s="1"/>
  <c r="B152" i="27" s="1"/>
  <c r="Q152" i="27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I152" i="27"/>
  <c r="J152" i="27" s="1"/>
  <c r="K152" i="27" s="1"/>
  <c r="L152" i="27" s="1"/>
  <c r="M152" i="27" s="1"/>
  <c r="N152" i="27" s="1"/>
  <c r="O152" i="27" s="1"/>
  <c r="P152" i="27" s="1"/>
  <c r="F152" i="27"/>
  <c r="G152" i="27" s="1"/>
  <c r="H152" i="27" s="1"/>
  <c r="E152" i="27"/>
  <c r="D152" i="27"/>
  <c r="D151" i="27"/>
  <c r="E151" i="27" s="1"/>
  <c r="F151" i="27" s="1"/>
  <c r="G151" i="27" s="1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B151" i="27" s="1"/>
  <c r="G149" i="27"/>
  <c r="H149" i="27" s="1"/>
  <c r="I149" i="27" s="1"/>
  <c r="J149" i="27" s="1"/>
  <c r="K149" i="27" s="1"/>
  <c r="L149" i="27" s="1"/>
  <c r="M149" i="27" s="1"/>
  <c r="N149" i="27" s="1"/>
  <c r="O149" i="27" s="1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B149" i="27" s="1"/>
  <c r="F149" i="27"/>
  <c r="E149" i="27"/>
  <c r="D149" i="27"/>
  <c r="M148" i="27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B148" i="27" s="1"/>
  <c r="F148" i="27"/>
  <c r="G148" i="27" s="1"/>
  <c r="H148" i="27" s="1"/>
  <c r="I148" i="27" s="1"/>
  <c r="J148" i="27" s="1"/>
  <c r="K148" i="27" s="1"/>
  <c r="L148" i="27" s="1"/>
  <c r="E148" i="27"/>
  <c r="D148" i="27"/>
  <c r="D146" i="27"/>
  <c r="E146" i="27" s="1"/>
  <c r="F146" i="27" s="1"/>
  <c r="G146" i="27" s="1"/>
  <c r="H146" i="27" s="1"/>
  <c r="I146" i="27" s="1"/>
  <c r="J146" i="27" s="1"/>
  <c r="K146" i="27" s="1"/>
  <c r="L146" i="27" s="1"/>
  <c r="M146" i="27" s="1"/>
  <c r="N146" i="27" s="1"/>
  <c r="O146" i="27" s="1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B146" i="27" s="1"/>
  <c r="D145" i="27"/>
  <c r="E145" i="27" s="1"/>
  <c r="F145" i="27" s="1"/>
  <c r="G145" i="27" s="1"/>
  <c r="H145" i="27" s="1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B145" i="27" s="1"/>
  <c r="M144" i="27"/>
  <c r="N144" i="27" s="1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B144" i="27" s="1"/>
  <c r="D144" i="27"/>
  <c r="E144" i="27" s="1"/>
  <c r="F144" i="27" s="1"/>
  <c r="G144" i="27" s="1"/>
  <c r="H144" i="27" s="1"/>
  <c r="I144" i="27" s="1"/>
  <c r="J144" i="27" s="1"/>
  <c r="K144" i="27" s="1"/>
  <c r="L144" i="27" s="1"/>
  <c r="K143" i="27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B143" i="27" s="1"/>
  <c r="J143" i="27"/>
  <c r="F143" i="27"/>
  <c r="G143" i="27" s="1"/>
  <c r="H143" i="27" s="1"/>
  <c r="I143" i="27" s="1"/>
  <c r="E143" i="27"/>
  <c r="D143" i="27"/>
  <c r="P142" i="27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B142" i="27" s="1"/>
  <c r="D142" i="27"/>
  <c r="E142" i="27" s="1"/>
  <c r="F142" i="27" s="1"/>
  <c r="G142" i="27" s="1"/>
  <c r="H142" i="27" s="1"/>
  <c r="I142" i="27" s="1"/>
  <c r="J142" i="27" s="1"/>
  <c r="K142" i="27" s="1"/>
  <c r="L142" i="27" s="1"/>
  <c r="M142" i="27" s="1"/>
  <c r="N142" i="27" s="1"/>
  <c r="O142" i="27" s="1"/>
  <c r="D141" i="27"/>
  <c r="E141" i="27" s="1"/>
  <c r="F141" i="27" s="1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B141" i="27" s="1"/>
  <c r="M140" i="27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B140" i="27" s="1"/>
  <c r="D140" i="27"/>
  <c r="E140" i="27" s="1"/>
  <c r="F140" i="27" s="1"/>
  <c r="G140" i="27" s="1"/>
  <c r="H140" i="27" s="1"/>
  <c r="I140" i="27" s="1"/>
  <c r="J140" i="27" s="1"/>
  <c r="K140" i="27" s="1"/>
  <c r="L140" i="27" s="1"/>
  <c r="K138" i="27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B138" i="27" s="1"/>
  <c r="J138" i="27"/>
  <c r="F138" i="27"/>
  <c r="G138" i="27" s="1"/>
  <c r="H138" i="27" s="1"/>
  <c r="I138" i="27" s="1"/>
  <c r="E138" i="27"/>
  <c r="D138" i="27"/>
  <c r="P137" i="27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B137" i="27" s="1"/>
  <c r="D137" i="27"/>
  <c r="E137" i="27" s="1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D136" i="27"/>
  <c r="E136" i="27" s="1"/>
  <c r="F136" i="27" s="1"/>
  <c r="G136" i="27" s="1"/>
  <c r="H136" i="27" s="1"/>
  <c r="I136" i="27" s="1"/>
  <c r="J136" i="27" s="1"/>
  <c r="K136" i="27" s="1"/>
  <c r="L136" i="27" s="1"/>
  <c r="M136" i="27" s="1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B136" i="27" s="1"/>
  <c r="M135" i="27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B135" i="27" s="1"/>
  <c r="D135" i="27"/>
  <c r="E135" i="27" s="1"/>
  <c r="F135" i="27" s="1"/>
  <c r="G135" i="27" s="1"/>
  <c r="H135" i="27" s="1"/>
  <c r="I135" i="27" s="1"/>
  <c r="J135" i="27" s="1"/>
  <c r="K135" i="27" s="1"/>
  <c r="L135" i="27" s="1"/>
  <c r="K134" i="27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B134" i="27" s="1"/>
  <c r="J134" i="27"/>
  <c r="F134" i="27"/>
  <c r="G134" i="27" s="1"/>
  <c r="H134" i="27" s="1"/>
  <c r="I134" i="27" s="1"/>
  <c r="E134" i="27"/>
  <c r="D134" i="27"/>
  <c r="P133" i="27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B133" i="27" s="1"/>
  <c r="D133" i="27"/>
  <c r="E133" i="27" s="1"/>
  <c r="F133" i="27" s="1"/>
  <c r="G133" i="27" s="1"/>
  <c r="H133" i="27" s="1"/>
  <c r="I133" i="27" s="1"/>
  <c r="J133" i="27" s="1"/>
  <c r="K133" i="27" s="1"/>
  <c r="L133" i="27" s="1"/>
  <c r="M133" i="27" s="1"/>
  <c r="N133" i="27" s="1"/>
  <c r="O133" i="27" s="1"/>
  <c r="D132" i="27"/>
  <c r="E132" i="27" s="1"/>
  <c r="F132" i="27" s="1"/>
  <c r="G132" i="27" s="1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B132" i="27" s="1"/>
  <c r="M131" i="27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B131" i="27" s="1"/>
  <c r="D131" i="27"/>
  <c r="E131" i="27" s="1"/>
  <c r="F131" i="27" s="1"/>
  <c r="G131" i="27" s="1"/>
  <c r="H131" i="27" s="1"/>
  <c r="I131" i="27" s="1"/>
  <c r="J131" i="27" s="1"/>
  <c r="K131" i="27" s="1"/>
  <c r="L131" i="27" s="1"/>
  <c r="K129" i="27"/>
  <c r="L129" i="27" s="1"/>
  <c r="M129" i="27" s="1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B129" i="27" s="1"/>
  <c r="J129" i="27"/>
  <c r="F129" i="27"/>
  <c r="G129" i="27" s="1"/>
  <c r="H129" i="27" s="1"/>
  <c r="I129" i="27" s="1"/>
  <c r="E129" i="27"/>
  <c r="D129" i="27"/>
  <c r="P128" i="27"/>
  <c r="Q128" i="27" s="1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B128" i="27" s="1"/>
  <c r="D128" i="27"/>
  <c r="E128" i="27" s="1"/>
  <c r="F128" i="27" s="1"/>
  <c r="G128" i="27" s="1"/>
  <c r="H128" i="27" s="1"/>
  <c r="I128" i="27" s="1"/>
  <c r="J128" i="27" s="1"/>
  <c r="K128" i="27" s="1"/>
  <c r="L128" i="27" s="1"/>
  <c r="M128" i="27" s="1"/>
  <c r="N128" i="27" s="1"/>
  <c r="O128" i="27" s="1"/>
  <c r="D127" i="27"/>
  <c r="E127" i="27" s="1"/>
  <c r="F127" i="27" s="1"/>
  <c r="G127" i="27" s="1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B127" i="27" s="1"/>
  <c r="D126" i="27"/>
  <c r="J125" i="27"/>
  <c r="K125" i="27" s="1"/>
  <c r="L125" i="27" s="1"/>
  <c r="M125" i="27" s="1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B125" i="27" s="1"/>
  <c r="E125" i="27"/>
  <c r="F125" i="27" s="1"/>
  <c r="G125" i="27" s="1"/>
  <c r="H125" i="27" s="1"/>
  <c r="D125" i="27"/>
  <c r="G124" i="27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B124" i="27" s="1"/>
  <c r="E124" i="27"/>
  <c r="F124" i="27" s="1"/>
  <c r="D124" i="27"/>
  <c r="P123" i="27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B123" i="27" s="1"/>
  <c r="H123" i="27"/>
  <c r="I123" i="27" s="1"/>
  <c r="J123" i="27" s="1"/>
  <c r="K123" i="27" s="1"/>
  <c r="L123" i="27" s="1"/>
  <c r="M123" i="27" s="1"/>
  <c r="N123" i="27" s="1"/>
  <c r="O123" i="27" s="1"/>
  <c r="F123" i="27"/>
  <c r="G123" i="27" s="1"/>
  <c r="E123" i="27"/>
  <c r="D123" i="27"/>
  <c r="G122" i="27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B122" i="27" s="1"/>
  <c r="F122" i="27"/>
  <c r="D122" i="27"/>
  <c r="E122" i="27" s="1"/>
  <c r="E121" i="27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B121" i="27" s="1"/>
  <c r="D121" i="27"/>
  <c r="E120" i="27"/>
  <c r="F120" i="27" s="1"/>
  <c r="G120" i="27" s="1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B120" i="27" s="1"/>
  <c r="D120" i="27"/>
  <c r="F119" i="27"/>
  <c r="G119" i="27" s="1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B119" i="27" s="1"/>
  <c r="E119" i="27"/>
  <c r="D119" i="27"/>
  <c r="N118" i="27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B118" i="27" s="1"/>
  <c r="F118" i="27"/>
  <c r="G118" i="27" s="1"/>
  <c r="H118" i="27" s="1"/>
  <c r="I118" i="27" s="1"/>
  <c r="J118" i="27" s="1"/>
  <c r="K118" i="27" s="1"/>
  <c r="L118" i="27" s="1"/>
  <c r="M118" i="27" s="1"/>
  <c r="D118" i="27"/>
  <c r="E118" i="27" s="1"/>
  <c r="L117" i="27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B117" i="27" s="1"/>
  <c r="D117" i="27"/>
  <c r="E117" i="27" s="1"/>
  <c r="F117" i="27" s="1"/>
  <c r="G117" i="27" s="1"/>
  <c r="H117" i="27" s="1"/>
  <c r="I117" i="27" s="1"/>
  <c r="J117" i="27" s="1"/>
  <c r="K117" i="27" s="1"/>
  <c r="E116" i="27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B116" i="27" s="1"/>
  <c r="D116" i="27"/>
  <c r="I115" i="27"/>
  <c r="J115" i="27" s="1"/>
  <c r="K115" i="27" s="1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B115" i="27" s="1"/>
  <c r="H115" i="27"/>
  <c r="F115" i="27"/>
  <c r="G115" i="27" s="1"/>
  <c r="E115" i="27"/>
  <c r="D115" i="27"/>
  <c r="V114" i="27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B114" i="27" s="1"/>
  <c r="O114" i="27"/>
  <c r="P114" i="27" s="1"/>
  <c r="Q114" i="27" s="1"/>
  <c r="R114" i="27" s="1"/>
  <c r="S114" i="27" s="1"/>
  <c r="T114" i="27" s="1"/>
  <c r="U114" i="27" s="1"/>
  <c r="N114" i="27"/>
  <c r="L114" i="27"/>
  <c r="M114" i="27" s="1"/>
  <c r="K114" i="27"/>
  <c r="H114" i="27"/>
  <c r="I114" i="27" s="1"/>
  <c r="F114" i="27"/>
  <c r="G114" i="27" s="1"/>
  <c r="E114" i="27"/>
  <c r="D114" i="27"/>
  <c r="H113" i="27"/>
  <c r="I113" i="27" s="1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B113" i="27" s="1"/>
  <c r="F113" i="27"/>
  <c r="G113" i="27" s="1"/>
  <c r="D113" i="27"/>
  <c r="E113" i="27" s="1"/>
  <c r="R112" i="27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B112" i="27" s="1"/>
  <c r="F112" i="27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D112" i="27"/>
  <c r="E112" i="27" s="1"/>
  <c r="M110" i="27"/>
  <c r="N110" i="27" s="1"/>
  <c r="O110" i="27" s="1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B110" i="27" s="1"/>
  <c r="H110" i="27"/>
  <c r="I110" i="27" s="1"/>
  <c r="J110" i="27" s="1"/>
  <c r="K110" i="27" s="1"/>
  <c r="L110" i="27" s="1"/>
  <c r="G110" i="27"/>
  <c r="E110" i="27"/>
  <c r="F110" i="27" s="1"/>
  <c r="D110" i="27"/>
  <c r="Q109" i="27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B109" i="27" s="1"/>
  <c r="K109" i="27"/>
  <c r="L109" i="27" s="1"/>
  <c r="M109" i="27" s="1"/>
  <c r="N109" i="27" s="1"/>
  <c r="O109" i="27" s="1"/>
  <c r="P109" i="27" s="1"/>
  <c r="F109" i="27"/>
  <c r="G109" i="27" s="1"/>
  <c r="H109" i="27" s="1"/>
  <c r="I109" i="27" s="1"/>
  <c r="J109" i="27" s="1"/>
  <c r="E109" i="27"/>
  <c r="D109" i="27"/>
  <c r="E107" i="27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B107" i="27" s="1"/>
  <c r="D107" i="27"/>
  <c r="D106" i="27"/>
  <c r="E106" i="27" s="1"/>
  <c r="F106" i="27" s="1"/>
  <c r="G106" i="27" s="1"/>
  <c r="H106" i="27" s="1"/>
  <c r="I106" i="27" s="1"/>
  <c r="J106" i="27" s="1"/>
  <c r="K106" i="27" s="1"/>
  <c r="L106" i="27" s="1"/>
  <c r="M106" i="27" s="1"/>
  <c r="N106" i="27" s="1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B106" i="27" s="1"/>
  <c r="O105" i="27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B105" i="27" s="1"/>
  <c r="J105" i="27"/>
  <c r="K105" i="27" s="1"/>
  <c r="L105" i="27" s="1"/>
  <c r="M105" i="27" s="1"/>
  <c r="N105" i="27" s="1"/>
  <c r="E105" i="27"/>
  <c r="F105" i="27" s="1"/>
  <c r="G105" i="27" s="1"/>
  <c r="H105" i="27" s="1"/>
  <c r="I105" i="27" s="1"/>
  <c r="D105" i="27"/>
  <c r="G104" i="27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B104" i="27" s="1"/>
  <c r="F104" i="27"/>
  <c r="E104" i="27"/>
  <c r="D104" i="27"/>
  <c r="D103" i="27"/>
  <c r="E103" i="27" s="1"/>
  <c r="D102" i="27"/>
  <c r="D192" i="27" s="1"/>
  <c r="AH100" i="27"/>
  <c r="AI100" i="27" s="1"/>
  <c r="AH99" i="27"/>
  <c r="AI99" i="27" s="1"/>
  <c r="AH98" i="27"/>
  <c r="AI98" i="27" s="1"/>
  <c r="AH97" i="27"/>
  <c r="AI97" i="27" s="1"/>
  <c r="AH96" i="27"/>
  <c r="AI96" i="27" s="1"/>
  <c r="AH95" i="27"/>
  <c r="AI95" i="27" s="1"/>
  <c r="AH94" i="27"/>
  <c r="AI94" i="27" s="1"/>
  <c r="C93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G82" i="27"/>
  <c r="AI81" i="27"/>
  <c r="AH81" i="27"/>
  <c r="AF80" i="27"/>
  <c r="AE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B80" i="27"/>
  <c r="AF79" i="27"/>
  <c r="AE79" i="27"/>
  <c r="AD79" i="27"/>
  <c r="AC79" i="27"/>
  <c r="AB79" i="27"/>
  <c r="AA79" i="27"/>
  <c r="Z79" i="27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B79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L82" i="27" s="1"/>
  <c r="K77" i="27"/>
  <c r="J77" i="27"/>
  <c r="I77" i="27"/>
  <c r="H77" i="27"/>
  <c r="G77" i="27"/>
  <c r="F77" i="27"/>
  <c r="E77" i="27"/>
  <c r="D77" i="27"/>
  <c r="C77" i="27"/>
  <c r="B77" i="27"/>
  <c r="AF76" i="27"/>
  <c r="AE76" i="27"/>
  <c r="AD76" i="27"/>
  <c r="AC76" i="27"/>
  <c r="AB76" i="27"/>
  <c r="AA76" i="27"/>
  <c r="AA82" i="27" s="1"/>
  <c r="Z76" i="27"/>
  <c r="Z82" i="27" s="1"/>
  <c r="Y76" i="27"/>
  <c r="Y82" i="27" s="1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I82" i="27" s="1"/>
  <c r="H76" i="27"/>
  <c r="G76" i="27"/>
  <c r="F76" i="27"/>
  <c r="E76" i="27"/>
  <c r="D76" i="27"/>
  <c r="C76" i="27"/>
  <c r="B76" i="27"/>
  <c r="AI74" i="27"/>
  <c r="AH74" i="27"/>
  <c r="AI72" i="27"/>
  <c r="AH72" i="27"/>
  <c r="AG72" i="27"/>
  <c r="AI71" i="27"/>
  <c r="AH71" i="27"/>
  <c r="AI70" i="27"/>
  <c r="AH70" i="27"/>
  <c r="AI69" i="27"/>
  <c r="AH69" i="27"/>
  <c r="AG68" i="27"/>
  <c r="AF68" i="27"/>
  <c r="AE5" i="27" s="1"/>
  <c r="AE68" i="27"/>
  <c r="AD5" i="27" s="1"/>
  <c r="AD68" i="27"/>
  <c r="AC5" i="27" s="1"/>
  <c r="AC68" i="27"/>
  <c r="AB5" i="27" s="1"/>
  <c r="AB68" i="27"/>
  <c r="AA68" i="27"/>
  <c r="Z5" i="27" s="1"/>
  <c r="Z68" i="27"/>
  <c r="Y68" i="27"/>
  <c r="X5" i="27" s="1"/>
  <c r="X68" i="27"/>
  <c r="W68" i="27"/>
  <c r="V5" i="27" s="1"/>
  <c r="V68" i="27"/>
  <c r="U68" i="27"/>
  <c r="T5" i="27" s="1"/>
  <c r="T68" i="27"/>
  <c r="S68" i="27"/>
  <c r="R68" i="27"/>
  <c r="Q68" i="27"/>
  <c r="P68" i="27"/>
  <c r="O5" i="27" s="1"/>
  <c r="O68" i="27"/>
  <c r="N68" i="27"/>
  <c r="M5" i="27" s="1"/>
  <c r="M68" i="27"/>
  <c r="L5" i="27" s="1"/>
  <c r="L68" i="27"/>
  <c r="K5" i="27" s="1"/>
  <c r="K68" i="27"/>
  <c r="J68" i="27"/>
  <c r="I5" i="27" s="1"/>
  <c r="I68" i="27"/>
  <c r="H68" i="27"/>
  <c r="G68" i="27"/>
  <c r="F5" i="27" s="1"/>
  <c r="F68" i="27"/>
  <c r="E5" i="27" s="1"/>
  <c r="E68" i="27"/>
  <c r="D5" i="27" s="1"/>
  <c r="D68" i="27"/>
  <c r="C5" i="27" s="1"/>
  <c r="C68" i="27"/>
  <c r="B5" i="27" s="1"/>
  <c r="B68" i="27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G56" i="27"/>
  <c r="AG4" i="27" s="1"/>
  <c r="AF56" i="27"/>
  <c r="AE56" i="27"/>
  <c r="AD56" i="27"/>
  <c r="AC56" i="27"/>
  <c r="AB56" i="27"/>
  <c r="AA56" i="27"/>
  <c r="Z56" i="27"/>
  <c r="Y56" i="27"/>
  <c r="X56" i="27"/>
  <c r="W56" i="27"/>
  <c r="V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AI55" i="27"/>
  <c r="AH55" i="27"/>
  <c r="AI54" i="27"/>
  <c r="AH54" i="27"/>
  <c r="AI53" i="27"/>
  <c r="AH53" i="27"/>
  <c r="AG52" i="27"/>
  <c r="AG3" i="27" s="1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AI51" i="27"/>
  <c r="AH51" i="27"/>
  <c r="AG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G38" i="27"/>
  <c r="AG2" i="27" s="1"/>
  <c r="AF38" i="27"/>
  <c r="AE38" i="27"/>
  <c r="AD38" i="27"/>
  <c r="AC38" i="27"/>
  <c r="AB38" i="27"/>
  <c r="AA38" i="27"/>
  <c r="Z38" i="27"/>
  <c r="Z73" i="27" s="1"/>
  <c r="Z75" i="27" s="1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I73" i="27" s="1"/>
  <c r="I75" i="27" s="1"/>
  <c r="H38" i="27"/>
  <c r="G38" i="27"/>
  <c r="F38" i="27"/>
  <c r="E38" i="27"/>
  <c r="D38" i="27"/>
  <c r="C38" i="27"/>
  <c r="B38" i="27"/>
  <c r="AI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Y5" i="27"/>
  <c r="W5" i="27"/>
  <c r="U5" i="27"/>
  <c r="Q5" i="27"/>
  <c r="P5" i="27"/>
  <c r="N5" i="27"/>
  <c r="H5" i="27"/>
  <c r="K4" i="27"/>
  <c r="B4" i="27"/>
  <c r="AF95" i="26"/>
  <c r="AF37" i="26"/>
  <c r="AE95" i="26"/>
  <c r="AE37" i="26"/>
  <c r="AD95" i="26"/>
  <c r="AD37" i="26"/>
  <c r="AC95" i="26"/>
  <c r="AA95" i="26"/>
  <c r="AA37" i="26"/>
  <c r="Z95" i="26"/>
  <c r="Y95" i="26"/>
  <c r="Y37" i="26"/>
  <c r="Z37" i="26"/>
  <c r="X95" i="26"/>
  <c r="X37" i="26"/>
  <c r="W95" i="26"/>
  <c r="V95" i="26"/>
  <c r="W37" i="26"/>
  <c r="V37" i="26"/>
  <c r="U95" i="26"/>
  <c r="U37" i="26"/>
  <c r="T95" i="26"/>
  <c r="T37" i="26"/>
  <c r="R37" i="26"/>
  <c r="Q37" i="26"/>
  <c r="E4" i="30"/>
  <c r="E4" i="28"/>
  <c r="E4" i="27"/>
  <c r="E4" i="32"/>
  <c r="E4" i="31"/>
  <c r="E4" i="29"/>
  <c r="AC235" i="35" l="1"/>
  <c r="AE199" i="35"/>
  <c r="AD192" i="35"/>
  <c r="AE102" i="35"/>
  <c r="AD93" i="35"/>
  <c r="AD200" i="35"/>
  <c r="AF194" i="35"/>
  <c r="AE200" i="35"/>
  <c r="AE93" i="35"/>
  <c r="X194" i="34"/>
  <c r="W200" i="34"/>
  <c r="W93" i="34"/>
  <c r="Z103" i="34"/>
  <c r="X235" i="34"/>
  <c r="Z199" i="34"/>
  <c r="W192" i="34"/>
  <c r="X102" i="34"/>
  <c r="G192" i="33"/>
  <c r="H102" i="33"/>
  <c r="G199" i="33"/>
  <c r="E235" i="33"/>
  <c r="F200" i="33"/>
  <c r="J103" i="33"/>
  <c r="I194" i="33"/>
  <c r="T214" i="33"/>
  <c r="AH75" i="33"/>
  <c r="B7" i="33"/>
  <c r="A7" i="33" s="1"/>
  <c r="AI75" i="33"/>
  <c r="H109" i="33"/>
  <c r="G93" i="33"/>
  <c r="AF73" i="32"/>
  <c r="AF75" i="32" s="1"/>
  <c r="AE73" i="32"/>
  <c r="AE75" i="32" s="1"/>
  <c r="AE83" i="32"/>
  <c r="AD82" i="32"/>
  <c r="AD73" i="32"/>
  <c r="AD75" i="32" s="1"/>
  <c r="AC82" i="32"/>
  <c r="AC73" i="32"/>
  <c r="AC75" i="32" s="1"/>
  <c r="AB82" i="32"/>
  <c r="AB73" i="32"/>
  <c r="AB75" i="32" s="1"/>
  <c r="AA82" i="32"/>
  <c r="AA83" i="32" s="1"/>
  <c r="AA73" i="32"/>
  <c r="AA75" i="32" s="1"/>
  <c r="Z82" i="32"/>
  <c r="Z83" i="32" s="1"/>
  <c r="Z73" i="32"/>
  <c r="Z75" i="32" s="1"/>
  <c r="Y5" i="32"/>
  <c r="Y82" i="32"/>
  <c r="Y83" i="32" s="1"/>
  <c r="Y73" i="32"/>
  <c r="Y75" i="32" s="1"/>
  <c r="X82" i="32"/>
  <c r="X73" i="32"/>
  <c r="X75" i="32" s="1"/>
  <c r="W82" i="32"/>
  <c r="W83" i="32" s="1"/>
  <c r="W73" i="32"/>
  <c r="W75" i="32" s="1"/>
  <c r="V82" i="32"/>
  <c r="V73" i="32"/>
  <c r="V75" i="32" s="1"/>
  <c r="U82" i="32"/>
  <c r="U73" i="32"/>
  <c r="U75" i="32" s="1"/>
  <c r="T73" i="32"/>
  <c r="T75" i="32" s="1"/>
  <c r="S82" i="32"/>
  <c r="S83" i="32" s="1"/>
  <c r="S73" i="32"/>
  <c r="S75" i="32" s="1"/>
  <c r="Q5" i="32"/>
  <c r="R73" i="32"/>
  <c r="R75" i="32" s="1"/>
  <c r="Q82" i="32"/>
  <c r="Q83" i="32" s="1"/>
  <c r="Q73" i="32"/>
  <c r="Q75" i="32" s="1"/>
  <c r="P82" i="32"/>
  <c r="P73" i="32"/>
  <c r="P75" i="32" s="1"/>
  <c r="O82" i="32"/>
  <c r="O83" i="32" s="1"/>
  <c r="O73" i="32"/>
  <c r="O75" i="32" s="1"/>
  <c r="N73" i="32"/>
  <c r="N75" i="32" s="1"/>
  <c r="M73" i="32"/>
  <c r="M75" i="32" s="1"/>
  <c r="L73" i="32"/>
  <c r="L75" i="32" s="1"/>
  <c r="AD214" i="32" s="1"/>
  <c r="K82" i="32"/>
  <c r="K83" i="32" s="1"/>
  <c r="K73" i="32"/>
  <c r="K75" i="32" s="1"/>
  <c r="K7" i="32" s="1"/>
  <c r="J82" i="32"/>
  <c r="J83" i="32" s="1"/>
  <c r="I5" i="32"/>
  <c r="J73" i="32"/>
  <c r="J75" i="32" s="1"/>
  <c r="AB214" i="32" s="1"/>
  <c r="I82" i="32"/>
  <c r="I83" i="32" s="1"/>
  <c r="I73" i="32"/>
  <c r="I75" i="32" s="1"/>
  <c r="AA214" i="32" s="1"/>
  <c r="H82" i="32"/>
  <c r="H83" i="32" s="1"/>
  <c r="H73" i="32"/>
  <c r="H75" i="32" s="1"/>
  <c r="Z214" i="32" s="1"/>
  <c r="G82" i="32"/>
  <c r="G83" i="32" s="1"/>
  <c r="G73" i="32"/>
  <c r="G75" i="32" s="1"/>
  <c r="Y214" i="32" s="1"/>
  <c r="AI78" i="32"/>
  <c r="F73" i="32"/>
  <c r="F75" i="32" s="1"/>
  <c r="X214" i="32" s="1"/>
  <c r="AH77" i="32"/>
  <c r="E82" i="32"/>
  <c r="E83" i="32" s="1"/>
  <c r="AH80" i="32"/>
  <c r="E73" i="32"/>
  <c r="E75" i="32" s="1"/>
  <c r="E7" i="32" s="1"/>
  <c r="AI80" i="32"/>
  <c r="D73" i="32"/>
  <c r="D75" i="32" s="1"/>
  <c r="AI38" i="32"/>
  <c r="C82" i="32"/>
  <c r="C83" i="32" s="1"/>
  <c r="AI68" i="32"/>
  <c r="AI79" i="32"/>
  <c r="AH76" i="32"/>
  <c r="AI76" i="32"/>
  <c r="AH56" i="32"/>
  <c r="AH52" i="32"/>
  <c r="C73" i="32"/>
  <c r="C75" i="32" s="1"/>
  <c r="U214" i="32" s="1"/>
  <c r="AF5" i="32"/>
  <c r="AI56" i="32"/>
  <c r="AI52" i="32"/>
  <c r="H4" i="32"/>
  <c r="AF214" i="32"/>
  <c r="N7" i="32"/>
  <c r="AE214" i="32"/>
  <c r="M7" i="32"/>
  <c r="AM214" i="32"/>
  <c r="U7" i="32"/>
  <c r="AU214" i="32"/>
  <c r="AC7" i="32"/>
  <c r="F83" i="32"/>
  <c r="N83" i="32"/>
  <c r="V83" i="32"/>
  <c r="AD83" i="32"/>
  <c r="K103" i="32"/>
  <c r="AG214" i="32"/>
  <c r="O7" i="32"/>
  <c r="AO214" i="32"/>
  <c r="W7" i="32"/>
  <c r="AW214" i="32"/>
  <c r="AE7" i="32"/>
  <c r="P83" i="32"/>
  <c r="X83" i="32"/>
  <c r="AF83" i="32"/>
  <c r="AH214" i="32"/>
  <c r="P7" i="32"/>
  <c r="AP214" i="32"/>
  <c r="X7" i="32"/>
  <c r="AX214" i="32"/>
  <c r="AF7" i="32"/>
  <c r="AI214" i="32"/>
  <c r="Q7" i="32"/>
  <c r="AQ214" i="32"/>
  <c r="Y7" i="32"/>
  <c r="G115" i="32"/>
  <c r="AN214" i="32"/>
  <c r="V7" i="32"/>
  <c r="J7" i="32"/>
  <c r="AJ214" i="32"/>
  <c r="R7" i="32"/>
  <c r="AR214" i="32"/>
  <c r="Z7" i="32"/>
  <c r="AC214" i="32"/>
  <c r="AK214" i="32"/>
  <c r="S7" i="32"/>
  <c r="AS214" i="32"/>
  <c r="AA7" i="32"/>
  <c r="AV214" i="32"/>
  <c r="AD7" i="32"/>
  <c r="V214" i="32"/>
  <c r="D7" i="32"/>
  <c r="AL214" i="32"/>
  <c r="T7" i="32"/>
  <c r="AT214" i="32"/>
  <c r="AB7" i="32"/>
  <c r="H5" i="32"/>
  <c r="P5" i="32"/>
  <c r="X5" i="32"/>
  <c r="AG73" i="32"/>
  <c r="AG83" i="32" s="1"/>
  <c r="AI77" i="32"/>
  <c r="AH78" i="32"/>
  <c r="D82" i="32"/>
  <c r="AH38" i="32"/>
  <c r="B73" i="32"/>
  <c r="AH79" i="32"/>
  <c r="D83" i="32"/>
  <c r="L83" i="32"/>
  <c r="T83" i="32"/>
  <c r="AB83" i="32"/>
  <c r="E192" i="32"/>
  <c r="M83" i="32"/>
  <c r="U83" i="32"/>
  <c r="AC83" i="32"/>
  <c r="F102" i="32"/>
  <c r="S211" i="32"/>
  <c r="D211" i="32"/>
  <c r="AH68" i="32"/>
  <c r="B82" i="32"/>
  <c r="D192" i="32"/>
  <c r="D200" i="32"/>
  <c r="E194" i="32"/>
  <c r="G199" i="32"/>
  <c r="E235" i="32"/>
  <c r="D235" i="32"/>
  <c r="AF82" i="31"/>
  <c r="AF73" i="31"/>
  <c r="AF75" i="31" s="1"/>
  <c r="AX214" i="31" s="1"/>
  <c r="AE73" i="31"/>
  <c r="AE75" i="31" s="1"/>
  <c r="AD73" i="31"/>
  <c r="AD75" i="31" s="1"/>
  <c r="AC83" i="31"/>
  <c r="AC73" i="31"/>
  <c r="AC75" i="31" s="1"/>
  <c r="AU214" i="31" s="1"/>
  <c r="AB82" i="31"/>
  <c r="AB83" i="31" s="1"/>
  <c r="AB73" i="31"/>
  <c r="AB75" i="31" s="1"/>
  <c r="AA73" i="31"/>
  <c r="AA75" i="31" s="1"/>
  <c r="AA83" i="31"/>
  <c r="AI37" i="31"/>
  <c r="Z73" i="31"/>
  <c r="Z75" i="31" s="1"/>
  <c r="X73" i="31"/>
  <c r="X75" i="31" s="1"/>
  <c r="Y82" i="31"/>
  <c r="Y83" i="31" s="1"/>
  <c r="Y73" i="31"/>
  <c r="Y75" i="31" s="1"/>
  <c r="X82" i="31"/>
  <c r="W73" i="31"/>
  <c r="W75" i="31" s="1"/>
  <c r="V82" i="31"/>
  <c r="V73" i="31"/>
  <c r="V75" i="31" s="1"/>
  <c r="U73" i="31"/>
  <c r="U75" i="31" s="1"/>
  <c r="AM214" i="31" s="1"/>
  <c r="U83" i="31"/>
  <c r="S5" i="31"/>
  <c r="T82" i="31"/>
  <c r="T83" i="31" s="1"/>
  <c r="T73" i="31"/>
  <c r="T75" i="31" s="1"/>
  <c r="T7" i="31" s="1"/>
  <c r="S82" i="31"/>
  <c r="S83" i="31" s="1"/>
  <c r="S73" i="31"/>
  <c r="S75" i="31" s="1"/>
  <c r="R73" i="31"/>
  <c r="R75" i="31" s="1"/>
  <c r="Q82" i="31"/>
  <c r="Q83" i="31"/>
  <c r="Q73" i="31"/>
  <c r="Q75" i="31" s="1"/>
  <c r="P82" i="31"/>
  <c r="P73" i="31"/>
  <c r="P75" i="31" s="1"/>
  <c r="AI76" i="31"/>
  <c r="O73" i="31"/>
  <c r="O75" i="31" s="1"/>
  <c r="N73" i="31"/>
  <c r="N75" i="31" s="1"/>
  <c r="N7" i="31" s="1"/>
  <c r="L5" i="31"/>
  <c r="M82" i="31"/>
  <c r="M83" i="31" s="1"/>
  <c r="K5" i="31"/>
  <c r="L82" i="31"/>
  <c r="L83" i="31" s="1"/>
  <c r="K82" i="31"/>
  <c r="J73" i="31"/>
  <c r="J75" i="31" s="1"/>
  <c r="AB214" i="31" s="1"/>
  <c r="I82" i="31"/>
  <c r="I83" i="31"/>
  <c r="I73" i="31"/>
  <c r="I75" i="31" s="1"/>
  <c r="I7" i="31" s="1"/>
  <c r="H82" i="31"/>
  <c r="H73" i="31"/>
  <c r="H75" i="31" s="1"/>
  <c r="H7" i="31" s="1"/>
  <c r="L73" i="31"/>
  <c r="L75" i="31" s="1"/>
  <c r="AD214" i="31" s="1"/>
  <c r="G73" i="31"/>
  <c r="G75" i="31" s="1"/>
  <c r="Y214" i="31" s="1"/>
  <c r="F82" i="31"/>
  <c r="F73" i="31"/>
  <c r="F75" i="31" s="1"/>
  <c r="F7" i="31" s="1"/>
  <c r="AI79" i="31"/>
  <c r="E82" i="31"/>
  <c r="E83" i="31" s="1"/>
  <c r="D5" i="31"/>
  <c r="E73" i="31"/>
  <c r="E75" i="31" s="1"/>
  <c r="W214" i="31" s="1"/>
  <c r="AH78" i="31"/>
  <c r="D82" i="31"/>
  <c r="D83" i="31" s="1"/>
  <c r="AH80" i="31"/>
  <c r="AI80" i="31"/>
  <c r="AH56" i="31"/>
  <c r="D73" i="31"/>
  <c r="D75" i="31" s="1"/>
  <c r="V214" i="31" s="1"/>
  <c r="C82" i="31"/>
  <c r="AH52" i="31"/>
  <c r="AI38" i="31"/>
  <c r="AI68" i="31"/>
  <c r="AI56" i="31"/>
  <c r="B73" i="31"/>
  <c r="B75" i="31" s="1"/>
  <c r="AI52" i="31"/>
  <c r="H4" i="31"/>
  <c r="AK214" i="31"/>
  <c r="S7" i="31"/>
  <c r="AS214" i="31"/>
  <c r="AA7" i="31"/>
  <c r="AT214" i="31"/>
  <c r="AB7" i="31"/>
  <c r="AG214" i="31"/>
  <c r="O7" i="31"/>
  <c r="AH214" i="31"/>
  <c r="P7" i="31"/>
  <c r="AP214" i="31"/>
  <c r="X7" i="31"/>
  <c r="C83" i="31"/>
  <c r="K83" i="31"/>
  <c r="AL214" i="31"/>
  <c r="R5" i="31"/>
  <c r="M7" i="31"/>
  <c r="AF214" i="31"/>
  <c r="AN214" i="31"/>
  <c r="V7" i="31"/>
  <c r="AV214" i="31"/>
  <c r="AD7" i="31"/>
  <c r="C73" i="31"/>
  <c r="AO214" i="31"/>
  <c r="W7" i="31"/>
  <c r="G82" i="31"/>
  <c r="O82" i="31"/>
  <c r="O83" i="31" s="1"/>
  <c r="W82" i="31"/>
  <c r="AE82" i="31"/>
  <c r="AE83" i="31" s="1"/>
  <c r="B5" i="31"/>
  <c r="J5" i="31"/>
  <c r="E126" i="3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B126" i="31" s="1"/>
  <c r="D93" i="31"/>
  <c r="U7" i="31"/>
  <c r="F83" i="31"/>
  <c r="M5" i="31"/>
  <c r="N83" i="31"/>
  <c r="U5" i="31"/>
  <c r="AC5" i="31"/>
  <c r="AD83" i="31"/>
  <c r="K73" i="31"/>
  <c r="K75" i="31" s="1"/>
  <c r="AW214" i="31"/>
  <c r="AE7" i="31"/>
  <c r="AH77" i="31"/>
  <c r="AH79" i="31"/>
  <c r="D192" i="31"/>
  <c r="E102" i="31"/>
  <c r="AI214" i="31"/>
  <c r="Q7" i="31"/>
  <c r="AQ214" i="31"/>
  <c r="Y7" i="31"/>
  <c r="G83" i="31"/>
  <c r="W83" i="31"/>
  <c r="B82" i="31"/>
  <c r="AH76" i="31"/>
  <c r="J82" i="31"/>
  <c r="J83" i="31" s="1"/>
  <c r="R82" i="31"/>
  <c r="R83" i="31" s="1"/>
  <c r="Z82" i="31"/>
  <c r="Z83" i="31" s="1"/>
  <c r="AI77" i="31"/>
  <c r="E5" i="31"/>
  <c r="AC7" i="31"/>
  <c r="AJ214" i="31"/>
  <c r="R7" i="31"/>
  <c r="AR214" i="31"/>
  <c r="Z7" i="31"/>
  <c r="H83" i="31"/>
  <c r="P83" i="31"/>
  <c r="X83" i="31"/>
  <c r="AF83" i="31"/>
  <c r="G103" i="31"/>
  <c r="D211" i="31"/>
  <c r="S211" i="31"/>
  <c r="AF7" i="31"/>
  <c r="E93" i="31"/>
  <c r="F109" i="3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B109" i="31" s="1"/>
  <c r="AH38" i="31"/>
  <c r="AI78" i="31"/>
  <c r="AH68" i="31"/>
  <c r="D200" i="31"/>
  <c r="E194" i="31"/>
  <c r="F199" i="31"/>
  <c r="AF82" i="30"/>
  <c r="AF83" i="30"/>
  <c r="AE5" i="30"/>
  <c r="AF73" i="30"/>
  <c r="AF75" i="30" s="1"/>
  <c r="AE82" i="30"/>
  <c r="AE83" i="30"/>
  <c r="AE73" i="30"/>
  <c r="AE75" i="30" s="1"/>
  <c r="AD82" i="30"/>
  <c r="AD73" i="30"/>
  <c r="AD75" i="30" s="1"/>
  <c r="AC82" i="30"/>
  <c r="AC83" i="30" s="1"/>
  <c r="AC73" i="30"/>
  <c r="AC75" i="30" s="1"/>
  <c r="AB5" i="30"/>
  <c r="AB73" i="30"/>
  <c r="AB75" i="30" s="1"/>
  <c r="AA73" i="30"/>
  <c r="AA75" i="30" s="1"/>
  <c r="AA82" i="30"/>
  <c r="AA83" i="30" s="1"/>
  <c r="Z82" i="30"/>
  <c r="Z83" i="30" s="1"/>
  <c r="Z73" i="30"/>
  <c r="Z75" i="30" s="1"/>
  <c r="Y82" i="30"/>
  <c r="Y83" i="30"/>
  <c r="Y73" i="30"/>
  <c r="Y75" i="30" s="1"/>
  <c r="X82" i="30"/>
  <c r="X83" i="30" s="1"/>
  <c r="W5" i="30"/>
  <c r="X73" i="30"/>
  <c r="X75" i="30" s="1"/>
  <c r="W83" i="30"/>
  <c r="W73" i="30"/>
  <c r="W75" i="30" s="1"/>
  <c r="V82" i="30"/>
  <c r="V73" i="30"/>
  <c r="V75" i="30" s="1"/>
  <c r="U82" i="30"/>
  <c r="U83" i="30" s="1"/>
  <c r="T5" i="30"/>
  <c r="U73" i="30"/>
  <c r="U75" i="30" s="1"/>
  <c r="T82" i="30"/>
  <c r="T73" i="30"/>
  <c r="T75" i="30" s="1"/>
  <c r="AL214" i="30" s="1"/>
  <c r="S73" i="30"/>
  <c r="S75" i="30" s="1"/>
  <c r="S82" i="30"/>
  <c r="S83" i="30" s="1"/>
  <c r="R82" i="30"/>
  <c r="R83" i="30" s="1"/>
  <c r="R73" i="30"/>
  <c r="R75" i="30" s="1"/>
  <c r="Q82" i="30"/>
  <c r="Q83" i="30" s="1"/>
  <c r="Q73" i="30"/>
  <c r="Q75" i="30" s="1"/>
  <c r="Q7" i="30" s="1"/>
  <c r="P82" i="30"/>
  <c r="P83" i="30" s="1"/>
  <c r="AI77" i="30"/>
  <c r="O5" i="30"/>
  <c r="P73" i="30"/>
  <c r="P75" i="30" s="1"/>
  <c r="O82" i="30"/>
  <c r="AI78" i="30"/>
  <c r="O83" i="30"/>
  <c r="N5" i="30"/>
  <c r="O73" i="30"/>
  <c r="O75" i="30" s="1"/>
  <c r="N82" i="30"/>
  <c r="N73" i="30"/>
  <c r="N75" i="30" s="1"/>
  <c r="M82" i="30"/>
  <c r="M83" i="30" s="1"/>
  <c r="M73" i="30"/>
  <c r="M75" i="30" s="1"/>
  <c r="M7" i="30" s="1"/>
  <c r="K82" i="30"/>
  <c r="L82" i="30"/>
  <c r="L73" i="30"/>
  <c r="L75" i="30" s="1"/>
  <c r="AD214" i="30" s="1"/>
  <c r="K73" i="30"/>
  <c r="K75" i="30" s="1"/>
  <c r="K7" i="30" s="1"/>
  <c r="K83" i="30"/>
  <c r="AI79" i="30"/>
  <c r="J82" i="30"/>
  <c r="J83" i="30" s="1"/>
  <c r="J73" i="30"/>
  <c r="J75" i="30" s="1"/>
  <c r="AB214" i="30" s="1"/>
  <c r="AI80" i="30"/>
  <c r="G73" i="30"/>
  <c r="G75" i="30" s="1"/>
  <c r="Y214" i="30" s="1"/>
  <c r="G82" i="30"/>
  <c r="G83" i="30" s="1"/>
  <c r="F82" i="30"/>
  <c r="F5" i="30"/>
  <c r="F73" i="30"/>
  <c r="F75" i="30" s="1"/>
  <c r="F7" i="30" s="1"/>
  <c r="I82" i="30"/>
  <c r="I83" i="30"/>
  <c r="I73" i="30"/>
  <c r="I75" i="30" s="1"/>
  <c r="I7" i="30" s="1"/>
  <c r="AH78" i="30"/>
  <c r="H82" i="30"/>
  <c r="H83" i="30" s="1"/>
  <c r="G5" i="30"/>
  <c r="AH80" i="30"/>
  <c r="AI56" i="30"/>
  <c r="H73" i="30"/>
  <c r="H75" i="30" s="1"/>
  <c r="E82" i="30"/>
  <c r="E83" i="30" s="1"/>
  <c r="E73" i="30"/>
  <c r="E75" i="30" s="1"/>
  <c r="W214" i="30" s="1"/>
  <c r="D5" i="30"/>
  <c r="AH56" i="30"/>
  <c r="AI52" i="30"/>
  <c r="D82" i="30"/>
  <c r="AH68" i="30"/>
  <c r="B73" i="30"/>
  <c r="B75" i="30" s="1"/>
  <c r="D73" i="30"/>
  <c r="D75" i="30" s="1"/>
  <c r="V214" i="30" s="1"/>
  <c r="AH52" i="30"/>
  <c r="AF83" i="29"/>
  <c r="B82" i="30"/>
  <c r="B83" i="30" s="1"/>
  <c r="C73" i="30"/>
  <c r="C75" i="30" s="1"/>
  <c r="U214" i="30" s="1"/>
  <c r="C83" i="30"/>
  <c r="H4" i="30"/>
  <c r="AC214" i="30"/>
  <c r="AK214" i="30"/>
  <c r="S7" i="30"/>
  <c r="AS214" i="30"/>
  <c r="AA7" i="30"/>
  <c r="AT214" i="30"/>
  <c r="AB7" i="30"/>
  <c r="AM214" i="30"/>
  <c r="U7" i="30"/>
  <c r="AU214" i="30"/>
  <c r="AC7" i="30"/>
  <c r="AF214" i="30"/>
  <c r="N7" i="30"/>
  <c r="AN214" i="30"/>
  <c r="V7" i="30"/>
  <c r="AV214" i="30"/>
  <c r="AD7" i="30"/>
  <c r="AG214" i="30"/>
  <c r="O7" i="30"/>
  <c r="AO214" i="30"/>
  <c r="W7" i="30"/>
  <c r="AW214" i="30"/>
  <c r="AE7" i="30"/>
  <c r="AH214" i="30"/>
  <c r="P7" i="30"/>
  <c r="AP214" i="30"/>
  <c r="X7" i="30"/>
  <c r="AX214" i="30"/>
  <c r="AF7" i="30"/>
  <c r="AI214" i="30"/>
  <c r="AQ214" i="30"/>
  <c r="Y7" i="30"/>
  <c r="AG6" i="30"/>
  <c r="AJ214" i="30"/>
  <c r="R7" i="30"/>
  <c r="AR214" i="30"/>
  <c r="Z7" i="30"/>
  <c r="AI68" i="30"/>
  <c r="AI76" i="30"/>
  <c r="AH77" i="30"/>
  <c r="AG73" i="30"/>
  <c r="AG83" i="30" s="1"/>
  <c r="AH38" i="30"/>
  <c r="AH79" i="30"/>
  <c r="E102" i="30"/>
  <c r="AI38" i="30"/>
  <c r="D83" i="30"/>
  <c r="L83" i="30"/>
  <c r="T83" i="30"/>
  <c r="AB83" i="30"/>
  <c r="E103" i="30"/>
  <c r="F83" i="30"/>
  <c r="N83" i="30"/>
  <c r="V83" i="30"/>
  <c r="AD83" i="30"/>
  <c r="S211" i="30"/>
  <c r="D211" i="30"/>
  <c r="AH76" i="30"/>
  <c r="D200" i="30"/>
  <c r="G194" i="30"/>
  <c r="E199" i="30"/>
  <c r="E200" i="30" s="1"/>
  <c r="C235" i="30"/>
  <c r="AE82" i="29"/>
  <c r="AE73" i="29"/>
  <c r="AE75" i="29" s="1"/>
  <c r="AW214" i="29" s="1"/>
  <c r="AD83" i="29"/>
  <c r="AD73" i="29"/>
  <c r="AD75" i="29" s="1"/>
  <c r="AC82" i="29"/>
  <c r="AC83" i="29" s="1"/>
  <c r="AB5" i="29"/>
  <c r="AC73" i="29"/>
  <c r="AC75" i="29" s="1"/>
  <c r="AB73" i="29"/>
  <c r="AB75" i="29" s="1"/>
  <c r="AT214" i="29" s="1"/>
  <c r="AB82" i="29"/>
  <c r="AA73" i="29"/>
  <c r="AA75" i="29" s="1"/>
  <c r="Z82" i="29"/>
  <c r="Z83" i="29" s="1"/>
  <c r="Y5" i="29"/>
  <c r="Z73" i="29"/>
  <c r="Z75" i="29" s="1"/>
  <c r="AR214" i="29" s="1"/>
  <c r="Y82" i="29"/>
  <c r="Y73" i="29"/>
  <c r="Y75" i="29" s="1"/>
  <c r="W5" i="29"/>
  <c r="X73" i="29"/>
  <c r="X75" i="29" s="1"/>
  <c r="W73" i="29"/>
  <c r="W75" i="29" s="1"/>
  <c r="V82" i="29"/>
  <c r="V83" i="29" s="1"/>
  <c r="U82" i="29"/>
  <c r="U83" i="29"/>
  <c r="U73" i="29"/>
  <c r="U75" i="29" s="1"/>
  <c r="V73" i="29"/>
  <c r="V75" i="29" s="1"/>
  <c r="T82" i="29"/>
  <c r="T73" i="29"/>
  <c r="T75" i="29" s="1"/>
  <c r="S82" i="29"/>
  <c r="S73" i="29"/>
  <c r="S75" i="29" s="1"/>
  <c r="R82" i="29"/>
  <c r="R83" i="29" s="1"/>
  <c r="R73" i="29"/>
  <c r="R75" i="29" s="1"/>
  <c r="Q82" i="29"/>
  <c r="Q73" i="29"/>
  <c r="Q75" i="29" s="1"/>
  <c r="P82" i="29"/>
  <c r="P83" i="29" s="1"/>
  <c r="O5" i="29"/>
  <c r="P73" i="29"/>
  <c r="P75" i="29" s="1"/>
  <c r="O82" i="29"/>
  <c r="O73" i="29"/>
  <c r="O75" i="29" s="1"/>
  <c r="N82" i="29"/>
  <c r="N83" i="29" s="1"/>
  <c r="N73" i="29"/>
  <c r="N75" i="29" s="1"/>
  <c r="M82" i="29"/>
  <c r="M83" i="29" s="1"/>
  <c r="M73" i="29"/>
  <c r="M75" i="29" s="1"/>
  <c r="AE214" i="29" s="1"/>
  <c r="L82" i="29"/>
  <c r="L73" i="29"/>
  <c r="L75" i="29" s="1"/>
  <c r="AD214" i="29" s="1"/>
  <c r="K82" i="29"/>
  <c r="K73" i="29"/>
  <c r="K75" i="29" s="1"/>
  <c r="AC214" i="29" s="1"/>
  <c r="J82" i="29"/>
  <c r="J83" i="29" s="1"/>
  <c r="J73" i="29"/>
  <c r="J75" i="29" s="1"/>
  <c r="AB214" i="29" s="1"/>
  <c r="AI77" i="29"/>
  <c r="I82" i="29"/>
  <c r="I83" i="29" s="1"/>
  <c r="AI80" i="29"/>
  <c r="I73" i="29"/>
  <c r="I75" i="29" s="1"/>
  <c r="AA214" i="29" s="1"/>
  <c r="H82" i="29"/>
  <c r="H83" i="29" s="1"/>
  <c r="G5" i="29"/>
  <c r="H73" i="29"/>
  <c r="H75" i="29" s="1"/>
  <c r="Z214" i="29" s="1"/>
  <c r="G82" i="29"/>
  <c r="G83" i="29" s="1"/>
  <c r="AH56" i="29"/>
  <c r="G73" i="29"/>
  <c r="G75" i="29" s="1"/>
  <c r="F82" i="29"/>
  <c r="F83" i="29" s="1"/>
  <c r="F73" i="29"/>
  <c r="F75" i="29" s="1"/>
  <c r="X214" i="29" s="1"/>
  <c r="E82" i="29"/>
  <c r="E83" i="29" s="1"/>
  <c r="E73" i="29"/>
  <c r="E75" i="29" s="1"/>
  <c r="W214" i="29" s="1"/>
  <c r="AI68" i="29"/>
  <c r="AI52" i="29"/>
  <c r="D73" i="29"/>
  <c r="D75" i="29" s="1"/>
  <c r="D7" i="29" s="1"/>
  <c r="AH78" i="29"/>
  <c r="C82" i="29"/>
  <c r="B5" i="29"/>
  <c r="AH68" i="29"/>
  <c r="C73" i="29"/>
  <c r="C75" i="29" s="1"/>
  <c r="U214" i="29" s="1"/>
  <c r="AI56" i="29"/>
  <c r="AH52" i="29"/>
  <c r="B73" i="29"/>
  <c r="B75" i="29" s="1"/>
  <c r="T214" i="29" s="1"/>
  <c r="H4" i="29"/>
  <c r="AH214" i="29"/>
  <c r="P7" i="29"/>
  <c r="AP214" i="29"/>
  <c r="X7" i="29"/>
  <c r="AX214" i="29"/>
  <c r="AF7" i="29"/>
  <c r="AI214" i="29"/>
  <c r="Q7" i="29"/>
  <c r="AQ214" i="29"/>
  <c r="Y7" i="29"/>
  <c r="AF214" i="29"/>
  <c r="N7" i="29"/>
  <c r="AN214" i="29"/>
  <c r="V7" i="29"/>
  <c r="AJ214" i="29"/>
  <c r="R7" i="29"/>
  <c r="AG73" i="29"/>
  <c r="AG3" i="29"/>
  <c r="AG6" i="29" s="1"/>
  <c r="AG214" i="29"/>
  <c r="O7" i="29"/>
  <c r="AO214" i="29"/>
  <c r="W7" i="29"/>
  <c r="AK214" i="29"/>
  <c r="S7" i="29"/>
  <c r="AS214" i="29"/>
  <c r="AA7" i="29"/>
  <c r="AL214" i="29"/>
  <c r="T7" i="29"/>
  <c r="AM214" i="29"/>
  <c r="U7" i="29"/>
  <c r="AU214" i="29"/>
  <c r="AC7" i="29"/>
  <c r="O83" i="29"/>
  <c r="AE83" i="29"/>
  <c r="AV214" i="29"/>
  <c r="AD7" i="29"/>
  <c r="AI38" i="29"/>
  <c r="D82" i="29"/>
  <c r="D83" i="29" s="1"/>
  <c r="Z7" i="29"/>
  <c r="Z5" i="29"/>
  <c r="S211" i="29"/>
  <c r="D211" i="29"/>
  <c r="E5" i="29"/>
  <c r="M5" i="29"/>
  <c r="U5" i="29"/>
  <c r="AC5" i="29"/>
  <c r="Q83" i="29"/>
  <c r="Y83" i="29"/>
  <c r="W83" i="29"/>
  <c r="E103" i="29"/>
  <c r="D93" i="29"/>
  <c r="N5" i="29"/>
  <c r="AD5" i="29"/>
  <c r="AB7" i="29"/>
  <c r="AG83" i="29"/>
  <c r="AG75" i="29"/>
  <c r="E192" i="29"/>
  <c r="F102" i="29"/>
  <c r="C83" i="29"/>
  <c r="S83" i="29"/>
  <c r="L83" i="29"/>
  <c r="T83" i="29"/>
  <c r="AB83" i="29"/>
  <c r="AH76" i="29"/>
  <c r="AH80" i="29"/>
  <c r="K83" i="29"/>
  <c r="AE7" i="29"/>
  <c r="AH38" i="29"/>
  <c r="AI76" i="29"/>
  <c r="AH77" i="29"/>
  <c r="AI78" i="29"/>
  <c r="AH79" i="29"/>
  <c r="AI79" i="29"/>
  <c r="D192" i="29"/>
  <c r="E200" i="29"/>
  <c r="F194" i="29"/>
  <c r="D235" i="29"/>
  <c r="F199" i="29"/>
  <c r="AI76" i="28"/>
  <c r="AF83" i="28"/>
  <c r="AF73" i="28"/>
  <c r="AF75" i="28" s="1"/>
  <c r="AE83" i="28"/>
  <c r="AE73" i="28"/>
  <c r="AE75" i="28" s="1"/>
  <c r="AD82" i="28"/>
  <c r="AD73" i="28"/>
  <c r="AD75" i="28" s="1"/>
  <c r="AC73" i="28"/>
  <c r="AC75" i="28" s="1"/>
  <c r="AB82" i="28"/>
  <c r="AB73" i="28"/>
  <c r="AB75" i="28" s="1"/>
  <c r="AA82" i="28"/>
  <c r="AA73" i="28"/>
  <c r="AA75" i="28" s="1"/>
  <c r="Z82" i="28"/>
  <c r="Z83" i="28" s="1"/>
  <c r="Z73" i="28"/>
  <c r="Z75" i="28" s="1"/>
  <c r="Y82" i="28"/>
  <c r="Y83" i="28" s="1"/>
  <c r="Y73" i="28"/>
  <c r="Y75" i="28" s="1"/>
  <c r="X82" i="28"/>
  <c r="X83" i="28" s="1"/>
  <c r="X73" i="28"/>
  <c r="X75" i="28" s="1"/>
  <c r="W82" i="28"/>
  <c r="W83" i="28"/>
  <c r="W73" i="28"/>
  <c r="W75" i="28" s="1"/>
  <c r="V73" i="28"/>
  <c r="V75" i="28" s="1"/>
  <c r="U73" i="28"/>
  <c r="U75" i="28" s="1"/>
  <c r="AM214" i="28" s="1"/>
  <c r="T82" i="28"/>
  <c r="T73" i="28"/>
  <c r="T75" i="28" s="1"/>
  <c r="S73" i="28"/>
  <c r="S75" i="28" s="1"/>
  <c r="R82" i="28"/>
  <c r="R83" i="28" s="1"/>
  <c r="R73" i="28"/>
  <c r="R75" i="28" s="1"/>
  <c r="Q82" i="28"/>
  <c r="Q83" i="28" s="1"/>
  <c r="Q73" i="28"/>
  <c r="Q75" i="28" s="1"/>
  <c r="P82" i="28"/>
  <c r="P83" i="28" s="1"/>
  <c r="P73" i="28"/>
  <c r="P75" i="28" s="1"/>
  <c r="AA73" i="27"/>
  <c r="AA75" i="27" s="1"/>
  <c r="O73" i="28"/>
  <c r="O75" i="28" s="1"/>
  <c r="N73" i="28"/>
  <c r="N75" i="28" s="1"/>
  <c r="O83" i="28"/>
  <c r="AI78" i="28"/>
  <c r="M82" i="28"/>
  <c r="M73" i="28"/>
  <c r="M75" i="28" s="1"/>
  <c r="L82" i="28"/>
  <c r="L73" i="28"/>
  <c r="L75" i="28" s="1"/>
  <c r="K82" i="28"/>
  <c r="K73" i="28"/>
  <c r="K75" i="28" s="1"/>
  <c r="AI79" i="28"/>
  <c r="J82" i="28"/>
  <c r="J83" i="28" s="1"/>
  <c r="J73" i="28"/>
  <c r="J75" i="28" s="1"/>
  <c r="AB214" i="28" s="1"/>
  <c r="I83" i="28"/>
  <c r="I73" i="28"/>
  <c r="I75" i="28" s="1"/>
  <c r="H82" i="28"/>
  <c r="H83" i="28" s="1"/>
  <c r="H73" i="28"/>
  <c r="H75" i="28" s="1"/>
  <c r="Z214" i="28" s="1"/>
  <c r="AI77" i="28"/>
  <c r="G82" i="28"/>
  <c r="AH77" i="28"/>
  <c r="G83" i="28"/>
  <c r="G73" i="28"/>
  <c r="G75" i="28" s="1"/>
  <c r="AH78" i="28"/>
  <c r="F82" i="28"/>
  <c r="AI56" i="28"/>
  <c r="AH56" i="28"/>
  <c r="F73" i="28"/>
  <c r="F75" i="28" s="1"/>
  <c r="F7" i="28" s="1"/>
  <c r="E73" i="28"/>
  <c r="E75" i="28" s="1"/>
  <c r="E82" i="28"/>
  <c r="AI38" i="28"/>
  <c r="D73" i="28"/>
  <c r="D75" i="28" s="1"/>
  <c r="V214" i="28" s="1"/>
  <c r="AI52" i="28"/>
  <c r="C82" i="28"/>
  <c r="AH68" i="28"/>
  <c r="AI80" i="28"/>
  <c r="C73" i="28"/>
  <c r="C75" i="28" s="1"/>
  <c r="C7" i="28" s="1"/>
  <c r="AH52" i="28"/>
  <c r="H4" i="28"/>
  <c r="AH214" i="28"/>
  <c r="P7" i="28"/>
  <c r="AP214" i="28"/>
  <c r="X7" i="28"/>
  <c r="AX214" i="28"/>
  <c r="AF7" i="28"/>
  <c r="AQ214" i="28"/>
  <c r="Y7" i="28"/>
  <c r="AJ214" i="28"/>
  <c r="R7" i="28"/>
  <c r="AR214" i="28"/>
  <c r="Z7" i="28"/>
  <c r="L103" i="28"/>
  <c r="AC214" i="28"/>
  <c r="K7" i="28"/>
  <c r="AK214" i="28"/>
  <c r="S7" i="28"/>
  <c r="AS214" i="28"/>
  <c r="AA7" i="28"/>
  <c r="AI214" i="28"/>
  <c r="Q7" i="28"/>
  <c r="AD214" i="28"/>
  <c r="L7" i="28"/>
  <c r="AL214" i="28"/>
  <c r="T7" i="28"/>
  <c r="AT214" i="28"/>
  <c r="AB7" i="28"/>
  <c r="W214" i="28"/>
  <c r="E7" i="28"/>
  <c r="AE214" i="28"/>
  <c r="M7" i="28"/>
  <c r="AU214" i="28"/>
  <c r="AC7" i="28"/>
  <c r="E83" i="28"/>
  <c r="M83" i="28"/>
  <c r="U83" i="28"/>
  <c r="AC83" i="28"/>
  <c r="AF214" i="28"/>
  <c r="N7" i="28"/>
  <c r="AN214" i="28"/>
  <c r="V7" i="28"/>
  <c r="AV214" i="28"/>
  <c r="AD7" i="28"/>
  <c r="F83" i="28"/>
  <c r="N83" i="28"/>
  <c r="V83" i="28"/>
  <c r="AD83" i="28"/>
  <c r="AA214" i="28"/>
  <c r="I7" i="28"/>
  <c r="AG214" i="28"/>
  <c r="O7" i="28"/>
  <c r="AO214" i="28"/>
  <c r="W7" i="28"/>
  <c r="AW214" i="28"/>
  <c r="AE7" i="28"/>
  <c r="D211" i="28"/>
  <c r="S211" i="28"/>
  <c r="AH76" i="28"/>
  <c r="E109" i="28"/>
  <c r="AI68" i="28"/>
  <c r="AH38" i="28"/>
  <c r="AH79" i="28"/>
  <c r="C83" i="28"/>
  <c r="K83" i="28"/>
  <c r="S83" i="28"/>
  <c r="AA83" i="28"/>
  <c r="D192" i="28"/>
  <c r="E102" i="28"/>
  <c r="AH80" i="28"/>
  <c r="D83" i="28"/>
  <c r="L83" i="28"/>
  <c r="T83" i="28"/>
  <c r="AB83" i="28"/>
  <c r="AG2" i="28"/>
  <c r="AG6" i="28" s="1"/>
  <c r="E200" i="28"/>
  <c r="F194" i="28"/>
  <c r="D200" i="28"/>
  <c r="E195" i="28"/>
  <c r="F195" i="28" s="1"/>
  <c r="G195" i="28" s="1"/>
  <c r="H195" i="28" s="1"/>
  <c r="I195" i="28" s="1"/>
  <c r="J195" i="28" s="1"/>
  <c r="K195" i="28" s="1"/>
  <c r="L195" i="28" s="1"/>
  <c r="M195" i="28" s="1"/>
  <c r="N195" i="28" s="1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Y195" i="28" s="1"/>
  <c r="Z195" i="28" s="1"/>
  <c r="AA195" i="28" s="1"/>
  <c r="AB195" i="28" s="1"/>
  <c r="AC195" i="28" s="1"/>
  <c r="AD195" i="28" s="1"/>
  <c r="AE195" i="28" s="1"/>
  <c r="AF195" i="28" s="1"/>
  <c r="B195" i="28" s="1"/>
  <c r="E199" i="28"/>
  <c r="AF73" i="27"/>
  <c r="AF75" i="27" s="1"/>
  <c r="AX214" i="27" s="1"/>
  <c r="AE82" i="27"/>
  <c r="AE73" i="27"/>
  <c r="AE75" i="27" s="1"/>
  <c r="AD82" i="27"/>
  <c r="AD73" i="27"/>
  <c r="AD75" i="27" s="1"/>
  <c r="AC82" i="27"/>
  <c r="AC73" i="27"/>
  <c r="AC75" i="27" s="1"/>
  <c r="AH37" i="27"/>
  <c r="AB82" i="27"/>
  <c r="AB83" i="27"/>
  <c r="AB73" i="27"/>
  <c r="AB75" i="27" s="1"/>
  <c r="Y73" i="27"/>
  <c r="Y75" i="27" s="1"/>
  <c r="Y83" i="27"/>
  <c r="X73" i="27"/>
  <c r="X75" i="27" s="1"/>
  <c r="AP214" i="27" s="1"/>
  <c r="X82" i="27"/>
  <c r="X83" i="27" s="1"/>
  <c r="W82" i="27"/>
  <c r="W73" i="27"/>
  <c r="W75" i="27" s="1"/>
  <c r="V82" i="27"/>
  <c r="V73" i="27"/>
  <c r="V75" i="27" s="1"/>
  <c r="U82" i="27"/>
  <c r="U73" i="27"/>
  <c r="U75" i="27" s="1"/>
  <c r="T82" i="27"/>
  <c r="T83" i="27"/>
  <c r="T73" i="27"/>
  <c r="T75" i="27" s="1"/>
  <c r="S82" i="27"/>
  <c r="S83" i="27" s="1"/>
  <c r="S73" i="27"/>
  <c r="S75" i="27" s="1"/>
  <c r="R82" i="27"/>
  <c r="R73" i="27"/>
  <c r="R75" i="27" s="1"/>
  <c r="Q82" i="27"/>
  <c r="Q73" i="27"/>
  <c r="Q75" i="27" s="1"/>
  <c r="P73" i="27"/>
  <c r="P75" i="27" s="1"/>
  <c r="P82" i="27"/>
  <c r="P83" i="27" s="1"/>
  <c r="O82" i="27"/>
  <c r="O83" i="27" s="1"/>
  <c r="O73" i="27"/>
  <c r="O75" i="27" s="1"/>
  <c r="N82" i="27"/>
  <c r="N73" i="27"/>
  <c r="N75" i="27" s="1"/>
  <c r="M73" i="27"/>
  <c r="M75" i="27" s="1"/>
  <c r="M82" i="27"/>
  <c r="L73" i="27"/>
  <c r="L75" i="27" s="1"/>
  <c r="L83" i="27"/>
  <c r="J73" i="27"/>
  <c r="J75" i="27" s="1"/>
  <c r="J82" i="27"/>
  <c r="J83" i="27" s="1"/>
  <c r="K82" i="27"/>
  <c r="K83" i="27" s="1"/>
  <c r="K73" i="27"/>
  <c r="K75" i="27" s="1"/>
  <c r="AC214" i="27" s="1"/>
  <c r="H82" i="27"/>
  <c r="H83" i="27" s="1"/>
  <c r="H73" i="27"/>
  <c r="H75" i="27" s="1"/>
  <c r="Z214" i="27" s="1"/>
  <c r="G5" i="27"/>
  <c r="G82" i="27"/>
  <c r="G73" i="27"/>
  <c r="G75" i="27" s="1"/>
  <c r="Y214" i="27" s="1"/>
  <c r="F82" i="27"/>
  <c r="F73" i="27"/>
  <c r="F75" i="27" s="1"/>
  <c r="F7" i="27" s="1"/>
  <c r="AI78" i="27"/>
  <c r="E73" i="27"/>
  <c r="E75" i="27" s="1"/>
  <c r="W214" i="27" s="1"/>
  <c r="E82" i="27"/>
  <c r="AI76" i="27"/>
  <c r="AH77" i="27"/>
  <c r="D82" i="27"/>
  <c r="D83" i="27" s="1"/>
  <c r="AI77" i="27"/>
  <c r="AI80" i="27"/>
  <c r="D73" i="27"/>
  <c r="D75" i="27" s="1"/>
  <c r="D7" i="27" s="1"/>
  <c r="AI79" i="27"/>
  <c r="C82" i="27"/>
  <c r="C83" i="27" s="1"/>
  <c r="AH68" i="27"/>
  <c r="AH56" i="27"/>
  <c r="AH52" i="27"/>
  <c r="AH78" i="27"/>
  <c r="AF5" i="27"/>
  <c r="AI68" i="27"/>
  <c r="B73" i="27"/>
  <c r="AI56" i="27"/>
  <c r="AI52" i="27"/>
  <c r="AI38" i="27"/>
  <c r="H4" i="27"/>
  <c r="V214" i="27"/>
  <c r="AD214" i="27"/>
  <c r="L7" i="27"/>
  <c r="AL214" i="27"/>
  <c r="T7" i="27"/>
  <c r="AT214" i="27"/>
  <c r="AB7" i="27"/>
  <c r="AU214" i="27"/>
  <c r="AC7" i="27"/>
  <c r="X214" i="27"/>
  <c r="AF214" i="27"/>
  <c r="N7" i="27"/>
  <c r="AN214" i="27"/>
  <c r="V7" i="27"/>
  <c r="AV214" i="27"/>
  <c r="AD7" i="27"/>
  <c r="G83" i="27"/>
  <c r="W83" i="27"/>
  <c r="AE214" i="27"/>
  <c r="M7" i="27"/>
  <c r="AG214" i="27"/>
  <c r="O7" i="27"/>
  <c r="AO214" i="27"/>
  <c r="W7" i="27"/>
  <c r="AW214" i="27"/>
  <c r="AE7" i="27"/>
  <c r="H7" i="27"/>
  <c r="AH214" i="27"/>
  <c r="P7" i="27"/>
  <c r="AF7" i="27"/>
  <c r="I83" i="27"/>
  <c r="Q83" i="27"/>
  <c r="AA214" i="27"/>
  <c r="I7" i="27"/>
  <c r="AI214" i="27"/>
  <c r="Q7" i="27"/>
  <c r="AQ214" i="27"/>
  <c r="Y7" i="27"/>
  <c r="AG6" i="27"/>
  <c r="R83" i="27"/>
  <c r="Z83" i="27"/>
  <c r="AM214" i="27"/>
  <c r="U7" i="27"/>
  <c r="AB214" i="27"/>
  <c r="J7" i="27"/>
  <c r="AR214" i="27"/>
  <c r="Z7" i="27"/>
  <c r="B75" i="27"/>
  <c r="AJ214" i="27"/>
  <c r="R7" i="27"/>
  <c r="AK214" i="27"/>
  <c r="S7" i="27"/>
  <c r="AS214" i="27"/>
  <c r="AA7" i="27"/>
  <c r="J5" i="27"/>
  <c r="AH76" i="27"/>
  <c r="B82" i="27"/>
  <c r="D93" i="27"/>
  <c r="E126" i="27"/>
  <c r="F126" i="27" s="1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B126" i="27" s="1"/>
  <c r="AH38" i="27"/>
  <c r="E83" i="27"/>
  <c r="M83" i="27"/>
  <c r="U83" i="27"/>
  <c r="AC83" i="27"/>
  <c r="AH79" i="27"/>
  <c r="F83" i="27"/>
  <c r="N83" i="27"/>
  <c r="AD83" i="27"/>
  <c r="C73" i="27"/>
  <c r="C75" i="27" s="1"/>
  <c r="AH80" i="27"/>
  <c r="AA83" i="27"/>
  <c r="R5" i="27"/>
  <c r="V83" i="27"/>
  <c r="S5" i="27"/>
  <c r="AA5" i="27"/>
  <c r="AE83" i="27"/>
  <c r="F103" i="27"/>
  <c r="E93" i="27"/>
  <c r="AG73" i="27"/>
  <c r="AG83" i="27" s="1"/>
  <c r="AG75" i="27"/>
  <c r="D211" i="27"/>
  <c r="S211" i="27"/>
  <c r="AF82" i="27"/>
  <c r="AF83" i="27" s="1"/>
  <c r="E102" i="27"/>
  <c r="D235" i="27"/>
  <c r="F199" i="27"/>
  <c r="D200" i="27"/>
  <c r="E200" i="27"/>
  <c r="F194" i="27"/>
  <c r="P37" i="26"/>
  <c r="O95" i="26"/>
  <c r="O37" i="26"/>
  <c r="N37" i="26"/>
  <c r="M95" i="26"/>
  <c r="M37" i="26"/>
  <c r="L101" i="26"/>
  <c r="L95" i="26"/>
  <c r="L37" i="26"/>
  <c r="K95" i="26"/>
  <c r="K37" i="26"/>
  <c r="J95" i="26"/>
  <c r="J37" i="26"/>
  <c r="I95" i="26"/>
  <c r="I37" i="26"/>
  <c r="H95" i="26"/>
  <c r="H37" i="26"/>
  <c r="G95" i="26"/>
  <c r="G37" i="26"/>
  <c r="F95" i="26"/>
  <c r="F37" i="26"/>
  <c r="E95" i="26"/>
  <c r="E37" i="26"/>
  <c r="G78" i="26"/>
  <c r="D95" i="26"/>
  <c r="D37" i="26"/>
  <c r="C95" i="26"/>
  <c r="C37" i="26"/>
  <c r="B95" i="26"/>
  <c r="B37" i="26"/>
  <c r="B38" i="26"/>
  <c r="B52" i="26"/>
  <c r="B56" i="26"/>
  <c r="B68" i="26"/>
  <c r="B76" i="26"/>
  <c r="B77" i="26"/>
  <c r="B78" i="26"/>
  <c r="B79" i="26"/>
  <c r="B80" i="26"/>
  <c r="AF239" i="26"/>
  <c r="AE239" i="26"/>
  <c r="AD239" i="26"/>
  <c r="AC239" i="26"/>
  <c r="AB239" i="26"/>
  <c r="AA239" i="26"/>
  <c r="Z239" i="26"/>
  <c r="Y239" i="26"/>
  <c r="X239" i="26"/>
  <c r="W239" i="26"/>
  <c r="V239" i="26"/>
  <c r="U239" i="26"/>
  <c r="T239" i="26"/>
  <c r="S239" i="26"/>
  <c r="R239" i="26"/>
  <c r="Q239" i="26"/>
  <c r="P239" i="26"/>
  <c r="O239" i="26"/>
  <c r="N239" i="26"/>
  <c r="M239" i="26"/>
  <c r="L239" i="26"/>
  <c r="K239" i="26"/>
  <c r="J239" i="26"/>
  <c r="I239" i="26"/>
  <c r="H239" i="26"/>
  <c r="G239" i="26"/>
  <c r="F239" i="26"/>
  <c r="E239" i="26"/>
  <c r="D239" i="26"/>
  <c r="C239" i="26"/>
  <c r="B239" i="26"/>
  <c r="A239" i="26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B235" i="26"/>
  <c r="S210" i="26"/>
  <c r="AG200" i="26"/>
  <c r="C200" i="26"/>
  <c r="D199" i="26"/>
  <c r="C235" i="26" s="1"/>
  <c r="D198" i="26"/>
  <c r="E198" i="26" s="1"/>
  <c r="F198" i="26" s="1"/>
  <c r="G198" i="26" s="1"/>
  <c r="H198" i="26" s="1"/>
  <c r="I198" i="26" s="1"/>
  <c r="J198" i="26" s="1"/>
  <c r="K198" i="26" s="1"/>
  <c r="L198" i="26" s="1"/>
  <c r="M198" i="26" s="1"/>
  <c r="N198" i="26" s="1"/>
  <c r="O198" i="26" s="1"/>
  <c r="P198" i="26" s="1"/>
  <c r="Q198" i="26" s="1"/>
  <c r="R198" i="26" s="1"/>
  <c r="S198" i="26" s="1"/>
  <c r="T198" i="26" s="1"/>
  <c r="U198" i="26" s="1"/>
  <c r="V198" i="26" s="1"/>
  <c r="W198" i="26" s="1"/>
  <c r="X198" i="26" s="1"/>
  <c r="Y198" i="26" s="1"/>
  <c r="Z198" i="26" s="1"/>
  <c r="AA198" i="26" s="1"/>
  <c r="AB198" i="26" s="1"/>
  <c r="AC198" i="26" s="1"/>
  <c r="AD198" i="26" s="1"/>
  <c r="AE198" i="26" s="1"/>
  <c r="AF198" i="26" s="1"/>
  <c r="B198" i="26" s="1"/>
  <c r="D197" i="26"/>
  <c r="E197" i="26" s="1"/>
  <c r="F197" i="26" s="1"/>
  <c r="G197" i="26" s="1"/>
  <c r="H197" i="26" s="1"/>
  <c r="I197" i="26" s="1"/>
  <c r="J197" i="26" s="1"/>
  <c r="K197" i="26" s="1"/>
  <c r="L197" i="26" s="1"/>
  <c r="M197" i="26" s="1"/>
  <c r="N197" i="26" s="1"/>
  <c r="O197" i="26" s="1"/>
  <c r="P197" i="26" s="1"/>
  <c r="Q197" i="26" s="1"/>
  <c r="R197" i="26" s="1"/>
  <c r="S197" i="26" s="1"/>
  <c r="T197" i="26" s="1"/>
  <c r="U197" i="26" s="1"/>
  <c r="V197" i="26" s="1"/>
  <c r="W197" i="26" s="1"/>
  <c r="X197" i="26" s="1"/>
  <c r="Y197" i="26" s="1"/>
  <c r="Z197" i="26" s="1"/>
  <c r="AA197" i="26" s="1"/>
  <c r="AB197" i="26" s="1"/>
  <c r="AC197" i="26" s="1"/>
  <c r="AD197" i="26" s="1"/>
  <c r="AE197" i="26" s="1"/>
  <c r="AF197" i="26" s="1"/>
  <c r="B197" i="26" s="1"/>
  <c r="D196" i="26"/>
  <c r="E196" i="26" s="1"/>
  <c r="F196" i="26" s="1"/>
  <c r="G196" i="26" s="1"/>
  <c r="H196" i="26" s="1"/>
  <c r="I196" i="26" s="1"/>
  <c r="J196" i="26" s="1"/>
  <c r="K196" i="26" s="1"/>
  <c r="L196" i="26" s="1"/>
  <c r="M196" i="26" s="1"/>
  <c r="N196" i="26" s="1"/>
  <c r="O196" i="26" s="1"/>
  <c r="P196" i="26" s="1"/>
  <c r="Q196" i="26" s="1"/>
  <c r="R196" i="26" s="1"/>
  <c r="S196" i="26" s="1"/>
  <c r="T196" i="26" s="1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B196" i="26" s="1"/>
  <c r="D195" i="26"/>
  <c r="E195" i="26" s="1"/>
  <c r="F195" i="26" s="1"/>
  <c r="G195" i="26" s="1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B195" i="26" s="1"/>
  <c r="D194" i="26"/>
  <c r="E194" i="26" s="1"/>
  <c r="F194" i="26" s="1"/>
  <c r="AG192" i="26"/>
  <c r="C192" i="26"/>
  <c r="D191" i="26"/>
  <c r="E191" i="26" s="1"/>
  <c r="F191" i="26" s="1"/>
  <c r="G191" i="26" s="1"/>
  <c r="H191" i="26" s="1"/>
  <c r="I191" i="26" s="1"/>
  <c r="J191" i="26" s="1"/>
  <c r="K191" i="26" s="1"/>
  <c r="L191" i="26" s="1"/>
  <c r="M191" i="26" s="1"/>
  <c r="N191" i="26" s="1"/>
  <c r="O191" i="26" s="1"/>
  <c r="P191" i="26" s="1"/>
  <c r="Q191" i="26" s="1"/>
  <c r="R191" i="26" s="1"/>
  <c r="S191" i="26" s="1"/>
  <c r="T191" i="26" s="1"/>
  <c r="U191" i="26" s="1"/>
  <c r="V191" i="26" s="1"/>
  <c r="W191" i="26" s="1"/>
  <c r="X191" i="26" s="1"/>
  <c r="Y191" i="26" s="1"/>
  <c r="Z191" i="26" s="1"/>
  <c r="AA191" i="26" s="1"/>
  <c r="AB191" i="26" s="1"/>
  <c r="AC191" i="26" s="1"/>
  <c r="AD191" i="26" s="1"/>
  <c r="AE191" i="26" s="1"/>
  <c r="AF191" i="26" s="1"/>
  <c r="B191" i="26" s="1"/>
  <c r="D190" i="26"/>
  <c r="E190" i="26" s="1"/>
  <c r="F190" i="26" s="1"/>
  <c r="G190" i="26" s="1"/>
  <c r="H190" i="26" s="1"/>
  <c r="I190" i="26" s="1"/>
  <c r="J190" i="26" s="1"/>
  <c r="K190" i="26" s="1"/>
  <c r="L190" i="26" s="1"/>
  <c r="M190" i="26" s="1"/>
  <c r="N190" i="26" s="1"/>
  <c r="O190" i="26" s="1"/>
  <c r="P190" i="26" s="1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B190" i="26" s="1"/>
  <c r="D189" i="26"/>
  <c r="E189" i="26" s="1"/>
  <c r="F189" i="26" s="1"/>
  <c r="G189" i="26" s="1"/>
  <c r="H189" i="26" s="1"/>
  <c r="I189" i="26" s="1"/>
  <c r="J189" i="26" s="1"/>
  <c r="K189" i="26" s="1"/>
  <c r="L189" i="26" s="1"/>
  <c r="M189" i="26" s="1"/>
  <c r="N189" i="26" s="1"/>
  <c r="O189" i="26" s="1"/>
  <c r="P189" i="26" s="1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B189" i="26" s="1"/>
  <c r="D188" i="26"/>
  <c r="E188" i="26" s="1"/>
  <c r="F188" i="26" s="1"/>
  <c r="G188" i="26" s="1"/>
  <c r="H188" i="26" s="1"/>
  <c r="I188" i="26" s="1"/>
  <c r="J188" i="26" s="1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B188" i="26" s="1"/>
  <c r="E187" i="26"/>
  <c r="F187" i="26" s="1"/>
  <c r="G187" i="26" s="1"/>
  <c r="H187" i="26" s="1"/>
  <c r="I187" i="26" s="1"/>
  <c r="J187" i="26" s="1"/>
  <c r="K187" i="26" s="1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B187" i="26" s="1"/>
  <c r="D187" i="26"/>
  <c r="D186" i="26"/>
  <c r="E186" i="26" s="1"/>
  <c r="F186" i="26" s="1"/>
  <c r="G186" i="26" s="1"/>
  <c r="H186" i="26" s="1"/>
  <c r="I186" i="26" s="1"/>
  <c r="J186" i="26" s="1"/>
  <c r="K186" i="26" s="1"/>
  <c r="L186" i="26" s="1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B186" i="26" s="1"/>
  <c r="D185" i="26"/>
  <c r="E185" i="26" s="1"/>
  <c r="F185" i="26" s="1"/>
  <c r="G185" i="26" s="1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B185" i="26" s="1"/>
  <c r="D184" i="26"/>
  <c r="E184" i="26" s="1"/>
  <c r="F184" i="26" s="1"/>
  <c r="G184" i="26" s="1"/>
  <c r="H184" i="26" s="1"/>
  <c r="I184" i="26" s="1"/>
  <c r="J184" i="26" s="1"/>
  <c r="K184" i="26" s="1"/>
  <c r="L184" i="26" s="1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B184" i="26" s="1"/>
  <c r="D183" i="26"/>
  <c r="E183" i="26" s="1"/>
  <c r="F183" i="26" s="1"/>
  <c r="G183" i="26" s="1"/>
  <c r="H183" i="26" s="1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B183" i="26" s="1"/>
  <c r="D182" i="26"/>
  <c r="E182" i="26" s="1"/>
  <c r="F182" i="26" s="1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B182" i="26" s="1"/>
  <c r="O181" i="26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B181" i="26" s="1"/>
  <c r="D181" i="26"/>
  <c r="E181" i="26" s="1"/>
  <c r="F181" i="26" s="1"/>
  <c r="G181" i="26" s="1"/>
  <c r="H181" i="26" s="1"/>
  <c r="I181" i="26" s="1"/>
  <c r="J181" i="26" s="1"/>
  <c r="K181" i="26" s="1"/>
  <c r="L181" i="26" s="1"/>
  <c r="M181" i="26" s="1"/>
  <c r="N181" i="26" s="1"/>
  <c r="O180" i="26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B180" i="26" s="1"/>
  <c r="D180" i="26"/>
  <c r="E180" i="26" s="1"/>
  <c r="F180" i="26" s="1"/>
  <c r="G180" i="26" s="1"/>
  <c r="H180" i="26" s="1"/>
  <c r="I180" i="26" s="1"/>
  <c r="J180" i="26" s="1"/>
  <c r="K180" i="26" s="1"/>
  <c r="L180" i="26" s="1"/>
  <c r="M180" i="26" s="1"/>
  <c r="N180" i="26" s="1"/>
  <c r="D179" i="26"/>
  <c r="E179" i="26" s="1"/>
  <c r="F179" i="26" s="1"/>
  <c r="G179" i="26" s="1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B179" i="26" s="1"/>
  <c r="D177" i="26"/>
  <c r="E177" i="26" s="1"/>
  <c r="F177" i="26" s="1"/>
  <c r="G177" i="26" s="1"/>
  <c r="H177" i="26" s="1"/>
  <c r="I177" i="26" s="1"/>
  <c r="J177" i="26" s="1"/>
  <c r="K177" i="26" s="1"/>
  <c r="L177" i="26" s="1"/>
  <c r="M177" i="26" s="1"/>
  <c r="N177" i="26" s="1"/>
  <c r="O177" i="26" s="1"/>
  <c r="P177" i="26" s="1"/>
  <c r="Q177" i="26" s="1"/>
  <c r="R177" i="26" s="1"/>
  <c r="S177" i="26" s="1"/>
  <c r="T177" i="26" s="1"/>
  <c r="U177" i="26" s="1"/>
  <c r="V177" i="26" s="1"/>
  <c r="W177" i="26" s="1"/>
  <c r="X177" i="26" s="1"/>
  <c r="Y177" i="26" s="1"/>
  <c r="Z177" i="26" s="1"/>
  <c r="AA177" i="26" s="1"/>
  <c r="AB177" i="26" s="1"/>
  <c r="AC177" i="26" s="1"/>
  <c r="AD177" i="26" s="1"/>
  <c r="AE177" i="26" s="1"/>
  <c r="AF177" i="26" s="1"/>
  <c r="B177" i="26" s="1"/>
  <c r="E176" i="26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B176" i="26" s="1"/>
  <c r="D176" i="26"/>
  <c r="J175" i="26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B175" i="26" s="1"/>
  <c r="E175" i="26"/>
  <c r="F175" i="26" s="1"/>
  <c r="G175" i="26" s="1"/>
  <c r="H175" i="26" s="1"/>
  <c r="I175" i="26" s="1"/>
  <c r="D175" i="26"/>
  <c r="D174" i="26"/>
  <c r="E174" i="26" s="1"/>
  <c r="F174" i="26" s="1"/>
  <c r="G174" i="26" s="1"/>
  <c r="H174" i="26" s="1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B174" i="26" s="1"/>
  <c r="D173" i="26"/>
  <c r="E173" i="26" s="1"/>
  <c r="F173" i="26" s="1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B173" i="26" s="1"/>
  <c r="D172" i="26"/>
  <c r="E172" i="26" s="1"/>
  <c r="F172" i="26" s="1"/>
  <c r="G172" i="26" s="1"/>
  <c r="H172" i="26" s="1"/>
  <c r="I172" i="26" s="1"/>
  <c r="J172" i="26" s="1"/>
  <c r="K172" i="26" s="1"/>
  <c r="L172" i="26" s="1"/>
  <c r="M172" i="26" s="1"/>
  <c r="N172" i="26" s="1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B172" i="26" s="1"/>
  <c r="D171" i="26"/>
  <c r="E171" i="26" s="1"/>
  <c r="F171" i="26" s="1"/>
  <c r="G171" i="26" s="1"/>
  <c r="H171" i="26" s="1"/>
  <c r="I171" i="26" s="1"/>
  <c r="J171" i="26" s="1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B171" i="26" s="1"/>
  <c r="E170" i="26"/>
  <c r="F170" i="26" s="1"/>
  <c r="G170" i="26" s="1"/>
  <c r="H170" i="26" s="1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B170" i="26" s="1"/>
  <c r="D170" i="26"/>
  <c r="D168" i="26"/>
  <c r="E168" i="26" s="1"/>
  <c r="F168" i="26" s="1"/>
  <c r="G168" i="26" s="1"/>
  <c r="H168" i="26" s="1"/>
  <c r="I168" i="26" s="1"/>
  <c r="J168" i="26" s="1"/>
  <c r="K168" i="26" s="1"/>
  <c r="L168" i="26" s="1"/>
  <c r="M168" i="26" s="1"/>
  <c r="N168" i="26" s="1"/>
  <c r="O168" i="26" s="1"/>
  <c r="P168" i="26" s="1"/>
  <c r="Q168" i="26" s="1"/>
  <c r="R168" i="26" s="1"/>
  <c r="S168" i="26" s="1"/>
  <c r="T168" i="26" s="1"/>
  <c r="U168" i="26" s="1"/>
  <c r="V168" i="26" s="1"/>
  <c r="W168" i="26" s="1"/>
  <c r="X168" i="26" s="1"/>
  <c r="Y168" i="26" s="1"/>
  <c r="Z168" i="26" s="1"/>
  <c r="AA168" i="26" s="1"/>
  <c r="AB168" i="26" s="1"/>
  <c r="AC168" i="26" s="1"/>
  <c r="AD168" i="26" s="1"/>
  <c r="AE168" i="26" s="1"/>
  <c r="AF168" i="26" s="1"/>
  <c r="B168" i="26" s="1"/>
  <c r="E167" i="26"/>
  <c r="F167" i="26" s="1"/>
  <c r="G167" i="26" s="1"/>
  <c r="H167" i="26" s="1"/>
  <c r="I167" i="26" s="1"/>
  <c r="J167" i="26" s="1"/>
  <c r="K167" i="26" s="1"/>
  <c r="L167" i="26" s="1"/>
  <c r="M167" i="26" s="1"/>
  <c r="N167" i="26" s="1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B167" i="26" s="1"/>
  <c r="D167" i="26"/>
  <c r="D166" i="26"/>
  <c r="E166" i="26" s="1"/>
  <c r="F166" i="26" s="1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B166" i="26" s="1"/>
  <c r="E165" i="26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B165" i="26" s="1"/>
  <c r="D165" i="26"/>
  <c r="D164" i="26"/>
  <c r="E164" i="26" s="1"/>
  <c r="F164" i="26" s="1"/>
  <c r="G164" i="26" s="1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B164" i="26" s="1"/>
  <c r="E163" i="26"/>
  <c r="F163" i="26" s="1"/>
  <c r="G163" i="26" s="1"/>
  <c r="H163" i="26" s="1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B163" i="26" s="1"/>
  <c r="D163" i="26"/>
  <c r="E162" i="26"/>
  <c r="F162" i="26" s="1"/>
  <c r="G162" i="26" s="1"/>
  <c r="H162" i="26" s="1"/>
  <c r="I162" i="26" s="1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B162" i="26" s="1"/>
  <c r="D162" i="26"/>
  <c r="D161" i="26"/>
  <c r="E161" i="26" s="1"/>
  <c r="F161" i="26" s="1"/>
  <c r="G161" i="26" s="1"/>
  <c r="H161" i="26" s="1"/>
  <c r="I161" i="26" s="1"/>
  <c r="J161" i="26" s="1"/>
  <c r="K161" i="26" s="1"/>
  <c r="L161" i="26" s="1"/>
  <c r="M161" i="26" s="1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B161" i="26" s="1"/>
  <c r="D160" i="26"/>
  <c r="E160" i="26" s="1"/>
  <c r="F160" i="26" s="1"/>
  <c r="G160" i="26" s="1"/>
  <c r="H160" i="26" s="1"/>
  <c r="I160" i="26" s="1"/>
  <c r="J160" i="26" s="1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B160" i="26" s="1"/>
  <c r="D159" i="26"/>
  <c r="E159" i="26" s="1"/>
  <c r="F159" i="26" s="1"/>
  <c r="G159" i="26" s="1"/>
  <c r="H159" i="26" s="1"/>
  <c r="I159" i="26" s="1"/>
  <c r="J159" i="26" s="1"/>
  <c r="K159" i="26" s="1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B159" i="26" s="1"/>
  <c r="E158" i="26"/>
  <c r="F158" i="26" s="1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B158" i="26" s="1"/>
  <c r="D158" i="26"/>
  <c r="D157" i="26"/>
  <c r="E157" i="26" s="1"/>
  <c r="F157" i="26" s="1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B157" i="26" s="1"/>
  <c r="F156" i="26"/>
  <c r="G156" i="26" s="1"/>
  <c r="H156" i="26" s="1"/>
  <c r="I156" i="26" s="1"/>
  <c r="J156" i="26" s="1"/>
  <c r="K156" i="26" s="1"/>
  <c r="L156" i="26" s="1"/>
  <c r="M156" i="26" s="1"/>
  <c r="N156" i="26" s="1"/>
  <c r="O156" i="26" s="1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B156" i="26" s="1"/>
  <c r="D156" i="26"/>
  <c r="E156" i="26" s="1"/>
  <c r="D154" i="26"/>
  <c r="E154" i="26" s="1"/>
  <c r="F154" i="26" s="1"/>
  <c r="G154" i="26" s="1"/>
  <c r="H154" i="26" s="1"/>
  <c r="I154" i="26" s="1"/>
  <c r="J154" i="26" s="1"/>
  <c r="K154" i="26" s="1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X154" i="26" s="1"/>
  <c r="Y154" i="26" s="1"/>
  <c r="Z154" i="26" s="1"/>
  <c r="AA154" i="26" s="1"/>
  <c r="AB154" i="26" s="1"/>
  <c r="AC154" i="26" s="1"/>
  <c r="AD154" i="26" s="1"/>
  <c r="AE154" i="26" s="1"/>
  <c r="AF154" i="26" s="1"/>
  <c r="B154" i="26" s="1"/>
  <c r="E153" i="26"/>
  <c r="F153" i="26" s="1"/>
  <c r="G153" i="26" s="1"/>
  <c r="H153" i="26" s="1"/>
  <c r="I153" i="26" s="1"/>
  <c r="J153" i="26" s="1"/>
  <c r="K153" i="26" s="1"/>
  <c r="L153" i="26" s="1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B153" i="26" s="1"/>
  <c r="D153" i="26"/>
  <c r="D152" i="26"/>
  <c r="E152" i="26" s="1"/>
  <c r="F152" i="26" s="1"/>
  <c r="G152" i="26" s="1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B152" i="26" s="1"/>
  <c r="D151" i="26"/>
  <c r="E151" i="26" s="1"/>
  <c r="F151" i="26" s="1"/>
  <c r="G151" i="26" s="1"/>
  <c r="H151" i="26" s="1"/>
  <c r="I151" i="26" s="1"/>
  <c r="J151" i="26" s="1"/>
  <c r="K151" i="26" s="1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B151" i="26" s="1"/>
  <c r="D149" i="26"/>
  <c r="E149" i="26" s="1"/>
  <c r="F149" i="26" s="1"/>
  <c r="G149" i="26" s="1"/>
  <c r="H149" i="26" s="1"/>
  <c r="I149" i="26" s="1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B149" i="26" s="1"/>
  <c r="D148" i="26"/>
  <c r="E148" i="26" s="1"/>
  <c r="F148" i="26" s="1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B148" i="26" s="1"/>
  <c r="P146" i="26"/>
  <c r="Q146" i="26" s="1"/>
  <c r="R146" i="26" s="1"/>
  <c r="S146" i="26" s="1"/>
  <c r="T146" i="26" s="1"/>
  <c r="U146" i="26" s="1"/>
  <c r="V146" i="26" s="1"/>
  <c r="W146" i="26" s="1"/>
  <c r="X146" i="26" s="1"/>
  <c r="Y146" i="26" s="1"/>
  <c r="Z146" i="26" s="1"/>
  <c r="AA146" i="26" s="1"/>
  <c r="AB146" i="26" s="1"/>
  <c r="AC146" i="26" s="1"/>
  <c r="AD146" i="26" s="1"/>
  <c r="AE146" i="26" s="1"/>
  <c r="AF146" i="26" s="1"/>
  <c r="B146" i="26" s="1"/>
  <c r="H146" i="26"/>
  <c r="I146" i="26" s="1"/>
  <c r="J146" i="26" s="1"/>
  <c r="K146" i="26" s="1"/>
  <c r="L146" i="26" s="1"/>
  <c r="M146" i="26" s="1"/>
  <c r="N146" i="26" s="1"/>
  <c r="O146" i="26" s="1"/>
  <c r="D146" i="26"/>
  <c r="E146" i="26" s="1"/>
  <c r="F146" i="26" s="1"/>
  <c r="G146" i="26" s="1"/>
  <c r="D145" i="26"/>
  <c r="E145" i="26" s="1"/>
  <c r="F145" i="26" s="1"/>
  <c r="G145" i="26" s="1"/>
  <c r="H145" i="26" s="1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X145" i="26" s="1"/>
  <c r="Y145" i="26" s="1"/>
  <c r="Z145" i="26" s="1"/>
  <c r="AA145" i="26" s="1"/>
  <c r="AB145" i="26" s="1"/>
  <c r="AC145" i="26" s="1"/>
  <c r="AD145" i="26" s="1"/>
  <c r="AE145" i="26" s="1"/>
  <c r="AF145" i="26" s="1"/>
  <c r="B145" i="26" s="1"/>
  <c r="D144" i="26"/>
  <c r="E144" i="26" s="1"/>
  <c r="F144" i="26" s="1"/>
  <c r="G144" i="26" s="1"/>
  <c r="H144" i="26" s="1"/>
  <c r="I144" i="26" s="1"/>
  <c r="J144" i="26" s="1"/>
  <c r="K144" i="26" s="1"/>
  <c r="L144" i="26" s="1"/>
  <c r="M144" i="26" s="1"/>
  <c r="N144" i="26" s="1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B144" i="26" s="1"/>
  <c r="D143" i="26"/>
  <c r="E143" i="26" s="1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B143" i="26" s="1"/>
  <c r="D142" i="26"/>
  <c r="E142" i="26" s="1"/>
  <c r="F142" i="26" s="1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B142" i="26" s="1"/>
  <c r="E141" i="26"/>
  <c r="F141" i="26" s="1"/>
  <c r="G141" i="26" s="1"/>
  <c r="H141" i="26" s="1"/>
  <c r="I141" i="26" s="1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B141" i="26" s="1"/>
  <c r="D141" i="26"/>
  <c r="D140" i="26"/>
  <c r="E140" i="26" s="1"/>
  <c r="F140" i="26" s="1"/>
  <c r="G140" i="26" s="1"/>
  <c r="H140" i="26" s="1"/>
  <c r="I140" i="26" s="1"/>
  <c r="J140" i="26" s="1"/>
  <c r="K140" i="26" s="1"/>
  <c r="L140" i="26" s="1"/>
  <c r="M140" i="26" s="1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B140" i="26" s="1"/>
  <c r="E138" i="26"/>
  <c r="F138" i="26" s="1"/>
  <c r="G138" i="26" s="1"/>
  <c r="H138" i="26" s="1"/>
  <c r="I138" i="26" s="1"/>
  <c r="J138" i="26" s="1"/>
  <c r="K138" i="26" s="1"/>
  <c r="L138" i="26" s="1"/>
  <c r="M138" i="26" s="1"/>
  <c r="N138" i="26" s="1"/>
  <c r="O138" i="26" s="1"/>
  <c r="P138" i="26" s="1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B138" i="26" s="1"/>
  <c r="D138" i="26"/>
  <c r="J137" i="26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B137" i="26" s="1"/>
  <c r="D137" i="26"/>
  <c r="E137" i="26" s="1"/>
  <c r="F137" i="26" s="1"/>
  <c r="G137" i="26" s="1"/>
  <c r="H137" i="26" s="1"/>
  <c r="I137" i="26" s="1"/>
  <c r="E136" i="26"/>
  <c r="F136" i="26" s="1"/>
  <c r="G136" i="26" s="1"/>
  <c r="H136" i="26" s="1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B136" i="26" s="1"/>
  <c r="D136" i="26"/>
  <c r="D135" i="26"/>
  <c r="E135" i="26" s="1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B135" i="26" s="1"/>
  <c r="D134" i="26"/>
  <c r="E134" i="26" s="1"/>
  <c r="F134" i="26" s="1"/>
  <c r="G134" i="26" s="1"/>
  <c r="H134" i="26" s="1"/>
  <c r="I134" i="26" s="1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B134" i="26" s="1"/>
  <c r="D133" i="26"/>
  <c r="E133" i="26" s="1"/>
  <c r="F133" i="26" s="1"/>
  <c r="G133" i="26" s="1"/>
  <c r="H133" i="26" s="1"/>
  <c r="I133" i="26" s="1"/>
  <c r="J133" i="26" s="1"/>
  <c r="K133" i="26" s="1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B133" i="26" s="1"/>
  <c r="E132" i="26"/>
  <c r="F132" i="26" s="1"/>
  <c r="G132" i="26" s="1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B132" i="26" s="1"/>
  <c r="D132" i="26"/>
  <c r="D131" i="26"/>
  <c r="E131" i="26" s="1"/>
  <c r="F131" i="26" s="1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B131" i="26" s="1"/>
  <c r="D129" i="26"/>
  <c r="E129" i="26" s="1"/>
  <c r="F129" i="26" s="1"/>
  <c r="G129" i="26" s="1"/>
  <c r="H129" i="26" s="1"/>
  <c r="I129" i="26" s="1"/>
  <c r="J129" i="26" s="1"/>
  <c r="K129" i="26" s="1"/>
  <c r="L129" i="26" s="1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B129" i="26" s="1"/>
  <c r="D128" i="26"/>
  <c r="E128" i="26" s="1"/>
  <c r="F128" i="26" s="1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B128" i="26" s="1"/>
  <c r="D127" i="26"/>
  <c r="E127" i="26" s="1"/>
  <c r="F127" i="26" s="1"/>
  <c r="G127" i="26" s="1"/>
  <c r="H127" i="26" s="1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B127" i="26" s="1"/>
  <c r="D126" i="26"/>
  <c r="E126" i="26" s="1"/>
  <c r="F126" i="26" s="1"/>
  <c r="G126" i="26" s="1"/>
  <c r="H126" i="26" s="1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B126" i="26" s="1"/>
  <c r="J125" i="26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B125" i="26" s="1"/>
  <c r="D125" i="26"/>
  <c r="E125" i="26" s="1"/>
  <c r="F125" i="26" s="1"/>
  <c r="G125" i="26" s="1"/>
  <c r="H125" i="26" s="1"/>
  <c r="D124" i="26"/>
  <c r="E124" i="26" s="1"/>
  <c r="F124" i="26" s="1"/>
  <c r="G124" i="26" s="1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B124" i="26" s="1"/>
  <c r="E123" i="26"/>
  <c r="F123" i="26" s="1"/>
  <c r="G123" i="26" s="1"/>
  <c r="H123" i="26" s="1"/>
  <c r="I123" i="26" s="1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B123" i="26" s="1"/>
  <c r="D123" i="26"/>
  <c r="D122" i="26"/>
  <c r="E122" i="26" s="1"/>
  <c r="F122" i="26" s="1"/>
  <c r="G122" i="26" s="1"/>
  <c r="H122" i="26" s="1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B122" i="26" s="1"/>
  <c r="E121" i="26"/>
  <c r="F121" i="26" s="1"/>
  <c r="G121" i="26" s="1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B121" i="26" s="1"/>
  <c r="D121" i="26"/>
  <c r="E120" i="26"/>
  <c r="F120" i="26" s="1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B120" i="26" s="1"/>
  <c r="D120" i="26"/>
  <c r="E119" i="26"/>
  <c r="F119" i="26" s="1"/>
  <c r="G119" i="26" s="1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B119" i="26" s="1"/>
  <c r="D119" i="26"/>
  <c r="E118" i="26"/>
  <c r="F118" i="26" s="1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B118" i="26" s="1"/>
  <c r="D118" i="26"/>
  <c r="E117" i="26"/>
  <c r="F117" i="26" s="1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B117" i="26" s="1"/>
  <c r="D117" i="26"/>
  <c r="H116" i="26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B116" i="26" s="1"/>
  <c r="D116" i="26"/>
  <c r="E116" i="26" s="1"/>
  <c r="F116" i="26" s="1"/>
  <c r="G116" i="26" s="1"/>
  <c r="D115" i="26"/>
  <c r="E115" i="26" s="1"/>
  <c r="F115" i="26" s="1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B115" i="26" s="1"/>
  <c r="K114" i="26"/>
  <c r="L114" i="26" s="1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B114" i="26" s="1"/>
  <c r="D114" i="26"/>
  <c r="E114" i="26" s="1"/>
  <c r="F114" i="26" s="1"/>
  <c r="G114" i="26" s="1"/>
  <c r="H114" i="26" s="1"/>
  <c r="I114" i="26" s="1"/>
  <c r="D113" i="26"/>
  <c r="E113" i="26" s="1"/>
  <c r="F113" i="26" s="1"/>
  <c r="G113" i="26" s="1"/>
  <c r="H113" i="26" s="1"/>
  <c r="I113" i="26" s="1"/>
  <c r="J113" i="26" s="1"/>
  <c r="K113" i="26" s="1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B113" i="26" s="1"/>
  <c r="D112" i="26"/>
  <c r="E112" i="26" s="1"/>
  <c r="F112" i="26" s="1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B112" i="26" s="1"/>
  <c r="E110" i="26"/>
  <c r="F110" i="26" s="1"/>
  <c r="G110" i="26" s="1"/>
  <c r="H110" i="26" s="1"/>
  <c r="I110" i="26" s="1"/>
  <c r="J110" i="26" s="1"/>
  <c r="K110" i="26" s="1"/>
  <c r="L110" i="26" s="1"/>
  <c r="M110" i="26" s="1"/>
  <c r="N110" i="26" s="1"/>
  <c r="O110" i="26" s="1"/>
  <c r="P110" i="26" s="1"/>
  <c r="Q110" i="26" s="1"/>
  <c r="R110" i="26" s="1"/>
  <c r="S110" i="26" s="1"/>
  <c r="T110" i="26" s="1"/>
  <c r="U110" i="26" s="1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B110" i="26" s="1"/>
  <c r="D110" i="26"/>
  <c r="D109" i="26"/>
  <c r="E109" i="26" s="1"/>
  <c r="F109" i="26" s="1"/>
  <c r="G109" i="26" s="1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B109" i="26" s="1"/>
  <c r="D107" i="26"/>
  <c r="E107" i="26" s="1"/>
  <c r="F107" i="26" s="1"/>
  <c r="G107" i="26" s="1"/>
  <c r="H107" i="26" s="1"/>
  <c r="I107" i="26" s="1"/>
  <c r="J107" i="26" s="1"/>
  <c r="K107" i="26" s="1"/>
  <c r="L107" i="26" s="1"/>
  <c r="M107" i="26" s="1"/>
  <c r="N107" i="26" s="1"/>
  <c r="O107" i="26" s="1"/>
  <c r="P107" i="26" s="1"/>
  <c r="Q107" i="26" s="1"/>
  <c r="R107" i="26" s="1"/>
  <c r="S107" i="26" s="1"/>
  <c r="T107" i="26" s="1"/>
  <c r="U107" i="26" s="1"/>
  <c r="V107" i="26" s="1"/>
  <c r="W107" i="26" s="1"/>
  <c r="X107" i="26" s="1"/>
  <c r="Y107" i="26" s="1"/>
  <c r="Z107" i="26" s="1"/>
  <c r="AA107" i="26" s="1"/>
  <c r="AB107" i="26" s="1"/>
  <c r="AC107" i="26" s="1"/>
  <c r="AD107" i="26" s="1"/>
  <c r="AE107" i="26" s="1"/>
  <c r="AF107" i="26" s="1"/>
  <c r="B107" i="26" s="1"/>
  <c r="F106" i="26"/>
  <c r="G106" i="26" s="1"/>
  <c r="H106" i="26" s="1"/>
  <c r="I106" i="26" s="1"/>
  <c r="J106" i="26" s="1"/>
  <c r="K106" i="26" s="1"/>
  <c r="L106" i="26" s="1"/>
  <c r="M106" i="26" s="1"/>
  <c r="N106" i="26" s="1"/>
  <c r="O106" i="26" s="1"/>
  <c r="P106" i="26" s="1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B106" i="26" s="1"/>
  <c r="D106" i="26"/>
  <c r="E106" i="26" s="1"/>
  <c r="D105" i="26"/>
  <c r="E105" i="26" s="1"/>
  <c r="F105" i="26" s="1"/>
  <c r="G105" i="26" s="1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B105" i="26" s="1"/>
  <c r="J104" i="26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B104" i="26" s="1"/>
  <c r="D104" i="26"/>
  <c r="E104" i="26" s="1"/>
  <c r="F104" i="26" s="1"/>
  <c r="G104" i="26" s="1"/>
  <c r="H104" i="26" s="1"/>
  <c r="I104" i="26" s="1"/>
  <c r="D103" i="26"/>
  <c r="E103" i="26" s="1"/>
  <c r="D102" i="26"/>
  <c r="AH100" i="26"/>
  <c r="AI100" i="26" s="1"/>
  <c r="AH99" i="26"/>
  <c r="AI99" i="26" s="1"/>
  <c r="AH98" i="26"/>
  <c r="AI98" i="26" s="1"/>
  <c r="AH97" i="26"/>
  <c r="AI97" i="26" s="1"/>
  <c r="AH96" i="26"/>
  <c r="AI96" i="26" s="1"/>
  <c r="AH95" i="26"/>
  <c r="AI95" i="26" s="1"/>
  <c r="AH94" i="26"/>
  <c r="AI94" i="26" s="1"/>
  <c r="C93" i="26"/>
  <c r="AI91" i="26"/>
  <c r="AH91" i="26"/>
  <c r="AI90" i="26"/>
  <c r="AH90" i="26"/>
  <c r="AI89" i="26"/>
  <c r="AH89" i="26"/>
  <c r="AI88" i="26"/>
  <c r="AH88" i="26"/>
  <c r="AI87" i="26"/>
  <c r="AH87" i="26"/>
  <c r="AG82" i="26"/>
  <c r="AI81" i="26"/>
  <c r="AH81" i="26"/>
  <c r="AF80" i="26"/>
  <c r="AE80" i="26"/>
  <c r="AD80" i="26"/>
  <c r="AC80" i="26"/>
  <c r="AB80" i="26"/>
  <c r="AA80" i="26"/>
  <c r="Z80" i="26"/>
  <c r="Y80" i="26"/>
  <c r="X80" i="26"/>
  <c r="W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AF79" i="26"/>
  <c r="AE79" i="26"/>
  <c r="AD79" i="26"/>
  <c r="AC79" i="26"/>
  <c r="AB79" i="26"/>
  <c r="AA79" i="26"/>
  <c r="Z79" i="26"/>
  <c r="Y79" i="26"/>
  <c r="X79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F78" i="26"/>
  <c r="E78" i="26"/>
  <c r="D78" i="26"/>
  <c r="C78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P82" i="26" s="1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AI74" i="26"/>
  <c r="AH74" i="26"/>
  <c r="AI72" i="26"/>
  <c r="AH72" i="26"/>
  <c r="AG72" i="26"/>
  <c r="AI71" i="26"/>
  <c r="AH71" i="26"/>
  <c r="AI70" i="26"/>
  <c r="AH70" i="26"/>
  <c r="AI69" i="26"/>
  <c r="AH69" i="26"/>
  <c r="AG68" i="26"/>
  <c r="AF68" i="26"/>
  <c r="AE68" i="26"/>
  <c r="AD68" i="26"/>
  <c r="AC5" i="26" s="1"/>
  <c r="AC68" i="26"/>
  <c r="AB5" i="26" s="1"/>
  <c r="AB68" i="26"/>
  <c r="AA68" i="26"/>
  <c r="Z68" i="26"/>
  <c r="Y5" i="26" s="1"/>
  <c r="Y68" i="26"/>
  <c r="X5" i="26" s="1"/>
  <c r="X68" i="26"/>
  <c r="W68" i="26"/>
  <c r="V68" i="26"/>
  <c r="U5" i="26" s="1"/>
  <c r="U68" i="26"/>
  <c r="T5" i="26" s="1"/>
  <c r="T68" i="26"/>
  <c r="S5" i="26" s="1"/>
  <c r="S68" i="26"/>
  <c r="R68" i="26"/>
  <c r="Q5" i="26" s="1"/>
  <c r="Q68" i="26"/>
  <c r="P5" i="26" s="1"/>
  <c r="P68" i="26"/>
  <c r="O68" i="26"/>
  <c r="N68" i="26"/>
  <c r="M5" i="26" s="1"/>
  <c r="M68" i="26"/>
  <c r="L5" i="26" s="1"/>
  <c r="L68" i="26"/>
  <c r="K5" i="26" s="1"/>
  <c r="K68" i="26"/>
  <c r="J68" i="26"/>
  <c r="I5" i="26" s="1"/>
  <c r="I68" i="26"/>
  <c r="H5" i="26" s="1"/>
  <c r="H68" i="26"/>
  <c r="G5" i="26" s="1"/>
  <c r="F68" i="26"/>
  <c r="E5" i="26" s="1"/>
  <c r="E68" i="26"/>
  <c r="D5" i="26" s="1"/>
  <c r="D68" i="26"/>
  <c r="C5" i="26" s="1"/>
  <c r="C68" i="26"/>
  <c r="AI67" i="26"/>
  <c r="AH67" i="26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AI55" i="26"/>
  <c r="AH55" i="26"/>
  <c r="AI54" i="26"/>
  <c r="AH54" i="26"/>
  <c r="AI53" i="26"/>
  <c r="AH53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AI51" i="26"/>
  <c r="AH51" i="26"/>
  <c r="AG51" i="26"/>
  <c r="AG52" i="26" s="1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G38" i="26"/>
  <c r="AG2" i="26" s="1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F5" i="26"/>
  <c r="AG4" i="26"/>
  <c r="K4" i="26"/>
  <c r="B4" i="26"/>
  <c r="AG3" i="26"/>
  <c r="AF95" i="25"/>
  <c r="AF37" i="25"/>
  <c r="AE95" i="25"/>
  <c r="AE37" i="25"/>
  <c r="AD95" i="25"/>
  <c r="AD37" i="25"/>
  <c r="AC95" i="25"/>
  <c r="AC37" i="25"/>
  <c r="E4" i="26"/>
  <c r="B194" i="35" l="1"/>
  <c r="AE192" i="35"/>
  <c r="AF102" i="35"/>
  <c r="AD235" i="35"/>
  <c r="AF199" i="35"/>
  <c r="Y235" i="34"/>
  <c r="AA199" i="34"/>
  <c r="AA103" i="34"/>
  <c r="X192" i="34"/>
  <c r="Y102" i="34"/>
  <c r="X200" i="34"/>
  <c r="Y194" i="34"/>
  <c r="X93" i="34"/>
  <c r="I109" i="33"/>
  <c r="H93" i="33"/>
  <c r="F235" i="33"/>
  <c r="H199" i="33"/>
  <c r="G200" i="33"/>
  <c r="H192" i="33"/>
  <c r="I102" i="33"/>
  <c r="J194" i="33"/>
  <c r="K103" i="33"/>
  <c r="L7" i="32"/>
  <c r="I7" i="32"/>
  <c r="G7" i="32"/>
  <c r="H7" i="32"/>
  <c r="B209" i="32"/>
  <c r="C209" i="32"/>
  <c r="W214" i="32"/>
  <c r="F7" i="32"/>
  <c r="C7" i="32"/>
  <c r="L103" i="32"/>
  <c r="B75" i="32"/>
  <c r="AI73" i="32"/>
  <c r="AH73" i="32"/>
  <c r="AI82" i="32"/>
  <c r="AH82" i="32"/>
  <c r="B83" i="32"/>
  <c r="F235" i="32"/>
  <c r="H199" i="32"/>
  <c r="F192" i="32"/>
  <c r="G102" i="32"/>
  <c r="E200" i="32"/>
  <c r="F194" i="32"/>
  <c r="E93" i="32"/>
  <c r="H115" i="32"/>
  <c r="Z214" i="31"/>
  <c r="L7" i="31"/>
  <c r="J7" i="31"/>
  <c r="AA214" i="31"/>
  <c r="G7" i="31"/>
  <c r="X214" i="31"/>
  <c r="E7" i="31"/>
  <c r="AH73" i="31"/>
  <c r="D7" i="31"/>
  <c r="E235" i="31"/>
  <c r="G199" i="31"/>
  <c r="T214" i="31"/>
  <c r="B7" i="31"/>
  <c r="AH82" i="31"/>
  <c r="AI82" i="31"/>
  <c r="E200" i="31"/>
  <c r="F194" i="31"/>
  <c r="B83" i="31"/>
  <c r="H103" i="31"/>
  <c r="AC214" i="31"/>
  <c r="K7" i="31"/>
  <c r="B209" i="31"/>
  <c r="E192" i="31"/>
  <c r="F102" i="31"/>
  <c r="C209" i="31"/>
  <c r="C75" i="31"/>
  <c r="AI73" i="31"/>
  <c r="T7" i="30"/>
  <c r="AE214" i="30"/>
  <c r="G7" i="30"/>
  <c r="L7" i="30"/>
  <c r="J7" i="30"/>
  <c r="X214" i="30"/>
  <c r="AA214" i="30"/>
  <c r="C209" i="30"/>
  <c r="Z214" i="30"/>
  <c r="B209" i="30"/>
  <c r="H7" i="30"/>
  <c r="AI82" i="30"/>
  <c r="E7" i="30"/>
  <c r="D7" i="30"/>
  <c r="AI73" i="30"/>
  <c r="AH82" i="30"/>
  <c r="AH73" i="30"/>
  <c r="C7" i="30"/>
  <c r="E192" i="30"/>
  <c r="F102" i="30"/>
  <c r="T214" i="30"/>
  <c r="AI75" i="30"/>
  <c r="AH75" i="30"/>
  <c r="B7" i="30"/>
  <c r="AI83" i="30"/>
  <c r="AH83" i="30"/>
  <c r="E93" i="30"/>
  <c r="F103" i="30"/>
  <c r="H194" i="30"/>
  <c r="F199" i="30"/>
  <c r="D235" i="30"/>
  <c r="M7" i="29"/>
  <c r="L7" i="29"/>
  <c r="K7" i="29"/>
  <c r="J7" i="29"/>
  <c r="I7" i="29"/>
  <c r="H7" i="29"/>
  <c r="C209" i="29"/>
  <c r="Y214" i="29"/>
  <c r="B209" i="29"/>
  <c r="G7" i="29"/>
  <c r="V214" i="29"/>
  <c r="F7" i="29"/>
  <c r="E7" i="29"/>
  <c r="AI83" i="29"/>
  <c r="AH82" i="29"/>
  <c r="AI82" i="29"/>
  <c r="C7" i="29"/>
  <c r="AH75" i="29"/>
  <c r="AH73" i="29"/>
  <c r="B7" i="29"/>
  <c r="AI75" i="29"/>
  <c r="AI73" i="29"/>
  <c r="G102" i="29"/>
  <c r="F103" i="29"/>
  <c r="E93" i="29"/>
  <c r="E235" i="29"/>
  <c r="G199" i="29"/>
  <c r="G194" i="29"/>
  <c r="F200" i="29"/>
  <c r="AH83" i="29"/>
  <c r="U7" i="28"/>
  <c r="J7" i="28"/>
  <c r="H7" i="28"/>
  <c r="C209" i="28"/>
  <c r="G7" i="28"/>
  <c r="Y214" i="28"/>
  <c r="B209" i="28"/>
  <c r="X214" i="28"/>
  <c r="D7" i="28"/>
  <c r="U214" i="28"/>
  <c r="AI73" i="28"/>
  <c r="AH73" i="28"/>
  <c r="E192" i="28"/>
  <c r="F102" i="28"/>
  <c r="D235" i="28"/>
  <c r="F199" i="28"/>
  <c r="F200" i="28" s="1"/>
  <c r="F109" i="28"/>
  <c r="E93" i="28"/>
  <c r="AI82" i="28"/>
  <c r="AH82" i="28"/>
  <c r="M103" i="28"/>
  <c r="G194" i="28"/>
  <c r="X7" i="27"/>
  <c r="K7" i="27"/>
  <c r="B209" i="27"/>
  <c r="C209" i="27"/>
  <c r="G7" i="27"/>
  <c r="E7" i="27"/>
  <c r="AI73" i="27"/>
  <c r="T214" i="27"/>
  <c r="AH75" i="27"/>
  <c r="B7" i="27"/>
  <c r="AI75" i="27"/>
  <c r="G194" i="27"/>
  <c r="F200" i="27"/>
  <c r="AH82" i="27"/>
  <c r="B83" i="27"/>
  <c r="AI82" i="27"/>
  <c r="E235" i="27"/>
  <c r="G199" i="27"/>
  <c r="F93" i="27"/>
  <c r="G103" i="27"/>
  <c r="E192" i="27"/>
  <c r="F102" i="27"/>
  <c r="U214" i="27"/>
  <c r="C7" i="27"/>
  <c r="AH73" i="27"/>
  <c r="AF82" i="26"/>
  <c r="AF73" i="26"/>
  <c r="AF75" i="26" s="1"/>
  <c r="AD73" i="26"/>
  <c r="AD75" i="26" s="1"/>
  <c r="AV214" i="26" s="1"/>
  <c r="AC73" i="26"/>
  <c r="AC75" i="26" s="1"/>
  <c r="AB73" i="26"/>
  <c r="AB75" i="26" s="1"/>
  <c r="Z73" i="26"/>
  <c r="Z75" i="26" s="1"/>
  <c r="AR214" i="26" s="1"/>
  <c r="Y73" i="26"/>
  <c r="Y75" i="26" s="1"/>
  <c r="W82" i="26"/>
  <c r="AE82" i="26"/>
  <c r="Y82" i="26"/>
  <c r="Y83" i="26" s="1"/>
  <c r="AG6" i="26"/>
  <c r="E199" i="26"/>
  <c r="AG75" i="26"/>
  <c r="AF83" i="26"/>
  <c r="AC82" i="26"/>
  <c r="AC83" i="26" s="1"/>
  <c r="AA73" i="26"/>
  <c r="AA75" i="26" s="1"/>
  <c r="X82" i="26"/>
  <c r="X73" i="26"/>
  <c r="X75" i="26" s="1"/>
  <c r="X83" i="26"/>
  <c r="V73" i="26"/>
  <c r="V75" i="26" s="1"/>
  <c r="AN214" i="26" s="1"/>
  <c r="U82" i="26"/>
  <c r="U83" i="26" s="1"/>
  <c r="U73" i="26"/>
  <c r="U75" i="26" s="1"/>
  <c r="T73" i="26"/>
  <c r="T75" i="26" s="1"/>
  <c r="S73" i="26"/>
  <c r="S75" i="26" s="1"/>
  <c r="R73" i="26"/>
  <c r="R75" i="26" s="1"/>
  <c r="AJ214" i="26" s="1"/>
  <c r="Q82" i="26"/>
  <c r="Q83" i="26" s="1"/>
  <c r="P83" i="26"/>
  <c r="P73" i="26"/>
  <c r="P75" i="26" s="1"/>
  <c r="O82" i="26"/>
  <c r="N73" i="26"/>
  <c r="N75" i="26" s="1"/>
  <c r="AF214" i="26" s="1"/>
  <c r="M82" i="26"/>
  <c r="M83" i="26" s="1"/>
  <c r="M73" i="26"/>
  <c r="M75" i="26" s="1"/>
  <c r="Q73" i="26"/>
  <c r="Q75" i="26" s="1"/>
  <c r="AI214" i="26" s="1"/>
  <c r="L73" i="26"/>
  <c r="L75" i="26" s="1"/>
  <c r="K73" i="26"/>
  <c r="K75" i="26" s="1"/>
  <c r="J73" i="26"/>
  <c r="J75" i="26" s="1"/>
  <c r="I82" i="26"/>
  <c r="I83" i="26"/>
  <c r="I73" i="26"/>
  <c r="I75" i="26" s="1"/>
  <c r="H82" i="26"/>
  <c r="H73" i="26"/>
  <c r="H75" i="26" s="1"/>
  <c r="H7" i="26" s="1"/>
  <c r="H83" i="26"/>
  <c r="AH79" i="26"/>
  <c r="F73" i="26"/>
  <c r="F75" i="26" s="1"/>
  <c r="X214" i="26" s="1"/>
  <c r="AI77" i="26"/>
  <c r="E82" i="26"/>
  <c r="E83" i="26" s="1"/>
  <c r="E73" i="26"/>
  <c r="E75" i="26" s="1"/>
  <c r="W214" i="26" s="1"/>
  <c r="G68" i="26"/>
  <c r="AI68" i="26" s="1"/>
  <c r="G82" i="26"/>
  <c r="D73" i="26"/>
  <c r="D75" i="26" s="1"/>
  <c r="D7" i="26" s="1"/>
  <c r="AH80" i="26"/>
  <c r="AI52" i="26"/>
  <c r="C73" i="26"/>
  <c r="C75" i="26" s="1"/>
  <c r="C7" i="26" s="1"/>
  <c r="B82" i="26"/>
  <c r="B83" i="26" s="1"/>
  <c r="B73" i="26"/>
  <c r="B75" i="26" s="1"/>
  <c r="AH86" i="26"/>
  <c r="AI86" i="26"/>
  <c r="AI56" i="26"/>
  <c r="AI80" i="26"/>
  <c r="AI84" i="26"/>
  <c r="AH84" i="26"/>
  <c r="H4" i="26"/>
  <c r="AH214" i="26"/>
  <c r="P7" i="26"/>
  <c r="AP214" i="26"/>
  <c r="X7" i="26"/>
  <c r="AX214" i="26"/>
  <c r="AF7" i="26"/>
  <c r="AE214" i="26"/>
  <c r="M7" i="26"/>
  <c r="AQ214" i="26"/>
  <c r="Y7" i="26"/>
  <c r="AU214" i="26"/>
  <c r="AC7" i="26"/>
  <c r="AD214" i="26"/>
  <c r="L7" i="26"/>
  <c r="AT214" i="26"/>
  <c r="AB7" i="26"/>
  <c r="AA214" i="26"/>
  <c r="I7" i="26"/>
  <c r="AL214" i="26"/>
  <c r="T7" i="26"/>
  <c r="AM214" i="26"/>
  <c r="U7" i="26"/>
  <c r="V214" i="26"/>
  <c r="V82" i="26"/>
  <c r="V83" i="26" s="1"/>
  <c r="AC214" i="26"/>
  <c r="K7" i="26"/>
  <c r="AK214" i="26"/>
  <c r="S7" i="26"/>
  <c r="AS214" i="26"/>
  <c r="AA7" i="26"/>
  <c r="AH56" i="26"/>
  <c r="B5" i="26"/>
  <c r="J5" i="26"/>
  <c r="R5" i="26"/>
  <c r="Z5" i="26"/>
  <c r="AG73" i="26"/>
  <c r="AG83" i="26" s="1"/>
  <c r="AE5" i="26"/>
  <c r="AI79" i="26"/>
  <c r="F82" i="26"/>
  <c r="F83" i="26" s="1"/>
  <c r="AH52" i="26"/>
  <c r="AH77" i="26"/>
  <c r="AI78" i="26"/>
  <c r="AI38" i="26"/>
  <c r="N82" i="26"/>
  <c r="N83" i="26" s="1"/>
  <c r="R7" i="26"/>
  <c r="O5" i="26"/>
  <c r="AI76" i="26"/>
  <c r="J82" i="26"/>
  <c r="J83" i="26" s="1"/>
  <c r="R82" i="26"/>
  <c r="R83" i="26" s="1"/>
  <c r="Z82" i="26"/>
  <c r="Z83" i="26" s="1"/>
  <c r="AD82" i="26"/>
  <c r="AD83" i="26" s="1"/>
  <c r="W5" i="26"/>
  <c r="AA5" i="26"/>
  <c r="F7" i="26"/>
  <c r="O73" i="26"/>
  <c r="O75" i="26" s="1"/>
  <c r="W73" i="26"/>
  <c r="W75" i="26" s="1"/>
  <c r="AE73" i="26"/>
  <c r="AE75" i="26" s="1"/>
  <c r="N5" i="26"/>
  <c r="O83" i="26"/>
  <c r="V5" i="26"/>
  <c r="W83" i="26"/>
  <c r="AD5" i="26"/>
  <c r="AE83" i="26"/>
  <c r="C82" i="26"/>
  <c r="C83" i="26" s="1"/>
  <c r="K82" i="26"/>
  <c r="K83" i="26" s="1"/>
  <c r="S82" i="26"/>
  <c r="S83" i="26" s="1"/>
  <c r="AA82" i="26"/>
  <c r="AA83" i="26" s="1"/>
  <c r="D82" i="26"/>
  <c r="D83" i="26" s="1"/>
  <c r="AH78" i="26"/>
  <c r="L82" i="26"/>
  <c r="L83" i="26" s="1"/>
  <c r="T82" i="26"/>
  <c r="T83" i="26" s="1"/>
  <c r="AB82" i="26"/>
  <c r="AB83" i="26" s="1"/>
  <c r="D93" i="26"/>
  <c r="F103" i="26"/>
  <c r="E93" i="26"/>
  <c r="D211" i="26"/>
  <c r="S211" i="26"/>
  <c r="AH76" i="26"/>
  <c r="D192" i="26"/>
  <c r="E102" i="26"/>
  <c r="AH38" i="26"/>
  <c r="E200" i="26"/>
  <c r="G194" i="26"/>
  <c r="D200" i="26"/>
  <c r="AE235" i="35" l="1"/>
  <c r="B199" i="35"/>
  <c r="AF235" i="35" s="1"/>
  <c r="AF192" i="35"/>
  <c r="B102" i="35"/>
  <c r="B192" i="35" s="1"/>
  <c r="AF93" i="35"/>
  <c r="B200" i="35"/>
  <c r="B93" i="35"/>
  <c r="AF200" i="35"/>
  <c r="Y200" i="34"/>
  <c r="Z194" i="34"/>
  <c r="Y93" i="34"/>
  <c r="Y192" i="34"/>
  <c r="Z102" i="34"/>
  <c r="AB103" i="34"/>
  <c r="Z235" i="34"/>
  <c r="AB199" i="34"/>
  <c r="I192" i="33"/>
  <c r="J102" i="33"/>
  <c r="L103" i="33"/>
  <c r="I199" i="33"/>
  <c r="G235" i="33"/>
  <c r="H200" i="33"/>
  <c r="J109" i="33"/>
  <c r="I93" i="33"/>
  <c r="K194" i="33"/>
  <c r="K6" i="32"/>
  <c r="AI83" i="32"/>
  <c r="AH83" i="32"/>
  <c r="G194" i="32"/>
  <c r="F200" i="32"/>
  <c r="F93" i="32"/>
  <c r="G192" i="32"/>
  <c r="H102" i="32"/>
  <c r="G235" i="32"/>
  <c r="I199" i="32"/>
  <c r="T214" i="32"/>
  <c r="AI75" i="32"/>
  <c r="AH75" i="32"/>
  <c r="B7" i="32"/>
  <c r="A7" i="32" s="1"/>
  <c r="I115" i="32"/>
  <c r="M103" i="32"/>
  <c r="U214" i="31"/>
  <c r="C7" i="31"/>
  <c r="A7" i="31" s="1"/>
  <c r="AH75" i="31"/>
  <c r="I103" i="31"/>
  <c r="AI75" i="31"/>
  <c r="F192" i="31"/>
  <c r="G102" i="31"/>
  <c r="AH83" i="31"/>
  <c r="AI83" i="31"/>
  <c r="G194" i="31"/>
  <c r="F200" i="31"/>
  <c r="F93" i="31"/>
  <c r="F235" i="31"/>
  <c r="H199" i="31"/>
  <c r="K6" i="31"/>
  <c r="K6" i="30"/>
  <c r="A7" i="30"/>
  <c r="G199" i="30"/>
  <c r="E235" i="30"/>
  <c r="F200" i="30"/>
  <c r="I194" i="30"/>
  <c r="F93" i="30"/>
  <c r="G103" i="30"/>
  <c r="F192" i="30"/>
  <c r="G102" i="30"/>
  <c r="K6" i="29"/>
  <c r="A7" i="29"/>
  <c r="G103" i="29"/>
  <c r="F93" i="29"/>
  <c r="G192" i="29"/>
  <c r="H102" i="29"/>
  <c r="H194" i="29"/>
  <c r="G200" i="29"/>
  <c r="F192" i="29"/>
  <c r="F235" i="29"/>
  <c r="H199" i="29"/>
  <c r="K6" i="28"/>
  <c r="G109" i="28"/>
  <c r="F93" i="28"/>
  <c r="G199" i="28"/>
  <c r="E235" i="28"/>
  <c r="H194" i="28"/>
  <c r="G200" i="28"/>
  <c r="N103" i="28"/>
  <c r="F192" i="28"/>
  <c r="G102" i="28"/>
  <c r="AH83" i="28"/>
  <c r="AI83" i="28"/>
  <c r="T214" i="28"/>
  <c r="B7" i="28"/>
  <c r="A7" i="28" s="1"/>
  <c r="AI75" i="28"/>
  <c r="AH75" i="28"/>
  <c r="K6" i="27"/>
  <c r="H103" i="27"/>
  <c r="G93" i="27"/>
  <c r="F235" i="27"/>
  <c r="H199" i="27"/>
  <c r="G200" i="27"/>
  <c r="H194" i="27"/>
  <c r="A7" i="27"/>
  <c r="AH83" i="27"/>
  <c r="AI83" i="27"/>
  <c r="F192" i="27"/>
  <c r="G102" i="27"/>
  <c r="AD7" i="26"/>
  <c r="Z7" i="26"/>
  <c r="Z214" i="26"/>
  <c r="D235" i="26"/>
  <c r="F199" i="26"/>
  <c r="V7" i="26"/>
  <c r="Q7" i="26"/>
  <c r="N7" i="26"/>
  <c r="AB214" i="26"/>
  <c r="J7" i="26"/>
  <c r="E7" i="26"/>
  <c r="G73" i="26"/>
  <c r="G75" i="26" s="1"/>
  <c r="Y214" i="26" s="1"/>
  <c r="AH68" i="26"/>
  <c r="G83" i="26"/>
  <c r="F5" i="26"/>
  <c r="U214" i="26"/>
  <c r="AI85" i="26"/>
  <c r="AH85" i="26"/>
  <c r="AI82" i="26"/>
  <c r="AH82" i="26"/>
  <c r="AW214" i="26"/>
  <c r="AE7" i="26"/>
  <c r="AO214" i="26"/>
  <c r="W7" i="26"/>
  <c r="AG214" i="26"/>
  <c r="O7" i="26"/>
  <c r="AI73" i="26"/>
  <c r="AH73" i="26"/>
  <c r="G103" i="26"/>
  <c r="F93" i="26"/>
  <c r="E192" i="26"/>
  <c r="F102" i="26"/>
  <c r="H194" i="26"/>
  <c r="AH93" i="35" l="1"/>
  <c r="AI93" i="35"/>
  <c r="AC103" i="34"/>
  <c r="Z192" i="34"/>
  <c r="AA102" i="34"/>
  <c r="Z200" i="34"/>
  <c r="AA194" i="34"/>
  <c r="Z93" i="34"/>
  <c r="AA235" i="34"/>
  <c r="AC199" i="34"/>
  <c r="J199" i="33"/>
  <c r="H235" i="33"/>
  <c r="I200" i="33"/>
  <c r="M103" i="33"/>
  <c r="L194" i="33"/>
  <c r="J192" i="33"/>
  <c r="K102" i="33"/>
  <c r="K109" i="33"/>
  <c r="J93" i="33"/>
  <c r="J115" i="32"/>
  <c r="H194" i="32"/>
  <c r="G200" i="32"/>
  <c r="G93" i="32"/>
  <c r="H235" i="32"/>
  <c r="J199" i="32"/>
  <c r="N103" i="32"/>
  <c r="H192" i="32"/>
  <c r="I102" i="32"/>
  <c r="G235" i="31"/>
  <c r="I199" i="31"/>
  <c r="J103" i="31"/>
  <c r="H194" i="31"/>
  <c r="G200" i="31"/>
  <c r="G93" i="31"/>
  <c r="G192" i="31"/>
  <c r="H102" i="31"/>
  <c r="H103" i="30"/>
  <c r="G93" i="30"/>
  <c r="J194" i="30"/>
  <c r="G192" i="30"/>
  <c r="H102" i="30"/>
  <c r="H199" i="30"/>
  <c r="F235" i="30"/>
  <c r="G200" i="30"/>
  <c r="H200" i="29"/>
  <c r="I194" i="29"/>
  <c r="I102" i="29"/>
  <c r="G235" i="29"/>
  <c r="I199" i="29"/>
  <c r="G93" i="29"/>
  <c r="H103" i="29"/>
  <c r="O103" i="28"/>
  <c r="I194" i="28"/>
  <c r="F235" i="28"/>
  <c r="H199" i="28"/>
  <c r="G192" i="28"/>
  <c r="H102" i="28"/>
  <c r="H109" i="28"/>
  <c r="G93" i="28"/>
  <c r="G235" i="27"/>
  <c r="I199" i="27"/>
  <c r="G192" i="27"/>
  <c r="H102" i="27"/>
  <c r="H200" i="27"/>
  <c r="I194" i="27"/>
  <c r="I103" i="27"/>
  <c r="H93" i="27"/>
  <c r="E235" i="26"/>
  <c r="G199" i="26"/>
  <c r="F200" i="26"/>
  <c r="G7" i="26"/>
  <c r="B209" i="26"/>
  <c r="K6" i="26" s="1"/>
  <c r="C209" i="26"/>
  <c r="F192" i="26"/>
  <c r="G102" i="26"/>
  <c r="H103" i="26"/>
  <c r="G93" i="26"/>
  <c r="T214" i="26"/>
  <c r="AI75" i="26"/>
  <c r="AH75" i="26"/>
  <c r="B7" i="26"/>
  <c r="AH83" i="26"/>
  <c r="AI83" i="26"/>
  <c r="I194" i="26"/>
  <c r="AB95" i="25"/>
  <c r="AB37" i="25"/>
  <c r="AA95" i="25"/>
  <c r="AA37" i="25"/>
  <c r="Z37" i="25"/>
  <c r="Y95" i="25"/>
  <c r="Y37" i="25"/>
  <c r="X95" i="25"/>
  <c r="X37" i="25"/>
  <c r="W95" i="25"/>
  <c r="W37" i="25"/>
  <c r="V95" i="25"/>
  <c r="V37" i="25"/>
  <c r="U95" i="25"/>
  <c r="U37" i="25"/>
  <c r="T38" i="25"/>
  <c r="T95" i="25"/>
  <c r="T37" i="25"/>
  <c r="S95" i="25"/>
  <c r="S37" i="25"/>
  <c r="R95" i="25"/>
  <c r="R37" i="25"/>
  <c r="Q95" i="25"/>
  <c r="Q37" i="25"/>
  <c r="O95" i="25"/>
  <c r="O37" i="25"/>
  <c r="N95" i="25"/>
  <c r="N37" i="25"/>
  <c r="M37" i="25"/>
  <c r="L37" i="25"/>
  <c r="K37" i="25"/>
  <c r="J37" i="25"/>
  <c r="I37" i="25"/>
  <c r="AA200" i="34" l="1"/>
  <c r="AB194" i="34"/>
  <c r="AA93" i="34"/>
  <c r="AA192" i="34"/>
  <c r="AB102" i="34"/>
  <c r="AB235" i="34"/>
  <c r="AD199" i="34"/>
  <c r="AD103" i="34"/>
  <c r="M194" i="33"/>
  <c r="N103" i="33"/>
  <c r="L109" i="33"/>
  <c r="K93" i="33"/>
  <c r="K192" i="33"/>
  <c r="L102" i="33"/>
  <c r="K199" i="33"/>
  <c r="I235" i="33"/>
  <c r="J200" i="33"/>
  <c r="I235" i="32"/>
  <c r="K199" i="32"/>
  <c r="I192" i="32"/>
  <c r="J102" i="32"/>
  <c r="I194" i="32"/>
  <c r="H200" i="32"/>
  <c r="H93" i="32"/>
  <c r="K115" i="32"/>
  <c r="O103" i="32"/>
  <c r="I194" i="31"/>
  <c r="H200" i="31"/>
  <c r="H93" i="31"/>
  <c r="K103" i="31"/>
  <c r="H192" i="31"/>
  <c r="I102" i="31"/>
  <c r="H235" i="31"/>
  <c r="J199" i="31"/>
  <c r="H192" i="30"/>
  <c r="I102" i="30"/>
  <c r="K194" i="30"/>
  <c r="H93" i="30"/>
  <c r="I103" i="30"/>
  <c r="G235" i="30"/>
  <c r="I199" i="30"/>
  <c r="H200" i="30"/>
  <c r="I103" i="29"/>
  <c r="H93" i="29"/>
  <c r="H235" i="29"/>
  <c r="J199" i="29"/>
  <c r="I192" i="29"/>
  <c r="J102" i="29"/>
  <c r="H192" i="29"/>
  <c r="J194" i="29"/>
  <c r="I200" i="29"/>
  <c r="G235" i="28"/>
  <c r="I199" i="28"/>
  <c r="J194" i="28"/>
  <c r="I200" i="28"/>
  <c r="H200" i="28"/>
  <c r="I109" i="28"/>
  <c r="H93" i="28"/>
  <c r="P103" i="28"/>
  <c r="H192" i="28"/>
  <c r="I102" i="28"/>
  <c r="J103" i="27"/>
  <c r="I93" i="27"/>
  <c r="J194" i="27"/>
  <c r="I200" i="27"/>
  <c r="H192" i="27"/>
  <c r="I102" i="27"/>
  <c r="H235" i="27"/>
  <c r="J199" i="27"/>
  <c r="G200" i="26"/>
  <c r="H199" i="26"/>
  <c r="F235" i="26"/>
  <c r="A7" i="26"/>
  <c r="J194" i="26"/>
  <c r="H93" i="26"/>
  <c r="I103" i="26"/>
  <c r="G192" i="26"/>
  <c r="H102" i="26"/>
  <c r="AE103" i="34" l="1"/>
  <c r="AC235" i="34"/>
  <c r="AE199" i="34"/>
  <c r="AB192" i="34"/>
  <c r="AC102" i="34"/>
  <c r="AB200" i="34"/>
  <c r="AC194" i="34"/>
  <c r="AB93" i="34"/>
  <c r="M109" i="33"/>
  <c r="L192" i="33"/>
  <c r="M102" i="33"/>
  <c r="O103" i="33"/>
  <c r="J235" i="33"/>
  <c r="L199" i="33"/>
  <c r="K200" i="33"/>
  <c r="N194" i="33"/>
  <c r="J194" i="32"/>
  <c r="I200" i="32"/>
  <c r="I93" i="32"/>
  <c r="J192" i="32"/>
  <c r="K102" i="32"/>
  <c r="P103" i="32"/>
  <c r="J235" i="32"/>
  <c r="L199" i="32"/>
  <c r="L115" i="32"/>
  <c r="I192" i="31"/>
  <c r="J102" i="31"/>
  <c r="L103" i="31"/>
  <c r="I235" i="31"/>
  <c r="K199" i="31"/>
  <c r="J194" i="31"/>
  <c r="I200" i="31"/>
  <c r="I93" i="31"/>
  <c r="J103" i="30"/>
  <c r="I93" i="30"/>
  <c r="L194" i="30"/>
  <c r="I192" i="30"/>
  <c r="J102" i="30"/>
  <c r="H235" i="30"/>
  <c r="J199" i="30"/>
  <c r="I200" i="30"/>
  <c r="K102" i="29"/>
  <c r="K199" i="29"/>
  <c r="I235" i="29"/>
  <c r="J200" i="29"/>
  <c r="K194" i="29"/>
  <c r="I93" i="29"/>
  <c r="J103" i="29"/>
  <c r="J109" i="28"/>
  <c r="I93" i="28"/>
  <c r="I192" i="28"/>
  <c r="J102" i="28"/>
  <c r="J200" i="28"/>
  <c r="K194" i="28"/>
  <c r="H235" i="28"/>
  <c r="J199" i="28"/>
  <c r="Q103" i="28"/>
  <c r="K199" i="27"/>
  <c r="I235" i="27"/>
  <c r="I192" i="27"/>
  <c r="J102" i="27"/>
  <c r="J200" i="27"/>
  <c r="K194" i="27"/>
  <c r="J93" i="27"/>
  <c r="K103" i="27"/>
  <c r="G235" i="26"/>
  <c r="I199" i="26"/>
  <c r="H200" i="26"/>
  <c r="J103" i="26"/>
  <c r="I93" i="26"/>
  <c r="K194" i="26"/>
  <c r="H192" i="26"/>
  <c r="I102" i="26"/>
  <c r="AC200" i="34" l="1"/>
  <c r="AD194" i="34"/>
  <c r="AC93" i="34"/>
  <c r="AC192" i="34"/>
  <c r="AD102" i="34"/>
  <c r="AD235" i="34"/>
  <c r="AF199" i="34"/>
  <c r="AF103" i="34"/>
  <c r="K235" i="33"/>
  <c r="M199" i="33"/>
  <c r="L200" i="33"/>
  <c r="P103" i="33"/>
  <c r="M192" i="33"/>
  <c r="N102" i="33"/>
  <c r="O194" i="33"/>
  <c r="L93" i="33"/>
  <c r="N109" i="33"/>
  <c r="M93" i="33"/>
  <c r="Q103" i="32"/>
  <c r="K192" i="32"/>
  <c r="L102" i="32"/>
  <c r="M115" i="32"/>
  <c r="M199" i="32"/>
  <c r="K235" i="32"/>
  <c r="J200" i="32"/>
  <c r="K194" i="32"/>
  <c r="J93" i="32"/>
  <c r="J200" i="31"/>
  <c r="K194" i="31"/>
  <c r="J93" i="31"/>
  <c r="J235" i="31"/>
  <c r="L199" i="31"/>
  <c r="M103" i="31"/>
  <c r="J192" i="31"/>
  <c r="K102" i="31"/>
  <c r="I235" i="30"/>
  <c r="K199" i="30"/>
  <c r="J200" i="30"/>
  <c r="J192" i="30"/>
  <c r="K102" i="30"/>
  <c r="M194" i="30"/>
  <c r="J93" i="30"/>
  <c r="K103" i="30"/>
  <c r="K200" i="29"/>
  <c r="L194" i="29"/>
  <c r="J235" i="29"/>
  <c r="L199" i="29"/>
  <c r="L102" i="29"/>
  <c r="K103" i="29"/>
  <c r="K192" i="29" s="1"/>
  <c r="J93" i="29"/>
  <c r="J192" i="29"/>
  <c r="L194" i="28"/>
  <c r="J192" i="28"/>
  <c r="K102" i="28"/>
  <c r="R103" i="28"/>
  <c r="K109" i="28"/>
  <c r="J93" i="28"/>
  <c r="I235" i="28"/>
  <c r="K199" i="28"/>
  <c r="L194" i="27"/>
  <c r="K200" i="27"/>
  <c r="J192" i="27"/>
  <c r="K102" i="27"/>
  <c r="K93" i="27"/>
  <c r="L103" i="27"/>
  <c r="L199" i="27"/>
  <c r="J235" i="27"/>
  <c r="J199" i="26"/>
  <c r="H235" i="26"/>
  <c r="I200" i="26"/>
  <c r="I192" i="26"/>
  <c r="J102" i="26"/>
  <c r="L194" i="26"/>
  <c r="K103" i="26"/>
  <c r="J93" i="26"/>
  <c r="AD192" i="34" l="1"/>
  <c r="AE102" i="34"/>
  <c r="AE235" i="34"/>
  <c r="B199" i="34"/>
  <c r="AF235" i="34" s="1"/>
  <c r="AE194" i="34"/>
  <c r="AD200" i="34"/>
  <c r="AD93" i="34"/>
  <c r="B103" i="34"/>
  <c r="P194" i="33"/>
  <c r="N192" i="33"/>
  <c r="O102" i="33"/>
  <c r="Q103" i="33"/>
  <c r="O109" i="33"/>
  <c r="N93" i="33"/>
  <c r="L235" i="33"/>
  <c r="N199" i="33"/>
  <c r="M200" i="33"/>
  <c r="N199" i="32"/>
  <c r="L235" i="32"/>
  <c r="N115" i="32"/>
  <c r="L192" i="32"/>
  <c r="M102" i="32"/>
  <c r="K200" i="32"/>
  <c r="L194" i="32"/>
  <c r="K93" i="32"/>
  <c r="R103" i="32"/>
  <c r="K235" i="31"/>
  <c r="M199" i="31"/>
  <c r="N103" i="31"/>
  <c r="K200" i="31"/>
  <c r="L194" i="31"/>
  <c r="K93" i="31"/>
  <c r="K192" i="31"/>
  <c r="L102" i="31"/>
  <c r="N194" i="30"/>
  <c r="K192" i="30"/>
  <c r="L102" i="30"/>
  <c r="J235" i="30"/>
  <c r="L199" i="30"/>
  <c r="K200" i="30"/>
  <c r="K93" i="30"/>
  <c r="L103" i="30"/>
  <c r="K235" i="29"/>
  <c r="M199" i="29"/>
  <c r="M102" i="29"/>
  <c r="K93" i="29"/>
  <c r="L103" i="29"/>
  <c r="L200" i="29"/>
  <c r="M194" i="29"/>
  <c r="S103" i="28"/>
  <c r="L109" i="28"/>
  <c r="K93" i="28"/>
  <c r="K192" i="28"/>
  <c r="L102" i="28"/>
  <c r="L199" i="28"/>
  <c r="J235" i="28"/>
  <c r="M194" i="28"/>
  <c r="K200" i="28"/>
  <c r="L93" i="27"/>
  <c r="M103" i="27"/>
  <c r="K235" i="27"/>
  <c r="M199" i="27"/>
  <c r="K192" i="27"/>
  <c r="L102" i="27"/>
  <c r="L200" i="27"/>
  <c r="M194" i="27"/>
  <c r="I235" i="26"/>
  <c r="K199" i="26"/>
  <c r="J200" i="26"/>
  <c r="L103" i="26"/>
  <c r="K93" i="26"/>
  <c r="J192" i="26"/>
  <c r="K102" i="26"/>
  <c r="M194" i="26"/>
  <c r="AF194" i="34" l="1"/>
  <c r="AE200" i="34"/>
  <c r="AE93" i="34"/>
  <c r="AE192" i="34"/>
  <c r="AF102" i="34"/>
  <c r="P109" i="33"/>
  <c r="O192" i="33"/>
  <c r="P102" i="33"/>
  <c r="R103" i="33"/>
  <c r="O199" i="33"/>
  <c r="M235" i="33"/>
  <c r="N200" i="33"/>
  <c r="Q194" i="33"/>
  <c r="L200" i="32"/>
  <c r="M194" i="32"/>
  <c r="L93" i="32"/>
  <c r="M192" i="32"/>
  <c r="N102" i="32"/>
  <c r="S103" i="32"/>
  <c r="O115" i="32"/>
  <c r="O199" i="32"/>
  <c r="M235" i="32"/>
  <c r="M194" i="31"/>
  <c r="L200" i="31"/>
  <c r="L93" i="31"/>
  <c r="O103" i="31"/>
  <c r="L235" i="31"/>
  <c r="N199" i="31"/>
  <c r="L192" i="31"/>
  <c r="M102" i="31"/>
  <c r="M199" i="30"/>
  <c r="K235" i="30"/>
  <c r="L200" i="30"/>
  <c r="L192" i="30"/>
  <c r="M102" i="30"/>
  <c r="O194" i="30"/>
  <c r="L93" i="30"/>
  <c r="M103" i="30"/>
  <c r="M103" i="29"/>
  <c r="L93" i="29"/>
  <c r="M200" i="29"/>
  <c r="N194" i="29"/>
  <c r="M192" i="29"/>
  <c r="N102" i="29"/>
  <c r="N199" i="29"/>
  <c r="L235" i="29"/>
  <c r="L192" i="29"/>
  <c r="M199" i="28"/>
  <c r="K235" i="28"/>
  <c r="M109" i="28"/>
  <c r="L93" i="28"/>
  <c r="M200" i="28"/>
  <c r="N194" i="28"/>
  <c r="T103" i="28"/>
  <c r="L192" i="28"/>
  <c r="M102" i="28"/>
  <c r="L200" i="28"/>
  <c r="L192" i="27"/>
  <c r="M102" i="27"/>
  <c r="N199" i="27"/>
  <c r="L235" i="27"/>
  <c r="N103" i="27"/>
  <c r="M93" i="27"/>
  <c r="M200" i="27"/>
  <c r="N194" i="27"/>
  <c r="J235" i="26"/>
  <c r="L199" i="26"/>
  <c r="K200" i="26"/>
  <c r="N194" i="26"/>
  <c r="K192" i="26"/>
  <c r="L102" i="26"/>
  <c r="M103" i="26"/>
  <c r="L93" i="26"/>
  <c r="AF192" i="34" l="1"/>
  <c r="B102" i="34"/>
  <c r="B192" i="34" s="1"/>
  <c r="B194" i="34"/>
  <c r="AF200" i="34"/>
  <c r="AF93" i="34"/>
  <c r="S103" i="33"/>
  <c r="P192" i="33"/>
  <c r="Q102" i="33"/>
  <c r="N235" i="33"/>
  <c r="P199" i="33"/>
  <c r="P93" i="33" s="1"/>
  <c r="O200" i="33"/>
  <c r="R194" i="33"/>
  <c r="O93" i="33"/>
  <c r="Q109" i="33"/>
  <c r="T103" i="32"/>
  <c r="N192" i="32"/>
  <c r="O102" i="32"/>
  <c r="P115" i="32"/>
  <c r="N235" i="32"/>
  <c r="P199" i="32"/>
  <c r="M200" i="32"/>
  <c r="N194" i="32"/>
  <c r="M93" i="32"/>
  <c r="P103" i="31"/>
  <c r="M235" i="31"/>
  <c r="O199" i="31"/>
  <c r="M192" i="31"/>
  <c r="N102" i="31"/>
  <c r="M200" i="31"/>
  <c r="N194" i="31"/>
  <c r="M93" i="31"/>
  <c r="P194" i="30"/>
  <c r="M192" i="30"/>
  <c r="N102" i="30"/>
  <c r="M93" i="30"/>
  <c r="N103" i="30"/>
  <c r="L235" i="30"/>
  <c r="N199" i="30"/>
  <c r="M200" i="30"/>
  <c r="O199" i="29"/>
  <c r="M235" i="29"/>
  <c r="O194" i="29"/>
  <c r="N200" i="29"/>
  <c r="O102" i="29"/>
  <c r="M93" i="29"/>
  <c r="N103" i="29"/>
  <c r="N109" i="28"/>
  <c r="M93" i="28"/>
  <c r="U103" i="28"/>
  <c r="O194" i="28"/>
  <c r="N200" i="28"/>
  <c r="M192" i="28"/>
  <c r="N102" i="28"/>
  <c r="N199" i="28"/>
  <c r="L235" i="28"/>
  <c r="O194" i="27"/>
  <c r="N200" i="27"/>
  <c r="M192" i="27"/>
  <c r="N102" i="27"/>
  <c r="O103" i="27"/>
  <c r="N93" i="27"/>
  <c r="O199" i="27"/>
  <c r="M235" i="27"/>
  <c r="M199" i="26"/>
  <c r="L200" i="26"/>
  <c r="K235" i="26"/>
  <c r="N103" i="26"/>
  <c r="M93" i="26"/>
  <c r="L192" i="26"/>
  <c r="M102" i="26"/>
  <c r="O194" i="26"/>
  <c r="AH93" i="34" l="1"/>
  <c r="AI93" i="34"/>
  <c r="B200" i="34"/>
  <c r="B93" i="34"/>
  <c r="S194" i="33"/>
  <c r="Q192" i="33"/>
  <c r="R102" i="33"/>
  <c r="T103" i="33"/>
  <c r="Q199" i="33"/>
  <c r="Q93" i="33" s="1"/>
  <c r="O235" i="33"/>
  <c r="P200" i="33"/>
  <c r="R109" i="33"/>
  <c r="O235" i="32"/>
  <c r="Q199" i="32"/>
  <c r="O192" i="32"/>
  <c r="P102" i="32"/>
  <c r="Q115" i="32"/>
  <c r="O194" i="32"/>
  <c r="N200" i="32"/>
  <c r="N93" i="32"/>
  <c r="U103" i="32"/>
  <c r="N235" i="31"/>
  <c r="P199" i="31"/>
  <c r="O194" i="31"/>
  <c r="N200" i="31"/>
  <c r="N93" i="31"/>
  <c r="N192" i="31"/>
  <c r="O102" i="31"/>
  <c r="Q103" i="31"/>
  <c r="M235" i="30"/>
  <c r="O199" i="30"/>
  <c r="N200" i="30"/>
  <c r="N93" i="30"/>
  <c r="O103" i="30"/>
  <c r="N192" i="30"/>
  <c r="O102" i="30"/>
  <c r="Q194" i="30"/>
  <c r="N93" i="29"/>
  <c r="O103" i="29"/>
  <c r="O192" i="29"/>
  <c r="P102" i="29"/>
  <c r="N192" i="29"/>
  <c r="P194" i="29"/>
  <c r="O200" i="29"/>
  <c r="N235" i="29"/>
  <c r="P199" i="29"/>
  <c r="N192" i="28"/>
  <c r="O102" i="28"/>
  <c r="P194" i="28"/>
  <c r="V103" i="28"/>
  <c r="M235" i="28"/>
  <c r="O199" i="28"/>
  <c r="O109" i="28"/>
  <c r="N93" i="28"/>
  <c r="N235" i="27"/>
  <c r="P199" i="27"/>
  <c r="O93" i="27"/>
  <c r="P103" i="27"/>
  <c r="N192" i="27"/>
  <c r="O102" i="27"/>
  <c r="P194" i="27"/>
  <c r="O200" i="27"/>
  <c r="N199" i="26"/>
  <c r="M200" i="26"/>
  <c r="L235" i="26"/>
  <c r="M192" i="26"/>
  <c r="N102" i="26"/>
  <c r="P194" i="26"/>
  <c r="O103" i="26"/>
  <c r="N93" i="26"/>
  <c r="U103" i="33" l="1"/>
  <c r="R192" i="33"/>
  <c r="S102" i="33"/>
  <c r="S109" i="33"/>
  <c r="R93" i="33"/>
  <c r="T194" i="33"/>
  <c r="R199" i="33"/>
  <c r="P235" i="33"/>
  <c r="Q200" i="33"/>
  <c r="P194" i="32"/>
  <c r="O200" i="32"/>
  <c r="O93" i="32"/>
  <c r="P192" i="32"/>
  <c r="Q102" i="32"/>
  <c r="R115" i="32"/>
  <c r="V103" i="32"/>
  <c r="P235" i="32"/>
  <c r="R199" i="32"/>
  <c r="P194" i="31"/>
  <c r="O200" i="31"/>
  <c r="O93" i="31"/>
  <c r="O235" i="31"/>
  <c r="Q199" i="31"/>
  <c r="O192" i="31"/>
  <c r="P102" i="31"/>
  <c r="R103" i="31"/>
  <c r="O192" i="30"/>
  <c r="P102" i="30"/>
  <c r="P103" i="30"/>
  <c r="O93" i="30"/>
  <c r="N235" i="30"/>
  <c r="P199" i="30"/>
  <c r="O200" i="30"/>
  <c r="R194" i="30"/>
  <c r="P200" i="29"/>
  <c r="Q194" i="29"/>
  <c r="Q102" i="29"/>
  <c r="O93" i="29"/>
  <c r="P103" i="29"/>
  <c r="O235" i="29"/>
  <c r="Q199" i="29"/>
  <c r="N235" i="28"/>
  <c r="P199" i="28"/>
  <c r="W103" i="28"/>
  <c r="O192" i="28"/>
  <c r="P102" i="28"/>
  <c r="O200" i="28"/>
  <c r="Q194" i="28"/>
  <c r="P109" i="28"/>
  <c r="O93" i="28"/>
  <c r="P200" i="27"/>
  <c r="Q194" i="27"/>
  <c r="O192" i="27"/>
  <c r="P102" i="27"/>
  <c r="O235" i="27"/>
  <c r="Q199" i="27"/>
  <c r="Q103" i="27"/>
  <c r="P93" i="27"/>
  <c r="N200" i="26"/>
  <c r="O199" i="26"/>
  <c r="M235" i="26"/>
  <c r="N192" i="26"/>
  <c r="O102" i="26"/>
  <c r="O93" i="26"/>
  <c r="P103" i="26"/>
  <c r="Q194" i="26"/>
  <c r="S192" i="33" l="1"/>
  <c r="T102" i="33"/>
  <c r="T109" i="33"/>
  <c r="U194" i="33"/>
  <c r="S199" i="33"/>
  <c r="S93" i="33" s="1"/>
  <c r="Q235" i="33"/>
  <c r="R200" i="33"/>
  <c r="V103" i="33"/>
  <c r="W103" i="32"/>
  <c r="Q192" i="32"/>
  <c r="R102" i="32"/>
  <c r="S115" i="32"/>
  <c r="Q235" i="32"/>
  <c r="S199" i="32"/>
  <c r="P200" i="32"/>
  <c r="Q194" i="32"/>
  <c r="P93" i="32"/>
  <c r="P192" i="31"/>
  <c r="Q102" i="31"/>
  <c r="P235" i="31"/>
  <c r="R199" i="31"/>
  <c r="S103" i="31"/>
  <c r="P200" i="31"/>
  <c r="Q194" i="31"/>
  <c r="P93" i="31"/>
  <c r="O235" i="30"/>
  <c r="Q199" i="30"/>
  <c r="P200" i="30"/>
  <c r="Q103" i="30"/>
  <c r="P93" i="30"/>
  <c r="P192" i="30"/>
  <c r="Q102" i="30"/>
  <c r="S194" i="30"/>
  <c r="P235" i="29"/>
  <c r="R199" i="29"/>
  <c r="R102" i="29"/>
  <c r="R194" i="29"/>
  <c r="Q200" i="29"/>
  <c r="Q103" i="29"/>
  <c r="P93" i="29"/>
  <c r="P192" i="29"/>
  <c r="R194" i="28"/>
  <c r="P192" i="28"/>
  <c r="Q102" i="28"/>
  <c r="Q109" i="28"/>
  <c r="P93" i="28"/>
  <c r="O235" i="28"/>
  <c r="Q199" i="28"/>
  <c r="X103" i="28"/>
  <c r="P200" i="28"/>
  <c r="R103" i="27"/>
  <c r="Q93" i="27"/>
  <c r="R199" i="27"/>
  <c r="P235" i="27"/>
  <c r="P192" i="27"/>
  <c r="Q102" i="27"/>
  <c r="Q200" i="27"/>
  <c r="R194" i="27"/>
  <c r="N235" i="26"/>
  <c r="O200" i="26"/>
  <c r="P199" i="26"/>
  <c r="R194" i="26"/>
  <c r="P93" i="26"/>
  <c r="Q103" i="26"/>
  <c r="O192" i="26"/>
  <c r="P102" i="26"/>
  <c r="T199" i="33" l="1"/>
  <c r="R235" i="33"/>
  <c r="S200" i="33"/>
  <c r="W103" i="33"/>
  <c r="U109" i="33"/>
  <c r="T93" i="33"/>
  <c r="T192" i="33"/>
  <c r="U102" i="33"/>
  <c r="V194" i="33"/>
  <c r="T115" i="32"/>
  <c r="R192" i="32"/>
  <c r="S102" i="32"/>
  <c r="R235" i="32"/>
  <c r="T199" i="32"/>
  <c r="Q200" i="32"/>
  <c r="R194" i="32"/>
  <c r="Q93" i="32"/>
  <c r="X103" i="32"/>
  <c r="R194" i="31"/>
  <c r="Q200" i="31"/>
  <c r="Q93" i="31"/>
  <c r="T103" i="31"/>
  <c r="Q235" i="31"/>
  <c r="S199" i="31"/>
  <c r="Q192" i="31"/>
  <c r="R102" i="31"/>
  <c r="P235" i="30"/>
  <c r="R199" i="30"/>
  <c r="Q200" i="30"/>
  <c r="T194" i="30"/>
  <c r="Q192" i="30"/>
  <c r="R102" i="30"/>
  <c r="R103" i="30"/>
  <c r="Q93" i="29"/>
  <c r="R103" i="29"/>
  <c r="Q192" i="29"/>
  <c r="R192" i="29"/>
  <c r="S102" i="29"/>
  <c r="S199" i="29"/>
  <c r="Q235" i="29"/>
  <c r="R200" i="29"/>
  <c r="S194" i="29"/>
  <c r="P235" i="28"/>
  <c r="R199" i="28"/>
  <c r="R200" i="28"/>
  <c r="S194" i="28"/>
  <c r="R109" i="28"/>
  <c r="Q93" i="28"/>
  <c r="Q192" i="28"/>
  <c r="R102" i="28"/>
  <c r="Y103" i="28"/>
  <c r="Q200" i="28"/>
  <c r="R200" i="27"/>
  <c r="S194" i="27"/>
  <c r="Q192" i="27"/>
  <c r="R102" i="27"/>
  <c r="Q235" i="27"/>
  <c r="S199" i="27"/>
  <c r="S103" i="27"/>
  <c r="R93" i="27"/>
  <c r="Q199" i="26"/>
  <c r="P200" i="26"/>
  <c r="O235" i="26"/>
  <c r="P192" i="26"/>
  <c r="Q102" i="26"/>
  <c r="Q93" i="26"/>
  <c r="R103" i="26"/>
  <c r="S194" i="26"/>
  <c r="W194" i="33" l="1"/>
  <c r="V109" i="33"/>
  <c r="U93" i="33"/>
  <c r="X103" i="33"/>
  <c r="U192" i="33"/>
  <c r="V102" i="33"/>
  <c r="S235" i="33"/>
  <c r="U199" i="33"/>
  <c r="T200" i="33"/>
  <c r="R200" i="32"/>
  <c r="S194" i="32"/>
  <c r="R93" i="32"/>
  <c r="U199" i="32"/>
  <c r="S235" i="32"/>
  <c r="S192" i="32"/>
  <c r="T102" i="32"/>
  <c r="Y103" i="32"/>
  <c r="U115" i="32"/>
  <c r="R235" i="31"/>
  <c r="T199" i="31"/>
  <c r="U103" i="31"/>
  <c r="R192" i="31"/>
  <c r="S102" i="31"/>
  <c r="R200" i="31"/>
  <c r="S194" i="31"/>
  <c r="R93" i="31"/>
  <c r="R93" i="30"/>
  <c r="S103" i="30"/>
  <c r="R192" i="30"/>
  <c r="S102" i="30"/>
  <c r="U194" i="30"/>
  <c r="Q235" i="30"/>
  <c r="S199" i="30"/>
  <c r="R200" i="30"/>
  <c r="T102" i="29"/>
  <c r="S103" i="29"/>
  <c r="R93" i="29"/>
  <c r="R235" i="29"/>
  <c r="T199" i="29"/>
  <c r="S200" i="29"/>
  <c r="T194" i="29"/>
  <c r="R192" i="28"/>
  <c r="S102" i="28"/>
  <c r="Q235" i="28"/>
  <c r="S199" i="28"/>
  <c r="S109" i="28"/>
  <c r="R93" i="28"/>
  <c r="S200" i="28"/>
  <c r="T194" i="28"/>
  <c r="Z103" i="28"/>
  <c r="S93" i="27"/>
  <c r="T103" i="27"/>
  <c r="R235" i="27"/>
  <c r="T199" i="27"/>
  <c r="R192" i="27"/>
  <c r="S102" i="27"/>
  <c r="T194" i="27"/>
  <c r="S200" i="27"/>
  <c r="Q200" i="26"/>
  <c r="P235" i="26"/>
  <c r="R199" i="26"/>
  <c r="T194" i="26"/>
  <c r="S103" i="26"/>
  <c r="R93" i="26"/>
  <c r="Q192" i="26"/>
  <c r="R102" i="26"/>
  <c r="V192" i="33" l="1"/>
  <c r="W102" i="33"/>
  <c r="Y103" i="33"/>
  <c r="W109" i="33"/>
  <c r="V93" i="33"/>
  <c r="T235" i="33"/>
  <c r="V199" i="33"/>
  <c r="U200" i="33"/>
  <c r="X194" i="33"/>
  <c r="V199" i="32"/>
  <c r="T235" i="32"/>
  <c r="V115" i="32"/>
  <c r="S200" i="32"/>
  <c r="T194" i="32"/>
  <c r="S93" i="32"/>
  <c r="T192" i="32"/>
  <c r="U102" i="32"/>
  <c r="Z103" i="32"/>
  <c r="S192" i="31"/>
  <c r="T102" i="31"/>
  <c r="V103" i="31"/>
  <c r="U199" i="31"/>
  <c r="S235" i="31"/>
  <c r="S200" i="31"/>
  <c r="T194" i="31"/>
  <c r="S93" i="31"/>
  <c r="R235" i="30"/>
  <c r="T199" i="30"/>
  <c r="S200" i="30"/>
  <c r="V194" i="30"/>
  <c r="S192" i="30"/>
  <c r="T102" i="30"/>
  <c r="S93" i="30"/>
  <c r="T103" i="30"/>
  <c r="T200" i="29"/>
  <c r="U194" i="29"/>
  <c r="S235" i="29"/>
  <c r="U199" i="29"/>
  <c r="U102" i="29"/>
  <c r="T103" i="29"/>
  <c r="S93" i="29"/>
  <c r="S192" i="29"/>
  <c r="U194" i="28"/>
  <c r="T109" i="28"/>
  <c r="S93" i="28"/>
  <c r="T199" i="28"/>
  <c r="R235" i="28"/>
  <c r="AA103" i="28"/>
  <c r="S192" i="28"/>
  <c r="T102" i="28"/>
  <c r="U199" i="27"/>
  <c r="S235" i="27"/>
  <c r="T93" i="27"/>
  <c r="U103" i="27"/>
  <c r="U194" i="27"/>
  <c r="T200" i="27"/>
  <c r="S192" i="27"/>
  <c r="T102" i="27"/>
  <c r="Q235" i="26"/>
  <c r="R200" i="26"/>
  <c r="S199" i="26"/>
  <c r="U194" i="26"/>
  <c r="R192" i="26"/>
  <c r="S102" i="26"/>
  <c r="S93" i="26"/>
  <c r="T103" i="26"/>
  <c r="U235" i="33" l="1"/>
  <c r="W199" i="33"/>
  <c r="V200" i="33"/>
  <c r="X109" i="33"/>
  <c r="W93" i="33"/>
  <c r="Z103" i="33"/>
  <c r="Y194" i="33"/>
  <c r="W192" i="33"/>
  <c r="X102" i="33"/>
  <c r="T200" i="32"/>
  <c r="U194" i="32"/>
  <c r="T93" i="32"/>
  <c r="AA103" i="32"/>
  <c r="W115" i="32"/>
  <c r="U192" i="32"/>
  <c r="V102" i="32"/>
  <c r="W199" i="32"/>
  <c r="U235" i="32"/>
  <c r="U194" i="31"/>
  <c r="T200" i="31"/>
  <c r="T93" i="31"/>
  <c r="V199" i="31"/>
  <c r="T235" i="31"/>
  <c r="W103" i="31"/>
  <c r="T192" i="31"/>
  <c r="U102" i="31"/>
  <c r="T192" i="30"/>
  <c r="U102" i="30"/>
  <c r="W194" i="30"/>
  <c r="U199" i="30"/>
  <c r="S235" i="30"/>
  <c r="T200" i="30"/>
  <c r="T93" i="30"/>
  <c r="U103" i="30"/>
  <c r="U103" i="29"/>
  <c r="T93" i="29"/>
  <c r="U192" i="29"/>
  <c r="V102" i="29"/>
  <c r="T192" i="29"/>
  <c r="T235" i="29"/>
  <c r="V199" i="29"/>
  <c r="U200" i="29"/>
  <c r="V194" i="29"/>
  <c r="AB103" i="28"/>
  <c r="S235" i="28"/>
  <c r="U199" i="28"/>
  <c r="U200" i="28" s="1"/>
  <c r="U109" i="28"/>
  <c r="T93" i="28"/>
  <c r="T192" i="28"/>
  <c r="U102" i="28"/>
  <c r="V194" i="28"/>
  <c r="T200" i="28"/>
  <c r="T192" i="27"/>
  <c r="U102" i="27"/>
  <c r="U200" i="27"/>
  <c r="V194" i="27"/>
  <c r="V103" i="27"/>
  <c r="U93" i="27"/>
  <c r="T235" i="27"/>
  <c r="V199" i="27"/>
  <c r="R235" i="26"/>
  <c r="S200" i="26"/>
  <c r="T199" i="26"/>
  <c r="U103" i="26"/>
  <c r="T93" i="26"/>
  <c r="S192" i="26"/>
  <c r="T102" i="26"/>
  <c r="V194" i="26"/>
  <c r="AA103" i="33" l="1"/>
  <c r="V235" i="33"/>
  <c r="X199" i="33"/>
  <c r="W200" i="33"/>
  <c r="Y109" i="33"/>
  <c r="X93" i="33"/>
  <c r="X192" i="33"/>
  <c r="Y102" i="33"/>
  <c r="Z194" i="33"/>
  <c r="X115" i="32"/>
  <c r="AB103" i="32"/>
  <c r="V235" i="32"/>
  <c r="X199" i="32"/>
  <c r="U200" i="32"/>
  <c r="V194" i="32"/>
  <c r="U93" i="32"/>
  <c r="V192" i="32"/>
  <c r="W102" i="32"/>
  <c r="X103" i="31"/>
  <c r="W199" i="31"/>
  <c r="U235" i="31"/>
  <c r="U192" i="31"/>
  <c r="V102" i="31"/>
  <c r="U200" i="31"/>
  <c r="V194" i="31"/>
  <c r="U93" i="31"/>
  <c r="T235" i="30"/>
  <c r="V199" i="30"/>
  <c r="U200" i="30"/>
  <c r="X194" i="30"/>
  <c r="U192" i="30"/>
  <c r="V102" i="30"/>
  <c r="U93" i="30"/>
  <c r="V103" i="30"/>
  <c r="W102" i="29"/>
  <c r="U235" i="29"/>
  <c r="W199" i="29"/>
  <c r="W194" i="29"/>
  <c r="V200" i="29"/>
  <c r="U93" i="29"/>
  <c r="V103" i="29"/>
  <c r="U192" i="28"/>
  <c r="V102" i="28"/>
  <c r="V109" i="28"/>
  <c r="U93" i="28"/>
  <c r="AC103" i="28"/>
  <c r="V199" i="28"/>
  <c r="T235" i="28"/>
  <c r="W194" i="28"/>
  <c r="W194" i="27"/>
  <c r="V200" i="27"/>
  <c r="U192" i="27"/>
  <c r="V102" i="27"/>
  <c r="U235" i="27"/>
  <c r="W199" i="27"/>
  <c r="W103" i="27"/>
  <c r="V93" i="27"/>
  <c r="S235" i="26"/>
  <c r="U199" i="26"/>
  <c r="T200" i="26"/>
  <c r="T192" i="26"/>
  <c r="U102" i="26"/>
  <c r="W194" i="26"/>
  <c r="V103" i="26"/>
  <c r="U93" i="26"/>
  <c r="H37" i="25"/>
  <c r="F95" i="25"/>
  <c r="AF239" i="25"/>
  <c r="AE239" i="25"/>
  <c r="AD239" i="25"/>
  <c r="AC239" i="25"/>
  <c r="AB239" i="25"/>
  <c r="AA239" i="25"/>
  <c r="Z239" i="25"/>
  <c r="Y239" i="25"/>
  <c r="X239" i="25"/>
  <c r="W239" i="25"/>
  <c r="V239" i="25"/>
  <c r="U239" i="25"/>
  <c r="T239" i="25"/>
  <c r="S239" i="25"/>
  <c r="R239" i="25"/>
  <c r="Q239" i="25"/>
  <c r="P239" i="25"/>
  <c r="O239" i="25"/>
  <c r="N239" i="25"/>
  <c r="M239" i="25"/>
  <c r="L239" i="25"/>
  <c r="K239" i="25"/>
  <c r="J239" i="25"/>
  <c r="I239" i="25"/>
  <c r="H239" i="25"/>
  <c r="G239" i="25"/>
  <c r="F239" i="25"/>
  <c r="E239" i="25"/>
  <c r="D239" i="25"/>
  <c r="C239" i="25"/>
  <c r="B239" i="25"/>
  <c r="A239" i="25"/>
  <c r="AF238" i="25"/>
  <c r="AE238" i="25"/>
  <c r="AD238" i="25"/>
  <c r="AC238" i="25"/>
  <c r="AB238" i="25"/>
  <c r="AA238" i="25"/>
  <c r="Z238" i="25"/>
  <c r="Y238" i="25"/>
  <c r="X238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B235" i="25"/>
  <c r="S210" i="25"/>
  <c r="AG200" i="25"/>
  <c r="C200" i="25"/>
  <c r="D199" i="25"/>
  <c r="C235" i="25" s="1"/>
  <c r="D198" i="25"/>
  <c r="E198" i="25" s="1"/>
  <c r="F198" i="25" s="1"/>
  <c r="G198" i="25" s="1"/>
  <c r="H198" i="25" s="1"/>
  <c r="I198" i="25" s="1"/>
  <c r="J198" i="25" s="1"/>
  <c r="K198" i="25" s="1"/>
  <c r="L198" i="25" s="1"/>
  <c r="M198" i="25" s="1"/>
  <c r="N198" i="25" s="1"/>
  <c r="O198" i="25" s="1"/>
  <c r="P198" i="25" s="1"/>
  <c r="Q198" i="25" s="1"/>
  <c r="R198" i="25" s="1"/>
  <c r="S198" i="25" s="1"/>
  <c r="T198" i="25" s="1"/>
  <c r="U198" i="25" s="1"/>
  <c r="V198" i="25" s="1"/>
  <c r="W198" i="25" s="1"/>
  <c r="X198" i="25" s="1"/>
  <c r="Y198" i="25" s="1"/>
  <c r="Z198" i="25" s="1"/>
  <c r="AA198" i="25" s="1"/>
  <c r="AB198" i="25" s="1"/>
  <c r="AC198" i="25" s="1"/>
  <c r="AD198" i="25" s="1"/>
  <c r="AE198" i="25" s="1"/>
  <c r="AF198" i="25" s="1"/>
  <c r="B198" i="25" s="1"/>
  <c r="D197" i="25"/>
  <c r="E197" i="25" s="1"/>
  <c r="F197" i="25" s="1"/>
  <c r="G197" i="25" s="1"/>
  <c r="H197" i="25" s="1"/>
  <c r="I197" i="25" s="1"/>
  <c r="J197" i="25" s="1"/>
  <c r="K197" i="25" s="1"/>
  <c r="L197" i="25" s="1"/>
  <c r="M197" i="25" s="1"/>
  <c r="N197" i="25" s="1"/>
  <c r="O197" i="25" s="1"/>
  <c r="P197" i="25" s="1"/>
  <c r="Q197" i="25" s="1"/>
  <c r="R197" i="25" s="1"/>
  <c r="S197" i="25" s="1"/>
  <c r="T197" i="25" s="1"/>
  <c r="U197" i="25" s="1"/>
  <c r="V197" i="25" s="1"/>
  <c r="W197" i="25" s="1"/>
  <c r="X197" i="25" s="1"/>
  <c r="Y197" i="25" s="1"/>
  <c r="Z197" i="25" s="1"/>
  <c r="AA197" i="25" s="1"/>
  <c r="AB197" i="25" s="1"/>
  <c r="AC197" i="25" s="1"/>
  <c r="AD197" i="25" s="1"/>
  <c r="AE197" i="25" s="1"/>
  <c r="AF197" i="25" s="1"/>
  <c r="B197" i="25" s="1"/>
  <c r="E196" i="25"/>
  <c r="F196" i="25" s="1"/>
  <c r="G196" i="25" s="1"/>
  <c r="H196" i="25" s="1"/>
  <c r="I196" i="25" s="1"/>
  <c r="J196" i="25" s="1"/>
  <c r="K196" i="25" s="1"/>
  <c r="L196" i="25" s="1"/>
  <c r="M196" i="25" s="1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B196" i="25" s="1"/>
  <c r="D196" i="25"/>
  <c r="E195" i="25"/>
  <c r="F195" i="25" s="1"/>
  <c r="G195" i="25" s="1"/>
  <c r="H195" i="25" s="1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AC195" i="25" s="1"/>
  <c r="AD195" i="25" s="1"/>
  <c r="AE195" i="25" s="1"/>
  <c r="AF195" i="25" s="1"/>
  <c r="B195" i="25" s="1"/>
  <c r="D195" i="25"/>
  <c r="D200" i="25" s="1"/>
  <c r="D194" i="25"/>
  <c r="E194" i="25" s="1"/>
  <c r="AG192" i="25"/>
  <c r="C192" i="25"/>
  <c r="D191" i="25"/>
  <c r="E191" i="25" s="1"/>
  <c r="F191" i="25" s="1"/>
  <c r="G191" i="25" s="1"/>
  <c r="H191" i="25" s="1"/>
  <c r="I191" i="25" s="1"/>
  <c r="J191" i="25" s="1"/>
  <c r="K191" i="25" s="1"/>
  <c r="L191" i="25" s="1"/>
  <c r="M191" i="25" s="1"/>
  <c r="N191" i="25" s="1"/>
  <c r="O191" i="25" s="1"/>
  <c r="P191" i="25" s="1"/>
  <c r="Q191" i="25" s="1"/>
  <c r="R191" i="25" s="1"/>
  <c r="S191" i="25" s="1"/>
  <c r="T191" i="25" s="1"/>
  <c r="U191" i="25" s="1"/>
  <c r="V191" i="25" s="1"/>
  <c r="W191" i="25" s="1"/>
  <c r="X191" i="25" s="1"/>
  <c r="Y191" i="25" s="1"/>
  <c r="Z191" i="25" s="1"/>
  <c r="AA191" i="25" s="1"/>
  <c r="AB191" i="25" s="1"/>
  <c r="AC191" i="25" s="1"/>
  <c r="AD191" i="25" s="1"/>
  <c r="AE191" i="25" s="1"/>
  <c r="AF191" i="25" s="1"/>
  <c r="B191" i="25" s="1"/>
  <c r="F190" i="25"/>
  <c r="G190" i="25" s="1"/>
  <c r="H190" i="25" s="1"/>
  <c r="I190" i="25" s="1"/>
  <c r="J190" i="25" s="1"/>
  <c r="K190" i="25" s="1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AA190" i="25" s="1"/>
  <c r="AB190" i="25" s="1"/>
  <c r="AC190" i="25" s="1"/>
  <c r="AD190" i="25" s="1"/>
  <c r="AE190" i="25" s="1"/>
  <c r="AF190" i="25" s="1"/>
  <c r="B190" i="25" s="1"/>
  <c r="E190" i="25"/>
  <c r="D190" i="25"/>
  <c r="F189" i="25"/>
  <c r="G189" i="25" s="1"/>
  <c r="H189" i="25" s="1"/>
  <c r="I189" i="25" s="1"/>
  <c r="J189" i="25" s="1"/>
  <c r="K189" i="25" s="1"/>
  <c r="L189" i="25" s="1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W189" i="25" s="1"/>
  <c r="X189" i="25" s="1"/>
  <c r="Y189" i="25" s="1"/>
  <c r="Z189" i="25" s="1"/>
  <c r="AA189" i="25" s="1"/>
  <c r="AB189" i="25" s="1"/>
  <c r="AC189" i="25" s="1"/>
  <c r="AD189" i="25" s="1"/>
  <c r="AE189" i="25" s="1"/>
  <c r="AF189" i="25" s="1"/>
  <c r="B189" i="25" s="1"/>
  <c r="E189" i="25"/>
  <c r="D189" i="25"/>
  <c r="K188" i="25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B188" i="25" s="1"/>
  <c r="D188" i="25"/>
  <c r="E188" i="25" s="1"/>
  <c r="F188" i="25" s="1"/>
  <c r="G188" i="25" s="1"/>
  <c r="H188" i="25" s="1"/>
  <c r="I188" i="25" s="1"/>
  <c r="J188" i="25" s="1"/>
  <c r="D187" i="25"/>
  <c r="E187" i="25" s="1"/>
  <c r="F187" i="25" s="1"/>
  <c r="G187" i="25" s="1"/>
  <c r="H187" i="25" s="1"/>
  <c r="I187" i="25" s="1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B187" i="25" s="1"/>
  <c r="G186" i="25"/>
  <c r="H186" i="25" s="1"/>
  <c r="I186" i="25" s="1"/>
  <c r="J186" i="25" s="1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B186" i="25" s="1"/>
  <c r="F186" i="25"/>
  <c r="E186" i="25"/>
  <c r="D186" i="25"/>
  <c r="M185" i="25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B185" i="25" s="1"/>
  <c r="E185" i="25"/>
  <c r="F185" i="25" s="1"/>
  <c r="G185" i="25" s="1"/>
  <c r="H185" i="25" s="1"/>
  <c r="I185" i="25" s="1"/>
  <c r="J185" i="25" s="1"/>
  <c r="K185" i="25" s="1"/>
  <c r="L185" i="25" s="1"/>
  <c r="D185" i="25"/>
  <c r="R184" i="25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B184" i="25" s="1"/>
  <c r="D184" i="25"/>
  <c r="E184" i="25" s="1"/>
  <c r="F184" i="25" s="1"/>
  <c r="G184" i="25" s="1"/>
  <c r="H184" i="25" s="1"/>
  <c r="I184" i="25" s="1"/>
  <c r="J184" i="25" s="1"/>
  <c r="K184" i="25" s="1"/>
  <c r="L184" i="25" s="1"/>
  <c r="M184" i="25" s="1"/>
  <c r="N184" i="25" s="1"/>
  <c r="O184" i="25" s="1"/>
  <c r="P184" i="25" s="1"/>
  <c r="Q184" i="25" s="1"/>
  <c r="I183" i="25"/>
  <c r="J183" i="25" s="1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B183" i="25" s="1"/>
  <c r="H183" i="25"/>
  <c r="G183" i="25"/>
  <c r="D183" i="25"/>
  <c r="E183" i="25" s="1"/>
  <c r="F183" i="25" s="1"/>
  <c r="N182" i="25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B182" i="25" s="1"/>
  <c r="F182" i="25"/>
  <c r="G182" i="25" s="1"/>
  <c r="H182" i="25" s="1"/>
  <c r="I182" i="25" s="1"/>
  <c r="J182" i="25" s="1"/>
  <c r="K182" i="25" s="1"/>
  <c r="L182" i="25" s="1"/>
  <c r="M182" i="25" s="1"/>
  <c r="E182" i="25"/>
  <c r="D182" i="25"/>
  <c r="F181" i="25"/>
  <c r="G181" i="25" s="1"/>
  <c r="H181" i="25" s="1"/>
  <c r="I181" i="25" s="1"/>
  <c r="J181" i="25" s="1"/>
  <c r="K181" i="25" s="1"/>
  <c r="L181" i="25" s="1"/>
  <c r="M181" i="25" s="1"/>
  <c r="N181" i="25" s="1"/>
  <c r="O181" i="25" s="1"/>
  <c r="P181" i="25" s="1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B181" i="25" s="1"/>
  <c r="E181" i="25"/>
  <c r="D181" i="25"/>
  <c r="D180" i="25"/>
  <c r="E180" i="25" s="1"/>
  <c r="F180" i="25" s="1"/>
  <c r="G180" i="25" s="1"/>
  <c r="H180" i="25" s="1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B180" i="25" s="1"/>
  <c r="D179" i="25"/>
  <c r="E179" i="25" s="1"/>
  <c r="F179" i="25" s="1"/>
  <c r="G179" i="25" s="1"/>
  <c r="H179" i="25" s="1"/>
  <c r="I179" i="25" s="1"/>
  <c r="J179" i="25" s="1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B179" i="25" s="1"/>
  <c r="Y177" i="25"/>
  <c r="Z177" i="25" s="1"/>
  <c r="AA177" i="25" s="1"/>
  <c r="AB177" i="25" s="1"/>
  <c r="AC177" i="25" s="1"/>
  <c r="AD177" i="25" s="1"/>
  <c r="AE177" i="25" s="1"/>
  <c r="AF177" i="25" s="1"/>
  <c r="B177" i="25" s="1"/>
  <c r="D177" i="25"/>
  <c r="E177" i="25" s="1"/>
  <c r="F177" i="25" s="1"/>
  <c r="G177" i="25" s="1"/>
  <c r="H177" i="25" s="1"/>
  <c r="I177" i="25" s="1"/>
  <c r="J177" i="25" s="1"/>
  <c r="K177" i="25" s="1"/>
  <c r="L177" i="25" s="1"/>
  <c r="M177" i="25" s="1"/>
  <c r="N177" i="25" s="1"/>
  <c r="O177" i="25" s="1"/>
  <c r="P177" i="25" s="1"/>
  <c r="Q177" i="25" s="1"/>
  <c r="R177" i="25" s="1"/>
  <c r="S177" i="25" s="1"/>
  <c r="T177" i="25" s="1"/>
  <c r="U177" i="25" s="1"/>
  <c r="V177" i="25" s="1"/>
  <c r="W177" i="25" s="1"/>
  <c r="X177" i="25" s="1"/>
  <c r="F176" i="25"/>
  <c r="G176" i="25" s="1"/>
  <c r="H176" i="25" s="1"/>
  <c r="I176" i="25" s="1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B176" i="25" s="1"/>
  <c r="E176" i="25"/>
  <c r="D176" i="25"/>
  <c r="D175" i="25"/>
  <c r="E175" i="25" s="1"/>
  <c r="F175" i="25" s="1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B175" i="25" s="1"/>
  <c r="J174" i="25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B174" i="25" s="1"/>
  <c r="E174" i="25"/>
  <c r="F174" i="25" s="1"/>
  <c r="G174" i="25" s="1"/>
  <c r="H174" i="25" s="1"/>
  <c r="I174" i="25" s="1"/>
  <c r="D174" i="25"/>
  <c r="D173" i="25"/>
  <c r="E173" i="25" s="1"/>
  <c r="F173" i="25" s="1"/>
  <c r="G173" i="25" s="1"/>
  <c r="H173" i="25" s="1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AB173" i="25" s="1"/>
  <c r="AC173" i="25" s="1"/>
  <c r="AD173" i="25" s="1"/>
  <c r="AE173" i="25" s="1"/>
  <c r="AF173" i="25" s="1"/>
  <c r="B173" i="25" s="1"/>
  <c r="F172" i="25"/>
  <c r="G172" i="25" s="1"/>
  <c r="H172" i="25" s="1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B172" i="25" s="1"/>
  <c r="E172" i="25"/>
  <c r="D172" i="25"/>
  <c r="D171" i="25"/>
  <c r="E171" i="25" s="1"/>
  <c r="F171" i="25" s="1"/>
  <c r="G171" i="25" s="1"/>
  <c r="H171" i="25" s="1"/>
  <c r="I171" i="25" s="1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B171" i="25" s="1"/>
  <c r="E170" i="25"/>
  <c r="F170" i="25" s="1"/>
  <c r="G170" i="25" s="1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B170" i="25" s="1"/>
  <c r="D170" i="25"/>
  <c r="D168" i="25"/>
  <c r="E168" i="25" s="1"/>
  <c r="F168" i="25" s="1"/>
  <c r="G168" i="25" s="1"/>
  <c r="H168" i="25" s="1"/>
  <c r="I168" i="25" s="1"/>
  <c r="J168" i="25" s="1"/>
  <c r="K168" i="25" s="1"/>
  <c r="L168" i="25" s="1"/>
  <c r="M168" i="25" s="1"/>
  <c r="N168" i="25" s="1"/>
  <c r="O168" i="25" s="1"/>
  <c r="P168" i="25" s="1"/>
  <c r="Q168" i="25" s="1"/>
  <c r="R168" i="25" s="1"/>
  <c r="S168" i="25" s="1"/>
  <c r="T168" i="25" s="1"/>
  <c r="U168" i="25" s="1"/>
  <c r="V168" i="25" s="1"/>
  <c r="W168" i="25" s="1"/>
  <c r="X168" i="25" s="1"/>
  <c r="Y168" i="25" s="1"/>
  <c r="Z168" i="25" s="1"/>
  <c r="AA168" i="25" s="1"/>
  <c r="AB168" i="25" s="1"/>
  <c r="AC168" i="25" s="1"/>
  <c r="AD168" i="25" s="1"/>
  <c r="AE168" i="25" s="1"/>
  <c r="AF168" i="25" s="1"/>
  <c r="B168" i="25" s="1"/>
  <c r="F167" i="25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B167" i="25" s="1"/>
  <c r="E167" i="25"/>
  <c r="D167" i="25"/>
  <c r="L166" i="25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B166" i="25" s="1"/>
  <c r="D166" i="25"/>
  <c r="E166" i="25" s="1"/>
  <c r="F166" i="25" s="1"/>
  <c r="G166" i="25" s="1"/>
  <c r="H166" i="25" s="1"/>
  <c r="I166" i="25" s="1"/>
  <c r="J166" i="25" s="1"/>
  <c r="K166" i="25" s="1"/>
  <c r="J165" i="25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B165" i="25" s="1"/>
  <c r="E165" i="25"/>
  <c r="F165" i="25" s="1"/>
  <c r="G165" i="25" s="1"/>
  <c r="H165" i="25" s="1"/>
  <c r="I165" i="25" s="1"/>
  <c r="D165" i="25"/>
  <c r="S164" i="25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B164" i="25" s="1"/>
  <c r="H164" i="25"/>
  <c r="I164" i="25" s="1"/>
  <c r="J164" i="25" s="1"/>
  <c r="K164" i="25" s="1"/>
  <c r="L164" i="25" s="1"/>
  <c r="M164" i="25" s="1"/>
  <c r="N164" i="25" s="1"/>
  <c r="O164" i="25" s="1"/>
  <c r="P164" i="25" s="1"/>
  <c r="Q164" i="25" s="1"/>
  <c r="R164" i="25" s="1"/>
  <c r="D164" i="25"/>
  <c r="E164" i="25" s="1"/>
  <c r="F164" i="25" s="1"/>
  <c r="G164" i="25" s="1"/>
  <c r="F163" i="25"/>
  <c r="G163" i="25" s="1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B163" i="25" s="1"/>
  <c r="E163" i="25"/>
  <c r="D163" i="25"/>
  <c r="D162" i="25"/>
  <c r="E162" i="25" s="1"/>
  <c r="F162" i="25" s="1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B162" i="25" s="1"/>
  <c r="L161" i="25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B161" i="25" s="1"/>
  <c r="H161" i="25"/>
  <c r="I161" i="25" s="1"/>
  <c r="J161" i="25" s="1"/>
  <c r="K161" i="25" s="1"/>
  <c r="D161" i="25"/>
  <c r="E161" i="25" s="1"/>
  <c r="F161" i="25" s="1"/>
  <c r="G161" i="25" s="1"/>
  <c r="L160" i="25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B160" i="25" s="1"/>
  <c r="H160" i="25"/>
  <c r="I160" i="25" s="1"/>
  <c r="J160" i="25" s="1"/>
  <c r="K160" i="25" s="1"/>
  <c r="D160" i="25"/>
  <c r="E160" i="25" s="1"/>
  <c r="F160" i="25" s="1"/>
  <c r="G160" i="25" s="1"/>
  <c r="J159" i="25"/>
  <c r="K159" i="25" s="1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B159" i="25" s="1"/>
  <c r="F159" i="25"/>
  <c r="G159" i="25" s="1"/>
  <c r="H159" i="25" s="1"/>
  <c r="I159" i="25" s="1"/>
  <c r="E159" i="25"/>
  <c r="D159" i="25"/>
  <c r="P158" i="25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B158" i="25" s="1"/>
  <c r="L158" i="25"/>
  <c r="M158" i="25" s="1"/>
  <c r="N158" i="25" s="1"/>
  <c r="O158" i="25" s="1"/>
  <c r="H158" i="25"/>
  <c r="I158" i="25" s="1"/>
  <c r="J158" i="25" s="1"/>
  <c r="K158" i="25" s="1"/>
  <c r="D158" i="25"/>
  <c r="E158" i="25" s="1"/>
  <c r="F158" i="25" s="1"/>
  <c r="G158" i="25" s="1"/>
  <c r="F157" i="25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B157" i="25" s="1"/>
  <c r="D157" i="25"/>
  <c r="E157" i="25" s="1"/>
  <c r="H156" i="25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B156" i="25" s="1"/>
  <c r="D156" i="25"/>
  <c r="E156" i="25" s="1"/>
  <c r="F156" i="25" s="1"/>
  <c r="G156" i="25" s="1"/>
  <c r="F154" i="25"/>
  <c r="G154" i="25" s="1"/>
  <c r="H154" i="25" s="1"/>
  <c r="I154" i="25" s="1"/>
  <c r="J154" i="25" s="1"/>
  <c r="K154" i="25" s="1"/>
  <c r="L154" i="25" s="1"/>
  <c r="M154" i="25" s="1"/>
  <c r="N154" i="25" s="1"/>
  <c r="O154" i="25" s="1"/>
  <c r="P154" i="25" s="1"/>
  <c r="Q154" i="25" s="1"/>
  <c r="R154" i="25" s="1"/>
  <c r="S154" i="25" s="1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B154" i="25" s="1"/>
  <c r="E154" i="25"/>
  <c r="D154" i="25"/>
  <c r="D153" i="25"/>
  <c r="E153" i="25" s="1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B153" i="25" s="1"/>
  <c r="J152" i="25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B152" i="25" s="1"/>
  <c r="F152" i="25"/>
  <c r="G152" i="25" s="1"/>
  <c r="H152" i="25" s="1"/>
  <c r="I152" i="25" s="1"/>
  <c r="E152" i="25"/>
  <c r="D152" i="25"/>
  <c r="X151" i="25"/>
  <c r="Y151" i="25" s="1"/>
  <c r="Z151" i="25" s="1"/>
  <c r="AA151" i="25" s="1"/>
  <c r="AB151" i="25" s="1"/>
  <c r="AC151" i="25" s="1"/>
  <c r="AD151" i="25" s="1"/>
  <c r="AE151" i="25" s="1"/>
  <c r="AF151" i="25" s="1"/>
  <c r="B151" i="25" s="1"/>
  <c r="D151" i="25"/>
  <c r="E151" i="25" s="1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F149" i="25"/>
  <c r="G149" i="25" s="1"/>
  <c r="H149" i="25" s="1"/>
  <c r="I149" i="25" s="1"/>
  <c r="J149" i="25" s="1"/>
  <c r="K149" i="25" s="1"/>
  <c r="L149" i="25" s="1"/>
  <c r="M149" i="25" s="1"/>
  <c r="N149" i="25" s="1"/>
  <c r="O149" i="25" s="1"/>
  <c r="P149" i="25" s="1"/>
  <c r="Q149" i="25" s="1"/>
  <c r="R149" i="25" s="1"/>
  <c r="S149" i="25" s="1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AF149" i="25" s="1"/>
  <c r="B149" i="25" s="1"/>
  <c r="E149" i="25"/>
  <c r="D149" i="25"/>
  <c r="AB148" i="25"/>
  <c r="AC148" i="25" s="1"/>
  <c r="AD148" i="25" s="1"/>
  <c r="AE148" i="25" s="1"/>
  <c r="AF148" i="25" s="1"/>
  <c r="B148" i="25" s="1"/>
  <c r="E148" i="25"/>
  <c r="F148" i="25" s="1"/>
  <c r="G148" i="25" s="1"/>
  <c r="H148" i="25" s="1"/>
  <c r="I148" i="25" s="1"/>
  <c r="J148" i="25" s="1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D148" i="25"/>
  <c r="D146" i="25"/>
  <c r="E146" i="25" s="1"/>
  <c r="F146" i="25" s="1"/>
  <c r="G146" i="25" s="1"/>
  <c r="H146" i="25" s="1"/>
  <c r="I146" i="25" s="1"/>
  <c r="J146" i="25" s="1"/>
  <c r="K146" i="25" s="1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W146" i="25" s="1"/>
  <c r="X146" i="25" s="1"/>
  <c r="Y146" i="25" s="1"/>
  <c r="Z146" i="25" s="1"/>
  <c r="AA146" i="25" s="1"/>
  <c r="AB146" i="25" s="1"/>
  <c r="AC146" i="25" s="1"/>
  <c r="AD146" i="25" s="1"/>
  <c r="AE146" i="25" s="1"/>
  <c r="AF146" i="25" s="1"/>
  <c r="B146" i="25" s="1"/>
  <c r="K145" i="25"/>
  <c r="L145" i="25" s="1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B145" i="25" s="1"/>
  <c r="E145" i="25"/>
  <c r="F145" i="25" s="1"/>
  <c r="G145" i="25" s="1"/>
  <c r="H145" i="25" s="1"/>
  <c r="I145" i="25" s="1"/>
  <c r="J145" i="25" s="1"/>
  <c r="D145" i="25"/>
  <c r="E144" i="25"/>
  <c r="F144" i="25" s="1"/>
  <c r="G144" i="25" s="1"/>
  <c r="H144" i="25" s="1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B144" i="25" s="1"/>
  <c r="D144" i="25"/>
  <c r="H143" i="25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B143" i="25" s="1"/>
  <c r="D143" i="25"/>
  <c r="E143" i="25" s="1"/>
  <c r="F143" i="25" s="1"/>
  <c r="G143" i="25" s="1"/>
  <c r="K142" i="25"/>
  <c r="L142" i="25" s="1"/>
  <c r="M142" i="25" s="1"/>
  <c r="N142" i="25" s="1"/>
  <c r="O142" i="25" s="1"/>
  <c r="P142" i="25" s="1"/>
  <c r="Q142" i="25" s="1"/>
  <c r="R142" i="25" s="1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B142" i="25" s="1"/>
  <c r="E142" i="25"/>
  <c r="F142" i="25" s="1"/>
  <c r="G142" i="25" s="1"/>
  <c r="H142" i="25" s="1"/>
  <c r="I142" i="25" s="1"/>
  <c r="J142" i="25" s="1"/>
  <c r="D142" i="25"/>
  <c r="D141" i="25"/>
  <c r="E141" i="25" s="1"/>
  <c r="F141" i="25" s="1"/>
  <c r="G141" i="25" s="1"/>
  <c r="H141" i="25" s="1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B141" i="25" s="1"/>
  <c r="E140" i="25"/>
  <c r="F140" i="25" s="1"/>
  <c r="G140" i="25" s="1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B140" i="25" s="1"/>
  <c r="D140" i="25"/>
  <c r="AC138" i="25"/>
  <c r="AD138" i="25" s="1"/>
  <c r="AE138" i="25" s="1"/>
  <c r="AF138" i="25" s="1"/>
  <c r="B138" i="25" s="1"/>
  <c r="E138" i="25"/>
  <c r="F138" i="25" s="1"/>
  <c r="G138" i="25" s="1"/>
  <c r="H138" i="25" s="1"/>
  <c r="I138" i="25" s="1"/>
  <c r="J138" i="25" s="1"/>
  <c r="K138" i="25" s="1"/>
  <c r="L138" i="25" s="1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D138" i="25"/>
  <c r="G137" i="25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B137" i="25" s="1"/>
  <c r="E137" i="25"/>
  <c r="F137" i="25" s="1"/>
  <c r="D137" i="25"/>
  <c r="E136" i="25"/>
  <c r="F136" i="25" s="1"/>
  <c r="G136" i="25" s="1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B136" i="25" s="1"/>
  <c r="D136" i="25"/>
  <c r="AA135" i="25"/>
  <c r="AB135" i="25" s="1"/>
  <c r="AC135" i="25" s="1"/>
  <c r="AD135" i="25" s="1"/>
  <c r="AE135" i="25" s="1"/>
  <c r="AF135" i="25" s="1"/>
  <c r="B135" i="25" s="1"/>
  <c r="F135" i="25"/>
  <c r="G135" i="25" s="1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E135" i="25"/>
  <c r="D135" i="25"/>
  <c r="G134" i="25"/>
  <c r="H134" i="25" s="1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B134" i="25" s="1"/>
  <c r="D134" i="25"/>
  <c r="E134" i="25" s="1"/>
  <c r="F134" i="25" s="1"/>
  <c r="O133" i="25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B133" i="25" s="1"/>
  <c r="E133" i="25"/>
  <c r="F133" i="25" s="1"/>
  <c r="G133" i="25" s="1"/>
  <c r="H133" i="25" s="1"/>
  <c r="I133" i="25" s="1"/>
  <c r="J133" i="25" s="1"/>
  <c r="K133" i="25" s="1"/>
  <c r="L133" i="25" s="1"/>
  <c r="M133" i="25" s="1"/>
  <c r="N133" i="25" s="1"/>
  <c r="D133" i="25"/>
  <c r="E132" i="25"/>
  <c r="F132" i="25" s="1"/>
  <c r="G132" i="25" s="1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B132" i="25" s="1"/>
  <c r="D132" i="25"/>
  <c r="Q131" i="25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B131" i="25" s="1"/>
  <c r="F131" i="25"/>
  <c r="G131" i="25" s="1"/>
  <c r="H131" i="25" s="1"/>
  <c r="I131" i="25" s="1"/>
  <c r="J131" i="25" s="1"/>
  <c r="K131" i="25" s="1"/>
  <c r="L131" i="25" s="1"/>
  <c r="M131" i="25" s="1"/>
  <c r="N131" i="25" s="1"/>
  <c r="O131" i="25" s="1"/>
  <c r="P131" i="25" s="1"/>
  <c r="E131" i="25"/>
  <c r="D131" i="25"/>
  <c r="D129" i="25"/>
  <c r="E129" i="25" s="1"/>
  <c r="F129" i="25" s="1"/>
  <c r="G129" i="25" s="1"/>
  <c r="H129" i="25" s="1"/>
  <c r="I129" i="25" s="1"/>
  <c r="J129" i="25" s="1"/>
  <c r="K129" i="25" s="1"/>
  <c r="L129" i="25" s="1"/>
  <c r="M129" i="25" s="1"/>
  <c r="N129" i="25" s="1"/>
  <c r="O129" i="25" s="1"/>
  <c r="P129" i="25" s="1"/>
  <c r="Q129" i="25" s="1"/>
  <c r="R129" i="25" s="1"/>
  <c r="S129" i="25" s="1"/>
  <c r="T129" i="25" s="1"/>
  <c r="U129" i="25" s="1"/>
  <c r="V129" i="25" s="1"/>
  <c r="W129" i="25" s="1"/>
  <c r="X129" i="25" s="1"/>
  <c r="Y129" i="25" s="1"/>
  <c r="Z129" i="25" s="1"/>
  <c r="AA129" i="25" s="1"/>
  <c r="AB129" i="25" s="1"/>
  <c r="AC129" i="25" s="1"/>
  <c r="AD129" i="25" s="1"/>
  <c r="AE129" i="25" s="1"/>
  <c r="AF129" i="25" s="1"/>
  <c r="B129" i="25" s="1"/>
  <c r="G128" i="25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B128" i="25" s="1"/>
  <c r="E128" i="25"/>
  <c r="F128" i="25" s="1"/>
  <c r="D128" i="25"/>
  <c r="AC127" i="25"/>
  <c r="AD127" i="25" s="1"/>
  <c r="AE127" i="25" s="1"/>
  <c r="AF127" i="25" s="1"/>
  <c r="B127" i="25" s="1"/>
  <c r="H127" i="25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E127" i="25"/>
  <c r="F127" i="25" s="1"/>
  <c r="G127" i="25" s="1"/>
  <c r="D127" i="25"/>
  <c r="I126" i="25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B126" i="25" s="1"/>
  <c r="F126" i="25"/>
  <c r="G126" i="25" s="1"/>
  <c r="H126" i="25" s="1"/>
  <c r="E126" i="25"/>
  <c r="D126" i="25"/>
  <c r="L125" i="25"/>
  <c r="M125" i="25" s="1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B125" i="25" s="1"/>
  <c r="K125" i="25"/>
  <c r="J125" i="25"/>
  <c r="F125" i="25"/>
  <c r="G125" i="25" s="1"/>
  <c r="H125" i="25" s="1"/>
  <c r="D125" i="25"/>
  <c r="E125" i="25" s="1"/>
  <c r="AB124" i="25"/>
  <c r="AC124" i="25" s="1"/>
  <c r="AD124" i="25" s="1"/>
  <c r="AE124" i="25" s="1"/>
  <c r="AF124" i="25" s="1"/>
  <c r="B124" i="25" s="1"/>
  <c r="F124" i="25"/>
  <c r="G124" i="25" s="1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D124" i="25"/>
  <c r="E124" i="25" s="1"/>
  <c r="R123" i="25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B123" i="25" s="1"/>
  <c r="F123" i="25"/>
  <c r="G123" i="25" s="1"/>
  <c r="H123" i="25" s="1"/>
  <c r="I123" i="25" s="1"/>
  <c r="J123" i="25" s="1"/>
  <c r="K123" i="25" s="1"/>
  <c r="L123" i="25" s="1"/>
  <c r="M123" i="25" s="1"/>
  <c r="N123" i="25" s="1"/>
  <c r="O123" i="25" s="1"/>
  <c r="P123" i="25" s="1"/>
  <c r="Q123" i="25" s="1"/>
  <c r="D123" i="25"/>
  <c r="E123" i="25" s="1"/>
  <c r="D122" i="25"/>
  <c r="E122" i="25" s="1"/>
  <c r="F122" i="25" s="1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B122" i="25" s="1"/>
  <c r="D121" i="25"/>
  <c r="E121" i="25" s="1"/>
  <c r="F121" i="25" s="1"/>
  <c r="G121" i="25" s="1"/>
  <c r="H121" i="25" s="1"/>
  <c r="I121" i="25" s="1"/>
  <c r="J121" i="25" s="1"/>
  <c r="K121" i="25" s="1"/>
  <c r="L121" i="25" s="1"/>
  <c r="M121" i="25" s="1"/>
  <c r="N121" i="25" s="1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B121" i="25" s="1"/>
  <c r="F120" i="25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B120" i="25" s="1"/>
  <c r="D120" i="25"/>
  <c r="E120" i="25" s="1"/>
  <c r="AD119" i="25"/>
  <c r="AE119" i="25" s="1"/>
  <c r="AF119" i="25" s="1"/>
  <c r="B119" i="25" s="1"/>
  <c r="P119" i="25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D119" i="25"/>
  <c r="E119" i="25" s="1"/>
  <c r="F119" i="25" s="1"/>
  <c r="G119" i="25" s="1"/>
  <c r="H119" i="25" s="1"/>
  <c r="I119" i="25" s="1"/>
  <c r="J119" i="25" s="1"/>
  <c r="K119" i="25" s="1"/>
  <c r="L119" i="25" s="1"/>
  <c r="M119" i="25" s="1"/>
  <c r="N119" i="25" s="1"/>
  <c r="O119" i="25" s="1"/>
  <c r="U118" i="25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B118" i="25" s="1"/>
  <c r="H118" i="25"/>
  <c r="I118" i="25" s="1"/>
  <c r="J118" i="25" s="1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D118" i="25"/>
  <c r="E118" i="25" s="1"/>
  <c r="F118" i="25" s="1"/>
  <c r="G118" i="25" s="1"/>
  <c r="F117" i="25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B117" i="25" s="1"/>
  <c r="D117" i="25"/>
  <c r="E117" i="25" s="1"/>
  <c r="Q116" i="25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B116" i="25" s="1"/>
  <c r="D116" i="25"/>
  <c r="E116" i="25" s="1"/>
  <c r="F116" i="25" s="1"/>
  <c r="G116" i="25" s="1"/>
  <c r="H116" i="25" s="1"/>
  <c r="I116" i="25" s="1"/>
  <c r="J116" i="25" s="1"/>
  <c r="K116" i="25" s="1"/>
  <c r="L116" i="25" s="1"/>
  <c r="M116" i="25" s="1"/>
  <c r="N116" i="25" s="1"/>
  <c r="O116" i="25" s="1"/>
  <c r="P116" i="25" s="1"/>
  <c r="H115" i="25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B115" i="25" s="1"/>
  <c r="D115" i="25"/>
  <c r="E115" i="25" s="1"/>
  <c r="F115" i="25" s="1"/>
  <c r="G115" i="25" s="1"/>
  <c r="Z114" i="25"/>
  <c r="AA114" i="25" s="1"/>
  <c r="AB114" i="25" s="1"/>
  <c r="AC114" i="25" s="1"/>
  <c r="AD114" i="25" s="1"/>
  <c r="AE114" i="25" s="1"/>
  <c r="AF114" i="25" s="1"/>
  <c r="B114" i="25" s="1"/>
  <c r="M114" i="25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L114" i="25"/>
  <c r="K114" i="25"/>
  <c r="D114" i="25"/>
  <c r="E114" i="25" s="1"/>
  <c r="F114" i="25" s="1"/>
  <c r="G114" i="25" s="1"/>
  <c r="H114" i="25" s="1"/>
  <c r="I114" i="25" s="1"/>
  <c r="R113" i="25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B113" i="25" s="1"/>
  <c r="E113" i="25"/>
  <c r="F113" i="25" s="1"/>
  <c r="G113" i="25" s="1"/>
  <c r="H113" i="25" s="1"/>
  <c r="I113" i="25" s="1"/>
  <c r="J113" i="25" s="1"/>
  <c r="K113" i="25" s="1"/>
  <c r="L113" i="25" s="1"/>
  <c r="M113" i="25" s="1"/>
  <c r="N113" i="25" s="1"/>
  <c r="O113" i="25" s="1"/>
  <c r="P113" i="25" s="1"/>
  <c r="Q113" i="25" s="1"/>
  <c r="D113" i="25"/>
  <c r="E112" i="25"/>
  <c r="F112" i="25" s="1"/>
  <c r="G112" i="25" s="1"/>
  <c r="H112" i="25" s="1"/>
  <c r="I112" i="25" s="1"/>
  <c r="J112" i="25" s="1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B112" i="25" s="1"/>
  <c r="D112" i="25"/>
  <c r="Q110" i="25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B110" i="25" s="1"/>
  <c r="E110" i="25"/>
  <c r="F110" i="25" s="1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D110" i="25"/>
  <c r="D109" i="25"/>
  <c r="E109" i="25" s="1"/>
  <c r="E107" i="25"/>
  <c r="F107" i="25" s="1"/>
  <c r="G107" i="25" s="1"/>
  <c r="H107" i="25" s="1"/>
  <c r="I107" i="25" s="1"/>
  <c r="J107" i="25" s="1"/>
  <c r="K107" i="25" s="1"/>
  <c r="L107" i="25" s="1"/>
  <c r="M107" i="25" s="1"/>
  <c r="N107" i="25" s="1"/>
  <c r="O107" i="25" s="1"/>
  <c r="P107" i="25" s="1"/>
  <c r="Q107" i="25" s="1"/>
  <c r="R107" i="25" s="1"/>
  <c r="S107" i="25" s="1"/>
  <c r="T107" i="25" s="1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B107" i="25" s="1"/>
  <c r="D107" i="25"/>
  <c r="E106" i="25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B106" i="25" s="1"/>
  <c r="D106" i="25"/>
  <c r="N105" i="25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B105" i="25" s="1"/>
  <c r="E105" i="25"/>
  <c r="F105" i="25" s="1"/>
  <c r="G105" i="25" s="1"/>
  <c r="H105" i="25" s="1"/>
  <c r="I105" i="25" s="1"/>
  <c r="J105" i="25" s="1"/>
  <c r="K105" i="25" s="1"/>
  <c r="L105" i="25" s="1"/>
  <c r="M105" i="25" s="1"/>
  <c r="D105" i="25"/>
  <c r="G104" i="25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B104" i="25" s="1"/>
  <c r="D104" i="25"/>
  <c r="E104" i="25" s="1"/>
  <c r="F104" i="25" s="1"/>
  <c r="E103" i="25"/>
  <c r="F103" i="25" s="1"/>
  <c r="G103" i="25" s="1"/>
  <c r="D103" i="25"/>
  <c r="E102" i="25"/>
  <c r="D102" i="25"/>
  <c r="AH100" i="25"/>
  <c r="AI100" i="25" s="1"/>
  <c r="AH99" i="25"/>
  <c r="AI99" i="25" s="1"/>
  <c r="AH98" i="25"/>
  <c r="AI98" i="25" s="1"/>
  <c r="AH97" i="25"/>
  <c r="AI97" i="25" s="1"/>
  <c r="AH96" i="25"/>
  <c r="AI96" i="25" s="1"/>
  <c r="AH95" i="25"/>
  <c r="AI95" i="25" s="1"/>
  <c r="AH94" i="25"/>
  <c r="AI94" i="25" s="1"/>
  <c r="D93" i="25"/>
  <c r="C93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G82" i="25"/>
  <c r="AI81" i="25"/>
  <c r="AH81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N82" i="25" s="1"/>
  <c r="M79" i="25"/>
  <c r="L79" i="25"/>
  <c r="K79" i="25"/>
  <c r="J79" i="25"/>
  <c r="I79" i="25"/>
  <c r="H79" i="25"/>
  <c r="G79" i="25"/>
  <c r="F79" i="25"/>
  <c r="E79" i="25"/>
  <c r="D79" i="25"/>
  <c r="C79" i="25"/>
  <c r="B79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P82" i="25" s="1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F76" i="25"/>
  <c r="AE76" i="25"/>
  <c r="AD76" i="25"/>
  <c r="AC76" i="25"/>
  <c r="AB76" i="25"/>
  <c r="AB82" i="25" s="1"/>
  <c r="AA76" i="25"/>
  <c r="Z76" i="25"/>
  <c r="Y76" i="25"/>
  <c r="X76" i="25"/>
  <c r="W76" i="25"/>
  <c r="V76" i="25"/>
  <c r="U76" i="25"/>
  <c r="T76" i="25"/>
  <c r="T82" i="25" s="1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D82" i="25" s="1"/>
  <c r="C76" i="25"/>
  <c r="B76" i="25"/>
  <c r="AI74" i="25"/>
  <c r="AH74" i="25"/>
  <c r="AI72" i="25"/>
  <c r="AH72" i="25"/>
  <c r="AG72" i="25"/>
  <c r="AI71" i="25"/>
  <c r="AH71" i="25"/>
  <c r="AI70" i="25"/>
  <c r="AH70" i="25"/>
  <c r="AI69" i="25"/>
  <c r="AH69" i="25"/>
  <c r="AG68" i="25"/>
  <c r="AF68" i="25"/>
  <c r="AE68" i="25"/>
  <c r="AD5" i="25" s="1"/>
  <c r="AD68" i="25"/>
  <c r="AC5" i="25" s="1"/>
  <c r="AC68" i="25"/>
  <c r="AB5" i="25" s="1"/>
  <c r="AB68" i="25"/>
  <c r="AA5" i="25" s="1"/>
  <c r="AA68" i="25"/>
  <c r="Z5" i="25" s="1"/>
  <c r="Z68" i="25"/>
  <c r="Y5" i="25" s="1"/>
  <c r="Y68" i="25"/>
  <c r="X5" i="25" s="1"/>
  <c r="X68" i="25"/>
  <c r="W68" i="25"/>
  <c r="V5" i="25" s="1"/>
  <c r="V68" i="25"/>
  <c r="U5" i="25" s="1"/>
  <c r="U68" i="25"/>
  <c r="T5" i="25" s="1"/>
  <c r="T68" i="25"/>
  <c r="S5" i="25" s="1"/>
  <c r="S68" i="25"/>
  <c r="R5" i="25" s="1"/>
  <c r="R68" i="25"/>
  <c r="Q68" i="25"/>
  <c r="P5" i="25" s="1"/>
  <c r="P68" i="25"/>
  <c r="O5" i="25" s="1"/>
  <c r="O68" i="25"/>
  <c r="N68" i="25"/>
  <c r="M68" i="25"/>
  <c r="L5" i="25" s="1"/>
  <c r="L68" i="25"/>
  <c r="K5" i="25" s="1"/>
  <c r="K68" i="25"/>
  <c r="J5" i="25" s="1"/>
  <c r="J68" i="25"/>
  <c r="I68" i="25"/>
  <c r="H68" i="25"/>
  <c r="G68" i="25"/>
  <c r="F68" i="25"/>
  <c r="E5" i="25" s="1"/>
  <c r="E68" i="25"/>
  <c r="D5" i="25" s="1"/>
  <c r="D68" i="25"/>
  <c r="C5" i="25" s="1"/>
  <c r="C68" i="25"/>
  <c r="B5" i="25" s="1"/>
  <c r="B68" i="25"/>
  <c r="AI67" i="25"/>
  <c r="AH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I55" i="25"/>
  <c r="AH55" i="25"/>
  <c r="AI54" i="25"/>
  <c r="AH54" i="25"/>
  <c r="AI53" i="25"/>
  <c r="AH53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I51" i="25"/>
  <c r="AH51" i="25"/>
  <c r="AG51" i="25"/>
  <c r="AG52" i="25" s="1"/>
  <c r="AG3" i="25" s="1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M5" i="25"/>
  <c r="H5" i="25"/>
  <c r="AG4" i="25"/>
  <c r="K4" i="25"/>
  <c r="B4" i="25"/>
  <c r="AG2" i="25"/>
  <c r="AF239" i="24"/>
  <c r="AE239" i="24"/>
  <c r="AD239" i="24"/>
  <c r="AC239" i="24"/>
  <c r="AB239" i="24"/>
  <c r="AA239" i="24"/>
  <c r="Z239" i="24"/>
  <c r="Y239" i="24"/>
  <c r="X239" i="24"/>
  <c r="W239" i="24"/>
  <c r="V239" i="24"/>
  <c r="U239" i="24"/>
  <c r="T239" i="24"/>
  <c r="S239" i="24"/>
  <c r="R239" i="24"/>
  <c r="Q239" i="24"/>
  <c r="P239" i="24"/>
  <c r="O239" i="24"/>
  <c r="N239" i="24"/>
  <c r="M239" i="24"/>
  <c r="L239" i="24"/>
  <c r="K239" i="24"/>
  <c r="J239" i="24"/>
  <c r="I239" i="24"/>
  <c r="H239" i="24"/>
  <c r="G239" i="24"/>
  <c r="F239" i="24"/>
  <c r="E239" i="24"/>
  <c r="D239" i="24"/>
  <c r="C239" i="24"/>
  <c r="B239" i="24"/>
  <c r="A239" i="24"/>
  <c r="AF238" i="24"/>
  <c r="AE238" i="24"/>
  <c r="AD238" i="24"/>
  <c r="AC238" i="24"/>
  <c r="AB238" i="24"/>
  <c r="AA238" i="24"/>
  <c r="Z238" i="24"/>
  <c r="Y238" i="24"/>
  <c r="X238" i="24"/>
  <c r="W238" i="24"/>
  <c r="V238" i="24"/>
  <c r="U238" i="24"/>
  <c r="T238" i="24"/>
  <c r="S238" i="24"/>
  <c r="R238" i="24"/>
  <c r="Q238" i="24"/>
  <c r="P238" i="24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B235" i="24"/>
  <c r="S210" i="24"/>
  <c r="AG200" i="24"/>
  <c r="C200" i="24"/>
  <c r="D199" i="24"/>
  <c r="C235" i="24" s="1"/>
  <c r="I198" i="24"/>
  <c r="J198" i="24" s="1"/>
  <c r="K198" i="24" s="1"/>
  <c r="L198" i="24" s="1"/>
  <c r="M198" i="24" s="1"/>
  <c r="N198" i="24" s="1"/>
  <c r="O198" i="24" s="1"/>
  <c r="P198" i="24" s="1"/>
  <c r="Q198" i="24" s="1"/>
  <c r="R198" i="24" s="1"/>
  <c r="S198" i="24" s="1"/>
  <c r="T198" i="24" s="1"/>
  <c r="U198" i="24" s="1"/>
  <c r="V198" i="24" s="1"/>
  <c r="W198" i="24" s="1"/>
  <c r="X198" i="24" s="1"/>
  <c r="Y198" i="24" s="1"/>
  <c r="Z198" i="24" s="1"/>
  <c r="AA198" i="24" s="1"/>
  <c r="AB198" i="24" s="1"/>
  <c r="AC198" i="24" s="1"/>
  <c r="AD198" i="24" s="1"/>
  <c r="AE198" i="24" s="1"/>
  <c r="AF198" i="24" s="1"/>
  <c r="B198" i="24" s="1"/>
  <c r="H198" i="24"/>
  <c r="D198" i="24"/>
  <c r="E198" i="24" s="1"/>
  <c r="F198" i="24" s="1"/>
  <c r="G198" i="24" s="1"/>
  <c r="G197" i="24"/>
  <c r="H197" i="24" s="1"/>
  <c r="I197" i="24" s="1"/>
  <c r="J197" i="24" s="1"/>
  <c r="K197" i="24" s="1"/>
  <c r="L197" i="24" s="1"/>
  <c r="M197" i="24" s="1"/>
  <c r="N197" i="24" s="1"/>
  <c r="O197" i="24" s="1"/>
  <c r="P197" i="24" s="1"/>
  <c r="Q197" i="24" s="1"/>
  <c r="R197" i="24" s="1"/>
  <c r="S197" i="24" s="1"/>
  <c r="T197" i="24" s="1"/>
  <c r="U197" i="24" s="1"/>
  <c r="V197" i="24" s="1"/>
  <c r="W197" i="24" s="1"/>
  <c r="X197" i="24" s="1"/>
  <c r="Y197" i="24" s="1"/>
  <c r="Z197" i="24" s="1"/>
  <c r="AA197" i="24" s="1"/>
  <c r="AB197" i="24" s="1"/>
  <c r="AC197" i="24" s="1"/>
  <c r="AD197" i="24" s="1"/>
  <c r="AE197" i="24" s="1"/>
  <c r="AF197" i="24" s="1"/>
  <c r="B197" i="24" s="1"/>
  <c r="D197" i="24"/>
  <c r="E197" i="24" s="1"/>
  <c r="F197" i="24" s="1"/>
  <c r="T196" i="24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B196" i="24" s="1"/>
  <c r="E196" i="24"/>
  <c r="F196" i="24" s="1"/>
  <c r="G196" i="24" s="1"/>
  <c r="H196" i="24" s="1"/>
  <c r="I196" i="24" s="1"/>
  <c r="J196" i="24" s="1"/>
  <c r="K196" i="24" s="1"/>
  <c r="L196" i="24" s="1"/>
  <c r="M196" i="24" s="1"/>
  <c r="N196" i="24" s="1"/>
  <c r="O196" i="24" s="1"/>
  <c r="P196" i="24" s="1"/>
  <c r="Q196" i="24" s="1"/>
  <c r="R196" i="24" s="1"/>
  <c r="S196" i="24" s="1"/>
  <c r="D196" i="24"/>
  <c r="D195" i="24"/>
  <c r="D200" i="24" s="1"/>
  <c r="F194" i="24"/>
  <c r="E194" i="24"/>
  <c r="D194" i="24"/>
  <c r="AG192" i="24"/>
  <c r="C192" i="24"/>
  <c r="G191" i="24"/>
  <c r="H191" i="24" s="1"/>
  <c r="I191" i="24" s="1"/>
  <c r="J191" i="24" s="1"/>
  <c r="K191" i="24" s="1"/>
  <c r="L191" i="24" s="1"/>
  <c r="M191" i="24" s="1"/>
  <c r="N191" i="24" s="1"/>
  <c r="O191" i="24" s="1"/>
  <c r="P191" i="24" s="1"/>
  <c r="Q191" i="24" s="1"/>
  <c r="R191" i="24" s="1"/>
  <c r="S191" i="24" s="1"/>
  <c r="T191" i="24" s="1"/>
  <c r="U191" i="24" s="1"/>
  <c r="V191" i="24" s="1"/>
  <c r="W191" i="24" s="1"/>
  <c r="X191" i="24" s="1"/>
  <c r="Y191" i="24" s="1"/>
  <c r="Z191" i="24" s="1"/>
  <c r="AA191" i="24" s="1"/>
  <c r="AB191" i="24" s="1"/>
  <c r="AC191" i="24" s="1"/>
  <c r="AD191" i="24" s="1"/>
  <c r="AE191" i="24" s="1"/>
  <c r="AF191" i="24" s="1"/>
  <c r="B191" i="24" s="1"/>
  <c r="D191" i="24"/>
  <c r="E191" i="24" s="1"/>
  <c r="F191" i="24" s="1"/>
  <c r="X190" i="24"/>
  <c r="Y190" i="24" s="1"/>
  <c r="Z190" i="24" s="1"/>
  <c r="AA190" i="24" s="1"/>
  <c r="AB190" i="24" s="1"/>
  <c r="AC190" i="24" s="1"/>
  <c r="AD190" i="24" s="1"/>
  <c r="AE190" i="24" s="1"/>
  <c r="AF190" i="24" s="1"/>
  <c r="B190" i="24" s="1"/>
  <c r="F190" i="24"/>
  <c r="G190" i="24" s="1"/>
  <c r="H190" i="24" s="1"/>
  <c r="I190" i="24" s="1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D190" i="24"/>
  <c r="E190" i="24" s="1"/>
  <c r="N189" i="24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B189" i="24" s="1"/>
  <c r="J189" i="24"/>
  <c r="K189" i="24" s="1"/>
  <c r="L189" i="24" s="1"/>
  <c r="M189" i="24" s="1"/>
  <c r="D189" i="24"/>
  <c r="E189" i="24" s="1"/>
  <c r="F189" i="24" s="1"/>
  <c r="G189" i="24" s="1"/>
  <c r="H189" i="24" s="1"/>
  <c r="I189" i="24" s="1"/>
  <c r="E188" i="24"/>
  <c r="F188" i="24" s="1"/>
  <c r="G188" i="24" s="1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B188" i="24" s="1"/>
  <c r="D188" i="24"/>
  <c r="R187" i="24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B187" i="24" s="1"/>
  <c r="D187" i="24"/>
  <c r="E187" i="24" s="1"/>
  <c r="F187" i="24" s="1"/>
  <c r="G187" i="24" s="1"/>
  <c r="H187" i="24" s="1"/>
  <c r="I187" i="24" s="1"/>
  <c r="J187" i="24" s="1"/>
  <c r="K187" i="24" s="1"/>
  <c r="L187" i="24" s="1"/>
  <c r="M187" i="24" s="1"/>
  <c r="N187" i="24" s="1"/>
  <c r="O187" i="24" s="1"/>
  <c r="P187" i="24" s="1"/>
  <c r="Q187" i="24" s="1"/>
  <c r="H186" i="24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B186" i="24" s="1"/>
  <c r="G186" i="24"/>
  <c r="E186" i="24"/>
  <c r="F186" i="24" s="1"/>
  <c r="D186" i="24"/>
  <c r="AC185" i="24"/>
  <c r="AD185" i="24" s="1"/>
  <c r="AE185" i="24" s="1"/>
  <c r="AF185" i="24" s="1"/>
  <c r="B185" i="24" s="1"/>
  <c r="N185" i="24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F185" i="24"/>
  <c r="G185" i="24" s="1"/>
  <c r="H185" i="24" s="1"/>
  <c r="I185" i="24" s="1"/>
  <c r="J185" i="24" s="1"/>
  <c r="K185" i="24" s="1"/>
  <c r="L185" i="24" s="1"/>
  <c r="M185" i="24" s="1"/>
  <c r="E185" i="24"/>
  <c r="D185" i="24"/>
  <c r="D184" i="24"/>
  <c r="E184" i="24" s="1"/>
  <c r="F184" i="24" s="1"/>
  <c r="G184" i="24" s="1"/>
  <c r="H184" i="24" s="1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B184" i="24" s="1"/>
  <c r="X183" i="24"/>
  <c r="Y183" i="24" s="1"/>
  <c r="Z183" i="24" s="1"/>
  <c r="AA183" i="24" s="1"/>
  <c r="AB183" i="24" s="1"/>
  <c r="AC183" i="24" s="1"/>
  <c r="AD183" i="24" s="1"/>
  <c r="AE183" i="24" s="1"/>
  <c r="AF183" i="24" s="1"/>
  <c r="B183" i="24" s="1"/>
  <c r="F183" i="24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D183" i="24"/>
  <c r="E183" i="24" s="1"/>
  <c r="D182" i="24"/>
  <c r="E182" i="24" s="1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B182" i="24" s="1"/>
  <c r="D181" i="24"/>
  <c r="E181" i="24" s="1"/>
  <c r="F181" i="24" s="1"/>
  <c r="G181" i="24" s="1"/>
  <c r="H181" i="24" s="1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S181" i="24" s="1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B181" i="24" s="1"/>
  <c r="AF180" i="24"/>
  <c r="B180" i="24" s="1"/>
  <c r="M180" i="24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I180" i="24"/>
  <c r="J180" i="24" s="1"/>
  <c r="K180" i="24" s="1"/>
  <c r="L180" i="24" s="1"/>
  <c r="D180" i="24"/>
  <c r="E180" i="24" s="1"/>
  <c r="F180" i="24" s="1"/>
  <c r="G180" i="24" s="1"/>
  <c r="H180" i="24" s="1"/>
  <c r="E179" i="24"/>
  <c r="F179" i="24" s="1"/>
  <c r="G179" i="24" s="1"/>
  <c r="H179" i="24" s="1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B179" i="24" s="1"/>
  <c r="D179" i="24"/>
  <c r="M177" i="24"/>
  <c r="N177" i="24" s="1"/>
  <c r="O177" i="24" s="1"/>
  <c r="P177" i="24" s="1"/>
  <c r="Q177" i="24" s="1"/>
  <c r="R177" i="24" s="1"/>
  <c r="S177" i="24" s="1"/>
  <c r="T177" i="24" s="1"/>
  <c r="U177" i="24" s="1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B177" i="24" s="1"/>
  <c r="G177" i="24"/>
  <c r="H177" i="24" s="1"/>
  <c r="I177" i="24" s="1"/>
  <c r="J177" i="24" s="1"/>
  <c r="K177" i="24" s="1"/>
  <c r="L177" i="24" s="1"/>
  <c r="E177" i="24"/>
  <c r="F177" i="24" s="1"/>
  <c r="D177" i="24"/>
  <c r="F176" i="24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B176" i="24" s="1"/>
  <c r="E176" i="24"/>
  <c r="D176" i="24"/>
  <c r="Y175" i="24"/>
  <c r="Z175" i="24" s="1"/>
  <c r="AA175" i="24" s="1"/>
  <c r="AB175" i="24" s="1"/>
  <c r="AC175" i="24" s="1"/>
  <c r="AD175" i="24" s="1"/>
  <c r="AE175" i="24" s="1"/>
  <c r="AF175" i="24" s="1"/>
  <c r="B175" i="24" s="1"/>
  <c r="M175" i="24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D175" i="24"/>
  <c r="E175" i="24" s="1"/>
  <c r="F175" i="24" s="1"/>
  <c r="G175" i="24" s="1"/>
  <c r="H175" i="24" s="1"/>
  <c r="I175" i="24" s="1"/>
  <c r="J175" i="24" s="1"/>
  <c r="K175" i="24" s="1"/>
  <c r="L175" i="24" s="1"/>
  <c r="F174" i="24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B174" i="24" s="1"/>
  <c r="E174" i="24"/>
  <c r="D174" i="24"/>
  <c r="Y173" i="24"/>
  <c r="Z173" i="24" s="1"/>
  <c r="AA173" i="24" s="1"/>
  <c r="AB173" i="24" s="1"/>
  <c r="AC173" i="24" s="1"/>
  <c r="AD173" i="24" s="1"/>
  <c r="AE173" i="24" s="1"/>
  <c r="AF173" i="24" s="1"/>
  <c r="B173" i="24" s="1"/>
  <c r="L173" i="24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G173" i="24"/>
  <c r="H173" i="24" s="1"/>
  <c r="I173" i="24" s="1"/>
  <c r="J173" i="24" s="1"/>
  <c r="K173" i="24" s="1"/>
  <c r="E173" i="24"/>
  <c r="F173" i="24" s="1"/>
  <c r="D173" i="24"/>
  <c r="S172" i="24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B172" i="24" s="1"/>
  <c r="H172" i="24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F172" i="24"/>
  <c r="G172" i="24" s="1"/>
  <c r="E172" i="24"/>
  <c r="D172" i="24"/>
  <c r="F171" i="24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B171" i="24" s="1"/>
  <c r="E171" i="24"/>
  <c r="D171" i="24"/>
  <c r="Z170" i="24"/>
  <c r="AA170" i="24" s="1"/>
  <c r="AB170" i="24" s="1"/>
  <c r="AC170" i="24" s="1"/>
  <c r="AD170" i="24" s="1"/>
  <c r="AE170" i="24" s="1"/>
  <c r="AF170" i="24" s="1"/>
  <c r="B170" i="24" s="1"/>
  <c r="O170" i="24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F170" i="24"/>
  <c r="G170" i="24" s="1"/>
  <c r="H170" i="24" s="1"/>
  <c r="I170" i="24" s="1"/>
  <c r="J170" i="24" s="1"/>
  <c r="K170" i="24" s="1"/>
  <c r="L170" i="24" s="1"/>
  <c r="M170" i="24" s="1"/>
  <c r="N170" i="24" s="1"/>
  <c r="E170" i="24"/>
  <c r="D170" i="24"/>
  <c r="AA168" i="24"/>
  <c r="AB168" i="24" s="1"/>
  <c r="AC168" i="24" s="1"/>
  <c r="AD168" i="24" s="1"/>
  <c r="AE168" i="24" s="1"/>
  <c r="AF168" i="24" s="1"/>
  <c r="B168" i="24" s="1"/>
  <c r="R168" i="24"/>
  <c r="S168" i="24" s="1"/>
  <c r="T168" i="24" s="1"/>
  <c r="U168" i="24" s="1"/>
  <c r="V168" i="24" s="1"/>
  <c r="W168" i="24" s="1"/>
  <c r="X168" i="24" s="1"/>
  <c r="Y168" i="24" s="1"/>
  <c r="Z168" i="24" s="1"/>
  <c r="I168" i="24"/>
  <c r="J168" i="24" s="1"/>
  <c r="K168" i="24" s="1"/>
  <c r="L168" i="24" s="1"/>
  <c r="M168" i="24" s="1"/>
  <c r="N168" i="24" s="1"/>
  <c r="O168" i="24" s="1"/>
  <c r="P168" i="24" s="1"/>
  <c r="Q168" i="24" s="1"/>
  <c r="E168" i="24"/>
  <c r="F168" i="24" s="1"/>
  <c r="G168" i="24" s="1"/>
  <c r="H168" i="24" s="1"/>
  <c r="D168" i="24"/>
  <c r="E167" i="24"/>
  <c r="F167" i="24" s="1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D167" i="24"/>
  <c r="B167" i="24"/>
  <c r="X166" i="24"/>
  <c r="Y166" i="24" s="1"/>
  <c r="Z166" i="24" s="1"/>
  <c r="AA166" i="24" s="1"/>
  <c r="AB166" i="24" s="1"/>
  <c r="AC166" i="24" s="1"/>
  <c r="AD166" i="24" s="1"/>
  <c r="AE166" i="24" s="1"/>
  <c r="AF166" i="24" s="1"/>
  <c r="B166" i="24" s="1"/>
  <c r="O166" i="24"/>
  <c r="P166" i="24" s="1"/>
  <c r="Q166" i="24" s="1"/>
  <c r="R166" i="24" s="1"/>
  <c r="S166" i="24" s="1"/>
  <c r="T166" i="24" s="1"/>
  <c r="U166" i="24" s="1"/>
  <c r="V166" i="24" s="1"/>
  <c r="W166" i="24" s="1"/>
  <c r="F166" i="24"/>
  <c r="G166" i="24" s="1"/>
  <c r="H166" i="24" s="1"/>
  <c r="I166" i="24" s="1"/>
  <c r="J166" i="24" s="1"/>
  <c r="K166" i="24" s="1"/>
  <c r="L166" i="24" s="1"/>
  <c r="M166" i="24" s="1"/>
  <c r="N166" i="24" s="1"/>
  <c r="E166" i="24"/>
  <c r="D166" i="24"/>
  <c r="I165" i="24"/>
  <c r="J165" i="24" s="1"/>
  <c r="K165" i="24" s="1"/>
  <c r="L165" i="24" s="1"/>
  <c r="M165" i="24" s="1"/>
  <c r="N165" i="24" s="1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B165" i="24" s="1"/>
  <c r="E165" i="24"/>
  <c r="F165" i="24" s="1"/>
  <c r="G165" i="24" s="1"/>
  <c r="H165" i="24" s="1"/>
  <c r="D165" i="24"/>
  <c r="D164" i="24"/>
  <c r="E164" i="24" s="1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B164" i="24" s="1"/>
  <c r="AF163" i="24"/>
  <c r="B163" i="24" s="1"/>
  <c r="W163" i="24"/>
  <c r="X163" i="24" s="1"/>
  <c r="Y163" i="24" s="1"/>
  <c r="Z163" i="24" s="1"/>
  <c r="AA163" i="24" s="1"/>
  <c r="AB163" i="24" s="1"/>
  <c r="AC163" i="24" s="1"/>
  <c r="AD163" i="24" s="1"/>
  <c r="AE163" i="24" s="1"/>
  <c r="N163" i="24"/>
  <c r="O163" i="24" s="1"/>
  <c r="P163" i="24" s="1"/>
  <c r="Q163" i="24" s="1"/>
  <c r="R163" i="24" s="1"/>
  <c r="S163" i="24" s="1"/>
  <c r="T163" i="24" s="1"/>
  <c r="U163" i="24" s="1"/>
  <c r="V163" i="24" s="1"/>
  <c r="E163" i="24"/>
  <c r="F163" i="24" s="1"/>
  <c r="G163" i="24" s="1"/>
  <c r="H163" i="24" s="1"/>
  <c r="I163" i="24" s="1"/>
  <c r="J163" i="24" s="1"/>
  <c r="K163" i="24" s="1"/>
  <c r="L163" i="24" s="1"/>
  <c r="M163" i="24" s="1"/>
  <c r="D163" i="24"/>
  <c r="H162" i="24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B162" i="24" s="1"/>
  <c r="E162" i="24"/>
  <c r="F162" i="24" s="1"/>
  <c r="G162" i="24" s="1"/>
  <c r="D162" i="24"/>
  <c r="G161" i="24"/>
  <c r="H161" i="24" s="1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B161" i="24" s="1"/>
  <c r="F161" i="24"/>
  <c r="E161" i="24"/>
  <c r="D161" i="24"/>
  <c r="D160" i="24"/>
  <c r="E160" i="24" s="1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B160" i="24" s="1"/>
  <c r="Q159" i="24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B159" i="24" s="1"/>
  <c r="G159" i="24"/>
  <c r="H159" i="24" s="1"/>
  <c r="I159" i="24" s="1"/>
  <c r="J159" i="24" s="1"/>
  <c r="K159" i="24" s="1"/>
  <c r="L159" i="24" s="1"/>
  <c r="M159" i="24" s="1"/>
  <c r="N159" i="24" s="1"/>
  <c r="O159" i="24" s="1"/>
  <c r="P159" i="24" s="1"/>
  <c r="F159" i="24"/>
  <c r="E159" i="24"/>
  <c r="D159" i="24"/>
  <c r="D158" i="24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B158" i="24" s="1"/>
  <c r="W157" i="24"/>
  <c r="X157" i="24" s="1"/>
  <c r="Y157" i="24" s="1"/>
  <c r="Z157" i="24" s="1"/>
  <c r="AA157" i="24" s="1"/>
  <c r="AB157" i="24" s="1"/>
  <c r="AC157" i="24" s="1"/>
  <c r="AD157" i="24" s="1"/>
  <c r="AE157" i="24" s="1"/>
  <c r="AF157" i="24" s="1"/>
  <c r="B157" i="24" s="1"/>
  <c r="I157" i="24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G157" i="24"/>
  <c r="H157" i="24" s="1"/>
  <c r="F157" i="24"/>
  <c r="E157" i="24"/>
  <c r="D157" i="24"/>
  <c r="L156" i="24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B156" i="24" s="1"/>
  <c r="E156" i="24"/>
  <c r="F156" i="24" s="1"/>
  <c r="G156" i="24" s="1"/>
  <c r="H156" i="24" s="1"/>
  <c r="I156" i="24" s="1"/>
  <c r="J156" i="24" s="1"/>
  <c r="K156" i="24" s="1"/>
  <c r="D156" i="24"/>
  <c r="E154" i="24"/>
  <c r="F154" i="24" s="1"/>
  <c r="G154" i="24" s="1"/>
  <c r="H154" i="24" s="1"/>
  <c r="I154" i="24" s="1"/>
  <c r="J154" i="24" s="1"/>
  <c r="K154" i="24" s="1"/>
  <c r="L154" i="24" s="1"/>
  <c r="M154" i="24" s="1"/>
  <c r="N154" i="24" s="1"/>
  <c r="O154" i="24" s="1"/>
  <c r="P154" i="24" s="1"/>
  <c r="Q154" i="24" s="1"/>
  <c r="R154" i="24" s="1"/>
  <c r="S154" i="24" s="1"/>
  <c r="T154" i="24" s="1"/>
  <c r="U154" i="24" s="1"/>
  <c r="V154" i="24" s="1"/>
  <c r="W154" i="24" s="1"/>
  <c r="X154" i="24" s="1"/>
  <c r="Y154" i="24" s="1"/>
  <c r="Z154" i="24" s="1"/>
  <c r="AA154" i="24" s="1"/>
  <c r="AB154" i="24" s="1"/>
  <c r="AC154" i="24" s="1"/>
  <c r="AD154" i="24" s="1"/>
  <c r="AE154" i="24" s="1"/>
  <c r="AF154" i="24" s="1"/>
  <c r="B154" i="24" s="1"/>
  <c r="D154" i="24"/>
  <c r="E153" i="24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B153" i="24" s="1"/>
  <c r="D153" i="24"/>
  <c r="K152" i="24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B152" i="24" s="1"/>
  <c r="E152" i="24"/>
  <c r="F152" i="24" s="1"/>
  <c r="G152" i="24" s="1"/>
  <c r="H152" i="24" s="1"/>
  <c r="I152" i="24" s="1"/>
  <c r="J152" i="24" s="1"/>
  <c r="D152" i="24"/>
  <c r="D151" i="24"/>
  <c r="E151" i="24" s="1"/>
  <c r="F151" i="24" s="1"/>
  <c r="G151" i="24" s="1"/>
  <c r="H151" i="24" s="1"/>
  <c r="I151" i="24" s="1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B151" i="24" s="1"/>
  <c r="F149" i="24"/>
  <c r="G149" i="24" s="1"/>
  <c r="H149" i="24" s="1"/>
  <c r="I149" i="24" s="1"/>
  <c r="J149" i="24" s="1"/>
  <c r="K149" i="24" s="1"/>
  <c r="L149" i="24" s="1"/>
  <c r="M149" i="24" s="1"/>
  <c r="N149" i="24" s="1"/>
  <c r="O149" i="24" s="1"/>
  <c r="P149" i="24" s="1"/>
  <c r="Q149" i="24" s="1"/>
  <c r="R149" i="24" s="1"/>
  <c r="S149" i="24" s="1"/>
  <c r="T149" i="24" s="1"/>
  <c r="U149" i="24" s="1"/>
  <c r="V149" i="24" s="1"/>
  <c r="W149" i="24" s="1"/>
  <c r="X149" i="24" s="1"/>
  <c r="Y149" i="24" s="1"/>
  <c r="Z149" i="24" s="1"/>
  <c r="AA149" i="24" s="1"/>
  <c r="AB149" i="24" s="1"/>
  <c r="AC149" i="24" s="1"/>
  <c r="AD149" i="24" s="1"/>
  <c r="AE149" i="24" s="1"/>
  <c r="AF149" i="24" s="1"/>
  <c r="B149" i="24" s="1"/>
  <c r="E149" i="24"/>
  <c r="D149" i="24"/>
  <c r="G148" i="24"/>
  <c r="H148" i="24" s="1"/>
  <c r="I148" i="24" s="1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B148" i="24" s="1"/>
  <c r="F148" i="24"/>
  <c r="E148" i="24"/>
  <c r="D148" i="24"/>
  <c r="T146" i="24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B146" i="24" s="1"/>
  <c r="D146" i="24"/>
  <c r="E146" i="24" s="1"/>
  <c r="F146" i="24" s="1"/>
  <c r="G146" i="24" s="1"/>
  <c r="H146" i="24" s="1"/>
  <c r="I146" i="24" s="1"/>
  <c r="J146" i="24" s="1"/>
  <c r="K146" i="24" s="1"/>
  <c r="L146" i="24" s="1"/>
  <c r="M146" i="24" s="1"/>
  <c r="N146" i="24" s="1"/>
  <c r="O146" i="24" s="1"/>
  <c r="P146" i="24" s="1"/>
  <c r="Q146" i="24" s="1"/>
  <c r="R146" i="24" s="1"/>
  <c r="S146" i="24" s="1"/>
  <c r="I145" i="24"/>
  <c r="J145" i="24" s="1"/>
  <c r="K145" i="24" s="1"/>
  <c r="L145" i="24" s="1"/>
  <c r="M145" i="24" s="1"/>
  <c r="N145" i="24" s="1"/>
  <c r="O145" i="24" s="1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B145" i="24" s="1"/>
  <c r="H145" i="24"/>
  <c r="G145" i="24"/>
  <c r="F145" i="24"/>
  <c r="E145" i="24"/>
  <c r="D145" i="24"/>
  <c r="G144" i="24"/>
  <c r="H144" i="24" s="1"/>
  <c r="I144" i="24" s="1"/>
  <c r="J144" i="24" s="1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B144" i="24" s="1"/>
  <c r="F144" i="24"/>
  <c r="D144" i="24"/>
  <c r="E144" i="24" s="1"/>
  <c r="N143" i="24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B143" i="24" s="1"/>
  <c r="D143" i="24"/>
  <c r="E143" i="24" s="1"/>
  <c r="F143" i="24" s="1"/>
  <c r="G143" i="24" s="1"/>
  <c r="H143" i="24" s="1"/>
  <c r="I143" i="24" s="1"/>
  <c r="J143" i="24" s="1"/>
  <c r="K143" i="24" s="1"/>
  <c r="L143" i="24" s="1"/>
  <c r="M143" i="24" s="1"/>
  <c r="D142" i="24"/>
  <c r="E142" i="24" s="1"/>
  <c r="F142" i="24" s="1"/>
  <c r="G142" i="24" s="1"/>
  <c r="H142" i="24" s="1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B142" i="24" s="1"/>
  <c r="F141" i="24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B141" i="24" s="1"/>
  <c r="E141" i="24"/>
  <c r="D141" i="24"/>
  <c r="AD140" i="24"/>
  <c r="AE140" i="24" s="1"/>
  <c r="AF140" i="24" s="1"/>
  <c r="B140" i="24" s="1"/>
  <c r="G140" i="24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D140" i="24"/>
  <c r="E140" i="24" s="1"/>
  <c r="F140" i="24" s="1"/>
  <c r="E138" i="24"/>
  <c r="F138" i="24" s="1"/>
  <c r="G138" i="24" s="1"/>
  <c r="H138" i="24" s="1"/>
  <c r="I138" i="24" s="1"/>
  <c r="J138" i="24" s="1"/>
  <c r="K138" i="24" s="1"/>
  <c r="L138" i="24" s="1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AD138" i="24" s="1"/>
  <c r="AE138" i="24" s="1"/>
  <c r="AF138" i="24" s="1"/>
  <c r="B138" i="24" s="1"/>
  <c r="D138" i="24"/>
  <c r="J137" i="24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B137" i="24" s="1"/>
  <c r="H137" i="24"/>
  <c r="I137" i="24" s="1"/>
  <c r="D137" i="24"/>
  <c r="E137" i="24" s="1"/>
  <c r="F137" i="24" s="1"/>
  <c r="G137" i="24" s="1"/>
  <c r="F136" i="24"/>
  <c r="G136" i="24" s="1"/>
  <c r="H136" i="24" s="1"/>
  <c r="I136" i="24" s="1"/>
  <c r="J136" i="24" s="1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B136" i="24" s="1"/>
  <c r="E136" i="24"/>
  <c r="D136" i="24"/>
  <c r="D135" i="24"/>
  <c r="E135" i="24" s="1"/>
  <c r="F135" i="24" s="1"/>
  <c r="G135" i="24" s="1"/>
  <c r="H135" i="24" s="1"/>
  <c r="I135" i="24" s="1"/>
  <c r="J135" i="24" s="1"/>
  <c r="K135" i="24" s="1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B135" i="24" s="1"/>
  <c r="D134" i="24"/>
  <c r="E134" i="24" s="1"/>
  <c r="F134" i="24" s="1"/>
  <c r="G134" i="24" s="1"/>
  <c r="H134" i="24" s="1"/>
  <c r="I134" i="24" s="1"/>
  <c r="J134" i="24" s="1"/>
  <c r="K134" i="24" s="1"/>
  <c r="L134" i="24" s="1"/>
  <c r="M134" i="24" s="1"/>
  <c r="N134" i="24" s="1"/>
  <c r="O134" i="24" s="1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B134" i="24" s="1"/>
  <c r="M133" i="24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B133" i="24" s="1"/>
  <c r="L133" i="24"/>
  <c r="E133" i="24"/>
  <c r="F133" i="24" s="1"/>
  <c r="G133" i="24" s="1"/>
  <c r="H133" i="24" s="1"/>
  <c r="I133" i="24" s="1"/>
  <c r="J133" i="24" s="1"/>
  <c r="K133" i="24" s="1"/>
  <c r="D133" i="24"/>
  <c r="K132" i="24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B132" i="24" s="1"/>
  <c r="E132" i="24"/>
  <c r="F132" i="24" s="1"/>
  <c r="G132" i="24" s="1"/>
  <c r="H132" i="24" s="1"/>
  <c r="I132" i="24" s="1"/>
  <c r="J132" i="24" s="1"/>
  <c r="D132" i="24"/>
  <c r="D131" i="24"/>
  <c r="E131" i="24" s="1"/>
  <c r="F131" i="24" s="1"/>
  <c r="G131" i="24" s="1"/>
  <c r="H131" i="24" s="1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B131" i="24" s="1"/>
  <c r="D129" i="24"/>
  <c r="E129" i="24" s="1"/>
  <c r="F129" i="24" s="1"/>
  <c r="G129" i="24" s="1"/>
  <c r="H129" i="24" s="1"/>
  <c r="I129" i="24" s="1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AD129" i="24" s="1"/>
  <c r="AE129" i="24" s="1"/>
  <c r="AF129" i="24" s="1"/>
  <c r="B129" i="24" s="1"/>
  <c r="D128" i="24"/>
  <c r="E128" i="24" s="1"/>
  <c r="F128" i="24" s="1"/>
  <c r="G128" i="24" s="1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B128" i="24" s="1"/>
  <c r="E127" i="24"/>
  <c r="F127" i="24" s="1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B127" i="24" s="1"/>
  <c r="D127" i="24"/>
  <c r="T126" i="24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B126" i="24" s="1"/>
  <c r="D126" i="24"/>
  <c r="E126" i="24" s="1"/>
  <c r="F126" i="24" s="1"/>
  <c r="G126" i="24" s="1"/>
  <c r="H126" i="24" s="1"/>
  <c r="I126" i="24" s="1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J125" i="24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B125" i="24" s="1"/>
  <c r="H125" i="24"/>
  <c r="E125" i="24"/>
  <c r="F125" i="24" s="1"/>
  <c r="G125" i="24" s="1"/>
  <c r="D125" i="24"/>
  <c r="D124" i="24"/>
  <c r="E124" i="24" s="1"/>
  <c r="F124" i="24" s="1"/>
  <c r="G124" i="24" s="1"/>
  <c r="H124" i="24" s="1"/>
  <c r="I124" i="24" s="1"/>
  <c r="J124" i="24" s="1"/>
  <c r="K124" i="24" s="1"/>
  <c r="L124" i="24" s="1"/>
  <c r="M124" i="24" s="1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B124" i="24" s="1"/>
  <c r="E123" i="24"/>
  <c r="F123" i="24" s="1"/>
  <c r="G123" i="24" s="1"/>
  <c r="H123" i="24" s="1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B123" i="24" s="1"/>
  <c r="D123" i="24"/>
  <c r="J122" i="24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B122" i="24" s="1"/>
  <c r="E122" i="24"/>
  <c r="F122" i="24" s="1"/>
  <c r="G122" i="24" s="1"/>
  <c r="H122" i="24" s="1"/>
  <c r="I122" i="24" s="1"/>
  <c r="D122" i="24"/>
  <c r="K121" i="24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B121" i="24" s="1"/>
  <c r="E121" i="24"/>
  <c r="F121" i="24" s="1"/>
  <c r="G121" i="24" s="1"/>
  <c r="H121" i="24" s="1"/>
  <c r="I121" i="24" s="1"/>
  <c r="J121" i="24" s="1"/>
  <c r="D121" i="24"/>
  <c r="D120" i="24"/>
  <c r="E120" i="24" s="1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B120" i="24" s="1"/>
  <c r="D119" i="24"/>
  <c r="E119" i="24" s="1"/>
  <c r="F119" i="24" s="1"/>
  <c r="G119" i="24" s="1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B119" i="24" s="1"/>
  <c r="L118" i="24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B118" i="24" s="1"/>
  <c r="D118" i="24"/>
  <c r="E118" i="24" s="1"/>
  <c r="F118" i="24" s="1"/>
  <c r="G118" i="24" s="1"/>
  <c r="H118" i="24" s="1"/>
  <c r="I118" i="24" s="1"/>
  <c r="J118" i="24" s="1"/>
  <c r="K118" i="24" s="1"/>
  <c r="H117" i="24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B117" i="24" s="1"/>
  <c r="E117" i="24"/>
  <c r="F117" i="24" s="1"/>
  <c r="G117" i="24" s="1"/>
  <c r="D117" i="24"/>
  <c r="N116" i="24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B116" i="24" s="1"/>
  <c r="F116" i="24"/>
  <c r="G116" i="24" s="1"/>
  <c r="H116" i="24" s="1"/>
  <c r="I116" i="24" s="1"/>
  <c r="J116" i="24" s="1"/>
  <c r="K116" i="24" s="1"/>
  <c r="L116" i="24" s="1"/>
  <c r="M116" i="24" s="1"/>
  <c r="D116" i="24"/>
  <c r="E116" i="24" s="1"/>
  <c r="N115" i="24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B115" i="24" s="1"/>
  <c r="D115" i="24"/>
  <c r="E115" i="24" s="1"/>
  <c r="F115" i="24" s="1"/>
  <c r="G115" i="24" s="1"/>
  <c r="H115" i="24" s="1"/>
  <c r="I115" i="24" s="1"/>
  <c r="J115" i="24" s="1"/>
  <c r="K115" i="24" s="1"/>
  <c r="L115" i="24" s="1"/>
  <c r="M115" i="24" s="1"/>
  <c r="L114" i="24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B114" i="24" s="1"/>
  <c r="K114" i="24"/>
  <c r="D114" i="24"/>
  <c r="E114" i="24" s="1"/>
  <c r="F114" i="24" s="1"/>
  <c r="G114" i="24" s="1"/>
  <c r="H114" i="24" s="1"/>
  <c r="I114" i="24" s="1"/>
  <c r="D113" i="24"/>
  <c r="E113" i="24" s="1"/>
  <c r="F113" i="24" s="1"/>
  <c r="G113" i="24" s="1"/>
  <c r="H113" i="24" s="1"/>
  <c r="I113" i="24" s="1"/>
  <c r="J113" i="24" s="1"/>
  <c r="K113" i="24" s="1"/>
  <c r="L113" i="24" s="1"/>
  <c r="M113" i="24" s="1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B113" i="24" s="1"/>
  <c r="E112" i="24"/>
  <c r="F112" i="24" s="1"/>
  <c r="G112" i="24" s="1"/>
  <c r="H112" i="24" s="1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B112" i="24" s="1"/>
  <c r="D112" i="24"/>
  <c r="F110" i="24"/>
  <c r="G110" i="24" s="1"/>
  <c r="H110" i="24" s="1"/>
  <c r="I110" i="24" s="1"/>
  <c r="J110" i="24" s="1"/>
  <c r="K110" i="24" s="1"/>
  <c r="L110" i="24" s="1"/>
  <c r="M110" i="24" s="1"/>
  <c r="N110" i="24" s="1"/>
  <c r="O110" i="24" s="1"/>
  <c r="P110" i="24" s="1"/>
  <c r="Q110" i="24" s="1"/>
  <c r="R110" i="24" s="1"/>
  <c r="S110" i="24" s="1"/>
  <c r="T110" i="24" s="1"/>
  <c r="U110" i="24" s="1"/>
  <c r="V110" i="24" s="1"/>
  <c r="W110" i="24" s="1"/>
  <c r="X110" i="24" s="1"/>
  <c r="Y110" i="24" s="1"/>
  <c r="Z110" i="24" s="1"/>
  <c r="AA110" i="24" s="1"/>
  <c r="AB110" i="24" s="1"/>
  <c r="AC110" i="24" s="1"/>
  <c r="AD110" i="24" s="1"/>
  <c r="AE110" i="24" s="1"/>
  <c r="AF110" i="24" s="1"/>
  <c r="B110" i="24" s="1"/>
  <c r="E110" i="24"/>
  <c r="D110" i="24"/>
  <c r="E109" i="24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B109" i="24" s="1"/>
  <c r="D109" i="24"/>
  <c r="D107" i="24"/>
  <c r="E107" i="24" s="1"/>
  <c r="F107" i="24" s="1"/>
  <c r="G107" i="24" s="1"/>
  <c r="H107" i="24" s="1"/>
  <c r="I107" i="24" s="1"/>
  <c r="J107" i="24" s="1"/>
  <c r="K107" i="24" s="1"/>
  <c r="L107" i="24" s="1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B107" i="24" s="1"/>
  <c r="E106" i="24"/>
  <c r="F106" i="24" s="1"/>
  <c r="G106" i="24" s="1"/>
  <c r="H106" i="24" s="1"/>
  <c r="I106" i="24" s="1"/>
  <c r="J106" i="24" s="1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B106" i="24" s="1"/>
  <c r="D106" i="24"/>
  <c r="D105" i="24"/>
  <c r="E105" i="24" s="1"/>
  <c r="F105" i="24" s="1"/>
  <c r="G105" i="24" s="1"/>
  <c r="H105" i="24" s="1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B105" i="24" s="1"/>
  <c r="D104" i="24"/>
  <c r="E104" i="24" s="1"/>
  <c r="F104" i="24" s="1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B104" i="24" s="1"/>
  <c r="D103" i="24"/>
  <c r="D93" i="24" s="1"/>
  <c r="G102" i="24"/>
  <c r="F102" i="24"/>
  <c r="E102" i="24"/>
  <c r="D102" i="24"/>
  <c r="AH100" i="24"/>
  <c r="AI100" i="24" s="1"/>
  <c r="AH99" i="24"/>
  <c r="AI99" i="24" s="1"/>
  <c r="AI98" i="24"/>
  <c r="AH98" i="24"/>
  <c r="AH97" i="24"/>
  <c r="AI97" i="24" s="1"/>
  <c r="AI96" i="24"/>
  <c r="AH96" i="24"/>
  <c r="AH95" i="24"/>
  <c r="AI95" i="24" s="1"/>
  <c r="AH94" i="24"/>
  <c r="AI94" i="24" s="1"/>
  <c r="C93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S83" i="24"/>
  <c r="C83" i="24"/>
  <c r="AG82" i="24"/>
  <c r="Z82" i="24"/>
  <c r="Y82" i="24"/>
  <c r="J82" i="24"/>
  <c r="I82" i="24"/>
  <c r="AI81" i="24"/>
  <c r="AH81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B80" i="24"/>
  <c r="AF79" i="24"/>
  <c r="AE79" i="24"/>
  <c r="AD79" i="24"/>
  <c r="AC79" i="24"/>
  <c r="AC82" i="24" s="1"/>
  <c r="AB79" i="24"/>
  <c r="AA79" i="24"/>
  <c r="Z79" i="24"/>
  <c r="Y79" i="24"/>
  <c r="X79" i="24"/>
  <c r="W79" i="24"/>
  <c r="V79" i="24"/>
  <c r="U79" i="24"/>
  <c r="U82" i="24" s="1"/>
  <c r="T79" i="24"/>
  <c r="S79" i="24"/>
  <c r="R79" i="24"/>
  <c r="Q79" i="24"/>
  <c r="P79" i="24"/>
  <c r="O79" i="24"/>
  <c r="N79" i="24"/>
  <c r="M79" i="24"/>
  <c r="M82" i="24" s="1"/>
  <c r="L79" i="24"/>
  <c r="K79" i="24"/>
  <c r="J79" i="24"/>
  <c r="I79" i="24"/>
  <c r="H79" i="24"/>
  <c r="G79" i="24"/>
  <c r="F79" i="24"/>
  <c r="E79" i="24"/>
  <c r="AH79" i="24" s="1"/>
  <c r="D79" i="24"/>
  <c r="C79" i="24"/>
  <c r="B79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AI78" i="24" s="1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R82" i="24" s="1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AI77" i="24" s="1"/>
  <c r="AF76" i="24"/>
  <c r="AF82" i="24" s="1"/>
  <c r="AE76" i="24"/>
  <c r="AE82" i="24" s="1"/>
  <c r="AD76" i="24"/>
  <c r="AD82" i="24" s="1"/>
  <c r="AC76" i="24"/>
  <c r="AB76" i="24"/>
  <c r="AB82" i="24" s="1"/>
  <c r="AA76" i="24"/>
  <c r="AA82" i="24" s="1"/>
  <c r="Z76" i="24"/>
  <c r="Y76" i="24"/>
  <c r="X76" i="24"/>
  <c r="X82" i="24" s="1"/>
  <c r="X83" i="24" s="1"/>
  <c r="W76" i="24"/>
  <c r="V76" i="24"/>
  <c r="U76" i="24"/>
  <c r="T76" i="24"/>
  <c r="T82" i="24" s="1"/>
  <c r="S76" i="24"/>
  <c r="S82" i="24" s="1"/>
  <c r="R76" i="24"/>
  <c r="Q76" i="24"/>
  <c r="Q82" i="24" s="1"/>
  <c r="P76" i="24"/>
  <c r="O76" i="24"/>
  <c r="O82" i="24" s="1"/>
  <c r="N76" i="24"/>
  <c r="M76" i="24"/>
  <c r="L76" i="24"/>
  <c r="L82" i="24" s="1"/>
  <c r="K76" i="24"/>
  <c r="K82" i="24" s="1"/>
  <c r="J76" i="24"/>
  <c r="I76" i="24"/>
  <c r="H76" i="24"/>
  <c r="H82" i="24" s="1"/>
  <c r="H83" i="24" s="1"/>
  <c r="G76" i="24"/>
  <c r="G82" i="24" s="1"/>
  <c r="G83" i="24" s="1"/>
  <c r="F76" i="24"/>
  <c r="F82" i="24" s="1"/>
  <c r="E76" i="24"/>
  <c r="D76" i="24"/>
  <c r="D82" i="24" s="1"/>
  <c r="C76" i="24"/>
  <c r="C82" i="24" s="1"/>
  <c r="B76" i="24"/>
  <c r="AI74" i="24"/>
  <c r="AH74" i="24"/>
  <c r="AI72" i="24"/>
  <c r="AH72" i="24"/>
  <c r="AG72" i="24"/>
  <c r="AI71" i="24"/>
  <c r="AH71" i="24"/>
  <c r="AI70" i="24"/>
  <c r="AH70" i="24"/>
  <c r="AI69" i="24"/>
  <c r="AH69" i="24"/>
  <c r="AG68" i="24"/>
  <c r="AG73" i="24" s="1"/>
  <c r="AF68" i="24"/>
  <c r="AF83" i="24" s="1"/>
  <c r="AE68" i="24"/>
  <c r="AE83" i="24" s="1"/>
  <c r="AD68" i="24"/>
  <c r="AC68" i="24"/>
  <c r="AB68" i="24"/>
  <c r="AA68" i="24"/>
  <c r="Z5" i="24" s="1"/>
  <c r="Z68" i="24"/>
  <c r="Y5" i="24" s="1"/>
  <c r="Y68" i="24"/>
  <c r="Y83" i="24" s="1"/>
  <c r="X68" i="24"/>
  <c r="W68" i="24"/>
  <c r="V68" i="24"/>
  <c r="U68" i="24"/>
  <c r="T68" i="24"/>
  <c r="S68" i="24"/>
  <c r="R5" i="24" s="1"/>
  <c r="R68" i="24"/>
  <c r="Q68" i="24"/>
  <c r="P5" i="24" s="1"/>
  <c r="P68" i="24"/>
  <c r="O68" i="24"/>
  <c r="O83" i="24" s="1"/>
  <c r="N68" i="24"/>
  <c r="M68" i="24"/>
  <c r="L68" i="24"/>
  <c r="K68" i="24"/>
  <c r="J5" i="24" s="1"/>
  <c r="J68" i="24"/>
  <c r="I5" i="24" s="1"/>
  <c r="I68" i="24"/>
  <c r="I83" i="24" s="1"/>
  <c r="H68" i="24"/>
  <c r="G68" i="24"/>
  <c r="F68" i="24"/>
  <c r="E68" i="24"/>
  <c r="D68" i="24"/>
  <c r="C68" i="24"/>
  <c r="B5" i="24" s="1"/>
  <c r="B68" i="24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G56" i="24"/>
  <c r="AG4" i="24" s="1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AH56" i="24" s="1"/>
  <c r="AI55" i="24"/>
  <c r="AH55" i="24"/>
  <c r="AI54" i="24"/>
  <c r="AH54" i="24"/>
  <c r="AI53" i="24"/>
  <c r="AH53" i="24"/>
  <c r="AG52" i="24"/>
  <c r="AG3" i="24" s="1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AI52" i="24" s="1"/>
  <c r="AI51" i="24"/>
  <c r="AH51" i="24"/>
  <c r="AG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G38" i="24"/>
  <c r="AF38" i="24"/>
  <c r="AF73" i="24" s="1"/>
  <c r="AF75" i="24" s="1"/>
  <c r="AE38" i="24"/>
  <c r="AE73" i="24" s="1"/>
  <c r="AE75" i="24" s="1"/>
  <c r="AD38" i="24"/>
  <c r="AD73" i="24" s="1"/>
  <c r="AD75" i="24" s="1"/>
  <c r="AC38" i="24"/>
  <c r="AC73" i="24" s="1"/>
  <c r="AC75" i="24" s="1"/>
  <c r="AB38" i="24"/>
  <c r="AB73" i="24" s="1"/>
  <c r="AB75" i="24" s="1"/>
  <c r="AA38" i="24"/>
  <c r="AA73" i="24" s="1"/>
  <c r="AA75" i="24" s="1"/>
  <c r="Z38" i="24"/>
  <c r="Z73" i="24" s="1"/>
  <c r="Z75" i="24" s="1"/>
  <c r="Y38" i="24"/>
  <c r="Y73" i="24" s="1"/>
  <c r="Y75" i="24" s="1"/>
  <c r="X38" i="24"/>
  <c r="X73" i="24" s="1"/>
  <c r="X75" i="24" s="1"/>
  <c r="W38" i="24"/>
  <c r="W73" i="24" s="1"/>
  <c r="W75" i="24" s="1"/>
  <c r="V38" i="24"/>
  <c r="V73" i="24" s="1"/>
  <c r="V75" i="24" s="1"/>
  <c r="U38" i="24"/>
  <c r="U73" i="24" s="1"/>
  <c r="U75" i="24" s="1"/>
  <c r="T38" i="24"/>
  <c r="T73" i="24" s="1"/>
  <c r="T75" i="24" s="1"/>
  <c r="S38" i="24"/>
  <c r="S73" i="24" s="1"/>
  <c r="S75" i="24" s="1"/>
  <c r="R38" i="24"/>
  <c r="R73" i="24" s="1"/>
  <c r="R75" i="24" s="1"/>
  <c r="Q38" i="24"/>
  <c r="Q73" i="24" s="1"/>
  <c r="Q75" i="24" s="1"/>
  <c r="P38" i="24"/>
  <c r="P73" i="24" s="1"/>
  <c r="P75" i="24" s="1"/>
  <c r="O38" i="24"/>
  <c r="O73" i="24" s="1"/>
  <c r="O75" i="24" s="1"/>
  <c r="N38" i="24"/>
  <c r="N73" i="24" s="1"/>
  <c r="N75" i="24" s="1"/>
  <c r="M38" i="24"/>
  <c r="M73" i="24" s="1"/>
  <c r="M75" i="24" s="1"/>
  <c r="L38" i="24"/>
  <c r="L73" i="24" s="1"/>
  <c r="L75" i="24" s="1"/>
  <c r="K38" i="24"/>
  <c r="K73" i="24" s="1"/>
  <c r="K75" i="24" s="1"/>
  <c r="J38" i="24"/>
  <c r="J73" i="24" s="1"/>
  <c r="J75" i="24" s="1"/>
  <c r="I38" i="24"/>
  <c r="I73" i="24" s="1"/>
  <c r="I75" i="24" s="1"/>
  <c r="H38" i="24"/>
  <c r="H73" i="24" s="1"/>
  <c r="H75" i="24" s="1"/>
  <c r="G38" i="24"/>
  <c r="G73" i="24" s="1"/>
  <c r="G75" i="24" s="1"/>
  <c r="F38" i="24"/>
  <c r="F73" i="24" s="1"/>
  <c r="F75" i="24" s="1"/>
  <c r="E38" i="24"/>
  <c r="E73" i="24" s="1"/>
  <c r="E75" i="24" s="1"/>
  <c r="D38" i="24"/>
  <c r="D73" i="24" s="1"/>
  <c r="D75" i="24" s="1"/>
  <c r="C38" i="24"/>
  <c r="C73" i="24" s="1"/>
  <c r="C75" i="24" s="1"/>
  <c r="B38" i="24"/>
  <c r="AI38" i="24" s="1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E5" i="24"/>
  <c r="AD5" i="24"/>
  <c r="AC5" i="24"/>
  <c r="AB5" i="24"/>
  <c r="AA5" i="24"/>
  <c r="W5" i="24"/>
  <c r="V5" i="24"/>
  <c r="U5" i="24"/>
  <c r="T5" i="24"/>
  <c r="S5" i="24"/>
  <c r="O5" i="24"/>
  <c r="N5" i="24"/>
  <c r="M5" i="24"/>
  <c r="L5" i="24"/>
  <c r="K5" i="24"/>
  <c r="G5" i="24"/>
  <c r="F5" i="24"/>
  <c r="E5" i="24"/>
  <c r="D5" i="24"/>
  <c r="C5" i="24"/>
  <c r="K4" i="24"/>
  <c r="B4" i="24"/>
  <c r="AG2" i="24"/>
  <c r="AG6" i="24" s="1"/>
  <c r="AD37" i="23"/>
  <c r="AC37" i="23"/>
  <c r="AB37" i="23"/>
  <c r="AA95" i="23"/>
  <c r="AA37" i="23"/>
  <c r="Z95" i="23"/>
  <c r="Z37" i="23"/>
  <c r="Y95" i="23"/>
  <c r="Y37" i="23"/>
  <c r="X95" i="23"/>
  <c r="X37" i="23"/>
  <c r="W95" i="23"/>
  <c r="W37" i="23"/>
  <c r="V95" i="23"/>
  <c r="V37" i="23"/>
  <c r="U95" i="23"/>
  <c r="U37" i="23"/>
  <c r="E4" i="25"/>
  <c r="E4" i="24"/>
  <c r="Z109" i="33" l="1"/>
  <c r="Y93" i="33"/>
  <c r="Y199" i="33"/>
  <c r="W235" i="33"/>
  <c r="X200" i="33"/>
  <c r="AA194" i="33"/>
  <c r="AB103" i="33"/>
  <c r="Y192" i="33"/>
  <c r="Z102" i="33"/>
  <c r="W194" i="32"/>
  <c r="V200" i="32"/>
  <c r="V93" i="32"/>
  <c r="W235" i="32"/>
  <c r="Y199" i="32"/>
  <c r="W192" i="32"/>
  <c r="X102" i="32"/>
  <c r="AC103" i="32"/>
  <c r="Y115" i="32"/>
  <c r="W194" i="31"/>
  <c r="V200" i="31"/>
  <c r="V93" i="31"/>
  <c r="V192" i="31"/>
  <c r="W102" i="31"/>
  <c r="V235" i="31"/>
  <c r="X199" i="31"/>
  <c r="Y103" i="31"/>
  <c r="V192" i="30"/>
  <c r="W102" i="30"/>
  <c r="Y194" i="30"/>
  <c r="U235" i="30"/>
  <c r="W199" i="30"/>
  <c r="V200" i="30"/>
  <c r="V93" i="30"/>
  <c r="W103" i="30"/>
  <c r="W103" i="29"/>
  <c r="V93" i="29"/>
  <c r="X194" i="29"/>
  <c r="W200" i="29"/>
  <c r="V235" i="29"/>
  <c r="X199" i="29"/>
  <c r="W192" i="29"/>
  <c r="X102" i="29"/>
  <c r="V192" i="29"/>
  <c r="W199" i="28"/>
  <c r="U235" i="28"/>
  <c r="AD103" i="28"/>
  <c r="W109" i="28"/>
  <c r="V93" i="28"/>
  <c r="V200" i="28"/>
  <c r="V192" i="28"/>
  <c r="W102" i="28"/>
  <c r="X194" i="28"/>
  <c r="W200" i="28"/>
  <c r="W93" i="27"/>
  <c r="X103" i="27"/>
  <c r="V235" i="27"/>
  <c r="X199" i="27"/>
  <c r="V192" i="27"/>
  <c r="W102" i="27"/>
  <c r="W200" i="27"/>
  <c r="X194" i="27"/>
  <c r="U200" i="26"/>
  <c r="V199" i="26"/>
  <c r="T235" i="26"/>
  <c r="X194" i="26"/>
  <c r="W103" i="26"/>
  <c r="V93" i="26"/>
  <c r="U192" i="26"/>
  <c r="V102" i="26"/>
  <c r="AF82" i="25"/>
  <c r="AF83" i="25"/>
  <c r="AF73" i="25"/>
  <c r="AF75" i="25" s="1"/>
  <c r="AX214" i="25" s="1"/>
  <c r="AE73" i="25"/>
  <c r="AE75" i="25" s="1"/>
  <c r="AW214" i="25" s="1"/>
  <c r="AD82" i="25"/>
  <c r="AD73" i="25"/>
  <c r="AD75" i="25" s="1"/>
  <c r="AV214" i="25" s="1"/>
  <c r="AC73" i="25"/>
  <c r="AC75" i="25" s="1"/>
  <c r="AC7" i="25" s="1"/>
  <c r="AB73" i="25"/>
  <c r="AB75" i="25" s="1"/>
  <c r="AT214" i="25" s="1"/>
  <c r="AB83" i="25"/>
  <c r="AA82" i="25"/>
  <c r="AA73" i="25"/>
  <c r="AA75" i="25" s="1"/>
  <c r="Y82" i="25"/>
  <c r="Y73" i="25"/>
  <c r="Y75" i="25" s="1"/>
  <c r="Y7" i="25" s="1"/>
  <c r="X82" i="25"/>
  <c r="X73" i="25"/>
  <c r="X75" i="25" s="1"/>
  <c r="W73" i="25"/>
  <c r="W75" i="25" s="1"/>
  <c r="V82" i="25"/>
  <c r="V73" i="25"/>
  <c r="V75" i="25" s="1"/>
  <c r="AN214" i="25" s="1"/>
  <c r="U73" i="25"/>
  <c r="U75" i="25" s="1"/>
  <c r="U7" i="25" s="1"/>
  <c r="T73" i="25"/>
  <c r="T75" i="25" s="1"/>
  <c r="AL214" i="25" s="1"/>
  <c r="T83" i="25"/>
  <c r="S82" i="25"/>
  <c r="S83" i="25" s="1"/>
  <c r="S73" i="25"/>
  <c r="S75" i="25" s="1"/>
  <c r="AK214" i="25" s="1"/>
  <c r="Q82" i="25"/>
  <c r="Q73" i="25"/>
  <c r="Q75" i="25" s="1"/>
  <c r="P73" i="25"/>
  <c r="P75" i="25" s="1"/>
  <c r="O73" i="25"/>
  <c r="O75" i="25" s="1"/>
  <c r="N73" i="25"/>
  <c r="N75" i="25" s="1"/>
  <c r="AF214" i="25" s="1"/>
  <c r="N7" i="25"/>
  <c r="M73" i="25"/>
  <c r="M75" i="25" s="1"/>
  <c r="L82" i="25"/>
  <c r="L83" i="25" s="1"/>
  <c r="L73" i="25"/>
  <c r="L75" i="25" s="1"/>
  <c r="AD214" i="25" s="1"/>
  <c r="K82" i="25"/>
  <c r="K73" i="25"/>
  <c r="K75" i="25" s="1"/>
  <c r="K7" i="25" s="1"/>
  <c r="I82" i="25"/>
  <c r="I83" i="25" s="1"/>
  <c r="I73" i="25"/>
  <c r="I75" i="25" s="1"/>
  <c r="I7" i="25" s="1"/>
  <c r="H82" i="25"/>
  <c r="H83" i="25"/>
  <c r="H73" i="25"/>
  <c r="H75" i="25" s="1"/>
  <c r="Z214" i="25" s="1"/>
  <c r="G73" i="25"/>
  <c r="G75" i="25" s="1"/>
  <c r="F82" i="25"/>
  <c r="F73" i="25"/>
  <c r="F75" i="25" s="1"/>
  <c r="X214" i="25" s="1"/>
  <c r="E73" i="25"/>
  <c r="E75" i="25" s="1"/>
  <c r="W214" i="25" s="1"/>
  <c r="D83" i="25"/>
  <c r="D73" i="25"/>
  <c r="D75" i="25" s="1"/>
  <c r="V214" i="25" s="1"/>
  <c r="AI56" i="25"/>
  <c r="AI52" i="25"/>
  <c r="AI79" i="25"/>
  <c r="C82" i="25"/>
  <c r="AH68" i="25"/>
  <c r="C73" i="25"/>
  <c r="C75" i="25" s="1"/>
  <c r="U214" i="25" s="1"/>
  <c r="AH80" i="25"/>
  <c r="H4" i="25"/>
  <c r="AI214" i="25"/>
  <c r="Q7" i="25"/>
  <c r="AS214" i="25"/>
  <c r="AA7" i="25"/>
  <c r="AH214" i="25"/>
  <c r="P7" i="25"/>
  <c r="L7" i="25"/>
  <c r="AE214" i="25"/>
  <c r="M7" i="25"/>
  <c r="AM214" i="25"/>
  <c r="AU214" i="25"/>
  <c r="AG6" i="25"/>
  <c r="AP214" i="25"/>
  <c r="X7" i="25"/>
  <c r="AQ214" i="25"/>
  <c r="Y214" i="25"/>
  <c r="G7" i="25"/>
  <c r="AG214" i="25"/>
  <c r="O7" i="25"/>
  <c r="AO214" i="25"/>
  <c r="W7" i="25"/>
  <c r="AE7" i="25"/>
  <c r="S211" i="25"/>
  <c r="D211" i="25"/>
  <c r="Q83" i="25"/>
  <c r="Y83" i="25"/>
  <c r="AG73" i="25"/>
  <c r="E82" i="25"/>
  <c r="E83" i="25" s="1"/>
  <c r="M82" i="25"/>
  <c r="U82" i="25"/>
  <c r="AC82" i="25"/>
  <c r="H103" i="25"/>
  <c r="X83" i="25"/>
  <c r="AH52" i="25"/>
  <c r="AH56" i="25"/>
  <c r="R83" i="25"/>
  <c r="G5" i="25"/>
  <c r="W5" i="25"/>
  <c r="AE5" i="25"/>
  <c r="C83" i="25"/>
  <c r="K83" i="25"/>
  <c r="AA83" i="25"/>
  <c r="AI68" i="25"/>
  <c r="G82" i="25"/>
  <c r="G83" i="25" s="1"/>
  <c r="O82" i="25"/>
  <c r="O83" i="25" s="1"/>
  <c r="W82" i="25"/>
  <c r="W83" i="25" s="1"/>
  <c r="AE82" i="25"/>
  <c r="AE83" i="25" s="1"/>
  <c r="F5" i="25"/>
  <c r="N5" i="25"/>
  <c r="J83" i="25"/>
  <c r="AF5" i="25"/>
  <c r="AG75" i="25"/>
  <c r="AG83" i="25" s="1"/>
  <c r="AH79" i="25"/>
  <c r="AI80" i="25"/>
  <c r="I5" i="25"/>
  <c r="Q5" i="25"/>
  <c r="B73" i="25"/>
  <c r="J73" i="25"/>
  <c r="J75" i="25" s="1"/>
  <c r="R73" i="25"/>
  <c r="R75" i="25" s="1"/>
  <c r="Z73" i="25"/>
  <c r="Z75" i="25" s="1"/>
  <c r="AH38" i="25"/>
  <c r="M83" i="25"/>
  <c r="U83" i="25"/>
  <c r="AC83" i="25"/>
  <c r="AH76" i="25"/>
  <c r="AI78" i="25"/>
  <c r="E192" i="25"/>
  <c r="F102" i="25"/>
  <c r="F109" i="25"/>
  <c r="P83" i="25"/>
  <c r="AI38" i="25"/>
  <c r="F83" i="25"/>
  <c r="N83" i="25"/>
  <c r="V83" i="25"/>
  <c r="AD83" i="25"/>
  <c r="AI76" i="25"/>
  <c r="J82" i="25"/>
  <c r="R82" i="25"/>
  <c r="Z82" i="25"/>
  <c r="Z83" i="25" s="1"/>
  <c r="AI77" i="25"/>
  <c r="B82" i="25"/>
  <c r="B83" i="25" s="1"/>
  <c r="AH77" i="25"/>
  <c r="AH78" i="25"/>
  <c r="D192" i="25"/>
  <c r="F194" i="25"/>
  <c r="E199" i="25"/>
  <c r="E93" i="25" s="1"/>
  <c r="H4" i="24"/>
  <c r="U214" i="24"/>
  <c r="C7" i="24"/>
  <c r="V214" i="24"/>
  <c r="D7" i="24"/>
  <c r="AD214" i="24"/>
  <c r="L7" i="24"/>
  <c r="AL214" i="24"/>
  <c r="T7" i="24"/>
  <c r="AT214" i="24"/>
  <c r="AB7" i="24"/>
  <c r="AK214" i="24"/>
  <c r="S7" i="24"/>
  <c r="W214" i="24"/>
  <c r="E7" i="24"/>
  <c r="AE214" i="24"/>
  <c r="M7" i="24"/>
  <c r="AM214" i="24"/>
  <c r="U7" i="24"/>
  <c r="AU214" i="24"/>
  <c r="AC7" i="24"/>
  <c r="X214" i="24"/>
  <c r="F7" i="24"/>
  <c r="AN214" i="24"/>
  <c r="V7" i="24"/>
  <c r="B209" i="24"/>
  <c r="Y214" i="24"/>
  <c r="C209" i="24"/>
  <c r="G7" i="24"/>
  <c r="AG214" i="24"/>
  <c r="O7" i="24"/>
  <c r="AO214" i="24"/>
  <c r="W7" i="24"/>
  <c r="AW214" i="24"/>
  <c r="AE7" i="24"/>
  <c r="AV214" i="24"/>
  <c r="AD7" i="24"/>
  <c r="AH214" i="24"/>
  <c r="P7" i="24"/>
  <c r="AX214" i="24"/>
  <c r="AF7" i="24"/>
  <c r="AC214" i="24"/>
  <c r="K7" i="24"/>
  <c r="AF214" i="24"/>
  <c r="N7" i="24"/>
  <c r="Z214" i="24"/>
  <c r="H7" i="24"/>
  <c r="AP214" i="24"/>
  <c r="X7" i="24"/>
  <c r="AA214" i="24"/>
  <c r="I7" i="24"/>
  <c r="AI214" i="24"/>
  <c r="Q7" i="24"/>
  <c r="AQ214" i="24"/>
  <c r="Y7" i="24"/>
  <c r="B83" i="24"/>
  <c r="R83" i="24"/>
  <c r="AS214" i="24"/>
  <c r="AA7" i="24"/>
  <c r="AB214" i="24"/>
  <c r="J7" i="24"/>
  <c r="AJ214" i="24"/>
  <c r="R7" i="24"/>
  <c r="AR214" i="24"/>
  <c r="Z7" i="24"/>
  <c r="P82" i="24"/>
  <c r="P83" i="24" s="1"/>
  <c r="E82" i="24"/>
  <c r="AH52" i="24"/>
  <c r="AH68" i="24"/>
  <c r="W82" i="24"/>
  <c r="W83" i="24" s="1"/>
  <c r="AI56" i="24"/>
  <c r="H5" i="24"/>
  <c r="X5" i="24"/>
  <c r="AF5" i="24"/>
  <c r="D83" i="24"/>
  <c r="L83" i="24"/>
  <c r="T83" i="24"/>
  <c r="AB83" i="24"/>
  <c r="AH76" i="24"/>
  <c r="AH78" i="24"/>
  <c r="J83" i="24"/>
  <c r="Z83" i="24"/>
  <c r="N82" i="24"/>
  <c r="N83" i="24" s="1"/>
  <c r="Q5" i="24"/>
  <c r="AH38" i="24"/>
  <c r="E83" i="24"/>
  <c r="M83" i="24"/>
  <c r="U83" i="24"/>
  <c r="AC83" i="24"/>
  <c r="B73" i="24"/>
  <c r="AI76" i="24"/>
  <c r="AH77" i="24"/>
  <c r="K83" i="24"/>
  <c r="AA83" i="24"/>
  <c r="V82" i="24"/>
  <c r="V83" i="24" s="1"/>
  <c r="AI68" i="24"/>
  <c r="F83" i="24"/>
  <c r="AD83" i="24"/>
  <c r="AI79" i="24"/>
  <c r="AI80" i="24"/>
  <c r="S211" i="24"/>
  <c r="D211" i="24"/>
  <c r="B82" i="24"/>
  <c r="Q83" i="24"/>
  <c r="AG75" i="24"/>
  <c r="AG83" i="24" s="1"/>
  <c r="E192" i="24"/>
  <c r="AH80" i="24"/>
  <c r="H102" i="24"/>
  <c r="E103" i="24"/>
  <c r="D192" i="24"/>
  <c r="E200" i="24"/>
  <c r="G194" i="24"/>
  <c r="E195" i="24"/>
  <c r="F195" i="24" s="1"/>
  <c r="G195" i="24" s="1"/>
  <c r="H195" i="24" s="1"/>
  <c r="I195" i="24" s="1"/>
  <c r="J195" i="24" s="1"/>
  <c r="K195" i="24" s="1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B195" i="24" s="1"/>
  <c r="E199" i="24"/>
  <c r="AB194" i="33" l="1"/>
  <c r="Z192" i="33"/>
  <c r="AA102" i="33"/>
  <c r="Z199" i="33"/>
  <c r="X235" i="33"/>
  <c r="Y200" i="33"/>
  <c r="AC103" i="33"/>
  <c r="AA109" i="33"/>
  <c r="Z93" i="33"/>
  <c r="AD103" i="32"/>
  <c r="X192" i="32"/>
  <c r="Y102" i="32"/>
  <c r="X235" i="32"/>
  <c r="Z199" i="32"/>
  <c r="Z115" i="32"/>
  <c r="X194" i="32"/>
  <c r="W200" i="32"/>
  <c r="W93" i="32"/>
  <c r="W235" i="31"/>
  <c r="Y199" i="31"/>
  <c r="W192" i="31"/>
  <c r="X102" i="31"/>
  <c r="Z103" i="31"/>
  <c r="X194" i="31"/>
  <c r="W200" i="31"/>
  <c r="W93" i="31"/>
  <c r="V235" i="30"/>
  <c r="X199" i="30"/>
  <c r="W200" i="30"/>
  <c r="Z194" i="30"/>
  <c r="W192" i="30"/>
  <c r="X102" i="30"/>
  <c r="X103" i="30"/>
  <c r="W93" i="30"/>
  <c r="Y102" i="29"/>
  <c r="W235" i="29"/>
  <c r="Y199" i="29"/>
  <c r="Y194" i="29"/>
  <c r="X200" i="29"/>
  <c r="W93" i="29"/>
  <c r="X103" i="29"/>
  <c r="X109" i="28"/>
  <c r="W93" i="28"/>
  <c r="AE103" i="28"/>
  <c r="X200" i="28"/>
  <c r="Y194" i="28"/>
  <c r="W192" i="28"/>
  <c r="X102" i="28"/>
  <c r="V235" i="28"/>
  <c r="X199" i="28"/>
  <c r="Y194" i="27"/>
  <c r="X200" i="27"/>
  <c r="W192" i="27"/>
  <c r="X102" i="27"/>
  <c r="W235" i="27"/>
  <c r="Y199" i="27"/>
  <c r="X93" i="27"/>
  <c r="Y103" i="27"/>
  <c r="U235" i="26"/>
  <c r="W199" i="26"/>
  <c r="V200" i="26"/>
  <c r="V192" i="26"/>
  <c r="W102" i="26"/>
  <c r="W93" i="26"/>
  <c r="X103" i="26"/>
  <c r="Y194" i="26"/>
  <c r="AF7" i="25"/>
  <c r="AB7" i="25"/>
  <c r="AD7" i="25"/>
  <c r="S7" i="25"/>
  <c r="T7" i="25"/>
  <c r="V7" i="25"/>
  <c r="AC214" i="25"/>
  <c r="AA214" i="25"/>
  <c r="H7" i="25"/>
  <c r="E7" i="25"/>
  <c r="F7" i="25"/>
  <c r="D7" i="25"/>
  <c r="C7" i="25"/>
  <c r="I103" i="25"/>
  <c r="AH73" i="25"/>
  <c r="B75" i="25"/>
  <c r="AI73" i="25"/>
  <c r="G194" i="25"/>
  <c r="E200" i="25"/>
  <c r="AI83" i="25"/>
  <c r="AH83" i="25"/>
  <c r="G109" i="25"/>
  <c r="F93" i="25"/>
  <c r="AB214" i="25"/>
  <c r="J7" i="25"/>
  <c r="C209" i="25"/>
  <c r="F192" i="25"/>
  <c r="G102" i="25"/>
  <c r="AR214" i="25"/>
  <c r="Z7" i="25"/>
  <c r="D235" i="25"/>
  <c r="F199" i="25"/>
  <c r="AI82" i="25"/>
  <c r="AH82" i="25"/>
  <c r="AJ214" i="25"/>
  <c r="R7" i="25"/>
  <c r="B209" i="25"/>
  <c r="AI73" i="24"/>
  <c r="AH73" i="24"/>
  <c r="B75" i="24"/>
  <c r="F103" i="24"/>
  <c r="E93" i="24"/>
  <c r="F199" i="24"/>
  <c r="D235" i="24"/>
  <c r="I102" i="24"/>
  <c r="AI82" i="24"/>
  <c r="AH82" i="24"/>
  <c r="H194" i="24"/>
  <c r="K6" i="24"/>
  <c r="AH83" i="24"/>
  <c r="AI83" i="24"/>
  <c r="AA199" i="33" l="1"/>
  <c r="Y235" i="33"/>
  <c r="Z200" i="33"/>
  <c r="AA192" i="33"/>
  <c r="AB102" i="33"/>
  <c r="AB109" i="33"/>
  <c r="AA93" i="33"/>
  <c r="AD103" i="33"/>
  <c r="AC194" i="33"/>
  <c r="AA115" i="32"/>
  <c r="Y192" i="32"/>
  <c r="Z102" i="32"/>
  <c r="Y235" i="32"/>
  <c r="AA199" i="32"/>
  <c r="Y194" i="32"/>
  <c r="X200" i="32"/>
  <c r="X93" i="32"/>
  <c r="AE103" i="32"/>
  <c r="Y194" i="31"/>
  <c r="X200" i="31"/>
  <c r="X93" i="31"/>
  <c r="AA103" i="31"/>
  <c r="X192" i="31"/>
  <c r="Y102" i="31"/>
  <c r="X235" i="31"/>
  <c r="Z199" i="31"/>
  <c r="Y103" i="30"/>
  <c r="X93" i="30"/>
  <c r="AA194" i="30"/>
  <c r="W235" i="30"/>
  <c r="Y199" i="30"/>
  <c r="X200" i="30"/>
  <c r="X192" i="30"/>
  <c r="Y102" i="30"/>
  <c r="Y103" i="29"/>
  <c r="X93" i="29"/>
  <c r="Z194" i="29"/>
  <c r="Y200" i="29"/>
  <c r="Y192" i="29"/>
  <c r="Z102" i="29"/>
  <c r="X235" i="29"/>
  <c r="Z199" i="29"/>
  <c r="X192" i="29"/>
  <c r="X192" i="28"/>
  <c r="Y102" i="28"/>
  <c r="Z194" i="28"/>
  <c r="AF103" i="28"/>
  <c r="W235" i="28"/>
  <c r="Y199" i="28"/>
  <c r="Y109" i="28"/>
  <c r="X93" i="28"/>
  <c r="Z103" i="27"/>
  <c r="Y93" i="27"/>
  <c r="Z199" i="27"/>
  <c r="X235" i="27"/>
  <c r="X192" i="27"/>
  <c r="Y102" i="27"/>
  <c r="Y200" i="27"/>
  <c r="Z194" i="27"/>
  <c r="V235" i="26"/>
  <c r="W200" i="26"/>
  <c r="X199" i="26"/>
  <c r="Z194" i="26"/>
  <c r="Y103" i="26"/>
  <c r="X93" i="26"/>
  <c r="W192" i="26"/>
  <c r="X102" i="26"/>
  <c r="K6" i="25"/>
  <c r="H194" i="25"/>
  <c r="G200" i="25"/>
  <c r="G192" i="25"/>
  <c r="H102" i="25"/>
  <c r="J103" i="25"/>
  <c r="E235" i="25"/>
  <c r="G199" i="25"/>
  <c r="T214" i="25"/>
  <c r="AH75" i="25"/>
  <c r="AI75" i="25"/>
  <c r="B7" i="25"/>
  <c r="A7" i="25" s="1"/>
  <c r="H109" i="25"/>
  <c r="G93" i="25"/>
  <c r="F200" i="25"/>
  <c r="E235" i="24"/>
  <c r="G199" i="24"/>
  <c r="F200" i="24"/>
  <c r="G103" i="24"/>
  <c r="F93" i="24"/>
  <c r="F192" i="24"/>
  <c r="T214" i="24"/>
  <c r="B7" i="24"/>
  <c r="A7" i="24" s="1"/>
  <c r="AH75" i="24"/>
  <c r="AI75" i="24"/>
  <c r="I194" i="24"/>
  <c r="J102" i="24"/>
  <c r="AC109" i="33" l="1"/>
  <c r="AB93" i="33"/>
  <c r="AB192" i="33"/>
  <c r="AC102" i="33"/>
  <c r="AD194" i="33"/>
  <c r="AE103" i="33"/>
  <c r="AB199" i="33"/>
  <c r="Z235" i="33"/>
  <c r="AA200" i="33"/>
  <c r="Z235" i="32"/>
  <c r="AB199" i="32"/>
  <c r="Z192" i="32"/>
  <c r="AA102" i="32"/>
  <c r="Z194" i="32"/>
  <c r="Y200" i="32"/>
  <c r="Y93" i="32"/>
  <c r="AF103" i="32"/>
  <c r="AB115" i="32"/>
  <c r="AB103" i="31"/>
  <c r="Y192" i="31"/>
  <c r="Z102" i="31"/>
  <c r="Y235" i="31"/>
  <c r="AA199" i="31"/>
  <c r="Z194" i="31"/>
  <c r="Y200" i="31"/>
  <c r="Y93" i="31"/>
  <c r="X235" i="30"/>
  <c r="Z199" i="30"/>
  <c r="Y200" i="30"/>
  <c r="AB194" i="30"/>
  <c r="Y192" i="30"/>
  <c r="Z102" i="30"/>
  <c r="Z103" i="30"/>
  <c r="Y93" i="30"/>
  <c r="AA199" i="29"/>
  <c r="Y235" i="29"/>
  <c r="AA102" i="29"/>
  <c r="Z200" i="29"/>
  <c r="AA194" i="29"/>
  <c r="Y93" i="29"/>
  <c r="Z103" i="29"/>
  <c r="X235" i="28"/>
  <c r="Z199" i="28"/>
  <c r="B103" i="28"/>
  <c r="Z200" i="28"/>
  <c r="AA194" i="28"/>
  <c r="Y192" i="28"/>
  <c r="Z102" i="28"/>
  <c r="Y200" i="28"/>
  <c r="Z109" i="28"/>
  <c r="Y93" i="28"/>
  <c r="Y192" i="27"/>
  <c r="Z102" i="27"/>
  <c r="Z200" i="27"/>
  <c r="AA194" i="27"/>
  <c r="Y235" i="27"/>
  <c r="AA199" i="27"/>
  <c r="AA103" i="27"/>
  <c r="Z93" i="27"/>
  <c r="X200" i="26"/>
  <c r="W235" i="26"/>
  <c r="Y199" i="26"/>
  <c r="X192" i="26"/>
  <c r="Y102" i="26"/>
  <c r="AA194" i="26"/>
  <c r="Y93" i="26"/>
  <c r="Z103" i="26"/>
  <c r="I109" i="25"/>
  <c r="H93" i="25"/>
  <c r="H192" i="25"/>
  <c r="I102" i="25"/>
  <c r="H200" i="25"/>
  <c r="I194" i="25"/>
  <c r="K103" i="25"/>
  <c r="F235" i="25"/>
  <c r="H199" i="25"/>
  <c r="K102" i="24"/>
  <c r="F235" i="24"/>
  <c r="H199" i="24"/>
  <c r="G200" i="24"/>
  <c r="H103" i="24"/>
  <c r="G93" i="24"/>
  <c r="G192" i="24"/>
  <c r="J194" i="24"/>
  <c r="AF103" i="33" l="1"/>
  <c r="AE194" i="33"/>
  <c r="AC192" i="33"/>
  <c r="AD102" i="33"/>
  <c r="AC199" i="33"/>
  <c r="AA235" i="33"/>
  <c r="AB200" i="33"/>
  <c r="AD109" i="33"/>
  <c r="AA192" i="32"/>
  <c r="AB102" i="32"/>
  <c r="Z200" i="32"/>
  <c r="AA194" i="32"/>
  <c r="Z93" i="32"/>
  <c r="AC115" i="32"/>
  <c r="AC199" i="32"/>
  <c r="AA235" i="32"/>
  <c r="B103" i="32"/>
  <c r="Z200" i="31"/>
  <c r="AA194" i="31"/>
  <c r="Z93" i="31"/>
  <c r="Z192" i="31"/>
  <c r="AA102" i="31"/>
  <c r="Z235" i="31"/>
  <c r="AB199" i="31"/>
  <c r="AC103" i="31"/>
  <c r="AA103" i="30"/>
  <c r="Z93" i="30"/>
  <c r="Z192" i="30"/>
  <c r="AA102" i="30"/>
  <c r="AC194" i="30"/>
  <c r="Y235" i="30"/>
  <c r="AA199" i="30"/>
  <c r="Z200" i="30"/>
  <c r="AA103" i="29"/>
  <c r="Z93" i="29"/>
  <c r="AA200" i="29"/>
  <c r="AB194" i="29"/>
  <c r="AA192" i="29"/>
  <c r="AB102" i="29"/>
  <c r="Z192" i="29"/>
  <c r="Z235" i="29"/>
  <c r="AB199" i="29"/>
  <c r="Z192" i="28"/>
  <c r="AA102" i="28"/>
  <c r="AB194" i="28"/>
  <c r="Y235" i="28"/>
  <c r="AA199" i="28"/>
  <c r="AA109" i="28"/>
  <c r="Z93" i="28"/>
  <c r="AA93" i="27"/>
  <c r="AB103" i="27"/>
  <c r="AB194" i="27"/>
  <c r="AA200" i="27"/>
  <c r="Z192" i="27"/>
  <c r="AA102" i="27"/>
  <c r="Z235" i="27"/>
  <c r="AB199" i="27"/>
  <c r="Z199" i="26"/>
  <c r="Y200" i="26"/>
  <c r="X235" i="26"/>
  <c r="AA103" i="26"/>
  <c r="Z93" i="26"/>
  <c r="Y192" i="26"/>
  <c r="Z102" i="26"/>
  <c r="AB194" i="26"/>
  <c r="J194" i="25"/>
  <c r="G235" i="25"/>
  <c r="I199" i="25"/>
  <c r="J109" i="25"/>
  <c r="I93" i="25"/>
  <c r="L103" i="25"/>
  <c r="I192" i="25"/>
  <c r="J102" i="25"/>
  <c r="I199" i="24"/>
  <c r="G235" i="24"/>
  <c r="H200" i="24"/>
  <c r="K194" i="24"/>
  <c r="L102" i="24"/>
  <c r="H93" i="24"/>
  <c r="I103" i="24"/>
  <c r="H192" i="24"/>
  <c r="AB235" i="33" l="1"/>
  <c r="AD199" i="33"/>
  <c r="AC200" i="33"/>
  <c r="AC93" i="33"/>
  <c r="AD192" i="33"/>
  <c r="AE102" i="33"/>
  <c r="AE109" i="33"/>
  <c r="AD93" i="33"/>
  <c r="AF194" i="33"/>
  <c r="B103" i="33"/>
  <c r="AD115" i="32"/>
  <c r="AA200" i="32"/>
  <c r="AB194" i="32"/>
  <c r="AA93" i="32"/>
  <c r="AB235" i="32"/>
  <c r="AD199" i="32"/>
  <c r="AB192" i="32"/>
  <c r="AC102" i="32"/>
  <c r="AA235" i="31"/>
  <c r="AC199" i="31"/>
  <c r="AA200" i="31"/>
  <c r="AB194" i="31"/>
  <c r="AA93" i="31"/>
  <c r="AA192" i="31"/>
  <c r="AB102" i="31"/>
  <c r="AD103" i="31"/>
  <c r="Z235" i="30"/>
  <c r="AB199" i="30"/>
  <c r="AA200" i="30"/>
  <c r="AD194" i="30"/>
  <c r="AA192" i="30"/>
  <c r="AB102" i="30"/>
  <c r="AA93" i="30"/>
  <c r="AB103" i="30"/>
  <c r="AC102" i="29"/>
  <c r="AB200" i="29"/>
  <c r="AC194" i="29"/>
  <c r="AA235" i="29"/>
  <c r="AC199" i="29"/>
  <c r="AA93" i="29"/>
  <c r="AB103" i="29"/>
  <c r="AB109" i="28"/>
  <c r="AA93" i="28"/>
  <c r="Z235" i="28"/>
  <c r="AB199" i="28"/>
  <c r="AB200" i="28"/>
  <c r="AC194" i="28"/>
  <c r="AA200" i="28"/>
  <c r="AA192" i="28"/>
  <c r="AB102" i="28"/>
  <c r="AC194" i="27"/>
  <c r="AB200" i="27"/>
  <c r="AB93" i="27"/>
  <c r="AC103" i="27"/>
  <c r="AA235" i="27"/>
  <c r="AC199" i="27"/>
  <c r="AA192" i="27"/>
  <c r="AB102" i="27"/>
  <c r="Y235" i="26"/>
  <c r="AA199" i="26"/>
  <c r="Z200" i="26"/>
  <c r="AC194" i="26"/>
  <c r="Z192" i="26"/>
  <c r="AA102" i="26"/>
  <c r="AA93" i="26"/>
  <c r="AB103" i="26"/>
  <c r="K109" i="25"/>
  <c r="M103" i="25"/>
  <c r="H235" i="25"/>
  <c r="J199" i="25"/>
  <c r="J192" i="25"/>
  <c r="K102" i="25"/>
  <c r="K194" i="25"/>
  <c r="I200" i="25"/>
  <c r="M102" i="24"/>
  <c r="L194" i="24"/>
  <c r="I93" i="24"/>
  <c r="J103" i="24"/>
  <c r="I192" i="24"/>
  <c r="J199" i="24"/>
  <c r="H235" i="24"/>
  <c r="I200" i="24"/>
  <c r="T95" i="23"/>
  <c r="T37" i="23"/>
  <c r="S95" i="23"/>
  <c r="S37" i="23"/>
  <c r="R95" i="23"/>
  <c r="R37" i="23"/>
  <c r="Q95" i="23"/>
  <c r="Q94" i="23"/>
  <c r="Q37" i="23"/>
  <c r="P95" i="23"/>
  <c r="P37" i="23"/>
  <c r="M37" i="23"/>
  <c r="N37" i="23"/>
  <c r="O95" i="23"/>
  <c r="O37" i="23"/>
  <c r="N95" i="23"/>
  <c r="M95" i="23"/>
  <c r="AF109" i="33" l="1"/>
  <c r="AE192" i="33"/>
  <c r="AF102" i="33"/>
  <c r="AC235" i="33"/>
  <c r="AE199" i="33"/>
  <c r="AD200" i="33"/>
  <c r="B194" i="33"/>
  <c r="AC235" i="32"/>
  <c r="AE199" i="32"/>
  <c r="AC194" i="32"/>
  <c r="AB200" i="32"/>
  <c r="AB93" i="32"/>
  <c r="AC192" i="32"/>
  <c r="AD102" i="32"/>
  <c r="AE115" i="32"/>
  <c r="AB192" i="31"/>
  <c r="AC102" i="31"/>
  <c r="AB200" i="31"/>
  <c r="AC194" i="31"/>
  <c r="AB93" i="31"/>
  <c r="AB235" i="31"/>
  <c r="AD199" i="31"/>
  <c r="AE103" i="31"/>
  <c r="AB192" i="30"/>
  <c r="AC102" i="30"/>
  <c r="AE194" i="30"/>
  <c r="AC199" i="30"/>
  <c r="AA235" i="30"/>
  <c r="AB200" i="30"/>
  <c r="AB93" i="30"/>
  <c r="AC103" i="30"/>
  <c r="AB235" i="29"/>
  <c r="AD199" i="29"/>
  <c r="AC200" i="29"/>
  <c r="AD194" i="29"/>
  <c r="AC103" i="29"/>
  <c r="AB93" i="29"/>
  <c r="AC192" i="29"/>
  <c r="AD102" i="29"/>
  <c r="AB192" i="29"/>
  <c r="AD194" i="28"/>
  <c r="AA235" i="28"/>
  <c r="AC199" i="28"/>
  <c r="AB192" i="28"/>
  <c r="AC102" i="28"/>
  <c r="AC109" i="28"/>
  <c r="AB93" i="28"/>
  <c r="AB192" i="27"/>
  <c r="AC102" i="27"/>
  <c r="AB235" i="27"/>
  <c r="AD199" i="27"/>
  <c r="AC93" i="27"/>
  <c r="AD103" i="27"/>
  <c r="AD194" i="27"/>
  <c r="AC200" i="27"/>
  <c r="AB199" i="26"/>
  <c r="Z235" i="26"/>
  <c r="AA200" i="26"/>
  <c r="AB93" i="26"/>
  <c r="AC103" i="26"/>
  <c r="AA192" i="26"/>
  <c r="AB102" i="26"/>
  <c r="AD194" i="26"/>
  <c r="K192" i="25"/>
  <c r="L102" i="25"/>
  <c r="K199" i="25"/>
  <c r="I235" i="25"/>
  <c r="N103" i="25"/>
  <c r="K200" i="25"/>
  <c r="L194" i="25"/>
  <c r="J93" i="25"/>
  <c r="J200" i="25"/>
  <c r="L109" i="25"/>
  <c r="K93" i="25"/>
  <c r="I235" i="24"/>
  <c r="K199" i="24"/>
  <c r="J200" i="24"/>
  <c r="J93" i="24"/>
  <c r="K103" i="24"/>
  <c r="J192" i="24"/>
  <c r="M194" i="24"/>
  <c r="N102" i="24"/>
  <c r="AD235" i="33" l="1"/>
  <c r="AF199" i="33"/>
  <c r="AE200" i="33"/>
  <c r="AF192" i="33"/>
  <c r="B102" i="33"/>
  <c r="AE93" i="33"/>
  <c r="B109" i="33"/>
  <c r="AF93" i="33"/>
  <c r="AF115" i="32"/>
  <c r="AD192" i="32"/>
  <c r="AE102" i="32"/>
  <c r="AC200" i="32"/>
  <c r="AD194" i="32"/>
  <c r="AC93" i="32"/>
  <c r="AD235" i="32"/>
  <c r="AF199" i="32"/>
  <c r="AC235" i="31"/>
  <c r="AE199" i="31"/>
  <c r="AC200" i="31"/>
  <c r="AD194" i="31"/>
  <c r="AC93" i="31"/>
  <c r="AC192" i="31"/>
  <c r="AD102" i="31"/>
  <c r="AF103" i="31"/>
  <c r="AD199" i="30"/>
  <c r="AB235" i="30"/>
  <c r="AC200" i="30"/>
  <c r="AF194" i="30"/>
  <c r="AC192" i="30"/>
  <c r="AD102" i="30"/>
  <c r="AC93" i="30"/>
  <c r="AD103" i="30"/>
  <c r="AE102" i="29"/>
  <c r="AC93" i="29"/>
  <c r="AD103" i="29"/>
  <c r="AE194" i="29"/>
  <c r="AD200" i="29"/>
  <c r="AC235" i="29"/>
  <c r="AE199" i="29"/>
  <c r="AC192" i="28"/>
  <c r="AD102" i="28"/>
  <c r="AD109" i="28"/>
  <c r="AC93" i="28"/>
  <c r="AB235" i="28"/>
  <c r="AD199" i="28"/>
  <c r="AE194" i="28"/>
  <c r="AD200" i="28"/>
  <c r="AC200" i="28"/>
  <c r="AE103" i="27"/>
  <c r="AD93" i="27"/>
  <c r="AE194" i="27"/>
  <c r="AD200" i="27"/>
  <c r="AC235" i="27"/>
  <c r="AE199" i="27"/>
  <c r="AC192" i="27"/>
  <c r="AD102" i="27"/>
  <c r="AA235" i="26"/>
  <c r="AC199" i="26"/>
  <c r="AB200" i="26"/>
  <c r="AE194" i="26"/>
  <c r="AB192" i="26"/>
  <c r="AC102" i="26"/>
  <c r="AD103" i="26"/>
  <c r="AC93" i="26"/>
  <c r="M194" i="25"/>
  <c r="O103" i="25"/>
  <c r="M109" i="25"/>
  <c r="L93" i="25"/>
  <c r="J235" i="25"/>
  <c r="L199" i="25"/>
  <c r="L192" i="25"/>
  <c r="M102" i="25"/>
  <c r="N194" i="24"/>
  <c r="K93" i="24"/>
  <c r="L103" i="24"/>
  <c r="K192" i="24"/>
  <c r="O102" i="24"/>
  <c r="L199" i="24"/>
  <c r="J235" i="24"/>
  <c r="K200" i="24"/>
  <c r="AE235" i="33" l="1"/>
  <c r="B199" i="33"/>
  <c r="AF200" i="33"/>
  <c r="B93" i="33"/>
  <c r="B192" i="33"/>
  <c r="AI93" i="33"/>
  <c r="AH93" i="33"/>
  <c r="AE194" i="32"/>
  <c r="AD200" i="32"/>
  <c r="AD93" i="32"/>
  <c r="AE192" i="32"/>
  <c r="AF102" i="32"/>
  <c r="AE235" i="32"/>
  <c r="B199" i="32"/>
  <c r="AF235" i="32" s="1"/>
  <c r="B115" i="32"/>
  <c r="AD192" i="31"/>
  <c r="AE102" i="31"/>
  <c r="AE194" i="31"/>
  <c r="AD200" i="31"/>
  <c r="AD93" i="31"/>
  <c r="AD235" i="31"/>
  <c r="AF199" i="31"/>
  <c r="B103" i="31"/>
  <c r="AD192" i="30"/>
  <c r="AE102" i="30"/>
  <c r="B194" i="30"/>
  <c r="AD93" i="30"/>
  <c r="AE103" i="30"/>
  <c r="AC235" i="30"/>
  <c r="AE199" i="30"/>
  <c r="AD200" i="30"/>
  <c r="AD235" i="29"/>
  <c r="AF199" i="29"/>
  <c r="AF194" i="29"/>
  <c r="AE200" i="29"/>
  <c r="AD93" i="29"/>
  <c r="AE103" i="29"/>
  <c r="AE192" i="29"/>
  <c r="AF102" i="29"/>
  <c r="AD192" i="29"/>
  <c r="AE109" i="28"/>
  <c r="AD93" i="28"/>
  <c r="AD192" i="28"/>
  <c r="AE102" i="28"/>
  <c r="AF194" i="28"/>
  <c r="AC235" i="28"/>
  <c r="AE199" i="28"/>
  <c r="AE200" i="28" s="1"/>
  <c r="AD192" i="27"/>
  <c r="AE102" i="27"/>
  <c r="AD235" i="27"/>
  <c r="AF199" i="27"/>
  <c r="AE200" i="27"/>
  <c r="AF194" i="27"/>
  <c r="AF103" i="27"/>
  <c r="AE93" i="27"/>
  <c r="AC200" i="26"/>
  <c r="AB235" i="26"/>
  <c r="AD199" i="26"/>
  <c r="AE103" i="26"/>
  <c r="AD93" i="26"/>
  <c r="AC192" i="26"/>
  <c r="AD102" i="26"/>
  <c r="AF194" i="26"/>
  <c r="K235" i="25"/>
  <c r="M199" i="25"/>
  <c r="N109" i="25"/>
  <c r="M93" i="25"/>
  <c r="P103" i="25"/>
  <c r="M192" i="25"/>
  <c r="N102" i="25"/>
  <c r="N194" i="25"/>
  <c r="L200" i="25"/>
  <c r="K235" i="24"/>
  <c r="M199" i="24"/>
  <c r="L200" i="24"/>
  <c r="P102" i="24"/>
  <c r="L93" i="24"/>
  <c r="M103" i="24"/>
  <c r="L192" i="24"/>
  <c r="O194" i="24"/>
  <c r="M38" i="1"/>
  <c r="N38" i="1"/>
  <c r="O38" i="1"/>
  <c r="P38" i="1"/>
  <c r="Q38" i="1"/>
  <c r="R38" i="1"/>
  <c r="S38" i="1"/>
  <c r="G37" i="23"/>
  <c r="F37" i="23"/>
  <c r="E37" i="23"/>
  <c r="D37" i="23"/>
  <c r="AH101" i="23"/>
  <c r="AI101" i="23" s="1"/>
  <c r="C37" i="23"/>
  <c r="B95" i="23"/>
  <c r="B37" i="23"/>
  <c r="AF95" i="22"/>
  <c r="AF37" i="22"/>
  <c r="AF240" i="23"/>
  <c r="AE240" i="23"/>
  <c r="AD240" i="23"/>
  <c r="AC240" i="23"/>
  <c r="AB240" i="23"/>
  <c r="AA240" i="23"/>
  <c r="Z240" i="23"/>
  <c r="Y240" i="23"/>
  <c r="X240" i="23"/>
  <c r="W240" i="23"/>
  <c r="V240" i="23"/>
  <c r="U240" i="23"/>
  <c r="T240" i="23"/>
  <c r="S240" i="23"/>
  <c r="R240" i="23"/>
  <c r="Q240" i="23"/>
  <c r="P240" i="23"/>
  <c r="O240" i="23"/>
  <c r="N240" i="23"/>
  <c r="M240" i="23"/>
  <c r="L240" i="23"/>
  <c r="K240" i="23"/>
  <c r="J240" i="23"/>
  <c r="I240" i="23"/>
  <c r="H240" i="23"/>
  <c r="G240" i="23"/>
  <c r="F240" i="23"/>
  <c r="E240" i="23"/>
  <c r="D240" i="23"/>
  <c r="C240" i="23"/>
  <c r="B240" i="23"/>
  <c r="A240" i="23"/>
  <c r="AF239" i="23"/>
  <c r="AE239" i="23"/>
  <c r="AD239" i="23"/>
  <c r="AC239" i="23"/>
  <c r="AB239" i="23"/>
  <c r="AA239" i="23"/>
  <c r="Z239" i="23"/>
  <c r="Y239" i="23"/>
  <c r="X239" i="23"/>
  <c r="W239" i="23"/>
  <c r="V239" i="23"/>
  <c r="U239" i="23"/>
  <c r="T239" i="23"/>
  <c r="S239" i="23"/>
  <c r="R239" i="23"/>
  <c r="Q239" i="23"/>
  <c r="P239" i="23"/>
  <c r="O239" i="23"/>
  <c r="N239" i="23"/>
  <c r="M239" i="23"/>
  <c r="L239" i="23"/>
  <c r="K239" i="23"/>
  <c r="J239" i="23"/>
  <c r="I239" i="23"/>
  <c r="H239" i="23"/>
  <c r="G239" i="23"/>
  <c r="F239" i="23"/>
  <c r="E239" i="23"/>
  <c r="D239" i="23"/>
  <c r="C239" i="23"/>
  <c r="B239" i="23"/>
  <c r="A239" i="23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E238" i="23"/>
  <c r="D238" i="23"/>
  <c r="C238" i="23"/>
  <c r="B238" i="23"/>
  <c r="A238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C236" i="23"/>
  <c r="B236" i="23"/>
  <c r="S211" i="23"/>
  <c r="AG201" i="23"/>
  <c r="D201" i="23"/>
  <c r="C201" i="23"/>
  <c r="E200" i="23"/>
  <c r="D200" i="23"/>
  <c r="D199" i="23"/>
  <c r="E199" i="23" s="1"/>
  <c r="F199" i="23" s="1"/>
  <c r="G199" i="23" s="1"/>
  <c r="H199" i="23" s="1"/>
  <c r="I199" i="23" s="1"/>
  <c r="J199" i="23" s="1"/>
  <c r="K199" i="23" s="1"/>
  <c r="L199" i="23" s="1"/>
  <c r="M199" i="23" s="1"/>
  <c r="N199" i="23" s="1"/>
  <c r="O199" i="23" s="1"/>
  <c r="P199" i="23" s="1"/>
  <c r="Q199" i="23" s="1"/>
  <c r="R199" i="23" s="1"/>
  <c r="S199" i="23" s="1"/>
  <c r="T199" i="23" s="1"/>
  <c r="U199" i="23" s="1"/>
  <c r="V199" i="23" s="1"/>
  <c r="W199" i="23" s="1"/>
  <c r="X199" i="23" s="1"/>
  <c r="Y199" i="23" s="1"/>
  <c r="Z199" i="23" s="1"/>
  <c r="AA199" i="23" s="1"/>
  <c r="AB199" i="23" s="1"/>
  <c r="AC199" i="23" s="1"/>
  <c r="AD199" i="23" s="1"/>
  <c r="AE199" i="23" s="1"/>
  <c r="AF199" i="23" s="1"/>
  <c r="B199" i="23"/>
  <c r="G198" i="23"/>
  <c r="H198" i="23" s="1"/>
  <c r="I198" i="23" s="1"/>
  <c r="J198" i="23" s="1"/>
  <c r="K198" i="23" s="1"/>
  <c r="L198" i="23" s="1"/>
  <c r="M198" i="23" s="1"/>
  <c r="N198" i="23" s="1"/>
  <c r="O198" i="23" s="1"/>
  <c r="P198" i="23" s="1"/>
  <c r="Q198" i="23" s="1"/>
  <c r="R198" i="23" s="1"/>
  <c r="S198" i="23" s="1"/>
  <c r="T198" i="23" s="1"/>
  <c r="U198" i="23" s="1"/>
  <c r="V198" i="23" s="1"/>
  <c r="W198" i="23" s="1"/>
  <c r="X198" i="23" s="1"/>
  <c r="Y198" i="23" s="1"/>
  <c r="Z198" i="23" s="1"/>
  <c r="AA198" i="23" s="1"/>
  <c r="AB198" i="23" s="1"/>
  <c r="AC198" i="23" s="1"/>
  <c r="AD198" i="23" s="1"/>
  <c r="AE198" i="23" s="1"/>
  <c r="AF198" i="23" s="1"/>
  <c r="B198" i="23" s="1"/>
  <c r="D198" i="23"/>
  <c r="E198" i="23" s="1"/>
  <c r="F198" i="23" s="1"/>
  <c r="E197" i="23"/>
  <c r="F197" i="23" s="1"/>
  <c r="G197" i="23" s="1"/>
  <c r="H197" i="23" s="1"/>
  <c r="I197" i="23" s="1"/>
  <c r="J197" i="23" s="1"/>
  <c r="K197" i="23" s="1"/>
  <c r="L197" i="23" s="1"/>
  <c r="M197" i="23" s="1"/>
  <c r="N197" i="23" s="1"/>
  <c r="O197" i="23" s="1"/>
  <c r="P197" i="23" s="1"/>
  <c r="Q197" i="23" s="1"/>
  <c r="R197" i="23" s="1"/>
  <c r="S197" i="23" s="1"/>
  <c r="T197" i="23" s="1"/>
  <c r="U197" i="23" s="1"/>
  <c r="V197" i="23" s="1"/>
  <c r="W197" i="23" s="1"/>
  <c r="X197" i="23" s="1"/>
  <c r="Y197" i="23" s="1"/>
  <c r="Z197" i="23" s="1"/>
  <c r="AA197" i="23" s="1"/>
  <c r="AB197" i="23" s="1"/>
  <c r="AC197" i="23" s="1"/>
  <c r="AD197" i="23" s="1"/>
  <c r="AE197" i="23" s="1"/>
  <c r="AF197" i="23" s="1"/>
  <c r="B197" i="23" s="1"/>
  <c r="D197" i="23"/>
  <c r="E196" i="23"/>
  <c r="F196" i="23" s="1"/>
  <c r="G196" i="23" s="1"/>
  <c r="H196" i="23" s="1"/>
  <c r="I196" i="23" s="1"/>
  <c r="J196" i="23" s="1"/>
  <c r="K196" i="23" s="1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B196" i="23" s="1"/>
  <c r="D196" i="23"/>
  <c r="D195" i="23"/>
  <c r="E195" i="23" s="1"/>
  <c r="AG193" i="23"/>
  <c r="C193" i="23"/>
  <c r="W192" i="23"/>
  <c r="X192" i="23" s="1"/>
  <c r="Y192" i="23" s="1"/>
  <c r="Z192" i="23" s="1"/>
  <c r="AA192" i="23" s="1"/>
  <c r="AB192" i="23" s="1"/>
  <c r="AC192" i="23" s="1"/>
  <c r="AD192" i="23" s="1"/>
  <c r="AE192" i="23" s="1"/>
  <c r="AF192" i="23" s="1"/>
  <c r="B192" i="23" s="1"/>
  <c r="Q192" i="23"/>
  <c r="R192" i="23" s="1"/>
  <c r="S192" i="23" s="1"/>
  <c r="T192" i="23" s="1"/>
  <c r="U192" i="23" s="1"/>
  <c r="V192" i="23" s="1"/>
  <c r="D192" i="23"/>
  <c r="E192" i="23" s="1"/>
  <c r="F192" i="23" s="1"/>
  <c r="G192" i="23" s="1"/>
  <c r="H192" i="23" s="1"/>
  <c r="I192" i="23" s="1"/>
  <c r="J192" i="23" s="1"/>
  <c r="K192" i="23" s="1"/>
  <c r="L192" i="23" s="1"/>
  <c r="M192" i="23" s="1"/>
  <c r="N192" i="23" s="1"/>
  <c r="O192" i="23" s="1"/>
  <c r="P192" i="23" s="1"/>
  <c r="E191" i="23"/>
  <c r="F191" i="23" s="1"/>
  <c r="G191" i="23" s="1"/>
  <c r="H191" i="23" s="1"/>
  <c r="I191" i="23" s="1"/>
  <c r="J191" i="23" s="1"/>
  <c r="K191" i="23" s="1"/>
  <c r="L191" i="23" s="1"/>
  <c r="M191" i="23" s="1"/>
  <c r="N191" i="23" s="1"/>
  <c r="O191" i="23" s="1"/>
  <c r="P191" i="23" s="1"/>
  <c r="Q191" i="23" s="1"/>
  <c r="R191" i="23" s="1"/>
  <c r="S191" i="23" s="1"/>
  <c r="T191" i="23" s="1"/>
  <c r="U191" i="23" s="1"/>
  <c r="V191" i="23" s="1"/>
  <c r="W191" i="23" s="1"/>
  <c r="X191" i="23" s="1"/>
  <c r="Y191" i="23" s="1"/>
  <c r="Z191" i="23" s="1"/>
  <c r="AA191" i="23" s="1"/>
  <c r="AB191" i="23" s="1"/>
  <c r="AC191" i="23" s="1"/>
  <c r="AD191" i="23" s="1"/>
  <c r="AE191" i="23" s="1"/>
  <c r="AF191" i="23" s="1"/>
  <c r="B191" i="23" s="1"/>
  <c r="D191" i="23"/>
  <c r="M190" i="23"/>
  <c r="N190" i="23" s="1"/>
  <c r="O190" i="23" s="1"/>
  <c r="P190" i="23" s="1"/>
  <c r="Q190" i="23" s="1"/>
  <c r="R190" i="23" s="1"/>
  <c r="S190" i="23" s="1"/>
  <c r="T190" i="23" s="1"/>
  <c r="U190" i="23" s="1"/>
  <c r="V190" i="23" s="1"/>
  <c r="W190" i="23" s="1"/>
  <c r="X190" i="23" s="1"/>
  <c r="Y190" i="23" s="1"/>
  <c r="Z190" i="23" s="1"/>
  <c r="AA190" i="23" s="1"/>
  <c r="AB190" i="23" s="1"/>
  <c r="AC190" i="23" s="1"/>
  <c r="AD190" i="23" s="1"/>
  <c r="AE190" i="23" s="1"/>
  <c r="AF190" i="23" s="1"/>
  <c r="B190" i="23" s="1"/>
  <c r="K190" i="23"/>
  <c r="L190" i="23" s="1"/>
  <c r="H190" i="23"/>
  <c r="I190" i="23" s="1"/>
  <c r="J190" i="23" s="1"/>
  <c r="E190" i="23"/>
  <c r="F190" i="23" s="1"/>
  <c r="G190" i="23" s="1"/>
  <c r="D190" i="23"/>
  <c r="D189" i="23"/>
  <c r="E189" i="23" s="1"/>
  <c r="F189" i="23" s="1"/>
  <c r="G189" i="23" s="1"/>
  <c r="H189" i="23" s="1"/>
  <c r="I189" i="23" s="1"/>
  <c r="J189" i="23" s="1"/>
  <c r="K189" i="23" s="1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Y189" i="23" s="1"/>
  <c r="Z189" i="23" s="1"/>
  <c r="AA189" i="23" s="1"/>
  <c r="AB189" i="23" s="1"/>
  <c r="AC189" i="23" s="1"/>
  <c r="AD189" i="23" s="1"/>
  <c r="AE189" i="23" s="1"/>
  <c r="AF189" i="23" s="1"/>
  <c r="B189" i="23" s="1"/>
  <c r="D188" i="23"/>
  <c r="E188" i="23" s="1"/>
  <c r="F188" i="23" s="1"/>
  <c r="G188" i="23" s="1"/>
  <c r="H188" i="23" s="1"/>
  <c r="I188" i="23" s="1"/>
  <c r="J188" i="23" s="1"/>
  <c r="K188" i="23" s="1"/>
  <c r="L188" i="23" s="1"/>
  <c r="M188" i="23" s="1"/>
  <c r="N188" i="23" s="1"/>
  <c r="O188" i="23" s="1"/>
  <c r="P188" i="23" s="1"/>
  <c r="Q188" i="23" s="1"/>
  <c r="R188" i="23" s="1"/>
  <c r="S188" i="23" s="1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B188" i="23" s="1"/>
  <c r="E187" i="23"/>
  <c r="F187" i="23" s="1"/>
  <c r="G187" i="23" s="1"/>
  <c r="H187" i="23" s="1"/>
  <c r="I187" i="23" s="1"/>
  <c r="J187" i="23" s="1"/>
  <c r="K187" i="23" s="1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B187" i="23" s="1"/>
  <c r="D187" i="23"/>
  <c r="M186" i="23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B186" i="23" s="1"/>
  <c r="E186" i="23"/>
  <c r="F186" i="23" s="1"/>
  <c r="G186" i="23" s="1"/>
  <c r="H186" i="23" s="1"/>
  <c r="I186" i="23" s="1"/>
  <c r="J186" i="23" s="1"/>
  <c r="K186" i="23" s="1"/>
  <c r="L186" i="23" s="1"/>
  <c r="D186" i="23"/>
  <c r="L185" i="23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B185" i="23" s="1"/>
  <c r="D185" i="23"/>
  <c r="E185" i="23" s="1"/>
  <c r="F185" i="23" s="1"/>
  <c r="G185" i="23" s="1"/>
  <c r="H185" i="23" s="1"/>
  <c r="I185" i="23" s="1"/>
  <c r="J185" i="23" s="1"/>
  <c r="K185" i="23" s="1"/>
  <c r="D184" i="23"/>
  <c r="E184" i="23" s="1"/>
  <c r="F184" i="23" s="1"/>
  <c r="G184" i="23" s="1"/>
  <c r="H184" i="23" s="1"/>
  <c r="I184" i="23" s="1"/>
  <c r="J184" i="23" s="1"/>
  <c r="K184" i="23" s="1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B184" i="23" s="1"/>
  <c r="G183" i="23"/>
  <c r="H183" i="23" s="1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B183" i="23" s="1"/>
  <c r="E183" i="23"/>
  <c r="F183" i="23" s="1"/>
  <c r="D183" i="23"/>
  <c r="E182" i="23"/>
  <c r="F182" i="23" s="1"/>
  <c r="G182" i="23" s="1"/>
  <c r="H182" i="23" s="1"/>
  <c r="I182" i="23" s="1"/>
  <c r="J182" i="23" s="1"/>
  <c r="K182" i="23" s="1"/>
  <c r="L182" i="23" s="1"/>
  <c r="M182" i="23" s="1"/>
  <c r="N182" i="23" s="1"/>
  <c r="O182" i="23" s="1"/>
  <c r="P182" i="23" s="1"/>
  <c r="Q182" i="23" s="1"/>
  <c r="R182" i="23" s="1"/>
  <c r="S182" i="23" s="1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B182" i="23" s="1"/>
  <c r="D182" i="23"/>
  <c r="D181" i="23"/>
  <c r="E181" i="23" s="1"/>
  <c r="F181" i="23" s="1"/>
  <c r="G181" i="23" s="1"/>
  <c r="H181" i="23" s="1"/>
  <c r="I181" i="23" s="1"/>
  <c r="J181" i="23" s="1"/>
  <c r="K181" i="23" s="1"/>
  <c r="L181" i="23" s="1"/>
  <c r="M181" i="23" s="1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AD181" i="23" s="1"/>
  <c r="AE181" i="23" s="1"/>
  <c r="AF181" i="23" s="1"/>
  <c r="B181" i="23" s="1"/>
  <c r="L180" i="23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B180" i="23" s="1"/>
  <c r="K180" i="23"/>
  <c r="D180" i="23"/>
  <c r="E180" i="23" s="1"/>
  <c r="F180" i="23" s="1"/>
  <c r="G180" i="23" s="1"/>
  <c r="H180" i="23" s="1"/>
  <c r="I180" i="23" s="1"/>
  <c r="J180" i="23" s="1"/>
  <c r="D178" i="23"/>
  <c r="E178" i="23" s="1"/>
  <c r="F178" i="23" s="1"/>
  <c r="G178" i="23" s="1"/>
  <c r="H178" i="23" s="1"/>
  <c r="I178" i="23" s="1"/>
  <c r="J178" i="23" s="1"/>
  <c r="K178" i="23" s="1"/>
  <c r="L178" i="23" s="1"/>
  <c r="M178" i="23" s="1"/>
  <c r="N178" i="23" s="1"/>
  <c r="O178" i="23" s="1"/>
  <c r="P178" i="23" s="1"/>
  <c r="Q178" i="23" s="1"/>
  <c r="R178" i="23" s="1"/>
  <c r="S178" i="23" s="1"/>
  <c r="T178" i="23" s="1"/>
  <c r="U178" i="23" s="1"/>
  <c r="V178" i="23" s="1"/>
  <c r="W178" i="23" s="1"/>
  <c r="X178" i="23" s="1"/>
  <c r="Y178" i="23" s="1"/>
  <c r="Z178" i="23" s="1"/>
  <c r="AA178" i="23" s="1"/>
  <c r="AB178" i="23" s="1"/>
  <c r="AC178" i="23" s="1"/>
  <c r="AD178" i="23" s="1"/>
  <c r="AE178" i="23" s="1"/>
  <c r="AF178" i="23" s="1"/>
  <c r="B178" i="23" s="1"/>
  <c r="H177" i="23"/>
  <c r="I177" i="23" s="1"/>
  <c r="J177" i="23" s="1"/>
  <c r="K177" i="23" s="1"/>
  <c r="L177" i="23" s="1"/>
  <c r="M177" i="23" s="1"/>
  <c r="N177" i="23" s="1"/>
  <c r="O177" i="23" s="1"/>
  <c r="P177" i="23" s="1"/>
  <c r="Q177" i="23" s="1"/>
  <c r="R177" i="23" s="1"/>
  <c r="S177" i="23" s="1"/>
  <c r="T177" i="23" s="1"/>
  <c r="U177" i="23" s="1"/>
  <c r="V177" i="23" s="1"/>
  <c r="W177" i="23" s="1"/>
  <c r="X177" i="23" s="1"/>
  <c r="Y177" i="23" s="1"/>
  <c r="Z177" i="23" s="1"/>
  <c r="AA177" i="23" s="1"/>
  <c r="AB177" i="23" s="1"/>
  <c r="AC177" i="23" s="1"/>
  <c r="AD177" i="23" s="1"/>
  <c r="AE177" i="23" s="1"/>
  <c r="AF177" i="23" s="1"/>
  <c r="B177" i="23" s="1"/>
  <c r="G177" i="23"/>
  <c r="E177" i="23"/>
  <c r="F177" i="23" s="1"/>
  <c r="D177" i="23"/>
  <c r="E176" i="23"/>
  <c r="F176" i="23" s="1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B176" i="23" s="1"/>
  <c r="D176" i="23"/>
  <c r="K175" i="23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B175" i="23" s="1"/>
  <c r="D175" i="23"/>
  <c r="E175" i="23" s="1"/>
  <c r="F175" i="23" s="1"/>
  <c r="G175" i="23" s="1"/>
  <c r="H175" i="23" s="1"/>
  <c r="I175" i="23" s="1"/>
  <c r="J175" i="23" s="1"/>
  <c r="I174" i="23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B174" i="23" s="1"/>
  <c r="D174" i="23"/>
  <c r="E174" i="23" s="1"/>
  <c r="F174" i="23" s="1"/>
  <c r="G174" i="23" s="1"/>
  <c r="H174" i="23" s="1"/>
  <c r="W173" i="23"/>
  <c r="X173" i="23" s="1"/>
  <c r="Y173" i="23" s="1"/>
  <c r="Z173" i="23" s="1"/>
  <c r="AA173" i="23" s="1"/>
  <c r="AB173" i="23" s="1"/>
  <c r="AC173" i="23" s="1"/>
  <c r="AD173" i="23" s="1"/>
  <c r="AE173" i="23" s="1"/>
  <c r="AF173" i="23" s="1"/>
  <c r="B173" i="23" s="1"/>
  <c r="H173" i="23"/>
  <c r="I173" i="23" s="1"/>
  <c r="J173" i="23" s="1"/>
  <c r="K173" i="23" s="1"/>
  <c r="L173" i="23" s="1"/>
  <c r="M173" i="23" s="1"/>
  <c r="N173" i="23" s="1"/>
  <c r="O173" i="23" s="1"/>
  <c r="P173" i="23" s="1"/>
  <c r="Q173" i="23" s="1"/>
  <c r="R173" i="23" s="1"/>
  <c r="S173" i="23" s="1"/>
  <c r="T173" i="23" s="1"/>
  <c r="U173" i="23" s="1"/>
  <c r="V173" i="23" s="1"/>
  <c r="G173" i="23"/>
  <c r="E173" i="23"/>
  <c r="F173" i="23" s="1"/>
  <c r="D173" i="23"/>
  <c r="G172" i="23"/>
  <c r="H172" i="23" s="1"/>
  <c r="I172" i="23" s="1"/>
  <c r="J172" i="23" s="1"/>
  <c r="K172" i="23" s="1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B172" i="23" s="1"/>
  <c r="E172" i="23"/>
  <c r="F172" i="23" s="1"/>
  <c r="D172" i="23"/>
  <c r="D171" i="23"/>
  <c r="E171" i="23" s="1"/>
  <c r="F171" i="23" s="1"/>
  <c r="G171" i="23" s="1"/>
  <c r="H171" i="23" s="1"/>
  <c r="I171" i="23" s="1"/>
  <c r="J171" i="23" s="1"/>
  <c r="K171" i="23" s="1"/>
  <c r="L171" i="23" s="1"/>
  <c r="M171" i="23" s="1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B171" i="23" s="1"/>
  <c r="D169" i="23"/>
  <c r="E169" i="23" s="1"/>
  <c r="F169" i="23" s="1"/>
  <c r="G169" i="23" s="1"/>
  <c r="H169" i="23" s="1"/>
  <c r="I169" i="23" s="1"/>
  <c r="J169" i="23" s="1"/>
  <c r="K169" i="23" s="1"/>
  <c r="L169" i="23" s="1"/>
  <c r="M169" i="23" s="1"/>
  <c r="N169" i="23" s="1"/>
  <c r="O169" i="23" s="1"/>
  <c r="P169" i="23" s="1"/>
  <c r="Q169" i="23" s="1"/>
  <c r="R169" i="23" s="1"/>
  <c r="S169" i="23" s="1"/>
  <c r="T169" i="23" s="1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B169" i="23" s="1"/>
  <c r="E168" i="23"/>
  <c r="F168" i="23" s="1"/>
  <c r="G168" i="23" s="1"/>
  <c r="H168" i="23" s="1"/>
  <c r="I168" i="23" s="1"/>
  <c r="J168" i="23" s="1"/>
  <c r="K168" i="23" s="1"/>
  <c r="L168" i="23" s="1"/>
  <c r="M168" i="23" s="1"/>
  <c r="N168" i="23" s="1"/>
  <c r="O168" i="23" s="1"/>
  <c r="P168" i="23" s="1"/>
  <c r="Q168" i="23" s="1"/>
  <c r="R168" i="23" s="1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B168" i="23" s="1"/>
  <c r="D168" i="23"/>
  <c r="G167" i="23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B167" i="23" s="1"/>
  <c r="F167" i="23"/>
  <c r="E167" i="23"/>
  <c r="D167" i="23"/>
  <c r="E166" i="23"/>
  <c r="F166" i="23" s="1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B166" i="23" s="1"/>
  <c r="D166" i="23"/>
  <c r="M165" i="23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B165" i="23" s="1"/>
  <c r="L165" i="23"/>
  <c r="G165" i="23"/>
  <c r="H165" i="23" s="1"/>
  <c r="I165" i="23" s="1"/>
  <c r="J165" i="23" s="1"/>
  <c r="K165" i="23" s="1"/>
  <c r="E165" i="23"/>
  <c r="F165" i="23" s="1"/>
  <c r="D165" i="23"/>
  <c r="K164" i="23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B164" i="23" s="1"/>
  <c r="J164" i="23"/>
  <c r="E164" i="23"/>
  <c r="F164" i="23" s="1"/>
  <c r="G164" i="23" s="1"/>
  <c r="H164" i="23" s="1"/>
  <c r="I164" i="23" s="1"/>
  <c r="D164" i="23"/>
  <c r="K163" i="23"/>
  <c r="L163" i="23" s="1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B163" i="23" s="1"/>
  <c r="I163" i="23"/>
  <c r="J163" i="23" s="1"/>
  <c r="E163" i="23"/>
  <c r="F163" i="23" s="1"/>
  <c r="G163" i="23" s="1"/>
  <c r="H163" i="23" s="1"/>
  <c r="D163" i="23"/>
  <c r="L162" i="23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B162" i="23" s="1"/>
  <c r="K162" i="23"/>
  <c r="F162" i="23"/>
  <c r="G162" i="23" s="1"/>
  <c r="H162" i="23" s="1"/>
  <c r="I162" i="23" s="1"/>
  <c r="J162" i="23" s="1"/>
  <c r="E162" i="23"/>
  <c r="D162" i="23"/>
  <c r="W161" i="23"/>
  <c r="X161" i="23" s="1"/>
  <c r="Y161" i="23" s="1"/>
  <c r="Z161" i="23" s="1"/>
  <c r="AA161" i="23" s="1"/>
  <c r="AB161" i="23" s="1"/>
  <c r="AC161" i="23" s="1"/>
  <c r="AD161" i="23" s="1"/>
  <c r="AE161" i="23" s="1"/>
  <c r="AF161" i="23" s="1"/>
  <c r="B161" i="23" s="1"/>
  <c r="D161" i="23"/>
  <c r="E161" i="23" s="1"/>
  <c r="F161" i="23" s="1"/>
  <c r="G161" i="23" s="1"/>
  <c r="H161" i="23" s="1"/>
  <c r="I161" i="23" s="1"/>
  <c r="J161" i="23" s="1"/>
  <c r="K161" i="23" s="1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G160" i="23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B160" i="23" s="1"/>
  <c r="D160" i="23"/>
  <c r="E160" i="23" s="1"/>
  <c r="F160" i="23" s="1"/>
  <c r="E159" i="23"/>
  <c r="F159" i="23" s="1"/>
  <c r="G159" i="23" s="1"/>
  <c r="H159" i="23" s="1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B159" i="23" s="1"/>
  <c r="D159" i="23"/>
  <c r="AA158" i="23"/>
  <c r="AB158" i="23" s="1"/>
  <c r="AC158" i="23" s="1"/>
  <c r="AD158" i="23" s="1"/>
  <c r="AE158" i="23" s="1"/>
  <c r="AF158" i="23" s="1"/>
  <c r="B158" i="23" s="1"/>
  <c r="D158" i="23"/>
  <c r="E158" i="23" s="1"/>
  <c r="F158" i="23" s="1"/>
  <c r="G158" i="23" s="1"/>
  <c r="H158" i="23" s="1"/>
  <c r="I158" i="23" s="1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F157" i="23"/>
  <c r="G157" i="23" s="1"/>
  <c r="H157" i="23" s="1"/>
  <c r="I157" i="23" s="1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B157" i="23" s="1"/>
  <c r="D157" i="23"/>
  <c r="E157" i="23" s="1"/>
  <c r="M155" i="23"/>
  <c r="N155" i="23" s="1"/>
  <c r="O155" i="23" s="1"/>
  <c r="P155" i="23" s="1"/>
  <c r="Q155" i="23" s="1"/>
  <c r="R155" i="23" s="1"/>
  <c r="S155" i="23" s="1"/>
  <c r="T155" i="23" s="1"/>
  <c r="U155" i="23" s="1"/>
  <c r="V155" i="23" s="1"/>
  <c r="W155" i="23" s="1"/>
  <c r="X155" i="23" s="1"/>
  <c r="Y155" i="23" s="1"/>
  <c r="Z155" i="23" s="1"/>
  <c r="AA155" i="23" s="1"/>
  <c r="AB155" i="23" s="1"/>
  <c r="AC155" i="23" s="1"/>
  <c r="AD155" i="23" s="1"/>
  <c r="AE155" i="23" s="1"/>
  <c r="AF155" i="23" s="1"/>
  <c r="B155" i="23" s="1"/>
  <c r="E155" i="23"/>
  <c r="F155" i="23" s="1"/>
  <c r="G155" i="23" s="1"/>
  <c r="H155" i="23" s="1"/>
  <c r="I155" i="23" s="1"/>
  <c r="J155" i="23" s="1"/>
  <c r="K155" i="23" s="1"/>
  <c r="L155" i="23" s="1"/>
  <c r="D155" i="23"/>
  <c r="AF154" i="23"/>
  <c r="B154" i="23" s="1"/>
  <c r="H154" i="23"/>
  <c r="I154" i="23" s="1"/>
  <c r="J154" i="23" s="1"/>
  <c r="K154" i="23" s="1"/>
  <c r="L154" i="23" s="1"/>
  <c r="M154" i="23" s="1"/>
  <c r="N154" i="23" s="1"/>
  <c r="O154" i="23" s="1"/>
  <c r="P154" i="23" s="1"/>
  <c r="Q154" i="23" s="1"/>
  <c r="R154" i="23" s="1"/>
  <c r="S154" i="23" s="1"/>
  <c r="T154" i="23" s="1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D154" i="23"/>
  <c r="E154" i="23" s="1"/>
  <c r="F154" i="23" s="1"/>
  <c r="G154" i="23" s="1"/>
  <c r="Y153" i="23"/>
  <c r="Z153" i="23" s="1"/>
  <c r="AA153" i="23" s="1"/>
  <c r="AB153" i="23" s="1"/>
  <c r="AC153" i="23" s="1"/>
  <c r="AD153" i="23" s="1"/>
  <c r="AE153" i="23" s="1"/>
  <c r="AF153" i="23" s="1"/>
  <c r="B153" i="23" s="1"/>
  <c r="E153" i="23"/>
  <c r="F153" i="23" s="1"/>
  <c r="G153" i="23" s="1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R153" i="23" s="1"/>
  <c r="S153" i="23" s="1"/>
  <c r="T153" i="23" s="1"/>
  <c r="U153" i="23" s="1"/>
  <c r="V153" i="23" s="1"/>
  <c r="W153" i="23" s="1"/>
  <c r="X153" i="23" s="1"/>
  <c r="D153" i="23"/>
  <c r="AA152" i="23"/>
  <c r="AB152" i="23" s="1"/>
  <c r="AC152" i="23" s="1"/>
  <c r="AD152" i="23" s="1"/>
  <c r="AE152" i="23" s="1"/>
  <c r="AF152" i="23" s="1"/>
  <c r="B152" i="23" s="1"/>
  <c r="D152" i="23"/>
  <c r="E152" i="23" s="1"/>
  <c r="F152" i="23" s="1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E150" i="23"/>
  <c r="F150" i="23" s="1"/>
  <c r="G150" i="23" s="1"/>
  <c r="H150" i="23" s="1"/>
  <c r="I150" i="23" s="1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U150" i="23" s="1"/>
  <c r="V150" i="23" s="1"/>
  <c r="W150" i="23" s="1"/>
  <c r="X150" i="23" s="1"/>
  <c r="Y150" i="23" s="1"/>
  <c r="Z150" i="23" s="1"/>
  <c r="AA150" i="23" s="1"/>
  <c r="AB150" i="23" s="1"/>
  <c r="AC150" i="23" s="1"/>
  <c r="AD150" i="23" s="1"/>
  <c r="AE150" i="23" s="1"/>
  <c r="AF150" i="23" s="1"/>
  <c r="B150" i="23" s="1"/>
  <c r="D150" i="23"/>
  <c r="O149" i="23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Z149" i="23" s="1"/>
  <c r="AA149" i="23" s="1"/>
  <c r="AB149" i="23" s="1"/>
  <c r="AC149" i="23" s="1"/>
  <c r="AD149" i="23" s="1"/>
  <c r="AE149" i="23" s="1"/>
  <c r="AF149" i="23" s="1"/>
  <c r="B149" i="23" s="1"/>
  <c r="D149" i="23"/>
  <c r="E149" i="23" s="1"/>
  <c r="F149" i="23" s="1"/>
  <c r="G149" i="23" s="1"/>
  <c r="H149" i="23" s="1"/>
  <c r="I149" i="23" s="1"/>
  <c r="J149" i="23" s="1"/>
  <c r="K149" i="23" s="1"/>
  <c r="L149" i="23" s="1"/>
  <c r="M149" i="23" s="1"/>
  <c r="N149" i="23" s="1"/>
  <c r="P147" i="23"/>
  <c r="Q147" i="23" s="1"/>
  <c r="R147" i="23" s="1"/>
  <c r="S147" i="23" s="1"/>
  <c r="T147" i="23" s="1"/>
  <c r="U147" i="23" s="1"/>
  <c r="V147" i="23" s="1"/>
  <c r="W147" i="23" s="1"/>
  <c r="X147" i="23" s="1"/>
  <c r="Y147" i="23" s="1"/>
  <c r="Z147" i="23" s="1"/>
  <c r="AA147" i="23" s="1"/>
  <c r="AB147" i="23" s="1"/>
  <c r="AC147" i="23" s="1"/>
  <c r="AD147" i="23" s="1"/>
  <c r="AE147" i="23" s="1"/>
  <c r="AF147" i="23" s="1"/>
  <c r="B147" i="23" s="1"/>
  <c r="F147" i="23"/>
  <c r="G147" i="23" s="1"/>
  <c r="H147" i="23" s="1"/>
  <c r="I147" i="23" s="1"/>
  <c r="J147" i="23" s="1"/>
  <c r="K147" i="23" s="1"/>
  <c r="L147" i="23" s="1"/>
  <c r="M147" i="23" s="1"/>
  <c r="N147" i="23" s="1"/>
  <c r="O147" i="23" s="1"/>
  <c r="E147" i="23"/>
  <c r="D147" i="23"/>
  <c r="J146" i="23"/>
  <c r="K146" i="23" s="1"/>
  <c r="L146" i="23" s="1"/>
  <c r="M146" i="23" s="1"/>
  <c r="N146" i="23" s="1"/>
  <c r="O146" i="23" s="1"/>
  <c r="P146" i="23" s="1"/>
  <c r="Q146" i="23" s="1"/>
  <c r="R146" i="23" s="1"/>
  <c r="S146" i="23" s="1"/>
  <c r="T146" i="23" s="1"/>
  <c r="U146" i="23" s="1"/>
  <c r="V146" i="23" s="1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B146" i="23" s="1"/>
  <c r="D146" i="23"/>
  <c r="E146" i="23" s="1"/>
  <c r="F146" i="23" s="1"/>
  <c r="G146" i="23" s="1"/>
  <c r="H146" i="23" s="1"/>
  <c r="I146" i="23" s="1"/>
  <c r="H145" i="23"/>
  <c r="I145" i="23" s="1"/>
  <c r="J145" i="23" s="1"/>
  <c r="K145" i="23" s="1"/>
  <c r="L145" i="23" s="1"/>
  <c r="M145" i="23" s="1"/>
  <c r="N145" i="23" s="1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B145" i="23" s="1"/>
  <c r="E145" i="23"/>
  <c r="F145" i="23" s="1"/>
  <c r="G145" i="23" s="1"/>
  <c r="D145" i="23"/>
  <c r="N144" i="23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B144" i="23" s="1"/>
  <c r="L144" i="23"/>
  <c r="M144" i="23" s="1"/>
  <c r="D144" i="23"/>
  <c r="E144" i="23" s="1"/>
  <c r="F144" i="23" s="1"/>
  <c r="G144" i="23" s="1"/>
  <c r="H144" i="23" s="1"/>
  <c r="I144" i="23" s="1"/>
  <c r="J144" i="23" s="1"/>
  <c r="K144" i="23" s="1"/>
  <c r="Y143" i="23"/>
  <c r="Z143" i="23" s="1"/>
  <c r="AA143" i="23" s="1"/>
  <c r="AB143" i="23" s="1"/>
  <c r="AC143" i="23" s="1"/>
  <c r="AD143" i="23" s="1"/>
  <c r="AE143" i="23" s="1"/>
  <c r="AF143" i="23" s="1"/>
  <c r="B143" i="23" s="1"/>
  <c r="T143" i="23"/>
  <c r="U143" i="23" s="1"/>
  <c r="V143" i="23" s="1"/>
  <c r="W143" i="23" s="1"/>
  <c r="X143" i="23" s="1"/>
  <c r="I143" i="23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D143" i="23"/>
  <c r="E143" i="23" s="1"/>
  <c r="F143" i="23" s="1"/>
  <c r="G143" i="23" s="1"/>
  <c r="H143" i="23" s="1"/>
  <c r="H142" i="23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B142" i="23" s="1"/>
  <c r="D142" i="23"/>
  <c r="E142" i="23" s="1"/>
  <c r="F142" i="23" s="1"/>
  <c r="G142" i="23" s="1"/>
  <c r="U141" i="23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B141" i="23" s="1"/>
  <c r="F141" i="23"/>
  <c r="G141" i="23" s="1"/>
  <c r="H141" i="23" s="1"/>
  <c r="I141" i="23" s="1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E141" i="23"/>
  <c r="D141" i="23"/>
  <c r="D139" i="23"/>
  <c r="E139" i="23" s="1"/>
  <c r="F139" i="23" s="1"/>
  <c r="G139" i="23" s="1"/>
  <c r="H139" i="23" s="1"/>
  <c r="I139" i="23" s="1"/>
  <c r="J139" i="23" s="1"/>
  <c r="K139" i="23" s="1"/>
  <c r="L139" i="23" s="1"/>
  <c r="M139" i="23" s="1"/>
  <c r="N139" i="23" s="1"/>
  <c r="O139" i="23" s="1"/>
  <c r="P139" i="23" s="1"/>
  <c r="Q139" i="23" s="1"/>
  <c r="R139" i="23" s="1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B139" i="23" s="1"/>
  <c r="D138" i="23"/>
  <c r="E138" i="23" s="1"/>
  <c r="F138" i="23" s="1"/>
  <c r="G138" i="23" s="1"/>
  <c r="H138" i="23" s="1"/>
  <c r="I138" i="23" s="1"/>
  <c r="J138" i="23" s="1"/>
  <c r="K138" i="23" s="1"/>
  <c r="L138" i="23" s="1"/>
  <c r="M138" i="23" s="1"/>
  <c r="N138" i="23" s="1"/>
  <c r="O138" i="23" s="1"/>
  <c r="P138" i="23" s="1"/>
  <c r="Q138" i="23" s="1"/>
  <c r="R138" i="23" s="1"/>
  <c r="S138" i="23" s="1"/>
  <c r="T138" i="23" s="1"/>
  <c r="U138" i="23" s="1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B138" i="23" s="1"/>
  <c r="H137" i="23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B137" i="23" s="1"/>
  <c r="G137" i="23"/>
  <c r="D137" i="23"/>
  <c r="E137" i="23" s="1"/>
  <c r="F137" i="23" s="1"/>
  <c r="U136" i="23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B136" i="23" s="1"/>
  <c r="P136" i="23"/>
  <c r="Q136" i="23" s="1"/>
  <c r="R136" i="23" s="1"/>
  <c r="S136" i="23" s="1"/>
  <c r="T136" i="23" s="1"/>
  <c r="E136" i="23"/>
  <c r="F136" i="23" s="1"/>
  <c r="G136" i="23" s="1"/>
  <c r="H136" i="23" s="1"/>
  <c r="I136" i="23" s="1"/>
  <c r="J136" i="23" s="1"/>
  <c r="K136" i="23" s="1"/>
  <c r="L136" i="23" s="1"/>
  <c r="M136" i="23" s="1"/>
  <c r="N136" i="23" s="1"/>
  <c r="O136" i="23" s="1"/>
  <c r="D136" i="23"/>
  <c r="H135" i="23"/>
  <c r="I135" i="23" s="1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B135" i="23" s="1"/>
  <c r="D135" i="23"/>
  <c r="E135" i="23" s="1"/>
  <c r="F135" i="23" s="1"/>
  <c r="G135" i="23" s="1"/>
  <c r="F134" i="23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B134" i="23" s="1"/>
  <c r="D134" i="23"/>
  <c r="E134" i="23" s="1"/>
  <c r="J133" i="23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B133" i="23" s="1"/>
  <c r="G133" i="23"/>
  <c r="H133" i="23" s="1"/>
  <c r="I133" i="23" s="1"/>
  <c r="D133" i="23"/>
  <c r="E133" i="23" s="1"/>
  <c r="F133" i="23" s="1"/>
  <c r="F132" i="23"/>
  <c r="G132" i="23" s="1"/>
  <c r="H132" i="23" s="1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B132" i="23" s="1"/>
  <c r="E132" i="23"/>
  <c r="D132" i="23"/>
  <c r="L130" i="23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B130" i="23" s="1"/>
  <c r="D130" i="23"/>
  <c r="E130" i="23" s="1"/>
  <c r="F130" i="23" s="1"/>
  <c r="G130" i="23" s="1"/>
  <c r="H130" i="23" s="1"/>
  <c r="I130" i="23" s="1"/>
  <c r="J130" i="23" s="1"/>
  <c r="K130" i="23" s="1"/>
  <c r="D129" i="23"/>
  <c r="E129" i="23" s="1"/>
  <c r="F129" i="23" s="1"/>
  <c r="G129" i="23" s="1"/>
  <c r="H129" i="23" s="1"/>
  <c r="I129" i="23" s="1"/>
  <c r="J129" i="23" s="1"/>
  <c r="K129" i="23" s="1"/>
  <c r="L129" i="23" s="1"/>
  <c r="M129" i="23" s="1"/>
  <c r="N129" i="23" s="1"/>
  <c r="O129" i="23" s="1"/>
  <c r="P129" i="23" s="1"/>
  <c r="Q129" i="23" s="1"/>
  <c r="R129" i="23" s="1"/>
  <c r="S129" i="23" s="1"/>
  <c r="T129" i="23" s="1"/>
  <c r="U129" i="23" s="1"/>
  <c r="V129" i="23" s="1"/>
  <c r="W129" i="23" s="1"/>
  <c r="X129" i="23" s="1"/>
  <c r="Y129" i="23" s="1"/>
  <c r="Z129" i="23" s="1"/>
  <c r="AA129" i="23" s="1"/>
  <c r="AB129" i="23" s="1"/>
  <c r="AC129" i="23" s="1"/>
  <c r="AD129" i="23" s="1"/>
  <c r="AE129" i="23" s="1"/>
  <c r="AF129" i="23" s="1"/>
  <c r="B129" i="23" s="1"/>
  <c r="E128" i="23"/>
  <c r="F128" i="23" s="1"/>
  <c r="G128" i="23" s="1"/>
  <c r="H128" i="23" s="1"/>
  <c r="I128" i="23" s="1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B128" i="23" s="1"/>
  <c r="D128" i="23"/>
  <c r="E127" i="23"/>
  <c r="F127" i="23" s="1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B127" i="23" s="1"/>
  <c r="D127" i="23"/>
  <c r="L126" i="23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B126" i="23" s="1"/>
  <c r="K126" i="23"/>
  <c r="J126" i="23"/>
  <c r="E126" i="23"/>
  <c r="F126" i="23" s="1"/>
  <c r="G126" i="23" s="1"/>
  <c r="H126" i="23" s="1"/>
  <c r="D126" i="23"/>
  <c r="E125" i="23"/>
  <c r="F125" i="23" s="1"/>
  <c r="G125" i="23" s="1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B125" i="23" s="1"/>
  <c r="D125" i="23"/>
  <c r="D124" i="23"/>
  <c r="E124" i="23" s="1"/>
  <c r="F124" i="23" s="1"/>
  <c r="G124" i="23" s="1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B124" i="23" s="1"/>
  <c r="G123" i="23"/>
  <c r="H123" i="23" s="1"/>
  <c r="I123" i="23" s="1"/>
  <c r="J123" i="23" s="1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B123" i="23" s="1"/>
  <c r="D123" i="23"/>
  <c r="E123" i="23" s="1"/>
  <c r="F123" i="23" s="1"/>
  <c r="D122" i="23"/>
  <c r="E122" i="23" s="1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B122" i="23" s="1"/>
  <c r="F121" i="23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B121" i="23" s="1"/>
  <c r="D121" i="23"/>
  <c r="E121" i="23" s="1"/>
  <c r="F120" i="23"/>
  <c r="G120" i="23" s="1"/>
  <c r="H120" i="23" s="1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B120" i="23" s="1"/>
  <c r="D120" i="23"/>
  <c r="E120" i="23" s="1"/>
  <c r="D119" i="23"/>
  <c r="E119" i="23" s="1"/>
  <c r="F119" i="23" s="1"/>
  <c r="G119" i="23" s="1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B119" i="23" s="1"/>
  <c r="H118" i="23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B118" i="23" s="1"/>
  <c r="G118" i="23"/>
  <c r="D118" i="23"/>
  <c r="E118" i="23" s="1"/>
  <c r="F118" i="23" s="1"/>
  <c r="F117" i="23"/>
  <c r="G117" i="23" s="1"/>
  <c r="H117" i="23" s="1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B117" i="23" s="1"/>
  <c r="E117" i="23"/>
  <c r="D117" i="23"/>
  <c r="F116" i="23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B116" i="23" s="1"/>
  <c r="D116" i="23"/>
  <c r="E116" i="23" s="1"/>
  <c r="L115" i="23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B115" i="23" s="1"/>
  <c r="K115" i="23"/>
  <c r="E115" i="23"/>
  <c r="F115" i="23" s="1"/>
  <c r="G115" i="23" s="1"/>
  <c r="H115" i="23" s="1"/>
  <c r="I115" i="23" s="1"/>
  <c r="D115" i="23"/>
  <c r="D114" i="23"/>
  <c r="E114" i="23" s="1"/>
  <c r="F114" i="23" s="1"/>
  <c r="G114" i="23" s="1"/>
  <c r="H114" i="23" s="1"/>
  <c r="I114" i="23" s="1"/>
  <c r="J114" i="23" s="1"/>
  <c r="K114" i="23" s="1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B114" i="23" s="1"/>
  <c r="D113" i="23"/>
  <c r="E113" i="23" s="1"/>
  <c r="F113" i="23" s="1"/>
  <c r="G113" i="23" s="1"/>
  <c r="H113" i="23" s="1"/>
  <c r="I113" i="23" s="1"/>
  <c r="J113" i="23" s="1"/>
  <c r="K113" i="23" s="1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B113" i="23" s="1"/>
  <c r="F111" i="23"/>
  <c r="G111" i="23" s="1"/>
  <c r="H111" i="23" s="1"/>
  <c r="I111" i="23" s="1"/>
  <c r="J111" i="23" s="1"/>
  <c r="K111" i="23" s="1"/>
  <c r="L111" i="23" s="1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B111" i="23" s="1"/>
  <c r="E111" i="23"/>
  <c r="D111" i="23"/>
  <c r="E110" i="23"/>
  <c r="F110" i="23" s="1"/>
  <c r="G110" i="23" s="1"/>
  <c r="H110" i="23" s="1"/>
  <c r="I110" i="23" s="1"/>
  <c r="J110" i="23" s="1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B110" i="23" s="1"/>
  <c r="D110" i="23"/>
  <c r="E108" i="23"/>
  <c r="F108" i="23" s="1"/>
  <c r="G108" i="23" s="1"/>
  <c r="H108" i="23" s="1"/>
  <c r="I108" i="23" s="1"/>
  <c r="J108" i="23" s="1"/>
  <c r="K108" i="23" s="1"/>
  <c r="L108" i="23" s="1"/>
  <c r="M108" i="23" s="1"/>
  <c r="N108" i="23" s="1"/>
  <c r="O108" i="23" s="1"/>
  <c r="P108" i="23" s="1"/>
  <c r="Q108" i="23" s="1"/>
  <c r="R108" i="23" s="1"/>
  <c r="S108" i="23" s="1"/>
  <c r="T108" i="23" s="1"/>
  <c r="U108" i="23" s="1"/>
  <c r="V108" i="23" s="1"/>
  <c r="W108" i="23" s="1"/>
  <c r="X108" i="23" s="1"/>
  <c r="Y108" i="23" s="1"/>
  <c r="Z108" i="23" s="1"/>
  <c r="AA108" i="23" s="1"/>
  <c r="AB108" i="23" s="1"/>
  <c r="AC108" i="23" s="1"/>
  <c r="AD108" i="23" s="1"/>
  <c r="AE108" i="23" s="1"/>
  <c r="AF108" i="23" s="1"/>
  <c r="B108" i="23" s="1"/>
  <c r="D108" i="23"/>
  <c r="D107" i="23"/>
  <c r="E107" i="23" s="1"/>
  <c r="F107" i="23" s="1"/>
  <c r="G107" i="23" s="1"/>
  <c r="H107" i="23" s="1"/>
  <c r="I107" i="23" s="1"/>
  <c r="J107" i="23" s="1"/>
  <c r="K107" i="23" s="1"/>
  <c r="L107" i="23" s="1"/>
  <c r="M107" i="23" s="1"/>
  <c r="N107" i="23" s="1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B107" i="23" s="1"/>
  <c r="D106" i="23"/>
  <c r="E106" i="23" s="1"/>
  <c r="F106" i="23" s="1"/>
  <c r="G106" i="23" s="1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B106" i="23" s="1"/>
  <c r="E105" i="23"/>
  <c r="F105" i="23" s="1"/>
  <c r="G105" i="23" s="1"/>
  <c r="H105" i="23" s="1"/>
  <c r="I105" i="23" s="1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B105" i="23" s="1"/>
  <c r="D105" i="23"/>
  <c r="D104" i="23"/>
  <c r="D93" i="23" s="1"/>
  <c r="E103" i="23"/>
  <c r="D103" i="23"/>
  <c r="AH100" i="23"/>
  <c r="AI100" i="23" s="1"/>
  <c r="AH99" i="23"/>
  <c r="AI99" i="23" s="1"/>
  <c r="AH98" i="23"/>
  <c r="AI98" i="23" s="1"/>
  <c r="AH97" i="23"/>
  <c r="AI97" i="23" s="1"/>
  <c r="AH96" i="23"/>
  <c r="AI96" i="23" s="1"/>
  <c r="AH95" i="23"/>
  <c r="AI95" i="23" s="1"/>
  <c r="AH94" i="23"/>
  <c r="AI94" i="23" s="1"/>
  <c r="C93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G82" i="23"/>
  <c r="AI81" i="23"/>
  <c r="AH81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B80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B79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AF77" i="23"/>
  <c r="AE77" i="23"/>
  <c r="AD77" i="23"/>
  <c r="AC77" i="23"/>
  <c r="AB77" i="23"/>
  <c r="AA77" i="23"/>
  <c r="Z77" i="23"/>
  <c r="Y77" i="23"/>
  <c r="X77" i="23"/>
  <c r="X82" i="23" s="1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AF76" i="23"/>
  <c r="AF82" i="23" s="1"/>
  <c r="AE76" i="23"/>
  <c r="AE82" i="23" s="1"/>
  <c r="AD76" i="23"/>
  <c r="AC76" i="23"/>
  <c r="AB76" i="23"/>
  <c r="AA76" i="23"/>
  <c r="Z76" i="23"/>
  <c r="Y76" i="23"/>
  <c r="Y82" i="23" s="1"/>
  <c r="X76" i="23"/>
  <c r="W76" i="23"/>
  <c r="W82" i="23" s="1"/>
  <c r="V76" i="23"/>
  <c r="U76" i="23"/>
  <c r="T76" i="23"/>
  <c r="S76" i="23"/>
  <c r="R76" i="23"/>
  <c r="R82" i="23" s="1"/>
  <c r="Q76" i="23"/>
  <c r="Q82" i="23" s="1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AI74" i="23"/>
  <c r="AH74" i="23"/>
  <c r="AI72" i="23"/>
  <c r="AH72" i="23"/>
  <c r="AG72" i="23"/>
  <c r="AI71" i="23"/>
  <c r="AH71" i="23"/>
  <c r="AI70" i="23"/>
  <c r="AH70" i="23"/>
  <c r="AI69" i="23"/>
  <c r="AH69" i="23"/>
  <c r="AG68" i="23"/>
  <c r="AF68" i="23"/>
  <c r="AE5" i="23" s="1"/>
  <c r="AE68" i="23"/>
  <c r="AD5" i="23" s="1"/>
  <c r="AD68" i="23"/>
  <c r="AC5" i="23" s="1"/>
  <c r="AC68" i="23"/>
  <c r="AB5" i="23" s="1"/>
  <c r="AB68" i="23"/>
  <c r="AA5" i="23" s="1"/>
  <c r="AA68" i="23"/>
  <c r="Z5" i="23" s="1"/>
  <c r="Z68" i="23"/>
  <c r="Y5" i="23" s="1"/>
  <c r="Y68" i="23"/>
  <c r="X5" i="23" s="1"/>
  <c r="X68" i="23"/>
  <c r="W5" i="23" s="1"/>
  <c r="W68" i="23"/>
  <c r="V5" i="23" s="1"/>
  <c r="V68" i="23"/>
  <c r="U5" i="23" s="1"/>
  <c r="U68" i="23"/>
  <c r="T5" i="23" s="1"/>
  <c r="T68" i="23"/>
  <c r="S5" i="23" s="1"/>
  <c r="S68" i="23"/>
  <c r="R5" i="23" s="1"/>
  <c r="R68" i="23"/>
  <c r="Q5" i="23" s="1"/>
  <c r="Q68" i="23"/>
  <c r="P5" i="23" s="1"/>
  <c r="P68" i="23"/>
  <c r="O5" i="23" s="1"/>
  <c r="O68" i="23"/>
  <c r="N5" i="23" s="1"/>
  <c r="N68" i="23"/>
  <c r="M5" i="23" s="1"/>
  <c r="M68" i="23"/>
  <c r="L5" i="23" s="1"/>
  <c r="L68" i="23"/>
  <c r="K5" i="23" s="1"/>
  <c r="K68" i="23"/>
  <c r="J5" i="23" s="1"/>
  <c r="J68" i="23"/>
  <c r="I5" i="23" s="1"/>
  <c r="I68" i="23"/>
  <c r="H5" i="23" s="1"/>
  <c r="H68" i="23"/>
  <c r="G5" i="23" s="1"/>
  <c r="G68" i="23"/>
  <c r="F5" i="23" s="1"/>
  <c r="F68" i="23"/>
  <c r="E5" i="23" s="1"/>
  <c r="E68" i="23"/>
  <c r="D5" i="23" s="1"/>
  <c r="D68" i="23"/>
  <c r="C5" i="23" s="1"/>
  <c r="C68" i="23"/>
  <c r="B5" i="23" s="1"/>
  <c r="B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I55" i="23"/>
  <c r="AH55" i="23"/>
  <c r="AI54" i="23"/>
  <c r="AH54" i="23"/>
  <c r="AI53" i="23"/>
  <c r="AH53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AI51" i="23"/>
  <c r="AH51" i="23"/>
  <c r="AG51" i="23"/>
  <c r="AG52" i="23" s="1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G38" i="23"/>
  <c r="AG2" i="23" s="1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G4" i="23"/>
  <c r="K4" i="23"/>
  <c r="B4" i="23"/>
  <c r="AE95" i="22"/>
  <c r="AE37" i="22"/>
  <c r="AD37" i="22"/>
  <c r="E4" i="23"/>
  <c r="AF235" i="33" l="1"/>
  <c r="B200" i="33"/>
  <c r="AF192" i="32"/>
  <c r="B102" i="32"/>
  <c r="B192" i="32" s="1"/>
  <c r="AF194" i="32"/>
  <c r="AE200" i="32"/>
  <c r="AE93" i="32"/>
  <c r="AE235" i="31"/>
  <c r="B199" i="31"/>
  <c r="AF235" i="31" s="1"/>
  <c r="AF194" i="31"/>
  <c r="AE200" i="31"/>
  <c r="AE93" i="31"/>
  <c r="AE192" i="31"/>
  <c r="AF102" i="31"/>
  <c r="AD235" i="30"/>
  <c r="AF199" i="30"/>
  <c r="AE200" i="30"/>
  <c r="AF103" i="30"/>
  <c r="AE93" i="30"/>
  <c r="AE192" i="30"/>
  <c r="AF102" i="30"/>
  <c r="B102" i="29"/>
  <c r="AE93" i="29"/>
  <c r="AF103" i="29"/>
  <c r="B194" i="29"/>
  <c r="AF200" i="29"/>
  <c r="AE235" i="29"/>
  <c r="B199" i="29"/>
  <c r="AF235" i="29" s="1"/>
  <c r="B194" i="28"/>
  <c r="AE192" i="28"/>
  <c r="AF102" i="28"/>
  <c r="AD235" i="28"/>
  <c r="AF199" i="28"/>
  <c r="AF109" i="28"/>
  <c r="AE93" i="28"/>
  <c r="AF93" i="27"/>
  <c r="B103" i="27"/>
  <c r="AF200" i="27"/>
  <c r="B194" i="27"/>
  <c r="AE235" i="27"/>
  <c r="B199" i="27"/>
  <c r="AF235" i="27" s="1"/>
  <c r="AE192" i="27"/>
  <c r="AF102" i="27"/>
  <c r="AD200" i="26"/>
  <c r="AC235" i="26"/>
  <c r="AE199" i="26"/>
  <c r="B194" i="26"/>
  <c r="AD192" i="26"/>
  <c r="AE102" i="26"/>
  <c r="AE93" i="26"/>
  <c r="AF103" i="26"/>
  <c r="B103" i="26" s="1"/>
  <c r="N192" i="25"/>
  <c r="O102" i="25"/>
  <c r="Q103" i="25"/>
  <c r="O109" i="25"/>
  <c r="N93" i="25"/>
  <c r="O194" i="25"/>
  <c r="N200" i="25"/>
  <c r="L235" i="25"/>
  <c r="N199" i="25"/>
  <c r="M200" i="25"/>
  <c r="N103" i="24"/>
  <c r="M93" i="24"/>
  <c r="M192" i="24"/>
  <c r="Q102" i="24"/>
  <c r="L235" i="24"/>
  <c r="N199" i="24"/>
  <c r="M200" i="24"/>
  <c r="P194" i="24"/>
  <c r="AF73" i="23"/>
  <c r="AF75" i="23" s="1"/>
  <c r="AE73" i="23"/>
  <c r="AE75" i="23" s="1"/>
  <c r="AE7" i="23" s="1"/>
  <c r="AD82" i="23"/>
  <c r="AD73" i="23"/>
  <c r="AD75" i="23" s="1"/>
  <c r="AV215" i="23" s="1"/>
  <c r="AC82" i="23"/>
  <c r="AC83" i="23" s="1"/>
  <c r="AC73" i="23"/>
  <c r="AC75" i="23" s="1"/>
  <c r="AC7" i="23" s="1"/>
  <c r="AB82" i="23"/>
  <c r="AB73" i="23"/>
  <c r="AB75" i="23" s="1"/>
  <c r="AB7" i="23" s="1"/>
  <c r="AA82" i="23"/>
  <c r="AA73" i="23"/>
  <c r="AA75" i="23" s="1"/>
  <c r="AS215" i="23" s="1"/>
  <c r="Z82" i="23"/>
  <c r="Z83" i="23" s="1"/>
  <c r="Z73" i="23"/>
  <c r="Z75" i="23" s="1"/>
  <c r="Z7" i="23" s="1"/>
  <c r="Y83" i="23"/>
  <c r="Y73" i="23"/>
  <c r="Y75" i="23" s="1"/>
  <c r="AQ215" i="23" s="1"/>
  <c r="X73" i="23"/>
  <c r="X75" i="23" s="1"/>
  <c r="X7" i="23" s="1"/>
  <c r="W73" i="23"/>
  <c r="W75" i="23" s="1"/>
  <c r="W7" i="23" s="1"/>
  <c r="V82" i="23"/>
  <c r="V73" i="23"/>
  <c r="V75" i="23" s="1"/>
  <c r="AN215" i="23" s="1"/>
  <c r="U82" i="23"/>
  <c r="U83" i="23" s="1"/>
  <c r="U73" i="23"/>
  <c r="U75" i="23" s="1"/>
  <c r="U7" i="23" s="1"/>
  <c r="T82" i="23"/>
  <c r="T73" i="23"/>
  <c r="T75" i="23" s="1"/>
  <c r="AL215" i="23" s="1"/>
  <c r="S82" i="23"/>
  <c r="S73" i="23"/>
  <c r="S75" i="23" s="1"/>
  <c r="S7" i="23" s="1"/>
  <c r="R83" i="23"/>
  <c r="Q83" i="23"/>
  <c r="Q73" i="23"/>
  <c r="Q75" i="23" s="1"/>
  <c r="AI215" i="23" s="1"/>
  <c r="P82" i="23"/>
  <c r="P73" i="23"/>
  <c r="P75" i="23" s="1"/>
  <c r="AH215" i="23" s="1"/>
  <c r="O82" i="23"/>
  <c r="O83" i="23" s="1"/>
  <c r="O73" i="23"/>
  <c r="O75" i="23" s="1"/>
  <c r="N82" i="23"/>
  <c r="N83" i="23" s="1"/>
  <c r="N73" i="23"/>
  <c r="N75" i="23" s="1"/>
  <c r="AF215" i="23" s="1"/>
  <c r="M82" i="23"/>
  <c r="M83" i="23" s="1"/>
  <c r="M73" i="23"/>
  <c r="M75" i="23" s="1"/>
  <c r="AE215" i="23" s="1"/>
  <c r="L82" i="23"/>
  <c r="L73" i="23"/>
  <c r="L75" i="23" s="1"/>
  <c r="L7" i="23" s="1"/>
  <c r="K82" i="23"/>
  <c r="K73" i="23"/>
  <c r="K75" i="23" s="1"/>
  <c r="K7" i="23" s="1"/>
  <c r="J82" i="23"/>
  <c r="J83" i="23" s="1"/>
  <c r="J73" i="23"/>
  <c r="J75" i="23" s="1"/>
  <c r="I82" i="23"/>
  <c r="I83" i="23"/>
  <c r="I73" i="23"/>
  <c r="I75" i="23" s="1"/>
  <c r="I7" i="23" s="1"/>
  <c r="H82" i="23"/>
  <c r="H73" i="23"/>
  <c r="H75" i="23" s="1"/>
  <c r="Z215" i="23" s="1"/>
  <c r="AI37" i="23"/>
  <c r="G82" i="23"/>
  <c r="G73" i="23"/>
  <c r="G75" i="23" s="1"/>
  <c r="G7" i="23" s="1"/>
  <c r="F82" i="23"/>
  <c r="AI79" i="23"/>
  <c r="F73" i="23"/>
  <c r="F75" i="23" s="1"/>
  <c r="X215" i="23" s="1"/>
  <c r="AH37" i="23"/>
  <c r="E82" i="23"/>
  <c r="E83" i="23"/>
  <c r="AH56" i="23"/>
  <c r="E73" i="23"/>
  <c r="E75" i="23" s="1"/>
  <c r="W215" i="23" s="1"/>
  <c r="AH77" i="23"/>
  <c r="D82" i="23"/>
  <c r="D83" i="23" s="1"/>
  <c r="D73" i="23"/>
  <c r="D75" i="23" s="1"/>
  <c r="V215" i="23" s="1"/>
  <c r="AH78" i="23"/>
  <c r="C82" i="23"/>
  <c r="AI78" i="23"/>
  <c r="AI77" i="23"/>
  <c r="AI80" i="23"/>
  <c r="AH68" i="23"/>
  <c r="AH52" i="23"/>
  <c r="AF5" i="23"/>
  <c r="B82" i="23"/>
  <c r="AI56" i="23"/>
  <c r="R73" i="23"/>
  <c r="R75" i="23" s="1"/>
  <c r="AJ215" i="23" s="1"/>
  <c r="B73" i="23"/>
  <c r="B75" i="23" s="1"/>
  <c r="AI52" i="23"/>
  <c r="AI38" i="23"/>
  <c r="H4" i="23"/>
  <c r="AO215" i="23"/>
  <c r="AG215" i="23"/>
  <c r="O7" i="23"/>
  <c r="AX215" i="23"/>
  <c r="AF7" i="23"/>
  <c r="AB215" i="23"/>
  <c r="J7" i="23"/>
  <c r="AR215" i="23"/>
  <c r="AG75" i="23"/>
  <c r="AG3" i="23"/>
  <c r="AG73" i="23"/>
  <c r="AG83" i="23" s="1"/>
  <c r="Y215" i="23"/>
  <c r="AP215" i="23"/>
  <c r="AA215" i="23"/>
  <c r="AK215" i="23"/>
  <c r="AD215" i="23"/>
  <c r="AT215" i="23"/>
  <c r="Q7" i="23"/>
  <c r="G83" i="23"/>
  <c r="W83" i="23"/>
  <c r="AE83" i="23"/>
  <c r="AW215" i="23"/>
  <c r="AG6" i="23"/>
  <c r="AD7" i="23"/>
  <c r="H83" i="23"/>
  <c r="P83" i="23"/>
  <c r="X83" i="23"/>
  <c r="AF83" i="23"/>
  <c r="AI68" i="23"/>
  <c r="AI76" i="23"/>
  <c r="AH38" i="23"/>
  <c r="AH79" i="23"/>
  <c r="C83" i="23"/>
  <c r="K83" i="23"/>
  <c r="S83" i="23"/>
  <c r="AA83" i="23"/>
  <c r="E104" i="23"/>
  <c r="C73" i="23"/>
  <c r="C75" i="23" s="1"/>
  <c r="AH80" i="23"/>
  <c r="L83" i="23"/>
  <c r="T83" i="23"/>
  <c r="AB83" i="23"/>
  <c r="D193" i="23"/>
  <c r="E193" i="23"/>
  <c r="F83" i="23"/>
  <c r="V83" i="23"/>
  <c r="AD83" i="23"/>
  <c r="F103" i="23"/>
  <c r="D212" i="23"/>
  <c r="S212" i="23"/>
  <c r="AH76" i="23"/>
  <c r="F195" i="23"/>
  <c r="E201" i="23"/>
  <c r="D236" i="23"/>
  <c r="F200" i="23"/>
  <c r="AF200" i="32" l="1"/>
  <c r="B194" i="32"/>
  <c r="AF93" i="32"/>
  <c r="AF200" i="31"/>
  <c r="B194" i="31"/>
  <c r="AF93" i="31"/>
  <c r="AF192" i="31"/>
  <c r="B102" i="31"/>
  <c r="B192" i="31" s="1"/>
  <c r="AF192" i="30"/>
  <c r="B102" i="30"/>
  <c r="B103" i="30"/>
  <c r="AF93" i="30"/>
  <c r="AE235" i="30"/>
  <c r="B199" i="30"/>
  <c r="AF200" i="30"/>
  <c r="B200" i="29"/>
  <c r="B103" i="29"/>
  <c r="B93" i="29" s="1"/>
  <c r="B192" i="29"/>
  <c r="AF192" i="29"/>
  <c r="AE235" i="28"/>
  <c r="B199" i="28"/>
  <c r="AF235" i="28" s="1"/>
  <c r="AF192" i="28"/>
  <c r="B102" i="28"/>
  <c r="B109" i="28"/>
  <c r="AF93" i="28"/>
  <c r="B200" i="28"/>
  <c r="AF200" i="28"/>
  <c r="AF192" i="27"/>
  <c r="B102" i="27"/>
  <c r="B192" i="27" s="1"/>
  <c r="B200" i="27"/>
  <c r="B93" i="27"/>
  <c r="AH93" i="27"/>
  <c r="AI93" i="27"/>
  <c r="AF199" i="26"/>
  <c r="AD235" i="26"/>
  <c r="AE200" i="26"/>
  <c r="AF93" i="26"/>
  <c r="AE192" i="26"/>
  <c r="AF102" i="26"/>
  <c r="B102" i="26" s="1"/>
  <c r="AU215" i="23"/>
  <c r="AM215" i="23"/>
  <c r="P109" i="25"/>
  <c r="P194" i="25"/>
  <c r="R103" i="25"/>
  <c r="M235" i="25"/>
  <c r="O199" i="25"/>
  <c r="O200" i="25" s="1"/>
  <c r="O192" i="25"/>
  <c r="P102" i="25"/>
  <c r="R102" i="24"/>
  <c r="O199" i="24"/>
  <c r="M235" i="24"/>
  <c r="N200" i="24"/>
  <c r="Q194" i="24"/>
  <c r="O103" i="24"/>
  <c r="N93" i="24"/>
  <c r="N192" i="24"/>
  <c r="AA7" i="23"/>
  <c r="Y7" i="23"/>
  <c r="V7" i="23"/>
  <c r="T7" i="23"/>
  <c r="R7" i="23"/>
  <c r="P7" i="23"/>
  <c r="N7" i="23"/>
  <c r="M7" i="23"/>
  <c r="AC215" i="23"/>
  <c r="C210" i="23"/>
  <c r="H7" i="23"/>
  <c r="B210" i="23"/>
  <c r="F7" i="23"/>
  <c r="E7" i="23"/>
  <c r="D7" i="23"/>
  <c r="AH82" i="23"/>
  <c r="AI82" i="23"/>
  <c r="B83" i="23"/>
  <c r="G103" i="23"/>
  <c r="E236" i="23"/>
  <c r="G200" i="23"/>
  <c r="AH73" i="23"/>
  <c r="U215" i="23"/>
  <c r="C7" i="23"/>
  <c r="AI73" i="23"/>
  <c r="G195" i="23"/>
  <c r="F201" i="23"/>
  <c r="AH83" i="23"/>
  <c r="AI83" i="23"/>
  <c r="E93" i="23"/>
  <c r="F104" i="23"/>
  <c r="T215" i="23"/>
  <c r="AI75" i="23"/>
  <c r="AH75" i="23"/>
  <c r="B7" i="23"/>
  <c r="AI93" i="32" l="1"/>
  <c r="AH93" i="32"/>
  <c r="B200" i="32"/>
  <c r="B93" i="32"/>
  <c r="AH93" i="31"/>
  <c r="AI93" i="31"/>
  <c r="B200" i="31"/>
  <c r="B93" i="31"/>
  <c r="AI93" i="30"/>
  <c r="AH93" i="30"/>
  <c r="B192" i="30"/>
  <c r="AF235" i="30"/>
  <c r="B200" i="30"/>
  <c r="AH93" i="29"/>
  <c r="AI93" i="29"/>
  <c r="B192" i="28"/>
  <c r="AH93" i="28"/>
  <c r="AI93" i="28"/>
  <c r="AE235" i="26"/>
  <c r="AF200" i="26"/>
  <c r="B199" i="26"/>
  <c r="AI93" i="26"/>
  <c r="AH93" i="26"/>
  <c r="AF192" i="26"/>
  <c r="B192" i="26"/>
  <c r="S103" i="25"/>
  <c r="N235" i="25"/>
  <c r="P199" i="25"/>
  <c r="P200" i="25"/>
  <c r="Q194" i="25"/>
  <c r="O93" i="25"/>
  <c r="P192" i="25"/>
  <c r="Q102" i="25"/>
  <c r="Q109" i="25"/>
  <c r="P93" i="25"/>
  <c r="N235" i="24"/>
  <c r="P199" i="24"/>
  <c r="O200" i="24"/>
  <c r="S102" i="24"/>
  <c r="P103" i="24"/>
  <c r="O93" i="24"/>
  <c r="O192" i="24"/>
  <c r="R194" i="24"/>
  <c r="K6" i="23"/>
  <c r="F93" i="23"/>
  <c r="G104" i="23"/>
  <c r="G193" i="23"/>
  <c r="H103" i="23"/>
  <c r="F236" i="23"/>
  <c r="H200" i="23"/>
  <c r="A7" i="23"/>
  <c r="H195" i="23"/>
  <c r="G201" i="23"/>
  <c r="F193" i="23"/>
  <c r="AF235" i="26" l="1"/>
  <c r="B200" i="26"/>
  <c r="B93" i="26"/>
  <c r="R194" i="25"/>
  <c r="O235" i="25"/>
  <c r="Q199" i="25"/>
  <c r="R109" i="25"/>
  <c r="Q93" i="25"/>
  <c r="Q192" i="25"/>
  <c r="R102" i="25"/>
  <c r="T103" i="25"/>
  <c r="Q103" i="24"/>
  <c r="P93" i="24"/>
  <c r="P192" i="24"/>
  <c r="T102" i="24"/>
  <c r="S194" i="24"/>
  <c r="Q199" i="24"/>
  <c r="O235" i="24"/>
  <c r="P200" i="24"/>
  <c r="G236" i="23"/>
  <c r="I200" i="23"/>
  <c r="I103" i="23"/>
  <c r="H201" i="23"/>
  <c r="I195" i="23"/>
  <c r="H104" i="23"/>
  <c r="G93" i="23"/>
  <c r="R192" i="25" l="1"/>
  <c r="S102" i="25"/>
  <c r="S194" i="25"/>
  <c r="S109" i="25"/>
  <c r="R93" i="25"/>
  <c r="P235" i="25"/>
  <c r="R199" i="25"/>
  <c r="U103" i="25"/>
  <c r="Q200" i="25"/>
  <c r="T194" i="24"/>
  <c r="U102" i="24"/>
  <c r="P235" i="24"/>
  <c r="R199" i="24"/>
  <c r="Q200" i="24"/>
  <c r="Q93" i="24"/>
  <c r="R103" i="24"/>
  <c r="Q192" i="24"/>
  <c r="H93" i="23"/>
  <c r="I104" i="23"/>
  <c r="I201" i="23"/>
  <c r="J195" i="23"/>
  <c r="I193" i="23"/>
  <c r="J103" i="23"/>
  <c r="H193" i="23"/>
  <c r="H236" i="23"/>
  <c r="J200" i="23"/>
  <c r="S199" i="25" l="1"/>
  <c r="Q235" i="25"/>
  <c r="T109" i="25"/>
  <c r="S93" i="25"/>
  <c r="R200" i="25"/>
  <c r="S192" i="25"/>
  <c r="T102" i="25"/>
  <c r="S200" i="25"/>
  <c r="T194" i="25"/>
  <c r="V103" i="25"/>
  <c r="V102" i="24"/>
  <c r="S199" i="24"/>
  <c r="Q235" i="24"/>
  <c r="R200" i="24"/>
  <c r="R93" i="24"/>
  <c r="S103" i="24"/>
  <c r="R192" i="24"/>
  <c r="U194" i="24"/>
  <c r="J104" i="23"/>
  <c r="I93" i="23"/>
  <c r="J193" i="23"/>
  <c r="K103" i="23"/>
  <c r="J201" i="23"/>
  <c r="K195" i="23"/>
  <c r="K200" i="23"/>
  <c r="I236" i="23"/>
  <c r="T192" i="25" l="1"/>
  <c r="U102" i="25"/>
  <c r="U109" i="25"/>
  <c r="T93" i="25"/>
  <c r="W103" i="25"/>
  <c r="T200" i="25"/>
  <c r="U194" i="25"/>
  <c r="R235" i="25"/>
  <c r="T199" i="25"/>
  <c r="S93" i="24"/>
  <c r="T103" i="24"/>
  <c r="S192" i="24"/>
  <c r="R235" i="24"/>
  <c r="T199" i="24"/>
  <c r="S200" i="24"/>
  <c r="W102" i="24"/>
  <c r="V194" i="24"/>
  <c r="K201" i="23"/>
  <c r="L195" i="23"/>
  <c r="L103" i="23"/>
  <c r="L200" i="23"/>
  <c r="J236" i="23"/>
  <c r="K104" i="23"/>
  <c r="K193" i="23" s="1"/>
  <c r="J93" i="23"/>
  <c r="V194" i="25" l="1"/>
  <c r="S235" i="25"/>
  <c r="U199" i="25"/>
  <c r="U192" i="25"/>
  <c r="V102" i="25"/>
  <c r="X103" i="25"/>
  <c r="V109" i="25"/>
  <c r="U93" i="25"/>
  <c r="S235" i="24"/>
  <c r="U199" i="24"/>
  <c r="T200" i="24"/>
  <c r="T93" i="24"/>
  <c r="U103" i="24"/>
  <c r="T192" i="24"/>
  <c r="X102" i="24"/>
  <c r="W194" i="24"/>
  <c r="L104" i="23"/>
  <c r="K93" i="23"/>
  <c r="K236" i="23"/>
  <c r="M200" i="23"/>
  <c r="L193" i="23"/>
  <c r="M103" i="23"/>
  <c r="L201" i="23"/>
  <c r="M195" i="23"/>
  <c r="Y103" i="25" l="1"/>
  <c r="V192" i="25"/>
  <c r="W102" i="25"/>
  <c r="T235" i="25"/>
  <c r="V199" i="25"/>
  <c r="W194" i="25"/>
  <c r="V200" i="25"/>
  <c r="W109" i="25"/>
  <c r="U200" i="25"/>
  <c r="Y102" i="24"/>
  <c r="V103" i="24"/>
  <c r="U93" i="24"/>
  <c r="U192" i="24"/>
  <c r="T235" i="24"/>
  <c r="V199" i="24"/>
  <c r="U200" i="24"/>
  <c r="X194" i="24"/>
  <c r="L236" i="23"/>
  <c r="N200" i="23"/>
  <c r="N195" i="23"/>
  <c r="M201" i="23"/>
  <c r="N103" i="23"/>
  <c r="L93" i="23"/>
  <c r="M104" i="23"/>
  <c r="X194" i="25" l="1"/>
  <c r="U235" i="25"/>
  <c r="W199" i="25"/>
  <c r="W192" i="25"/>
  <c r="X102" i="25"/>
  <c r="V93" i="25"/>
  <c r="Z103" i="25"/>
  <c r="X109" i="25"/>
  <c r="W93" i="25"/>
  <c r="U235" i="24"/>
  <c r="W199" i="24"/>
  <c r="V200" i="24"/>
  <c r="W103" i="24"/>
  <c r="V93" i="24"/>
  <c r="V192" i="24"/>
  <c r="Z102" i="24"/>
  <c r="Y194" i="24"/>
  <c r="M93" i="23"/>
  <c r="N104" i="23"/>
  <c r="N193" i="23"/>
  <c r="O103" i="23"/>
  <c r="M193" i="23"/>
  <c r="O195" i="23"/>
  <c r="N201" i="23"/>
  <c r="M236" i="23"/>
  <c r="O200" i="23"/>
  <c r="X192" i="25" l="1"/>
  <c r="Y102" i="25"/>
  <c r="V235" i="25"/>
  <c r="X199" i="25"/>
  <c r="Y109" i="25"/>
  <c r="X93" i="25"/>
  <c r="W200" i="25"/>
  <c r="AA103" i="25"/>
  <c r="Y194" i="25"/>
  <c r="AA102" i="24"/>
  <c r="X103" i="24"/>
  <c r="W93" i="24"/>
  <c r="W192" i="24"/>
  <c r="V235" i="24"/>
  <c r="X199" i="24"/>
  <c r="W200" i="24"/>
  <c r="Z194" i="24"/>
  <c r="P195" i="23"/>
  <c r="O201" i="23"/>
  <c r="P103" i="23"/>
  <c r="N93" i="23"/>
  <c r="O104" i="23"/>
  <c r="N236" i="23"/>
  <c r="P200" i="23"/>
  <c r="AB103" i="25" l="1"/>
  <c r="Z109" i="25"/>
  <c r="Y93" i="25"/>
  <c r="W235" i="25"/>
  <c r="Y199" i="25"/>
  <c r="Y200" i="25"/>
  <c r="Z194" i="25"/>
  <c r="X200" i="25"/>
  <c r="Y192" i="25"/>
  <c r="Z102" i="25"/>
  <c r="Y199" i="24"/>
  <c r="W235" i="24"/>
  <c r="X200" i="24"/>
  <c r="Y103" i="24"/>
  <c r="X93" i="24"/>
  <c r="X192" i="24"/>
  <c r="AA194" i="24"/>
  <c r="AB102" i="24"/>
  <c r="O236" i="23"/>
  <c r="Q200" i="23"/>
  <c r="P104" i="23"/>
  <c r="O93" i="23"/>
  <c r="P193" i="23"/>
  <c r="Q103" i="23"/>
  <c r="O193" i="23"/>
  <c r="P201" i="23"/>
  <c r="Q195" i="23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AA194" i="25" l="1"/>
  <c r="X235" i="25"/>
  <c r="Z199" i="25"/>
  <c r="Z192" i="25"/>
  <c r="AA102" i="25"/>
  <c r="AA109" i="25"/>
  <c r="Z93" i="25"/>
  <c r="AC103" i="25"/>
  <c r="AB194" i="24"/>
  <c r="Z103" i="24"/>
  <c r="Y93" i="24"/>
  <c r="Y192" i="24"/>
  <c r="AC102" i="24"/>
  <c r="Z199" i="24"/>
  <c r="X235" i="24"/>
  <c r="Y200" i="24"/>
  <c r="R103" i="23"/>
  <c r="Q104" i="23"/>
  <c r="P93" i="23"/>
  <c r="P236" i="23"/>
  <c r="R200" i="23"/>
  <c r="Q201" i="23"/>
  <c r="R195" i="23"/>
  <c r="AB109" i="25" l="1"/>
  <c r="AA192" i="25"/>
  <c r="AB102" i="25"/>
  <c r="AA199" i="25"/>
  <c r="Y235" i="25"/>
  <c r="AA200" i="25"/>
  <c r="AB194" i="25"/>
  <c r="AD103" i="25"/>
  <c r="Z200" i="25"/>
  <c r="AA199" i="24"/>
  <c r="Y235" i="24"/>
  <c r="Z200" i="24"/>
  <c r="AD102" i="24"/>
  <c r="Z93" i="24"/>
  <c r="AA103" i="24"/>
  <c r="Z192" i="24"/>
  <c r="AC194" i="24"/>
  <c r="R201" i="23"/>
  <c r="S195" i="23"/>
  <c r="S200" i="23"/>
  <c r="Q236" i="23"/>
  <c r="R104" i="23"/>
  <c r="Q93" i="23"/>
  <c r="R193" i="23"/>
  <c r="S103" i="23"/>
  <c r="Q193" i="23"/>
  <c r="AC194" i="25" l="1"/>
  <c r="Z235" i="25"/>
  <c r="AB199" i="25"/>
  <c r="AB192" i="25"/>
  <c r="AC102" i="25"/>
  <c r="AA93" i="25"/>
  <c r="AE103" i="25"/>
  <c r="AC109" i="25"/>
  <c r="AB93" i="25"/>
  <c r="AA93" i="24"/>
  <c r="AB103" i="24"/>
  <c r="AA192" i="24"/>
  <c r="AE102" i="24"/>
  <c r="AD194" i="24"/>
  <c r="AB199" i="24"/>
  <c r="Z235" i="24"/>
  <c r="AA200" i="24"/>
  <c r="T103" i="23"/>
  <c r="S104" i="23"/>
  <c r="R93" i="23"/>
  <c r="T200" i="23"/>
  <c r="R236" i="23"/>
  <c r="S201" i="23"/>
  <c r="T195" i="23"/>
  <c r="AA235" i="25" l="1"/>
  <c r="AC199" i="25"/>
  <c r="AF103" i="25"/>
  <c r="AD109" i="25"/>
  <c r="AC93" i="25"/>
  <c r="AD194" i="25"/>
  <c r="AC200" i="25"/>
  <c r="AC192" i="25"/>
  <c r="AD102" i="25"/>
  <c r="AB200" i="25"/>
  <c r="AE194" i="24"/>
  <c r="AF102" i="24"/>
  <c r="AA235" i="24"/>
  <c r="AC199" i="24"/>
  <c r="AB200" i="24"/>
  <c r="AB93" i="24"/>
  <c r="AC103" i="24"/>
  <c r="AB192" i="24"/>
  <c r="T201" i="23"/>
  <c r="U195" i="23"/>
  <c r="S236" i="23"/>
  <c r="U200" i="23"/>
  <c r="U103" i="23"/>
  <c r="S93" i="23"/>
  <c r="T104" i="23"/>
  <c r="T193" i="23" s="1"/>
  <c r="S193" i="23"/>
  <c r="B103" i="25" l="1"/>
  <c r="AE194" i="25"/>
  <c r="AD200" i="25"/>
  <c r="AE109" i="25"/>
  <c r="AD93" i="25"/>
  <c r="AD192" i="25"/>
  <c r="AE102" i="25"/>
  <c r="AB235" i="25"/>
  <c r="AD199" i="25"/>
  <c r="AB235" i="24"/>
  <c r="AD199" i="24"/>
  <c r="AC200" i="24"/>
  <c r="B102" i="24"/>
  <c r="AD103" i="24"/>
  <c r="AC93" i="24"/>
  <c r="AC192" i="24"/>
  <c r="AF194" i="24"/>
  <c r="V103" i="23"/>
  <c r="V195" i="23"/>
  <c r="U201" i="23"/>
  <c r="T93" i="23"/>
  <c r="U104" i="23"/>
  <c r="T236" i="23"/>
  <c r="V200" i="23"/>
  <c r="AF109" i="25" l="1"/>
  <c r="AF194" i="25"/>
  <c r="AC235" i="25"/>
  <c r="AE199" i="25"/>
  <c r="AE192" i="25"/>
  <c r="AF102" i="25"/>
  <c r="AD93" i="24"/>
  <c r="AE103" i="24"/>
  <c r="AD192" i="24"/>
  <c r="AC235" i="24"/>
  <c r="AE199" i="24"/>
  <c r="AD200" i="24"/>
  <c r="B194" i="24"/>
  <c r="U236" i="23"/>
  <c r="W200" i="23"/>
  <c r="U93" i="23"/>
  <c r="V104" i="23"/>
  <c r="W195" i="23"/>
  <c r="V201" i="23"/>
  <c r="V193" i="23"/>
  <c r="W103" i="23"/>
  <c r="U193" i="23"/>
  <c r="B194" i="25" l="1"/>
  <c r="AD235" i="25"/>
  <c r="AF199" i="25"/>
  <c r="AE200" i="25"/>
  <c r="AE93" i="25"/>
  <c r="AF192" i="25"/>
  <c r="B102" i="25"/>
  <c r="B192" i="25" s="1"/>
  <c r="B109" i="25"/>
  <c r="AF93" i="25"/>
  <c r="AF103" i="24"/>
  <c r="AE93" i="24"/>
  <c r="AE192" i="24"/>
  <c r="AD235" i="24"/>
  <c r="AF199" i="24"/>
  <c r="AE200" i="24"/>
  <c r="X103" i="23"/>
  <c r="X195" i="23"/>
  <c r="W201" i="23"/>
  <c r="V236" i="23"/>
  <c r="X200" i="23"/>
  <c r="V93" i="23"/>
  <c r="W104" i="23"/>
  <c r="B199" i="25" l="1"/>
  <c r="AF235" i="25" s="1"/>
  <c r="AE235" i="25"/>
  <c r="AI93" i="25"/>
  <c r="AH93" i="25"/>
  <c r="B200" i="25"/>
  <c r="B93" i="25"/>
  <c r="AF200" i="25"/>
  <c r="AE235" i="24"/>
  <c r="B199" i="24"/>
  <c r="AF200" i="24"/>
  <c r="B103" i="24"/>
  <c r="AF93" i="24"/>
  <c r="AF192" i="24"/>
  <c r="Y103" i="23"/>
  <c r="W93" i="23"/>
  <c r="X104" i="23"/>
  <c r="W236" i="23"/>
  <c r="Y200" i="23"/>
  <c r="X201" i="23"/>
  <c r="Y195" i="23"/>
  <c r="W193" i="23"/>
  <c r="AF235" i="24" l="1"/>
  <c r="B200" i="24"/>
  <c r="AI93" i="24"/>
  <c r="AH93" i="24"/>
  <c r="B93" i="24"/>
  <c r="B192" i="24"/>
  <c r="Y201" i="23"/>
  <c r="Z195" i="23"/>
  <c r="X236" i="23"/>
  <c r="Z200" i="23"/>
  <c r="Y104" i="23"/>
  <c r="X93" i="23"/>
  <c r="Y193" i="23"/>
  <c r="Z103" i="23"/>
  <c r="X193" i="23"/>
  <c r="AA200" i="23" l="1"/>
  <c r="Y236" i="23"/>
  <c r="Z201" i="23"/>
  <c r="AA195" i="23"/>
  <c r="AA103" i="23"/>
  <c r="Z104" i="23"/>
  <c r="Z193" i="23" s="1"/>
  <c r="Y93" i="23"/>
  <c r="Z93" i="23" l="1"/>
  <c r="AA104" i="23"/>
  <c r="AA193" i="23"/>
  <c r="AB103" i="23"/>
  <c r="AA201" i="23"/>
  <c r="AB195" i="23"/>
  <c r="AB200" i="23"/>
  <c r="Z236" i="23"/>
  <c r="AA236" i="23" l="1"/>
  <c r="AC200" i="23"/>
  <c r="AC103" i="23"/>
  <c r="AB104" i="23"/>
  <c r="AA93" i="23"/>
  <c r="AB201" i="23"/>
  <c r="AC195" i="23"/>
  <c r="AD195" i="23" l="1"/>
  <c r="AC201" i="23"/>
  <c r="AD103" i="23"/>
  <c r="AB236" i="23"/>
  <c r="AD200" i="23"/>
  <c r="AB93" i="23"/>
  <c r="AC104" i="23"/>
  <c r="AB193" i="23"/>
  <c r="AC93" i="23" l="1"/>
  <c r="AD104" i="23"/>
  <c r="AC236" i="23"/>
  <c r="AE200" i="23"/>
  <c r="AD193" i="23"/>
  <c r="AE103" i="23"/>
  <c r="AC193" i="23"/>
  <c r="AE195" i="23"/>
  <c r="AD201" i="23"/>
  <c r="AF195" i="23" l="1"/>
  <c r="AE201" i="23"/>
  <c r="AF103" i="23"/>
  <c r="AD236" i="23"/>
  <c r="AF200" i="23"/>
  <c r="AD93" i="23"/>
  <c r="AE104" i="23"/>
  <c r="AF104" i="23" l="1"/>
  <c r="AE93" i="23"/>
  <c r="AE236" i="23"/>
  <c r="B200" i="23"/>
  <c r="AF236" i="23" s="1"/>
  <c r="AF193" i="23"/>
  <c r="B103" i="23"/>
  <c r="AE193" i="23"/>
  <c r="AF201" i="23"/>
  <c r="B195" i="23"/>
  <c r="B201" i="23" l="1"/>
  <c r="AF93" i="23"/>
  <c r="B104" i="23"/>
  <c r="B93" i="23" s="1"/>
  <c r="AI93" i="23" l="1"/>
  <c r="AH93" i="23"/>
  <c r="B193" i="23"/>
  <c r="M95" i="22" l="1"/>
  <c r="M94" i="22"/>
  <c r="K37" i="22"/>
  <c r="J95" i="22"/>
  <c r="J37" i="22"/>
  <c r="I95" i="22"/>
  <c r="I37" i="22"/>
  <c r="H95" i="22"/>
  <c r="H37" i="22"/>
  <c r="G95" i="22"/>
  <c r="G37" i="22"/>
  <c r="F95" i="22"/>
  <c r="F37" i="22"/>
  <c r="E95" i="22" l="1"/>
  <c r="E37" i="22"/>
  <c r="AH101" i="22"/>
  <c r="AI101" i="22" s="1"/>
  <c r="AF240" i="22"/>
  <c r="AE240" i="22"/>
  <c r="AD240" i="22"/>
  <c r="AC240" i="22"/>
  <c r="AB240" i="22"/>
  <c r="AA240" i="22"/>
  <c r="Z240" i="22"/>
  <c r="Y240" i="22"/>
  <c r="X240" i="22"/>
  <c r="W240" i="22"/>
  <c r="V240" i="22"/>
  <c r="U240" i="22"/>
  <c r="T240" i="22"/>
  <c r="S240" i="22"/>
  <c r="R240" i="22"/>
  <c r="Q240" i="22"/>
  <c r="P240" i="22"/>
  <c r="O240" i="22"/>
  <c r="N240" i="22"/>
  <c r="M240" i="22"/>
  <c r="L240" i="22"/>
  <c r="K240" i="22"/>
  <c r="J240" i="22"/>
  <c r="I240" i="22"/>
  <c r="H240" i="22"/>
  <c r="G240" i="22"/>
  <c r="F240" i="22"/>
  <c r="E240" i="22"/>
  <c r="D240" i="22"/>
  <c r="C240" i="22"/>
  <c r="B240" i="22"/>
  <c r="A240" i="22"/>
  <c r="AF239" i="22"/>
  <c r="AE239" i="22"/>
  <c r="AD239" i="22"/>
  <c r="AC239" i="22"/>
  <c r="AB239" i="22"/>
  <c r="AA239" i="22"/>
  <c r="Z239" i="22"/>
  <c r="Y239" i="22"/>
  <c r="X239" i="22"/>
  <c r="W239" i="22"/>
  <c r="V239" i="22"/>
  <c r="U239" i="22"/>
  <c r="T239" i="22"/>
  <c r="S239" i="22"/>
  <c r="R239" i="22"/>
  <c r="Q239" i="22"/>
  <c r="P239" i="22"/>
  <c r="O239" i="22"/>
  <c r="N239" i="22"/>
  <c r="M239" i="22"/>
  <c r="L239" i="22"/>
  <c r="K239" i="22"/>
  <c r="J239" i="22"/>
  <c r="I239" i="22"/>
  <c r="H239" i="22"/>
  <c r="G239" i="22"/>
  <c r="F239" i="22"/>
  <c r="E239" i="22"/>
  <c r="D239" i="22"/>
  <c r="C239" i="22"/>
  <c r="B239" i="22"/>
  <c r="A239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238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C236" i="22"/>
  <c r="B236" i="22"/>
  <c r="S211" i="22"/>
  <c r="AG201" i="22"/>
  <c r="C201" i="22"/>
  <c r="E200" i="22"/>
  <c r="F200" i="22" s="1"/>
  <c r="D200" i="22"/>
  <c r="K199" i="22"/>
  <c r="L199" i="22" s="1"/>
  <c r="M199" i="22" s="1"/>
  <c r="N199" i="22" s="1"/>
  <c r="O199" i="22" s="1"/>
  <c r="P199" i="22" s="1"/>
  <c r="Q199" i="22" s="1"/>
  <c r="R199" i="22" s="1"/>
  <c r="S199" i="22" s="1"/>
  <c r="T199" i="22" s="1"/>
  <c r="U199" i="22" s="1"/>
  <c r="V199" i="22" s="1"/>
  <c r="W199" i="22" s="1"/>
  <c r="X199" i="22" s="1"/>
  <c r="Y199" i="22" s="1"/>
  <c r="Z199" i="22" s="1"/>
  <c r="AA199" i="22" s="1"/>
  <c r="AB199" i="22" s="1"/>
  <c r="AC199" i="22" s="1"/>
  <c r="AD199" i="22" s="1"/>
  <c r="AE199" i="22" s="1"/>
  <c r="AF199" i="22" s="1"/>
  <c r="B199" i="22" s="1"/>
  <c r="D199" i="22"/>
  <c r="E199" i="22" s="1"/>
  <c r="F199" i="22" s="1"/>
  <c r="G199" i="22" s="1"/>
  <c r="H199" i="22" s="1"/>
  <c r="I199" i="22" s="1"/>
  <c r="J199" i="22" s="1"/>
  <c r="D198" i="22"/>
  <c r="E198" i="22" s="1"/>
  <c r="F198" i="22" s="1"/>
  <c r="G198" i="22" s="1"/>
  <c r="H198" i="22" s="1"/>
  <c r="I198" i="22" s="1"/>
  <c r="J198" i="22" s="1"/>
  <c r="K198" i="22" s="1"/>
  <c r="L198" i="22" s="1"/>
  <c r="M198" i="22" s="1"/>
  <c r="N198" i="22" s="1"/>
  <c r="O198" i="22" s="1"/>
  <c r="P198" i="22" s="1"/>
  <c r="Q198" i="22" s="1"/>
  <c r="R198" i="22" s="1"/>
  <c r="S198" i="22" s="1"/>
  <c r="T198" i="22" s="1"/>
  <c r="U198" i="22" s="1"/>
  <c r="V198" i="22" s="1"/>
  <c r="W198" i="22" s="1"/>
  <c r="X198" i="22" s="1"/>
  <c r="Y198" i="22" s="1"/>
  <c r="Z198" i="22" s="1"/>
  <c r="AA198" i="22" s="1"/>
  <c r="AB198" i="22" s="1"/>
  <c r="AC198" i="22" s="1"/>
  <c r="AD198" i="22" s="1"/>
  <c r="AE198" i="22" s="1"/>
  <c r="AF198" i="22" s="1"/>
  <c r="B198" i="22" s="1"/>
  <c r="F197" i="22"/>
  <c r="G197" i="22" s="1"/>
  <c r="H197" i="22" s="1"/>
  <c r="I197" i="22" s="1"/>
  <c r="J197" i="22" s="1"/>
  <c r="K197" i="22" s="1"/>
  <c r="L197" i="22" s="1"/>
  <c r="M197" i="22" s="1"/>
  <c r="N197" i="22" s="1"/>
  <c r="O197" i="22" s="1"/>
  <c r="P197" i="22" s="1"/>
  <c r="Q197" i="22" s="1"/>
  <c r="R197" i="22" s="1"/>
  <c r="S197" i="22" s="1"/>
  <c r="T197" i="22" s="1"/>
  <c r="U197" i="22" s="1"/>
  <c r="V197" i="22" s="1"/>
  <c r="W197" i="22" s="1"/>
  <c r="X197" i="22" s="1"/>
  <c r="Y197" i="22" s="1"/>
  <c r="Z197" i="22" s="1"/>
  <c r="AA197" i="22" s="1"/>
  <c r="AB197" i="22" s="1"/>
  <c r="AC197" i="22" s="1"/>
  <c r="AD197" i="22" s="1"/>
  <c r="AE197" i="22" s="1"/>
  <c r="AF197" i="22" s="1"/>
  <c r="B197" i="22" s="1"/>
  <c r="E197" i="22"/>
  <c r="D197" i="22"/>
  <c r="H196" i="22"/>
  <c r="I196" i="22" s="1"/>
  <c r="J196" i="22" s="1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AE196" i="22" s="1"/>
  <c r="AF196" i="22" s="1"/>
  <c r="B196" i="22" s="1"/>
  <c r="G196" i="22"/>
  <c r="D196" i="22"/>
  <c r="E196" i="22" s="1"/>
  <c r="F196" i="22" s="1"/>
  <c r="D195" i="22"/>
  <c r="AG193" i="22"/>
  <c r="C193" i="22"/>
  <c r="D192" i="22"/>
  <c r="E192" i="22" s="1"/>
  <c r="F192" i="22" s="1"/>
  <c r="G192" i="22" s="1"/>
  <c r="H192" i="22" s="1"/>
  <c r="I192" i="22" s="1"/>
  <c r="J192" i="22" s="1"/>
  <c r="K192" i="22" s="1"/>
  <c r="L192" i="22" s="1"/>
  <c r="M192" i="22" s="1"/>
  <c r="N192" i="22" s="1"/>
  <c r="O192" i="22" s="1"/>
  <c r="P192" i="22" s="1"/>
  <c r="Q192" i="22" s="1"/>
  <c r="R192" i="22" s="1"/>
  <c r="S192" i="22" s="1"/>
  <c r="T192" i="22" s="1"/>
  <c r="U192" i="22" s="1"/>
  <c r="V192" i="22" s="1"/>
  <c r="W192" i="22" s="1"/>
  <c r="X192" i="22" s="1"/>
  <c r="Y192" i="22" s="1"/>
  <c r="Z192" i="22" s="1"/>
  <c r="AA192" i="22" s="1"/>
  <c r="AB192" i="22" s="1"/>
  <c r="AC192" i="22" s="1"/>
  <c r="AD192" i="22" s="1"/>
  <c r="AE192" i="22" s="1"/>
  <c r="AF192" i="22" s="1"/>
  <c r="B192" i="22" s="1"/>
  <c r="E191" i="22"/>
  <c r="F191" i="22" s="1"/>
  <c r="G191" i="22" s="1"/>
  <c r="H191" i="22" s="1"/>
  <c r="I191" i="22" s="1"/>
  <c r="J191" i="22" s="1"/>
  <c r="K191" i="22" s="1"/>
  <c r="L191" i="22" s="1"/>
  <c r="M191" i="22" s="1"/>
  <c r="N191" i="22" s="1"/>
  <c r="O191" i="22" s="1"/>
  <c r="P191" i="22" s="1"/>
  <c r="Q191" i="22" s="1"/>
  <c r="R191" i="22" s="1"/>
  <c r="S191" i="22" s="1"/>
  <c r="T191" i="22" s="1"/>
  <c r="U191" i="22" s="1"/>
  <c r="V191" i="22" s="1"/>
  <c r="W191" i="22" s="1"/>
  <c r="X191" i="22" s="1"/>
  <c r="Y191" i="22" s="1"/>
  <c r="Z191" i="22" s="1"/>
  <c r="AA191" i="22" s="1"/>
  <c r="AB191" i="22" s="1"/>
  <c r="AC191" i="22" s="1"/>
  <c r="AD191" i="22" s="1"/>
  <c r="AE191" i="22" s="1"/>
  <c r="AF191" i="22" s="1"/>
  <c r="B191" i="22" s="1"/>
  <c r="D191" i="22"/>
  <c r="F190" i="22"/>
  <c r="G190" i="22" s="1"/>
  <c r="H190" i="22" s="1"/>
  <c r="I190" i="22" s="1"/>
  <c r="J190" i="22" s="1"/>
  <c r="K190" i="22" s="1"/>
  <c r="L190" i="22" s="1"/>
  <c r="M190" i="22" s="1"/>
  <c r="N190" i="22" s="1"/>
  <c r="O190" i="22" s="1"/>
  <c r="P190" i="22" s="1"/>
  <c r="Q190" i="22" s="1"/>
  <c r="R190" i="22" s="1"/>
  <c r="S190" i="22" s="1"/>
  <c r="T190" i="22" s="1"/>
  <c r="U190" i="22" s="1"/>
  <c r="V190" i="22" s="1"/>
  <c r="W190" i="22" s="1"/>
  <c r="X190" i="22" s="1"/>
  <c r="Y190" i="22" s="1"/>
  <c r="Z190" i="22" s="1"/>
  <c r="AA190" i="22" s="1"/>
  <c r="AB190" i="22" s="1"/>
  <c r="AC190" i="22" s="1"/>
  <c r="AD190" i="22" s="1"/>
  <c r="AE190" i="22" s="1"/>
  <c r="AF190" i="22" s="1"/>
  <c r="B190" i="22" s="1"/>
  <c r="E190" i="22"/>
  <c r="D190" i="22"/>
  <c r="I189" i="22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B189" i="22" s="1"/>
  <c r="G189" i="22"/>
  <c r="H189" i="22" s="1"/>
  <c r="D189" i="22"/>
  <c r="E189" i="22" s="1"/>
  <c r="F189" i="22" s="1"/>
  <c r="T188" i="22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B188" i="22" s="1"/>
  <c r="D188" i="22"/>
  <c r="E188" i="22" s="1"/>
  <c r="F188" i="22" s="1"/>
  <c r="G188" i="22" s="1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E187" i="22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B187" i="22" s="1"/>
  <c r="D187" i="22"/>
  <c r="G186" i="22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AF186" i="22" s="1"/>
  <c r="B186" i="22" s="1"/>
  <c r="D186" i="22"/>
  <c r="E186" i="22" s="1"/>
  <c r="F186" i="22" s="1"/>
  <c r="F185" i="22"/>
  <c r="G185" i="22" s="1"/>
  <c r="H185" i="22" s="1"/>
  <c r="I185" i="22" s="1"/>
  <c r="J185" i="22" s="1"/>
  <c r="K185" i="22" s="1"/>
  <c r="L185" i="22" s="1"/>
  <c r="M185" i="22" s="1"/>
  <c r="N185" i="22" s="1"/>
  <c r="O185" i="22" s="1"/>
  <c r="P185" i="22" s="1"/>
  <c r="Q185" i="22" s="1"/>
  <c r="R185" i="22" s="1"/>
  <c r="S185" i="22" s="1"/>
  <c r="T185" i="22" s="1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B185" i="22" s="1"/>
  <c r="D185" i="22"/>
  <c r="E185" i="22" s="1"/>
  <c r="E184" i="22"/>
  <c r="F184" i="22" s="1"/>
  <c r="G184" i="22" s="1"/>
  <c r="H184" i="22" s="1"/>
  <c r="I184" i="22" s="1"/>
  <c r="J184" i="22" s="1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B184" i="22" s="1"/>
  <c r="D184" i="22"/>
  <c r="G183" i="22"/>
  <c r="H183" i="22" s="1"/>
  <c r="I183" i="22" s="1"/>
  <c r="J183" i="22" s="1"/>
  <c r="K183" i="22" s="1"/>
  <c r="L183" i="22" s="1"/>
  <c r="M183" i="22" s="1"/>
  <c r="N183" i="22" s="1"/>
  <c r="O183" i="22" s="1"/>
  <c r="P183" i="22" s="1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B183" i="22" s="1"/>
  <c r="F183" i="22"/>
  <c r="E183" i="22"/>
  <c r="D183" i="22"/>
  <c r="D182" i="22"/>
  <c r="E182" i="22" s="1"/>
  <c r="F182" i="22" s="1"/>
  <c r="G182" i="22" s="1"/>
  <c r="H182" i="22" s="1"/>
  <c r="I182" i="22" s="1"/>
  <c r="J182" i="22" s="1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B182" i="22" s="1"/>
  <c r="I181" i="22"/>
  <c r="J181" i="22" s="1"/>
  <c r="K181" i="22" s="1"/>
  <c r="L181" i="22" s="1"/>
  <c r="M181" i="22" s="1"/>
  <c r="N181" i="22" s="1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B181" i="22" s="1"/>
  <c r="D181" i="22"/>
  <c r="E181" i="22" s="1"/>
  <c r="F181" i="22" s="1"/>
  <c r="G181" i="22" s="1"/>
  <c r="H181" i="22" s="1"/>
  <c r="H180" i="22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B180" i="22" s="1"/>
  <c r="G180" i="22"/>
  <c r="E180" i="22"/>
  <c r="F180" i="22" s="1"/>
  <c r="D180" i="22"/>
  <c r="D178" i="22"/>
  <c r="E178" i="22" s="1"/>
  <c r="F178" i="22" s="1"/>
  <c r="G178" i="22" s="1"/>
  <c r="H178" i="22" s="1"/>
  <c r="I178" i="22" s="1"/>
  <c r="J178" i="22" s="1"/>
  <c r="K178" i="22" s="1"/>
  <c r="L178" i="22" s="1"/>
  <c r="M178" i="22" s="1"/>
  <c r="N178" i="22" s="1"/>
  <c r="O178" i="22" s="1"/>
  <c r="P178" i="22" s="1"/>
  <c r="Q178" i="22" s="1"/>
  <c r="R178" i="22" s="1"/>
  <c r="S178" i="22" s="1"/>
  <c r="T178" i="22" s="1"/>
  <c r="U178" i="22" s="1"/>
  <c r="V178" i="22" s="1"/>
  <c r="W178" i="22" s="1"/>
  <c r="X178" i="22" s="1"/>
  <c r="Y178" i="22" s="1"/>
  <c r="Z178" i="22" s="1"/>
  <c r="AA178" i="22" s="1"/>
  <c r="AB178" i="22" s="1"/>
  <c r="AC178" i="22" s="1"/>
  <c r="AD178" i="22" s="1"/>
  <c r="AE178" i="22" s="1"/>
  <c r="AF178" i="22" s="1"/>
  <c r="B178" i="22" s="1"/>
  <c r="D177" i="22"/>
  <c r="E177" i="22" s="1"/>
  <c r="F177" i="22" s="1"/>
  <c r="G177" i="22" s="1"/>
  <c r="H177" i="22" s="1"/>
  <c r="I177" i="22" s="1"/>
  <c r="J177" i="22" s="1"/>
  <c r="K177" i="22" s="1"/>
  <c r="L177" i="22" s="1"/>
  <c r="M177" i="22" s="1"/>
  <c r="N177" i="22" s="1"/>
  <c r="O177" i="22" s="1"/>
  <c r="P177" i="22" s="1"/>
  <c r="Q177" i="22" s="1"/>
  <c r="R177" i="22" s="1"/>
  <c r="S177" i="22" s="1"/>
  <c r="T177" i="22" s="1"/>
  <c r="U177" i="22" s="1"/>
  <c r="V177" i="22" s="1"/>
  <c r="W177" i="22" s="1"/>
  <c r="X177" i="22" s="1"/>
  <c r="Y177" i="22" s="1"/>
  <c r="Z177" i="22" s="1"/>
  <c r="AA177" i="22" s="1"/>
  <c r="AB177" i="22" s="1"/>
  <c r="AC177" i="22" s="1"/>
  <c r="AD177" i="22" s="1"/>
  <c r="AE177" i="22" s="1"/>
  <c r="AF177" i="22" s="1"/>
  <c r="B177" i="22" s="1"/>
  <c r="U176" i="22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B176" i="22" s="1"/>
  <c r="G176" i="22"/>
  <c r="H176" i="22" s="1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E176" i="22"/>
  <c r="F176" i="22" s="1"/>
  <c r="D176" i="22"/>
  <c r="D175" i="22"/>
  <c r="E175" i="22" s="1"/>
  <c r="F175" i="22" s="1"/>
  <c r="G175" i="22" s="1"/>
  <c r="H175" i="22" s="1"/>
  <c r="I175" i="22" s="1"/>
  <c r="J175" i="22" s="1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B175" i="22" s="1"/>
  <c r="D174" i="22"/>
  <c r="E174" i="22" s="1"/>
  <c r="F174" i="22" s="1"/>
  <c r="G174" i="22" s="1"/>
  <c r="H174" i="22" s="1"/>
  <c r="I174" i="22" s="1"/>
  <c r="J174" i="22" s="1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B174" i="22" s="1"/>
  <c r="S173" i="22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B173" i="22" s="1"/>
  <c r="D173" i="22"/>
  <c r="E173" i="22" s="1"/>
  <c r="F173" i="22" s="1"/>
  <c r="G173" i="22" s="1"/>
  <c r="H173" i="22" s="1"/>
  <c r="I173" i="22" s="1"/>
  <c r="J173" i="22" s="1"/>
  <c r="K173" i="22" s="1"/>
  <c r="L173" i="22" s="1"/>
  <c r="M173" i="22" s="1"/>
  <c r="N173" i="22" s="1"/>
  <c r="O173" i="22" s="1"/>
  <c r="P173" i="22" s="1"/>
  <c r="Q173" i="22" s="1"/>
  <c r="R173" i="22" s="1"/>
  <c r="F172" i="22"/>
  <c r="G172" i="22" s="1"/>
  <c r="H172" i="22" s="1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B172" i="22" s="1"/>
  <c r="D172" i="22"/>
  <c r="E172" i="22" s="1"/>
  <c r="R171" i="22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AE171" i="22" s="1"/>
  <c r="AF171" i="22" s="1"/>
  <c r="B171" i="22" s="1"/>
  <c r="D171" i="22"/>
  <c r="E171" i="22" s="1"/>
  <c r="F171" i="22" s="1"/>
  <c r="G171" i="22" s="1"/>
  <c r="H171" i="22" s="1"/>
  <c r="I171" i="22" s="1"/>
  <c r="J171" i="22" s="1"/>
  <c r="K171" i="22" s="1"/>
  <c r="L171" i="22" s="1"/>
  <c r="M171" i="22" s="1"/>
  <c r="N171" i="22" s="1"/>
  <c r="O171" i="22" s="1"/>
  <c r="P171" i="22" s="1"/>
  <c r="Q171" i="22" s="1"/>
  <c r="L169" i="22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AA169" i="22" s="1"/>
  <c r="AB169" i="22" s="1"/>
  <c r="AC169" i="22" s="1"/>
  <c r="AD169" i="22" s="1"/>
  <c r="AE169" i="22" s="1"/>
  <c r="AF169" i="22" s="1"/>
  <c r="B169" i="22" s="1"/>
  <c r="D169" i="22"/>
  <c r="E169" i="22" s="1"/>
  <c r="F169" i="22" s="1"/>
  <c r="G169" i="22" s="1"/>
  <c r="H169" i="22" s="1"/>
  <c r="I169" i="22" s="1"/>
  <c r="J169" i="22" s="1"/>
  <c r="K169" i="22" s="1"/>
  <c r="K168" i="22"/>
  <c r="L168" i="22" s="1"/>
  <c r="M168" i="22" s="1"/>
  <c r="N168" i="22" s="1"/>
  <c r="O168" i="22" s="1"/>
  <c r="P168" i="22" s="1"/>
  <c r="Q168" i="22" s="1"/>
  <c r="R168" i="22" s="1"/>
  <c r="S168" i="22" s="1"/>
  <c r="T168" i="22" s="1"/>
  <c r="U168" i="22" s="1"/>
  <c r="V168" i="22" s="1"/>
  <c r="W168" i="22" s="1"/>
  <c r="X168" i="22" s="1"/>
  <c r="Y168" i="22" s="1"/>
  <c r="Z168" i="22" s="1"/>
  <c r="AA168" i="22" s="1"/>
  <c r="AB168" i="22" s="1"/>
  <c r="AC168" i="22" s="1"/>
  <c r="AD168" i="22" s="1"/>
  <c r="AE168" i="22" s="1"/>
  <c r="AF168" i="22" s="1"/>
  <c r="B168" i="22" s="1"/>
  <c r="D168" i="22"/>
  <c r="E168" i="22" s="1"/>
  <c r="F168" i="22" s="1"/>
  <c r="G168" i="22" s="1"/>
  <c r="H168" i="22" s="1"/>
  <c r="I168" i="22" s="1"/>
  <c r="J168" i="22" s="1"/>
  <c r="E167" i="22"/>
  <c r="F167" i="22" s="1"/>
  <c r="G167" i="22" s="1"/>
  <c r="H167" i="22" s="1"/>
  <c r="I167" i="22" s="1"/>
  <c r="J167" i="22" s="1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B167" i="22" s="1"/>
  <c r="D167" i="22"/>
  <c r="L166" i="22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B166" i="22" s="1"/>
  <c r="G166" i="22"/>
  <c r="H166" i="22" s="1"/>
  <c r="I166" i="22" s="1"/>
  <c r="J166" i="22" s="1"/>
  <c r="K166" i="22" s="1"/>
  <c r="D166" i="22"/>
  <c r="E166" i="22" s="1"/>
  <c r="F166" i="22" s="1"/>
  <c r="O165" i="22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B165" i="22" s="1"/>
  <c r="K165" i="22"/>
  <c r="L165" i="22" s="1"/>
  <c r="M165" i="22" s="1"/>
  <c r="N165" i="22" s="1"/>
  <c r="D165" i="22"/>
  <c r="E165" i="22" s="1"/>
  <c r="F165" i="22" s="1"/>
  <c r="G165" i="22" s="1"/>
  <c r="H165" i="22" s="1"/>
  <c r="I165" i="22" s="1"/>
  <c r="J165" i="22" s="1"/>
  <c r="D164" i="22"/>
  <c r="E164" i="22" s="1"/>
  <c r="F164" i="22" s="1"/>
  <c r="G164" i="22" s="1"/>
  <c r="H164" i="22" s="1"/>
  <c r="I164" i="22" s="1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B164" i="22" s="1"/>
  <c r="J163" i="22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B163" i="22" s="1"/>
  <c r="D163" i="22"/>
  <c r="E163" i="22" s="1"/>
  <c r="F163" i="22" s="1"/>
  <c r="G163" i="22" s="1"/>
  <c r="H163" i="22" s="1"/>
  <c r="I163" i="22" s="1"/>
  <c r="H162" i="22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B162" i="22" s="1"/>
  <c r="E162" i="22"/>
  <c r="F162" i="22" s="1"/>
  <c r="G162" i="22" s="1"/>
  <c r="D162" i="22"/>
  <c r="D161" i="22"/>
  <c r="E161" i="22" s="1"/>
  <c r="F161" i="22" s="1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B161" i="22" s="1"/>
  <c r="K160" i="22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B160" i="22" s="1"/>
  <c r="E160" i="22"/>
  <c r="F160" i="22" s="1"/>
  <c r="G160" i="22" s="1"/>
  <c r="H160" i="22" s="1"/>
  <c r="I160" i="22" s="1"/>
  <c r="J160" i="22" s="1"/>
  <c r="D160" i="22"/>
  <c r="D159" i="22"/>
  <c r="E159" i="22" s="1"/>
  <c r="F159" i="22" s="1"/>
  <c r="G159" i="22" s="1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B159" i="22" s="1"/>
  <c r="M158" i="22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B158" i="22" s="1"/>
  <c r="G158" i="22"/>
  <c r="H158" i="22" s="1"/>
  <c r="I158" i="22" s="1"/>
  <c r="J158" i="22" s="1"/>
  <c r="K158" i="22" s="1"/>
  <c r="L158" i="22" s="1"/>
  <c r="F158" i="22"/>
  <c r="E158" i="22"/>
  <c r="D158" i="22"/>
  <c r="F157" i="22"/>
  <c r="G157" i="22" s="1"/>
  <c r="H157" i="22" s="1"/>
  <c r="I157" i="22" s="1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B157" i="22" s="1"/>
  <c r="E157" i="22"/>
  <c r="D157" i="22"/>
  <c r="D155" i="22"/>
  <c r="E155" i="22" s="1"/>
  <c r="F155" i="22" s="1"/>
  <c r="G155" i="22" s="1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T155" i="22" s="1"/>
  <c r="U155" i="22" s="1"/>
  <c r="V155" i="22" s="1"/>
  <c r="W155" i="22" s="1"/>
  <c r="X155" i="22" s="1"/>
  <c r="Y155" i="22" s="1"/>
  <c r="Z155" i="22" s="1"/>
  <c r="AA155" i="22" s="1"/>
  <c r="AB155" i="22" s="1"/>
  <c r="AC155" i="22" s="1"/>
  <c r="AD155" i="22" s="1"/>
  <c r="AE155" i="22" s="1"/>
  <c r="AF155" i="22" s="1"/>
  <c r="B155" i="22" s="1"/>
  <c r="D154" i="22"/>
  <c r="E154" i="22" s="1"/>
  <c r="F154" i="22" s="1"/>
  <c r="G154" i="22" s="1"/>
  <c r="H154" i="22" s="1"/>
  <c r="I154" i="22" s="1"/>
  <c r="J154" i="22" s="1"/>
  <c r="K154" i="22" s="1"/>
  <c r="L154" i="22" s="1"/>
  <c r="M154" i="22" s="1"/>
  <c r="N154" i="22" s="1"/>
  <c r="O154" i="22" s="1"/>
  <c r="P154" i="22" s="1"/>
  <c r="Q154" i="22" s="1"/>
  <c r="R154" i="22" s="1"/>
  <c r="S154" i="22" s="1"/>
  <c r="T154" i="22" s="1"/>
  <c r="U154" i="22" s="1"/>
  <c r="V154" i="22" s="1"/>
  <c r="W154" i="22" s="1"/>
  <c r="X154" i="22" s="1"/>
  <c r="Y154" i="22" s="1"/>
  <c r="Z154" i="22" s="1"/>
  <c r="AA154" i="22" s="1"/>
  <c r="AB154" i="22" s="1"/>
  <c r="AC154" i="22" s="1"/>
  <c r="AD154" i="22" s="1"/>
  <c r="AE154" i="22" s="1"/>
  <c r="AF154" i="22" s="1"/>
  <c r="B154" i="22" s="1"/>
  <c r="V153" i="22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B153" i="22" s="1"/>
  <c r="F153" i="22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E153" i="22"/>
  <c r="D153" i="22"/>
  <c r="U152" i="22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B152" i="22" s="1"/>
  <c r="E152" i="22"/>
  <c r="F152" i="22" s="1"/>
  <c r="G152" i="22" s="1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D152" i="22"/>
  <c r="M150" i="22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B150" i="22" s="1"/>
  <c r="I150" i="22"/>
  <c r="J150" i="22" s="1"/>
  <c r="K150" i="22" s="1"/>
  <c r="L150" i="22" s="1"/>
  <c r="D150" i="22"/>
  <c r="E150" i="22" s="1"/>
  <c r="F150" i="22" s="1"/>
  <c r="G150" i="22" s="1"/>
  <c r="H150" i="22" s="1"/>
  <c r="L149" i="22"/>
  <c r="M149" i="22" s="1"/>
  <c r="N149" i="22" s="1"/>
  <c r="O149" i="22" s="1"/>
  <c r="P149" i="22" s="1"/>
  <c r="Q149" i="22" s="1"/>
  <c r="R149" i="22" s="1"/>
  <c r="S149" i="22" s="1"/>
  <c r="T149" i="22" s="1"/>
  <c r="U149" i="22" s="1"/>
  <c r="V149" i="22" s="1"/>
  <c r="W149" i="22" s="1"/>
  <c r="X149" i="22" s="1"/>
  <c r="Y149" i="22" s="1"/>
  <c r="Z149" i="22" s="1"/>
  <c r="AA149" i="22" s="1"/>
  <c r="AB149" i="22" s="1"/>
  <c r="AC149" i="22" s="1"/>
  <c r="AD149" i="22" s="1"/>
  <c r="AE149" i="22" s="1"/>
  <c r="AF149" i="22" s="1"/>
  <c r="B149" i="22" s="1"/>
  <c r="K149" i="22"/>
  <c r="G149" i="22"/>
  <c r="H149" i="22" s="1"/>
  <c r="I149" i="22" s="1"/>
  <c r="J149" i="22" s="1"/>
  <c r="D149" i="22"/>
  <c r="E149" i="22" s="1"/>
  <c r="F149" i="22" s="1"/>
  <c r="I147" i="22"/>
  <c r="J147" i="22" s="1"/>
  <c r="K147" i="22" s="1"/>
  <c r="L147" i="22" s="1"/>
  <c r="M147" i="22" s="1"/>
  <c r="N147" i="22" s="1"/>
  <c r="O147" i="22" s="1"/>
  <c r="P147" i="22" s="1"/>
  <c r="Q147" i="22" s="1"/>
  <c r="R147" i="22" s="1"/>
  <c r="S147" i="22" s="1"/>
  <c r="T147" i="22" s="1"/>
  <c r="U147" i="22" s="1"/>
  <c r="V147" i="22" s="1"/>
  <c r="W147" i="22" s="1"/>
  <c r="X147" i="22" s="1"/>
  <c r="Y147" i="22" s="1"/>
  <c r="Z147" i="22" s="1"/>
  <c r="AA147" i="22" s="1"/>
  <c r="AB147" i="22" s="1"/>
  <c r="AC147" i="22" s="1"/>
  <c r="AD147" i="22" s="1"/>
  <c r="AE147" i="22" s="1"/>
  <c r="AF147" i="22" s="1"/>
  <c r="B147" i="22" s="1"/>
  <c r="E147" i="22"/>
  <c r="F147" i="22" s="1"/>
  <c r="G147" i="22" s="1"/>
  <c r="H147" i="22" s="1"/>
  <c r="D147" i="22"/>
  <c r="X146" i="22"/>
  <c r="Y146" i="22" s="1"/>
  <c r="Z146" i="22" s="1"/>
  <c r="AA146" i="22" s="1"/>
  <c r="AB146" i="22" s="1"/>
  <c r="AC146" i="22" s="1"/>
  <c r="AD146" i="22" s="1"/>
  <c r="AE146" i="22" s="1"/>
  <c r="AF146" i="22" s="1"/>
  <c r="B146" i="22" s="1"/>
  <c r="H146" i="22"/>
  <c r="I146" i="22" s="1"/>
  <c r="J146" i="22" s="1"/>
  <c r="K146" i="22" s="1"/>
  <c r="L146" i="22" s="1"/>
  <c r="M146" i="22" s="1"/>
  <c r="N146" i="22" s="1"/>
  <c r="O146" i="22" s="1"/>
  <c r="P146" i="22" s="1"/>
  <c r="Q146" i="22" s="1"/>
  <c r="R146" i="22" s="1"/>
  <c r="S146" i="22" s="1"/>
  <c r="T146" i="22" s="1"/>
  <c r="U146" i="22" s="1"/>
  <c r="V146" i="22" s="1"/>
  <c r="W146" i="22" s="1"/>
  <c r="D146" i="22"/>
  <c r="E146" i="22" s="1"/>
  <c r="F146" i="22" s="1"/>
  <c r="G146" i="22" s="1"/>
  <c r="AB145" i="22"/>
  <c r="AC145" i="22" s="1"/>
  <c r="AD145" i="22" s="1"/>
  <c r="AE145" i="22" s="1"/>
  <c r="AF145" i="22" s="1"/>
  <c r="B145" i="22" s="1"/>
  <c r="D145" i="22"/>
  <c r="E145" i="22" s="1"/>
  <c r="F145" i="22" s="1"/>
  <c r="G145" i="22" s="1"/>
  <c r="H145" i="22" s="1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J144" i="22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B144" i="22" s="1"/>
  <c r="G144" i="22"/>
  <c r="H144" i="22" s="1"/>
  <c r="I144" i="22" s="1"/>
  <c r="D144" i="22"/>
  <c r="E144" i="22" s="1"/>
  <c r="F144" i="22" s="1"/>
  <c r="H143" i="22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B143" i="22" s="1"/>
  <c r="G143" i="22"/>
  <c r="E143" i="22"/>
  <c r="F143" i="22" s="1"/>
  <c r="D143" i="22"/>
  <c r="AD142" i="22"/>
  <c r="AE142" i="22" s="1"/>
  <c r="AF142" i="22" s="1"/>
  <c r="B142" i="22" s="1"/>
  <c r="W142" i="22"/>
  <c r="X142" i="22" s="1"/>
  <c r="Y142" i="22" s="1"/>
  <c r="Z142" i="22" s="1"/>
  <c r="AA142" i="22" s="1"/>
  <c r="AB142" i="22" s="1"/>
  <c r="AC142" i="22" s="1"/>
  <c r="N142" i="22"/>
  <c r="O142" i="22" s="1"/>
  <c r="P142" i="22" s="1"/>
  <c r="Q142" i="22" s="1"/>
  <c r="R142" i="22" s="1"/>
  <c r="S142" i="22" s="1"/>
  <c r="T142" i="22" s="1"/>
  <c r="U142" i="22" s="1"/>
  <c r="V142" i="22" s="1"/>
  <c r="F142" i="22"/>
  <c r="G142" i="22" s="1"/>
  <c r="H142" i="22" s="1"/>
  <c r="I142" i="22" s="1"/>
  <c r="J142" i="22" s="1"/>
  <c r="K142" i="22" s="1"/>
  <c r="L142" i="22" s="1"/>
  <c r="M142" i="22" s="1"/>
  <c r="D142" i="22"/>
  <c r="E142" i="22" s="1"/>
  <c r="D141" i="22"/>
  <c r="E141" i="22" s="1"/>
  <c r="F141" i="22" s="1"/>
  <c r="G141" i="22" s="1"/>
  <c r="H141" i="22" s="1"/>
  <c r="I141" i="22" s="1"/>
  <c r="J141" i="22" s="1"/>
  <c r="K141" i="22" s="1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B141" i="22" s="1"/>
  <c r="D139" i="22"/>
  <c r="E139" i="22" s="1"/>
  <c r="F139" i="22" s="1"/>
  <c r="G139" i="22" s="1"/>
  <c r="H139" i="22" s="1"/>
  <c r="I139" i="22" s="1"/>
  <c r="J139" i="22" s="1"/>
  <c r="K139" i="22" s="1"/>
  <c r="L139" i="22" s="1"/>
  <c r="M139" i="22" s="1"/>
  <c r="N139" i="22" s="1"/>
  <c r="O139" i="22" s="1"/>
  <c r="P139" i="22" s="1"/>
  <c r="Q139" i="22" s="1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AB139" i="22" s="1"/>
  <c r="AC139" i="22" s="1"/>
  <c r="AD139" i="22" s="1"/>
  <c r="AE139" i="22" s="1"/>
  <c r="AF139" i="22" s="1"/>
  <c r="B139" i="22" s="1"/>
  <c r="K138" i="22"/>
  <c r="L138" i="22" s="1"/>
  <c r="M138" i="22" s="1"/>
  <c r="N138" i="22" s="1"/>
  <c r="O138" i="22" s="1"/>
  <c r="P138" i="22" s="1"/>
  <c r="Q138" i="22" s="1"/>
  <c r="R138" i="22" s="1"/>
  <c r="S138" i="22" s="1"/>
  <c r="T138" i="22" s="1"/>
  <c r="U138" i="22" s="1"/>
  <c r="V138" i="22" s="1"/>
  <c r="W138" i="22" s="1"/>
  <c r="X138" i="22" s="1"/>
  <c r="Y138" i="22" s="1"/>
  <c r="Z138" i="22" s="1"/>
  <c r="AA138" i="22" s="1"/>
  <c r="AB138" i="22" s="1"/>
  <c r="AC138" i="22" s="1"/>
  <c r="AD138" i="22" s="1"/>
  <c r="AE138" i="22" s="1"/>
  <c r="AF138" i="22" s="1"/>
  <c r="B138" i="22" s="1"/>
  <c r="E138" i="22"/>
  <c r="F138" i="22" s="1"/>
  <c r="G138" i="22" s="1"/>
  <c r="H138" i="22" s="1"/>
  <c r="I138" i="22" s="1"/>
  <c r="J138" i="22" s="1"/>
  <c r="D138" i="22"/>
  <c r="Y137" i="22"/>
  <c r="Z137" i="22" s="1"/>
  <c r="AA137" i="22" s="1"/>
  <c r="AB137" i="22" s="1"/>
  <c r="AC137" i="22" s="1"/>
  <c r="AD137" i="22" s="1"/>
  <c r="AE137" i="22" s="1"/>
  <c r="AF137" i="22" s="1"/>
  <c r="B137" i="22" s="1"/>
  <c r="D137" i="22"/>
  <c r="E137" i="22" s="1"/>
  <c r="F137" i="22" s="1"/>
  <c r="G137" i="22" s="1"/>
  <c r="H137" i="22" s="1"/>
  <c r="I137" i="22" s="1"/>
  <c r="J137" i="22" s="1"/>
  <c r="K137" i="22" s="1"/>
  <c r="L137" i="22" s="1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G136" i="22"/>
  <c r="H136" i="22" s="1"/>
  <c r="I136" i="22" s="1"/>
  <c r="J136" i="22" s="1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B136" i="22" s="1"/>
  <c r="D136" i="22"/>
  <c r="E136" i="22" s="1"/>
  <c r="F136" i="22" s="1"/>
  <c r="F135" i="22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B135" i="22" s="1"/>
  <c r="E135" i="22"/>
  <c r="D135" i="22"/>
  <c r="N134" i="22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B134" i="22" s="1"/>
  <c r="H134" i="22"/>
  <c r="I134" i="22" s="1"/>
  <c r="J134" i="22" s="1"/>
  <c r="K134" i="22" s="1"/>
  <c r="L134" i="22" s="1"/>
  <c r="M134" i="22" s="1"/>
  <c r="E134" i="22"/>
  <c r="F134" i="22" s="1"/>
  <c r="G134" i="22" s="1"/>
  <c r="D134" i="22"/>
  <c r="AB133" i="22"/>
  <c r="AC133" i="22" s="1"/>
  <c r="AD133" i="22" s="1"/>
  <c r="AE133" i="22" s="1"/>
  <c r="AF133" i="22" s="1"/>
  <c r="B133" i="22" s="1"/>
  <c r="M133" i="22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L133" i="22"/>
  <c r="F133" i="22"/>
  <c r="G133" i="22" s="1"/>
  <c r="H133" i="22" s="1"/>
  <c r="I133" i="22" s="1"/>
  <c r="J133" i="22" s="1"/>
  <c r="K133" i="22" s="1"/>
  <c r="D133" i="22"/>
  <c r="E133" i="22" s="1"/>
  <c r="D132" i="22"/>
  <c r="E132" i="22" s="1"/>
  <c r="F132" i="22" s="1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B132" i="22" s="1"/>
  <c r="H130" i="22"/>
  <c r="I130" i="22" s="1"/>
  <c r="J130" i="22" s="1"/>
  <c r="K130" i="22" s="1"/>
  <c r="L130" i="22" s="1"/>
  <c r="M130" i="22" s="1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B130" i="22" s="1"/>
  <c r="E130" i="22"/>
  <c r="F130" i="22" s="1"/>
  <c r="G130" i="22" s="1"/>
  <c r="D130" i="22"/>
  <c r="M129" i="22"/>
  <c r="N129" i="22" s="1"/>
  <c r="O129" i="22" s="1"/>
  <c r="P129" i="22" s="1"/>
  <c r="Q129" i="22" s="1"/>
  <c r="R129" i="22" s="1"/>
  <c r="S129" i="22" s="1"/>
  <c r="T129" i="22" s="1"/>
  <c r="U129" i="22" s="1"/>
  <c r="V129" i="22" s="1"/>
  <c r="W129" i="22" s="1"/>
  <c r="X129" i="22" s="1"/>
  <c r="Y129" i="22" s="1"/>
  <c r="Z129" i="22" s="1"/>
  <c r="AA129" i="22" s="1"/>
  <c r="AB129" i="22" s="1"/>
  <c r="AC129" i="22" s="1"/>
  <c r="AD129" i="22" s="1"/>
  <c r="AE129" i="22" s="1"/>
  <c r="AF129" i="22" s="1"/>
  <c r="B129" i="22" s="1"/>
  <c r="D129" i="22"/>
  <c r="E129" i="22" s="1"/>
  <c r="F129" i="22" s="1"/>
  <c r="G129" i="22" s="1"/>
  <c r="H129" i="22" s="1"/>
  <c r="I129" i="22" s="1"/>
  <c r="J129" i="22" s="1"/>
  <c r="K129" i="22" s="1"/>
  <c r="L129" i="22" s="1"/>
  <c r="E128" i="22"/>
  <c r="F128" i="22" s="1"/>
  <c r="G128" i="22" s="1"/>
  <c r="H128" i="22" s="1"/>
  <c r="I128" i="22" s="1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B128" i="22" s="1"/>
  <c r="D128" i="22"/>
  <c r="I127" i="22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B127" i="22" s="1"/>
  <c r="D127" i="22"/>
  <c r="E127" i="22" s="1"/>
  <c r="F127" i="22" s="1"/>
  <c r="G127" i="22" s="1"/>
  <c r="H127" i="22" s="1"/>
  <c r="X126" i="22"/>
  <c r="Y126" i="22" s="1"/>
  <c r="Z126" i="22" s="1"/>
  <c r="AA126" i="22" s="1"/>
  <c r="AB126" i="22" s="1"/>
  <c r="AC126" i="22" s="1"/>
  <c r="AD126" i="22" s="1"/>
  <c r="AE126" i="22" s="1"/>
  <c r="AF126" i="22" s="1"/>
  <c r="B126" i="22" s="1"/>
  <c r="M126" i="22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J126" i="22"/>
  <c r="K126" i="22" s="1"/>
  <c r="L126" i="22" s="1"/>
  <c r="F126" i="22"/>
  <c r="G126" i="22" s="1"/>
  <c r="H126" i="22" s="1"/>
  <c r="D126" i="22"/>
  <c r="E126" i="22" s="1"/>
  <c r="E125" i="22"/>
  <c r="F125" i="22" s="1"/>
  <c r="G125" i="22" s="1"/>
  <c r="H125" i="22" s="1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B125" i="22" s="1"/>
  <c r="D125" i="22"/>
  <c r="M124" i="22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B124" i="22" s="1"/>
  <c r="H124" i="22"/>
  <c r="I124" i="22" s="1"/>
  <c r="J124" i="22" s="1"/>
  <c r="K124" i="22" s="1"/>
  <c r="L124" i="22" s="1"/>
  <c r="E124" i="22"/>
  <c r="F124" i="22" s="1"/>
  <c r="G124" i="22" s="1"/>
  <c r="D124" i="22"/>
  <c r="G123" i="22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B123" i="22" s="1"/>
  <c r="F123" i="22"/>
  <c r="D123" i="22"/>
  <c r="E123" i="22" s="1"/>
  <c r="U122" i="22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B122" i="22" s="1"/>
  <c r="I122" i="22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F122" i="22"/>
  <c r="G122" i="22" s="1"/>
  <c r="H122" i="22" s="1"/>
  <c r="E122" i="22"/>
  <c r="D122" i="22"/>
  <c r="J121" i="22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B121" i="22" s="1"/>
  <c r="G121" i="22"/>
  <c r="H121" i="22" s="1"/>
  <c r="I121" i="22" s="1"/>
  <c r="D121" i="22"/>
  <c r="E121" i="22" s="1"/>
  <c r="F121" i="22" s="1"/>
  <c r="H120" i="22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B120" i="22" s="1"/>
  <c r="E120" i="22"/>
  <c r="F120" i="22" s="1"/>
  <c r="G120" i="22" s="1"/>
  <c r="D120" i="22"/>
  <c r="I119" i="22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B119" i="22" s="1"/>
  <c r="D119" i="22"/>
  <c r="E119" i="22" s="1"/>
  <c r="F119" i="22" s="1"/>
  <c r="G119" i="22" s="1"/>
  <c r="H119" i="22" s="1"/>
  <c r="X118" i="22"/>
  <c r="Y118" i="22" s="1"/>
  <c r="Z118" i="22" s="1"/>
  <c r="AA118" i="22" s="1"/>
  <c r="AB118" i="22" s="1"/>
  <c r="AC118" i="22" s="1"/>
  <c r="AD118" i="22" s="1"/>
  <c r="AE118" i="22" s="1"/>
  <c r="AF118" i="22" s="1"/>
  <c r="B118" i="22" s="1"/>
  <c r="G118" i="22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E118" i="22"/>
  <c r="F118" i="22" s="1"/>
  <c r="D118" i="22"/>
  <c r="L117" i="22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B117" i="22" s="1"/>
  <c r="G117" i="22"/>
  <c r="H117" i="22" s="1"/>
  <c r="I117" i="22" s="1"/>
  <c r="J117" i="22" s="1"/>
  <c r="K117" i="22" s="1"/>
  <c r="F117" i="22"/>
  <c r="E117" i="22"/>
  <c r="D117" i="22"/>
  <c r="J116" i="22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B116" i="22" s="1"/>
  <c r="H116" i="22"/>
  <c r="I116" i="22" s="1"/>
  <c r="E116" i="22"/>
  <c r="F116" i="22" s="1"/>
  <c r="G116" i="22" s="1"/>
  <c r="D116" i="22"/>
  <c r="R115" i="22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B115" i="22" s="1"/>
  <c r="L115" i="22"/>
  <c r="M115" i="22" s="1"/>
  <c r="N115" i="22" s="1"/>
  <c r="O115" i="22" s="1"/>
  <c r="P115" i="22" s="1"/>
  <c r="Q115" i="22" s="1"/>
  <c r="K115" i="22"/>
  <c r="F115" i="22"/>
  <c r="G115" i="22" s="1"/>
  <c r="H115" i="22" s="1"/>
  <c r="I115" i="22" s="1"/>
  <c r="E115" i="22"/>
  <c r="D115" i="22"/>
  <c r="D114" i="22"/>
  <c r="E114" i="22" s="1"/>
  <c r="F114" i="22" s="1"/>
  <c r="G114" i="22" s="1"/>
  <c r="H114" i="22" s="1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B114" i="22" s="1"/>
  <c r="G113" i="22"/>
  <c r="H113" i="22" s="1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B113" i="22" s="1"/>
  <c r="E113" i="22"/>
  <c r="F113" i="22" s="1"/>
  <c r="D113" i="22"/>
  <c r="I111" i="22"/>
  <c r="J111" i="22" s="1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B111" i="22" s="1"/>
  <c r="E111" i="22"/>
  <c r="F111" i="22" s="1"/>
  <c r="G111" i="22" s="1"/>
  <c r="H111" i="22" s="1"/>
  <c r="D111" i="22"/>
  <c r="D110" i="22"/>
  <c r="E110" i="22" s="1"/>
  <c r="F110" i="22" s="1"/>
  <c r="G110" i="22" s="1"/>
  <c r="H110" i="22" s="1"/>
  <c r="I110" i="22" s="1"/>
  <c r="J110" i="22" s="1"/>
  <c r="K110" i="22" s="1"/>
  <c r="L110" i="22" s="1"/>
  <c r="M110" i="22" s="1"/>
  <c r="N110" i="22" s="1"/>
  <c r="O110" i="22" s="1"/>
  <c r="P110" i="22" s="1"/>
  <c r="Q110" i="22" s="1"/>
  <c r="R110" i="22" s="1"/>
  <c r="S110" i="22" s="1"/>
  <c r="T110" i="22" s="1"/>
  <c r="U110" i="22" s="1"/>
  <c r="V110" i="22" s="1"/>
  <c r="W110" i="22" s="1"/>
  <c r="X110" i="22" s="1"/>
  <c r="Y110" i="22" s="1"/>
  <c r="Z110" i="22" s="1"/>
  <c r="AA110" i="22" s="1"/>
  <c r="AB110" i="22" s="1"/>
  <c r="AC110" i="22" s="1"/>
  <c r="AD110" i="22" s="1"/>
  <c r="AE110" i="22" s="1"/>
  <c r="AF110" i="22" s="1"/>
  <c r="B110" i="22" s="1"/>
  <c r="O108" i="22"/>
  <c r="P108" i="22" s="1"/>
  <c r="Q108" i="22" s="1"/>
  <c r="R108" i="22" s="1"/>
  <c r="S108" i="22" s="1"/>
  <c r="T108" i="22" s="1"/>
  <c r="U108" i="22" s="1"/>
  <c r="V108" i="22" s="1"/>
  <c r="W108" i="22" s="1"/>
  <c r="X108" i="22" s="1"/>
  <c r="Y108" i="22" s="1"/>
  <c r="Z108" i="22" s="1"/>
  <c r="AA108" i="22" s="1"/>
  <c r="AB108" i="22" s="1"/>
  <c r="AC108" i="22" s="1"/>
  <c r="AD108" i="22" s="1"/>
  <c r="AE108" i="22" s="1"/>
  <c r="AF108" i="22" s="1"/>
  <c r="B108" i="22" s="1"/>
  <c r="F108" i="22"/>
  <c r="G108" i="22" s="1"/>
  <c r="H108" i="22" s="1"/>
  <c r="I108" i="22" s="1"/>
  <c r="J108" i="22" s="1"/>
  <c r="K108" i="22" s="1"/>
  <c r="L108" i="22" s="1"/>
  <c r="M108" i="22" s="1"/>
  <c r="N108" i="22" s="1"/>
  <c r="E108" i="22"/>
  <c r="D108" i="22"/>
  <c r="I107" i="22"/>
  <c r="J107" i="22" s="1"/>
  <c r="K107" i="22" s="1"/>
  <c r="L107" i="22" s="1"/>
  <c r="M107" i="22" s="1"/>
  <c r="N107" i="22" s="1"/>
  <c r="O107" i="22" s="1"/>
  <c r="P107" i="22" s="1"/>
  <c r="Q107" i="22" s="1"/>
  <c r="R107" i="22" s="1"/>
  <c r="S107" i="22" s="1"/>
  <c r="T107" i="22" s="1"/>
  <c r="U107" i="22" s="1"/>
  <c r="V107" i="22" s="1"/>
  <c r="W107" i="22" s="1"/>
  <c r="X107" i="22" s="1"/>
  <c r="Y107" i="22" s="1"/>
  <c r="Z107" i="22" s="1"/>
  <c r="AA107" i="22" s="1"/>
  <c r="AB107" i="22" s="1"/>
  <c r="AC107" i="22" s="1"/>
  <c r="AD107" i="22" s="1"/>
  <c r="AE107" i="22" s="1"/>
  <c r="AF107" i="22" s="1"/>
  <c r="B107" i="22" s="1"/>
  <c r="D107" i="22"/>
  <c r="E107" i="22" s="1"/>
  <c r="F107" i="22" s="1"/>
  <c r="G107" i="22" s="1"/>
  <c r="H107" i="22" s="1"/>
  <c r="G106" i="22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B106" i="22" s="1"/>
  <c r="F106" i="22"/>
  <c r="E106" i="22"/>
  <c r="D106" i="22"/>
  <c r="F105" i="22"/>
  <c r="G105" i="22" s="1"/>
  <c r="H105" i="22" s="1"/>
  <c r="I105" i="22" s="1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B105" i="22" s="1"/>
  <c r="E105" i="22"/>
  <c r="D105" i="22"/>
  <c r="D104" i="22"/>
  <c r="E104" i="22" s="1"/>
  <c r="E103" i="22"/>
  <c r="D103" i="22"/>
  <c r="AH100" i="22"/>
  <c r="AI100" i="22" s="1"/>
  <c r="AH99" i="22"/>
  <c r="AI99" i="22" s="1"/>
  <c r="AH98" i="22"/>
  <c r="AI98" i="22" s="1"/>
  <c r="AH97" i="22"/>
  <c r="AI97" i="22" s="1"/>
  <c r="AH96" i="22"/>
  <c r="AI96" i="22" s="1"/>
  <c r="AH95" i="22"/>
  <c r="AI95" i="22" s="1"/>
  <c r="AH94" i="22"/>
  <c r="AI94" i="22" s="1"/>
  <c r="C93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G82" i="22"/>
  <c r="AI81" i="22"/>
  <c r="AH81" i="22"/>
  <c r="AF80" i="22"/>
  <c r="AE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D82" i="22" s="1"/>
  <c r="C79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J82" i="22" s="1"/>
  <c r="I76" i="22"/>
  <c r="I82" i="22" s="1"/>
  <c r="H76" i="22"/>
  <c r="G76" i="22"/>
  <c r="F76" i="22"/>
  <c r="E76" i="22"/>
  <c r="D76" i="22"/>
  <c r="C76" i="22"/>
  <c r="C82" i="22" s="1"/>
  <c r="AI74" i="22"/>
  <c r="AH74" i="22"/>
  <c r="AI72" i="22"/>
  <c r="AH72" i="22"/>
  <c r="AG72" i="22"/>
  <c r="AI71" i="22"/>
  <c r="AH71" i="22"/>
  <c r="AI70" i="22"/>
  <c r="AH70" i="22"/>
  <c r="AI69" i="22"/>
  <c r="AH69" i="22"/>
  <c r="AG68" i="22"/>
  <c r="AF68" i="22"/>
  <c r="AE5" i="22" s="1"/>
  <c r="AE68" i="22"/>
  <c r="AD68" i="22"/>
  <c r="AC68" i="22"/>
  <c r="AB68" i="22"/>
  <c r="AA5" i="22" s="1"/>
  <c r="AA68" i="22"/>
  <c r="Z5" i="22" s="1"/>
  <c r="Z68" i="22"/>
  <c r="Y68" i="22"/>
  <c r="X5" i="22" s="1"/>
  <c r="X68" i="22"/>
  <c r="W5" i="22" s="1"/>
  <c r="W68" i="22"/>
  <c r="V68" i="22"/>
  <c r="U5" i="22" s="1"/>
  <c r="U68" i="22"/>
  <c r="T68" i="22"/>
  <c r="S5" i="22" s="1"/>
  <c r="S68" i="22"/>
  <c r="R5" i="22" s="1"/>
  <c r="R68" i="22"/>
  <c r="Q5" i="22" s="1"/>
  <c r="Q68" i="22"/>
  <c r="P5" i="22" s="1"/>
  <c r="P68" i="22"/>
  <c r="O5" i="22" s="1"/>
  <c r="O68" i="22"/>
  <c r="N68" i="22"/>
  <c r="M68" i="22"/>
  <c r="L5" i="22" s="1"/>
  <c r="L68" i="22"/>
  <c r="K5" i="22" s="1"/>
  <c r="K68" i="22"/>
  <c r="J68" i="22"/>
  <c r="J83" i="22" s="1"/>
  <c r="I68" i="22"/>
  <c r="I83" i="22" s="1"/>
  <c r="H68" i="22"/>
  <c r="G5" i="22" s="1"/>
  <c r="G68" i="22"/>
  <c r="F68" i="22"/>
  <c r="E68" i="22"/>
  <c r="D68" i="22"/>
  <c r="C5" i="22" s="1"/>
  <c r="C68" i="22"/>
  <c r="B5" i="22" s="1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AI55" i="22"/>
  <c r="AH55" i="22"/>
  <c r="AI54" i="22"/>
  <c r="AH54" i="22"/>
  <c r="AI53" i="22"/>
  <c r="AH53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AI51" i="22"/>
  <c r="AH51" i="22"/>
  <c r="AG51" i="22"/>
  <c r="AG52" i="22" s="1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F5" i="22"/>
  <c r="AG4" i="22"/>
  <c r="K4" i="22"/>
  <c r="B4" i="22"/>
  <c r="AG2" i="22"/>
  <c r="E4" i="22"/>
  <c r="AF82" i="22" l="1"/>
  <c r="AF83" i="22" s="1"/>
  <c r="AF73" i="22"/>
  <c r="AF75" i="22" s="1"/>
  <c r="AX215" i="22" s="1"/>
  <c r="AD82" i="22"/>
  <c r="AD83" i="22"/>
  <c r="AC5" i="22"/>
  <c r="AC73" i="22"/>
  <c r="AC75" i="22" s="1"/>
  <c r="AB82" i="22"/>
  <c r="AB73" i="22"/>
  <c r="AB75" i="22" s="1"/>
  <c r="AT215" i="22" s="1"/>
  <c r="AA82" i="22"/>
  <c r="AA73" i="22"/>
  <c r="AA75" i="22" s="1"/>
  <c r="AS215" i="22" s="1"/>
  <c r="Y5" i="22"/>
  <c r="Z82" i="22"/>
  <c r="Z83" i="22" s="1"/>
  <c r="Z73" i="22"/>
  <c r="Z75" i="22" s="1"/>
  <c r="AR215" i="22" s="1"/>
  <c r="Y82" i="22"/>
  <c r="Y73" i="22"/>
  <c r="Y75" i="22" s="1"/>
  <c r="Y7" i="22" s="1"/>
  <c r="X82" i="22"/>
  <c r="X73" i="22"/>
  <c r="X75" i="22" s="1"/>
  <c r="AP215" i="22" s="1"/>
  <c r="V82" i="22"/>
  <c r="U73" i="22"/>
  <c r="U75" i="22" s="1"/>
  <c r="T82" i="22"/>
  <c r="T73" i="22"/>
  <c r="T75" i="22" s="1"/>
  <c r="T7" i="22" s="1"/>
  <c r="S82" i="22"/>
  <c r="S73" i="22"/>
  <c r="S75" i="22" s="1"/>
  <c r="AK215" i="22" s="1"/>
  <c r="R82" i="22"/>
  <c r="R83" i="22"/>
  <c r="R73" i="22"/>
  <c r="R75" i="22" s="1"/>
  <c r="AJ215" i="22" s="1"/>
  <c r="Q82" i="22"/>
  <c r="Q73" i="22"/>
  <c r="Q75" i="22" s="1"/>
  <c r="AI215" i="22" s="1"/>
  <c r="P82" i="22"/>
  <c r="P73" i="22"/>
  <c r="P75" i="22" s="1"/>
  <c r="P7" i="22" s="1"/>
  <c r="N82" i="22"/>
  <c r="N83" i="22"/>
  <c r="M73" i="22"/>
  <c r="M75" i="22" s="1"/>
  <c r="AE215" i="22" s="1"/>
  <c r="K82" i="22"/>
  <c r="K73" i="22"/>
  <c r="K75" i="22" s="1"/>
  <c r="AC215" i="22" s="1"/>
  <c r="K83" i="22"/>
  <c r="J5" i="22"/>
  <c r="L73" i="22"/>
  <c r="L75" i="22" s="1"/>
  <c r="AD215" i="22" s="1"/>
  <c r="L82" i="22"/>
  <c r="L83" i="22" s="1"/>
  <c r="I5" i="22"/>
  <c r="J73" i="22"/>
  <c r="J75" i="22" s="1"/>
  <c r="AB215" i="22" s="1"/>
  <c r="AI76" i="22"/>
  <c r="H5" i="22"/>
  <c r="I73" i="22"/>
  <c r="I75" i="22" s="1"/>
  <c r="AA215" i="22" s="1"/>
  <c r="H82" i="22"/>
  <c r="H73" i="22"/>
  <c r="H75" i="22" s="1"/>
  <c r="Z215" i="22" s="1"/>
  <c r="F82" i="22"/>
  <c r="F83" i="22" s="1"/>
  <c r="AI80" i="22"/>
  <c r="E73" i="22"/>
  <c r="E75" i="22" s="1"/>
  <c r="W215" i="22" s="1"/>
  <c r="AI77" i="22"/>
  <c r="AI56" i="22"/>
  <c r="AH77" i="22"/>
  <c r="D73" i="22"/>
  <c r="D75" i="22" s="1"/>
  <c r="V215" i="22" s="1"/>
  <c r="AI52" i="22"/>
  <c r="C73" i="22"/>
  <c r="C75" i="22" s="1"/>
  <c r="U215" i="22" s="1"/>
  <c r="AH52" i="22"/>
  <c r="AI38" i="22"/>
  <c r="AH56" i="22"/>
  <c r="H4" i="22"/>
  <c r="AM215" i="22"/>
  <c r="U7" i="22"/>
  <c r="AU215" i="22"/>
  <c r="AC7" i="22"/>
  <c r="AG73" i="22"/>
  <c r="AG83" i="22" s="1"/>
  <c r="AQ215" i="22"/>
  <c r="AG3" i="22"/>
  <c r="AG6" i="22" s="1"/>
  <c r="AG75" i="22"/>
  <c r="I7" i="22"/>
  <c r="AH78" i="22"/>
  <c r="C83" i="22"/>
  <c r="S83" i="22"/>
  <c r="AA83" i="22"/>
  <c r="F104" i="22"/>
  <c r="D83" i="22"/>
  <c r="T83" i="22"/>
  <c r="AB83" i="22"/>
  <c r="G82" i="22"/>
  <c r="G83" i="22" s="1"/>
  <c r="O82" i="22"/>
  <c r="O83" i="22" s="1"/>
  <c r="W82" i="22"/>
  <c r="W83" i="22" s="1"/>
  <c r="AE82" i="22"/>
  <c r="AE83" i="22" s="1"/>
  <c r="V83" i="22"/>
  <c r="AH38" i="22"/>
  <c r="B82" i="22"/>
  <c r="AH76" i="22"/>
  <c r="D5" i="22"/>
  <c r="T5" i="22"/>
  <c r="AB5" i="22"/>
  <c r="R7" i="22"/>
  <c r="H83" i="22"/>
  <c r="P83" i="22"/>
  <c r="X83" i="22"/>
  <c r="AI78" i="22"/>
  <c r="AI79" i="22"/>
  <c r="S212" i="22"/>
  <c r="D212" i="22"/>
  <c r="E5" i="22"/>
  <c r="M5" i="22"/>
  <c r="C7" i="22"/>
  <c r="K7" i="22"/>
  <c r="AA7" i="22"/>
  <c r="F73" i="22"/>
  <c r="F75" i="22" s="1"/>
  <c r="N73" i="22"/>
  <c r="N75" i="22" s="1"/>
  <c r="V73" i="22"/>
  <c r="V75" i="22" s="1"/>
  <c r="AD73" i="22"/>
  <c r="AD75" i="22" s="1"/>
  <c r="Q83" i="22"/>
  <c r="Y83" i="22"/>
  <c r="AH79" i="22"/>
  <c r="D93" i="22"/>
  <c r="F5" i="22"/>
  <c r="N5" i="22"/>
  <c r="V5" i="22"/>
  <c r="AD5" i="22"/>
  <c r="G73" i="22"/>
  <c r="G75" i="22" s="1"/>
  <c r="O73" i="22"/>
  <c r="O75" i="22" s="1"/>
  <c r="W73" i="22"/>
  <c r="W75" i="22" s="1"/>
  <c r="AE73" i="22"/>
  <c r="AE75" i="22" s="1"/>
  <c r="AH68" i="22"/>
  <c r="AI68" i="22"/>
  <c r="E82" i="22"/>
  <c r="E83" i="22" s="1"/>
  <c r="M82" i="22"/>
  <c r="M83" i="22" s="1"/>
  <c r="U82" i="22"/>
  <c r="U83" i="22" s="1"/>
  <c r="AC82" i="22"/>
  <c r="AC83" i="22" s="1"/>
  <c r="D193" i="22"/>
  <c r="E193" i="22"/>
  <c r="F103" i="22"/>
  <c r="AH80" i="22"/>
  <c r="G200" i="22"/>
  <c r="E236" i="22"/>
  <c r="D201" i="22"/>
  <c r="E195" i="22"/>
  <c r="E93" i="22" s="1"/>
  <c r="D236" i="22"/>
  <c r="AA37" i="21"/>
  <c r="Z37" i="21"/>
  <c r="Y37" i="21"/>
  <c r="X37" i="21"/>
  <c r="W37" i="21"/>
  <c r="V37" i="21"/>
  <c r="T37" i="21"/>
  <c r="S37" i="21"/>
  <c r="R37" i="21"/>
  <c r="Q95" i="21"/>
  <c r="Q37" i="21"/>
  <c r="P95" i="21"/>
  <c r="P37" i="21"/>
  <c r="O37" i="21"/>
  <c r="N37" i="21"/>
  <c r="M37" i="21"/>
  <c r="L95" i="21"/>
  <c r="L37" i="21"/>
  <c r="K95" i="21"/>
  <c r="K37" i="21"/>
  <c r="J95" i="21"/>
  <c r="J37" i="21"/>
  <c r="I95" i="21"/>
  <c r="I37" i="21"/>
  <c r="H95" i="21"/>
  <c r="H37" i="21"/>
  <c r="G95" i="21"/>
  <c r="G37" i="21"/>
  <c r="F95" i="21"/>
  <c r="F37" i="21"/>
  <c r="E95" i="21"/>
  <c r="E37" i="21"/>
  <c r="D95" i="21"/>
  <c r="D37" i="21"/>
  <c r="C95" i="21"/>
  <c r="C37" i="21"/>
  <c r="B95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B236" i="21"/>
  <c r="S211" i="21"/>
  <c r="AG201" i="21"/>
  <c r="C201" i="21"/>
  <c r="D200" i="21"/>
  <c r="C236" i="21" s="1"/>
  <c r="I199" i="21"/>
  <c r="J199" i="21" s="1"/>
  <c r="K199" i="21" s="1"/>
  <c r="L199" i="21" s="1"/>
  <c r="M199" i="21" s="1"/>
  <c r="N199" i="21" s="1"/>
  <c r="O199" i="21" s="1"/>
  <c r="P199" i="21" s="1"/>
  <c r="Q199" i="21" s="1"/>
  <c r="R199" i="21" s="1"/>
  <c r="S199" i="21" s="1"/>
  <c r="T199" i="21" s="1"/>
  <c r="U199" i="21" s="1"/>
  <c r="V199" i="21" s="1"/>
  <c r="W199" i="21" s="1"/>
  <c r="X199" i="21" s="1"/>
  <c r="Y199" i="21" s="1"/>
  <c r="Z199" i="21" s="1"/>
  <c r="AA199" i="21" s="1"/>
  <c r="AB199" i="21" s="1"/>
  <c r="AC199" i="21" s="1"/>
  <c r="AD199" i="21" s="1"/>
  <c r="AE199" i="21" s="1"/>
  <c r="AF199" i="21" s="1"/>
  <c r="B199" i="21" s="1"/>
  <c r="G199" i="21"/>
  <c r="H199" i="21" s="1"/>
  <c r="F199" i="21"/>
  <c r="D199" i="21"/>
  <c r="E199" i="21" s="1"/>
  <c r="G198" i="21"/>
  <c r="H198" i="21" s="1"/>
  <c r="I198" i="21" s="1"/>
  <c r="J198" i="21" s="1"/>
  <c r="K198" i="21" s="1"/>
  <c r="L198" i="21" s="1"/>
  <c r="M198" i="21" s="1"/>
  <c r="N198" i="21" s="1"/>
  <c r="O198" i="21" s="1"/>
  <c r="P198" i="21" s="1"/>
  <c r="Q198" i="21" s="1"/>
  <c r="R198" i="21" s="1"/>
  <c r="S198" i="21" s="1"/>
  <c r="T198" i="21" s="1"/>
  <c r="U198" i="21" s="1"/>
  <c r="V198" i="21" s="1"/>
  <c r="W198" i="21" s="1"/>
  <c r="X198" i="21" s="1"/>
  <c r="Y198" i="21" s="1"/>
  <c r="Z198" i="21" s="1"/>
  <c r="AA198" i="21" s="1"/>
  <c r="AB198" i="21" s="1"/>
  <c r="AC198" i="21" s="1"/>
  <c r="AD198" i="21" s="1"/>
  <c r="AE198" i="21" s="1"/>
  <c r="AF198" i="21" s="1"/>
  <c r="B198" i="21" s="1"/>
  <c r="D198" i="21"/>
  <c r="E198" i="21" s="1"/>
  <c r="F198" i="21" s="1"/>
  <c r="F197" i="21"/>
  <c r="G197" i="21" s="1"/>
  <c r="H197" i="21" s="1"/>
  <c r="I197" i="21" s="1"/>
  <c r="J197" i="21" s="1"/>
  <c r="K197" i="21" s="1"/>
  <c r="L197" i="21" s="1"/>
  <c r="M197" i="21" s="1"/>
  <c r="N197" i="21" s="1"/>
  <c r="O197" i="21" s="1"/>
  <c r="P197" i="21" s="1"/>
  <c r="Q197" i="21" s="1"/>
  <c r="R197" i="21" s="1"/>
  <c r="S197" i="21" s="1"/>
  <c r="T197" i="21" s="1"/>
  <c r="U197" i="21" s="1"/>
  <c r="V197" i="21" s="1"/>
  <c r="W197" i="21" s="1"/>
  <c r="X197" i="21" s="1"/>
  <c r="Y197" i="21" s="1"/>
  <c r="Z197" i="21" s="1"/>
  <c r="AA197" i="21" s="1"/>
  <c r="AB197" i="21" s="1"/>
  <c r="AC197" i="21" s="1"/>
  <c r="AD197" i="21" s="1"/>
  <c r="AE197" i="21" s="1"/>
  <c r="AF197" i="21" s="1"/>
  <c r="B197" i="21" s="1"/>
  <c r="E197" i="21"/>
  <c r="D197" i="21"/>
  <c r="I196" i="21"/>
  <c r="J196" i="21" s="1"/>
  <c r="K196" i="21" s="1"/>
  <c r="L196" i="21" s="1"/>
  <c r="M196" i="21" s="1"/>
  <c r="N196" i="21" s="1"/>
  <c r="O196" i="21" s="1"/>
  <c r="P196" i="21" s="1"/>
  <c r="Q196" i="21" s="1"/>
  <c r="R196" i="21" s="1"/>
  <c r="S196" i="21" s="1"/>
  <c r="T196" i="21" s="1"/>
  <c r="U196" i="21" s="1"/>
  <c r="V196" i="21" s="1"/>
  <c r="W196" i="21" s="1"/>
  <c r="X196" i="21" s="1"/>
  <c r="Y196" i="21" s="1"/>
  <c r="Z196" i="21" s="1"/>
  <c r="AA196" i="21" s="1"/>
  <c r="AB196" i="21" s="1"/>
  <c r="AC196" i="21" s="1"/>
  <c r="AD196" i="21" s="1"/>
  <c r="AE196" i="21" s="1"/>
  <c r="AF196" i="21" s="1"/>
  <c r="B196" i="21" s="1"/>
  <c r="D196" i="21"/>
  <c r="E196" i="21" s="1"/>
  <c r="F196" i="21" s="1"/>
  <c r="G196" i="21" s="1"/>
  <c r="H196" i="21" s="1"/>
  <c r="D195" i="21"/>
  <c r="AG193" i="21"/>
  <c r="C193" i="21"/>
  <c r="D192" i="21"/>
  <c r="E192" i="21" s="1"/>
  <c r="F192" i="21" s="1"/>
  <c r="G192" i="21" s="1"/>
  <c r="H192" i="21" s="1"/>
  <c r="I192" i="21" s="1"/>
  <c r="J192" i="21" s="1"/>
  <c r="K192" i="21" s="1"/>
  <c r="L192" i="21" s="1"/>
  <c r="M192" i="21" s="1"/>
  <c r="N192" i="21" s="1"/>
  <c r="O192" i="21" s="1"/>
  <c r="P192" i="21" s="1"/>
  <c r="Q192" i="21" s="1"/>
  <c r="R192" i="21" s="1"/>
  <c r="S192" i="21" s="1"/>
  <c r="T192" i="21" s="1"/>
  <c r="U192" i="21" s="1"/>
  <c r="V192" i="21" s="1"/>
  <c r="W192" i="21" s="1"/>
  <c r="X192" i="21" s="1"/>
  <c r="Y192" i="21" s="1"/>
  <c r="Z192" i="21" s="1"/>
  <c r="AA192" i="21" s="1"/>
  <c r="AB192" i="21" s="1"/>
  <c r="AC192" i="21" s="1"/>
  <c r="AD192" i="21" s="1"/>
  <c r="AE192" i="21" s="1"/>
  <c r="AF192" i="21" s="1"/>
  <c r="B192" i="21" s="1"/>
  <c r="G191" i="21"/>
  <c r="H191" i="21" s="1"/>
  <c r="I191" i="21" s="1"/>
  <c r="J191" i="21" s="1"/>
  <c r="K191" i="21" s="1"/>
  <c r="L191" i="21" s="1"/>
  <c r="M191" i="21" s="1"/>
  <c r="N191" i="21" s="1"/>
  <c r="O191" i="21" s="1"/>
  <c r="P191" i="21" s="1"/>
  <c r="Q191" i="21" s="1"/>
  <c r="R191" i="21" s="1"/>
  <c r="S191" i="21" s="1"/>
  <c r="T191" i="21" s="1"/>
  <c r="U191" i="21" s="1"/>
  <c r="V191" i="21" s="1"/>
  <c r="W191" i="21" s="1"/>
  <c r="X191" i="21" s="1"/>
  <c r="Y191" i="21" s="1"/>
  <c r="Z191" i="21" s="1"/>
  <c r="AA191" i="21" s="1"/>
  <c r="AB191" i="21" s="1"/>
  <c r="AC191" i="21" s="1"/>
  <c r="AD191" i="21" s="1"/>
  <c r="AE191" i="21" s="1"/>
  <c r="AF191" i="21" s="1"/>
  <c r="B191" i="21" s="1"/>
  <c r="E191" i="21"/>
  <c r="F191" i="21" s="1"/>
  <c r="D191" i="21"/>
  <c r="D190" i="21"/>
  <c r="E190" i="21" s="1"/>
  <c r="F190" i="21" s="1"/>
  <c r="G190" i="21" s="1"/>
  <c r="H190" i="21" s="1"/>
  <c r="I190" i="21" s="1"/>
  <c r="J190" i="21" s="1"/>
  <c r="K190" i="21" s="1"/>
  <c r="L190" i="21" s="1"/>
  <c r="M190" i="21" s="1"/>
  <c r="N190" i="21" s="1"/>
  <c r="O190" i="21" s="1"/>
  <c r="P190" i="21" s="1"/>
  <c r="Q190" i="21" s="1"/>
  <c r="R190" i="21" s="1"/>
  <c r="S190" i="21" s="1"/>
  <c r="T190" i="21" s="1"/>
  <c r="U190" i="21" s="1"/>
  <c r="V190" i="21" s="1"/>
  <c r="W190" i="21" s="1"/>
  <c r="X190" i="21" s="1"/>
  <c r="Y190" i="21" s="1"/>
  <c r="Z190" i="21" s="1"/>
  <c r="AA190" i="21" s="1"/>
  <c r="AB190" i="21" s="1"/>
  <c r="AC190" i="21" s="1"/>
  <c r="AD190" i="21" s="1"/>
  <c r="AE190" i="21" s="1"/>
  <c r="AF190" i="21" s="1"/>
  <c r="B190" i="21" s="1"/>
  <c r="F189" i="21"/>
  <c r="G189" i="21" s="1"/>
  <c r="H189" i="21" s="1"/>
  <c r="I189" i="21" s="1"/>
  <c r="J189" i="21" s="1"/>
  <c r="K189" i="21" s="1"/>
  <c r="L189" i="21" s="1"/>
  <c r="M189" i="21" s="1"/>
  <c r="N189" i="21" s="1"/>
  <c r="O189" i="21" s="1"/>
  <c r="P189" i="21" s="1"/>
  <c r="Q189" i="21" s="1"/>
  <c r="R189" i="21" s="1"/>
  <c r="S189" i="21" s="1"/>
  <c r="T189" i="21" s="1"/>
  <c r="U189" i="21" s="1"/>
  <c r="V189" i="21" s="1"/>
  <c r="W189" i="21" s="1"/>
  <c r="X189" i="21" s="1"/>
  <c r="Y189" i="21" s="1"/>
  <c r="Z189" i="21" s="1"/>
  <c r="AA189" i="21" s="1"/>
  <c r="AB189" i="21" s="1"/>
  <c r="AC189" i="21" s="1"/>
  <c r="AD189" i="21" s="1"/>
  <c r="AE189" i="21" s="1"/>
  <c r="AF189" i="21" s="1"/>
  <c r="B189" i="21" s="1"/>
  <c r="D189" i="21"/>
  <c r="E189" i="21" s="1"/>
  <c r="D188" i="21"/>
  <c r="E188" i="21" s="1"/>
  <c r="F188" i="21" s="1"/>
  <c r="G188" i="21" s="1"/>
  <c r="H188" i="21" s="1"/>
  <c r="I188" i="21" s="1"/>
  <c r="J188" i="21" s="1"/>
  <c r="K188" i="21" s="1"/>
  <c r="L188" i="21" s="1"/>
  <c r="M188" i="21" s="1"/>
  <c r="N188" i="21" s="1"/>
  <c r="O188" i="21" s="1"/>
  <c r="P188" i="21" s="1"/>
  <c r="Q188" i="21" s="1"/>
  <c r="R188" i="21" s="1"/>
  <c r="S188" i="21" s="1"/>
  <c r="T188" i="21" s="1"/>
  <c r="U188" i="21" s="1"/>
  <c r="V188" i="21" s="1"/>
  <c r="W188" i="21" s="1"/>
  <c r="X188" i="21" s="1"/>
  <c r="Y188" i="21" s="1"/>
  <c r="Z188" i="21" s="1"/>
  <c r="AA188" i="21" s="1"/>
  <c r="AB188" i="21" s="1"/>
  <c r="AC188" i="21" s="1"/>
  <c r="AD188" i="21" s="1"/>
  <c r="AE188" i="21" s="1"/>
  <c r="AF188" i="21" s="1"/>
  <c r="B188" i="21" s="1"/>
  <c r="G187" i="21"/>
  <c r="H187" i="21" s="1"/>
  <c r="I187" i="21" s="1"/>
  <c r="J187" i="21" s="1"/>
  <c r="K187" i="21" s="1"/>
  <c r="L187" i="21" s="1"/>
  <c r="M187" i="21" s="1"/>
  <c r="N187" i="21" s="1"/>
  <c r="O187" i="21" s="1"/>
  <c r="P187" i="21" s="1"/>
  <c r="Q187" i="21" s="1"/>
  <c r="R187" i="21" s="1"/>
  <c r="S187" i="21" s="1"/>
  <c r="T187" i="21" s="1"/>
  <c r="U187" i="21" s="1"/>
  <c r="V187" i="21" s="1"/>
  <c r="W187" i="21" s="1"/>
  <c r="X187" i="21" s="1"/>
  <c r="Y187" i="21" s="1"/>
  <c r="Z187" i="21" s="1"/>
  <c r="AA187" i="21" s="1"/>
  <c r="AB187" i="21" s="1"/>
  <c r="AC187" i="21" s="1"/>
  <c r="AD187" i="21" s="1"/>
  <c r="AE187" i="21" s="1"/>
  <c r="AF187" i="21" s="1"/>
  <c r="B187" i="21" s="1"/>
  <c r="F187" i="21"/>
  <c r="E187" i="21"/>
  <c r="D187" i="21"/>
  <c r="AA186" i="21"/>
  <c r="AB186" i="21" s="1"/>
  <c r="AC186" i="21" s="1"/>
  <c r="AD186" i="21" s="1"/>
  <c r="AE186" i="21" s="1"/>
  <c r="AF186" i="21" s="1"/>
  <c r="B186" i="21" s="1"/>
  <c r="F186" i="21"/>
  <c r="G186" i="21" s="1"/>
  <c r="H186" i="21" s="1"/>
  <c r="I186" i="21" s="1"/>
  <c r="J186" i="21" s="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D186" i="21"/>
  <c r="E186" i="21" s="1"/>
  <c r="L185" i="21"/>
  <c r="M185" i="21" s="1"/>
  <c r="N185" i="21" s="1"/>
  <c r="O185" i="21" s="1"/>
  <c r="P185" i="21" s="1"/>
  <c r="Q185" i="21" s="1"/>
  <c r="R185" i="21" s="1"/>
  <c r="S185" i="21" s="1"/>
  <c r="T185" i="21" s="1"/>
  <c r="U185" i="21" s="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B185" i="21" s="1"/>
  <c r="F185" i="21"/>
  <c r="G185" i="21" s="1"/>
  <c r="H185" i="21" s="1"/>
  <c r="I185" i="21" s="1"/>
  <c r="J185" i="21" s="1"/>
  <c r="K185" i="21" s="1"/>
  <c r="D185" i="21"/>
  <c r="E185" i="21" s="1"/>
  <c r="G184" i="2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S184" i="21" s="1"/>
  <c r="T184" i="21" s="1"/>
  <c r="U184" i="21" s="1"/>
  <c r="V184" i="21" s="1"/>
  <c r="W184" i="21" s="1"/>
  <c r="X184" i="21" s="1"/>
  <c r="Y184" i="21" s="1"/>
  <c r="Z184" i="21" s="1"/>
  <c r="AA184" i="21" s="1"/>
  <c r="AB184" i="21" s="1"/>
  <c r="AC184" i="21" s="1"/>
  <c r="AD184" i="21" s="1"/>
  <c r="AE184" i="21" s="1"/>
  <c r="AF184" i="21" s="1"/>
  <c r="B184" i="21" s="1"/>
  <c r="E184" i="21"/>
  <c r="F184" i="21" s="1"/>
  <c r="D184" i="21"/>
  <c r="G183" i="21"/>
  <c r="H183" i="21" s="1"/>
  <c r="I183" i="21" s="1"/>
  <c r="J183" i="21" s="1"/>
  <c r="K183" i="21" s="1"/>
  <c r="L183" i="21" s="1"/>
  <c r="M183" i="21" s="1"/>
  <c r="N183" i="21" s="1"/>
  <c r="O183" i="21" s="1"/>
  <c r="P183" i="21" s="1"/>
  <c r="Q183" i="21" s="1"/>
  <c r="R183" i="21" s="1"/>
  <c r="S183" i="21" s="1"/>
  <c r="T183" i="21" s="1"/>
  <c r="U183" i="21" s="1"/>
  <c r="V183" i="21" s="1"/>
  <c r="W183" i="21" s="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B183" i="21" s="1"/>
  <c r="E183" i="21"/>
  <c r="F183" i="21" s="1"/>
  <c r="D183" i="21"/>
  <c r="E182" i="21"/>
  <c r="F182" i="21" s="1"/>
  <c r="G182" i="21" s="1"/>
  <c r="H182" i="21" s="1"/>
  <c r="I182" i="21" s="1"/>
  <c r="J182" i="21" s="1"/>
  <c r="K182" i="21" s="1"/>
  <c r="L182" i="21" s="1"/>
  <c r="M182" i="21" s="1"/>
  <c r="N182" i="21" s="1"/>
  <c r="O182" i="21" s="1"/>
  <c r="P182" i="21" s="1"/>
  <c r="Q182" i="21" s="1"/>
  <c r="R182" i="21" s="1"/>
  <c r="S182" i="21" s="1"/>
  <c r="T182" i="21" s="1"/>
  <c r="U182" i="21" s="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B182" i="21" s="1"/>
  <c r="D182" i="21"/>
  <c r="AA181" i="21"/>
  <c r="AB181" i="21" s="1"/>
  <c r="AC181" i="21" s="1"/>
  <c r="AD181" i="21" s="1"/>
  <c r="AE181" i="21" s="1"/>
  <c r="AF181" i="21" s="1"/>
  <c r="B181" i="21" s="1"/>
  <c r="M181" i="2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L181" i="21"/>
  <c r="I181" i="21"/>
  <c r="J181" i="21" s="1"/>
  <c r="K181" i="21" s="1"/>
  <c r="D181" i="21"/>
  <c r="E181" i="21" s="1"/>
  <c r="F181" i="21" s="1"/>
  <c r="G181" i="21" s="1"/>
  <c r="H181" i="21" s="1"/>
  <c r="E180" i="21"/>
  <c r="F180" i="21" s="1"/>
  <c r="G180" i="21" s="1"/>
  <c r="H180" i="21" s="1"/>
  <c r="I180" i="21" s="1"/>
  <c r="J180" i="21" s="1"/>
  <c r="K180" i="21" s="1"/>
  <c r="L180" i="21" s="1"/>
  <c r="M180" i="21" s="1"/>
  <c r="N180" i="21" s="1"/>
  <c r="O180" i="21" s="1"/>
  <c r="P180" i="21" s="1"/>
  <c r="Q180" i="21" s="1"/>
  <c r="R180" i="21" s="1"/>
  <c r="S180" i="21" s="1"/>
  <c r="T180" i="21" s="1"/>
  <c r="U180" i="21" s="1"/>
  <c r="V180" i="21" s="1"/>
  <c r="W180" i="21" s="1"/>
  <c r="X180" i="21" s="1"/>
  <c r="Y180" i="21" s="1"/>
  <c r="Z180" i="21" s="1"/>
  <c r="AA180" i="21" s="1"/>
  <c r="AB180" i="21" s="1"/>
  <c r="AC180" i="21" s="1"/>
  <c r="AD180" i="21" s="1"/>
  <c r="AE180" i="21" s="1"/>
  <c r="AF180" i="21" s="1"/>
  <c r="B180" i="21" s="1"/>
  <c r="D180" i="21"/>
  <c r="M178" i="21"/>
  <c r="N178" i="21" s="1"/>
  <c r="O178" i="21" s="1"/>
  <c r="P178" i="21" s="1"/>
  <c r="Q178" i="21" s="1"/>
  <c r="R178" i="21" s="1"/>
  <c r="S178" i="21" s="1"/>
  <c r="T178" i="21" s="1"/>
  <c r="U178" i="21" s="1"/>
  <c r="V178" i="21" s="1"/>
  <c r="W178" i="21" s="1"/>
  <c r="X178" i="21" s="1"/>
  <c r="Y178" i="21" s="1"/>
  <c r="Z178" i="21" s="1"/>
  <c r="AA178" i="21" s="1"/>
  <c r="AB178" i="21" s="1"/>
  <c r="AC178" i="21" s="1"/>
  <c r="AD178" i="21" s="1"/>
  <c r="AE178" i="21" s="1"/>
  <c r="AF178" i="21" s="1"/>
  <c r="B178" i="21" s="1"/>
  <c r="D178" i="21"/>
  <c r="E178" i="21" s="1"/>
  <c r="F178" i="21" s="1"/>
  <c r="G178" i="21" s="1"/>
  <c r="H178" i="21" s="1"/>
  <c r="I178" i="21" s="1"/>
  <c r="J178" i="21" s="1"/>
  <c r="K178" i="21" s="1"/>
  <c r="L178" i="21" s="1"/>
  <c r="J177" i="21"/>
  <c r="K177" i="21" s="1"/>
  <c r="L177" i="21" s="1"/>
  <c r="M177" i="21" s="1"/>
  <c r="N177" i="21" s="1"/>
  <c r="O177" i="21" s="1"/>
  <c r="P177" i="21" s="1"/>
  <c r="Q177" i="21" s="1"/>
  <c r="R177" i="21" s="1"/>
  <c r="S177" i="21" s="1"/>
  <c r="T177" i="21" s="1"/>
  <c r="U177" i="21" s="1"/>
  <c r="V177" i="21" s="1"/>
  <c r="W177" i="21" s="1"/>
  <c r="X177" i="21" s="1"/>
  <c r="Y177" i="21" s="1"/>
  <c r="Z177" i="21" s="1"/>
  <c r="AA177" i="21" s="1"/>
  <c r="AB177" i="21" s="1"/>
  <c r="AC177" i="21" s="1"/>
  <c r="AD177" i="21" s="1"/>
  <c r="AE177" i="21" s="1"/>
  <c r="AF177" i="21" s="1"/>
  <c r="B177" i="21" s="1"/>
  <c r="I177" i="21"/>
  <c r="D177" i="21"/>
  <c r="E177" i="21" s="1"/>
  <c r="F177" i="21" s="1"/>
  <c r="G177" i="21" s="1"/>
  <c r="H177" i="21" s="1"/>
  <c r="V176" i="2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B176" i="21" s="1"/>
  <c r="I176" i="21"/>
  <c r="J176" i="21" s="1"/>
  <c r="K176" i="21" s="1"/>
  <c r="L176" i="21" s="1"/>
  <c r="M176" i="21" s="1"/>
  <c r="N176" i="21" s="1"/>
  <c r="O176" i="21" s="1"/>
  <c r="P176" i="21" s="1"/>
  <c r="Q176" i="21" s="1"/>
  <c r="R176" i="21" s="1"/>
  <c r="S176" i="21" s="1"/>
  <c r="T176" i="21" s="1"/>
  <c r="U176" i="21" s="1"/>
  <c r="H176" i="21"/>
  <c r="D176" i="21"/>
  <c r="E176" i="21" s="1"/>
  <c r="F176" i="21" s="1"/>
  <c r="G176" i="21" s="1"/>
  <c r="D175" i="21"/>
  <c r="E175" i="21" s="1"/>
  <c r="F175" i="21" s="1"/>
  <c r="G175" i="21" s="1"/>
  <c r="H175" i="21" s="1"/>
  <c r="I175" i="21" s="1"/>
  <c r="J175" i="21" s="1"/>
  <c r="K175" i="21" s="1"/>
  <c r="L175" i="21" s="1"/>
  <c r="M175" i="21" s="1"/>
  <c r="N175" i="21" s="1"/>
  <c r="O175" i="21" s="1"/>
  <c r="P175" i="21" s="1"/>
  <c r="Q175" i="21" s="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AC175" i="21" s="1"/>
  <c r="AD175" i="21" s="1"/>
  <c r="AE175" i="21" s="1"/>
  <c r="AF175" i="21" s="1"/>
  <c r="B175" i="21" s="1"/>
  <c r="R174" i="2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B174" i="21" s="1"/>
  <c r="E174" i="21"/>
  <c r="F174" i="21" s="1"/>
  <c r="G174" i="21" s="1"/>
  <c r="H174" i="21" s="1"/>
  <c r="I174" i="21" s="1"/>
  <c r="J174" i="21" s="1"/>
  <c r="K174" i="21" s="1"/>
  <c r="L174" i="21" s="1"/>
  <c r="M174" i="21" s="1"/>
  <c r="N174" i="21" s="1"/>
  <c r="O174" i="21" s="1"/>
  <c r="P174" i="21" s="1"/>
  <c r="Q174" i="21" s="1"/>
  <c r="D174" i="21"/>
  <c r="S173" i="21"/>
  <c r="T173" i="21" s="1"/>
  <c r="U173" i="21" s="1"/>
  <c r="V173" i="21" s="1"/>
  <c r="W173" i="21" s="1"/>
  <c r="X173" i="21" s="1"/>
  <c r="Y173" i="21" s="1"/>
  <c r="Z173" i="21" s="1"/>
  <c r="AA173" i="21" s="1"/>
  <c r="AB173" i="21" s="1"/>
  <c r="AC173" i="21" s="1"/>
  <c r="AD173" i="21" s="1"/>
  <c r="AE173" i="21" s="1"/>
  <c r="AF173" i="21" s="1"/>
  <c r="B173" i="21" s="1"/>
  <c r="H173" i="21"/>
  <c r="I173" i="21" s="1"/>
  <c r="J173" i="21" s="1"/>
  <c r="K173" i="21" s="1"/>
  <c r="L173" i="21" s="1"/>
  <c r="M173" i="21" s="1"/>
  <c r="N173" i="21" s="1"/>
  <c r="O173" i="21" s="1"/>
  <c r="P173" i="21" s="1"/>
  <c r="Q173" i="21" s="1"/>
  <c r="R173" i="21" s="1"/>
  <c r="G173" i="21"/>
  <c r="F173" i="21"/>
  <c r="D173" i="21"/>
  <c r="E173" i="21" s="1"/>
  <c r="D172" i="21"/>
  <c r="E172" i="21" s="1"/>
  <c r="F172" i="21" s="1"/>
  <c r="G172" i="21" s="1"/>
  <c r="H172" i="21" s="1"/>
  <c r="I172" i="21" s="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W172" i="21" s="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B172" i="21" s="1"/>
  <c r="D171" i="21"/>
  <c r="E171" i="21" s="1"/>
  <c r="F171" i="21" s="1"/>
  <c r="G171" i="21" s="1"/>
  <c r="H171" i="21" s="1"/>
  <c r="I171" i="21" s="1"/>
  <c r="J171" i="21" s="1"/>
  <c r="K171" i="21" s="1"/>
  <c r="L171" i="21" s="1"/>
  <c r="M171" i="21" s="1"/>
  <c r="N171" i="21" s="1"/>
  <c r="O171" i="21" s="1"/>
  <c r="P171" i="21" s="1"/>
  <c r="Q171" i="21" s="1"/>
  <c r="R171" i="21" s="1"/>
  <c r="S171" i="21" s="1"/>
  <c r="T171" i="21" s="1"/>
  <c r="U171" i="21" s="1"/>
  <c r="V171" i="21" s="1"/>
  <c r="W171" i="21" s="1"/>
  <c r="X171" i="21" s="1"/>
  <c r="Y171" i="21" s="1"/>
  <c r="Z171" i="21" s="1"/>
  <c r="AA171" i="21" s="1"/>
  <c r="AB171" i="21" s="1"/>
  <c r="AC171" i="21" s="1"/>
  <c r="AD171" i="21" s="1"/>
  <c r="AE171" i="21" s="1"/>
  <c r="AF171" i="21" s="1"/>
  <c r="B171" i="21" s="1"/>
  <c r="D169" i="21"/>
  <c r="E169" i="21" s="1"/>
  <c r="F169" i="21" s="1"/>
  <c r="G169" i="21" s="1"/>
  <c r="H169" i="21" s="1"/>
  <c r="I169" i="21" s="1"/>
  <c r="J169" i="21" s="1"/>
  <c r="K169" i="21" s="1"/>
  <c r="L169" i="21" s="1"/>
  <c r="M169" i="21" s="1"/>
  <c r="N169" i="21" s="1"/>
  <c r="O169" i="21" s="1"/>
  <c r="P169" i="21" s="1"/>
  <c r="Q169" i="21" s="1"/>
  <c r="R169" i="21" s="1"/>
  <c r="S169" i="21" s="1"/>
  <c r="T169" i="21" s="1"/>
  <c r="U169" i="21" s="1"/>
  <c r="V169" i="21" s="1"/>
  <c r="W169" i="21" s="1"/>
  <c r="X169" i="21" s="1"/>
  <c r="Y169" i="21" s="1"/>
  <c r="Z169" i="21" s="1"/>
  <c r="AA169" i="21" s="1"/>
  <c r="AB169" i="21" s="1"/>
  <c r="AC169" i="21" s="1"/>
  <c r="AD169" i="21" s="1"/>
  <c r="AE169" i="21" s="1"/>
  <c r="AF169" i="21" s="1"/>
  <c r="B169" i="21" s="1"/>
  <c r="D168" i="21"/>
  <c r="E168" i="21" s="1"/>
  <c r="F168" i="21" s="1"/>
  <c r="G168" i="21" s="1"/>
  <c r="H168" i="21" s="1"/>
  <c r="I168" i="21" s="1"/>
  <c r="J168" i="21" s="1"/>
  <c r="K168" i="21" s="1"/>
  <c r="L168" i="21" s="1"/>
  <c r="M168" i="21" s="1"/>
  <c r="N168" i="21" s="1"/>
  <c r="O168" i="21" s="1"/>
  <c r="P168" i="21" s="1"/>
  <c r="Q168" i="21" s="1"/>
  <c r="R168" i="21" s="1"/>
  <c r="S168" i="21" s="1"/>
  <c r="T168" i="21" s="1"/>
  <c r="U168" i="21" s="1"/>
  <c r="V168" i="21" s="1"/>
  <c r="W168" i="21" s="1"/>
  <c r="X168" i="21" s="1"/>
  <c r="Y168" i="21" s="1"/>
  <c r="Z168" i="21" s="1"/>
  <c r="AA168" i="21" s="1"/>
  <c r="AB168" i="21" s="1"/>
  <c r="AC168" i="21" s="1"/>
  <c r="AD168" i="21" s="1"/>
  <c r="AE168" i="21" s="1"/>
  <c r="AF168" i="21" s="1"/>
  <c r="B168" i="21" s="1"/>
  <c r="J167" i="2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AC167" i="21" s="1"/>
  <c r="AD167" i="21" s="1"/>
  <c r="AE167" i="21" s="1"/>
  <c r="AF167" i="21" s="1"/>
  <c r="B167" i="21" s="1"/>
  <c r="F167" i="21"/>
  <c r="G167" i="21" s="1"/>
  <c r="H167" i="21" s="1"/>
  <c r="I167" i="21" s="1"/>
  <c r="D167" i="21"/>
  <c r="E167" i="21" s="1"/>
  <c r="N166" i="2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B166" i="21" s="1"/>
  <c r="D166" i="21"/>
  <c r="E166" i="21" s="1"/>
  <c r="F166" i="21" s="1"/>
  <c r="G166" i="21" s="1"/>
  <c r="H166" i="21" s="1"/>
  <c r="I166" i="21" s="1"/>
  <c r="J166" i="21" s="1"/>
  <c r="K166" i="21" s="1"/>
  <c r="L166" i="21" s="1"/>
  <c r="M166" i="21" s="1"/>
  <c r="AD165" i="21"/>
  <c r="AE165" i="21" s="1"/>
  <c r="AF165" i="21" s="1"/>
  <c r="B165" i="21" s="1"/>
  <c r="E165" i="21"/>
  <c r="F165" i="21" s="1"/>
  <c r="G165" i="21" s="1"/>
  <c r="H165" i="21" s="1"/>
  <c r="I165" i="21" s="1"/>
  <c r="J165" i="21" s="1"/>
  <c r="K165" i="21" s="1"/>
  <c r="L165" i="21" s="1"/>
  <c r="M165" i="21" s="1"/>
  <c r="N165" i="21" s="1"/>
  <c r="O165" i="21" s="1"/>
  <c r="P165" i="21" s="1"/>
  <c r="Q165" i="21" s="1"/>
  <c r="R165" i="21" s="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D165" i="21"/>
  <c r="F164" i="21"/>
  <c r="G164" i="21" s="1"/>
  <c r="H164" i="21" s="1"/>
  <c r="I164" i="21" s="1"/>
  <c r="J164" i="21" s="1"/>
  <c r="K164" i="21" s="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B164" i="21" s="1"/>
  <c r="D164" i="21"/>
  <c r="E164" i="21" s="1"/>
  <c r="F163" i="21"/>
  <c r="G163" i="21" s="1"/>
  <c r="H163" i="21" s="1"/>
  <c r="I163" i="21" s="1"/>
  <c r="J163" i="21" s="1"/>
  <c r="K163" i="21" s="1"/>
  <c r="L163" i="21" s="1"/>
  <c r="M163" i="21" s="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B163" i="21" s="1"/>
  <c r="E163" i="21"/>
  <c r="D163" i="21"/>
  <c r="D162" i="21"/>
  <c r="E162" i="21" s="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B162" i="21" s="1"/>
  <c r="K161" i="2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B161" i="21" s="1"/>
  <c r="D161" i="21"/>
  <c r="E161" i="21" s="1"/>
  <c r="F161" i="21" s="1"/>
  <c r="G161" i="21" s="1"/>
  <c r="H161" i="21" s="1"/>
  <c r="I161" i="21" s="1"/>
  <c r="J161" i="21" s="1"/>
  <c r="D160" i="21"/>
  <c r="E160" i="21" s="1"/>
  <c r="F160" i="21" s="1"/>
  <c r="G160" i="21" s="1"/>
  <c r="H160" i="21" s="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B160" i="21" s="1"/>
  <c r="D159" i="21"/>
  <c r="E159" i="21" s="1"/>
  <c r="F159" i="21" s="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B159" i="21" s="1"/>
  <c r="K158" i="21"/>
  <c r="L158" i="21" s="1"/>
  <c r="M158" i="21" s="1"/>
  <c r="N158" i="21" s="1"/>
  <c r="O158" i="21" s="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AF158" i="21" s="1"/>
  <c r="B158" i="21" s="1"/>
  <c r="E158" i="21"/>
  <c r="F158" i="21" s="1"/>
  <c r="G158" i="21" s="1"/>
  <c r="H158" i="21" s="1"/>
  <c r="I158" i="21" s="1"/>
  <c r="J158" i="21" s="1"/>
  <c r="D158" i="21"/>
  <c r="E157" i="2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B157" i="21" s="1"/>
  <c r="D157" i="21"/>
  <c r="G155" i="21"/>
  <c r="H155" i="21" s="1"/>
  <c r="I155" i="21" s="1"/>
  <c r="J155" i="21" s="1"/>
  <c r="K155" i="21" s="1"/>
  <c r="L155" i="21" s="1"/>
  <c r="M155" i="21" s="1"/>
  <c r="N155" i="21" s="1"/>
  <c r="O155" i="21" s="1"/>
  <c r="P155" i="21" s="1"/>
  <c r="Q155" i="21" s="1"/>
  <c r="R155" i="21" s="1"/>
  <c r="S155" i="21" s="1"/>
  <c r="T155" i="21" s="1"/>
  <c r="U155" i="21" s="1"/>
  <c r="V155" i="21" s="1"/>
  <c r="W155" i="21" s="1"/>
  <c r="X155" i="21" s="1"/>
  <c r="Y155" i="21" s="1"/>
  <c r="Z155" i="21" s="1"/>
  <c r="AA155" i="21" s="1"/>
  <c r="AB155" i="21" s="1"/>
  <c r="AC155" i="21" s="1"/>
  <c r="AD155" i="21" s="1"/>
  <c r="AE155" i="21" s="1"/>
  <c r="AF155" i="21" s="1"/>
  <c r="B155" i="21" s="1"/>
  <c r="F155" i="21"/>
  <c r="D155" i="21"/>
  <c r="E155" i="21" s="1"/>
  <c r="D154" i="21"/>
  <c r="E154" i="21" s="1"/>
  <c r="F154" i="21" s="1"/>
  <c r="G154" i="21" s="1"/>
  <c r="H154" i="21" s="1"/>
  <c r="I154" i="21" s="1"/>
  <c r="J154" i="21" s="1"/>
  <c r="K154" i="21" s="1"/>
  <c r="L154" i="21" s="1"/>
  <c r="M154" i="21" s="1"/>
  <c r="N154" i="21" s="1"/>
  <c r="O154" i="21" s="1"/>
  <c r="P154" i="21" s="1"/>
  <c r="Q154" i="21" s="1"/>
  <c r="R154" i="21" s="1"/>
  <c r="S154" i="21" s="1"/>
  <c r="T154" i="21" s="1"/>
  <c r="U154" i="21" s="1"/>
  <c r="V154" i="21" s="1"/>
  <c r="W154" i="21" s="1"/>
  <c r="X154" i="21" s="1"/>
  <c r="Y154" i="21" s="1"/>
  <c r="Z154" i="21" s="1"/>
  <c r="AA154" i="21" s="1"/>
  <c r="AB154" i="21" s="1"/>
  <c r="AC154" i="21" s="1"/>
  <c r="AD154" i="21" s="1"/>
  <c r="AE154" i="21" s="1"/>
  <c r="AF154" i="21" s="1"/>
  <c r="B154" i="21" s="1"/>
  <c r="E153" i="21"/>
  <c r="F153" i="21" s="1"/>
  <c r="G153" i="21" s="1"/>
  <c r="H153" i="21" s="1"/>
  <c r="I153" i="21" s="1"/>
  <c r="J153" i="21" s="1"/>
  <c r="K153" i="21" s="1"/>
  <c r="L153" i="21" s="1"/>
  <c r="M153" i="21" s="1"/>
  <c r="N153" i="21" s="1"/>
  <c r="O153" i="21" s="1"/>
  <c r="P153" i="21" s="1"/>
  <c r="Q153" i="21" s="1"/>
  <c r="R153" i="21" s="1"/>
  <c r="S153" i="21" s="1"/>
  <c r="T153" i="21" s="1"/>
  <c r="U153" i="21" s="1"/>
  <c r="V153" i="21" s="1"/>
  <c r="W153" i="21" s="1"/>
  <c r="X153" i="21" s="1"/>
  <c r="Y153" i="21" s="1"/>
  <c r="Z153" i="21" s="1"/>
  <c r="AA153" i="21" s="1"/>
  <c r="AB153" i="21" s="1"/>
  <c r="AC153" i="21" s="1"/>
  <c r="AD153" i="21" s="1"/>
  <c r="AE153" i="21" s="1"/>
  <c r="AF153" i="21" s="1"/>
  <c r="B153" i="21" s="1"/>
  <c r="D153" i="21"/>
  <c r="X152" i="21"/>
  <c r="Y152" i="21" s="1"/>
  <c r="Z152" i="21" s="1"/>
  <c r="AA152" i="21" s="1"/>
  <c r="AB152" i="21" s="1"/>
  <c r="AC152" i="21" s="1"/>
  <c r="AD152" i="21" s="1"/>
  <c r="AE152" i="21" s="1"/>
  <c r="AF152" i="21" s="1"/>
  <c r="B152" i="21" s="1"/>
  <c r="H152" i="21"/>
  <c r="I152" i="21" s="1"/>
  <c r="J152" i="21" s="1"/>
  <c r="K152" i="21" s="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E152" i="21"/>
  <c r="F152" i="21" s="1"/>
  <c r="G152" i="21" s="1"/>
  <c r="D152" i="21"/>
  <c r="E150" i="21"/>
  <c r="F150" i="21" s="1"/>
  <c r="G150" i="21" s="1"/>
  <c r="H150" i="21" s="1"/>
  <c r="I150" i="21" s="1"/>
  <c r="J150" i="21" s="1"/>
  <c r="K150" i="21" s="1"/>
  <c r="L150" i="21" s="1"/>
  <c r="M150" i="21" s="1"/>
  <c r="N150" i="21" s="1"/>
  <c r="O150" i="21" s="1"/>
  <c r="P150" i="21" s="1"/>
  <c r="Q150" i="21" s="1"/>
  <c r="R150" i="21" s="1"/>
  <c r="S150" i="21" s="1"/>
  <c r="T150" i="21" s="1"/>
  <c r="U150" i="21" s="1"/>
  <c r="V150" i="21" s="1"/>
  <c r="W150" i="21" s="1"/>
  <c r="X150" i="21" s="1"/>
  <c r="Y150" i="21" s="1"/>
  <c r="Z150" i="21" s="1"/>
  <c r="AA150" i="21" s="1"/>
  <c r="AB150" i="21" s="1"/>
  <c r="AC150" i="21" s="1"/>
  <c r="AD150" i="21" s="1"/>
  <c r="AE150" i="21" s="1"/>
  <c r="AF150" i="21" s="1"/>
  <c r="B150" i="21" s="1"/>
  <c r="D150" i="21"/>
  <c r="D149" i="21"/>
  <c r="E149" i="21" s="1"/>
  <c r="F149" i="21" s="1"/>
  <c r="G149" i="21" s="1"/>
  <c r="H149" i="21" s="1"/>
  <c r="I149" i="21" s="1"/>
  <c r="J149" i="21" s="1"/>
  <c r="K149" i="21" s="1"/>
  <c r="L149" i="21" s="1"/>
  <c r="M149" i="21" s="1"/>
  <c r="N149" i="21" s="1"/>
  <c r="O149" i="21" s="1"/>
  <c r="P149" i="21" s="1"/>
  <c r="Q149" i="21" s="1"/>
  <c r="R149" i="21" s="1"/>
  <c r="S149" i="21" s="1"/>
  <c r="T149" i="21" s="1"/>
  <c r="U149" i="21" s="1"/>
  <c r="V149" i="21" s="1"/>
  <c r="W149" i="21" s="1"/>
  <c r="X149" i="21" s="1"/>
  <c r="Y149" i="21" s="1"/>
  <c r="Z149" i="21" s="1"/>
  <c r="AA149" i="21" s="1"/>
  <c r="AB149" i="21" s="1"/>
  <c r="AC149" i="21" s="1"/>
  <c r="AD149" i="21" s="1"/>
  <c r="AE149" i="21" s="1"/>
  <c r="AF149" i="21" s="1"/>
  <c r="B149" i="21" s="1"/>
  <c r="M147" i="21"/>
  <c r="N147" i="21" s="1"/>
  <c r="O147" i="21" s="1"/>
  <c r="P147" i="21" s="1"/>
  <c r="Q147" i="21" s="1"/>
  <c r="R147" i="21" s="1"/>
  <c r="S147" i="21" s="1"/>
  <c r="T147" i="21" s="1"/>
  <c r="U147" i="21" s="1"/>
  <c r="V147" i="21" s="1"/>
  <c r="W147" i="21" s="1"/>
  <c r="X147" i="21" s="1"/>
  <c r="Y147" i="21" s="1"/>
  <c r="Z147" i="21" s="1"/>
  <c r="AA147" i="21" s="1"/>
  <c r="AB147" i="21" s="1"/>
  <c r="AC147" i="21" s="1"/>
  <c r="AD147" i="21" s="1"/>
  <c r="AE147" i="21" s="1"/>
  <c r="AF147" i="21" s="1"/>
  <c r="B147" i="21" s="1"/>
  <c r="E147" i="21"/>
  <c r="F147" i="21" s="1"/>
  <c r="G147" i="21" s="1"/>
  <c r="H147" i="21" s="1"/>
  <c r="I147" i="21" s="1"/>
  <c r="J147" i="21" s="1"/>
  <c r="K147" i="21" s="1"/>
  <c r="L147" i="21" s="1"/>
  <c r="D147" i="21"/>
  <c r="M146" i="21"/>
  <c r="N146" i="21" s="1"/>
  <c r="O146" i="21" s="1"/>
  <c r="P146" i="21" s="1"/>
  <c r="Q146" i="21" s="1"/>
  <c r="R146" i="21" s="1"/>
  <c r="S146" i="21" s="1"/>
  <c r="T146" i="21" s="1"/>
  <c r="U146" i="21" s="1"/>
  <c r="V146" i="21" s="1"/>
  <c r="W146" i="21" s="1"/>
  <c r="X146" i="21" s="1"/>
  <c r="Y146" i="21" s="1"/>
  <c r="Z146" i="21" s="1"/>
  <c r="AA146" i="21" s="1"/>
  <c r="AB146" i="21" s="1"/>
  <c r="AC146" i="21" s="1"/>
  <c r="AD146" i="21" s="1"/>
  <c r="AE146" i="21" s="1"/>
  <c r="AF146" i="21" s="1"/>
  <c r="B146" i="21" s="1"/>
  <c r="E146" i="21"/>
  <c r="F146" i="21" s="1"/>
  <c r="G146" i="21" s="1"/>
  <c r="H146" i="21" s="1"/>
  <c r="I146" i="21" s="1"/>
  <c r="J146" i="21" s="1"/>
  <c r="K146" i="21" s="1"/>
  <c r="L146" i="21" s="1"/>
  <c r="D146" i="21"/>
  <c r="L145" i="21"/>
  <c r="M145" i="21" s="1"/>
  <c r="N145" i="21" s="1"/>
  <c r="O145" i="21" s="1"/>
  <c r="P145" i="21" s="1"/>
  <c r="Q145" i="21" s="1"/>
  <c r="R145" i="21" s="1"/>
  <c r="S145" i="21" s="1"/>
  <c r="T145" i="21" s="1"/>
  <c r="U145" i="21" s="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B145" i="21" s="1"/>
  <c r="G145" i="21"/>
  <c r="H145" i="21" s="1"/>
  <c r="I145" i="21" s="1"/>
  <c r="J145" i="21" s="1"/>
  <c r="K145" i="21" s="1"/>
  <c r="D145" i="21"/>
  <c r="E145" i="21" s="1"/>
  <c r="F145" i="21" s="1"/>
  <c r="E144" i="21"/>
  <c r="F144" i="21" s="1"/>
  <c r="G144" i="21" s="1"/>
  <c r="H144" i="21" s="1"/>
  <c r="I144" i="21" s="1"/>
  <c r="J144" i="21" s="1"/>
  <c r="K144" i="21" s="1"/>
  <c r="L144" i="21" s="1"/>
  <c r="M144" i="21" s="1"/>
  <c r="N144" i="21" s="1"/>
  <c r="O144" i="21" s="1"/>
  <c r="P144" i="21" s="1"/>
  <c r="Q144" i="21" s="1"/>
  <c r="R144" i="21" s="1"/>
  <c r="S144" i="21" s="1"/>
  <c r="T144" i="21" s="1"/>
  <c r="U144" i="21" s="1"/>
  <c r="V144" i="21" s="1"/>
  <c r="W144" i="21" s="1"/>
  <c r="X144" i="21" s="1"/>
  <c r="Y144" i="21" s="1"/>
  <c r="Z144" i="21" s="1"/>
  <c r="AA144" i="21" s="1"/>
  <c r="AB144" i="21" s="1"/>
  <c r="AC144" i="21" s="1"/>
  <c r="AD144" i="21" s="1"/>
  <c r="AE144" i="21" s="1"/>
  <c r="AF144" i="21" s="1"/>
  <c r="B144" i="21" s="1"/>
  <c r="D144" i="21"/>
  <c r="AA143" i="21"/>
  <c r="AB143" i="21" s="1"/>
  <c r="AC143" i="21" s="1"/>
  <c r="AD143" i="21" s="1"/>
  <c r="AE143" i="21" s="1"/>
  <c r="AF143" i="21" s="1"/>
  <c r="B143" i="21" s="1"/>
  <c r="F143" i="21"/>
  <c r="G143" i="21" s="1"/>
  <c r="H143" i="21" s="1"/>
  <c r="I143" i="21" s="1"/>
  <c r="J143" i="21" s="1"/>
  <c r="K143" i="21" s="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E143" i="21"/>
  <c r="D143" i="21"/>
  <c r="E142" i="21"/>
  <c r="F142" i="21" s="1"/>
  <c r="G142" i="21" s="1"/>
  <c r="H142" i="21" s="1"/>
  <c r="I142" i="21" s="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Y142" i="21" s="1"/>
  <c r="Z142" i="21" s="1"/>
  <c r="AA142" i="21" s="1"/>
  <c r="AB142" i="21" s="1"/>
  <c r="AC142" i="21" s="1"/>
  <c r="AD142" i="21" s="1"/>
  <c r="AE142" i="21" s="1"/>
  <c r="AF142" i="21" s="1"/>
  <c r="B142" i="21" s="1"/>
  <c r="D142" i="21"/>
  <c r="D141" i="21"/>
  <c r="E141" i="21" s="1"/>
  <c r="F141" i="21" s="1"/>
  <c r="G141" i="21" s="1"/>
  <c r="H141" i="21" s="1"/>
  <c r="I141" i="21" s="1"/>
  <c r="J141" i="21" s="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B141" i="21" s="1"/>
  <c r="J139" i="21"/>
  <c r="K139" i="21" s="1"/>
  <c r="L139" i="21" s="1"/>
  <c r="M139" i="21" s="1"/>
  <c r="N139" i="21" s="1"/>
  <c r="O139" i="21" s="1"/>
  <c r="P139" i="21" s="1"/>
  <c r="Q139" i="21" s="1"/>
  <c r="R139" i="21" s="1"/>
  <c r="S139" i="21" s="1"/>
  <c r="T139" i="21" s="1"/>
  <c r="U139" i="21" s="1"/>
  <c r="V139" i="21" s="1"/>
  <c r="W139" i="21" s="1"/>
  <c r="X139" i="21" s="1"/>
  <c r="Y139" i="21" s="1"/>
  <c r="Z139" i="21" s="1"/>
  <c r="AA139" i="21" s="1"/>
  <c r="AB139" i="21" s="1"/>
  <c r="AC139" i="21" s="1"/>
  <c r="AD139" i="21" s="1"/>
  <c r="AE139" i="21" s="1"/>
  <c r="AF139" i="21" s="1"/>
  <c r="B139" i="21" s="1"/>
  <c r="E139" i="21"/>
  <c r="F139" i="21" s="1"/>
  <c r="G139" i="21" s="1"/>
  <c r="H139" i="21" s="1"/>
  <c r="I139" i="21" s="1"/>
  <c r="D139" i="21"/>
  <c r="U138" i="21"/>
  <c r="V138" i="21" s="1"/>
  <c r="W138" i="21" s="1"/>
  <c r="X138" i="21" s="1"/>
  <c r="Y138" i="21" s="1"/>
  <c r="Z138" i="21" s="1"/>
  <c r="AA138" i="21" s="1"/>
  <c r="AB138" i="21" s="1"/>
  <c r="AC138" i="21" s="1"/>
  <c r="AD138" i="21" s="1"/>
  <c r="AE138" i="21" s="1"/>
  <c r="AF138" i="21" s="1"/>
  <c r="B138" i="21" s="1"/>
  <c r="E138" i="21"/>
  <c r="F138" i="21" s="1"/>
  <c r="G138" i="21" s="1"/>
  <c r="H138" i="21" s="1"/>
  <c r="I138" i="21" s="1"/>
  <c r="J138" i="21" s="1"/>
  <c r="K138" i="21" s="1"/>
  <c r="L138" i="21" s="1"/>
  <c r="M138" i="21" s="1"/>
  <c r="N138" i="21" s="1"/>
  <c r="O138" i="21" s="1"/>
  <c r="P138" i="21" s="1"/>
  <c r="Q138" i="21" s="1"/>
  <c r="R138" i="21" s="1"/>
  <c r="S138" i="21" s="1"/>
  <c r="T138" i="21" s="1"/>
  <c r="D138" i="21"/>
  <c r="I137" i="2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B137" i="21" s="1"/>
  <c r="D137" i="21"/>
  <c r="E137" i="21" s="1"/>
  <c r="F137" i="21" s="1"/>
  <c r="G137" i="21" s="1"/>
  <c r="H137" i="21" s="1"/>
  <c r="AE136" i="21"/>
  <c r="AF136" i="21" s="1"/>
  <c r="B136" i="21" s="1"/>
  <c r="I136" i="21"/>
  <c r="J136" i="21" s="1"/>
  <c r="K136" i="21" s="1"/>
  <c r="L136" i="21" s="1"/>
  <c r="M136" i="21" s="1"/>
  <c r="N136" i="21" s="1"/>
  <c r="O136" i="21" s="1"/>
  <c r="P136" i="21" s="1"/>
  <c r="Q136" i="21" s="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E136" i="21"/>
  <c r="F136" i="21" s="1"/>
  <c r="G136" i="21" s="1"/>
  <c r="H136" i="21" s="1"/>
  <c r="D136" i="21"/>
  <c r="W135" i="2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B135" i="21" s="1"/>
  <c r="G135" i="2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E135" i="21"/>
  <c r="F135" i="21" s="1"/>
  <c r="D135" i="21"/>
  <c r="N134" i="2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B134" i="21" s="1"/>
  <c r="E134" i="21"/>
  <c r="F134" i="21" s="1"/>
  <c r="G134" i="21" s="1"/>
  <c r="H134" i="21" s="1"/>
  <c r="I134" i="21" s="1"/>
  <c r="J134" i="21" s="1"/>
  <c r="K134" i="21" s="1"/>
  <c r="L134" i="21" s="1"/>
  <c r="M134" i="21" s="1"/>
  <c r="D134" i="21"/>
  <c r="D133" i="21"/>
  <c r="E133" i="21" s="1"/>
  <c r="F133" i="21" s="1"/>
  <c r="G133" i="21" s="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B133" i="21" s="1"/>
  <c r="I132" i="21"/>
  <c r="J132" i="21" s="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B132" i="21" s="1"/>
  <c r="E132" i="21"/>
  <c r="F132" i="21" s="1"/>
  <c r="G132" i="21" s="1"/>
  <c r="H132" i="21" s="1"/>
  <c r="D132" i="21"/>
  <c r="G130" i="21"/>
  <c r="H130" i="21" s="1"/>
  <c r="I130" i="21" s="1"/>
  <c r="J130" i="21" s="1"/>
  <c r="K130" i="21" s="1"/>
  <c r="L130" i="21" s="1"/>
  <c r="M130" i="21" s="1"/>
  <c r="N130" i="21" s="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B130" i="21" s="1"/>
  <c r="E130" i="21"/>
  <c r="F130" i="21" s="1"/>
  <c r="D130" i="21"/>
  <c r="E129" i="21"/>
  <c r="F129" i="21" s="1"/>
  <c r="G129" i="21" s="1"/>
  <c r="H129" i="21" s="1"/>
  <c r="I129" i="21" s="1"/>
  <c r="J129" i="21" s="1"/>
  <c r="K129" i="21" s="1"/>
  <c r="L129" i="21" s="1"/>
  <c r="M129" i="21" s="1"/>
  <c r="N129" i="21" s="1"/>
  <c r="O129" i="21" s="1"/>
  <c r="P129" i="21" s="1"/>
  <c r="Q129" i="21" s="1"/>
  <c r="R129" i="21" s="1"/>
  <c r="S129" i="21" s="1"/>
  <c r="T129" i="21" s="1"/>
  <c r="U129" i="21" s="1"/>
  <c r="V129" i="21" s="1"/>
  <c r="W129" i="21" s="1"/>
  <c r="X129" i="21" s="1"/>
  <c r="Y129" i="21" s="1"/>
  <c r="Z129" i="21" s="1"/>
  <c r="AA129" i="21" s="1"/>
  <c r="AB129" i="21" s="1"/>
  <c r="AC129" i="21" s="1"/>
  <c r="AD129" i="21" s="1"/>
  <c r="AE129" i="21" s="1"/>
  <c r="AF129" i="21" s="1"/>
  <c r="B129" i="21" s="1"/>
  <c r="D129" i="21"/>
  <c r="D128" i="21"/>
  <c r="E128" i="21" s="1"/>
  <c r="F128" i="21" s="1"/>
  <c r="G128" i="21" s="1"/>
  <c r="H128" i="21" s="1"/>
  <c r="I128" i="21" s="1"/>
  <c r="J128" i="21" s="1"/>
  <c r="K128" i="21" s="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B128" i="21" s="1"/>
  <c r="I127" i="21"/>
  <c r="J127" i="21" s="1"/>
  <c r="K127" i="21" s="1"/>
  <c r="L127" i="21" s="1"/>
  <c r="M127" i="21" s="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B127" i="21" s="1"/>
  <c r="E127" i="21"/>
  <c r="F127" i="21" s="1"/>
  <c r="G127" i="21" s="1"/>
  <c r="H127" i="21" s="1"/>
  <c r="D127" i="21"/>
  <c r="K126" i="21"/>
  <c r="L126" i="21" s="1"/>
  <c r="M126" i="21" s="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B126" i="21" s="1"/>
  <c r="J126" i="21"/>
  <c r="F126" i="21"/>
  <c r="G126" i="21" s="1"/>
  <c r="H126" i="21" s="1"/>
  <c r="D126" i="21"/>
  <c r="E126" i="21" s="1"/>
  <c r="L125" i="21"/>
  <c r="M125" i="21" s="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B125" i="21" s="1"/>
  <c r="E125" i="21"/>
  <c r="F125" i="21" s="1"/>
  <c r="G125" i="21" s="1"/>
  <c r="H125" i="21" s="1"/>
  <c r="I125" i="21" s="1"/>
  <c r="J125" i="21" s="1"/>
  <c r="K125" i="21" s="1"/>
  <c r="D125" i="21"/>
  <c r="L124" i="2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B124" i="21" s="1"/>
  <c r="J124" i="21"/>
  <c r="K124" i="21" s="1"/>
  <c r="D124" i="21"/>
  <c r="E124" i="21" s="1"/>
  <c r="F124" i="21" s="1"/>
  <c r="G124" i="21" s="1"/>
  <c r="H124" i="21" s="1"/>
  <c r="I124" i="21" s="1"/>
  <c r="I123" i="2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B123" i="21" s="1"/>
  <c r="G123" i="21"/>
  <c r="H123" i="21" s="1"/>
  <c r="D123" i="21"/>
  <c r="E123" i="21" s="1"/>
  <c r="F123" i="21" s="1"/>
  <c r="H122" i="21"/>
  <c r="I122" i="21" s="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B122" i="21" s="1"/>
  <c r="F122" i="21"/>
  <c r="G122" i="21" s="1"/>
  <c r="E122" i="21"/>
  <c r="D122" i="21"/>
  <c r="E121" i="21"/>
  <c r="F121" i="21" s="1"/>
  <c r="G121" i="21" s="1"/>
  <c r="H121" i="21" s="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B121" i="21" s="1"/>
  <c r="D121" i="21"/>
  <c r="K120" i="2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B120" i="21" s="1"/>
  <c r="I120" i="21"/>
  <c r="J120" i="21" s="1"/>
  <c r="D120" i="21"/>
  <c r="E120" i="21" s="1"/>
  <c r="F120" i="21" s="1"/>
  <c r="G120" i="21" s="1"/>
  <c r="H120" i="21" s="1"/>
  <c r="J119" i="2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B119" i="21" s="1"/>
  <c r="D119" i="21"/>
  <c r="E119" i="21" s="1"/>
  <c r="F119" i="21" s="1"/>
  <c r="G119" i="21" s="1"/>
  <c r="H119" i="21" s="1"/>
  <c r="I119" i="21" s="1"/>
  <c r="F118" i="21"/>
  <c r="G118" i="21" s="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B118" i="21" s="1"/>
  <c r="E118" i="21"/>
  <c r="D118" i="21"/>
  <c r="H117" i="2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B117" i="21" s="1"/>
  <c r="E117" i="21"/>
  <c r="F117" i="21" s="1"/>
  <c r="G117" i="21" s="1"/>
  <c r="D117" i="21"/>
  <c r="L116" i="2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B116" i="21" s="1"/>
  <c r="F116" i="21"/>
  <c r="G116" i="21" s="1"/>
  <c r="H116" i="21" s="1"/>
  <c r="I116" i="21" s="1"/>
  <c r="J116" i="21" s="1"/>
  <c r="K116" i="21" s="1"/>
  <c r="D116" i="21"/>
  <c r="E116" i="21" s="1"/>
  <c r="Q115" i="2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B115" i="21" s="1"/>
  <c r="O115" i="21"/>
  <c r="P115" i="21" s="1"/>
  <c r="L115" i="21"/>
  <c r="M115" i="21" s="1"/>
  <c r="N115" i="21" s="1"/>
  <c r="K115" i="21"/>
  <c r="H115" i="21"/>
  <c r="I115" i="21" s="1"/>
  <c r="F115" i="21"/>
  <c r="G115" i="21" s="1"/>
  <c r="D115" i="21"/>
  <c r="E115" i="21" s="1"/>
  <c r="E114" i="21"/>
  <c r="F114" i="21" s="1"/>
  <c r="G114" i="21" s="1"/>
  <c r="H114" i="21" s="1"/>
  <c r="I114" i="21" s="1"/>
  <c r="J114" i="21" s="1"/>
  <c r="K114" i="21" s="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B114" i="21" s="1"/>
  <c r="D114" i="21"/>
  <c r="E113" i="21"/>
  <c r="F113" i="21" s="1"/>
  <c r="G113" i="21" s="1"/>
  <c r="H113" i="21" s="1"/>
  <c r="I113" i="21" s="1"/>
  <c r="J113" i="21" s="1"/>
  <c r="K113" i="21" s="1"/>
  <c r="L113" i="21" s="1"/>
  <c r="M113" i="21" s="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B113" i="21" s="1"/>
  <c r="D113" i="21"/>
  <c r="E111" i="21"/>
  <c r="F111" i="21" s="1"/>
  <c r="G111" i="21" s="1"/>
  <c r="H111" i="21" s="1"/>
  <c r="I111" i="21" s="1"/>
  <c r="J111" i="21" s="1"/>
  <c r="K111" i="21" s="1"/>
  <c r="L111" i="21" s="1"/>
  <c r="M111" i="21" s="1"/>
  <c r="N111" i="21" s="1"/>
  <c r="O111" i="21" s="1"/>
  <c r="P111" i="21" s="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B111" i="21" s="1"/>
  <c r="D111" i="21"/>
  <c r="D110" i="21"/>
  <c r="E110" i="21" s="1"/>
  <c r="F110" i="21" s="1"/>
  <c r="G110" i="21" s="1"/>
  <c r="H110" i="21" s="1"/>
  <c r="I110" i="21" s="1"/>
  <c r="J110" i="21" s="1"/>
  <c r="K110" i="21" s="1"/>
  <c r="L110" i="21" s="1"/>
  <c r="M110" i="21" s="1"/>
  <c r="N110" i="21" s="1"/>
  <c r="O110" i="21" s="1"/>
  <c r="P110" i="21" s="1"/>
  <c r="Q110" i="21" s="1"/>
  <c r="R110" i="21" s="1"/>
  <c r="S110" i="21" s="1"/>
  <c r="T110" i="21" s="1"/>
  <c r="U110" i="21" s="1"/>
  <c r="V110" i="21" s="1"/>
  <c r="W110" i="21" s="1"/>
  <c r="X110" i="21" s="1"/>
  <c r="Y110" i="21" s="1"/>
  <c r="Z110" i="21" s="1"/>
  <c r="AA110" i="21" s="1"/>
  <c r="AB110" i="21" s="1"/>
  <c r="AC110" i="21" s="1"/>
  <c r="AD110" i="21" s="1"/>
  <c r="AE110" i="21" s="1"/>
  <c r="AF110" i="21" s="1"/>
  <c r="B110" i="21" s="1"/>
  <c r="F108" i="21"/>
  <c r="G108" i="21" s="1"/>
  <c r="H108" i="21" s="1"/>
  <c r="I108" i="21" s="1"/>
  <c r="J108" i="21" s="1"/>
  <c r="K108" i="21" s="1"/>
  <c r="L108" i="21" s="1"/>
  <c r="M108" i="21" s="1"/>
  <c r="N108" i="21" s="1"/>
  <c r="O108" i="21" s="1"/>
  <c r="P108" i="21" s="1"/>
  <c r="Q108" i="21" s="1"/>
  <c r="R108" i="21" s="1"/>
  <c r="S108" i="21" s="1"/>
  <c r="T108" i="21" s="1"/>
  <c r="U108" i="21" s="1"/>
  <c r="V108" i="21" s="1"/>
  <c r="W108" i="21" s="1"/>
  <c r="X108" i="21" s="1"/>
  <c r="Y108" i="21" s="1"/>
  <c r="Z108" i="21" s="1"/>
  <c r="AA108" i="21" s="1"/>
  <c r="AB108" i="21" s="1"/>
  <c r="AC108" i="21" s="1"/>
  <c r="AD108" i="21" s="1"/>
  <c r="AE108" i="21" s="1"/>
  <c r="AF108" i="21" s="1"/>
  <c r="B108" i="21" s="1"/>
  <c r="D108" i="21"/>
  <c r="E108" i="21" s="1"/>
  <c r="G107" i="21"/>
  <c r="H107" i="21" s="1"/>
  <c r="I107" i="21" s="1"/>
  <c r="J107" i="21" s="1"/>
  <c r="K107" i="21" s="1"/>
  <c r="L107" i="21" s="1"/>
  <c r="M107" i="21" s="1"/>
  <c r="N107" i="21" s="1"/>
  <c r="O107" i="21" s="1"/>
  <c r="P107" i="21" s="1"/>
  <c r="Q107" i="21" s="1"/>
  <c r="R107" i="21" s="1"/>
  <c r="S107" i="21" s="1"/>
  <c r="T107" i="21" s="1"/>
  <c r="U107" i="21" s="1"/>
  <c r="V107" i="21" s="1"/>
  <c r="W107" i="21" s="1"/>
  <c r="X107" i="21" s="1"/>
  <c r="Y107" i="21" s="1"/>
  <c r="Z107" i="21" s="1"/>
  <c r="AA107" i="21" s="1"/>
  <c r="AB107" i="21" s="1"/>
  <c r="AC107" i="21" s="1"/>
  <c r="AD107" i="21" s="1"/>
  <c r="AE107" i="21" s="1"/>
  <c r="AF107" i="21" s="1"/>
  <c r="B107" i="21" s="1"/>
  <c r="E107" i="21"/>
  <c r="F107" i="21" s="1"/>
  <c r="D107" i="21"/>
  <c r="H106" i="21"/>
  <c r="I106" i="21" s="1"/>
  <c r="J106" i="21" s="1"/>
  <c r="K106" i="21" s="1"/>
  <c r="L106" i="21" s="1"/>
  <c r="M106" i="21" s="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B106" i="21" s="1"/>
  <c r="E106" i="21"/>
  <c r="F106" i="21" s="1"/>
  <c r="G106" i="21" s="1"/>
  <c r="D106" i="21"/>
  <c r="J105" i="2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B105" i="21" s="1"/>
  <c r="F105" i="21"/>
  <c r="G105" i="21" s="1"/>
  <c r="H105" i="21" s="1"/>
  <c r="I105" i="21" s="1"/>
  <c r="D105" i="21"/>
  <c r="E105" i="21" s="1"/>
  <c r="D104" i="21"/>
  <c r="E104" i="21" s="1"/>
  <c r="F104" i="21" s="1"/>
  <c r="D103" i="21"/>
  <c r="AH100" i="21"/>
  <c r="AI100" i="21" s="1"/>
  <c r="AH99" i="21"/>
  <c r="AI99" i="21" s="1"/>
  <c r="AH98" i="21"/>
  <c r="AI98" i="21" s="1"/>
  <c r="AH97" i="21"/>
  <c r="AI97" i="21" s="1"/>
  <c r="AH96" i="21"/>
  <c r="AI96" i="21" s="1"/>
  <c r="AH95" i="21"/>
  <c r="AI95" i="21" s="1"/>
  <c r="AH94" i="21"/>
  <c r="AI94" i="21" s="1"/>
  <c r="C93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G82" i="21"/>
  <c r="AI81" i="21"/>
  <c r="AH81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F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J82" i="21" s="1"/>
  <c r="I79" i="21"/>
  <c r="H79" i="21"/>
  <c r="G79" i="21"/>
  <c r="F79" i="21"/>
  <c r="E79" i="21"/>
  <c r="D79" i="21"/>
  <c r="C79" i="21"/>
  <c r="B79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N82" i="21" s="1"/>
  <c r="M77" i="21"/>
  <c r="L77" i="21"/>
  <c r="K77" i="21"/>
  <c r="J77" i="21"/>
  <c r="I77" i="21"/>
  <c r="H77" i="21"/>
  <c r="G77" i="21"/>
  <c r="F77" i="21"/>
  <c r="E77" i="21"/>
  <c r="D77" i="21"/>
  <c r="C77" i="21"/>
  <c r="B77" i="21"/>
  <c r="AF76" i="21"/>
  <c r="AE76" i="21"/>
  <c r="AE82" i="21" s="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Q82" i="21" s="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I74" i="21"/>
  <c r="AH74" i="21"/>
  <c r="AI72" i="21"/>
  <c r="AH72" i="21"/>
  <c r="AG72" i="21"/>
  <c r="AG75" i="21" s="1"/>
  <c r="AI71" i="21"/>
  <c r="AH71" i="21"/>
  <c r="AI70" i="21"/>
  <c r="AH70" i="21"/>
  <c r="AI69" i="21"/>
  <c r="AH69" i="21"/>
  <c r="AG68" i="21"/>
  <c r="AF68" i="21"/>
  <c r="AE68" i="21"/>
  <c r="AD5" i="21" s="1"/>
  <c r="AD68" i="21"/>
  <c r="AC68" i="21"/>
  <c r="AB5" i="21" s="1"/>
  <c r="AB68" i="21"/>
  <c r="AA5" i="21" s="1"/>
  <c r="AA68" i="21"/>
  <c r="Z5" i="21" s="1"/>
  <c r="Z68" i="21"/>
  <c r="Y68" i="21"/>
  <c r="X5" i="21" s="1"/>
  <c r="X68" i="21"/>
  <c r="W5" i="21" s="1"/>
  <c r="W68" i="21"/>
  <c r="V68" i="21"/>
  <c r="U68" i="21"/>
  <c r="T68" i="21"/>
  <c r="S68" i="21"/>
  <c r="R5" i="21" s="1"/>
  <c r="R68" i="21"/>
  <c r="Q68" i="21"/>
  <c r="P68" i="21"/>
  <c r="O68" i="21"/>
  <c r="N5" i="21" s="1"/>
  <c r="N68" i="21"/>
  <c r="M68" i="21"/>
  <c r="L5" i="21" s="1"/>
  <c r="L68" i="21"/>
  <c r="K5" i="21" s="1"/>
  <c r="K68" i="21"/>
  <c r="J5" i="21" s="1"/>
  <c r="J68" i="21"/>
  <c r="I68" i="21"/>
  <c r="H68" i="21"/>
  <c r="G5" i="21" s="1"/>
  <c r="G68" i="21"/>
  <c r="F5" i="21" s="1"/>
  <c r="F68" i="21"/>
  <c r="E5" i="21" s="1"/>
  <c r="E68" i="21"/>
  <c r="D5" i="21" s="1"/>
  <c r="D68" i="21"/>
  <c r="C5" i="21" s="1"/>
  <c r="C68" i="21"/>
  <c r="B5" i="21" s="1"/>
  <c r="B68" i="21"/>
  <c r="AI67" i="21"/>
  <c r="AH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I55" i="21"/>
  <c r="AH55" i="21"/>
  <c r="AI54" i="21"/>
  <c r="AH54" i="21"/>
  <c r="AI53" i="21"/>
  <c r="AH53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I51" i="21"/>
  <c r="AH51" i="21"/>
  <c r="AG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V73" i="21" s="1"/>
  <c r="V75" i="21" s="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V5" i="21"/>
  <c r="U5" i="21"/>
  <c r="T5" i="21"/>
  <c r="S5" i="21"/>
  <c r="K4" i="21"/>
  <c r="B4" i="21"/>
  <c r="AG3" i="21"/>
  <c r="AG2" i="21"/>
  <c r="AF95" i="20"/>
  <c r="AF37" i="20"/>
  <c r="AE95" i="20"/>
  <c r="AE37" i="20"/>
  <c r="AD95" i="20"/>
  <c r="AD37" i="20"/>
  <c r="AC95" i="20"/>
  <c r="AC37" i="20"/>
  <c r="AB95" i="20"/>
  <c r="AB37" i="20"/>
  <c r="AA37" i="20"/>
  <c r="AA95" i="20"/>
  <c r="Z95" i="20"/>
  <c r="Z37" i="20"/>
  <c r="Y95" i="20"/>
  <c r="Y37" i="20"/>
  <c r="X95" i="20"/>
  <c r="X37" i="20"/>
  <c r="W95" i="20"/>
  <c r="W37" i="20"/>
  <c r="V95" i="20"/>
  <c r="V37" i="20"/>
  <c r="U95" i="20"/>
  <c r="U37" i="20"/>
  <c r="T95" i="20"/>
  <c r="T37" i="20"/>
  <c r="S95" i="20"/>
  <c r="S37" i="20"/>
  <c r="R37" i="20"/>
  <c r="Q95" i="20"/>
  <c r="Q37" i="20"/>
  <c r="P37" i="20"/>
  <c r="O37" i="20"/>
  <c r="N95" i="20"/>
  <c r="N37" i="20"/>
  <c r="M95" i="20"/>
  <c r="M37" i="20"/>
  <c r="L37" i="20"/>
  <c r="K37" i="20"/>
  <c r="J37" i="20"/>
  <c r="I37" i="20"/>
  <c r="H37" i="20"/>
  <c r="G37" i="20"/>
  <c r="F37" i="20"/>
  <c r="E37" i="20"/>
  <c r="AF239" i="20"/>
  <c r="AE239" i="20"/>
  <c r="AD239" i="20"/>
  <c r="AC239" i="20"/>
  <c r="AB239" i="20"/>
  <c r="AA239" i="20"/>
  <c r="Z239" i="20"/>
  <c r="Y239" i="20"/>
  <c r="X239" i="20"/>
  <c r="W239" i="20"/>
  <c r="V239" i="20"/>
  <c r="U239" i="20"/>
  <c r="T239" i="20"/>
  <c r="S239" i="20"/>
  <c r="R239" i="20"/>
  <c r="Q239" i="20"/>
  <c r="P239" i="20"/>
  <c r="O239" i="20"/>
  <c r="N239" i="20"/>
  <c r="M239" i="20"/>
  <c r="L239" i="20"/>
  <c r="K239" i="20"/>
  <c r="J239" i="20"/>
  <c r="I239" i="20"/>
  <c r="H239" i="20"/>
  <c r="G239" i="20"/>
  <c r="F239" i="20"/>
  <c r="E239" i="20"/>
  <c r="D239" i="20"/>
  <c r="C239" i="20"/>
  <c r="B239" i="20"/>
  <c r="A239" i="20"/>
  <c r="AF238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C235" i="20"/>
  <c r="B235" i="20"/>
  <c r="S210" i="20"/>
  <c r="AG200" i="20"/>
  <c r="C200" i="20"/>
  <c r="E199" i="20"/>
  <c r="D235" i="20" s="1"/>
  <c r="D199" i="20"/>
  <c r="N198" i="20"/>
  <c r="O198" i="20" s="1"/>
  <c r="P198" i="20" s="1"/>
  <c r="Q198" i="20" s="1"/>
  <c r="R198" i="20" s="1"/>
  <c r="S198" i="20" s="1"/>
  <c r="T198" i="20" s="1"/>
  <c r="U198" i="20" s="1"/>
  <c r="V198" i="20" s="1"/>
  <c r="W198" i="20" s="1"/>
  <c r="X198" i="20" s="1"/>
  <c r="Y198" i="20" s="1"/>
  <c r="Z198" i="20" s="1"/>
  <c r="AA198" i="20" s="1"/>
  <c r="AB198" i="20" s="1"/>
  <c r="AC198" i="20" s="1"/>
  <c r="AD198" i="20" s="1"/>
  <c r="AE198" i="20" s="1"/>
  <c r="AF198" i="20" s="1"/>
  <c r="B198" i="20" s="1"/>
  <c r="F198" i="20"/>
  <c r="G198" i="20" s="1"/>
  <c r="H198" i="20" s="1"/>
  <c r="I198" i="20" s="1"/>
  <c r="J198" i="20" s="1"/>
  <c r="K198" i="20" s="1"/>
  <c r="L198" i="20" s="1"/>
  <c r="M198" i="20" s="1"/>
  <c r="E198" i="20"/>
  <c r="D198" i="20"/>
  <c r="D197" i="20"/>
  <c r="E197" i="20" s="1"/>
  <c r="F197" i="20" s="1"/>
  <c r="G197" i="20" s="1"/>
  <c r="H197" i="20" s="1"/>
  <c r="I197" i="20" s="1"/>
  <c r="J197" i="20" s="1"/>
  <c r="K197" i="20" s="1"/>
  <c r="L197" i="20" s="1"/>
  <c r="M197" i="20" s="1"/>
  <c r="N197" i="20" s="1"/>
  <c r="O197" i="20" s="1"/>
  <c r="P197" i="20" s="1"/>
  <c r="Q197" i="20" s="1"/>
  <c r="R197" i="20" s="1"/>
  <c r="S197" i="20" s="1"/>
  <c r="T197" i="20" s="1"/>
  <c r="U197" i="20" s="1"/>
  <c r="V197" i="20" s="1"/>
  <c r="W197" i="20" s="1"/>
  <c r="X197" i="20" s="1"/>
  <c r="Y197" i="20" s="1"/>
  <c r="Z197" i="20" s="1"/>
  <c r="AA197" i="20" s="1"/>
  <c r="AB197" i="20" s="1"/>
  <c r="AC197" i="20" s="1"/>
  <c r="AD197" i="20" s="1"/>
  <c r="AE197" i="20" s="1"/>
  <c r="AF197" i="20" s="1"/>
  <c r="B197" i="20" s="1"/>
  <c r="G196" i="20"/>
  <c r="H196" i="20" s="1"/>
  <c r="I196" i="20" s="1"/>
  <c r="J196" i="20" s="1"/>
  <c r="K196" i="20" s="1"/>
  <c r="L196" i="20" s="1"/>
  <c r="M196" i="20" s="1"/>
  <c r="N196" i="20" s="1"/>
  <c r="O196" i="20" s="1"/>
  <c r="P196" i="20" s="1"/>
  <c r="Q196" i="20" s="1"/>
  <c r="R196" i="20" s="1"/>
  <c r="S196" i="20" s="1"/>
  <c r="T196" i="20" s="1"/>
  <c r="U196" i="20" s="1"/>
  <c r="V196" i="20" s="1"/>
  <c r="W196" i="20" s="1"/>
  <c r="X196" i="20" s="1"/>
  <c r="Y196" i="20" s="1"/>
  <c r="Z196" i="20" s="1"/>
  <c r="AA196" i="20" s="1"/>
  <c r="AB196" i="20" s="1"/>
  <c r="AC196" i="20" s="1"/>
  <c r="AD196" i="20" s="1"/>
  <c r="AE196" i="20" s="1"/>
  <c r="AF196" i="20" s="1"/>
  <c r="B196" i="20" s="1"/>
  <c r="F196" i="20"/>
  <c r="E196" i="20"/>
  <c r="D196" i="20"/>
  <c r="E195" i="20"/>
  <c r="F195" i="20" s="1"/>
  <c r="G195" i="20" s="1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B195" i="20" s="1"/>
  <c r="D195" i="20"/>
  <c r="F194" i="20"/>
  <c r="E194" i="20"/>
  <c r="D194" i="20"/>
  <c r="AG192" i="20"/>
  <c r="C192" i="20"/>
  <c r="D191" i="20"/>
  <c r="E191" i="20" s="1"/>
  <c r="F191" i="20" s="1"/>
  <c r="G191" i="20" s="1"/>
  <c r="H191" i="20" s="1"/>
  <c r="I191" i="20" s="1"/>
  <c r="J191" i="20" s="1"/>
  <c r="K191" i="20" s="1"/>
  <c r="L191" i="20" s="1"/>
  <c r="M191" i="20" s="1"/>
  <c r="N191" i="20" s="1"/>
  <c r="O191" i="20" s="1"/>
  <c r="P191" i="20" s="1"/>
  <c r="Q191" i="20" s="1"/>
  <c r="R191" i="20" s="1"/>
  <c r="S191" i="20" s="1"/>
  <c r="T191" i="20" s="1"/>
  <c r="U191" i="20" s="1"/>
  <c r="V191" i="20" s="1"/>
  <c r="W191" i="20" s="1"/>
  <c r="X191" i="20" s="1"/>
  <c r="Y191" i="20" s="1"/>
  <c r="Z191" i="20" s="1"/>
  <c r="AA191" i="20" s="1"/>
  <c r="AB191" i="20" s="1"/>
  <c r="AC191" i="20" s="1"/>
  <c r="AD191" i="20" s="1"/>
  <c r="AE191" i="20" s="1"/>
  <c r="AF191" i="20" s="1"/>
  <c r="B191" i="20" s="1"/>
  <c r="AE190" i="20"/>
  <c r="AF190" i="20" s="1"/>
  <c r="B190" i="20" s="1"/>
  <c r="G190" i="20"/>
  <c r="H190" i="20" s="1"/>
  <c r="I190" i="20" s="1"/>
  <c r="J190" i="20" s="1"/>
  <c r="K190" i="20" s="1"/>
  <c r="L190" i="20" s="1"/>
  <c r="M190" i="20" s="1"/>
  <c r="N190" i="20" s="1"/>
  <c r="O190" i="20" s="1"/>
  <c r="P190" i="20" s="1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F190" i="20"/>
  <c r="E190" i="20"/>
  <c r="D190" i="20"/>
  <c r="E189" i="20"/>
  <c r="F189" i="20" s="1"/>
  <c r="G189" i="20" s="1"/>
  <c r="H189" i="20" s="1"/>
  <c r="I189" i="20" s="1"/>
  <c r="J189" i="20" s="1"/>
  <c r="K189" i="20" s="1"/>
  <c r="L189" i="20" s="1"/>
  <c r="M189" i="20" s="1"/>
  <c r="N189" i="20" s="1"/>
  <c r="O189" i="20" s="1"/>
  <c r="P189" i="20" s="1"/>
  <c r="Q189" i="20" s="1"/>
  <c r="R189" i="20" s="1"/>
  <c r="S189" i="20" s="1"/>
  <c r="T189" i="20" s="1"/>
  <c r="U189" i="20" s="1"/>
  <c r="V189" i="20" s="1"/>
  <c r="W189" i="20" s="1"/>
  <c r="X189" i="20" s="1"/>
  <c r="Y189" i="20" s="1"/>
  <c r="Z189" i="20" s="1"/>
  <c r="AA189" i="20" s="1"/>
  <c r="AB189" i="20" s="1"/>
  <c r="AC189" i="20" s="1"/>
  <c r="AD189" i="20" s="1"/>
  <c r="AE189" i="20" s="1"/>
  <c r="AF189" i="20" s="1"/>
  <c r="B189" i="20" s="1"/>
  <c r="D189" i="20"/>
  <c r="G188" i="20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B188" i="20" s="1"/>
  <c r="D188" i="20"/>
  <c r="E188" i="20" s="1"/>
  <c r="F188" i="20" s="1"/>
  <c r="E187" i="20"/>
  <c r="F187" i="20" s="1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B187" i="20" s="1"/>
  <c r="D187" i="20"/>
  <c r="F186" i="20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B186" i="20" s="1"/>
  <c r="E186" i="20"/>
  <c r="D186" i="20"/>
  <c r="O185" i="20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B185" i="20" s="1"/>
  <c r="E185" i="20"/>
  <c r="F185" i="20" s="1"/>
  <c r="G185" i="20" s="1"/>
  <c r="H185" i="20" s="1"/>
  <c r="I185" i="20" s="1"/>
  <c r="J185" i="20" s="1"/>
  <c r="K185" i="20" s="1"/>
  <c r="L185" i="20" s="1"/>
  <c r="M185" i="20" s="1"/>
  <c r="N185" i="20" s="1"/>
  <c r="D185" i="20"/>
  <c r="M184" i="20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B184" i="20" s="1"/>
  <c r="D184" i="20"/>
  <c r="E184" i="20" s="1"/>
  <c r="F184" i="20" s="1"/>
  <c r="G184" i="20" s="1"/>
  <c r="H184" i="20" s="1"/>
  <c r="I184" i="20" s="1"/>
  <c r="J184" i="20" s="1"/>
  <c r="K184" i="20" s="1"/>
  <c r="L184" i="20" s="1"/>
  <c r="K183" i="20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B183" i="20" s="1"/>
  <c r="D183" i="20"/>
  <c r="E183" i="20" s="1"/>
  <c r="F183" i="20" s="1"/>
  <c r="G183" i="20" s="1"/>
  <c r="H183" i="20" s="1"/>
  <c r="I183" i="20" s="1"/>
  <c r="J183" i="20" s="1"/>
  <c r="I182" i="20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B182" i="20" s="1"/>
  <c r="F182" i="20"/>
  <c r="G182" i="20" s="1"/>
  <c r="H182" i="20" s="1"/>
  <c r="E182" i="20"/>
  <c r="D182" i="20"/>
  <c r="AE181" i="20"/>
  <c r="AF181" i="20" s="1"/>
  <c r="B181" i="20" s="1"/>
  <c r="D181" i="20"/>
  <c r="E181" i="20" s="1"/>
  <c r="F181" i="20" s="1"/>
  <c r="G181" i="20" s="1"/>
  <c r="H181" i="20" s="1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I180" i="20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B180" i="20" s="1"/>
  <c r="E180" i="20"/>
  <c r="F180" i="20" s="1"/>
  <c r="G180" i="20" s="1"/>
  <c r="H180" i="20" s="1"/>
  <c r="D180" i="20"/>
  <c r="D179" i="20"/>
  <c r="E179" i="20" s="1"/>
  <c r="F179" i="20" s="1"/>
  <c r="G179" i="20" s="1"/>
  <c r="H179" i="20" s="1"/>
  <c r="I179" i="20" s="1"/>
  <c r="J179" i="20" s="1"/>
  <c r="K179" i="20" s="1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B179" i="20" s="1"/>
  <c r="F177" i="20"/>
  <c r="G177" i="20" s="1"/>
  <c r="H177" i="20" s="1"/>
  <c r="I177" i="20" s="1"/>
  <c r="J177" i="20" s="1"/>
  <c r="K177" i="20" s="1"/>
  <c r="L177" i="20" s="1"/>
  <c r="M177" i="20" s="1"/>
  <c r="N177" i="20" s="1"/>
  <c r="O177" i="20" s="1"/>
  <c r="P177" i="20" s="1"/>
  <c r="Q177" i="20" s="1"/>
  <c r="R177" i="20" s="1"/>
  <c r="S177" i="20" s="1"/>
  <c r="T177" i="20" s="1"/>
  <c r="U177" i="20" s="1"/>
  <c r="V177" i="20" s="1"/>
  <c r="W177" i="20" s="1"/>
  <c r="X177" i="20" s="1"/>
  <c r="Y177" i="20" s="1"/>
  <c r="Z177" i="20" s="1"/>
  <c r="AA177" i="20" s="1"/>
  <c r="AB177" i="20" s="1"/>
  <c r="AC177" i="20" s="1"/>
  <c r="AD177" i="20" s="1"/>
  <c r="AE177" i="20" s="1"/>
  <c r="AF177" i="20" s="1"/>
  <c r="B177" i="20" s="1"/>
  <c r="D177" i="20"/>
  <c r="E177" i="20" s="1"/>
  <c r="F176" i="20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B176" i="20" s="1"/>
  <c r="D176" i="20"/>
  <c r="E176" i="20" s="1"/>
  <c r="R175" i="20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B175" i="20" s="1"/>
  <c r="D175" i="20"/>
  <c r="E175" i="20" s="1"/>
  <c r="F175" i="20" s="1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D174" i="20"/>
  <c r="E174" i="20" s="1"/>
  <c r="F174" i="20" s="1"/>
  <c r="G174" i="20" s="1"/>
  <c r="H174" i="20" s="1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B174" i="20" s="1"/>
  <c r="D173" i="20"/>
  <c r="E173" i="20" s="1"/>
  <c r="F173" i="20" s="1"/>
  <c r="G173" i="20" s="1"/>
  <c r="H173" i="20" s="1"/>
  <c r="I173" i="20" s="1"/>
  <c r="J173" i="20" s="1"/>
  <c r="K173" i="20" s="1"/>
  <c r="L173" i="20" s="1"/>
  <c r="M173" i="20" s="1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B173" i="20" s="1"/>
  <c r="H172" i="20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B172" i="20" s="1"/>
  <c r="D172" i="20"/>
  <c r="E172" i="20" s="1"/>
  <c r="F172" i="20" s="1"/>
  <c r="G172" i="20" s="1"/>
  <c r="E171" i="20"/>
  <c r="F171" i="20" s="1"/>
  <c r="G171" i="20" s="1"/>
  <c r="H171" i="20" s="1"/>
  <c r="I171" i="20" s="1"/>
  <c r="J171" i="20" s="1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B171" i="20" s="1"/>
  <c r="D171" i="20"/>
  <c r="I170" i="20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B170" i="20" s="1"/>
  <c r="E170" i="20"/>
  <c r="F170" i="20" s="1"/>
  <c r="G170" i="20" s="1"/>
  <c r="H170" i="20" s="1"/>
  <c r="D170" i="20"/>
  <c r="AA168" i="20"/>
  <c r="AB168" i="20" s="1"/>
  <c r="AC168" i="20" s="1"/>
  <c r="AD168" i="20" s="1"/>
  <c r="AE168" i="20" s="1"/>
  <c r="AF168" i="20" s="1"/>
  <c r="B168" i="20" s="1"/>
  <c r="G168" i="20"/>
  <c r="H168" i="20" s="1"/>
  <c r="I168" i="20" s="1"/>
  <c r="J168" i="20" s="1"/>
  <c r="K168" i="20" s="1"/>
  <c r="L168" i="20" s="1"/>
  <c r="M168" i="20" s="1"/>
  <c r="N168" i="20" s="1"/>
  <c r="O168" i="20" s="1"/>
  <c r="P168" i="20" s="1"/>
  <c r="Q168" i="20" s="1"/>
  <c r="R168" i="20" s="1"/>
  <c r="S168" i="20" s="1"/>
  <c r="T168" i="20" s="1"/>
  <c r="U168" i="20" s="1"/>
  <c r="V168" i="20" s="1"/>
  <c r="W168" i="20" s="1"/>
  <c r="X168" i="20" s="1"/>
  <c r="Y168" i="20" s="1"/>
  <c r="Z168" i="20" s="1"/>
  <c r="D168" i="20"/>
  <c r="E168" i="20" s="1"/>
  <c r="F168" i="20" s="1"/>
  <c r="D167" i="20"/>
  <c r="E167" i="20" s="1"/>
  <c r="F167" i="20" s="1"/>
  <c r="G167" i="20" s="1"/>
  <c r="H167" i="20" s="1"/>
  <c r="I167" i="20" s="1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B167" i="20" s="1"/>
  <c r="D166" i="20"/>
  <c r="E166" i="20" s="1"/>
  <c r="F166" i="20" s="1"/>
  <c r="G166" i="20" s="1"/>
  <c r="H166" i="20" s="1"/>
  <c r="I166" i="20" s="1"/>
  <c r="J166" i="20" s="1"/>
  <c r="K166" i="20" s="1"/>
  <c r="L166" i="20" s="1"/>
  <c r="M166" i="20" s="1"/>
  <c r="N166" i="20" s="1"/>
  <c r="O166" i="20" s="1"/>
  <c r="P166" i="20" s="1"/>
  <c r="Q166" i="20" s="1"/>
  <c r="R166" i="20" s="1"/>
  <c r="S166" i="20" s="1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B166" i="20" s="1"/>
  <c r="L165" i="20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B165" i="20" s="1"/>
  <c r="H165" i="20"/>
  <c r="I165" i="20" s="1"/>
  <c r="J165" i="20" s="1"/>
  <c r="K165" i="20" s="1"/>
  <c r="E165" i="20"/>
  <c r="F165" i="20" s="1"/>
  <c r="G165" i="20" s="1"/>
  <c r="D165" i="20"/>
  <c r="D164" i="20"/>
  <c r="E164" i="20" s="1"/>
  <c r="F164" i="20" s="1"/>
  <c r="G164" i="20" s="1"/>
  <c r="H164" i="20" s="1"/>
  <c r="I164" i="20" s="1"/>
  <c r="J164" i="20" s="1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B164" i="20" s="1"/>
  <c r="J163" i="20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B163" i="20" s="1"/>
  <c r="F163" i="20"/>
  <c r="G163" i="20" s="1"/>
  <c r="H163" i="20" s="1"/>
  <c r="I163" i="20" s="1"/>
  <c r="E163" i="20"/>
  <c r="D163" i="20"/>
  <c r="H162" i="20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B162" i="20" s="1"/>
  <c r="D162" i="20"/>
  <c r="E162" i="20" s="1"/>
  <c r="F162" i="20" s="1"/>
  <c r="G162" i="20" s="1"/>
  <c r="F161" i="20"/>
  <c r="G161" i="20" s="1"/>
  <c r="H161" i="20" s="1"/>
  <c r="I161" i="20" s="1"/>
  <c r="J161" i="20" s="1"/>
  <c r="K161" i="20" s="1"/>
  <c r="L161" i="20" s="1"/>
  <c r="M161" i="20" s="1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B161" i="20" s="1"/>
  <c r="D161" i="20"/>
  <c r="E161" i="20" s="1"/>
  <c r="H160" i="20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B160" i="20" s="1"/>
  <c r="D160" i="20"/>
  <c r="E160" i="20" s="1"/>
  <c r="F160" i="20" s="1"/>
  <c r="G160" i="20" s="1"/>
  <c r="H159" i="20"/>
  <c r="I159" i="20" s="1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B159" i="20" s="1"/>
  <c r="F159" i="20"/>
  <c r="G159" i="20" s="1"/>
  <c r="E159" i="20"/>
  <c r="D159" i="20"/>
  <c r="F158" i="20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B158" i="20" s="1"/>
  <c r="D158" i="20"/>
  <c r="E158" i="20" s="1"/>
  <c r="J157" i="20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B157" i="20" s="1"/>
  <c r="D157" i="20"/>
  <c r="E157" i="20" s="1"/>
  <c r="F157" i="20" s="1"/>
  <c r="G157" i="20" s="1"/>
  <c r="H157" i="20" s="1"/>
  <c r="I157" i="20" s="1"/>
  <c r="R156" i="20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B156" i="20" s="1"/>
  <c r="H156" i="20"/>
  <c r="I156" i="20" s="1"/>
  <c r="J156" i="20" s="1"/>
  <c r="K156" i="20" s="1"/>
  <c r="L156" i="20" s="1"/>
  <c r="M156" i="20" s="1"/>
  <c r="N156" i="20" s="1"/>
  <c r="O156" i="20" s="1"/>
  <c r="P156" i="20" s="1"/>
  <c r="Q156" i="20" s="1"/>
  <c r="D156" i="20"/>
  <c r="E156" i="20" s="1"/>
  <c r="F156" i="20" s="1"/>
  <c r="G156" i="20" s="1"/>
  <c r="F154" i="20"/>
  <c r="G154" i="20" s="1"/>
  <c r="H154" i="20" s="1"/>
  <c r="I154" i="20" s="1"/>
  <c r="J154" i="20" s="1"/>
  <c r="K154" i="20" s="1"/>
  <c r="L154" i="20" s="1"/>
  <c r="M154" i="20" s="1"/>
  <c r="N154" i="20" s="1"/>
  <c r="O154" i="20" s="1"/>
  <c r="P154" i="20" s="1"/>
  <c r="Q154" i="20" s="1"/>
  <c r="R154" i="20" s="1"/>
  <c r="S154" i="20" s="1"/>
  <c r="T154" i="20" s="1"/>
  <c r="U154" i="20" s="1"/>
  <c r="V154" i="20" s="1"/>
  <c r="W154" i="20" s="1"/>
  <c r="X154" i="20" s="1"/>
  <c r="Y154" i="20" s="1"/>
  <c r="Z154" i="20" s="1"/>
  <c r="AA154" i="20" s="1"/>
  <c r="AB154" i="20" s="1"/>
  <c r="AC154" i="20" s="1"/>
  <c r="AD154" i="20" s="1"/>
  <c r="AE154" i="20" s="1"/>
  <c r="AF154" i="20" s="1"/>
  <c r="B154" i="20" s="1"/>
  <c r="E154" i="20"/>
  <c r="D154" i="20"/>
  <c r="F153" i="20"/>
  <c r="G153" i="20" s="1"/>
  <c r="H153" i="20" s="1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B153" i="20" s="1"/>
  <c r="D153" i="20"/>
  <c r="E153" i="20" s="1"/>
  <c r="E152" i="20"/>
  <c r="F152" i="20" s="1"/>
  <c r="G152" i="20" s="1"/>
  <c r="H152" i="20" s="1"/>
  <c r="I152" i="20" s="1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B152" i="20" s="1"/>
  <c r="D152" i="20"/>
  <c r="H151" i="20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B151" i="20" s="1"/>
  <c r="D151" i="20"/>
  <c r="E151" i="20" s="1"/>
  <c r="F151" i="20" s="1"/>
  <c r="G151" i="20" s="1"/>
  <c r="F149" i="20"/>
  <c r="G149" i="20" s="1"/>
  <c r="H149" i="20" s="1"/>
  <c r="I149" i="20" s="1"/>
  <c r="J149" i="20" s="1"/>
  <c r="K149" i="20" s="1"/>
  <c r="L149" i="20" s="1"/>
  <c r="M149" i="20" s="1"/>
  <c r="N149" i="20" s="1"/>
  <c r="O149" i="20" s="1"/>
  <c r="P149" i="20" s="1"/>
  <c r="Q149" i="20" s="1"/>
  <c r="R149" i="20" s="1"/>
  <c r="S149" i="20" s="1"/>
  <c r="T149" i="20" s="1"/>
  <c r="U149" i="20" s="1"/>
  <c r="V149" i="20" s="1"/>
  <c r="W149" i="20" s="1"/>
  <c r="X149" i="20" s="1"/>
  <c r="Y149" i="20" s="1"/>
  <c r="Z149" i="20" s="1"/>
  <c r="AA149" i="20" s="1"/>
  <c r="AB149" i="20" s="1"/>
  <c r="AC149" i="20" s="1"/>
  <c r="AD149" i="20" s="1"/>
  <c r="AE149" i="20" s="1"/>
  <c r="AF149" i="20" s="1"/>
  <c r="B149" i="20" s="1"/>
  <c r="E149" i="20"/>
  <c r="D149" i="20"/>
  <c r="N148" i="20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B148" i="20" s="1"/>
  <c r="D148" i="20"/>
  <c r="E148" i="20" s="1"/>
  <c r="F148" i="20" s="1"/>
  <c r="G148" i="20" s="1"/>
  <c r="H148" i="20" s="1"/>
  <c r="I148" i="20" s="1"/>
  <c r="J148" i="20" s="1"/>
  <c r="K148" i="20" s="1"/>
  <c r="L148" i="20" s="1"/>
  <c r="M148" i="20" s="1"/>
  <c r="D146" i="20"/>
  <c r="E146" i="20" s="1"/>
  <c r="F146" i="20" s="1"/>
  <c r="G146" i="20" s="1"/>
  <c r="H146" i="20" s="1"/>
  <c r="I146" i="20" s="1"/>
  <c r="J146" i="20" s="1"/>
  <c r="K146" i="20" s="1"/>
  <c r="L146" i="20" s="1"/>
  <c r="M146" i="20" s="1"/>
  <c r="N146" i="20" s="1"/>
  <c r="O146" i="20" s="1"/>
  <c r="P146" i="20" s="1"/>
  <c r="Q146" i="20" s="1"/>
  <c r="R146" i="20" s="1"/>
  <c r="S146" i="20" s="1"/>
  <c r="T146" i="20" s="1"/>
  <c r="U146" i="20" s="1"/>
  <c r="V146" i="20" s="1"/>
  <c r="W146" i="20" s="1"/>
  <c r="X146" i="20" s="1"/>
  <c r="Y146" i="20" s="1"/>
  <c r="Z146" i="20" s="1"/>
  <c r="AA146" i="20" s="1"/>
  <c r="AB146" i="20" s="1"/>
  <c r="AC146" i="20" s="1"/>
  <c r="AD146" i="20" s="1"/>
  <c r="AE146" i="20" s="1"/>
  <c r="AF146" i="20" s="1"/>
  <c r="B146" i="20" s="1"/>
  <c r="E145" i="20"/>
  <c r="F145" i="20" s="1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B145" i="20" s="1"/>
  <c r="D145" i="20"/>
  <c r="E144" i="20"/>
  <c r="F144" i="20" s="1"/>
  <c r="G144" i="20" s="1"/>
  <c r="H144" i="20" s="1"/>
  <c r="I144" i="20" s="1"/>
  <c r="J144" i="20" s="1"/>
  <c r="K144" i="20" s="1"/>
  <c r="L144" i="20" s="1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B144" i="20" s="1"/>
  <c r="D144" i="20"/>
  <c r="I143" i="20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B143" i="20" s="1"/>
  <c r="E143" i="20"/>
  <c r="F143" i="20" s="1"/>
  <c r="G143" i="20" s="1"/>
  <c r="H143" i="20" s="1"/>
  <c r="D143" i="20"/>
  <c r="E142" i="20"/>
  <c r="F142" i="20" s="1"/>
  <c r="G142" i="20" s="1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B142" i="20" s="1"/>
  <c r="D142" i="20"/>
  <c r="E141" i="20"/>
  <c r="F141" i="20" s="1"/>
  <c r="G141" i="20" s="1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B141" i="20" s="1"/>
  <c r="D141" i="20"/>
  <c r="E140" i="20"/>
  <c r="F140" i="20" s="1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B140" i="20" s="1"/>
  <c r="D140" i="20"/>
  <c r="Y138" i="20"/>
  <c r="Z138" i="20" s="1"/>
  <c r="AA138" i="20" s="1"/>
  <c r="AB138" i="20" s="1"/>
  <c r="AC138" i="20" s="1"/>
  <c r="AD138" i="20" s="1"/>
  <c r="AE138" i="20" s="1"/>
  <c r="AF138" i="20" s="1"/>
  <c r="B138" i="20" s="1"/>
  <c r="I138" i="20"/>
  <c r="J138" i="20" s="1"/>
  <c r="K138" i="20" s="1"/>
  <c r="L138" i="20" s="1"/>
  <c r="M138" i="20" s="1"/>
  <c r="N138" i="20" s="1"/>
  <c r="O138" i="20" s="1"/>
  <c r="P138" i="20" s="1"/>
  <c r="Q138" i="20" s="1"/>
  <c r="R138" i="20" s="1"/>
  <c r="S138" i="20" s="1"/>
  <c r="T138" i="20" s="1"/>
  <c r="U138" i="20" s="1"/>
  <c r="V138" i="20" s="1"/>
  <c r="W138" i="20" s="1"/>
  <c r="X138" i="20" s="1"/>
  <c r="E138" i="20"/>
  <c r="F138" i="20" s="1"/>
  <c r="G138" i="20" s="1"/>
  <c r="H138" i="20" s="1"/>
  <c r="D138" i="20"/>
  <c r="E137" i="20"/>
  <c r="F137" i="20" s="1"/>
  <c r="G137" i="20" s="1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B137" i="20" s="1"/>
  <c r="D137" i="20"/>
  <c r="I136" i="20"/>
  <c r="J136" i="20" s="1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B136" i="20" s="1"/>
  <c r="E136" i="20"/>
  <c r="F136" i="20" s="1"/>
  <c r="G136" i="20" s="1"/>
  <c r="H136" i="20" s="1"/>
  <c r="D136" i="20"/>
  <c r="E135" i="20"/>
  <c r="F135" i="20" s="1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B135" i="20" s="1"/>
  <c r="D135" i="20"/>
  <c r="I134" i="20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B134" i="20" s="1"/>
  <c r="E134" i="20"/>
  <c r="F134" i="20" s="1"/>
  <c r="G134" i="20" s="1"/>
  <c r="H134" i="20" s="1"/>
  <c r="D134" i="20"/>
  <c r="M133" i="20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B133" i="20" s="1"/>
  <c r="D133" i="20"/>
  <c r="E133" i="20" s="1"/>
  <c r="F133" i="20" s="1"/>
  <c r="G133" i="20" s="1"/>
  <c r="H133" i="20" s="1"/>
  <c r="I133" i="20" s="1"/>
  <c r="J133" i="20" s="1"/>
  <c r="K133" i="20" s="1"/>
  <c r="L133" i="20" s="1"/>
  <c r="J132" i="20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B132" i="20" s="1"/>
  <c r="E132" i="20"/>
  <c r="F132" i="20" s="1"/>
  <c r="G132" i="20" s="1"/>
  <c r="H132" i="20" s="1"/>
  <c r="I132" i="20" s="1"/>
  <c r="D132" i="20"/>
  <c r="E131" i="20"/>
  <c r="F131" i="20" s="1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B131" i="20" s="1"/>
  <c r="D131" i="20"/>
  <c r="M129" i="20"/>
  <c r="N129" i="20" s="1"/>
  <c r="O129" i="20" s="1"/>
  <c r="P129" i="20" s="1"/>
  <c r="Q129" i="20" s="1"/>
  <c r="R129" i="20" s="1"/>
  <c r="S129" i="20" s="1"/>
  <c r="T129" i="20" s="1"/>
  <c r="U129" i="20" s="1"/>
  <c r="V129" i="20" s="1"/>
  <c r="W129" i="20" s="1"/>
  <c r="X129" i="20" s="1"/>
  <c r="Y129" i="20" s="1"/>
  <c r="Z129" i="20" s="1"/>
  <c r="AA129" i="20" s="1"/>
  <c r="AB129" i="20" s="1"/>
  <c r="AC129" i="20" s="1"/>
  <c r="AD129" i="20" s="1"/>
  <c r="AE129" i="20" s="1"/>
  <c r="AF129" i="20" s="1"/>
  <c r="B129" i="20" s="1"/>
  <c r="E129" i="20"/>
  <c r="F129" i="20" s="1"/>
  <c r="G129" i="20" s="1"/>
  <c r="H129" i="20" s="1"/>
  <c r="I129" i="20" s="1"/>
  <c r="J129" i="20" s="1"/>
  <c r="K129" i="20" s="1"/>
  <c r="L129" i="20" s="1"/>
  <c r="D129" i="20"/>
  <c r="D128" i="20"/>
  <c r="E128" i="20" s="1"/>
  <c r="F128" i="20" s="1"/>
  <c r="G128" i="20" s="1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B128" i="20" s="1"/>
  <c r="D127" i="20"/>
  <c r="E127" i="20" s="1"/>
  <c r="F127" i="20" s="1"/>
  <c r="G127" i="20" s="1"/>
  <c r="H127" i="20" s="1"/>
  <c r="I127" i="20" s="1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B127" i="20" s="1"/>
  <c r="G126" i="20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B126" i="20" s="1"/>
  <c r="E126" i="20"/>
  <c r="F126" i="20" s="1"/>
  <c r="D126" i="20"/>
  <c r="N125" i="20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B125" i="20" s="1"/>
  <c r="K125" i="20"/>
  <c r="L125" i="20" s="1"/>
  <c r="M125" i="20" s="1"/>
  <c r="J125" i="20"/>
  <c r="H125" i="20"/>
  <c r="D125" i="20"/>
  <c r="E125" i="20" s="1"/>
  <c r="F125" i="20" s="1"/>
  <c r="G125" i="20" s="1"/>
  <c r="D124" i="20"/>
  <c r="E124" i="20" s="1"/>
  <c r="F124" i="20" s="1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B124" i="20" s="1"/>
  <c r="F123" i="20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B123" i="20" s="1"/>
  <c r="E123" i="20"/>
  <c r="D123" i="20"/>
  <c r="D122" i="20"/>
  <c r="E122" i="20" s="1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B122" i="20" s="1"/>
  <c r="E121" i="20"/>
  <c r="F121" i="20" s="1"/>
  <c r="G121" i="20" s="1"/>
  <c r="H121" i="20" s="1"/>
  <c r="I121" i="20" s="1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B121" i="20" s="1"/>
  <c r="D121" i="20"/>
  <c r="D120" i="20"/>
  <c r="E120" i="20" s="1"/>
  <c r="F120" i="20" s="1"/>
  <c r="G120" i="20" s="1"/>
  <c r="H120" i="20" s="1"/>
  <c r="I120" i="20" s="1"/>
  <c r="J120" i="20" s="1"/>
  <c r="K120" i="20" s="1"/>
  <c r="L120" i="20" s="1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B120" i="20" s="1"/>
  <c r="F119" i="20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B119" i="20" s="1"/>
  <c r="E119" i="20"/>
  <c r="D119" i="20"/>
  <c r="D118" i="20"/>
  <c r="E118" i="20" s="1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B118" i="20" s="1"/>
  <c r="E117" i="20"/>
  <c r="F117" i="20" s="1"/>
  <c r="G117" i="20" s="1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B117" i="20" s="1"/>
  <c r="D117" i="20"/>
  <c r="D116" i="20"/>
  <c r="E116" i="20" s="1"/>
  <c r="F116" i="20" s="1"/>
  <c r="G116" i="20" s="1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B116" i="20" s="1"/>
  <c r="F115" i="20"/>
  <c r="G115" i="20" s="1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B115" i="20" s="1"/>
  <c r="E115" i="20"/>
  <c r="D115" i="20"/>
  <c r="K114" i="20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B114" i="20" s="1"/>
  <c r="F114" i="20"/>
  <c r="G114" i="20" s="1"/>
  <c r="H114" i="20" s="1"/>
  <c r="I114" i="20" s="1"/>
  <c r="D114" i="20"/>
  <c r="E114" i="20" s="1"/>
  <c r="H113" i="20"/>
  <c r="I113" i="20" s="1"/>
  <c r="J113" i="20" s="1"/>
  <c r="K113" i="20" s="1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B113" i="20" s="1"/>
  <c r="D113" i="20"/>
  <c r="E113" i="20" s="1"/>
  <c r="F113" i="20" s="1"/>
  <c r="G113" i="20" s="1"/>
  <c r="G112" i="20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B112" i="20" s="1"/>
  <c r="F112" i="20"/>
  <c r="D112" i="20"/>
  <c r="E112" i="20" s="1"/>
  <c r="E110" i="20"/>
  <c r="F110" i="20" s="1"/>
  <c r="G110" i="20" s="1"/>
  <c r="H110" i="20" s="1"/>
  <c r="I110" i="20" s="1"/>
  <c r="J110" i="20" s="1"/>
  <c r="K110" i="20" s="1"/>
  <c r="L110" i="20" s="1"/>
  <c r="M110" i="20" s="1"/>
  <c r="N110" i="20" s="1"/>
  <c r="O110" i="20" s="1"/>
  <c r="P110" i="20" s="1"/>
  <c r="Q110" i="20" s="1"/>
  <c r="R110" i="20" s="1"/>
  <c r="S110" i="20" s="1"/>
  <c r="T110" i="20" s="1"/>
  <c r="U110" i="20" s="1"/>
  <c r="V110" i="20" s="1"/>
  <c r="W110" i="20" s="1"/>
  <c r="X110" i="20" s="1"/>
  <c r="Y110" i="20" s="1"/>
  <c r="Z110" i="20" s="1"/>
  <c r="AA110" i="20" s="1"/>
  <c r="AB110" i="20" s="1"/>
  <c r="AC110" i="20" s="1"/>
  <c r="AD110" i="20" s="1"/>
  <c r="AE110" i="20" s="1"/>
  <c r="AF110" i="20" s="1"/>
  <c r="B110" i="20" s="1"/>
  <c r="D110" i="20"/>
  <c r="F109" i="20"/>
  <c r="G109" i="20" s="1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B109" i="20" s="1"/>
  <c r="D109" i="20"/>
  <c r="E109" i="20" s="1"/>
  <c r="D107" i="20"/>
  <c r="E107" i="20" s="1"/>
  <c r="F107" i="20" s="1"/>
  <c r="G107" i="20" s="1"/>
  <c r="H107" i="20" s="1"/>
  <c r="I107" i="20" s="1"/>
  <c r="J107" i="20" s="1"/>
  <c r="K107" i="20" s="1"/>
  <c r="L107" i="20" s="1"/>
  <c r="M107" i="20" s="1"/>
  <c r="N107" i="20" s="1"/>
  <c r="O107" i="20" s="1"/>
  <c r="P107" i="20" s="1"/>
  <c r="Q107" i="20" s="1"/>
  <c r="R107" i="20" s="1"/>
  <c r="S107" i="20" s="1"/>
  <c r="T107" i="20" s="1"/>
  <c r="U107" i="20" s="1"/>
  <c r="V107" i="20" s="1"/>
  <c r="W107" i="20" s="1"/>
  <c r="X107" i="20" s="1"/>
  <c r="Y107" i="20" s="1"/>
  <c r="Z107" i="20" s="1"/>
  <c r="AA107" i="20" s="1"/>
  <c r="AB107" i="20" s="1"/>
  <c r="AC107" i="20" s="1"/>
  <c r="AD107" i="20" s="1"/>
  <c r="AE107" i="20" s="1"/>
  <c r="AF107" i="20" s="1"/>
  <c r="B107" i="20" s="1"/>
  <c r="H106" i="20"/>
  <c r="I106" i="20" s="1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B106" i="20" s="1"/>
  <c r="G106" i="20"/>
  <c r="F106" i="20"/>
  <c r="E106" i="20"/>
  <c r="D106" i="20"/>
  <c r="D105" i="20"/>
  <c r="E105" i="20" s="1"/>
  <c r="F105" i="20" s="1"/>
  <c r="G105" i="20" s="1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B105" i="20" s="1"/>
  <c r="J104" i="20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B104" i="20" s="1"/>
  <c r="F104" i="20"/>
  <c r="G104" i="20" s="1"/>
  <c r="H104" i="20" s="1"/>
  <c r="I104" i="20" s="1"/>
  <c r="D104" i="20"/>
  <c r="E104" i="20" s="1"/>
  <c r="H103" i="20"/>
  <c r="D103" i="20"/>
  <c r="E103" i="20" s="1"/>
  <c r="F103" i="20" s="1"/>
  <c r="G103" i="20" s="1"/>
  <c r="F102" i="20"/>
  <c r="E102" i="20"/>
  <c r="D102" i="20"/>
  <c r="AH100" i="20"/>
  <c r="AI100" i="20" s="1"/>
  <c r="AH99" i="20"/>
  <c r="AI99" i="20" s="1"/>
  <c r="AH98" i="20"/>
  <c r="AI98" i="20" s="1"/>
  <c r="AH97" i="20"/>
  <c r="AI97" i="20" s="1"/>
  <c r="AH96" i="20"/>
  <c r="AI96" i="20" s="1"/>
  <c r="AH95" i="20"/>
  <c r="AI95" i="20" s="1"/>
  <c r="AH94" i="20"/>
  <c r="AI94" i="20" s="1"/>
  <c r="E93" i="20"/>
  <c r="D93" i="20"/>
  <c r="C93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G82" i="20"/>
  <c r="AI81" i="20"/>
  <c r="AH81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Q82" i="20" s="1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F76" i="20"/>
  <c r="AE76" i="20"/>
  <c r="AE82" i="20" s="1"/>
  <c r="AE83" i="20" s="1"/>
  <c r="AD76" i="20"/>
  <c r="AC76" i="20"/>
  <c r="AB76" i="20"/>
  <c r="AA76" i="20"/>
  <c r="Z76" i="20"/>
  <c r="Y76" i="20"/>
  <c r="X76" i="20"/>
  <c r="W76" i="20"/>
  <c r="V76" i="20"/>
  <c r="U76" i="20"/>
  <c r="U82" i="20" s="1"/>
  <c r="T76" i="20"/>
  <c r="S76" i="20"/>
  <c r="S82" i="20" s="1"/>
  <c r="R76" i="20"/>
  <c r="R82" i="20" s="1"/>
  <c r="Q76" i="20"/>
  <c r="P76" i="20"/>
  <c r="O76" i="20"/>
  <c r="N76" i="20"/>
  <c r="M76" i="20"/>
  <c r="L76" i="20"/>
  <c r="L82" i="20" s="1"/>
  <c r="K76" i="20"/>
  <c r="J76" i="20"/>
  <c r="I76" i="20"/>
  <c r="H76" i="20"/>
  <c r="G76" i="20"/>
  <c r="G82" i="20" s="1"/>
  <c r="F76" i="20"/>
  <c r="F82" i="20" s="1"/>
  <c r="E76" i="20"/>
  <c r="D76" i="20"/>
  <c r="C76" i="20"/>
  <c r="C82" i="20" s="1"/>
  <c r="B76" i="20"/>
  <c r="AI74" i="20"/>
  <c r="AH74" i="20"/>
  <c r="AI72" i="20"/>
  <c r="AH72" i="20"/>
  <c r="AG72" i="20"/>
  <c r="AI71" i="20"/>
  <c r="AH71" i="20"/>
  <c r="AI70" i="20"/>
  <c r="AH70" i="20"/>
  <c r="AI69" i="20"/>
  <c r="AH69" i="20"/>
  <c r="AG68" i="20"/>
  <c r="AF68" i="20"/>
  <c r="AE5" i="20" s="1"/>
  <c r="AE68" i="20"/>
  <c r="AD5" i="20" s="1"/>
  <c r="AD68" i="20"/>
  <c r="AC68" i="20"/>
  <c r="AB5" i="20" s="1"/>
  <c r="AB68" i="20"/>
  <c r="AA5" i="20" s="1"/>
  <c r="AA68" i="20"/>
  <c r="Z5" i="20" s="1"/>
  <c r="Z68" i="20"/>
  <c r="Y68" i="20"/>
  <c r="X68" i="20"/>
  <c r="W5" i="20" s="1"/>
  <c r="W68" i="20"/>
  <c r="V5" i="20" s="1"/>
  <c r="V68" i="20"/>
  <c r="U5" i="20" s="1"/>
  <c r="U68" i="20"/>
  <c r="T5" i="20" s="1"/>
  <c r="T68" i="20"/>
  <c r="S5" i="20" s="1"/>
  <c r="S68" i="20"/>
  <c r="R5" i="20" s="1"/>
  <c r="R68" i="20"/>
  <c r="Q5" i="20" s="1"/>
  <c r="Q68" i="20"/>
  <c r="P68" i="20"/>
  <c r="O5" i="20" s="1"/>
  <c r="O68" i="20"/>
  <c r="N5" i="20" s="1"/>
  <c r="N68" i="20"/>
  <c r="M5" i="20" s="1"/>
  <c r="M68" i="20"/>
  <c r="L5" i="20" s="1"/>
  <c r="L68" i="20"/>
  <c r="K5" i="20" s="1"/>
  <c r="K68" i="20"/>
  <c r="J68" i="20"/>
  <c r="I68" i="20"/>
  <c r="H68" i="20"/>
  <c r="G5" i="20" s="1"/>
  <c r="G68" i="20"/>
  <c r="F5" i="20" s="1"/>
  <c r="F68" i="20"/>
  <c r="E5" i="20" s="1"/>
  <c r="E68" i="20"/>
  <c r="D5" i="20" s="1"/>
  <c r="D68" i="20"/>
  <c r="C68" i="20"/>
  <c r="B5" i="20" s="1"/>
  <c r="B68" i="20"/>
  <c r="AF5" i="20" s="1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G56" i="20"/>
  <c r="AG4" i="20" s="1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I55" i="20"/>
  <c r="AH55" i="20"/>
  <c r="AI54" i="20"/>
  <c r="AH54" i="20"/>
  <c r="AI53" i="20"/>
  <c r="AH53" i="20"/>
  <c r="AG52" i="20"/>
  <c r="AG3" i="20" s="1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I51" i="20"/>
  <c r="AH51" i="20"/>
  <c r="AG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R73" i="20" s="1"/>
  <c r="R75" i="20" s="1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D73" i="20" s="1"/>
  <c r="D75" i="20" s="1"/>
  <c r="C38" i="20"/>
  <c r="B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C5" i="20"/>
  <c r="J5" i="20"/>
  <c r="I5" i="20"/>
  <c r="C5" i="20"/>
  <c r="K4" i="20"/>
  <c r="B4" i="20"/>
  <c r="AG2" i="20"/>
  <c r="AG6" i="20" s="1"/>
  <c r="AA95" i="19"/>
  <c r="AA37" i="19"/>
  <c r="Z95" i="19"/>
  <c r="Z37" i="19"/>
  <c r="Y95" i="19"/>
  <c r="Y37" i="19"/>
  <c r="X95" i="19"/>
  <c r="X37" i="19"/>
  <c r="W95" i="19"/>
  <c r="W37" i="19"/>
  <c r="V95" i="19"/>
  <c r="V37" i="19"/>
  <c r="T95" i="19"/>
  <c r="T37" i="19"/>
  <c r="S95" i="19"/>
  <c r="S37" i="19"/>
  <c r="R95" i="19"/>
  <c r="R37" i="19"/>
  <c r="Q37" i="19"/>
  <c r="P95" i="19"/>
  <c r="P37" i="19"/>
  <c r="O95" i="19"/>
  <c r="O37" i="19"/>
  <c r="N95" i="19"/>
  <c r="N37" i="19"/>
  <c r="M95" i="19"/>
  <c r="M37" i="19"/>
  <c r="I52" i="19"/>
  <c r="G37" i="19"/>
  <c r="F56" i="19"/>
  <c r="F37" i="19"/>
  <c r="E37" i="19"/>
  <c r="B52" i="19"/>
  <c r="B68" i="19"/>
  <c r="AF68" i="17"/>
  <c r="C68" i="17"/>
  <c r="B56" i="19"/>
  <c r="B38" i="19"/>
  <c r="AE38" i="17"/>
  <c r="AF38" i="17"/>
  <c r="C38" i="19"/>
  <c r="B4" i="16"/>
  <c r="B4" i="17"/>
  <c r="B4" i="19"/>
  <c r="AF239" i="19"/>
  <c r="AE239" i="19"/>
  <c r="AD239" i="19"/>
  <c r="AC239" i="19"/>
  <c r="AB239" i="19"/>
  <c r="AA239" i="19"/>
  <c r="Z239" i="19"/>
  <c r="Y239" i="19"/>
  <c r="X239" i="19"/>
  <c r="W239" i="19"/>
  <c r="V239" i="19"/>
  <c r="U239" i="19"/>
  <c r="T239" i="19"/>
  <c r="S239" i="19"/>
  <c r="R239" i="19"/>
  <c r="Q239" i="19"/>
  <c r="P239" i="19"/>
  <c r="O239" i="19"/>
  <c r="N239" i="19"/>
  <c r="M239" i="19"/>
  <c r="L239" i="19"/>
  <c r="K239" i="19"/>
  <c r="J239" i="19"/>
  <c r="I239" i="19"/>
  <c r="H239" i="19"/>
  <c r="G239" i="19"/>
  <c r="F239" i="19"/>
  <c r="E239" i="19"/>
  <c r="D239" i="19"/>
  <c r="C239" i="19"/>
  <c r="B239" i="19"/>
  <c r="A239" i="19"/>
  <c r="AF238" i="19"/>
  <c r="AE238" i="19"/>
  <c r="AD238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238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237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B235" i="19"/>
  <c r="S210" i="19"/>
  <c r="AG200" i="19"/>
  <c r="C200" i="19"/>
  <c r="D199" i="19"/>
  <c r="C235" i="19" s="1"/>
  <c r="D198" i="19"/>
  <c r="E198" i="19" s="1"/>
  <c r="F198" i="19" s="1"/>
  <c r="G198" i="19" s="1"/>
  <c r="H198" i="19" s="1"/>
  <c r="I198" i="19" s="1"/>
  <c r="J198" i="19" s="1"/>
  <c r="K198" i="19" s="1"/>
  <c r="L198" i="19" s="1"/>
  <c r="M198" i="19" s="1"/>
  <c r="N198" i="19" s="1"/>
  <c r="O198" i="19" s="1"/>
  <c r="P198" i="19" s="1"/>
  <c r="Q198" i="19" s="1"/>
  <c r="R198" i="19" s="1"/>
  <c r="S198" i="19" s="1"/>
  <c r="T198" i="19" s="1"/>
  <c r="U198" i="19" s="1"/>
  <c r="V198" i="19" s="1"/>
  <c r="W198" i="19" s="1"/>
  <c r="X198" i="19" s="1"/>
  <c r="Y198" i="19" s="1"/>
  <c r="Z198" i="19" s="1"/>
  <c r="AA198" i="19" s="1"/>
  <c r="AB198" i="19" s="1"/>
  <c r="AC198" i="19" s="1"/>
  <c r="AD198" i="19" s="1"/>
  <c r="AE198" i="19" s="1"/>
  <c r="AF198" i="19" s="1"/>
  <c r="B198" i="19" s="1"/>
  <c r="D197" i="19"/>
  <c r="E197" i="19" s="1"/>
  <c r="F197" i="19" s="1"/>
  <c r="G197" i="19" s="1"/>
  <c r="H197" i="19" s="1"/>
  <c r="I197" i="19" s="1"/>
  <c r="J197" i="19" s="1"/>
  <c r="K197" i="19" s="1"/>
  <c r="L197" i="19" s="1"/>
  <c r="M197" i="19" s="1"/>
  <c r="N197" i="19" s="1"/>
  <c r="O197" i="19" s="1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Z197" i="19" s="1"/>
  <c r="AA197" i="19" s="1"/>
  <c r="AB197" i="19" s="1"/>
  <c r="AC197" i="19" s="1"/>
  <c r="AD197" i="19" s="1"/>
  <c r="AE197" i="19" s="1"/>
  <c r="AF197" i="19" s="1"/>
  <c r="B197" i="19" s="1"/>
  <c r="E196" i="19"/>
  <c r="F196" i="19" s="1"/>
  <c r="G196" i="19" s="1"/>
  <c r="H196" i="19" s="1"/>
  <c r="I196" i="19" s="1"/>
  <c r="J196" i="19" s="1"/>
  <c r="K196" i="19" s="1"/>
  <c r="L196" i="19" s="1"/>
  <c r="M196" i="19" s="1"/>
  <c r="N196" i="19" s="1"/>
  <c r="O196" i="19" s="1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Z196" i="19" s="1"/>
  <c r="AA196" i="19" s="1"/>
  <c r="AB196" i="19" s="1"/>
  <c r="AC196" i="19" s="1"/>
  <c r="AD196" i="19" s="1"/>
  <c r="AE196" i="19" s="1"/>
  <c r="AF196" i="19" s="1"/>
  <c r="B196" i="19" s="1"/>
  <c r="D196" i="19"/>
  <c r="D195" i="19"/>
  <c r="E195" i="19" s="1"/>
  <c r="F195" i="19" s="1"/>
  <c r="G195" i="19" s="1"/>
  <c r="H195" i="19" s="1"/>
  <c r="I195" i="19" s="1"/>
  <c r="J195" i="19" s="1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B195" i="19" s="1"/>
  <c r="E194" i="19"/>
  <c r="F194" i="19" s="1"/>
  <c r="D194" i="19"/>
  <c r="D200" i="19" s="1"/>
  <c r="AG192" i="19"/>
  <c r="C192" i="19"/>
  <c r="E191" i="19"/>
  <c r="F191" i="19" s="1"/>
  <c r="G191" i="19" s="1"/>
  <c r="H191" i="19" s="1"/>
  <c r="I191" i="19" s="1"/>
  <c r="J191" i="19" s="1"/>
  <c r="K191" i="19" s="1"/>
  <c r="L191" i="19" s="1"/>
  <c r="M191" i="19" s="1"/>
  <c r="N191" i="19" s="1"/>
  <c r="O191" i="19" s="1"/>
  <c r="P191" i="19" s="1"/>
  <c r="Q191" i="19" s="1"/>
  <c r="R191" i="19" s="1"/>
  <c r="S191" i="19" s="1"/>
  <c r="T191" i="19" s="1"/>
  <c r="U191" i="19" s="1"/>
  <c r="V191" i="19" s="1"/>
  <c r="W191" i="19" s="1"/>
  <c r="X191" i="19" s="1"/>
  <c r="Y191" i="19" s="1"/>
  <c r="Z191" i="19" s="1"/>
  <c r="AA191" i="19" s="1"/>
  <c r="AB191" i="19" s="1"/>
  <c r="AC191" i="19" s="1"/>
  <c r="AD191" i="19" s="1"/>
  <c r="AE191" i="19" s="1"/>
  <c r="AF191" i="19" s="1"/>
  <c r="B191" i="19" s="1"/>
  <c r="D191" i="19"/>
  <c r="D190" i="19"/>
  <c r="E190" i="19" s="1"/>
  <c r="F190" i="19" s="1"/>
  <c r="G190" i="19" s="1"/>
  <c r="H190" i="19" s="1"/>
  <c r="I190" i="19" s="1"/>
  <c r="J190" i="19" s="1"/>
  <c r="K190" i="19" s="1"/>
  <c r="L190" i="19" s="1"/>
  <c r="M190" i="19" s="1"/>
  <c r="N190" i="19" s="1"/>
  <c r="O190" i="19" s="1"/>
  <c r="P190" i="19" s="1"/>
  <c r="Q190" i="19" s="1"/>
  <c r="R190" i="19" s="1"/>
  <c r="S190" i="19" s="1"/>
  <c r="T190" i="19" s="1"/>
  <c r="U190" i="19" s="1"/>
  <c r="V190" i="19" s="1"/>
  <c r="W190" i="19" s="1"/>
  <c r="X190" i="19" s="1"/>
  <c r="Y190" i="19" s="1"/>
  <c r="Z190" i="19" s="1"/>
  <c r="AA190" i="19" s="1"/>
  <c r="AB190" i="19" s="1"/>
  <c r="AC190" i="19" s="1"/>
  <c r="AD190" i="19" s="1"/>
  <c r="AE190" i="19" s="1"/>
  <c r="AF190" i="19" s="1"/>
  <c r="B190" i="19" s="1"/>
  <c r="D189" i="19"/>
  <c r="E189" i="19" s="1"/>
  <c r="F189" i="19" s="1"/>
  <c r="G189" i="19" s="1"/>
  <c r="H189" i="19" s="1"/>
  <c r="I189" i="19" s="1"/>
  <c r="J189" i="19" s="1"/>
  <c r="K189" i="19" s="1"/>
  <c r="L189" i="19" s="1"/>
  <c r="M189" i="19" s="1"/>
  <c r="N189" i="19" s="1"/>
  <c r="O189" i="19" s="1"/>
  <c r="P189" i="19" s="1"/>
  <c r="Q189" i="19" s="1"/>
  <c r="R189" i="19" s="1"/>
  <c r="S189" i="19" s="1"/>
  <c r="T189" i="19" s="1"/>
  <c r="U189" i="19" s="1"/>
  <c r="V189" i="19" s="1"/>
  <c r="W189" i="19" s="1"/>
  <c r="X189" i="19" s="1"/>
  <c r="Y189" i="19" s="1"/>
  <c r="Z189" i="19" s="1"/>
  <c r="AA189" i="19" s="1"/>
  <c r="AB189" i="19" s="1"/>
  <c r="AC189" i="19" s="1"/>
  <c r="AD189" i="19" s="1"/>
  <c r="AE189" i="19" s="1"/>
  <c r="AF189" i="19" s="1"/>
  <c r="B189" i="19" s="1"/>
  <c r="D188" i="19"/>
  <c r="E188" i="19" s="1"/>
  <c r="F188" i="19" s="1"/>
  <c r="G188" i="19" s="1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B188" i="19" s="1"/>
  <c r="G187" i="19"/>
  <c r="H187" i="19" s="1"/>
  <c r="I187" i="19" s="1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T187" i="19" s="1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B187" i="19" s="1"/>
  <c r="E187" i="19"/>
  <c r="F187" i="19" s="1"/>
  <c r="D187" i="19"/>
  <c r="E186" i="19"/>
  <c r="F186" i="19" s="1"/>
  <c r="G186" i="19" s="1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B186" i="19" s="1"/>
  <c r="D186" i="19"/>
  <c r="I185" i="19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B185" i="19" s="1"/>
  <c r="D185" i="19"/>
  <c r="E185" i="19" s="1"/>
  <c r="F185" i="19" s="1"/>
  <c r="G185" i="19" s="1"/>
  <c r="H185" i="19" s="1"/>
  <c r="D184" i="19"/>
  <c r="E184" i="19" s="1"/>
  <c r="F184" i="19" s="1"/>
  <c r="G184" i="19" s="1"/>
  <c r="H184" i="19" s="1"/>
  <c r="I184" i="19" s="1"/>
  <c r="J184" i="19" s="1"/>
  <c r="K184" i="19" s="1"/>
  <c r="L184" i="19" s="1"/>
  <c r="M184" i="19" s="1"/>
  <c r="N184" i="19" s="1"/>
  <c r="O184" i="19" s="1"/>
  <c r="P184" i="19" s="1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B184" i="19" s="1"/>
  <c r="E183" i="19"/>
  <c r="F183" i="19" s="1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B183" i="19" s="1"/>
  <c r="D183" i="19"/>
  <c r="E182" i="19"/>
  <c r="F182" i="19" s="1"/>
  <c r="G182" i="19" s="1"/>
  <c r="H182" i="19" s="1"/>
  <c r="I182" i="19" s="1"/>
  <c r="J182" i="19" s="1"/>
  <c r="K182" i="19" s="1"/>
  <c r="L182" i="19" s="1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B182" i="19" s="1"/>
  <c r="D182" i="19"/>
  <c r="D181" i="19"/>
  <c r="E181" i="19" s="1"/>
  <c r="F181" i="19" s="1"/>
  <c r="G181" i="19" s="1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B181" i="19" s="1"/>
  <c r="F180" i="19"/>
  <c r="G180" i="19" s="1"/>
  <c r="H180" i="19" s="1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B180" i="19" s="1"/>
  <c r="E180" i="19"/>
  <c r="D180" i="19"/>
  <c r="D179" i="19"/>
  <c r="E179" i="19" s="1"/>
  <c r="F179" i="19" s="1"/>
  <c r="G179" i="19" s="1"/>
  <c r="H179" i="19" s="1"/>
  <c r="I179" i="19" s="1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B179" i="19" s="1"/>
  <c r="E177" i="19"/>
  <c r="F177" i="19" s="1"/>
  <c r="G177" i="19" s="1"/>
  <c r="H177" i="19" s="1"/>
  <c r="I177" i="19" s="1"/>
  <c r="J177" i="19" s="1"/>
  <c r="K177" i="19" s="1"/>
  <c r="L177" i="19" s="1"/>
  <c r="M177" i="19" s="1"/>
  <c r="N177" i="19" s="1"/>
  <c r="O177" i="19" s="1"/>
  <c r="P177" i="19" s="1"/>
  <c r="Q177" i="19" s="1"/>
  <c r="R177" i="19" s="1"/>
  <c r="S177" i="19" s="1"/>
  <c r="T177" i="19" s="1"/>
  <c r="U177" i="19" s="1"/>
  <c r="V177" i="19" s="1"/>
  <c r="W177" i="19" s="1"/>
  <c r="X177" i="19" s="1"/>
  <c r="Y177" i="19" s="1"/>
  <c r="Z177" i="19" s="1"/>
  <c r="AA177" i="19" s="1"/>
  <c r="AB177" i="19" s="1"/>
  <c r="AC177" i="19" s="1"/>
  <c r="AD177" i="19" s="1"/>
  <c r="AE177" i="19" s="1"/>
  <c r="AF177" i="19" s="1"/>
  <c r="B177" i="19" s="1"/>
  <c r="D177" i="19"/>
  <c r="D176" i="19"/>
  <c r="E176" i="19" s="1"/>
  <c r="F176" i="19" s="1"/>
  <c r="G176" i="19" s="1"/>
  <c r="H176" i="19" s="1"/>
  <c r="I176" i="19" s="1"/>
  <c r="J176" i="19" s="1"/>
  <c r="K176" i="19" s="1"/>
  <c r="L176" i="19" s="1"/>
  <c r="M176" i="19" s="1"/>
  <c r="N176" i="19" s="1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B176" i="19" s="1"/>
  <c r="D175" i="19"/>
  <c r="E175" i="19" s="1"/>
  <c r="F175" i="19" s="1"/>
  <c r="G175" i="19" s="1"/>
  <c r="H175" i="19" s="1"/>
  <c r="I175" i="19" s="1"/>
  <c r="J175" i="19" s="1"/>
  <c r="K175" i="19" s="1"/>
  <c r="L175" i="19" s="1"/>
  <c r="M175" i="19" s="1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X175" i="19" s="1"/>
  <c r="Y175" i="19" s="1"/>
  <c r="Z175" i="19" s="1"/>
  <c r="AA175" i="19" s="1"/>
  <c r="AB175" i="19" s="1"/>
  <c r="AC175" i="19" s="1"/>
  <c r="AD175" i="19" s="1"/>
  <c r="AE175" i="19" s="1"/>
  <c r="AF175" i="19" s="1"/>
  <c r="B175" i="19" s="1"/>
  <c r="D174" i="19"/>
  <c r="E174" i="19" s="1"/>
  <c r="F174" i="19" s="1"/>
  <c r="G174" i="19" s="1"/>
  <c r="H174" i="19" s="1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B174" i="19" s="1"/>
  <c r="E173" i="19"/>
  <c r="F173" i="19" s="1"/>
  <c r="G173" i="19" s="1"/>
  <c r="H173" i="19" s="1"/>
  <c r="I173" i="19" s="1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B173" i="19" s="1"/>
  <c r="D173" i="19"/>
  <c r="D172" i="19"/>
  <c r="E172" i="19" s="1"/>
  <c r="F172" i="19" s="1"/>
  <c r="G172" i="19" s="1"/>
  <c r="H172" i="19" s="1"/>
  <c r="I172" i="19" s="1"/>
  <c r="J172" i="19" s="1"/>
  <c r="K172" i="19" s="1"/>
  <c r="L172" i="19" s="1"/>
  <c r="M172" i="19" s="1"/>
  <c r="N172" i="19" s="1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B172" i="19" s="1"/>
  <c r="E171" i="19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B171" i="19" s="1"/>
  <c r="D171" i="19"/>
  <c r="T170" i="19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B170" i="19" s="1"/>
  <c r="D170" i="19"/>
  <c r="E170" i="19" s="1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D168" i="19"/>
  <c r="E168" i="19" s="1"/>
  <c r="F168" i="19" s="1"/>
  <c r="G168" i="19" s="1"/>
  <c r="H168" i="19" s="1"/>
  <c r="I168" i="19" s="1"/>
  <c r="J168" i="19" s="1"/>
  <c r="K168" i="19" s="1"/>
  <c r="L168" i="19" s="1"/>
  <c r="M168" i="19" s="1"/>
  <c r="N168" i="19" s="1"/>
  <c r="O168" i="19" s="1"/>
  <c r="P168" i="19" s="1"/>
  <c r="Q168" i="19" s="1"/>
  <c r="R168" i="19" s="1"/>
  <c r="S168" i="19" s="1"/>
  <c r="T168" i="19" s="1"/>
  <c r="U168" i="19" s="1"/>
  <c r="V168" i="19" s="1"/>
  <c r="W168" i="19" s="1"/>
  <c r="X168" i="19" s="1"/>
  <c r="Y168" i="19" s="1"/>
  <c r="Z168" i="19" s="1"/>
  <c r="AA168" i="19" s="1"/>
  <c r="AB168" i="19" s="1"/>
  <c r="AC168" i="19" s="1"/>
  <c r="AD168" i="19" s="1"/>
  <c r="AE168" i="19" s="1"/>
  <c r="AF168" i="19" s="1"/>
  <c r="B168" i="19" s="1"/>
  <c r="E167" i="19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B167" i="19" s="1"/>
  <c r="D167" i="19"/>
  <c r="D166" i="19"/>
  <c r="E166" i="19" s="1"/>
  <c r="F166" i="19" s="1"/>
  <c r="G166" i="19" s="1"/>
  <c r="H166" i="19" s="1"/>
  <c r="I166" i="19" s="1"/>
  <c r="J166" i="19" s="1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B166" i="19" s="1"/>
  <c r="D165" i="19"/>
  <c r="E165" i="19" s="1"/>
  <c r="F165" i="19" s="1"/>
  <c r="G165" i="19" s="1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B165" i="19" s="1"/>
  <c r="F164" i="19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AB164" i="19" s="1"/>
  <c r="AC164" i="19" s="1"/>
  <c r="AD164" i="19" s="1"/>
  <c r="AE164" i="19" s="1"/>
  <c r="AF164" i="19" s="1"/>
  <c r="B164" i="19" s="1"/>
  <c r="E164" i="19"/>
  <c r="D164" i="19"/>
  <c r="D163" i="19"/>
  <c r="E163" i="19" s="1"/>
  <c r="F163" i="19" s="1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B163" i="19" s="1"/>
  <c r="E162" i="19"/>
  <c r="F162" i="19" s="1"/>
  <c r="G162" i="19" s="1"/>
  <c r="H162" i="19" s="1"/>
  <c r="I162" i="19" s="1"/>
  <c r="J162" i="19" s="1"/>
  <c r="K162" i="19" s="1"/>
  <c r="L162" i="19" s="1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B162" i="19" s="1"/>
  <c r="D162" i="19"/>
  <c r="K161" i="19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B161" i="19" s="1"/>
  <c r="F161" i="19"/>
  <c r="G161" i="19" s="1"/>
  <c r="H161" i="19" s="1"/>
  <c r="I161" i="19" s="1"/>
  <c r="J161" i="19" s="1"/>
  <c r="D161" i="19"/>
  <c r="E161" i="19" s="1"/>
  <c r="D160" i="19"/>
  <c r="E160" i="19" s="1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B160" i="19" s="1"/>
  <c r="D159" i="19"/>
  <c r="E159" i="19" s="1"/>
  <c r="F159" i="19" s="1"/>
  <c r="G159" i="19" s="1"/>
  <c r="H159" i="19" s="1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B159" i="19" s="1"/>
  <c r="E158" i="19"/>
  <c r="F158" i="19" s="1"/>
  <c r="G158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B158" i="19" s="1"/>
  <c r="D158" i="19"/>
  <c r="D157" i="19"/>
  <c r="E157" i="19" s="1"/>
  <c r="F157" i="19" s="1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B157" i="19" s="1"/>
  <c r="D156" i="19"/>
  <c r="E156" i="19" s="1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B156" i="19" s="1"/>
  <c r="G154" i="19"/>
  <c r="H154" i="19" s="1"/>
  <c r="I154" i="19" s="1"/>
  <c r="J154" i="19" s="1"/>
  <c r="K154" i="19" s="1"/>
  <c r="L154" i="19" s="1"/>
  <c r="M154" i="19" s="1"/>
  <c r="N154" i="19" s="1"/>
  <c r="O154" i="19" s="1"/>
  <c r="P154" i="19" s="1"/>
  <c r="Q154" i="19" s="1"/>
  <c r="R154" i="19" s="1"/>
  <c r="S154" i="19" s="1"/>
  <c r="T154" i="19" s="1"/>
  <c r="U154" i="19" s="1"/>
  <c r="V154" i="19" s="1"/>
  <c r="W154" i="19" s="1"/>
  <c r="X154" i="19" s="1"/>
  <c r="Y154" i="19" s="1"/>
  <c r="Z154" i="19" s="1"/>
  <c r="AA154" i="19" s="1"/>
  <c r="AB154" i="19" s="1"/>
  <c r="AC154" i="19" s="1"/>
  <c r="AD154" i="19" s="1"/>
  <c r="AE154" i="19" s="1"/>
  <c r="AF154" i="19" s="1"/>
  <c r="B154" i="19" s="1"/>
  <c r="D154" i="19"/>
  <c r="E154" i="19" s="1"/>
  <c r="F154" i="19" s="1"/>
  <c r="D153" i="19"/>
  <c r="E153" i="19" s="1"/>
  <c r="F153" i="19" s="1"/>
  <c r="G153" i="19" s="1"/>
  <c r="H153" i="19" s="1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B153" i="19" s="1"/>
  <c r="G152" i="19"/>
  <c r="H152" i="19" s="1"/>
  <c r="I152" i="19" s="1"/>
  <c r="J152" i="19" s="1"/>
  <c r="K152" i="19" s="1"/>
  <c r="L152" i="19" s="1"/>
  <c r="M152" i="19" s="1"/>
  <c r="N152" i="19" s="1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B152" i="19" s="1"/>
  <c r="F152" i="19"/>
  <c r="D152" i="19"/>
  <c r="E152" i="19" s="1"/>
  <c r="D151" i="19"/>
  <c r="E151" i="19" s="1"/>
  <c r="F151" i="19" s="1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B151" i="19" s="1"/>
  <c r="D149" i="19"/>
  <c r="E149" i="19" s="1"/>
  <c r="F149" i="19" s="1"/>
  <c r="G149" i="19" s="1"/>
  <c r="H149" i="19" s="1"/>
  <c r="I149" i="19" s="1"/>
  <c r="J149" i="19" s="1"/>
  <c r="K149" i="19" s="1"/>
  <c r="L149" i="19" s="1"/>
  <c r="M149" i="19" s="1"/>
  <c r="N149" i="19" s="1"/>
  <c r="O149" i="19" s="1"/>
  <c r="P149" i="19" s="1"/>
  <c r="Q149" i="19" s="1"/>
  <c r="R149" i="19" s="1"/>
  <c r="S149" i="19" s="1"/>
  <c r="T149" i="19" s="1"/>
  <c r="U149" i="19" s="1"/>
  <c r="V149" i="19" s="1"/>
  <c r="W149" i="19" s="1"/>
  <c r="X149" i="19" s="1"/>
  <c r="Y149" i="19" s="1"/>
  <c r="Z149" i="19" s="1"/>
  <c r="AA149" i="19" s="1"/>
  <c r="AB149" i="19" s="1"/>
  <c r="AC149" i="19" s="1"/>
  <c r="AD149" i="19" s="1"/>
  <c r="AE149" i="19" s="1"/>
  <c r="AF149" i="19" s="1"/>
  <c r="B149" i="19" s="1"/>
  <c r="D148" i="19"/>
  <c r="E148" i="19" s="1"/>
  <c r="F148" i="19" s="1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B148" i="19" s="1"/>
  <c r="F146" i="19"/>
  <c r="G146" i="19" s="1"/>
  <c r="H146" i="19" s="1"/>
  <c r="I146" i="19" s="1"/>
  <c r="J146" i="19" s="1"/>
  <c r="K146" i="19" s="1"/>
  <c r="L146" i="19" s="1"/>
  <c r="M146" i="19" s="1"/>
  <c r="N146" i="19" s="1"/>
  <c r="O146" i="19" s="1"/>
  <c r="P146" i="19" s="1"/>
  <c r="Q146" i="19" s="1"/>
  <c r="R146" i="19" s="1"/>
  <c r="S146" i="19" s="1"/>
  <c r="T146" i="19" s="1"/>
  <c r="U146" i="19" s="1"/>
  <c r="V146" i="19" s="1"/>
  <c r="W146" i="19" s="1"/>
  <c r="X146" i="19" s="1"/>
  <c r="Y146" i="19" s="1"/>
  <c r="Z146" i="19" s="1"/>
  <c r="AA146" i="19" s="1"/>
  <c r="AB146" i="19" s="1"/>
  <c r="AC146" i="19" s="1"/>
  <c r="AD146" i="19" s="1"/>
  <c r="AE146" i="19" s="1"/>
  <c r="AF146" i="19" s="1"/>
  <c r="B146" i="19" s="1"/>
  <c r="D146" i="19"/>
  <c r="E146" i="19" s="1"/>
  <c r="D145" i="19"/>
  <c r="E145" i="19" s="1"/>
  <c r="F145" i="19" s="1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B145" i="19" s="1"/>
  <c r="E144" i="19"/>
  <c r="F144" i="19" s="1"/>
  <c r="G144" i="19" s="1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B144" i="19" s="1"/>
  <c r="D144" i="19"/>
  <c r="D143" i="19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B143" i="19" s="1"/>
  <c r="D142" i="19"/>
  <c r="E142" i="19" s="1"/>
  <c r="F142" i="19" s="1"/>
  <c r="G142" i="19" s="1"/>
  <c r="H142" i="19" s="1"/>
  <c r="I142" i="19" s="1"/>
  <c r="J142" i="19" s="1"/>
  <c r="K142" i="19" s="1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B142" i="19" s="1"/>
  <c r="D141" i="19"/>
  <c r="E141" i="19" s="1"/>
  <c r="F141" i="19" s="1"/>
  <c r="G141" i="19" s="1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B141" i="19" s="1"/>
  <c r="D140" i="19"/>
  <c r="E140" i="19" s="1"/>
  <c r="F140" i="19" s="1"/>
  <c r="G140" i="19" s="1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B140" i="19" s="1"/>
  <c r="D138" i="19"/>
  <c r="E138" i="19" s="1"/>
  <c r="F138" i="19" s="1"/>
  <c r="G138" i="19" s="1"/>
  <c r="H138" i="19" s="1"/>
  <c r="I138" i="19" s="1"/>
  <c r="J138" i="19" s="1"/>
  <c r="K138" i="19" s="1"/>
  <c r="L138" i="19" s="1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B138" i="19" s="1"/>
  <c r="G137" i="19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B137" i="19" s="1"/>
  <c r="D137" i="19"/>
  <c r="E137" i="19" s="1"/>
  <c r="F137" i="19" s="1"/>
  <c r="F136" i="19"/>
  <c r="G136" i="19" s="1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B136" i="19" s="1"/>
  <c r="E136" i="19"/>
  <c r="D136" i="19"/>
  <c r="D135" i="19"/>
  <c r="E135" i="19" s="1"/>
  <c r="F135" i="19" s="1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B135" i="19" s="1"/>
  <c r="E134" i="19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B134" i="19" s="1"/>
  <c r="D134" i="19"/>
  <c r="P133" i="19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B133" i="19" s="1"/>
  <c r="H133" i="19"/>
  <c r="I133" i="19" s="1"/>
  <c r="J133" i="19" s="1"/>
  <c r="K133" i="19" s="1"/>
  <c r="L133" i="19" s="1"/>
  <c r="M133" i="19" s="1"/>
  <c r="N133" i="19" s="1"/>
  <c r="O133" i="19" s="1"/>
  <c r="D133" i="19"/>
  <c r="E133" i="19" s="1"/>
  <c r="F133" i="19" s="1"/>
  <c r="G133" i="19" s="1"/>
  <c r="D132" i="19"/>
  <c r="E132" i="19" s="1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B132" i="19" s="1"/>
  <c r="D131" i="19"/>
  <c r="E131" i="19" s="1"/>
  <c r="F131" i="19" s="1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B131" i="19" s="1"/>
  <c r="E129" i="19"/>
  <c r="F129" i="19" s="1"/>
  <c r="G129" i="19" s="1"/>
  <c r="H129" i="19" s="1"/>
  <c r="I129" i="19" s="1"/>
  <c r="J129" i="19" s="1"/>
  <c r="K129" i="19" s="1"/>
  <c r="L129" i="19" s="1"/>
  <c r="M129" i="19" s="1"/>
  <c r="N129" i="19" s="1"/>
  <c r="O129" i="19" s="1"/>
  <c r="P129" i="19" s="1"/>
  <c r="Q129" i="19" s="1"/>
  <c r="R129" i="19" s="1"/>
  <c r="S129" i="19" s="1"/>
  <c r="T129" i="19" s="1"/>
  <c r="U129" i="19" s="1"/>
  <c r="V129" i="19" s="1"/>
  <c r="W129" i="19" s="1"/>
  <c r="X129" i="19" s="1"/>
  <c r="Y129" i="19" s="1"/>
  <c r="Z129" i="19" s="1"/>
  <c r="AA129" i="19" s="1"/>
  <c r="AB129" i="19" s="1"/>
  <c r="AC129" i="19" s="1"/>
  <c r="AD129" i="19" s="1"/>
  <c r="AE129" i="19" s="1"/>
  <c r="AF129" i="19" s="1"/>
  <c r="B129" i="19" s="1"/>
  <c r="D129" i="19"/>
  <c r="F128" i="19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B128" i="19" s="1"/>
  <c r="D128" i="19"/>
  <c r="E128" i="19" s="1"/>
  <c r="D127" i="19"/>
  <c r="E127" i="19" s="1"/>
  <c r="F127" i="19" s="1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B127" i="19" s="1"/>
  <c r="D126" i="19"/>
  <c r="E126" i="19" s="1"/>
  <c r="F126" i="19" s="1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B126" i="19" s="1"/>
  <c r="J125" i="19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B125" i="19" s="1"/>
  <c r="D125" i="19"/>
  <c r="E125" i="19" s="1"/>
  <c r="F125" i="19" s="1"/>
  <c r="G125" i="19" s="1"/>
  <c r="H125" i="19" s="1"/>
  <c r="D124" i="19"/>
  <c r="E124" i="19" s="1"/>
  <c r="F124" i="19" s="1"/>
  <c r="G124" i="19" s="1"/>
  <c r="H124" i="19" s="1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B124" i="19" s="1"/>
  <c r="D123" i="19"/>
  <c r="E123" i="19" s="1"/>
  <c r="F123" i="19" s="1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B123" i="19" s="1"/>
  <c r="E122" i="19"/>
  <c r="F122" i="19" s="1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B122" i="19" s="1"/>
  <c r="D122" i="19"/>
  <c r="G121" i="19"/>
  <c r="H121" i="19" s="1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B121" i="19" s="1"/>
  <c r="F121" i="19"/>
  <c r="D121" i="19"/>
  <c r="E121" i="19" s="1"/>
  <c r="D120" i="19"/>
  <c r="E120" i="19" s="1"/>
  <c r="F120" i="19" s="1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B120" i="19" s="1"/>
  <c r="G119" i="19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B119" i="19" s="1"/>
  <c r="D119" i="19"/>
  <c r="E119" i="19" s="1"/>
  <c r="F119" i="19" s="1"/>
  <c r="D118" i="19"/>
  <c r="E118" i="19" s="1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B118" i="19" s="1"/>
  <c r="D117" i="19"/>
  <c r="E117" i="19" s="1"/>
  <c r="F117" i="19" s="1"/>
  <c r="G117" i="19" s="1"/>
  <c r="H117" i="19" s="1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B117" i="19" s="1"/>
  <c r="D116" i="19"/>
  <c r="E116" i="19" s="1"/>
  <c r="F116" i="19" s="1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B116" i="19" s="1"/>
  <c r="D115" i="19"/>
  <c r="E115" i="19" s="1"/>
  <c r="F115" i="19" s="1"/>
  <c r="G115" i="19" s="1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B115" i="19" s="1"/>
  <c r="K114" i="19"/>
  <c r="L114" i="19" s="1"/>
  <c r="M114" i="19" s="1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B114" i="19" s="1"/>
  <c r="D114" i="19"/>
  <c r="E114" i="19" s="1"/>
  <c r="F114" i="19" s="1"/>
  <c r="G114" i="19" s="1"/>
  <c r="H114" i="19" s="1"/>
  <c r="I114" i="19" s="1"/>
  <c r="D113" i="19"/>
  <c r="E113" i="19" s="1"/>
  <c r="F113" i="19" s="1"/>
  <c r="G113" i="19" s="1"/>
  <c r="H113" i="19" s="1"/>
  <c r="I113" i="19" s="1"/>
  <c r="J113" i="19" s="1"/>
  <c r="K113" i="19" s="1"/>
  <c r="L113" i="19" s="1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B113" i="19" s="1"/>
  <c r="D112" i="19"/>
  <c r="E112" i="19" s="1"/>
  <c r="F112" i="19" s="1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B112" i="19" s="1"/>
  <c r="D110" i="19"/>
  <c r="E110" i="19" s="1"/>
  <c r="F110" i="19" s="1"/>
  <c r="G110" i="19" s="1"/>
  <c r="H110" i="19" s="1"/>
  <c r="I110" i="19" s="1"/>
  <c r="J110" i="19" s="1"/>
  <c r="K110" i="19" s="1"/>
  <c r="L110" i="19" s="1"/>
  <c r="M110" i="19" s="1"/>
  <c r="N110" i="19" s="1"/>
  <c r="O110" i="19" s="1"/>
  <c r="P110" i="19" s="1"/>
  <c r="Q110" i="19" s="1"/>
  <c r="R110" i="19" s="1"/>
  <c r="S110" i="19" s="1"/>
  <c r="T110" i="19" s="1"/>
  <c r="U110" i="19" s="1"/>
  <c r="V110" i="19" s="1"/>
  <c r="W110" i="19" s="1"/>
  <c r="X110" i="19" s="1"/>
  <c r="Y110" i="19" s="1"/>
  <c r="Z110" i="19" s="1"/>
  <c r="AA110" i="19" s="1"/>
  <c r="AB110" i="19" s="1"/>
  <c r="AC110" i="19" s="1"/>
  <c r="AD110" i="19" s="1"/>
  <c r="AE110" i="19" s="1"/>
  <c r="AF110" i="19" s="1"/>
  <c r="B110" i="19" s="1"/>
  <c r="G109" i="19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B109" i="19" s="1"/>
  <c r="E109" i="19"/>
  <c r="F109" i="19" s="1"/>
  <c r="D109" i="19"/>
  <c r="D107" i="19"/>
  <c r="E107" i="19" s="1"/>
  <c r="F107" i="19" s="1"/>
  <c r="G107" i="19" s="1"/>
  <c r="H107" i="19" s="1"/>
  <c r="I107" i="19" s="1"/>
  <c r="J107" i="19" s="1"/>
  <c r="K107" i="19" s="1"/>
  <c r="L107" i="19" s="1"/>
  <c r="M107" i="19" s="1"/>
  <c r="N107" i="19" s="1"/>
  <c r="O107" i="19" s="1"/>
  <c r="P107" i="19" s="1"/>
  <c r="Q107" i="19" s="1"/>
  <c r="R107" i="19" s="1"/>
  <c r="S107" i="19" s="1"/>
  <c r="T107" i="19" s="1"/>
  <c r="U107" i="19" s="1"/>
  <c r="V107" i="19" s="1"/>
  <c r="W107" i="19" s="1"/>
  <c r="X107" i="19" s="1"/>
  <c r="Y107" i="19" s="1"/>
  <c r="Z107" i="19" s="1"/>
  <c r="AA107" i="19" s="1"/>
  <c r="AB107" i="19" s="1"/>
  <c r="AC107" i="19" s="1"/>
  <c r="AD107" i="19" s="1"/>
  <c r="AE107" i="19" s="1"/>
  <c r="AF107" i="19" s="1"/>
  <c r="B107" i="19" s="1"/>
  <c r="D106" i="19"/>
  <c r="E106" i="19" s="1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B106" i="19" s="1"/>
  <c r="D105" i="19"/>
  <c r="E105" i="19" s="1"/>
  <c r="F105" i="19" s="1"/>
  <c r="G105" i="19" s="1"/>
  <c r="H105" i="19" s="1"/>
  <c r="I105" i="19" s="1"/>
  <c r="J105" i="19" s="1"/>
  <c r="K105" i="19" s="1"/>
  <c r="L105" i="19" s="1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B105" i="19" s="1"/>
  <c r="D104" i="19"/>
  <c r="E104" i="19" s="1"/>
  <c r="F104" i="19" s="1"/>
  <c r="G104" i="19" s="1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B104" i="19" s="1"/>
  <c r="E103" i="19"/>
  <c r="D103" i="19"/>
  <c r="D102" i="19"/>
  <c r="AH100" i="19"/>
  <c r="AI100" i="19" s="1"/>
  <c r="AH99" i="19"/>
  <c r="AI99" i="19" s="1"/>
  <c r="AH98" i="19"/>
  <c r="AI98" i="19" s="1"/>
  <c r="AH97" i="19"/>
  <c r="AI97" i="19" s="1"/>
  <c r="AH96" i="19"/>
  <c r="AI96" i="19" s="1"/>
  <c r="AH95" i="19"/>
  <c r="AI95" i="19" s="1"/>
  <c r="AH94" i="19"/>
  <c r="AI94" i="19" s="1"/>
  <c r="C93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G82" i="19"/>
  <c r="AI81" i="19"/>
  <c r="AH81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AI74" i="19"/>
  <c r="AH74" i="19"/>
  <c r="AI72" i="19"/>
  <c r="AH72" i="19"/>
  <c r="AG72" i="19"/>
  <c r="AI71" i="19"/>
  <c r="AH71" i="19"/>
  <c r="AI70" i="19"/>
  <c r="AH70" i="19"/>
  <c r="AI69" i="19"/>
  <c r="AH69" i="19"/>
  <c r="AG68" i="19"/>
  <c r="AF68" i="19"/>
  <c r="AE5" i="19" s="1"/>
  <c r="AE68" i="19"/>
  <c r="AD5" i="19" s="1"/>
  <c r="AD68" i="19"/>
  <c r="AC5" i="19" s="1"/>
  <c r="AC68" i="19"/>
  <c r="AB68" i="19"/>
  <c r="AA5" i="19" s="1"/>
  <c r="AA68" i="19"/>
  <c r="Z5" i="19" s="1"/>
  <c r="Z68" i="19"/>
  <c r="Y68" i="19"/>
  <c r="X5" i="19" s="1"/>
  <c r="X68" i="19"/>
  <c r="W5" i="19" s="1"/>
  <c r="W68" i="19"/>
  <c r="V5" i="19" s="1"/>
  <c r="V68" i="19"/>
  <c r="U5" i="19" s="1"/>
  <c r="U68" i="19"/>
  <c r="T68" i="19"/>
  <c r="S68" i="19"/>
  <c r="R5" i="19" s="1"/>
  <c r="R68" i="19"/>
  <c r="Q68" i="19"/>
  <c r="P5" i="19" s="1"/>
  <c r="P68" i="19"/>
  <c r="O5" i="19" s="1"/>
  <c r="O68" i="19"/>
  <c r="N5" i="19" s="1"/>
  <c r="N68" i="19"/>
  <c r="M5" i="19" s="1"/>
  <c r="M68" i="19"/>
  <c r="L68" i="19"/>
  <c r="K5" i="19" s="1"/>
  <c r="K68" i="19"/>
  <c r="J5" i="19" s="1"/>
  <c r="J68" i="19"/>
  <c r="I68" i="19"/>
  <c r="H5" i="19" s="1"/>
  <c r="H68" i="19"/>
  <c r="G5" i="19" s="1"/>
  <c r="G68" i="19"/>
  <c r="F5" i="19" s="1"/>
  <c r="F68" i="19"/>
  <c r="E5" i="19" s="1"/>
  <c r="E68" i="19"/>
  <c r="D68" i="19"/>
  <c r="C68" i="19"/>
  <c r="B5" i="19" s="1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E56" i="19"/>
  <c r="D56" i="19"/>
  <c r="C56" i="19"/>
  <c r="AI55" i="19"/>
  <c r="AH55" i="19"/>
  <c r="AI54" i="19"/>
  <c r="AH54" i="19"/>
  <c r="AI53" i="19"/>
  <c r="AH53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H52" i="19"/>
  <c r="G52" i="19"/>
  <c r="F52" i="19"/>
  <c r="E52" i="19"/>
  <c r="D52" i="19"/>
  <c r="C52" i="19"/>
  <c r="AI51" i="19"/>
  <c r="AH51" i="19"/>
  <c r="AG51" i="19"/>
  <c r="AG52" i="19" s="1"/>
  <c r="AG3" i="19" s="1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U73" i="19" s="1"/>
  <c r="U75" i="19" s="1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AI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F5" i="19"/>
  <c r="AG4" i="19"/>
  <c r="K4" i="19"/>
  <c r="AG2" i="19"/>
  <c r="AF37" i="17"/>
  <c r="AE37" i="17"/>
  <c r="AD37" i="17"/>
  <c r="AC37" i="17"/>
  <c r="AB37" i="17"/>
  <c r="AA95" i="17"/>
  <c r="AA37" i="17"/>
  <c r="Z95" i="17"/>
  <c r="Z37" i="17"/>
  <c r="Y95" i="17"/>
  <c r="Y37" i="17"/>
  <c r="X95" i="17"/>
  <c r="X37" i="17"/>
  <c r="W95" i="17"/>
  <c r="W37" i="17"/>
  <c r="V95" i="17"/>
  <c r="V37" i="17"/>
  <c r="U95" i="17"/>
  <c r="U37" i="17"/>
  <c r="E4" i="21"/>
  <c r="E4" i="20"/>
  <c r="E4" i="19"/>
  <c r="AB7" i="22" l="1"/>
  <c r="AF7" i="22"/>
  <c r="Z7" i="22"/>
  <c r="X7" i="22"/>
  <c r="AL215" i="22"/>
  <c r="S7" i="22"/>
  <c r="Q7" i="22"/>
  <c r="AH215" i="22"/>
  <c r="M7" i="22"/>
  <c r="J7" i="22"/>
  <c r="L7" i="22"/>
  <c r="H7" i="22"/>
  <c r="E7" i="22"/>
  <c r="D7" i="22"/>
  <c r="Y215" i="22"/>
  <c r="C210" i="22"/>
  <c r="B210" i="22"/>
  <c r="G7" i="22"/>
  <c r="F236" i="22"/>
  <c r="H200" i="22"/>
  <c r="AV215" i="22"/>
  <c r="AD7" i="22"/>
  <c r="F193" i="22"/>
  <c r="G103" i="22"/>
  <c r="AN215" i="22"/>
  <c r="V7" i="22"/>
  <c r="AW215" i="22"/>
  <c r="AE7" i="22"/>
  <c r="AF215" i="22"/>
  <c r="N7" i="22"/>
  <c r="AH82" i="22"/>
  <c r="B83" i="22"/>
  <c r="AI82" i="22"/>
  <c r="AO215" i="22"/>
  <c r="W7" i="22"/>
  <c r="X215" i="22"/>
  <c r="F7" i="22"/>
  <c r="AI73" i="22"/>
  <c r="AH73" i="22"/>
  <c r="G104" i="22"/>
  <c r="F93" i="22"/>
  <c r="F195" i="22"/>
  <c r="E201" i="22"/>
  <c r="AG215" i="22"/>
  <c r="O7" i="22"/>
  <c r="AD73" i="21"/>
  <c r="AD75" i="21" s="1"/>
  <c r="AD82" i="21"/>
  <c r="AD83" i="21" s="1"/>
  <c r="AC5" i="21"/>
  <c r="AF73" i="21"/>
  <c r="AF75" i="21" s="1"/>
  <c r="AF82" i="21"/>
  <c r="AE73" i="21"/>
  <c r="AE75" i="21" s="1"/>
  <c r="AE7" i="21" s="1"/>
  <c r="AC73" i="21"/>
  <c r="AC75" i="21" s="1"/>
  <c r="AB73" i="21"/>
  <c r="AB75" i="21" s="1"/>
  <c r="AA82" i="21"/>
  <c r="Z82" i="21"/>
  <c r="Z73" i="21"/>
  <c r="Z75" i="21" s="1"/>
  <c r="AR215" i="21" s="1"/>
  <c r="Y82" i="21"/>
  <c r="Y73" i="21"/>
  <c r="Y75" i="21" s="1"/>
  <c r="Y7" i="21" s="1"/>
  <c r="X82" i="21"/>
  <c r="X73" i="21"/>
  <c r="X75" i="21" s="1"/>
  <c r="W82" i="21"/>
  <c r="W73" i="21"/>
  <c r="W75" i="21" s="1"/>
  <c r="V82" i="21"/>
  <c r="V83" i="21" s="1"/>
  <c r="U73" i="21"/>
  <c r="U75" i="21" s="1"/>
  <c r="AM215" i="21" s="1"/>
  <c r="T73" i="21"/>
  <c r="T75" i="21" s="1"/>
  <c r="S82" i="21"/>
  <c r="S73" i="21"/>
  <c r="S75" i="21" s="1"/>
  <c r="AK215" i="21" s="1"/>
  <c r="R73" i="21"/>
  <c r="R75" i="21" s="1"/>
  <c r="AJ215" i="21" s="1"/>
  <c r="R82" i="21"/>
  <c r="Q73" i="21"/>
  <c r="Q75" i="21" s="1"/>
  <c r="P82" i="21"/>
  <c r="P83" i="21"/>
  <c r="P73" i="21"/>
  <c r="P75" i="21" s="1"/>
  <c r="O82" i="21"/>
  <c r="O73" i="21"/>
  <c r="O75" i="21" s="1"/>
  <c r="N83" i="21"/>
  <c r="M5" i="21"/>
  <c r="N73" i="21"/>
  <c r="N75" i="21" s="1"/>
  <c r="M73" i="21"/>
  <c r="M75" i="21" s="1"/>
  <c r="AE215" i="21" s="1"/>
  <c r="L73" i="21"/>
  <c r="L75" i="21" s="1"/>
  <c r="AD215" i="21" s="1"/>
  <c r="K82" i="21"/>
  <c r="K83" i="21" s="1"/>
  <c r="K73" i="21"/>
  <c r="K75" i="21" s="1"/>
  <c r="AC215" i="21" s="1"/>
  <c r="J73" i="21"/>
  <c r="J75" i="21" s="1"/>
  <c r="AB215" i="21" s="1"/>
  <c r="I82" i="21"/>
  <c r="I83" i="21" s="1"/>
  <c r="I73" i="21"/>
  <c r="I75" i="21" s="1"/>
  <c r="I7" i="21" s="1"/>
  <c r="H82" i="21"/>
  <c r="H73" i="21"/>
  <c r="H75" i="21" s="1"/>
  <c r="Z215" i="21" s="1"/>
  <c r="G82" i="21"/>
  <c r="G73" i="21"/>
  <c r="G75" i="21" s="1"/>
  <c r="G7" i="21" s="1"/>
  <c r="AI76" i="21"/>
  <c r="F82" i="21"/>
  <c r="F83" i="21" s="1"/>
  <c r="F73" i="21"/>
  <c r="F75" i="21" s="1"/>
  <c r="X215" i="21" s="1"/>
  <c r="E73" i="21"/>
  <c r="E75" i="21" s="1"/>
  <c r="W215" i="21" s="1"/>
  <c r="D73" i="21"/>
  <c r="D75" i="21" s="1"/>
  <c r="V215" i="21" s="1"/>
  <c r="AI52" i="21"/>
  <c r="AI56" i="21"/>
  <c r="C73" i="21"/>
  <c r="C75" i="21" s="1"/>
  <c r="U215" i="21" s="1"/>
  <c r="B82" i="21"/>
  <c r="B83" i="21" s="1"/>
  <c r="B73" i="21"/>
  <c r="H4" i="21"/>
  <c r="AH215" i="21"/>
  <c r="P7" i="21"/>
  <c r="AX215" i="21"/>
  <c r="AF7" i="21"/>
  <c r="C7" i="21"/>
  <c r="AI215" i="21"/>
  <c r="Q7" i="21"/>
  <c r="AL215" i="21"/>
  <c r="T7" i="21"/>
  <c r="AT215" i="21"/>
  <c r="AB7" i="21"/>
  <c r="AP215" i="21"/>
  <c r="X7" i="21"/>
  <c r="AU215" i="21"/>
  <c r="AC7" i="21"/>
  <c r="G104" i="21"/>
  <c r="AG215" i="21"/>
  <c r="O7" i="21"/>
  <c r="AO215" i="21"/>
  <c r="W7" i="21"/>
  <c r="H83" i="21"/>
  <c r="AF83" i="21"/>
  <c r="O5" i="21"/>
  <c r="B75" i="21"/>
  <c r="AI38" i="21"/>
  <c r="E82" i="21"/>
  <c r="E83" i="21" s="1"/>
  <c r="M82" i="21"/>
  <c r="M83" i="21" s="1"/>
  <c r="U82" i="21"/>
  <c r="AC82" i="21"/>
  <c r="AC83" i="21" s="1"/>
  <c r="D82" i="21"/>
  <c r="D83" i="21" s="1"/>
  <c r="L82" i="21"/>
  <c r="L83" i="21" s="1"/>
  <c r="T82" i="21"/>
  <c r="T83" i="21" s="1"/>
  <c r="AB82" i="21"/>
  <c r="AB83" i="21" s="1"/>
  <c r="S212" i="21"/>
  <c r="D212" i="21"/>
  <c r="S7" i="21"/>
  <c r="AA73" i="21"/>
  <c r="AA75" i="21" s="1"/>
  <c r="G83" i="21"/>
  <c r="O83" i="21"/>
  <c r="W83" i="21"/>
  <c r="AE83" i="21"/>
  <c r="AG4" i="21"/>
  <c r="AG6" i="21" s="1"/>
  <c r="AG73" i="21"/>
  <c r="H5" i="21"/>
  <c r="P5" i="21"/>
  <c r="Q83" i="21"/>
  <c r="AI80" i="21"/>
  <c r="X83" i="21"/>
  <c r="AE5" i="21"/>
  <c r="AF215" i="21"/>
  <c r="N7" i="21"/>
  <c r="AN215" i="21"/>
  <c r="V7" i="21"/>
  <c r="AV215" i="21"/>
  <c r="AD7" i="21"/>
  <c r="AH52" i="21"/>
  <c r="AH56" i="21"/>
  <c r="AF5" i="21"/>
  <c r="I5" i="21"/>
  <c r="J83" i="21"/>
  <c r="Q5" i="21"/>
  <c r="R83" i="21"/>
  <c r="Y5" i="21"/>
  <c r="Z83" i="21"/>
  <c r="AH68" i="21"/>
  <c r="AG83" i="21"/>
  <c r="AH76" i="21"/>
  <c r="AH79" i="21"/>
  <c r="AH80" i="21"/>
  <c r="Z7" i="21"/>
  <c r="S83" i="21"/>
  <c r="AA83" i="21"/>
  <c r="AI68" i="21"/>
  <c r="AI78" i="21"/>
  <c r="AI77" i="21"/>
  <c r="AH78" i="21"/>
  <c r="D93" i="21"/>
  <c r="AI79" i="21"/>
  <c r="D193" i="21"/>
  <c r="E103" i="21"/>
  <c r="AH77" i="21"/>
  <c r="C82" i="21"/>
  <c r="C83" i="21" s="1"/>
  <c r="Y83" i="21"/>
  <c r="AH38" i="21"/>
  <c r="E195" i="21"/>
  <c r="D201" i="21"/>
  <c r="E200" i="21"/>
  <c r="AF82" i="20"/>
  <c r="AF73" i="20"/>
  <c r="AF75" i="20" s="1"/>
  <c r="AX214" i="20" s="1"/>
  <c r="AE73" i="20"/>
  <c r="AE75" i="20" s="1"/>
  <c r="AD82" i="20"/>
  <c r="AD73" i="20"/>
  <c r="AD75" i="20" s="1"/>
  <c r="AC82" i="20"/>
  <c r="AC83" i="20" s="1"/>
  <c r="AC73" i="20"/>
  <c r="AC75" i="20" s="1"/>
  <c r="AB73" i="20"/>
  <c r="AB75" i="20" s="1"/>
  <c r="AB82" i="20"/>
  <c r="AB83" i="20" s="1"/>
  <c r="AA73" i="20"/>
  <c r="AA75" i="20" s="1"/>
  <c r="AA82" i="20"/>
  <c r="Z82" i="20"/>
  <c r="Z83" i="20" s="1"/>
  <c r="Y5" i="20"/>
  <c r="Z73" i="20"/>
  <c r="Z75" i="20" s="1"/>
  <c r="Y82" i="20"/>
  <c r="X82" i="20"/>
  <c r="X73" i="20"/>
  <c r="X75" i="20" s="1"/>
  <c r="W82" i="20"/>
  <c r="W83" i="20" s="1"/>
  <c r="W73" i="20"/>
  <c r="W75" i="20" s="1"/>
  <c r="AO214" i="20" s="1"/>
  <c r="V82" i="20"/>
  <c r="V73" i="20"/>
  <c r="V75" i="20" s="1"/>
  <c r="U73" i="20"/>
  <c r="U75" i="20" s="1"/>
  <c r="T82" i="20"/>
  <c r="T83" i="20" s="1"/>
  <c r="T73" i="20"/>
  <c r="T75" i="20" s="1"/>
  <c r="S73" i="20"/>
  <c r="S75" i="20" s="1"/>
  <c r="R83" i="20"/>
  <c r="P82" i="20"/>
  <c r="P73" i="20"/>
  <c r="P75" i="20" s="1"/>
  <c r="O82" i="20"/>
  <c r="O83" i="20" s="1"/>
  <c r="O73" i="20"/>
  <c r="O75" i="20" s="1"/>
  <c r="N82" i="20"/>
  <c r="N73" i="20"/>
  <c r="N75" i="20" s="1"/>
  <c r="AF214" i="20" s="1"/>
  <c r="M82" i="20"/>
  <c r="M73" i="20"/>
  <c r="M75" i="20" s="1"/>
  <c r="L83" i="20"/>
  <c r="L73" i="20"/>
  <c r="L75" i="20" s="1"/>
  <c r="K82" i="20"/>
  <c r="K73" i="20"/>
  <c r="K75" i="20" s="1"/>
  <c r="AC214" i="20" s="1"/>
  <c r="J82" i="20"/>
  <c r="J83" i="20" s="1"/>
  <c r="J73" i="20"/>
  <c r="J75" i="20" s="1"/>
  <c r="I82" i="20"/>
  <c r="H82" i="20"/>
  <c r="AI77" i="20"/>
  <c r="H73" i="20"/>
  <c r="H75" i="20" s="1"/>
  <c r="G83" i="20"/>
  <c r="G73" i="20"/>
  <c r="G75" i="20" s="1"/>
  <c r="AI79" i="20"/>
  <c r="F73" i="20"/>
  <c r="F75" i="20" s="1"/>
  <c r="E73" i="20"/>
  <c r="E75" i="20" s="1"/>
  <c r="D82" i="20"/>
  <c r="D83" i="20" s="1"/>
  <c r="AI78" i="20"/>
  <c r="C73" i="20"/>
  <c r="C75" i="20" s="1"/>
  <c r="U214" i="20" s="1"/>
  <c r="H4" i="20"/>
  <c r="X214" i="20"/>
  <c r="F7" i="20"/>
  <c r="AN214" i="20"/>
  <c r="V7" i="20"/>
  <c r="V6" i="20" s="1"/>
  <c r="AV214" i="20"/>
  <c r="AD7" i="20"/>
  <c r="AB214" i="20"/>
  <c r="J7" i="20"/>
  <c r="AJ214" i="20"/>
  <c r="R7" i="20"/>
  <c r="AR214" i="20"/>
  <c r="Z7" i="20"/>
  <c r="Z6" i="20" s="1"/>
  <c r="Y214" i="20"/>
  <c r="G7" i="20"/>
  <c r="AG214" i="20"/>
  <c r="O7" i="20"/>
  <c r="AW214" i="20"/>
  <c r="AE7" i="20"/>
  <c r="H83" i="20"/>
  <c r="P83" i="20"/>
  <c r="X83" i="20"/>
  <c r="AF83" i="20"/>
  <c r="AG75" i="20"/>
  <c r="AH214" i="20"/>
  <c r="P7" i="20"/>
  <c r="AP214" i="20"/>
  <c r="X7" i="20"/>
  <c r="X6" i="20" s="1"/>
  <c r="H5" i="20"/>
  <c r="I83" i="20"/>
  <c r="P5" i="20"/>
  <c r="Q83" i="20"/>
  <c r="X5" i="20"/>
  <c r="Y83" i="20"/>
  <c r="AG73" i="20"/>
  <c r="F192" i="20"/>
  <c r="G102" i="20"/>
  <c r="Z214" i="20"/>
  <c r="H7" i="20"/>
  <c r="I73" i="20"/>
  <c r="I75" i="20" s="1"/>
  <c r="Q73" i="20"/>
  <c r="Q75" i="20" s="1"/>
  <c r="Y73" i="20"/>
  <c r="Y75" i="20" s="1"/>
  <c r="AI80" i="20"/>
  <c r="I103" i="20"/>
  <c r="AI38" i="20"/>
  <c r="C83" i="20"/>
  <c r="K83" i="20"/>
  <c r="S83" i="20"/>
  <c r="AA83" i="20"/>
  <c r="AI56" i="20"/>
  <c r="V214" i="20"/>
  <c r="D7" i="20"/>
  <c r="AD214" i="20"/>
  <c r="L7" i="20"/>
  <c r="AL214" i="20"/>
  <c r="T7" i="20"/>
  <c r="AT214" i="20"/>
  <c r="AB7" i="20"/>
  <c r="S211" i="20"/>
  <c r="D211" i="20"/>
  <c r="W214" i="20"/>
  <c r="E7" i="20"/>
  <c r="AE214" i="20"/>
  <c r="M7" i="20"/>
  <c r="AM214" i="20"/>
  <c r="U7" i="20"/>
  <c r="AU214" i="20"/>
  <c r="AC7" i="20"/>
  <c r="AI52" i="20"/>
  <c r="F83" i="20"/>
  <c r="N83" i="20"/>
  <c r="V83" i="20"/>
  <c r="AD83" i="20"/>
  <c r="AI76" i="20"/>
  <c r="E82" i="20"/>
  <c r="E83" i="20" s="1"/>
  <c r="AH79" i="20"/>
  <c r="AH52" i="20"/>
  <c r="AH56" i="20"/>
  <c r="AH68" i="20"/>
  <c r="AH76" i="20"/>
  <c r="B82" i="20"/>
  <c r="F93" i="20"/>
  <c r="AI68" i="20"/>
  <c r="AH77" i="20"/>
  <c r="AG83" i="20"/>
  <c r="AH78" i="20"/>
  <c r="AH38" i="20"/>
  <c r="B73" i="20"/>
  <c r="AH80" i="20"/>
  <c r="M83" i="20"/>
  <c r="U83" i="20"/>
  <c r="D192" i="20"/>
  <c r="E192" i="20"/>
  <c r="D200" i="20"/>
  <c r="E200" i="20"/>
  <c r="F200" i="20"/>
  <c r="G194" i="20"/>
  <c r="F199" i="20"/>
  <c r="AF82" i="19"/>
  <c r="AF73" i="19"/>
  <c r="AF75" i="19" s="1"/>
  <c r="AE73" i="19"/>
  <c r="AE75" i="19" s="1"/>
  <c r="AD73" i="19"/>
  <c r="AD75" i="19" s="1"/>
  <c r="AC73" i="19"/>
  <c r="AC75" i="19" s="1"/>
  <c r="Z82" i="19"/>
  <c r="Z83" i="19" s="1"/>
  <c r="Y5" i="19"/>
  <c r="X82" i="19"/>
  <c r="X73" i="19"/>
  <c r="X75" i="19" s="1"/>
  <c r="W73" i="19"/>
  <c r="W75" i="19" s="1"/>
  <c r="V73" i="19"/>
  <c r="V75" i="19" s="1"/>
  <c r="AN214" i="19" s="1"/>
  <c r="R82" i="19"/>
  <c r="R83" i="19"/>
  <c r="P82" i="19"/>
  <c r="P73" i="19"/>
  <c r="P75" i="19" s="1"/>
  <c r="O73" i="19"/>
  <c r="O75" i="19" s="1"/>
  <c r="N73" i="19"/>
  <c r="N75" i="19" s="1"/>
  <c r="M73" i="19"/>
  <c r="M75" i="19" s="1"/>
  <c r="AE214" i="19" s="1"/>
  <c r="J82" i="19"/>
  <c r="J83" i="19" s="1"/>
  <c r="H82" i="19"/>
  <c r="H83" i="19" s="1"/>
  <c r="H73" i="19"/>
  <c r="H75" i="19" s="1"/>
  <c r="Z214" i="19" s="1"/>
  <c r="G82" i="19"/>
  <c r="G73" i="19"/>
  <c r="G75" i="19" s="1"/>
  <c r="Y214" i="19" s="1"/>
  <c r="F73" i="19"/>
  <c r="F75" i="19" s="1"/>
  <c r="X214" i="19" s="1"/>
  <c r="E73" i="19"/>
  <c r="E75" i="19" s="1"/>
  <c r="L73" i="19"/>
  <c r="L75" i="19" s="1"/>
  <c r="AD214" i="19" s="1"/>
  <c r="T73" i="19"/>
  <c r="T75" i="19" s="1"/>
  <c r="AL214" i="19" s="1"/>
  <c r="AB73" i="19"/>
  <c r="AB75" i="19" s="1"/>
  <c r="AT214" i="19" s="1"/>
  <c r="F82" i="19"/>
  <c r="N82" i="19"/>
  <c r="N83" i="19" s="1"/>
  <c r="V82" i="19"/>
  <c r="V83" i="19" s="1"/>
  <c r="AD82" i="19"/>
  <c r="AD83" i="19" s="1"/>
  <c r="AG6" i="19"/>
  <c r="AG73" i="19"/>
  <c r="AH78" i="19"/>
  <c r="AG75" i="19"/>
  <c r="Q5" i="19"/>
  <c r="I73" i="19"/>
  <c r="I75" i="19" s="1"/>
  <c r="I7" i="19" s="1"/>
  <c r="Q73" i="19"/>
  <c r="Q75" i="19" s="1"/>
  <c r="AI214" i="19" s="1"/>
  <c r="Y73" i="19"/>
  <c r="Y75" i="19" s="1"/>
  <c r="AQ214" i="19" s="1"/>
  <c r="C82" i="19"/>
  <c r="K82" i="19"/>
  <c r="K83" i="19" s="1"/>
  <c r="S82" i="19"/>
  <c r="S83" i="19" s="1"/>
  <c r="AA82" i="19"/>
  <c r="AA83" i="19" s="1"/>
  <c r="I5" i="19"/>
  <c r="AI56" i="19"/>
  <c r="F83" i="19"/>
  <c r="D82" i="19"/>
  <c r="L82" i="19"/>
  <c r="T82" i="19"/>
  <c r="T83" i="19" s="1"/>
  <c r="L83" i="19"/>
  <c r="S5" i="19"/>
  <c r="E82" i="19"/>
  <c r="E83" i="19" s="1"/>
  <c r="M82" i="19"/>
  <c r="U82" i="19"/>
  <c r="AC82" i="19"/>
  <c r="AC83" i="19" s="1"/>
  <c r="AI77" i="19"/>
  <c r="D93" i="19"/>
  <c r="B73" i="19"/>
  <c r="B75" i="19" s="1"/>
  <c r="B7" i="19" s="1"/>
  <c r="AI79" i="19"/>
  <c r="D83" i="19"/>
  <c r="D73" i="19"/>
  <c r="D75" i="19" s="1"/>
  <c r="C5" i="19"/>
  <c r="AI80" i="19"/>
  <c r="AI52" i="19"/>
  <c r="I82" i="19"/>
  <c r="I83" i="19" s="1"/>
  <c r="Q82" i="19"/>
  <c r="Q83" i="19" s="1"/>
  <c r="Y82" i="19"/>
  <c r="Y83" i="19" s="1"/>
  <c r="O82" i="19"/>
  <c r="O83" i="19" s="1"/>
  <c r="W82" i="19"/>
  <c r="W83" i="19" s="1"/>
  <c r="AE82" i="19"/>
  <c r="AE83" i="19" s="1"/>
  <c r="M83" i="19"/>
  <c r="U83" i="19"/>
  <c r="AI76" i="19"/>
  <c r="AH77" i="19"/>
  <c r="C83" i="19"/>
  <c r="AB82" i="19"/>
  <c r="AB83" i="19" s="1"/>
  <c r="J73" i="19"/>
  <c r="J75" i="19" s="1"/>
  <c r="R73" i="19"/>
  <c r="R75" i="19" s="1"/>
  <c r="R7" i="19" s="1"/>
  <c r="Z73" i="19"/>
  <c r="Z75" i="19" s="1"/>
  <c r="AR214" i="19" s="1"/>
  <c r="C73" i="19"/>
  <c r="C75" i="19" s="1"/>
  <c r="U214" i="19" s="1"/>
  <c r="K73" i="19"/>
  <c r="K75" i="19" s="1"/>
  <c r="AC214" i="19" s="1"/>
  <c r="S73" i="19"/>
  <c r="S75" i="19" s="1"/>
  <c r="AK214" i="19" s="1"/>
  <c r="AA73" i="19"/>
  <c r="AA75" i="19" s="1"/>
  <c r="AS214" i="19" s="1"/>
  <c r="AH38" i="19"/>
  <c r="H4" i="19"/>
  <c r="W214" i="19"/>
  <c r="E7" i="19"/>
  <c r="AM214" i="19"/>
  <c r="U7" i="19"/>
  <c r="AU214" i="19"/>
  <c r="AC7" i="19"/>
  <c r="AF214" i="19"/>
  <c r="N7" i="19"/>
  <c r="AV214" i="19"/>
  <c r="AD7" i="19"/>
  <c r="G83" i="19"/>
  <c r="G7" i="19"/>
  <c r="AG214" i="19"/>
  <c r="O7" i="19"/>
  <c r="AO214" i="19"/>
  <c r="W7" i="19"/>
  <c r="AW214" i="19"/>
  <c r="AE7" i="19"/>
  <c r="P83" i="19"/>
  <c r="X83" i="19"/>
  <c r="AF83" i="19"/>
  <c r="AG83" i="19"/>
  <c r="V214" i="19"/>
  <c r="D7" i="19"/>
  <c r="F7" i="19"/>
  <c r="AH214" i="19"/>
  <c r="P7" i="19"/>
  <c r="AP214" i="19"/>
  <c r="X7" i="19"/>
  <c r="AX214" i="19"/>
  <c r="AF7" i="19"/>
  <c r="E93" i="19"/>
  <c r="AI38" i="19"/>
  <c r="AH80" i="19"/>
  <c r="F103" i="19"/>
  <c r="AH79" i="19"/>
  <c r="D5" i="19"/>
  <c r="L5" i="19"/>
  <c r="T5" i="19"/>
  <c r="AB5" i="19"/>
  <c r="S211" i="19"/>
  <c r="D211" i="19"/>
  <c r="AI78" i="19"/>
  <c r="AH52" i="19"/>
  <c r="AH56" i="19"/>
  <c r="AH68" i="19"/>
  <c r="AH76" i="19"/>
  <c r="D192" i="19"/>
  <c r="AH37" i="19"/>
  <c r="AI68" i="19"/>
  <c r="E102" i="19"/>
  <c r="G194" i="19"/>
  <c r="E199" i="19"/>
  <c r="K6" i="22" l="1"/>
  <c r="G236" i="22"/>
  <c r="I200" i="22"/>
  <c r="G195" i="22"/>
  <c r="F201" i="22"/>
  <c r="H104" i="22"/>
  <c r="G93" i="22"/>
  <c r="T215" i="22"/>
  <c r="AI75" i="22"/>
  <c r="AH75" i="22"/>
  <c r="B7" i="22"/>
  <c r="A7" i="22" s="1"/>
  <c r="AI83" i="22"/>
  <c r="AH83" i="22"/>
  <c r="G193" i="22"/>
  <c r="H103" i="22"/>
  <c r="AW215" i="21"/>
  <c r="U7" i="21"/>
  <c r="AQ215" i="21"/>
  <c r="R7" i="21"/>
  <c r="E7" i="21"/>
  <c r="W7" i="20"/>
  <c r="W6" i="20" s="1"/>
  <c r="M7" i="21"/>
  <c r="L7" i="21"/>
  <c r="K7" i="21"/>
  <c r="J7" i="21"/>
  <c r="AA215" i="21"/>
  <c r="H7" i="21"/>
  <c r="B210" i="21"/>
  <c r="Y215" i="21"/>
  <c r="C210" i="21"/>
  <c r="F7" i="21"/>
  <c r="D7" i="21"/>
  <c r="AI73" i="21"/>
  <c r="AI82" i="21"/>
  <c r="AF7" i="20"/>
  <c r="E201" i="21"/>
  <c r="F195" i="21"/>
  <c r="AH82" i="21"/>
  <c r="U83" i="21"/>
  <c r="AI83" i="21" s="1"/>
  <c r="T215" i="21"/>
  <c r="AH75" i="21"/>
  <c r="B7" i="21"/>
  <c r="AI75" i="21"/>
  <c r="H104" i="21"/>
  <c r="AS215" i="21"/>
  <c r="AA7" i="21"/>
  <c r="AH73" i="21"/>
  <c r="D236" i="21"/>
  <c r="F200" i="21"/>
  <c r="E193" i="21"/>
  <c r="F103" i="21"/>
  <c r="E93" i="21"/>
  <c r="AS214" i="20"/>
  <c r="AA7" i="20"/>
  <c r="AA6" i="20" s="1"/>
  <c r="AK214" i="20"/>
  <c r="S7" i="20"/>
  <c r="C209" i="20"/>
  <c r="N7" i="20"/>
  <c r="K7" i="20"/>
  <c r="C7" i="20"/>
  <c r="E235" i="20"/>
  <c r="G199" i="20"/>
  <c r="H194" i="20"/>
  <c r="G200" i="20"/>
  <c r="J103" i="20"/>
  <c r="G192" i="20"/>
  <c r="H102" i="20"/>
  <c r="AI73" i="20"/>
  <c r="AH73" i="20"/>
  <c r="B75" i="20"/>
  <c r="AI82" i="20"/>
  <c r="AH82" i="20"/>
  <c r="B83" i="20"/>
  <c r="AQ214" i="20"/>
  <c r="Y7" i="20"/>
  <c r="Y6" i="20" s="1"/>
  <c r="B209" i="20"/>
  <c r="K6" i="20" s="1"/>
  <c r="AI214" i="20"/>
  <c r="Q7" i="20"/>
  <c r="AA214" i="20"/>
  <c r="I7" i="20"/>
  <c r="V7" i="19"/>
  <c r="AB7" i="19"/>
  <c r="Y7" i="19"/>
  <c r="T7" i="19"/>
  <c r="AJ214" i="19"/>
  <c r="Q7" i="19"/>
  <c r="M7" i="19"/>
  <c r="L7" i="19"/>
  <c r="AA214" i="19"/>
  <c r="H7" i="19"/>
  <c r="C209" i="19"/>
  <c r="J7" i="19"/>
  <c r="AB214" i="19"/>
  <c r="C7" i="19"/>
  <c r="Z7" i="19"/>
  <c r="B209" i="19"/>
  <c r="S7" i="19"/>
  <c r="AA7" i="19"/>
  <c r="K7" i="19"/>
  <c r="D235" i="19"/>
  <c r="F199" i="19"/>
  <c r="AI82" i="19"/>
  <c r="AH82" i="19"/>
  <c r="AI73" i="19"/>
  <c r="AH73" i="19"/>
  <c r="E200" i="19"/>
  <c r="H194" i="19"/>
  <c r="E192" i="19"/>
  <c r="F102" i="19"/>
  <c r="F93" i="19"/>
  <c r="G103" i="19"/>
  <c r="H93" i="22" l="1"/>
  <c r="I104" i="22"/>
  <c r="H195" i="22"/>
  <c r="G201" i="22"/>
  <c r="H236" i="22"/>
  <c r="J200" i="22"/>
  <c r="H193" i="22"/>
  <c r="I103" i="22"/>
  <c r="AH83" i="21"/>
  <c r="K6" i="21"/>
  <c r="F193" i="21"/>
  <c r="G103" i="21"/>
  <c r="I104" i="21"/>
  <c r="E236" i="21"/>
  <c r="G200" i="21"/>
  <c r="A7" i="21"/>
  <c r="G195" i="21"/>
  <c r="F201" i="21"/>
  <c r="F93" i="21"/>
  <c r="K103" i="20"/>
  <c r="T214" i="20"/>
  <c r="B7" i="20"/>
  <c r="A7" i="20" s="1"/>
  <c r="AI75" i="20"/>
  <c r="AH75" i="20"/>
  <c r="I194" i="20"/>
  <c r="H200" i="20"/>
  <c r="AI83" i="20"/>
  <c r="AH83" i="20"/>
  <c r="F235" i="20"/>
  <c r="H199" i="20"/>
  <c r="G93" i="20"/>
  <c r="H192" i="20"/>
  <c r="I102" i="20"/>
  <c r="K6" i="19"/>
  <c r="F192" i="19"/>
  <c r="G102" i="19"/>
  <c r="T214" i="19"/>
  <c r="AI75" i="19"/>
  <c r="AH75" i="19"/>
  <c r="A7" i="19"/>
  <c r="E235" i="19"/>
  <c r="G199" i="19"/>
  <c r="G93" i="19" s="1"/>
  <c r="F200" i="19"/>
  <c r="I194" i="19"/>
  <c r="H103" i="19"/>
  <c r="AH83" i="19"/>
  <c r="AI83" i="19"/>
  <c r="I236" i="22" l="1"/>
  <c r="K200" i="22"/>
  <c r="H201" i="22"/>
  <c r="I195" i="22"/>
  <c r="I93" i="22"/>
  <c r="J104" i="22"/>
  <c r="I193" i="22"/>
  <c r="J103" i="22"/>
  <c r="J104" i="21"/>
  <c r="G193" i="21"/>
  <c r="H103" i="21"/>
  <c r="H200" i="21"/>
  <c r="F236" i="21"/>
  <c r="H195" i="21"/>
  <c r="G201" i="21"/>
  <c r="G93" i="21"/>
  <c r="I192" i="20"/>
  <c r="J102" i="20"/>
  <c r="I200" i="20"/>
  <c r="J194" i="20"/>
  <c r="I93" i="20"/>
  <c r="G235" i="20"/>
  <c r="I199" i="20"/>
  <c r="H93" i="20"/>
  <c r="L103" i="20"/>
  <c r="I103" i="19"/>
  <c r="G192" i="19"/>
  <c r="H102" i="19"/>
  <c r="J194" i="19"/>
  <c r="F235" i="19"/>
  <c r="H199" i="19"/>
  <c r="H93" i="19" s="1"/>
  <c r="G200" i="19"/>
  <c r="J195" i="22" l="1"/>
  <c r="I201" i="22"/>
  <c r="J93" i="22"/>
  <c r="K104" i="22"/>
  <c r="J236" i="22"/>
  <c r="L200" i="22"/>
  <c r="J193" i="22"/>
  <c r="K103" i="22"/>
  <c r="G236" i="21"/>
  <c r="I200" i="21"/>
  <c r="H193" i="21"/>
  <c r="I103" i="21"/>
  <c r="K104" i="21"/>
  <c r="I195" i="21"/>
  <c r="H201" i="21"/>
  <c r="H93" i="21"/>
  <c r="M103" i="20"/>
  <c r="J200" i="20"/>
  <c r="K194" i="20"/>
  <c r="J93" i="20"/>
  <c r="J192" i="20"/>
  <c r="K102" i="20"/>
  <c r="H235" i="20"/>
  <c r="J199" i="20"/>
  <c r="H192" i="19"/>
  <c r="I102" i="19"/>
  <c r="J103" i="19"/>
  <c r="K194" i="19"/>
  <c r="G235" i="19"/>
  <c r="I199" i="19"/>
  <c r="H200" i="19"/>
  <c r="K193" i="22" l="1"/>
  <c r="L103" i="22"/>
  <c r="M200" i="22"/>
  <c r="K236" i="22"/>
  <c r="L104" i="22"/>
  <c r="K195" i="22"/>
  <c r="J201" i="22"/>
  <c r="L104" i="21"/>
  <c r="I193" i="21"/>
  <c r="J103" i="21"/>
  <c r="J200" i="21"/>
  <c r="H236" i="21"/>
  <c r="J195" i="21"/>
  <c r="I201" i="21"/>
  <c r="I93" i="21"/>
  <c r="K192" i="20"/>
  <c r="L102" i="20"/>
  <c r="L194" i="20"/>
  <c r="K93" i="20"/>
  <c r="K199" i="20"/>
  <c r="I235" i="20"/>
  <c r="N103" i="20"/>
  <c r="H235" i="19"/>
  <c r="J199" i="19"/>
  <c r="I200" i="19"/>
  <c r="L194" i="19"/>
  <c r="I93" i="19"/>
  <c r="K103" i="19"/>
  <c r="J93" i="19"/>
  <c r="I192" i="19"/>
  <c r="J102" i="19"/>
  <c r="K201" i="22" l="1"/>
  <c r="L195" i="22"/>
  <c r="M104" i="22"/>
  <c r="L93" i="22"/>
  <c r="K93" i="22"/>
  <c r="L236" i="22"/>
  <c r="N200" i="22"/>
  <c r="L193" i="22"/>
  <c r="M103" i="22"/>
  <c r="J201" i="21"/>
  <c r="K195" i="21"/>
  <c r="J93" i="21"/>
  <c r="I236" i="21"/>
  <c r="K200" i="21"/>
  <c r="J193" i="21"/>
  <c r="K103" i="21"/>
  <c r="M104" i="21"/>
  <c r="O103" i="20"/>
  <c r="J235" i="20"/>
  <c r="L199" i="20"/>
  <c r="L200" i="20"/>
  <c r="M194" i="20"/>
  <c r="L93" i="20"/>
  <c r="K200" i="20"/>
  <c r="L192" i="20"/>
  <c r="M102" i="20"/>
  <c r="L103" i="19"/>
  <c r="M194" i="19"/>
  <c r="J192" i="19"/>
  <c r="K102" i="19"/>
  <c r="K199" i="19"/>
  <c r="I235" i="19"/>
  <c r="J200" i="19"/>
  <c r="O200" i="22" l="1"/>
  <c r="M236" i="22"/>
  <c r="N104" i="22"/>
  <c r="M93" i="22"/>
  <c r="M195" i="22"/>
  <c r="L201" i="22"/>
  <c r="M193" i="22"/>
  <c r="N103" i="22"/>
  <c r="N104" i="21"/>
  <c r="K193" i="21"/>
  <c r="L103" i="21"/>
  <c r="L200" i="21"/>
  <c r="J236" i="21"/>
  <c r="K201" i="21"/>
  <c r="L195" i="21"/>
  <c r="K93" i="21"/>
  <c r="N194" i="20"/>
  <c r="K235" i="20"/>
  <c r="M199" i="20"/>
  <c r="M192" i="20"/>
  <c r="N102" i="20"/>
  <c r="P103" i="20"/>
  <c r="J235" i="19"/>
  <c r="L199" i="19"/>
  <c r="K200" i="19"/>
  <c r="K192" i="19"/>
  <c r="L102" i="19"/>
  <c r="N194" i="19"/>
  <c r="K93" i="19"/>
  <c r="M103" i="19"/>
  <c r="L93" i="19"/>
  <c r="N193" i="22" l="1"/>
  <c r="O103" i="22"/>
  <c r="N195" i="22"/>
  <c r="M201" i="22"/>
  <c r="O104" i="22"/>
  <c r="N93" i="22"/>
  <c r="P200" i="22"/>
  <c r="N236" i="22"/>
  <c r="M195" i="21"/>
  <c r="L201" i="21"/>
  <c r="L93" i="21"/>
  <c r="K236" i="21"/>
  <c r="M200" i="21"/>
  <c r="L193" i="21"/>
  <c r="M103" i="21"/>
  <c r="O104" i="21"/>
  <c r="Q103" i="20"/>
  <c r="N192" i="20"/>
  <c r="O102" i="20"/>
  <c r="L235" i="20"/>
  <c r="N199" i="20"/>
  <c r="M93" i="20"/>
  <c r="N200" i="20"/>
  <c r="O194" i="20"/>
  <c r="M200" i="20"/>
  <c r="O194" i="19"/>
  <c r="L192" i="19"/>
  <c r="M102" i="19"/>
  <c r="K235" i="19"/>
  <c r="M199" i="19"/>
  <c r="L200" i="19"/>
  <c r="M93" i="19"/>
  <c r="N103" i="19"/>
  <c r="O195" i="22" l="1"/>
  <c r="N201" i="22"/>
  <c r="O193" i="22"/>
  <c r="P103" i="22"/>
  <c r="O236" i="22"/>
  <c r="Q200" i="22"/>
  <c r="P104" i="22"/>
  <c r="O93" i="22"/>
  <c r="P104" i="21"/>
  <c r="L236" i="21"/>
  <c r="N200" i="21"/>
  <c r="M193" i="21"/>
  <c r="N103" i="21"/>
  <c r="N195" i="21"/>
  <c r="M201" i="21"/>
  <c r="M93" i="21"/>
  <c r="M235" i="20"/>
  <c r="O199" i="20"/>
  <c r="O192" i="20"/>
  <c r="P102" i="20"/>
  <c r="N93" i="20"/>
  <c r="P194" i="20"/>
  <c r="O200" i="20"/>
  <c r="O93" i="20"/>
  <c r="R103" i="20"/>
  <c r="L235" i="19"/>
  <c r="N199" i="19"/>
  <c r="M200" i="19"/>
  <c r="M192" i="19"/>
  <c r="N102" i="19"/>
  <c r="N93" i="19"/>
  <c r="O103" i="19"/>
  <c r="P194" i="19"/>
  <c r="Q104" i="22" l="1"/>
  <c r="P236" i="22"/>
  <c r="R200" i="22"/>
  <c r="P193" i="22"/>
  <c r="Q103" i="22"/>
  <c r="P195" i="22"/>
  <c r="P93" i="22" s="1"/>
  <c r="O201" i="22"/>
  <c r="M236" i="21"/>
  <c r="O200" i="21"/>
  <c r="N201" i="21"/>
  <c r="O195" i="21"/>
  <c r="N93" i="21"/>
  <c r="N193" i="21"/>
  <c r="O103" i="21"/>
  <c r="Q104" i="21"/>
  <c r="Q194" i="20"/>
  <c r="P192" i="20"/>
  <c r="Q102" i="20"/>
  <c r="N235" i="20"/>
  <c r="P199" i="20"/>
  <c r="P200" i="20" s="1"/>
  <c r="S103" i="20"/>
  <c r="Q194" i="19"/>
  <c r="N192" i="19"/>
  <c r="O102" i="19"/>
  <c r="P103" i="19"/>
  <c r="M235" i="19"/>
  <c r="O199" i="19"/>
  <c r="N200" i="19"/>
  <c r="P201" i="22" l="1"/>
  <c r="Q195" i="22"/>
  <c r="Q193" i="22"/>
  <c r="R103" i="22"/>
  <c r="S200" i="22"/>
  <c r="Q236" i="22"/>
  <c r="Q93" i="22"/>
  <c r="R104" i="22"/>
  <c r="O193" i="21"/>
  <c r="P103" i="21"/>
  <c r="P195" i="21"/>
  <c r="O201" i="21"/>
  <c r="O93" i="21"/>
  <c r="N236" i="21"/>
  <c r="P200" i="21"/>
  <c r="R104" i="21"/>
  <c r="P93" i="20"/>
  <c r="Q192" i="20"/>
  <c r="R102" i="20"/>
  <c r="O235" i="20"/>
  <c r="Q199" i="20"/>
  <c r="T103" i="20"/>
  <c r="Q200" i="20"/>
  <c r="R194" i="20"/>
  <c r="N235" i="19"/>
  <c r="P199" i="19"/>
  <c r="O200" i="19"/>
  <c r="Q103" i="19"/>
  <c r="P93" i="19"/>
  <c r="R194" i="19"/>
  <c r="O93" i="19"/>
  <c r="O192" i="19"/>
  <c r="P102" i="19"/>
  <c r="S104" i="22" l="1"/>
  <c r="R193" i="22"/>
  <c r="S103" i="22"/>
  <c r="R236" i="22"/>
  <c r="T200" i="22"/>
  <c r="Q201" i="22"/>
  <c r="R195" i="22"/>
  <c r="S104" i="21"/>
  <c r="O236" i="21"/>
  <c r="Q200" i="21"/>
  <c r="P201" i="21"/>
  <c r="Q195" i="21"/>
  <c r="P93" i="21"/>
  <c r="P193" i="21"/>
  <c r="Q103" i="21"/>
  <c r="U103" i="20"/>
  <c r="P235" i="20"/>
  <c r="R199" i="20"/>
  <c r="R192" i="20"/>
  <c r="S102" i="20"/>
  <c r="Q93" i="20"/>
  <c r="R200" i="20"/>
  <c r="S194" i="20"/>
  <c r="R93" i="20"/>
  <c r="S194" i="19"/>
  <c r="P192" i="19"/>
  <c r="Q102" i="19"/>
  <c r="O235" i="19"/>
  <c r="Q199" i="19"/>
  <c r="P200" i="19"/>
  <c r="Q93" i="19"/>
  <c r="R103" i="19"/>
  <c r="S195" i="22" l="1"/>
  <c r="R201" i="22"/>
  <c r="S236" i="22"/>
  <c r="U200" i="22"/>
  <c r="S193" i="22"/>
  <c r="T103" i="22"/>
  <c r="S93" i="22"/>
  <c r="T104" i="22"/>
  <c r="R93" i="22"/>
  <c r="Q201" i="21"/>
  <c r="R195" i="21"/>
  <c r="Q93" i="21"/>
  <c r="R200" i="21"/>
  <c r="P236" i="21"/>
  <c r="Q193" i="21"/>
  <c r="R103" i="21"/>
  <c r="T104" i="21"/>
  <c r="S199" i="20"/>
  <c r="Q235" i="20"/>
  <c r="S192" i="20"/>
  <c r="T102" i="20"/>
  <c r="S200" i="20"/>
  <c r="T194" i="20"/>
  <c r="S93" i="20"/>
  <c r="V103" i="20"/>
  <c r="Q192" i="19"/>
  <c r="R102" i="19"/>
  <c r="T194" i="19"/>
  <c r="P235" i="19"/>
  <c r="R199" i="19"/>
  <c r="Q200" i="19"/>
  <c r="S103" i="19"/>
  <c r="T236" i="22" l="1"/>
  <c r="V200" i="22"/>
  <c r="U104" i="22"/>
  <c r="T193" i="22"/>
  <c r="U103" i="22"/>
  <c r="S201" i="22"/>
  <c r="T195" i="22"/>
  <c r="R201" i="21"/>
  <c r="S195" i="21"/>
  <c r="R93" i="21"/>
  <c r="R193" i="21"/>
  <c r="S103" i="21"/>
  <c r="S200" i="21"/>
  <c r="Q236" i="21"/>
  <c r="U104" i="21"/>
  <c r="W103" i="20"/>
  <c r="T192" i="20"/>
  <c r="U102" i="20"/>
  <c r="T200" i="20"/>
  <c r="U194" i="20"/>
  <c r="T93" i="20"/>
  <c r="R235" i="20"/>
  <c r="T199" i="20"/>
  <c r="S199" i="19"/>
  <c r="Q235" i="19"/>
  <c r="R200" i="19"/>
  <c r="U194" i="19"/>
  <c r="R192" i="19"/>
  <c r="S102" i="19"/>
  <c r="T103" i="19"/>
  <c r="S93" i="19"/>
  <c r="R93" i="19"/>
  <c r="T201" i="22" l="1"/>
  <c r="U195" i="22"/>
  <c r="U193" i="22"/>
  <c r="V103" i="22"/>
  <c r="V104" i="22"/>
  <c r="U93" i="22"/>
  <c r="T93" i="22"/>
  <c r="W200" i="22"/>
  <c r="U236" i="22"/>
  <c r="S193" i="21"/>
  <c r="T103" i="21"/>
  <c r="T200" i="21"/>
  <c r="R236" i="21"/>
  <c r="V104" i="21"/>
  <c r="S201" i="21"/>
  <c r="T195" i="21"/>
  <c r="S93" i="21"/>
  <c r="V194" i="20"/>
  <c r="U93" i="20"/>
  <c r="U192" i="20"/>
  <c r="V102" i="20"/>
  <c r="S235" i="20"/>
  <c r="U199" i="20"/>
  <c r="X103" i="20"/>
  <c r="V194" i="19"/>
  <c r="S192" i="19"/>
  <c r="T102" i="19"/>
  <c r="U103" i="19"/>
  <c r="T93" i="19"/>
  <c r="R235" i="19"/>
  <c r="T199" i="19"/>
  <c r="S200" i="19"/>
  <c r="V236" i="22" l="1"/>
  <c r="X200" i="22"/>
  <c r="W104" i="22"/>
  <c r="V93" i="22"/>
  <c r="V193" i="22"/>
  <c r="W103" i="22"/>
  <c r="V195" i="22"/>
  <c r="U201" i="22"/>
  <c r="W104" i="21"/>
  <c r="U200" i="21"/>
  <c r="S236" i="21"/>
  <c r="T201" i="21"/>
  <c r="U195" i="21"/>
  <c r="T93" i="21"/>
  <c r="T193" i="21"/>
  <c r="U103" i="21"/>
  <c r="T235" i="20"/>
  <c r="V199" i="20"/>
  <c r="V192" i="20"/>
  <c r="W102" i="20"/>
  <c r="W194" i="20"/>
  <c r="V200" i="20"/>
  <c r="V93" i="20"/>
  <c r="Y103" i="20"/>
  <c r="U200" i="20"/>
  <c r="S235" i="19"/>
  <c r="U199" i="19"/>
  <c r="T200" i="19"/>
  <c r="V103" i="19"/>
  <c r="U93" i="19"/>
  <c r="T192" i="19"/>
  <c r="U102" i="19"/>
  <c r="W194" i="19"/>
  <c r="W193" i="22" l="1"/>
  <c r="X103" i="22"/>
  <c r="X104" i="22"/>
  <c r="W93" i="22"/>
  <c r="W236" i="22"/>
  <c r="Y200" i="22"/>
  <c r="W195" i="22"/>
  <c r="V201" i="22"/>
  <c r="V195" i="21"/>
  <c r="U201" i="21"/>
  <c r="U93" i="21"/>
  <c r="V200" i="21"/>
  <c r="T236" i="21"/>
  <c r="U193" i="21"/>
  <c r="V103" i="21"/>
  <c r="X104" i="21"/>
  <c r="X194" i="20"/>
  <c r="U235" i="20"/>
  <c r="W199" i="20"/>
  <c r="W93" i="20" s="1"/>
  <c r="W192" i="20"/>
  <c r="X102" i="20"/>
  <c r="Z103" i="20"/>
  <c r="U192" i="19"/>
  <c r="V102" i="19"/>
  <c r="W103" i="19"/>
  <c r="T235" i="19"/>
  <c r="V199" i="19"/>
  <c r="V93" i="19" s="1"/>
  <c r="U200" i="19"/>
  <c r="X194" i="19"/>
  <c r="X195" i="22" l="1"/>
  <c r="W201" i="22"/>
  <c r="Y104" i="22"/>
  <c r="X93" i="22"/>
  <c r="X193" i="22"/>
  <c r="Y103" i="22"/>
  <c r="X236" i="22"/>
  <c r="Z200" i="22"/>
  <c r="V193" i="21"/>
  <c r="W103" i="21"/>
  <c r="U236" i="21"/>
  <c r="W200" i="21"/>
  <c r="Y104" i="21"/>
  <c r="W195" i="21"/>
  <c r="V201" i="21"/>
  <c r="V93" i="21"/>
  <c r="X192" i="20"/>
  <c r="Y102" i="20"/>
  <c r="V235" i="20"/>
  <c r="X199" i="20"/>
  <c r="W200" i="20"/>
  <c r="AA103" i="20"/>
  <c r="Y194" i="20"/>
  <c r="Y194" i="19"/>
  <c r="U235" i="19"/>
  <c r="W199" i="19"/>
  <c r="V200" i="19"/>
  <c r="X103" i="19"/>
  <c r="W93" i="19"/>
  <c r="V192" i="19"/>
  <c r="W102" i="19"/>
  <c r="Z104" i="22" l="1"/>
  <c r="Y236" i="22"/>
  <c r="AA200" i="22"/>
  <c r="Y193" i="22"/>
  <c r="Z103" i="22"/>
  <c r="X201" i="22"/>
  <c r="Y195" i="22"/>
  <c r="V236" i="21"/>
  <c r="X200" i="21"/>
  <c r="Z104" i="21"/>
  <c r="W193" i="21"/>
  <c r="X103" i="21"/>
  <c r="X195" i="21"/>
  <c r="W201" i="21"/>
  <c r="W93" i="21"/>
  <c r="W235" i="20"/>
  <c r="Y199" i="20"/>
  <c r="Y200" i="20"/>
  <c r="Z194" i="20"/>
  <c r="Y93" i="20"/>
  <c r="X93" i="20"/>
  <c r="Y192" i="20"/>
  <c r="Z102" i="20"/>
  <c r="AB103" i="20"/>
  <c r="X200" i="20"/>
  <c r="Y103" i="19"/>
  <c r="X93" i="19"/>
  <c r="V235" i="19"/>
  <c r="X199" i="19"/>
  <c r="W200" i="19"/>
  <c r="Z194" i="19"/>
  <c r="W192" i="19"/>
  <c r="X102" i="19"/>
  <c r="Z193" i="22" l="1"/>
  <c r="AA103" i="22"/>
  <c r="Z236" i="22"/>
  <c r="AB200" i="22"/>
  <c r="Y201" i="22"/>
  <c r="Z195" i="22"/>
  <c r="Y93" i="22"/>
  <c r="Z93" i="22"/>
  <c r="AA104" i="22"/>
  <c r="X193" i="21"/>
  <c r="Y103" i="21"/>
  <c r="Y195" i="21"/>
  <c r="X201" i="21"/>
  <c r="X93" i="21"/>
  <c r="AA104" i="21"/>
  <c r="W236" i="21"/>
  <c r="Y200" i="21"/>
  <c r="Z192" i="20"/>
  <c r="AA102" i="20"/>
  <c r="Z200" i="20"/>
  <c r="AA194" i="20"/>
  <c r="Z93" i="20"/>
  <c r="AC103" i="20"/>
  <c r="X235" i="20"/>
  <c r="Z199" i="20"/>
  <c r="AA194" i="19"/>
  <c r="W235" i="19"/>
  <c r="Y199" i="19"/>
  <c r="X200" i="19"/>
  <c r="X192" i="19"/>
  <c r="Y102" i="19"/>
  <c r="Y93" i="19"/>
  <c r="Z103" i="19"/>
  <c r="Z201" i="22" l="1"/>
  <c r="AA195" i="22"/>
  <c r="AC200" i="22"/>
  <c r="AA236" i="22"/>
  <c r="AA193" i="22"/>
  <c r="AB103" i="22"/>
  <c r="AA93" i="22"/>
  <c r="AB104" i="22"/>
  <c r="Y201" i="21"/>
  <c r="Z195" i="21"/>
  <c r="Y93" i="21"/>
  <c r="Y193" i="21"/>
  <c r="Z103" i="21"/>
  <c r="AB104" i="21"/>
  <c r="Z200" i="21"/>
  <c r="X236" i="21"/>
  <c r="AB194" i="20"/>
  <c r="AD103" i="20"/>
  <c r="AA192" i="20"/>
  <c r="AB102" i="20"/>
  <c r="AA199" i="20"/>
  <c r="Y235" i="20"/>
  <c r="Y192" i="19"/>
  <c r="Z102" i="19"/>
  <c r="AB194" i="19"/>
  <c r="X235" i="19"/>
  <c r="Z199" i="19"/>
  <c r="Y200" i="19"/>
  <c r="AA103" i="19"/>
  <c r="AC104" i="22" l="1"/>
  <c r="AD200" i="22"/>
  <c r="AB236" i="22"/>
  <c r="AA201" i="22"/>
  <c r="AB195" i="22"/>
  <c r="AB193" i="22"/>
  <c r="AC103" i="22"/>
  <c r="AC104" i="21"/>
  <c r="Z201" i="21"/>
  <c r="AA195" i="21"/>
  <c r="Z93" i="21"/>
  <c r="Y236" i="21"/>
  <c r="AA200" i="21"/>
  <c r="Z193" i="21"/>
  <c r="AA103" i="21"/>
  <c r="Z235" i="20"/>
  <c r="AB199" i="20"/>
  <c r="AB192" i="20"/>
  <c r="AC102" i="20"/>
  <c r="AA93" i="20"/>
  <c r="AB200" i="20"/>
  <c r="AC194" i="20"/>
  <c r="AB93" i="20"/>
  <c r="AE103" i="20"/>
  <c r="AA200" i="20"/>
  <c r="AC194" i="19"/>
  <c r="AB103" i="19"/>
  <c r="AA93" i="19"/>
  <c r="AA199" i="19"/>
  <c r="Y235" i="19"/>
  <c r="Z200" i="19"/>
  <c r="Z192" i="19"/>
  <c r="AA102" i="19"/>
  <c r="Z93" i="19"/>
  <c r="AC193" i="22" l="1"/>
  <c r="AD103" i="22"/>
  <c r="AC195" i="22"/>
  <c r="AB201" i="22"/>
  <c r="AE200" i="22"/>
  <c r="AC236" i="22"/>
  <c r="AC93" i="22"/>
  <c r="AD104" i="22"/>
  <c r="AB93" i="22"/>
  <c r="AB200" i="21"/>
  <c r="Z236" i="21"/>
  <c r="AA201" i="21"/>
  <c r="AB195" i="21"/>
  <c r="AA93" i="21"/>
  <c r="AA193" i="21"/>
  <c r="AB103" i="21"/>
  <c r="AD104" i="21"/>
  <c r="AC192" i="20"/>
  <c r="AD102" i="20"/>
  <c r="AD194" i="20"/>
  <c r="AC93" i="20"/>
  <c r="AA235" i="20"/>
  <c r="AC199" i="20"/>
  <c r="AF103" i="20"/>
  <c r="AC103" i="19"/>
  <c r="AD194" i="19"/>
  <c r="Z235" i="19"/>
  <c r="AB199" i="19"/>
  <c r="AA200" i="19"/>
  <c r="AA192" i="19"/>
  <c r="AB102" i="19"/>
  <c r="AE104" i="22" l="1"/>
  <c r="AD236" i="22"/>
  <c r="AF200" i="22"/>
  <c r="AD195" i="22"/>
  <c r="AD93" i="22" s="1"/>
  <c r="AC201" i="22"/>
  <c r="AD193" i="22"/>
  <c r="AE103" i="22"/>
  <c r="AB201" i="21"/>
  <c r="AC195" i="21"/>
  <c r="AB93" i="21"/>
  <c r="AB193" i="21"/>
  <c r="AC103" i="21"/>
  <c r="AE104" i="21"/>
  <c r="AA236" i="21"/>
  <c r="AC200" i="21"/>
  <c r="AB235" i="20"/>
  <c r="AD199" i="20"/>
  <c r="AC200" i="20"/>
  <c r="AE194" i="20"/>
  <c r="AD200" i="20"/>
  <c r="AD93" i="20"/>
  <c r="AD192" i="20"/>
  <c r="AE102" i="20"/>
  <c r="B103" i="20"/>
  <c r="AA235" i="19"/>
  <c r="AC199" i="19"/>
  <c r="AB200" i="19"/>
  <c r="AE194" i="19"/>
  <c r="AB93" i="19"/>
  <c r="AB192" i="19"/>
  <c r="AC102" i="19"/>
  <c r="AD103" i="19"/>
  <c r="AC93" i="19"/>
  <c r="AE193" i="22" l="1"/>
  <c r="AF103" i="22"/>
  <c r="AE236" i="22"/>
  <c r="B200" i="22"/>
  <c r="AF236" i="22" s="1"/>
  <c r="AE195" i="22"/>
  <c r="AD201" i="22"/>
  <c r="AF104" i="22"/>
  <c r="AE93" i="22"/>
  <c r="AC193" i="21"/>
  <c r="AD103" i="21"/>
  <c r="AC201" i="21"/>
  <c r="AD195" i="21"/>
  <c r="AC93" i="21"/>
  <c r="AF104" i="21"/>
  <c r="AD200" i="21"/>
  <c r="AB236" i="21"/>
  <c r="AE192" i="20"/>
  <c r="AF102" i="20"/>
  <c r="AF194" i="20"/>
  <c r="AE93" i="20"/>
  <c r="AC235" i="20"/>
  <c r="AE199" i="20"/>
  <c r="AF194" i="19"/>
  <c r="AB235" i="19"/>
  <c r="AD199" i="19"/>
  <c r="AC200" i="19"/>
  <c r="AC192" i="19"/>
  <c r="AD102" i="19"/>
  <c r="AE103" i="19"/>
  <c r="B104" i="22" l="1"/>
  <c r="AF93" i="22"/>
  <c r="AF195" i="22"/>
  <c r="AE201" i="22"/>
  <c r="AF193" i="22"/>
  <c r="B103" i="22"/>
  <c r="B193" i="22" s="1"/>
  <c r="AC236" i="21"/>
  <c r="AE200" i="21"/>
  <c r="AE195" i="21"/>
  <c r="AD201" i="21"/>
  <c r="AD93" i="21"/>
  <c r="AD193" i="21"/>
  <c r="AE103" i="21"/>
  <c r="B104" i="21"/>
  <c r="AD235" i="20"/>
  <c r="AF199" i="20"/>
  <c r="AE200" i="20"/>
  <c r="AF200" i="20"/>
  <c r="B194" i="20"/>
  <c r="AF93" i="20"/>
  <c r="AF192" i="20"/>
  <c r="B102" i="20"/>
  <c r="B192" i="20" s="1"/>
  <c r="AF103" i="19"/>
  <c r="AC235" i="19"/>
  <c r="AE199" i="19"/>
  <c r="AD200" i="19"/>
  <c r="AD192" i="19"/>
  <c r="AE102" i="19"/>
  <c r="AD93" i="19"/>
  <c r="B194" i="19"/>
  <c r="AF201" i="22" l="1"/>
  <c r="B195" i="22"/>
  <c r="B201" i="22" s="1"/>
  <c r="AH93" i="22"/>
  <c r="AI93" i="22"/>
  <c r="B93" i="22"/>
  <c r="AE193" i="21"/>
  <c r="AF103" i="21"/>
  <c r="AF195" i="21"/>
  <c r="AE201" i="21"/>
  <c r="AE93" i="21"/>
  <c r="AD236" i="21"/>
  <c r="AF200" i="21"/>
  <c r="AH93" i="20"/>
  <c r="AI93" i="20"/>
  <c r="B93" i="20"/>
  <c r="B199" i="20"/>
  <c r="AF235" i="20" s="1"/>
  <c r="AE235" i="20"/>
  <c r="AE192" i="19"/>
  <c r="AF102" i="19"/>
  <c r="AD235" i="19"/>
  <c r="AF199" i="19"/>
  <c r="AE200" i="19"/>
  <c r="AF93" i="19"/>
  <c r="B103" i="19"/>
  <c r="AE93" i="19"/>
  <c r="AE236" i="21" l="1"/>
  <c r="B200" i="21"/>
  <c r="AF236" i="21" s="1"/>
  <c r="AF201" i="21"/>
  <c r="B195" i="21"/>
  <c r="AF93" i="21"/>
  <c r="AF193" i="21"/>
  <c r="B103" i="21"/>
  <c r="B193" i="21" s="1"/>
  <c r="B200" i="20"/>
  <c r="B199" i="19"/>
  <c r="AE235" i="19"/>
  <c r="AF200" i="19"/>
  <c r="AF192" i="19"/>
  <c r="B102" i="19"/>
  <c r="B192" i="19" s="1"/>
  <c r="AI93" i="19"/>
  <c r="AH93" i="19"/>
  <c r="AI93" i="21" l="1"/>
  <c r="AH93" i="21"/>
  <c r="B201" i="21"/>
  <c r="B93" i="21"/>
  <c r="AF235" i="19"/>
  <c r="B200" i="19"/>
  <c r="B93" i="19"/>
  <c r="T95" i="17" l="1"/>
  <c r="T37" i="17"/>
  <c r="S95" i="17"/>
  <c r="S37" i="17"/>
  <c r="R37" i="17" l="1"/>
  <c r="Q37" i="17" l="1"/>
  <c r="AK80" i="16"/>
  <c r="AK79" i="16"/>
  <c r="P37" i="17"/>
  <c r="O95" i="17"/>
  <c r="O37" i="17"/>
  <c r="N37" i="17"/>
  <c r="M37" i="17"/>
  <c r="H37" i="17" l="1"/>
  <c r="G37" i="17"/>
  <c r="F37" i="17"/>
  <c r="D95" i="17"/>
  <c r="E95" i="17"/>
  <c r="C37" i="17"/>
  <c r="B93" i="17"/>
  <c r="B80" i="17"/>
  <c r="B79" i="17"/>
  <c r="B78" i="17"/>
  <c r="B77" i="17"/>
  <c r="B76" i="17"/>
  <c r="B82" i="17" s="1"/>
  <c r="B68" i="17"/>
  <c r="B56" i="17"/>
  <c r="B52" i="17"/>
  <c r="B38" i="17"/>
  <c r="B37" i="17"/>
  <c r="AF37" i="16"/>
  <c r="AE37" i="16"/>
  <c r="AD37" i="16"/>
  <c r="AC37" i="16"/>
  <c r="AF239" i="17"/>
  <c r="AE239" i="17"/>
  <c r="AD239" i="17"/>
  <c r="AC239" i="17"/>
  <c r="AB239" i="17"/>
  <c r="AA239" i="17"/>
  <c r="Z239" i="17"/>
  <c r="Y239" i="17"/>
  <c r="X239" i="17"/>
  <c r="W239" i="17"/>
  <c r="V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B239" i="17"/>
  <c r="A239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C235" i="17"/>
  <c r="B235" i="17"/>
  <c r="S210" i="17"/>
  <c r="AG200" i="17"/>
  <c r="D200" i="17"/>
  <c r="C200" i="17"/>
  <c r="F199" i="17"/>
  <c r="E199" i="17"/>
  <c r="D235" i="17" s="1"/>
  <c r="D199" i="17"/>
  <c r="I198" i="17"/>
  <c r="J198" i="17" s="1"/>
  <c r="K198" i="17" s="1"/>
  <c r="L198" i="17" s="1"/>
  <c r="M198" i="17" s="1"/>
  <c r="N198" i="17" s="1"/>
  <c r="O198" i="17" s="1"/>
  <c r="P198" i="17" s="1"/>
  <c r="Q198" i="17" s="1"/>
  <c r="R198" i="17" s="1"/>
  <c r="S198" i="17" s="1"/>
  <c r="T198" i="17" s="1"/>
  <c r="U198" i="17" s="1"/>
  <c r="V198" i="17" s="1"/>
  <c r="W198" i="17" s="1"/>
  <c r="X198" i="17" s="1"/>
  <c r="Y198" i="17" s="1"/>
  <c r="Z198" i="17" s="1"/>
  <c r="AA198" i="17" s="1"/>
  <c r="AB198" i="17" s="1"/>
  <c r="AC198" i="17" s="1"/>
  <c r="AD198" i="17" s="1"/>
  <c r="AE198" i="17" s="1"/>
  <c r="AF198" i="17" s="1"/>
  <c r="B198" i="17" s="1"/>
  <c r="D198" i="17"/>
  <c r="E198" i="17" s="1"/>
  <c r="F198" i="17" s="1"/>
  <c r="G198" i="17" s="1"/>
  <c r="H198" i="17" s="1"/>
  <c r="G197" i="17"/>
  <c r="H197" i="17" s="1"/>
  <c r="I197" i="17" s="1"/>
  <c r="J197" i="17" s="1"/>
  <c r="K197" i="17" s="1"/>
  <c r="L197" i="17" s="1"/>
  <c r="M197" i="17" s="1"/>
  <c r="N197" i="17" s="1"/>
  <c r="O197" i="17" s="1"/>
  <c r="P197" i="17" s="1"/>
  <c r="Q197" i="17" s="1"/>
  <c r="R197" i="17" s="1"/>
  <c r="S197" i="17" s="1"/>
  <c r="T197" i="17" s="1"/>
  <c r="U197" i="17" s="1"/>
  <c r="V197" i="17" s="1"/>
  <c r="W197" i="17" s="1"/>
  <c r="X197" i="17" s="1"/>
  <c r="Y197" i="17" s="1"/>
  <c r="Z197" i="17" s="1"/>
  <c r="AA197" i="17" s="1"/>
  <c r="AB197" i="17" s="1"/>
  <c r="AC197" i="17" s="1"/>
  <c r="AD197" i="17" s="1"/>
  <c r="AE197" i="17" s="1"/>
  <c r="AF197" i="17" s="1"/>
  <c r="B197" i="17" s="1"/>
  <c r="E197" i="17"/>
  <c r="F197" i="17" s="1"/>
  <c r="D197" i="17"/>
  <c r="E196" i="17"/>
  <c r="F196" i="17" s="1"/>
  <c r="G196" i="17" s="1"/>
  <c r="H196" i="17" s="1"/>
  <c r="I196" i="17" s="1"/>
  <c r="J196" i="17" s="1"/>
  <c r="K196" i="17" s="1"/>
  <c r="L196" i="17" s="1"/>
  <c r="M196" i="17" s="1"/>
  <c r="N196" i="17" s="1"/>
  <c r="O196" i="17" s="1"/>
  <c r="P196" i="17" s="1"/>
  <c r="Q196" i="17" s="1"/>
  <c r="R196" i="17" s="1"/>
  <c r="S196" i="17" s="1"/>
  <c r="T196" i="17" s="1"/>
  <c r="U196" i="17" s="1"/>
  <c r="V196" i="17" s="1"/>
  <c r="W196" i="17" s="1"/>
  <c r="X196" i="17" s="1"/>
  <c r="Y196" i="17" s="1"/>
  <c r="Z196" i="17" s="1"/>
  <c r="AA196" i="17" s="1"/>
  <c r="AB196" i="17" s="1"/>
  <c r="AC196" i="17" s="1"/>
  <c r="AD196" i="17" s="1"/>
  <c r="AE196" i="17" s="1"/>
  <c r="AF196" i="17" s="1"/>
  <c r="B196" i="17" s="1"/>
  <c r="D196" i="17"/>
  <c r="E195" i="17"/>
  <c r="F195" i="17" s="1"/>
  <c r="G195" i="17" s="1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AD195" i="17" s="1"/>
  <c r="AE195" i="17" s="1"/>
  <c r="AF195" i="17" s="1"/>
  <c r="B195" i="17" s="1"/>
  <c r="D195" i="17"/>
  <c r="D194" i="17"/>
  <c r="E194" i="17" s="1"/>
  <c r="AG192" i="17"/>
  <c r="C192" i="17"/>
  <c r="P191" i="17"/>
  <c r="Q191" i="17" s="1"/>
  <c r="R191" i="17" s="1"/>
  <c r="S191" i="17" s="1"/>
  <c r="T191" i="17" s="1"/>
  <c r="U191" i="17" s="1"/>
  <c r="V191" i="17" s="1"/>
  <c r="W191" i="17" s="1"/>
  <c r="X191" i="17" s="1"/>
  <c r="Y191" i="17" s="1"/>
  <c r="Z191" i="17" s="1"/>
  <c r="AA191" i="17" s="1"/>
  <c r="AB191" i="17" s="1"/>
  <c r="AC191" i="17" s="1"/>
  <c r="AD191" i="17" s="1"/>
  <c r="AE191" i="17" s="1"/>
  <c r="AF191" i="17" s="1"/>
  <c r="B191" i="17" s="1"/>
  <c r="E191" i="17"/>
  <c r="F191" i="17" s="1"/>
  <c r="G191" i="17" s="1"/>
  <c r="H191" i="17" s="1"/>
  <c r="I191" i="17" s="1"/>
  <c r="J191" i="17" s="1"/>
  <c r="K191" i="17" s="1"/>
  <c r="L191" i="17" s="1"/>
  <c r="M191" i="17" s="1"/>
  <c r="N191" i="17" s="1"/>
  <c r="O191" i="17" s="1"/>
  <c r="D191" i="17"/>
  <c r="E190" i="17"/>
  <c r="F190" i="17" s="1"/>
  <c r="G190" i="17" s="1"/>
  <c r="H190" i="17" s="1"/>
  <c r="I190" i="17" s="1"/>
  <c r="J190" i="17" s="1"/>
  <c r="K190" i="17" s="1"/>
  <c r="L190" i="17" s="1"/>
  <c r="M190" i="17" s="1"/>
  <c r="N190" i="17" s="1"/>
  <c r="O190" i="17" s="1"/>
  <c r="P190" i="17" s="1"/>
  <c r="Q190" i="17" s="1"/>
  <c r="R190" i="17" s="1"/>
  <c r="S190" i="17" s="1"/>
  <c r="T190" i="17" s="1"/>
  <c r="U190" i="17" s="1"/>
  <c r="V190" i="17" s="1"/>
  <c r="W190" i="17" s="1"/>
  <c r="X190" i="17" s="1"/>
  <c r="Y190" i="17" s="1"/>
  <c r="Z190" i="17" s="1"/>
  <c r="AA190" i="17" s="1"/>
  <c r="AB190" i="17" s="1"/>
  <c r="AC190" i="17" s="1"/>
  <c r="AD190" i="17" s="1"/>
  <c r="AE190" i="17" s="1"/>
  <c r="AF190" i="17" s="1"/>
  <c r="B190" i="17" s="1"/>
  <c r="D190" i="17"/>
  <c r="N189" i="17"/>
  <c r="O189" i="17" s="1"/>
  <c r="P189" i="17" s="1"/>
  <c r="Q189" i="17" s="1"/>
  <c r="R189" i="17" s="1"/>
  <c r="S189" i="17" s="1"/>
  <c r="T189" i="17" s="1"/>
  <c r="U189" i="17" s="1"/>
  <c r="V189" i="17" s="1"/>
  <c r="W189" i="17" s="1"/>
  <c r="X189" i="17" s="1"/>
  <c r="Y189" i="17" s="1"/>
  <c r="Z189" i="17" s="1"/>
  <c r="AA189" i="17" s="1"/>
  <c r="AB189" i="17" s="1"/>
  <c r="AC189" i="17" s="1"/>
  <c r="AD189" i="17" s="1"/>
  <c r="AE189" i="17" s="1"/>
  <c r="AF189" i="17" s="1"/>
  <c r="B189" i="17" s="1"/>
  <c r="D189" i="17"/>
  <c r="E189" i="17" s="1"/>
  <c r="F189" i="17" s="1"/>
  <c r="G189" i="17" s="1"/>
  <c r="H189" i="17" s="1"/>
  <c r="I189" i="17" s="1"/>
  <c r="J189" i="17" s="1"/>
  <c r="K189" i="17" s="1"/>
  <c r="L189" i="17" s="1"/>
  <c r="M189" i="17" s="1"/>
  <c r="G188" i="17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B188" i="17" s="1"/>
  <c r="E188" i="17"/>
  <c r="F188" i="17" s="1"/>
  <c r="D188" i="17"/>
  <c r="E187" i="17"/>
  <c r="F187" i="17" s="1"/>
  <c r="G187" i="17" s="1"/>
  <c r="H187" i="17" s="1"/>
  <c r="I187" i="17" s="1"/>
  <c r="J187" i="17" s="1"/>
  <c r="K187" i="17" s="1"/>
  <c r="L187" i="17" s="1"/>
  <c r="M187" i="17" s="1"/>
  <c r="N187" i="17" s="1"/>
  <c r="O187" i="17" s="1"/>
  <c r="P187" i="17" s="1"/>
  <c r="Q187" i="17" s="1"/>
  <c r="R187" i="17" s="1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B187" i="17" s="1"/>
  <c r="D187" i="17"/>
  <c r="E186" i="17"/>
  <c r="F186" i="17" s="1"/>
  <c r="G186" i="17" s="1"/>
  <c r="H186" i="17" s="1"/>
  <c r="I186" i="17" s="1"/>
  <c r="J186" i="17" s="1"/>
  <c r="K186" i="17" s="1"/>
  <c r="L186" i="17" s="1"/>
  <c r="M186" i="17" s="1"/>
  <c r="N186" i="17" s="1"/>
  <c r="O186" i="17" s="1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B186" i="17" s="1"/>
  <c r="D186" i="17"/>
  <c r="D185" i="17"/>
  <c r="E185" i="17" s="1"/>
  <c r="F185" i="17" s="1"/>
  <c r="G185" i="17" s="1"/>
  <c r="H185" i="17" s="1"/>
  <c r="I185" i="17" s="1"/>
  <c r="J185" i="17" s="1"/>
  <c r="K185" i="17" s="1"/>
  <c r="L185" i="17" s="1"/>
  <c r="M185" i="17" s="1"/>
  <c r="N185" i="17" s="1"/>
  <c r="O185" i="17" s="1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B185" i="17" s="1"/>
  <c r="D184" i="17"/>
  <c r="E184" i="17" s="1"/>
  <c r="F184" i="17" s="1"/>
  <c r="G184" i="17" s="1"/>
  <c r="H184" i="17" s="1"/>
  <c r="I184" i="17" s="1"/>
  <c r="J184" i="17" s="1"/>
  <c r="K184" i="17" s="1"/>
  <c r="L184" i="17" s="1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AA184" i="17" s="1"/>
  <c r="AB184" i="17" s="1"/>
  <c r="AC184" i="17" s="1"/>
  <c r="AD184" i="17" s="1"/>
  <c r="AE184" i="17" s="1"/>
  <c r="AF184" i="17" s="1"/>
  <c r="B184" i="17" s="1"/>
  <c r="P183" i="17"/>
  <c r="Q183" i="17" s="1"/>
  <c r="R183" i="17" s="1"/>
  <c r="S183" i="17" s="1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B183" i="17" s="1"/>
  <c r="E183" i="17"/>
  <c r="F183" i="17" s="1"/>
  <c r="G183" i="17" s="1"/>
  <c r="H183" i="17" s="1"/>
  <c r="I183" i="17" s="1"/>
  <c r="J183" i="17" s="1"/>
  <c r="K183" i="17" s="1"/>
  <c r="L183" i="17" s="1"/>
  <c r="M183" i="17" s="1"/>
  <c r="N183" i="17" s="1"/>
  <c r="O183" i="17" s="1"/>
  <c r="D183" i="17"/>
  <c r="E182" i="17"/>
  <c r="F182" i="17" s="1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B182" i="17" s="1"/>
  <c r="D182" i="17"/>
  <c r="N181" i="17"/>
  <c r="O181" i="17" s="1"/>
  <c r="P181" i="17" s="1"/>
  <c r="Q181" i="17" s="1"/>
  <c r="R181" i="17" s="1"/>
  <c r="S181" i="17" s="1"/>
  <c r="T181" i="17" s="1"/>
  <c r="U181" i="17" s="1"/>
  <c r="V181" i="17" s="1"/>
  <c r="W181" i="17" s="1"/>
  <c r="X181" i="17" s="1"/>
  <c r="Y181" i="17" s="1"/>
  <c r="Z181" i="17" s="1"/>
  <c r="AA181" i="17" s="1"/>
  <c r="AB181" i="17" s="1"/>
  <c r="AC181" i="17" s="1"/>
  <c r="AD181" i="17" s="1"/>
  <c r="AE181" i="17" s="1"/>
  <c r="AF181" i="17" s="1"/>
  <c r="B181" i="17" s="1"/>
  <c r="D181" i="17"/>
  <c r="E181" i="17" s="1"/>
  <c r="F181" i="17" s="1"/>
  <c r="G181" i="17" s="1"/>
  <c r="H181" i="17" s="1"/>
  <c r="I181" i="17" s="1"/>
  <c r="J181" i="17" s="1"/>
  <c r="K181" i="17" s="1"/>
  <c r="L181" i="17" s="1"/>
  <c r="M181" i="17" s="1"/>
  <c r="D180" i="17"/>
  <c r="E180" i="17" s="1"/>
  <c r="F180" i="17" s="1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B180" i="17" s="1"/>
  <c r="G179" i="17"/>
  <c r="H179" i="17" s="1"/>
  <c r="I179" i="17" s="1"/>
  <c r="J179" i="17" s="1"/>
  <c r="K179" i="17" s="1"/>
  <c r="L179" i="17" s="1"/>
  <c r="M179" i="17" s="1"/>
  <c r="N179" i="17" s="1"/>
  <c r="O179" i="17" s="1"/>
  <c r="P179" i="17" s="1"/>
  <c r="Q179" i="17" s="1"/>
  <c r="R179" i="17" s="1"/>
  <c r="S179" i="17" s="1"/>
  <c r="T179" i="17" s="1"/>
  <c r="U179" i="17" s="1"/>
  <c r="V179" i="17" s="1"/>
  <c r="W179" i="17" s="1"/>
  <c r="X179" i="17" s="1"/>
  <c r="Y179" i="17" s="1"/>
  <c r="Z179" i="17" s="1"/>
  <c r="AA179" i="17" s="1"/>
  <c r="AB179" i="17" s="1"/>
  <c r="AC179" i="17" s="1"/>
  <c r="AD179" i="17" s="1"/>
  <c r="AE179" i="17" s="1"/>
  <c r="AF179" i="17" s="1"/>
  <c r="B179" i="17" s="1"/>
  <c r="D179" i="17"/>
  <c r="E179" i="17" s="1"/>
  <c r="F179" i="17" s="1"/>
  <c r="F177" i="17"/>
  <c r="G177" i="17" s="1"/>
  <c r="H177" i="17" s="1"/>
  <c r="I177" i="17" s="1"/>
  <c r="J177" i="17" s="1"/>
  <c r="K177" i="17" s="1"/>
  <c r="L177" i="17" s="1"/>
  <c r="M177" i="17" s="1"/>
  <c r="N177" i="17" s="1"/>
  <c r="O177" i="17" s="1"/>
  <c r="P177" i="17" s="1"/>
  <c r="Q177" i="17" s="1"/>
  <c r="R177" i="17" s="1"/>
  <c r="S177" i="17" s="1"/>
  <c r="T177" i="17" s="1"/>
  <c r="U177" i="17" s="1"/>
  <c r="V177" i="17" s="1"/>
  <c r="W177" i="17" s="1"/>
  <c r="X177" i="17" s="1"/>
  <c r="Y177" i="17" s="1"/>
  <c r="Z177" i="17" s="1"/>
  <c r="AA177" i="17" s="1"/>
  <c r="AB177" i="17" s="1"/>
  <c r="AC177" i="17" s="1"/>
  <c r="AD177" i="17" s="1"/>
  <c r="AE177" i="17" s="1"/>
  <c r="AF177" i="17" s="1"/>
  <c r="B177" i="17" s="1"/>
  <c r="E177" i="17"/>
  <c r="D177" i="17"/>
  <c r="D176" i="17"/>
  <c r="E176" i="17" s="1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B176" i="17"/>
  <c r="D175" i="17"/>
  <c r="E175" i="17" s="1"/>
  <c r="F175" i="17" s="1"/>
  <c r="G175" i="17" s="1"/>
  <c r="H175" i="17" s="1"/>
  <c r="I175" i="17" s="1"/>
  <c r="J175" i="17" s="1"/>
  <c r="K175" i="17" s="1"/>
  <c r="L175" i="17" s="1"/>
  <c r="M175" i="17" s="1"/>
  <c r="N175" i="17" s="1"/>
  <c r="O175" i="17" s="1"/>
  <c r="P175" i="17" s="1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B175" i="17" s="1"/>
  <c r="D174" i="17"/>
  <c r="E174" i="17" s="1"/>
  <c r="F174" i="17" s="1"/>
  <c r="G174" i="17" s="1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B174" i="17" s="1"/>
  <c r="E173" i="17"/>
  <c r="F173" i="17" s="1"/>
  <c r="G173" i="17" s="1"/>
  <c r="H173" i="17" s="1"/>
  <c r="I173" i="17" s="1"/>
  <c r="J173" i="17" s="1"/>
  <c r="K173" i="17" s="1"/>
  <c r="L173" i="17" s="1"/>
  <c r="M173" i="17" s="1"/>
  <c r="N173" i="17" s="1"/>
  <c r="O173" i="17" s="1"/>
  <c r="P173" i="17" s="1"/>
  <c r="Q173" i="17" s="1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B173" i="17" s="1"/>
  <c r="D173" i="17"/>
  <c r="D172" i="17"/>
  <c r="E172" i="17" s="1"/>
  <c r="F172" i="17" s="1"/>
  <c r="G172" i="17" s="1"/>
  <c r="H172" i="17" s="1"/>
  <c r="I172" i="17" s="1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AA172" i="17" s="1"/>
  <c r="AB172" i="17" s="1"/>
  <c r="AC172" i="17" s="1"/>
  <c r="AD172" i="17" s="1"/>
  <c r="AE172" i="17" s="1"/>
  <c r="AF172" i="17" s="1"/>
  <c r="B172" i="17" s="1"/>
  <c r="D171" i="17"/>
  <c r="E171" i="17" s="1"/>
  <c r="F171" i="17" s="1"/>
  <c r="G171" i="17" s="1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B171" i="17" s="1"/>
  <c r="D170" i="17"/>
  <c r="E170" i="17" s="1"/>
  <c r="F170" i="17" s="1"/>
  <c r="G170" i="17" s="1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B170" i="17" s="1"/>
  <c r="P168" i="17"/>
  <c r="Q168" i="17" s="1"/>
  <c r="R168" i="17" s="1"/>
  <c r="S168" i="17" s="1"/>
  <c r="T168" i="17" s="1"/>
  <c r="U168" i="17" s="1"/>
  <c r="V168" i="17" s="1"/>
  <c r="W168" i="17" s="1"/>
  <c r="X168" i="17" s="1"/>
  <c r="Y168" i="17" s="1"/>
  <c r="Z168" i="17" s="1"/>
  <c r="AA168" i="17" s="1"/>
  <c r="AB168" i="17" s="1"/>
  <c r="AC168" i="17" s="1"/>
  <c r="AD168" i="17" s="1"/>
  <c r="AE168" i="17" s="1"/>
  <c r="AF168" i="17" s="1"/>
  <c r="B168" i="17" s="1"/>
  <c r="E168" i="17"/>
  <c r="F168" i="17" s="1"/>
  <c r="G168" i="17" s="1"/>
  <c r="H168" i="17" s="1"/>
  <c r="I168" i="17" s="1"/>
  <c r="J168" i="17" s="1"/>
  <c r="K168" i="17" s="1"/>
  <c r="L168" i="17" s="1"/>
  <c r="M168" i="17" s="1"/>
  <c r="N168" i="17" s="1"/>
  <c r="O168" i="17" s="1"/>
  <c r="D168" i="17"/>
  <c r="E167" i="17"/>
  <c r="F167" i="17" s="1"/>
  <c r="G167" i="17" s="1"/>
  <c r="H167" i="17" s="1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B167" i="17" s="1"/>
  <c r="D167" i="17"/>
  <c r="E166" i="17"/>
  <c r="F166" i="17" s="1"/>
  <c r="G166" i="17" s="1"/>
  <c r="H166" i="17" s="1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AE166" i="17" s="1"/>
  <c r="AF166" i="17" s="1"/>
  <c r="B166" i="17" s="1"/>
  <c r="D166" i="17"/>
  <c r="D165" i="17"/>
  <c r="E165" i="17" s="1"/>
  <c r="F165" i="17" s="1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B165" i="17" s="1"/>
  <c r="D164" i="17"/>
  <c r="E164" i="17" s="1"/>
  <c r="F164" i="17" s="1"/>
  <c r="G164" i="17" s="1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B164" i="17" s="1"/>
  <c r="E163" i="17"/>
  <c r="F163" i="17" s="1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B163" i="17" s="1"/>
  <c r="D163" i="17"/>
  <c r="F162" i="17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B162" i="17" s="1"/>
  <c r="E162" i="17"/>
  <c r="D162" i="17"/>
  <c r="D161" i="17"/>
  <c r="E161" i="17" s="1"/>
  <c r="F161" i="17" s="1"/>
  <c r="G161" i="17" s="1"/>
  <c r="H161" i="17" s="1"/>
  <c r="I161" i="17" s="1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B161" i="17" s="1"/>
  <c r="F160" i="17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B160" i="17" s="1"/>
  <c r="D160" i="17"/>
  <c r="E160" i="17" s="1"/>
  <c r="D159" i="17"/>
  <c r="E159" i="17" s="1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B159" i="17" s="1"/>
  <c r="F158" i="17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B158" i="17" s="1"/>
  <c r="E158" i="17"/>
  <c r="D158" i="17"/>
  <c r="E157" i="17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B157" i="17" s="1"/>
  <c r="D157" i="17"/>
  <c r="F156" i="17"/>
  <c r="G156" i="17" s="1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B156" i="17" s="1"/>
  <c r="D156" i="17"/>
  <c r="E156" i="17" s="1"/>
  <c r="D154" i="17"/>
  <c r="E154" i="17" s="1"/>
  <c r="F154" i="17" s="1"/>
  <c r="G154" i="17" s="1"/>
  <c r="H154" i="17" s="1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Y154" i="17" s="1"/>
  <c r="Z154" i="17" s="1"/>
  <c r="AA154" i="17" s="1"/>
  <c r="AB154" i="17" s="1"/>
  <c r="AC154" i="17" s="1"/>
  <c r="AD154" i="17" s="1"/>
  <c r="AE154" i="17" s="1"/>
  <c r="AF154" i="17" s="1"/>
  <c r="B154" i="17" s="1"/>
  <c r="E153" i="17"/>
  <c r="F153" i="17" s="1"/>
  <c r="G153" i="17" s="1"/>
  <c r="H153" i="17" s="1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B153" i="17" s="1"/>
  <c r="D153" i="17"/>
  <c r="G152" i="17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B152" i="17" s="1"/>
  <c r="D152" i="17"/>
  <c r="E152" i="17" s="1"/>
  <c r="F152" i="17" s="1"/>
  <c r="D151" i="17"/>
  <c r="E151" i="17" s="1"/>
  <c r="F151" i="17" s="1"/>
  <c r="G151" i="17" s="1"/>
  <c r="H151" i="17" s="1"/>
  <c r="I151" i="17" s="1"/>
  <c r="J151" i="17" s="1"/>
  <c r="K151" i="17" s="1"/>
  <c r="L151" i="17" s="1"/>
  <c r="M151" i="17" s="1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B151" i="17" s="1"/>
  <c r="L149" i="17"/>
  <c r="M149" i="17" s="1"/>
  <c r="N149" i="17" s="1"/>
  <c r="O149" i="17" s="1"/>
  <c r="P149" i="17" s="1"/>
  <c r="Q149" i="17" s="1"/>
  <c r="R149" i="17" s="1"/>
  <c r="S149" i="17" s="1"/>
  <c r="T149" i="17" s="1"/>
  <c r="U149" i="17" s="1"/>
  <c r="V149" i="17" s="1"/>
  <c r="W149" i="17" s="1"/>
  <c r="X149" i="17" s="1"/>
  <c r="Y149" i="17" s="1"/>
  <c r="Z149" i="17" s="1"/>
  <c r="AA149" i="17" s="1"/>
  <c r="AB149" i="17" s="1"/>
  <c r="AC149" i="17" s="1"/>
  <c r="AD149" i="17" s="1"/>
  <c r="AE149" i="17" s="1"/>
  <c r="AF149" i="17" s="1"/>
  <c r="B149" i="17" s="1"/>
  <c r="D149" i="17"/>
  <c r="E149" i="17" s="1"/>
  <c r="F149" i="17" s="1"/>
  <c r="G149" i="17" s="1"/>
  <c r="H149" i="17" s="1"/>
  <c r="I149" i="17" s="1"/>
  <c r="J149" i="17" s="1"/>
  <c r="K149" i="17" s="1"/>
  <c r="F148" i="17"/>
  <c r="G148" i="17" s="1"/>
  <c r="H148" i="17" s="1"/>
  <c r="I148" i="17" s="1"/>
  <c r="J148" i="17" s="1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B148" i="17" s="1"/>
  <c r="E148" i="17"/>
  <c r="D148" i="17"/>
  <c r="D146" i="17"/>
  <c r="E146" i="17" s="1"/>
  <c r="F146" i="17" s="1"/>
  <c r="G146" i="17" s="1"/>
  <c r="H146" i="17" s="1"/>
  <c r="I146" i="17" s="1"/>
  <c r="J146" i="17" s="1"/>
  <c r="K146" i="17" s="1"/>
  <c r="L146" i="17" s="1"/>
  <c r="M146" i="17" s="1"/>
  <c r="N146" i="17" s="1"/>
  <c r="O146" i="17" s="1"/>
  <c r="P146" i="17" s="1"/>
  <c r="Q146" i="17" s="1"/>
  <c r="R146" i="17" s="1"/>
  <c r="S146" i="17" s="1"/>
  <c r="T146" i="17" s="1"/>
  <c r="U146" i="17" s="1"/>
  <c r="V146" i="17" s="1"/>
  <c r="W146" i="17" s="1"/>
  <c r="X146" i="17" s="1"/>
  <c r="Y146" i="17" s="1"/>
  <c r="Z146" i="17" s="1"/>
  <c r="AA146" i="17" s="1"/>
  <c r="AB146" i="17" s="1"/>
  <c r="AC146" i="17" s="1"/>
  <c r="AD146" i="17" s="1"/>
  <c r="AE146" i="17" s="1"/>
  <c r="AF146" i="17" s="1"/>
  <c r="B146" i="17" s="1"/>
  <c r="O145" i="17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B145" i="17" s="1"/>
  <c r="H145" i="17"/>
  <c r="I145" i="17" s="1"/>
  <c r="J145" i="17" s="1"/>
  <c r="K145" i="17" s="1"/>
  <c r="L145" i="17" s="1"/>
  <c r="M145" i="17" s="1"/>
  <c r="N145" i="17" s="1"/>
  <c r="D145" i="17"/>
  <c r="E145" i="17" s="1"/>
  <c r="F145" i="17" s="1"/>
  <c r="G145" i="17" s="1"/>
  <c r="H144" i="17"/>
  <c r="I144" i="17" s="1"/>
  <c r="J144" i="17" s="1"/>
  <c r="K144" i="17" s="1"/>
  <c r="L144" i="17" s="1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B144" i="17" s="1"/>
  <c r="F144" i="17"/>
  <c r="G144" i="17" s="1"/>
  <c r="E144" i="17"/>
  <c r="D144" i="17"/>
  <c r="H143" i="17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B143" i="17" s="1"/>
  <c r="F143" i="17"/>
  <c r="G143" i="17" s="1"/>
  <c r="D143" i="17"/>
  <c r="E143" i="17" s="1"/>
  <c r="F142" i="17"/>
  <c r="G142" i="17" s="1"/>
  <c r="H142" i="17" s="1"/>
  <c r="I142" i="17" s="1"/>
  <c r="J142" i="17" s="1"/>
  <c r="K142" i="17" s="1"/>
  <c r="L142" i="17" s="1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B142" i="17" s="1"/>
  <c r="D142" i="17"/>
  <c r="E142" i="17" s="1"/>
  <c r="R141" i="17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B141" i="17" s="1"/>
  <c r="D141" i="17"/>
  <c r="E141" i="17" s="1"/>
  <c r="F141" i="17" s="1"/>
  <c r="G141" i="17" s="1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F140" i="17"/>
  <c r="G140" i="17" s="1"/>
  <c r="H140" i="17" s="1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B140" i="17" s="1"/>
  <c r="E140" i="17"/>
  <c r="D140" i="17"/>
  <c r="P138" i="17"/>
  <c r="Q138" i="17" s="1"/>
  <c r="R138" i="17" s="1"/>
  <c r="S138" i="17" s="1"/>
  <c r="T138" i="17" s="1"/>
  <c r="U138" i="17" s="1"/>
  <c r="V138" i="17" s="1"/>
  <c r="W138" i="17" s="1"/>
  <c r="X138" i="17" s="1"/>
  <c r="Y138" i="17" s="1"/>
  <c r="Z138" i="17" s="1"/>
  <c r="AA138" i="17" s="1"/>
  <c r="AB138" i="17" s="1"/>
  <c r="AC138" i="17" s="1"/>
  <c r="AD138" i="17" s="1"/>
  <c r="AE138" i="17" s="1"/>
  <c r="AF138" i="17" s="1"/>
  <c r="B138" i="17" s="1"/>
  <c r="D138" i="17"/>
  <c r="E138" i="17" s="1"/>
  <c r="F138" i="17" s="1"/>
  <c r="G138" i="17" s="1"/>
  <c r="H138" i="17" s="1"/>
  <c r="I138" i="17" s="1"/>
  <c r="J138" i="17" s="1"/>
  <c r="K138" i="17" s="1"/>
  <c r="L138" i="17" s="1"/>
  <c r="M138" i="17" s="1"/>
  <c r="N138" i="17" s="1"/>
  <c r="O138" i="17" s="1"/>
  <c r="F137" i="17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B137" i="17" s="1"/>
  <c r="D137" i="17"/>
  <c r="E137" i="17" s="1"/>
  <c r="K136" i="17"/>
  <c r="L136" i="17" s="1"/>
  <c r="M136" i="17" s="1"/>
  <c r="N136" i="17" s="1"/>
  <c r="O136" i="17" s="1"/>
  <c r="P136" i="17" s="1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B136" i="17" s="1"/>
  <c r="D136" i="17"/>
  <c r="E136" i="17" s="1"/>
  <c r="F136" i="17" s="1"/>
  <c r="G136" i="17" s="1"/>
  <c r="H136" i="17" s="1"/>
  <c r="I136" i="17" s="1"/>
  <c r="J136" i="17" s="1"/>
  <c r="D135" i="17"/>
  <c r="E135" i="17" s="1"/>
  <c r="F135" i="17" s="1"/>
  <c r="G135" i="17" s="1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B135" i="17" s="1"/>
  <c r="F134" i="17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B134" i="17" s="1"/>
  <c r="D134" i="17"/>
  <c r="E134" i="17" s="1"/>
  <c r="D133" i="17"/>
  <c r="E133" i="17" s="1"/>
  <c r="F133" i="17" s="1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B133" i="17" s="1"/>
  <c r="L132" i="17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B132" i="17" s="1"/>
  <c r="E132" i="17"/>
  <c r="F132" i="17" s="1"/>
  <c r="G132" i="17" s="1"/>
  <c r="H132" i="17" s="1"/>
  <c r="I132" i="17" s="1"/>
  <c r="J132" i="17" s="1"/>
  <c r="K132" i="17" s="1"/>
  <c r="D132" i="17"/>
  <c r="J131" i="17"/>
  <c r="K131" i="17" s="1"/>
  <c r="L131" i="17" s="1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B131" i="17" s="1"/>
  <c r="E131" i="17"/>
  <c r="F131" i="17" s="1"/>
  <c r="G131" i="17" s="1"/>
  <c r="H131" i="17" s="1"/>
  <c r="I131" i="17" s="1"/>
  <c r="D131" i="17"/>
  <c r="D129" i="17"/>
  <c r="E129" i="17" s="1"/>
  <c r="F129" i="17" s="1"/>
  <c r="G129" i="17" s="1"/>
  <c r="H129" i="17" s="1"/>
  <c r="I129" i="17" s="1"/>
  <c r="J129" i="17" s="1"/>
  <c r="K129" i="17" s="1"/>
  <c r="L129" i="17" s="1"/>
  <c r="M129" i="17" s="1"/>
  <c r="N129" i="17" s="1"/>
  <c r="O129" i="17" s="1"/>
  <c r="P129" i="17" s="1"/>
  <c r="Q129" i="17" s="1"/>
  <c r="R129" i="17" s="1"/>
  <c r="S129" i="17" s="1"/>
  <c r="T129" i="17" s="1"/>
  <c r="U129" i="17" s="1"/>
  <c r="V129" i="17" s="1"/>
  <c r="W129" i="17" s="1"/>
  <c r="X129" i="17" s="1"/>
  <c r="Y129" i="17" s="1"/>
  <c r="Z129" i="17" s="1"/>
  <c r="AA129" i="17" s="1"/>
  <c r="AB129" i="17" s="1"/>
  <c r="AC129" i="17" s="1"/>
  <c r="AD129" i="17" s="1"/>
  <c r="AE129" i="17" s="1"/>
  <c r="AF129" i="17" s="1"/>
  <c r="B129" i="17" s="1"/>
  <c r="F128" i="17"/>
  <c r="G128" i="17" s="1"/>
  <c r="H128" i="17" s="1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B128" i="17" s="1"/>
  <c r="D128" i="17"/>
  <c r="E128" i="17" s="1"/>
  <c r="E127" i="17"/>
  <c r="F127" i="17" s="1"/>
  <c r="G127" i="17" s="1"/>
  <c r="H127" i="17" s="1"/>
  <c r="I127" i="17" s="1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B127" i="17" s="1"/>
  <c r="D127" i="17"/>
  <c r="E126" i="17"/>
  <c r="F126" i="17" s="1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B126" i="17" s="1"/>
  <c r="D126" i="17"/>
  <c r="K125" i="17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B125" i="17" s="1"/>
  <c r="J125" i="17"/>
  <c r="D125" i="17"/>
  <c r="E125" i="17" s="1"/>
  <c r="F125" i="17" s="1"/>
  <c r="G125" i="17" s="1"/>
  <c r="H125" i="17" s="1"/>
  <c r="E124" i="17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B124" i="17" s="1"/>
  <c r="D124" i="17"/>
  <c r="D123" i="17"/>
  <c r="E123" i="17" s="1"/>
  <c r="F123" i="17" s="1"/>
  <c r="G123" i="17" s="1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B123" i="17" s="1"/>
  <c r="D122" i="17"/>
  <c r="E122" i="17" s="1"/>
  <c r="F122" i="17" s="1"/>
  <c r="G122" i="17" s="1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B122" i="17" s="1"/>
  <c r="D121" i="17"/>
  <c r="E121" i="17" s="1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B121" i="17" s="1"/>
  <c r="E120" i="17"/>
  <c r="F120" i="17" s="1"/>
  <c r="G120" i="17" s="1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B120" i="17" s="1"/>
  <c r="D120" i="17"/>
  <c r="D119" i="17"/>
  <c r="E119" i="17" s="1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B119" i="17" s="1"/>
  <c r="E118" i="17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B118" i="17" s="1"/>
  <c r="D118" i="17"/>
  <c r="H117" i="17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B117" i="17" s="1"/>
  <c r="G117" i="17"/>
  <c r="D117" i="17"/>
  <c r="E117" i="17" s="1"/>
  <c r="F117" i="17" s="1"/>
  <c r="F116" i="17"/>
  <c r="G116" i="17" s="1"/>
  <c r="H116" i="17" s="1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B116" i="17" s="1"/>
  <c r="E116" i="17"/>
  <c r="D116" i="17"/>
  <c r="D115" i="17"/>
  <c r="E115" i="17" s="1"/>
  <c r="F115" i="17" s="1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B115" i="17" s="1"/>
  <c r="L114" i="17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B114" i="17" s="1"/>
  <c r="K114" i="17"/>
  <c r="H114" i="17"/>
  <c r="I114" i="17" s="1"/>
  <c r="D114" i="17"/>
  <c r="E114" i="17" s="1"/>
  <c r="F114" i="17" s="1"/>
  <c r="G114" i="17" s="1"/>
  <c r="F113" i="17"/>
  <c r="G113" i="17" s="1"/>
  <c r="H113" i="17" s="1"/>
  <c r="I113" i="17" s="1"/>
  <c r="J113" i="17" s="1"/>
  <c r="K113" i="17" s="1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B113" i="17" s="1"/>
  <c r="D113" i="17"/>
  <c r="E113" i="17" s="1"/>
  <c r="E112" i="17"/>
  <c r="F112" i="17" s="1"/>
  <c r="G112" i="17" s="1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B112" i="17" s="1"/>
  <c r="D112" i="17"/>
  <c r="J110" i="17"/>
  <c r="K110" i="17" s="1"/>
  <c r="L110" i="17" s="1"/>
  <c r="M110" i="17" s="1"/>
  <c r="N110" i="17" s="1"/>
  <c r="O110" i="17" s="1"/>
  <c r="P110" i="17" s="1"/>
  <c r="Q110" i="17" s="1"/>
  <c r="R110" i="17" s="1"/>
  <c r="S110" i="17" s="1"/>
  <c r="T110" i="17" s="1"/>
  <c r="U110" i="17" s="1"/>
  <c r="V110" i="17" s="1"/>
  <c r="W110" i="17" s="1"/>
  <c r="X110" i="17" s="1"/>
  <c r="Y110" i="17" s="1"/>
  <c r="Z110" i="17" s="1"/>
  <c r="AA110" i="17" s="1"/>
  <c r="AB110" i="17" s="1"/>
  <c r="AC110" i="17" s="1"/>
  <c r="AD110" i="17" s="1"/>
  <c r="AE110" i="17" s="1"/>
  <c r="AF110" i="17" s="1"/>
  <c r="B110" i="17" s="1"/>
  <c r="F110" i="17"/>
  <c r="G110" i="17" s="1"/>
  <c r="H110" i="17" s="1"/>
  <c r="I110" i="17" s="1"/>
  <c r="E110" i="17"/>
  <c r="D110" i="17"/>
  <c r="D109" i="17"/>
  <c r="G107" i="17"/>
  <c r="H107" i="17" s="1"/>
  <c r="I107" i="17" s="1"/>
  <c r="J107" i="17" s="1"/>
  <c r="K107" i="17" s="1"/>
  <c r="L107" i="17" s="1"/>
  <c r="M107" i="17" s="1"/>
  <c r="N107" i="17" s="1"/>
  <c r="O107" i="17" s="1"/>
  <c r="P107" i="17" s="1"/>
  <c r="Q107" i="17" s="1"/>
  <c r="R107" i="17" s="1"/>
  <c r="S107" i="17" s="1"/>
  <c r="T107" i="17" s="1"/>
  <c r="U107" i="17" s="1"/>
  <c r="V107" i="17" s="1"/>
  <c r="W107" i="17" s="1"/>
  <c r="X107" i="17" s="1"/>
  <c r="Y107" i="17" s="1"/>
  <c r="Z107" i="17" s="1"/>
  <c r="AA107" i="17" s="1"/>
  <c r="AB107" i="17" s="1"/>
  <c r="AC107" i="17" s="1"/>
  <c r="AD107" i="17" s="1"/>
  <c r="AE107" i="17" s="1"/>
  <c r="AF107" i="17" s="1"/>
  <c r="B107" i="17" s="1"/>
  <c r="F107" i="17"/>
  <c r="D107" i="17"/>
  <c r="E107" i="17" s="1"/>
  <c r="G106" i="17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B106" i="17" s="1"/>
  <c r="E106" i="17"/>
  <c r="F106" i="17" s="1"/>
  <c r="D106" i="17"/>
  <c r="E105" i="17"/>
  <c r="F105" i="17" s="1"/>
  <c r="G105" i="17" s="1"/>
  <c r="H105" i="17" s="1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B105" i="17" s="1"/>
  <c r="D105" i="17"/>
  <c r="D104" i="17"/>
  <c r="E104" i="17" s="1"/>
  <c r="F104" i="17" s="1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B104" i="17" s="1"/>
  <c r="D103" i="17"/>
  <c r="E103" i="17" s="1"/>
  <c r="D102" i="17"/>
  <c r="D192" i="17" s="1"/>
  <c r="AH100" i="17"/>
  <c r="AI100" i="17" s="1"/>
  <c r="AH99" i="17"/>
  <c r="AI99" i="17" s="1"/>
  <c r="AH98" i="17"/>
  <c r="AI98" i="17" s="1"/>
  <c r="AH97" i="17"/>
  <c r="AI97" i="17" s="1"/>
  <c r="AH96" i="17"/>
  <c r="AI96" i="17" s="1"/>
  <c r="AH95" i="17"/>
  <c r="AI95" i="17" s="1"/>
  <c r="AH94" i="17"/>
  <c r="AI94" i="17" s="1"/>
  <c r="C93" i="17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G82" i="17"/>
  <c r="AI81" i="17"/>
  <c r="AH81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T82" i="17" s="1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F76" i="17"/>
  <c r="AE76" i="17"/>
  <c r="AE82" i="17" s="1"/>
  <c r="AD76" i="17"/>
  <c r="AD82" i="17" s="1"/>
  <c r="AC76" i="17"/>
  <c r="AB76" i="17"/>
  <c r="AB82" i="17" s="1"/>
  <c r="AA76" i="17"/>
  <c r="Z76" i="17"/>
  <c r="Z82" i="17" s="1"/>
  <c r="Y76" i="17"/>
  <c r="X76" i="17"/>
  <c r="W76" i="17"/>
  <c r="V76" i="17"/>
  <c r="V82" i="17" s="1"/>
  <c r="U76" i="17"/>
  <c r="T76" i="17"/>
  <c r="S76" i="17"/>
  <c r="R76" i="17"/>
  <c r="R82" i="17" s="1"/>
  <c r="Q76" i="17"/>
  <c r="P76" i="17"/>
  <c r="O76" i="17"/>
  <c r="N76" i="17"/>
  <c r="M76" i="17"/>
  <c r="L76" i="17"/>
  <c r="K76" i="17"/>
  <c r="J76" i="17"/>
  <c r="I76" i="17"/>
  <c r="H76" i="17"/>
  <c r="G76" i="17"/>
  <c r="F76" i="17"/>
  <c r="F82" i="17" s="1"/>
  <c r="E76" i="17"/>
  <c r="D76" i="17"/>
  <c r="C76" i="17"/>
  <c r="AI74" i="17"/>
  <c r="AH74" i="17"/>
  <c r="AI72" i="17"/>
  <c r="AH72" i="17"/>
  <c r="AG72" i="17"/>
  <c r="AI71" i="17"/>
  <c r="AH71" i="17"/>
  <c r="AI70" i="17"/>
  <c r="AH70" i="17"/>
  <c r="AI69" i="17"/>
  <c r="AH69" i="17"/>
  <c r="AG68" i="17"/>
  <c r="AE68" i="17"/>
  <c r="AD68" i="17"/>
  <c r="AC5" i="17" s="1"/>
  <c r="AC68" i="17"/>
  <c r="AB5" i="17" s="1"/>
  <c r="AB68" i="17"/>
  <c r="AA5" i="17" s="1"/>
  <c r="AA68" i="17"/>
  <c r="Z5" i="17" s="1"/>
  <c r="Z68" i="17"/>
  <c r="Y5" i="17" s="1"/>
  <c r="Y68" i="17"/>
  <c r="X5" i="17" s="1"/>
  <c r="X68" i="17"/>
  <c r="W5" i="17" s="1"/>
  <c r="W68" i="17"/>
  <c r="V5" i="17" s="1"/>
  <c r="V68" i="17"/>
  <c r="U5" i="17" s="1"/>
  <c r="U68" i="17"/>
  <c r="T5" i="17" s="1"/>
  <c r="T68" i="17"/>
  <c r="S5" i="17" s="1"/>
  <c r="S68" i="17"/>
  <c r="R5" i="17" s="1"/>
  <c r="R68" i="17"/>
  <c r="Q5" i="17" s="1"/>
  <c r="Q68" i="17"/>
  <c r="P5" i="17" s="1"/>
  <c r="P68" i="17"/>
  <c r="O68" i="17"/>
  <c r="N68" i="17"/>
  <c r="M5" i="17" s="1"/>
  <c r="M68" i="17"/>
  <c r="L5" i="17" s="1"/>
  <c r="L68" i="17"/>
  <c r="K5" i="17" s="1"/>
  <c r="K68" i="17"/>
  <c r="J5" i="17" s="1"/>
  <c r="J68" i="17"/>
  <c r="I5" i="17" s="1"/>
  <c r="I68" i="17"/>
  <c r="H5" i="17" s="1"/>
  <c r="H68" i="17"/>
  <c r="G5" i="17" s="1"/>
  <c r="G68" i="17"/>
  <c r="F68" i="17"/>
  <c r="E5" i="17" s="1"/>
  <c r="E68" i="17"/>
  <c r="D5" i="17" s="1"/>
  <c r="D68" i="17"/>
  <c r="C5" i="17" s="1"/>
  <c r="B5" i="17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G56" i="17"/>
  <c r="AG73" i="17" s="1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AI55" i="17"/>
  <c r="AH55" i="17"/>
  <c r="AI54" i="17"/>
  <c r="AH54" i="17"/>
  <c r="AI53" i="17"/>
  <c r="AH53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I51" i="17"/>
  <c r="AH51" i="17"/>
  <c r="AG51" i="17"/>
  <c r="AG52" i="17" s="1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G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F5" i="17"/>
  <c r="AG4" i="17"/>
  <c r="K4" i="17"/>
  <c r="AG2" i="17"/>
  <c r="AB37" i="16"/>
  <c r="S37" i="16"/>
  <c r="R37" i="16"/>
  <c r="Q95" i="16"/>
  <c r="Q37" i="16"/>
  <c r="P37" i="16"/>
  <c r="O37" i="16"/>
  <c r="N95" i="16"/>
  <c r="N37" i="16"/>
  <c r="M37" i="16"/>
  <c r="E4" i="17"/>
  <c r="AF73" i="17" l="1"/>
  <c r="AF75" i="17" s="1"/>
  <c r="AX214" i="17" s="1"/>
  <c r="AE83" i="17"/>
  <c r="AE73" i="17"/>
  <c r="AE75" i="17" s="1"/>
  <c r="AE7" i="17" s="1"/>
  <c r="AD73" i="17"/>
  <c r="AD75" i="17" s="1"/>
  <c r="AD7" i="17" s="1"/>
  <c r="AC73" i="17"/>
  <c r="AC75" i="17" s="1"/>
  <c r="AC7" i="17" s="1"/>
  <c r="AB73" i="17"/>
  <c r="AB75" i="17" s="1"/>
  <c r="AT214" i="17" s="1"/>
  <c r="AA82" i="17"/>
  <c r="AA73" i="17"/>
  <c r="AA75" i="17" s="1"/>
  <c r="AA7" i="17" s="1"/>
  <c r="Z73" i="17"/>
  <c r="Z75" i="17" s="1"/>
  <c r="Z7" i="17" s="1"/>
  <c r="Y82" i="17"/>
  <c r="Y83" i="17" s="1"/>
  <c r="Y73" i="17"/>
  <c r="Y75" i="17" s="1"/>
  <c r="X73" i="17"/>
  <c r="X75" i="17" s="1"/>
  <c r="X7" i="17" s="1"/>
  <c r="W82" i="17"/>
  <c r="W83" i="17" s="1"/>
  <c r="W73" i="17"/>
  <c r="W75" i="17" s="1"/>
  <c r="AO214" i="17" s="1"/>
  <c r="V73" i="17"/>
  <c r="V75" i="17" s="1"/>
  <c r="U73" i="17"/>
  <c r="U75" i="17" s="1"/>
  <c r="U7" i="17" s="1"/>
  <c r="T73" i="17"/>
  <c r="T75" i="17" s="1"/>
  <c r="AL214" i="17" s="1"/>
  <c r="S82" i="17"/>
  <c r="S73" i="17"/>
  <c r="S75" i="17" s="1"/>
  <c r="S7" i="17" s="1"/>
  <c r="R73" i="17"/>
  <c r="R75" i="17" s="1"/>
  <c r="R7" i="17" s="1"/>
  <c r="Q82" i="17"/>
  <c r="Q83" i="17" s="1"/>
  <c r="Q73" i="17"/>
  <c r="Q75" i="17" s="1"/>
  <c r="AI214" i="17" s="1"/>
  <c r="P73" i="17"/>
  <c r="P75" i="17" s="1"/>
  <c r="AH214" i="17" s="1"/>
  <c r="O82" i="17"/>
  <c r="O83" i="17" s="1"/>
  <c r="O73" i="17"/>
  <c r="O75" i="17" s="1"/>
  <c r="O7" i="17" s="1"/>
  <c r="N82" i="17"/>
  <c r="N83" i="17" s="1"/>
  <c r="N73" i="17"/>
  <c r="N75" i="17" s="1"/>
  <c r="N7" i="17" s="1"/>
  <c r="M73" i="17"/>
  <c r="M75" i="17" s="1"/>
  <c r="AE214" i="17" s="1"/>
  <c r="L82" i="17"/>
  <c r="AH56" i="17"/>
  <c r="L73" i="17"/>
  <c r="L75" i="17" s="1"/>
  <c r="K82" i="17"/>
  <c r="K73" i="17"/>
  <c r="K75" i="17" s="1"/>
  <c r="K7" i="17" s="1"/>
  <c r="J73" i="17"/>
  <c r="J75" i="17" s="1"/>
  <c r="J82" i="17"/>
  <c r="I82" i="17"/>
  <c r="I83" i="17" s="1"/>
  <c r="I73" i="17"/>
  <c r="I75" i="17" s="1"/>
  <c r="H73" i="17"/>
  <c r="H75" i="17" s="1"/>
  <c r="AI78" i="17"/>
  <c r="G82" i="17"/>
  <c r="G83" i="17" s="1"/>
  <c r="G73" i="17"/>
  <c r="G75" i="17" s="1"/>
  <c r="AI76" i="17"/>
  <c r="AI79" i="17"/>
  <c r="AI52" i="17"/>
  <c r="F73" i="17"/>
  <c r="F75" i="17" s="1"/>
  <c r="X214" i="17" s="1"/>
  <c r="D82" i="17"/>
  <c r="AI77" i="17"/>
  <c r="AH77" i="17"/>
  <c r="D73" i="17"/>
  <c r="D75" i="17" s="1"/>
  <c r="V214" i="17" s="1"/>
  <c r="AH78" i="17"/>
  <c r="AH80" i="17"/>
  <c r="E73" i="17"/>
  <c r="E75" i="17" s="1"/>
  <c r="W214" i="17" s="1"/>
  <c r="AI56" i="17"/>
  <c r="AI38" i="17"/>
  <c r="C82" i="17"/>
  <c r="C73" i="17"/>
  <c r="C75" i="17" s="1"/>
  <c r="U214" i="17" s="1"/>
  <c r="AH52" i="17"/>
  <c r="B73" i="17"/>
  <c r="B75" i="17" s="1"/>
  <c r="B83" i="17"/>
  <c r="H4" i="17"/>
  <c r="AP214" i="17"/>
  <c r="AA214" i="17"/>
  <c r="I7" i="17"/>
  <c r="AQ214" i="17"/>
  <c r="Y7" i="17"/>
  <c r="Z214" i="17"/>
  <c r="H7" i="17"/>
  <c r="AB214" i="17"/>
  <c r="J7" i="17"/>
  <c r="AG75" i="17"/>
  <c r="AG83" i="17" s="1"/>
  <c r="AG3" i="17"/>
  <c r="AG6" i="17" s="1"/>
  <c r="D83" i="17"/>
  <c r="L83" i="17"/>
  <c r="T83" i="17"/>
  <c r="AB83" i="17"/>
  <c r="AC214" i="17"/>
  <c r="AK214" i="17"/>
  <c r="D7" i="17"/>
  <c r="AD214" i="17"/>
  <c r="L7" i="17"/>
  <c r="AN214" i="17"/>
  <c r="V7" i="17"/>
  <c r="Y214" i="17"/>
  <c r="G7" i="17"/>
  <c r="S211" i="17"/>
  <c r="D211" i="17"/>
  <c r="H82" i="17"/>
  <c r="H83" i="17" s="1"/>
  <c r="P82" i="17"/>
  <c r="P83" i="17" s="1"/>
  <c r="X82" i="17"/>
  <c r="AF82" i="17"/>
  <c r="AF83" i="17" s="1"/>
  <c r="X83" i="17"/>
  <c r="AI80" i="17"/>
  <c r="E102" i="17"/>
  <c r="F103" i="17"/>
  <c r="F5" i="17"/>
  <c r="N5" i="17"/>
  <c r="AD5" i="17"/>
  <c r="J83" i="17"/>
  <c r="R83" i="17"/>
  <c r="Z83" i="17"/>
  <c r="AH68" i="17"/>
  <c r="AH76" i="17"/>
  <c r="O5" i="17"/>
  <c r="AE5" i="17"/>
  <c r="C83" i="17"/>
  <c r="K83" i="17"/>
  <c r="S83" i="17"/>
  <c r="AA83" i="17"/>
  <c r="AI68" i="17"/>
  <c r="AH38" i="17"/>
  <c r="AH79" i="17"/>
  <c r="E109" i="17"/>
  <c r="F109" i="17" s="1"/>
  <c r="G109" i="17" s="1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B109" i="17" s="1"/>
  <c r="D93" i="17"/>
  <c r="F83" i="17"/>
  <c r="V83" i="17"/>
  <c r="AD83" i="17"/>
  <c r="E82" i="17"/>
  <c r="E83" i="17" s="1"/>
  <c r="M82" i="17"/>
  <c r="M83" i="17" s="1"/>
  <c r="U82" i="17"/>
  <c r="U83" i="17" s="1"/>
  <c r="AC82" i="17"/>
  <c r="AC83" i="17" s="1"/>
  <c r="F194" i="17"/>
  <c r="E200" i="17"/>
  <c r="E235" i="17"/>
  <c r="G199" i="17"/>
  <c r="K95" i="16"/>
  <c r="J95" i="16"/>
  <c r="I95" i="16"/>
  <c r="H95" i="16"/>
  <c r="G95" i="16"/>
  <c r="AF239" i="16"/>
  <c r="AE239" i="16"/>
  <c r="AD239" i="16"/>
  <c r="AC239" i="16"/>
  <c r="AB239" i="16"/>
  <c r="AA239" i="16"/>
  <c r="Z239" i="16"/>
  <c r="Y239" i="16"/>
  <c r="X239" i="16"/>
  <c r="W239" i="16"/>
  <c r="V239" i="16"/>
  <c r="U239" i="16"/>
  <c r="T239" i="16"/>
  <c r="S239" i="16"/>
  <c r="R239" i="16"/>
  <c r="Q239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C239" i="16"/>
  <c r="B239" i="16"/>
  <c r="A239" i="16"/>
  <c r="AF238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238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A237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C235" i="16"/>
  <c r="B235" i="16"/>
  <c r="S210" i="16"/>
  <c r="AG200" i="16"/>
  <c r="C200" i="16"/>
  <c r="E199" i="16"/>
  <c r="D199" i="16"/>
  <c r="E198" i="16"/>
  <c r="F198" i="16" s="1"/>
  <c r="G198" i="16" s="1"/>
  <c r="H198" i="16" s="1"/>
  <c r="I198" i="16" s="1"/>
  <c r="J198" i="16" s="1"/>
  <c r="K198" i="16" s="1"/>
  <c r="L198" i="16" s="1"/>
  <c r="M198" i="16" s="1"/>
  <c r="N198" i="16" s="1"/>
  <c r="O198" i="16" s="1"/>
  <c r="P198" i="16" s="1"/>
  <c r="Q198" i="16" s="1"/>
  <c r="R198" i="16" s="1"/>
  <c r="S198" i="16" s="1"/>
  <c r="T198" i="16" s="1"/>
  <c r="U198" i="16" s="1"/>
  <c r="V198" i="16" s="1"/>
  <c r="W198" i="16" s="1"/>
  <c r="X198" i="16" s="1"/>
  <c r="Y198" i="16" s="1"/>
  <c r="Z198" i="16" s="1"/>
  <c r="AA198" i="16" s="1"/>
  <c r="AB198" i="16" s="1"/>
  <c r="AC198" i="16" s="1"/>
  <c r="AD198" i="16" s="1"/>
  <c r="AE198" i="16" s="1"/>
  <c r="AF198" i="16" s="1"/>
  <c r="B198" i="16" s="1"/>
  <c r="D198" i="16"/>
  <c r="D197" i="16"/>
  <c r="E197" i="16" s="1"/>
  <c r="F197" i="16" s="1"/>
  <c r="G197" i="16" s="1"/>
  <c r="H197" i="16" s="1"/>
  <c r="I197" i="16" s="1"/>
  <c r="J197" i="16" s="1"/>
  <c r="K197" i="16" s="1"/>
  <c r="L197" i="16" s="1"/>
  <c r="M197" i="16" s="1"/>
  <c r="N197" i="16" s="1"/>
  <c r="O197" i="16" s="1"/>
  <c r="P197" i="16" s="1"/>
  <c r="Q197" i="16" s="1"/>
  <c r="R197" i="16" s="1"/>
  <c r="S197" i="16" s="1"/>
  <c r="T197" i="16" s="1"/>
  <c r="U197" i="16" s="1"/>
  <c r="V197" i="16" s="1"/>
  <c r="W197" i="16" s="1"/>
  <c r="X197" i="16" s="1"/>
  <c r="Y197" i="16" s="1"/>
  <c r="Z197" i="16" s="1"/>
  <c r="AA197" i="16" s="1"/>
  <c r="AB197" i="16" s="1"/>
  <c r="AC197" i="16" s="1"/>
  <c r="AD197" i="16" s="1"/>
  <c r="AE197" i="16" s="1"/>
  <c r="AF197" i="16" s="1"/>
  <c r="B197" i="16" s="1"/>
  <c r="D196" i="16"/>
  <c r="E195" i="16"/>
  <c r="F195" i="16" s="1"/>
  <c r="G195" i="16" s="1"/>
  <c r="H195" i="16" s="1"/>
  <c r="I195" i="16" s="1"/>
  <c r="J195" i="16" s="1"/>
  <c r="K195" i="16" s="1"/>
  <c r="L195" i="16" s="1"/>
  <c r="M195" i="16" s="1"/>
  <c r="N195" i="16" s="1"/>
  <c r="O195" i="16" s="1"/>
  <c r="P195" i="16" s="1"/>
  <c r="Q195" i="16" s="1"/>
  <c r="R195" i="16" s="1"/>
  <c r="S195" i="16" s="1"/>
  <c r="T195" i="16" s="1"/>
  <c r="U195" i="16" s="1"/>
  <c r="V195" i="16" s="1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B195" i="16" s="1"/>
  <c r="D195" i="16"/>
  <c r="E194" i="16"/>
  <c r="D194" i="16"/>
  <c r="AG192" i="16"/>
  <c r="C192" i="16"/>
  <c r="Y191" i="16"/>
  <c r="Z191" i="16" s="1"/>
  <c r="AA191" i="16" s="1"/>
  <c r="AB191" i="16" s="1"/>
  <c r="AC191" i="16" s="1"/>
  <c r="AD191" i="16" s="1"/>
  <c r="AE191" i="16" s="1"/>
  <c r="AF191" i="16" s="1"/>
  <c r="B191" i="16" s="1"/>
  <c r="D191" i="16"/>
  <c r="E191" i="16" s="1"/>
  <c r="F191" i="16" s="1"/>
  <c r="G191" i="16" s="1"/>
  <c r="H191" i="16" s="1"/>
  <c r="I191" i="16" s="1"/>
  <c r="J191" i="16" s="1"/>
  <c r="K191" i="16" s="1"/>
  <c r="L191" i="16" s="1"/>
  <c r="M191" i="16" s="1"/>
  <c r="N191" i="16" s="1"/>
  <c r="O191" i="16" s="1"/>
  <c r="P191" i="16" s="1"/>
  <c r="Q191" i="16" s="1"/>
  <c r="R191" i="16" s="1"/>
  <c r="S191" i="16" s="1"/>
  <c r="T191" i="16" s="1"/>
  <c r="U191" i="16" s="1"/>
  <c r="V191" i="16" s="1"/>
  <c r="W191" i="16" s="1"/>
  <c r="X191" i="16" s="1"/>
  <c r="Z190" i="16"/>
  <c r="AA190" i="16" s="1"/>
  <c r="AB190" i="16" s="1"/>
  <c r="AC190" i="16" s="1"/>
  <c r="AD190" i="16" s="1"/>
  <c r="AE190" i="16" s="1"/>
  <c r="AF190" i="16" s="1"/>
  <c r="E190" i="16"/>
  <c r="F190" i="16" s="1"/>
  <c r="G190" i="16" s="1"/>
  <c r="H190" i="16" s="1"/>
  <c r="I190" i="16" s="1"/>
  <c r="J190" i="16" s="1"/>
  <c r="K190" i="16" s="1"/>
  <c r="L190" i="16" s="1"/>
  <c r="M190" i="16" s="1"/>
  <c r="N190" i="16" s="1"/>
  <c r="O190" i="16" s="1"/>
  <c r="P190" i="16" s="1"/>
  <c r="Q190" i="16" s="1"/>
  <c r="R190" i="16" s="1"/>
  <c r="S190" i="16" s="1"/>
  <c r="T190" i="16" s="1"/>
  <c r="U190" i="16" s="1"/>
  <c r="V190" i="16" s="1"/>
  <c r="W190" i="16" s="1"/>
  <c r="X190" i="16" s="1"/>
  <c r="Y190" i="16" s="1"/>
  <c r="D190" i="16"/>
  <c r="B190" i="16"/>
  <c r="E189" i="16"/>
  <c r="F189" i="16" s="1"/>
  <c r="G189" i="16" s="1"/>
  <c r="H189" i="16" s="1"/>
  <c r="I189" i="16" s="1"/>
  <c r="J189" i="16" s="1"/>
  <c r="K189" i="16" s="1"/>
  <c r="L189" i="16" s="1"/>
  <c r="M189" i="16" s="1"/>
  <c r="N189" i="16" s="1"/>
  <c r="O189" i="16" s="1"/>
  <c r="P189" i="16" s="1"/>
  <c r="Q189" i="16" s="1"/>
  <c r="R189" i="16" s="1"/>
  <c r="S189" i="16" s="1"/>
  <c r="T189" i="16" s="1"/>
  <c r="U189" i="16" s="1"/>
  <c r="V189" i="16" s="1"/>
  <c r="W189" i="16" s="1"/>
  <c r="X189" i="16" s="1"/>
  <c r="Y189" i="16" s="1"/>
  <c r="Z189" i="16" s="1"/>
  <c r="AA189" i="16" s="1"/>
  <c r="AB189" i="16" s="1"/>
  <c r="AC189" i="16" s="1"/>
  <c r="AD189" i="16" s="1"/>
  <c r="AE189" i="16" s="1"/>
  <c r="AF189" i="16" s="1"/>
  <c r="B189" i="16" s="1"/>
  <c r="D189" i="16"/>
  <c r="M188" i="16"/>
  <c r="N188" i="16" s="1"/>
  <c r="O188" i="16" s="1"/>
  <c r="P188" i="16" s="1"/>
  <c r="Q188" i="16" s="1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AB188" i="16" s="1"/>
  <c r="AC188" i="16" s="1"/>
  <c r="AD188" i="16" s="1"/>
  <c r="AE188" i="16" s="1"/>
  <c r="AF188" i="16" s="1"/>
  <c r="B188" i="16" s="1"/>
  <c r="E188" i="16"/>
  <c r="F188" i="16" s="1"/>
  <c r="G188" i="16" s="1"/>
  <c r="H188" i="16" s="1"/>
  <c r="I188" i="16" s="1"/>
  <c r="J188" i="16" s="1"/>
  <c r="K188" i="16" s="1"/>
  <c r="L188" i="16" s="1"/>
  <c r="D188" i="16"/>
  <c r="E187" i="16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AD187" i="16" s="1"/>
  <c r="AE187" i="16" s="1"/>
  <c r="AF187" i="16" s="1"/>
  <c r="B187" i="16" s="1"/>
  <c r="D187" i="16"/>
  <c r="D186" i="16"/>
  <c r="E186" i="16" s="1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AE186" i="16" s="1"/>
  <c r="AF186" i="16" s="1"/>
  <c r="B186" i="16" s="1"/>
  <c r="AE185" i="16"/>
  <c r="AF185" i="16" s="1"/>
  <c r="B185" i="16" s="1"/>
  <c r="F185" i="16"/>
  <c r="G185" i="16" s="1"/>
  <c r="H185" i="16" s="1"/>
  <c r="I185" i="16" s="1"/>
  <c r="J185" i="16" s="1"/>
  <c r="K185" i="16" s="1"/>
  <c r="L185" i="16" s="1"/>
  <c r="M185" i="16" s="1"/>
  <c r="N185" i="16" s="1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E185" i="16"/>
  <c r="D185" i="16"/>
  <c r="F184" i="16"/>
  <c r="G184" i="16" s="1"/>
  <c r="H184" i="16" s="1"/>
  <c r="I184" i="16" s="1"/>
  <c r="J184" i="16" s="1"/>
  <c r="K184" i="16" s="1"/>
  <c r="L184" i="16" s="1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B184" i="16" s="1"/>
  <c r="E184" i="16"/>
  <c r="D184" i="16"/>
  <c r="V183" i="16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B183" i="16" s="1"/>
  <c r="E183" i="16"/>
  <c r="F183" i="16" s="1"/>
  <c r="G183" i="16" s="1"/>
  <c r="H183" i="16" s="1"/>
  <c r="I183" i="16" s="1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D183" i="16"/>
  <c r="D182" i="16"/>
  <c r="E182" i="16" s="1"/>
  <c r="F182" i="16" s="1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AE182" i="16" s="1"/>
  <c r="AF182" i="16" s="1"/>
  <c r="B182" i="16" s="1"/>
  <c r="G181" i="16"/>
  <c r="H181" i="16" s="1"/>
  <c r="I181" i="16" s="1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B181" i="16" s="1"/>
  <c r="F181" i="16"/>
  <c r="E181" i="16"/>
  <c r="D181" i="16"/>
  <c r="G180" i="16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AD180" i="16" s="1"/>
  <c r="AE180" i="16" s="1"/>
  <c r="AF180" i="16" s="1"/>
  <c r="B180" i="16" s="1"/>
  <c r="E180" i="16"/>
  <c r="F180" i="16" s="1"/>
  <c r="D180" i="16"/>
  <c r="V179" i="16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B179" i="16" s="1"/>
  <c r="G179" i="16"/>
  <c r="H179" i="16" s="1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E179" i="16"/>
  <c r="F179" i="16" s="1"/>
  <c r="D179" i="16"/>
  <c r="D177" i="16"/>
  <c r="E177" i="16" s="1"/>
  <c r="F177" i="16" s="1"/>
  <c r="G177" i="16" s="1"/>
  <c r="H177" i="16" s="1"/>
  <c r="I177" i="16" s="1"/>
  <c r="J177" i="16" s="1"/>
  <c r="K177" i="16" s="1"/>
  <c r="L177" i="16" s="1"/>
  <c r="M177" i="16" s="1"/>
  <c r="N177" i="16" s="1"/>
  <c r="O177" i="16" s="1"/>
  <c r="P177" i="16" s="1"/>
  <c r="Q177" i="16" s="1"/>
  <c r="R177" i="16" s="1"/>
  <c r="S177" i="16" s="1"/>
  <c r="T177" i="16" s="1"/>
  <c r="U177" i="16" s="1"/>
  <c r="V177" i="16" s="1"/>
  <c r="W177" i="16" s="1"/>
  <c r="X177" i="16" s="1"/>
  <c r="Y177" i="16" s="1"/>
  <c r="Z177" i="16" s="1"/>
  <c r="AA177" i="16" s="1"/>
  <c r="AB177" i="16" s="1"/>
  <c r="AC177" i="16" s="1"/>
  <c r="AD177" i="16" s="1"/>
  <c r="AE177" i="16" s="1"/>
  <c r="AF177" i="16" s="1"/>
  <c r="B177" i="16" s="1"/>
  <c r="F176" i="16"/>
  <c r="G176" i="16" s="1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B176" i="16" s="1"/>
  <c r="E176" i="16"/>
  <c r="D176" i="16"/>
  <c r="D175" i="16"/>
  <c r="E175" i="16" s="1"/>
  <c r="F175" i="16" s="1"/>
  <c r="G175" i="16" s="1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Y175" i="16" s="1"/>
  <c r="Z175" i="16" s="1"/>
  <c r="AA175" i="16" s="1"/>
  <c r="AB175" i="16" s="1"/>
  <c r="AC175" i="16" s="1"/>
  <c r="AD175" i="16" s="1"/>
  <c r="AE175" i="16" s="1"/>
  <c r="AF175" i="16" s="1"/>
  <c r="B175" i="16" s="1"/>
  <c r="F174" i="16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B174" i="16" s="1"/>
  <c r="E174" i="16"/>
  <c r="D174" i="16"/>
  <c r="E173" i="16"/>
  <c r="F173" i="16" s="1"/>
  <c r="G173" i="16" s="1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AD173" i="16" s="1"/>
  <c r="AE173" i="16" s="1"/>
  <c r="AF173" i="16" s="1"/>
  <c r="B173" i="16" s="1"/>
  <c r="D173" i="16"/>
  <c r="G172" i="16"/>
  <c r="H172" i="16" s="1"/>
  <c r="I172" i="16" s="1"/>
  <c r="J172" i="16" s="1"/>
  <c r="K172" i="16" s="1"/>
  <c r="L172" i="16" s="1"/>
  <c r="M172" i="16" s="1"/>
  <c r="N172" i="16" s="1"/>
  <c r="O172" i="16" s="1"/>
  <c r="P172" i="16" s="1"/>
  <c r="Q172" i="16" s="1"/>
  <c r="R172" i="16" s="1"/>
  <c r="S172" i="16" s="1"/>
  <c r="T172" i="16" s="1"/>
  <c r="U172" i="16" s="1"/>
  <c r="V172" i="16" s="1"/>
  <c r="W172" i="16" s="1"/>
  <c r="X172" i="16" s="1"/>
  <c r="Y172" i="16" s="1"/>
  <c r="Z172" i="16" s="1"/>
  <c r="AA172" i="16" s="1"/>
  <c r="AB172" i="16" s="1"/>
  <c r="AC172" i="16" s="1"/>
  <c r="AD172" i="16" s="1"/>
  <c r="AE172" i="16" s="1"/>
  <c r="AF172" i="16" s="1"/>
  <c r="B172" i="16" s="1"/>
  <c r="D172" i="16"/>
  <c r="E172" i="16" s="1"/>
  <c r="F172" i="16" s="1"/>
  <c r="E171" i="16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AD171" i="16" s="1"/>
  <c r="AE171" i="16" s="1"/>
  <c r="AF171" i="16" s="1"/>
  <c r="B171" i="16" s="1"/>
  <c r="D171" i="16"/>
  <c r="H170" i="16"/>
  <c r="I170" i="16" s="1"/>
  <c r="J170" i="16" s="1"/>
  <c r="K170" i="16" s="1"/>
  <c r="L170" i="16" s="1"/>
  <c r="M170" i="16" s="1"/>
  <c r="N170" i="16" s="1"/>
  <c r="O170" i="16" s="1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B170" i="16" s="1"/>
  <c r="G170" i="16"/>
  <c r="F170" i="16"/>
  <c r="D170" i="16"/>
  <c r="E170" i="16" s="1"/>
  <c r="G168" i="16"/>
  <c r="H168" i="16" s="1"/>
  <c r="I168" i="16" s="1"/>
  <c r="J168" i="16" s="1"/>
  <c r="K168" i="16" s="1"/>
  <c r="L168" i="16" s="1"/>
  <c r="M168" i="16" s="1"/>
  <c r="N168" i="16" s="1"/>
  <c r="O168" i="16" s="1"/>
  <c r="P168" i="16" s="1"/>
  <c r="Q168" i="16" s="1"/>
  <c r="R168" i="16" s="1"/>
  <c r="S168" i="16" s="1"/>
  <c r="T168" i="16" s="1"/>
  <c r="U168" i="16" s="1"/>
  <c r="V168" i="16" s="1"/>
  <c r="W168" i="16" s="1"/>
  <c r="X168" i="16" s="1"/>
  <c r="Y168" i="16" s="1"/>
  <c r="Z168" i="16" s="1"/>
  <c r="AA168" i="16" s="1"/>
  <c r="AB168" i="16" s="1"/>
  <c r="AC168" i="16" s="1"/>
  <c r="AD168" i="16" s="1"/>
  <c r="AE168" i="16" s="1"/>
  <c r="AF168" i="16" s="1"/>
  <c r="B168" i="16" s="1"/>
  <c r="F168" i="16"/>
  <c r="E168" i="16"/>
  <c r="D168" i="16"/>
  <c r="E167" i="16"/>
  <c r="F167" i="16" s="1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B167" i="16" s="1"/>
  <c r="D167" i="16"/>
  <c r="E166" i="16"/>
  <c r="F166" i="16" s="1"/>
  <c r="G166" i="16" s="1"/>
  <c r="H166" i="16" s="1"/>
  <c r="I166" i="16" s="1"/>
  <c r="J166" i="16" s="1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AD166" i="16" s="1"/>
  <c r="AE166" i="16" s="1"/>
  <c r="AF166" i="16" s="1"/>
  <c r="D166" i="16"/>
  <c r="B166" i="16"/>
  <c r="F165" i="16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B165" i="16" s="1"/>
  <c r="E165" i="16"/>
  <c r="D165" i="16"/>
  <c r="E164" i="16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B164" i="16" s="1"/>
  <c r="D164" i="16"/>
  <c r="D163" i="16"/>
  <c r="E163" i="16" s="1"/>
  <c r="F163" i="16" s="1"/>
  <c r="G163" i="16" s="1"/>
  <c r="H163" i="16" s="1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AE163" i="16" s="1"/>
  <c r="AF163" i="16" s="1"/>
  <c r="B163" i="16" s="1"/>
  <c r="H162" i="16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B162" i="16" s="1"/>
  <c r="E162" i="16"/>
  <c r="F162" i="16" s="1"/>
  <c r="G162" i="16" s="1"/>
  <c r="D162" i="16"/>
  <c r="G161" i="16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B161" i="16" s="1"/>
  <c r="F161" i="16"/>
  <c r="D161" i="16"/>
  <c r="E161" i="16" s="1"/>
  <c r="E160" i="16"/>
  <c r="F160" i="16" s="1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B160" i="16" s="1"/>
  <c r="D160" i="16"/>
  <c r="D159" i="16"/>
  <c r="E159" i="16" s="1"/>
  <c r="F159" i="16" s="1"/>
  <c r="G159" i="16" s="1"/>
  <c r="H159" i="16" s="1"/>
  <c r="I159" i="16" s="1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B159" i="16" s="1"/>
  <c r="E158" i="16"/>
  <c r="F158" i="16" s="1"/>
  <c r="G158" i="16" s="1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B158" i="16" s="1"/>
  <c r="D158" i="16"/>
  <c r="Y157" i="16"/>
  <c r="Z157" i="16" s="1"/>
  <c r="AA157" i="16" s="1"/>
  <c r="AB157" i="16" s="1"/>
  <c r="AC157" i="16" s="1"/>
  <c r="AD157" i="16" s="1"/>
  <c r="AE157" i="16" s="1"/>
  <c r="AF157" i="16" s="1"/>
  <c r="B157" i="16" s="1"/>
  <c r="E157" i="16"/>
  <c r="F157" i="16" s="1"/>
  <c r="G157" i="16" s="1"/>
  <c r="H157" i="16" s="1"/>
  <c r="I157" i="16" s="1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D157" i="16"/>
  <c r="D156" i="16"/>
  <c r="E156" i="16" s="1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B156" i="16" s="1"/>
  <c r="U154" i="16"/>
  <c r="V154" i="16" s="1"/>
  <c r="W154" i="16" s="1"/>
  <c r="X154" i="16" s="1"/>
  <c r="Y154" i="16" s="1"/>
  <c r="Z154" i="16" s="1"/>
  <c r="AA154" i="16" s="1"/>
  <c r="AB154" i="16" s="1"/>
  <c r="AC154" i="16" s="1"/>
  <c r="AD154" i="16" s="1"/>
  <c r="AE154" i="16" s="1"/>
  <c r="AF154" i="16" s="1"/>
  <c r="B154" i="16" s="1"/>
  <c r="E154" i="16"/>
  <c r="F154" i="16" s="1"/>
  <c r="G154" i="16" s="1"/>
  <c r="H154" i="16" s="1"/>
  <c r="I154" i="16" s="1"/>
  <c r="J154" i="16" s="1"/>
  <c r="K154" i="16" s="1"/>
  <c r="L154" i="16" s="1"/>
  <c r="M154" i="16" s="1"/>
  <c r="N154" i="16" s="1"/>
  <c r="O154" i="16" s="1"/>
  <c r="P154" i="16" s="1"/>
  <c r="Q154" i="16" s="1"/>
  <c r="R154" i="16" s="1"/>
  <c r="S154" i="16" s="1"/>
  <c r="T154" i="16" s="1"/>
  <c r="D154" i="16"/>
  <c r="F153" i="16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B153" i="16" s="1"/>
  <c r="D153" i="16"/>
  <c r="E153" i="16" s="1"/>
  <c r="N152" i="16"/>
  <c r="O152" i="16" s="1"/>
  <c r="P152" i="16" s="1"/>
  <c r="Q152" i="16" s="1"/>
  <c r="R152" i="16" s="1"/>
  <c r="S152" i="16" s="1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B152" i="16" s="1"/>
  <c r="D152" i="16"/>
  <c r="E152" i="16" s="1"/>
  <c r="F152" i="16" s="1"/>
  <c r="G152" i="16" s="1"/>
  <c r="H152" i="16" s="1"/>
  <c r="I152" i="16" s="1"/>
  <c r="J152" i="16" s="1"/>
  <c r="K152" i="16" s="1"/>
  <c r="L152" i="16" s="1"/>
  <c r="M152" i="16" s="1"/>
  <c r="D151" i="16"/>
  <c r="E151" i="16" s="1"/>
  <c r="F151" i="16" s="1"/>
  <c r="G151" i="16" s="1"/>
  <c r="H151" i="16" s="1"/>
  <c r="I151" i="16" s="1"/>
  <c r="J151" i="16" s="1"/>
  <c r="K151" i="16" s="1"/>
  <c r="L151" i="16" s="1"/>
  <c r="M151" i="16" s="1"/>
  <c r="N151" i="16" s="1"/>
  <c r="O151" i="16" s="1"/>
  <c r="P151" i="16" s="1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B151" i="16" s="1"/>
  <c r="F149" i="16"/>
  <c r="G149" i="16" s="1"/>
  <c r="H149" i="16" s="1"/>
  <c r="I149" i="16" s="1"/>
  <c r="J149" i="16" s="1"/>
  <c r="K149" i="16" s="1"/>
  <c r="L149" i="16" s="1"/>
  <c r="M149" i="16" s="1"/>
  <c r="N149" i="16" s="1"/>
  <c r="O149" i="16" s="1"/>
  <c r="P149" i="16" s="1"/>
  <c r="Q149" i="16" s="1"/>
  <c r="R149" i="16" s="1"/>
  <c r="S149" i="16" s="1"/>
  <c r="T149" i="16" s="1"/>
  <c r="U149" i="16" s="1"/>
  <c r="V149" i="16" s="1"/>
  <c r="W149" i="16" s="1"/>
  <c r="X149" i="16" s="1"/>
  <c r="Y149" i="16" s="1"/>
  <c r="Z149" i="16" s="1"/>
  <c r="AA149" i="16" s="1"/>
  <c r="AB149" i="16" s="1"/>
  <c r="AC149" i="16" s="1"/>
  <c r="AD149" i="16" s="1"/>
  <c r="AE149" i="16" s="1"/>
  <c r="AF149" i="16" s="1"/>
  <c r="B149" i="16" s="1"/>
  <c r="D149" i="16"/>
  <c r="E149" i="16" s="1"/>
  <c r="D148" i="16"/>
  <c r="E148" i="16" s="1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B148" i="16" s="1"/>
  <c r="G146" i="16"/>
  <c r="H146" i="16" s="1"/>
  <c r="I146" i="16" s="1"/>
  <c r="J146" i="16" s="1"/>
  <c r="K146" i="16" s="1"/>
  <c r="L146" i="16" s="1"/>
  <c r="M146" i="16" s="1"/>
  <c r="N146" i="16" s="1"/>
  <c r="O146" i="16" s="1"/>
  <c r="P146" i="16" s="1"/>
  <c r="Q146" i="16" s="1"/>
  <c r="R146" i="16" s="1"/>
  <c r="S146" i="16" s="1"/>
  <c r="T146" i="16" s="1"/>
  <c r="U146" i="16" s="1"/>
  <c r="V146" i="16" s="1"/>
  <c r="W146" i="16" s="1"/>
  <c r="X146" i="16" s="1"/>
  <c r="Y146" i="16" s="1"/>
  <c r="Z146" i="16" s="1"/>
  <c r="AA146" i="16" s="1"/>
  <c r="AB146" i="16" s="1"/>
  <c r="AC146" i="16" s="1"/>
  <c r="AD146" i="16" s="1"/>
  <c r="AE146" i="16" s="1"/>
  <c r="AF146" i="16" s="1"/>
  <c r="B146" i="16" s="1"/>
  <c r="D146" i="16"/>
  <c r="E146" i="16" s="1"/>
  <c r="F146" i="16" s="1"/>
  <c r="J145" i="16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AF145" i="16" s="1"/>
  <c r="B145" i="16" s="1"/>
  <c r="E145" i="16"/>
  <c r="F145" i="16" s="1"/>
  <c r="G145" i="16" s="1"/>
  <c r="H145" i="16" s="1"/>
  <c r="I145" i="16" s="1"/>
  <c r="D145" i="16"/>
  <c r="D144" i="16"/>
  <c r="E144" i="16" s="1"/>
  <c r="F144" i="16" s="1"/>
  <c r="G144" i="16" s="1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AA144" i="16" s="1"/>
  <c r="AB144" i="16" s="1"/>
  <c r="AC144" i="16" s="1"/>
  <c r="AD144" i="16" s="1"/>
  <c r="AE144" i="16" s="1"/>
  <c r="AF144" i="16" s="1"/>
  <c r="B144" i="16" s="1"/>
  <c r="S143" i="16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B143" i="16" s="1"/>
  <c r="F143" i="16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D143" i="16"/>
  <c r="E143" i="16" s="1"/>
  <c r="G142" i="16"/>
  <c r="H142" i="16" s="1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B142" i="16" s="1"/>
  <c r="D142" i="16"/>
  <c r="E142" i="16" s="1"/>
  <c r="F142" i="16" s="1"/>
  <c r="E141" i="16"/>
  <c r="F141" i="16" s="1"/>
  <c r="G141" i="16" s="1"/>
  <c r="H141" i="16" s="1"/>
  <c r="I141" i="16" s="1"/>
  <c r="J141" i="16" s="1"/>
  <c r="K141" i="16" s="1"/>
  <c r="L141" i="16" s="1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B141" i="16" s="1"/>
  <c r="D141" i="16"/>
  <c r="K140" i="16"/>
  <c r="L140" i="16" s="1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B140" i="16" s="1"/>
  <c r="D140" i="16"/>
  <c r="E140" i="16" s="1"/>
  <c r="F140" i="16" s="1"/>
  <c r="G140" i="16" s="1"/>
  <c r="H140" i="16" s="1"/>
  <c r="I140" i="16" s="1"/>
  <c r="J140" i="16" s="1"/>
  <c r="R138" i="16"/>
  <c r="S138" i="16" s="1"/>
  <c r="T138" i="16" s="1"/>
  <c r="U138" i="16" s="1"/>
  <c r="V138" i="16" s="1"/>
  <c r="W138" i="16" s="1"/>
  <c r="X138" i="16" s="1"/>
  <c r="Y138" i="16" s="1"/>
  <c r="Z138" i="16" s="1"/>
  <c r="AA138" i="16" s="1"/>
  <c r="AB138" i="16" s="1"/>
  <c r="AC138" i="16" s="1"/>
  <c r="AD138" i="16" s="1"/>
  <c r="AE138" i="16" s="1"/>
  <c r="AF138" i="16" s="1"/>
  <c r="B138" i="16" s="1"/>
  <c r="I138" i="16"/>
  <c r="J138" i="16" s="1"/>
  <c r="K138" i="16" s="1"/>
  <c r="L138" i="16" s="1"/>
  <c r="M138" i="16" s="1"/>
  <c r="N138" i="16" s="1"/>
  <c r="O138" i="16" s="1"/>
  <c r="P138" i="16" s="1"/>
  <c r="Q138" i="16" s="1"/>
  <c r="E138" i="16"/>
  <c r="F138" i="16" s="1"/>
  <c r="G138" i="16" s="1"/>
  <c r="H138" i="16" s="1"/>
  <c r="D138" i="16"/>
  <c r="H137" i="16"/>
  <c r="I137" i="16" s="1"/>
  <c r="J137" i="16" s="1"/>
  <c r="K137" i="16" s="1"/>
  <c r="L137" i="16" s="1"/>
  <c r="M137" i="16" s="1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B137" i="16" s="1"/>
  <c r="D137" i="16"/>
  <c r="E137" i="16" s="1"/>
  <c r="F137" i="16" s="1"/>
  <c r="G137" i="16" s="1"/>
  <c r="U136" i="16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B136" i="16" s="1"/>
  <c r="I136" i="16"/>
  <c r="J136" i="16" s="1"/>
  <c r="K136" i="16" s="1"/>
  <c r="L136" i="16" s="1"/>
  <c r="M136" i="16" s="1"/>
  <c r="N136" i="16" s="1"/>
  <c r="O136" i="16" s="1"/>
  <c r="P136" i="16" s="1"/>
  <c r="Q136" i="16" s="1"/>
  <c r="R136" i="16" s="1"/>
  <c r="S136" i="16" s="1"/>
  <c r="T136" i="16" s="1"/>
  <c r="F136" i="16"/>
  <c r="G136" i="16" s="1"/>
  <c r="H136" i="16" s="1"/>
  <c r="E136" i="16"/>
  <c r="D136" i="16"/>
  <c r="K135" i="16"/>
  <c r="L135" i="16" s="1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B135" i="16" s="1"/>
  <c r="D135" i="16"/>
  <c r="E135" i="16" s="1"/>
  <c r="F135" i="16" s="1"/>
  <c r="G135" i="16" s="1"/>
  <c r="H135" i="16" s="1"/>
  <c r="I135" i="16" s="1"/>
  <c r="J135" i="16" s="1"/>
  <c r="R134" i="16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B134" i="16" s="1"/>
  <c r="I134" i="16"/>
  <c r="J134" i="16" s="1"/>
  <c r="K134" i="16" s="1"/>
  <c r="L134" i="16" s="1"/>
  <c r="M134" i="16" s="1"/>
  <c r="N134" i="16" s="1"/>
  <c r="O134" i="16" s="1"/>
  <c r="P134" i="16" s="1"/>
  <c r="Q134" i="16" s="1"/>
  <c r="E134" i="16"/>
  <c r="F134" i="16" s="1"/>
  <c r="G134" i="16" s="1"/>
  <c r="H134" i="16" s="1"/>
  <c r="D134" i="16"/>
  <c r="H133" i="16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B133" i="16" s="1"/>
  <c r="D133" i="16"/>
  <c r="E133" i="16" s="1"/>
  <c r="F133" i="16" s="1"/>
  <c r="G133" i="16" s="1"/>
  <c r="U132" i="16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B132" i="16" s="1"/>
  <c r="J132" i="16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E132" i="16"/>
  <c r="F132" i="16" s="1"/>
  <c r="G132" i="16" s="1"/>
  <c r="H132" i="16" s="1"/>
  <c r="I132" i="16" s="1"/>
  <c r="D132" i="16"/>
  <c r="D131" i="16"/>
  <c r="E131" i="16" s="1"/>
  <c r="F131" i="16" s="1"/>
  <c r="G131" i="16" s="1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B131" i="16" s="1"/>
  <c r="I129" i="16"/>
  <c r="J129" i="16" s="1"/>
  <c r="K129" i="16" s="1"/>
  <c r="L129" i="16" s="1"/>
  <c r="M129" i="16" s="1"/>
  <c r="N129" i="16" s="1"/>
  <c r="O129" i="16" s="1"/>
  <c r="P129" i="16" s="1"/>
  <c r="Q129" i="16" s="1"/>
  <c r="R129" i="16" s="1"/>
  <c r="S129" i="16" s="1"/>
  <c r="T129" i="16" s="1"/>
  <c r="U129" i="16" s="1"/>
  <c r="V129" i="16" s="1"/>
  <c r="W129" i="16" s="1"/>
  <c r="X129" i="16" s="1"/>
  <c r="Y129" i="16" s="1"/>
  <c r="Z129" i="16" s="1"/>
  <c r="AA129" i="16" s="1"/>
  <c r="AB129" i="16" s="1"/>
  <c r="AC129" i="16" s="1"/>
  <c r="AD129" i="16" s="1"/>
  <c r="AE129" i="16" s="1"/>
  <c r="AF129" i="16" s="1"/>
  <c r="B129" i="16" s="1"/>
  <c r="H129" i="16"/>
  <c r="F129" i="16"/>
  <c r="G129" i="16" s="1"/>
  <c r="E129" i="16"/>
  <c r="D129" i="16"/>
  <c r="G128" i="16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B128" i="16" s="1"/>
  <c r="F128" i="16"/>
  <c r="D128" i="16"/>
  <c r="E128" i="16" s="1"/>
  <c r="E127" i="16"/>
  <c r="F127" i="16" s="1"/>
  <c r="G127" i="16" s="1"/>
  <c r="H127" i="16" s="1"/>
  <c r="I127" i="16" s="1"/>
  <c r="J127" i="16" s="1"/>
  <c r="K127" i="16" s="1"/>
  <c r="L127" i="16" s="1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B127" i="16" s="1"/>
  <c r="D127" i="16"/>
  <c r="D126" i="16"/>
  <c r="E126" i="16" s="1"/>
  <c r="P125" i="16"/>
  <c r="Q125" i="16" s="1"/>
  <c r="R125" i="16" s="1"/>
  <c r="S125" i="16" s="1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B125" i="16" s="1"/>
  <c r="K125" i="16"/>
  <c r="L125" i="16" s="1"/>
  <c r="M125" i="16" s="1"/>
  <c r="N125" i="16" s="1"/>
  <c r="O125" i="16" s="1"/>
  <c r="J125" i="16"/>
  <c r="G125" i="16"/>
  <c r="H125" i="16" s="1"/>
  <c r="F125" i="16"/>
  <c r="E125" i="16"/>
  <c r="D125" i="16"/>
  <c r="D124" i="16"/>
  <c r="E124" i="16" s="1"/>
  <c r="F124" i="16" s="1"/>
  <c r="G124" i="16" s="1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B124" i="16" s="1"/>
  <c r="K123" i="16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B123" i="16" s="1"/>
  <c r="F123" i="16"/>
  <c r="G123" i="16" s="1"/>
  <c r="H123" i="16" s="1"/>
  <c r="I123" i="16" s="1"/>
  <c r="J123" i="16" s="1"/>
  <c r="E123" i="16"/>
  <c r="D123" i="16"/>
  <c r="F122" i="16"/>
  <c r="G122" i="16" s="1"/>
  <c r="H122" i="16" s="1"/>
  <c r="I122" i="16" s="1"/>
  <c r="J122" i="16" s="1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B122" i="16" s="1"/>
  <c r="E122" i="16"/>
  <c r="D122" i="16"/>
  <c r="H121" i="16"/>
  <c r="I121" i="16" s="1"/>
  <c r="J121" i="16" s="1"/>
  <c r="K121" i="16" s="1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B121" i="16" s="1"/>
  <c r="E121" i="16"/>
  <c r="F121" i="16" s="1"/>
  <c r="G121" i="16" s="1"/>
  <c r="D121" i="16"/>
  <c r="F120" i="16"/>
  <c r="G120" i="16" s="1"/>
  <c r="H120" i="16" s="1"/>
  <c r="I120" i="16" s="1"/>
  <c r="J120" i="16" s="1"/>
  <c r="K120" i="16" s="1"/>
  <c r="L120" i="16" s="1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B120" i="16" s="1"/>
  <c r="E120" i="16"/>
  <c r="D120" i="16"/>
  <c r="I119" i="16"/>
  <c r="J119" i="16" s="1"/>
  <c r="K119" i="16" s="1"/>
  <c r="L119" i="16" s="1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B119" i="16" s="1"/>
  <c r="H119" i="16"/>
  <c r="D119" i="16"/>
  <c r="E119" i="16" s="1"/>
  <c r="F119" i="16" s="1"/>
  <c r="G119" i="16" s="1"/>
  <c r="G118" i="16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B118" i="16" s="1"/>
  <c r="F118" i="16"/>
  <c r="E118" i="16"/>
  <c r="D118" i="16"/>
  <c r="D117" i="16"/>
  <c r="E117" i="16" s="1"/>
  <c r="F117" i="16" s="1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B117" i="16" s="1"/>
  <c r="F116" i="16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B116" i="16" s="1"/>
  <c r="E116" i="16"/>
  <c r="D116" i="16"/>
  <c r="H115" i="16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B115" i="16" s="1"/>
  <c r="D115" i="16"/>
  <c r="E115" i="16" s="1"/>
  <c r="F115" i="16" s="1"/>
  <c r="G115" i="16" s="1"/>
  <c r="N114" i="16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B114" i="16" s="1"/>
  <c r="K114" i="16"/>
  <c r="L114" i="16" s="1"/>
  <c r="M114" i="16" s="1"/>
  <c r="F114" i="16"/>
  <c r="G114" i="16" s="1"/>
  <c r="H114" i="16" s="1"/>
  <c r="I114" i="16" s="1"/>
  <c r="E114" i="16"/>
  <c r="D114" i="16"/>
  <c r="F113" i="16"/>
  <c r="G113" i="16" s="1"/>
  <c r="H113" i="16" s="1"/>
  <c r="I113" i="16" s="1"/>
  <c r="J113" i="16" s="1"/>
  <c r="K113" i="16" s="1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B113" i="16" s="1"/>
  <c r="D113" i="16"/>
  <c r="E113" i="16" s="1"/>
  <c r="D112" i="16"/>
  <c r="E112" i="16" s="1"/>
  <c r="F112" i="16" s="1"/>
  <c r="G112" i="16" s="1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B112" i="16" s="1"/>
  <c r="H110" i="16"/>
  <c r="I110" i="16" s="1"/>
  <c r="J110" i="16" s="1"/>
  <c r="K110" i="16" s="1"/>
  <c r="L110" i="16" s="1"/>
  <c r="M110" i="16" s="1"/>
  <c r="N110" i="16" s="1"/>
  <c r="O110" i="16" s="1"/>
  <c r="P110" i="16" s="1"/>
  <c r="Q110" i="16" s="1"/>
  <c r="R110" i="16" s="1"/>
  <c r="S110" i="16" s="1"/>
  <c r="T110" i="16" s="1"/>
  <c r="U110" i="16" s="1"/>
  <c r="V110" i="16" s="1"/>
  <c r="W110" i="16" s="1"/>
  <c r="X110" i="16" s="1"/>
  <c r="Y110" i="16" s="1"/>
  <c r="Z110" i="16" s="1"/>
  <c r="AA110" i="16" s="1"/>
  <c r="AB110" i="16" s="1"/>
  <c r="AC110" i="16" s="1"/>
  <c r="AD110" i="16" s="1"/>
  <c r="AE110" i="16" s="1"/>
  <c r="AF110" i="16" s="1"/>
  <c r="B110" i="16" s="1"/>
  <c r="G110" i="16"/>
  <c r="D110" i="16"/>
  <c r="E110" i="16" s="1"/>
  <c r="F110" i="16" s="1"/>
  <c r="F109" i="16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B109" i="16" s="1"/>
  <c r="E109" i="16"/>
  <c r="D109" i="16"/>
  <c r="F107" i="16"/>
  <c r="G107" i="16" s="1"/>
  <c r="H107" i="16" s="1"/>
  <c r="I107" i="16" s="1"/>
  <c r="J107" i="16" s="1"/>
  <c r="K107" i="16" s="1"/>
  <c r="L107" i="16" s="1"/>
  <c r="M107" i="16" s="1"/>
  <c r="N107" i="16" s="1"/>
  <c r="O107" i="16" s="1"/>
  <c r="P107" i="16" s="1"/>
  <c r="Q107" i="16" s="1"/>
  <c r="R107" i="16" s="1"/>
  <c r="S107" i="16" s="1"/>
  <c r="T107" i="16" s="1"/>
  <c r="U107" i="16" s="1"/>
  <c r="V107" i="16" s="1"/>
  <c r="W107" i="16" s="1"/>
  <c r="X107" i="16" s="1"/>
  <c r="Y107" i="16" s="1"/>
  <c r="Z107" i="16" s="1"/>
  <c r="AA107" i="16" s="1"/>
  <c r="AB107" i="16" s="1"/>
  <c r="AC107" i="16" s="1"/>
  <c r="AD107" i="16" s="1"/>
  <c r="AE107" i="16" s="1"/>
  <c r="AF107" i="16" s="1"/>
  <c r="B107" i="16" s="1"/>
  <c r="D107" i="16"/>
  <c r="E107" i="16" s="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B106" i="16" s="1"/>
  <c r="F105" i="16"/>
  <c r="G105" i="16" s="1"/>
  <c r="H105" i="16" s="1"/>
  <c r="I105" i="16" s="1"/>
  <c r="J105" i="16" s="1"/>
  <c r="K105" i="16" s="1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B105" i="16" s="1"/>
  <c r="E105" i="16"/>
  <c r="D105" i="16"/>
  <c r="D104" i="16"/>
  <c r="E104" i="16" s="1"/>
  <c r="F104" i="16" s="1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B104" i="16" s="1"/>
  <c r="D103" i="16"/>
  <c r="E103" i="16" s="1"/>
  <c r="F103" i="16" s="1"/>
  <c r="E102" i="16"/>
  <c r="D102" i="16"/>
  <c r="AH100" i="16"/>
  <c r="AI100" i="16" s="1"/>
  <c r="AH99" i="16"/>
  <c r="AI99" i="16" s="1"/>
  <c r="AH98" i="16"/>
  <c r="AI98" i="16" s="1"/>
  <c r="AH97" i="16"/>
  <c r="AI97" i="16" s="1"/>
  <c r="AH96" i="16"/>
  <c r="AI96" i="16" s="1"/>
  <c r="AH95" i="16"/>
  <c r="AI95" i="16" s="1"/>
  <c r="AH94" i="16"/>
  <c r="AI94" i="16" s="1"/>
  <c r="D93" i="16"/>
  <c r="C93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G82" i="16"/>
  <c r="P82" i="16"/>
  <c r="AI81" i="16"/>
  <c r="AH81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F79" i="16"/>
  <c r="AE79" i="16"/>
  <c r="AD79" i="16"/>
  <c r="AC79" i="16"/>
  <c r="AB79" i="16"/>
  <c r="AA79" i="16"/>
  <c r="Z79" i="16"/>
  <c r="Y79" i="16"/>
  <c r="Y82" i="16" s="1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I82" i="16" s="1"/>
  <c r="H79" i="16"/>
  <c r="G79" i="16"/>
  <c r="F79" i="16"/>
  <c r="E79" i="16"/>
  <c r="D79" i="16"/>
  <c r="C79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F76" i="16"/>
  <c r="AE76" i="16"/>
  <c r="AD76" i="16"/>
  <c r="AD82" i="16" s="1"/>
  <c r="AC76" i="16"/>
  <c r="AB76" i="16"/>
  <c r="AA76" i="16"/>
  <c r="AA82" i="16" s="1"/>
  <c r="Z76" i="16"/>
  <c r="Y76" i="16"/>
  <c r="X76" i="16"/>
  <c r="W76" i="16"/>
  <c r="V76" i="16"/>
  <c r="U76" i="16"/>
  <c r="U82" i="16" s="1"/>
  <c r="T76" i="16"/>
  <c r="T82" i="16" s="1"/>
  <c r="S76" i="16"/>
  <c r="R76" i="16"/>
  <c r="R82" i="16" s="1"/>
  <c r="Q76" i="16"/>
  <c r="P76" i="16"/>
  <c r="O76" i="16"/>
  <c r="N76" i="16"/>
  <c r="M76" i="16"/>
  <c r="L76" i="16"/>
  <c r="K76" i="16"/>
  <c r="K82" i="16" s="1"/>
  <c r="J76" i="16"/>
  <c r="J82" i="16" s="1"/>
  <c r="I76" i="16"/>
  <c r="H76" i="16"/>
  <c r="G76" i="16"/>
  <c r="F76" i="16"/>
  <c r="E76" i="16"/>
  <c r="E82" i="16" s="1"/>
  <c r="D76" i="16"/>
  <c r="C76" i="16"/>
  <c r="AG75" i="16"/>
  <c r="AI74" i="16"/>
  <c r="AH74" i="16"/>
  <c r="AI72" i="16"/>
  <c r="AH72" i="16"/>
  <c r="AG72" i="16"/>
  <c r="AG83" i="16" s="1"/>
  <c r="AI71" i="16"/>
  <c r="AH71" i="16"/>
  <c r="AI70" i="16"/>
  <c r="AH70" i="16"/>
  <c r="AI69" i="16"/>
  <c r="AH69" i="16"/>
  <c r="AG68" i="16"/>
  <c r="AG73" i="16" s="1"/>
  <c r="AF68" i="16"/>
  <c r="AE5" i="16" s="1"/>
  <c r="AE68" i="16"/>
  <c r="AD68" i="16"/>
  <c r="AC68" i="16"/>
  <c r="AB5" i="16" s="1"/>
  <c r="AB68" i="16"/>
  <c r="AA68" i="16"/>
  <c r="Z68" i="16"/>
  <c r="Y68" i="16"/>
  <c r="X68" i="16"/>
  <c r="W5" i="16" s="1"/>
  <c r="W68" i="16"/>
  <c r="V5" i="16" s="1"/>
  <c r="V68" i="16"/>
  <c r="U5" i="16" s="1"/>
  <c r="U68" i="16"/>
  <c r="U83" i="16" s="1"/>
  <c r="T68" i="16"/>
  <c r="S5" i="16" s="1"/>
  <c r="S68" i="16"/>
  <c r="R68" i="16"/>
  <c r="Q5" i="16" s="1"/>
  <c r="Q68" i="16"/>
  <c r="P68" i="16"/>
  <c r="O5" i="16" s="1"/>
  <c r="O68" i="16"/>
  <c r="N5" i="16" s="1"/>
  <c r="N68" i="16"/>
  <c r="M5" i="16" s="1"/>
  <c r="M68" i="16"/>
  <c r="L68" i="16"/>
  <c r="K68" i="16"/>
  <c r="J5" i="16" s="1"/>
  <c r="J68" i="16"/>
  <c r="I5" i="16" s="1"/>
  <c r="I68" i="16"/>
  <c r="H68" i="16"/>
  <c r="G5" i="16" s="1"/>
  <c r="G68" i="16"/>
  <c r="F5" i="16" s="1"/>
  <c r="F68" i="16"/>
  <c r="E5" i="16" s="1"/>
  <c r="E68" i="16"/>
  <c r="D5" i="16" s="1"/>
  <c r="D68" i="16"/>
  <c r="C68" i="16"/>
  <c r="AI67" i="16"/>
  <c r="AH67" i="16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I55" i="16"/>
  <c r="AH55" i="16"/>
  <c r="AI54" i="16"/>
  <c r="AH54" i="16"/>
  <c r="AI53" i="16"/>
  <c r="AH53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I51" i="16"/>
  <c r="AH51" i="16"/>
  <c r="AG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G38" i="16"/>
  <c r="AF38" i="16"/>
  <c r="AE38" i="16"/>
  <c r="AD38" i="16"/>
  <c r="AC38" i="16"/>
  <c r="AB38" i="16"/>
  <c r="AA38" i="16"/>
  <c r="Z38" i="16"/>
  <c r="Z73" i="16" s="1"/>
  <c r="Z75" i="16" s="1"/>
  <c r="Y38" i="16"/>
  <c r="X38" i="16"/>
  <c r="W38" i="16"/>
  <c r="V38" i="16"/>
  <c r="U38" i="16"/>
  <c r="U73" i="16" s="1"/>
  <c r="U75" i="16" s="1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F5" i="16"/>
  <c r="AD5" i="16"/>
  <c r="AC5" i="16"/>
  <c r="AA5" i="16"/>
  <c r="Z5" i="16"/>
  <c r="Y5" i="16"/>
  <c r="X5" i="16"/>
  <c r="T5" i="16"/>
  <c r="AG4" i="16"/>
  <c r="K4" i="16"/>
  <c r="AG3" i="16"/>
  <c r="AG2" i="16"/>
  <c r="AG6" i="16" s="1"/>
  <c r="AC37" i="15"/>
  <c r="AE37" i="15"/>
  <c r="AC95" i="15"/>
  <c r="AB95" i="15"/>
  <c r="AB37" i="15"/>
  <c r="V94" i="15"/>
  <c r="U37" i="15"/>
  <c r="T37" i="15"/>
  <c r="S37" i="15"/>
  <c r="R37" i="15"/>
  <c r="Q37" i="15"/>
  <c r="P95" i="15"/>
  <c r="P37" i="15"/>
  <c r="O37" i="15"/>
  <c r="N37" i="15"/>
  <c r="M95" i="15"/>
  <c r="M37" i="15"/>
  <c r="L95" i="15"/>
  <c r="L37" i="15"/>
  <c r="K95" i="15"/>
  <c r="K37" i="15"/>
  <c r="J95" i="15"/>
  <c r="J37" i="15"/>
  <c r="I95" i="15"/>
  <c r="H95" i="15"/>
  <c r="I37" i="15"/>
  <c r="H59" i="15"/>
  <c r="H37" i="15"/>
  <c r="F95" i="15"/>
  <c r="G95" i="15"/>
  <c r="G37" i="15"/>
  <c r="F37" i="15"/>
  <c r="E95" i="15"/>
  <c r="E37" i="15"/>
  <c r="D95" i="15"/>
  <c r="C95" i="15"/>
  <c r="B95" i="15"/>
  <c r="AF239" i="15"/>
  <c r="AE239" i="15"/>
  <c r="AD239" i="15"/>
  <c r="AC239" i="15"/>
  <c r="AB239" i="15"/>
  <c r="AA239" i="15"/>
  <c r="Z239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AF238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C235" i="15"/>
  <c r="B235" i="15"/>
  <c r="S210" i="15"/>
  <c r="AG200" i="15"/>
  <c r="D200" i="15"/>
  <c r="C200" i="15"/>
  <c r="E199" i="15"/>
  <c r="D199" i="15"/>
  <c r="E198" i="15"/>
  <c r="F198" i="15" s="1"/>
  <c r="G198" i="15" s="1"/>
  <c r="H198" i="15" s="1"/>
  <c r="I198" i="15" s="1"/>
  <c r="J198" i="15" s="1"/>
  <c r="K198" i="15" s="1"/>
  <c r="L198" i="15" s="1"/>
  <c r="M198" i="15" s="1"/>
  <c r="N198" i="15" s="1"/>
  <c r="O198" i="15" s="1"/>
  <c r="P198" i="15" s="1"/>
  <c r="Q198" i="15" s="1"/>
  <c r="R198" i="15" s="1"/>
  <c r="S198" i="15" s="1"/>
  <c r="T198" i="15" s="1"/>
  <c r="U198" i="15" s="1"/>
  <c r="V198" i="15" s="1"/>
  <c r="W198" i="15" s="1"/>
  <c r="X198" i="15" s="1"/>
  <c r="Y198" i="15" s="1"/>
  <c r="Z198" i="15" s="1"/>
  <c r="AA198" i="15" s="1"/>
  <c r="AB198" i="15" s="1"/>
  <c r="AC198" i="15" s="1"/>
  <c r="AD198" i="15" s="1"/>
  <c r="AE198" i="15" s="1"/>
  <c r="AF198" i="15" s="1"/>
  <c r="B198" i="15" s="1"/>
  <c r="D198" i="15"/>
  <c r="K197" i="15"/>
  <c r="L197" i="15" s="1"/>
  <c r="M197" i="15" s="1"/>
  <c r="N197" i="15" s="1"/>
  <c r="O197" i="15" s="1"/>
  <c r="P197" i="15" s="1"/>
  <c r="Q197" i="15" s="1"/>
  <c r="R197" i="15" s="1"/>
  <c r="S197" i="15" s="1"/>
  <c r="T197" i="15" s="1"/>
  <c r="U197" i="15" s="1"/>
  <c r="V197" i="15" s="1"/>
  <c r="W197" i="15" s="1"/>
  <c r="X197" i="15" s="1"/>
  <c r="Y197" i="15" s="1"/>
  <c r="Z197" i="15" s="1"/>
  <c r="AA197" i="15" s="1"/>
  <c r="AB197" i="15" s="1"/>
  <c r="AC197" i="15" s="1"/>
  <c r="AD197" i="15" s="1"/>
  <c r="AE197" i="15" s="1"/>
  <c r="AF197" i="15" s="1"/>
  <c r="B197" i="15" s="1"/>
  <c r="G197" i="15"/>
  <c r="H197" i="15" s="1"/>
  <c r="I197" i="15" s="1"/>
  <c r="J197" i="15" s="1"/>
  <c r="D197" i="15"/>
  <c r="E197" i="15" s="1"/>
  <c r="F197" i="15" s="1"/>
  <c r="E196" i="15"/>
  <c r="F196" i="15" s="1"/>
  <c r="G196" i="15" s="1"/>
  <c r="H196" i="15" s="1"/>
  <c r="I196" i="15" s="1"/>
  <c r="J196" i="15" s="1"/>
  <c r="K196" i="15" s="1"/>
  <c r="L196" i="15" s="1"/>
  <c r="M196" i="15" s="1"/>
  <c r="N196" i="15" s="1"/>
  <c r="O196" i="15" s="1"/>
  <c r="P196" i="15" s="1"/>
  <c r="Q196" i="15" s="1"/>
  <c r="R196" i="15" s="1"/>
  <c r="S196" i="15" s="1"/>
  <c r="T196" i="15" s="1"/>
  <c r="U196" i="15" s="1"/>
  <c r="V196" i="15" s="1"/>
  <c r="W196" i="15" s="1"/>
  <c r="X196" i="15" s="1"/>
  <c r="Y196" i="15" s="1"/>
  <c r="Z196" i="15" s="1"/>
  <c r="AA196" i="15" s="1"/>
  <c r="AB196" i="15" s="1"/>
  <c r="AC196" i="15" s="1"/>
  <c r="AD196" i="15" s="1"/>
  <c r="AE196" i="15" s="1"/>
  <c r="AF196" i="15" s="1"/>
  <c r="B196" i="15" s="1"/>
  <c r="D196" i="15"/>
  <c r="G195" i="15"/>
  <c r="H195" i="15" s="1"/>
  <c r="I195" i="15" s="1"/>
  <c r="J195" i="15" s="1"/>
  <c r="K195" i="15" s="1"/>
  <c r="L195" i="15" s="1"/>
  <c r="M195" i="15" s="1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B195" i="15" s="1"/>
  <c r="D195" i="15"/>
  <c r="E195" i="15" s="1"/>
  <c r="F195" i="15" s="1"/>
  <c r="E194" i="15"/>
  <c r="F194" i="15" s="1"/>
  <c r="D194" i="15"/>
  <c r="AG192" i="15"/>
  <c r="C192" i="15"/>
  <c r="T191" i="15"/>
  <c r="U191" i="15" s="1"/>
  <c r="V191" i="15" s="1"/>
  <c r="W191" i="15" s="1"/>
  <c r="X191" i="15" s="1"/>
  <c r="Y191" i="15" s="1"/>
  <c r="Z191" i="15" s="1"/>
  <c r="AA191" i="15" s="1"/>
  <c r="AB191" i="15" s="1"/>
  <c r="AC191" i="15" s="1"/>
  <c r="AD191" i="15" s="1"/>
  <c r="AE191" i="15" s="1"/>
  <c r="AF191" i="15" s="1"/>
  <c r="B191" i="15" s="1"/>
  <c r="H191" i="15"/>
  <c r="I191" i="15" s="1"/>
  <c r="J191" i="15" s="1"/>
  <c r="K191" i="15" s="1"/>
  <c r="L191" i="15" s="1"/>
  <c r="M191" i="15" s="1"/>
  <c r="N191" i="15" s="1"/>
  <c r="O191" i="15" s="1"/>
  <c r="P191" i="15" s="1"/>
  <c r="Q191" i="15" s="1"/>
  <c r="R191" i="15" s="1"/>
  <c r="S191" i="15" s="1"/>
  <c r="D191" i="15"/>
  <c r="E191" i="15" s="1"/>
  <c r="F191" i="15" s="1"/>
  <c r="G191" i="15" s="1"/>
  <c r="G190" i="15"/>
  <c r="H190" i="15" s="1"/>
  <c r="I190" i="15" s="1"/>
  <c r="J190" i="15" s="1"/>
  <c r="K190" i="15" s="1"/>
  <c r="L190" i="15" s="1"/>
  <c r="M190" i="15" s="1"/>
  <c r="N190" i="15" s="1"/>
  <c r="O190" i="15" s="1"/>
  <c r="P190" i="15" s="1"/>
  <c r="Q190" i="15" s="1"/>
  <c r="R190" i="15" s="1"/>
  <c r="S190" i="15" s="1"/>
  <c r="T190" i="15" s="1"/>
  <c r="U190" i="15" s="1"/>
  <c r="V190" i="15" s="1"/>
  <c r="W190" i="15" s="1"/>
  <c r="X190" i="15" s="1"/>
  <c r="Y190" i="15" s="1"/>
  <c r="Z190" i="15" s="1"/>
  <c r="AA190" i="15" s="1"/>
  <c r="AB190" i="15" s="1"/>
  <c r="AC190" i="15" s="1"/>
  <c r="AD190" i="15" s="1"/>
  <c r="AE190" i="15" s="1"/>
  <c r="AF190" i="15" s="1"/>
  <c r="B190" i="15" s="1"/>
  <c r="E190" i="15"/>
  <c r="F190" i="15" s="1"/>
  <c r="D190" i="15"/>
  <c r="G189" i="15"/>
  <c r="H189" i="15" s="1"/>
  <c r="I189" i="15" s="1"/>
  <c r="J189" i="15" s="1"/>
  <c r="K189" i="15" s="1"/>
  <c r="L189" i="15" s="1"/>
  <c r="M189" i="15" s="1"/>
  <c r="N189" i="15" s="1"/>
  <c r="O189" i="15" s="1"/>
  <c r="P189" i="15" s="1"/>
  <c r="Q189" i="15" s="1"/>
  <c r="R189" i="15" s="1"/>
  <c r="S189" i="15" s="1"/>
  <c r="T189" i="15" s="1"/>
  <c r="U189" i="15" s="1"/>
  <c r="V189" i="15" s="1"/>
  <c r="W189" i="15" s="1"/>
  <c r="X189" i="15" s="1"/>
  <c r="Y189" i="15" s="1"/>
  <c r="Z189" i="15" s="1"/>
  <c r="AA189" i="15" s="1"/>
  <c r="AB189" i="15" s="1"/>
  <c r="AC189" i="15" s="1"/>
  <c r="AD189" i="15" s="1"/>
  <c r="AE189" i="15" s="1"/>
  <c r="AF189" i="15" s="1"/>
  <c r="B189" i="15" s="1"/>
  <c r="D189" i="15"/>
  <c r="E189" i="15" s="1"/>
  <c r="F189" i="15" s="1"/>
  <c r="F188" i="15"/>
  <c r="G188" i="15" s="1"/>
  <c r="H188" i="15" s="1"/>
  <c r="I188" i="15" s="1"/>
  <c r="J188" i="15" s="1"/>
  <c r="K188" i="15" s="1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AC188" i="15" s="1"/>
  <c r="AD188" i="15" s="1"/>
  <c r="AE188" i="15" s="1"/>
  <c r="AF188" i="15" s="1"/>
  <c r="B188" i="15" s="1"/>
  <c r="D188" i="15"/>
  <c r="E188" i="15" s="1"/>
  <c r="Q187" i="15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B187" i="15" s="1"/>
  <c r="G187" i="15"/>
  <c r="H187" i="15" s="1"/>
  <c r="I187" i="15" s="1"/>
  <c r="J187" i="15" s="1"/>
  <c r="K187" i="15" s="1"/>
  <c r="L187" i="15" s="1"/>
  <c r="M187" i="15" s="1"/>
  <c r="N187" i="15" s="1"/>
  <c r="O187" i="15" s="1"/>
  <c r="P187" i="15" s="1"/>
  <c r="F187" i="15"/>
  <c r="D187" i="15"/>
  <c r="E187" i="15" s="1"/>
  <c r="G186" i="15"/>
  <c r="H186" i="15" s="1"/>
  <c r="I186" i="15" s="1"/>
  <c r="J186" i="15" s="1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B186" i="15" s="1"/>
  <c r="F186" i="15"/>
  <c r="E186" i="15"/>
  <c r="D186" i="15"/>
  <c r="N185" i="15"/>
  <c r="O185" i="15" s="1"/>
  <c r="P185" i="15" s="1"/>
  <c r="Q185" i="15" s="1"/>
  <c r="R185" i="15" s="1"/>
  <c r="S185" i="15" s="1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B185" i="15" s="1"/>
  <c r="H185" i="15"/>
  <c r="I185" i="15" s="1"/>
  <c r="J185" i="15" s="1"/>
  <c r="K185" i="15" s="1"/>
  <c r="L185" i="15" s="1"/>
  <c r="M185" i="15" s="1"/>
  <c r="D185" i="15"/>
  <c r="E185" i="15" s="1"/>
  <c r="F185" i="15" s="1"/>
  <c r="G185" i="15" s="1"/>
  <c r="D184" i="15"/>
  <c r="E184" i="15" s="1"/>
  <c r="F184" i="15" s="1"/>
  <c r="G184" i="15" s="1"/>
  <c r="H184" i="15" s="1"/>
  <c r="I184" i="15" s="1"/>
  <c r="J184" i="15" s="1"/>
  <c r="K184" i="15" s="1"/>
  <c r="L184" i="15" s="1"/>
  <c r="M184" i="15" s="1"/>
  <c r="N184" i="15" s="1"/>
  <c r="O184" i="15" s="1"/>
  <c r="P184" i="15" s="1"/>
  <c r="Q184" i="15" s="1"/>
  <c r="R184" i="15" s="1"/>
  <c r="S184" i="15" s="1"/>
  <c r="T184" i="15" s="1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B184" i="15" s="1"/>
  <c r="G183" i="15"/>
  <c r="H183" i="15" s="1"/>
  <c r="I183" i="15" s="1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B183" i="15" s="1"/>
  <c r="D183" i="15"/>
  <c r="E183" i="15" s="1"/>
  <c r="F183" i="15" s="1"/>
  <c r="M182" i="15"/>
  <c r="N182" i="15" s="1"/>
  <c r="O182" i="15" s="1"/>
  <c r="P182" i="15" s="1"/>
  <c r="Q182" i="15" s="1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B182" i="15" s="1"/>
  <c r="D182" i="15"/>
  <c r="E182" i="15" s="1"/>
  <c r="F182" i="15" s="1"/>
  <c r="G182" i="15" s="1"/>
  <c r="H182" i="15" s="1"/>
  <c r="I182" i="15" s="1"/>
  <c r="J182" i="15" s="1"/>
  <c r="K182" i="15" s="1"/>
  <c r="L182" i="15" s="1"/>
  <c r="U181" i="15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B181" i="15" s="1"/>
  <c r="E181" i="15"/>
  <c r="F181" i="15" s="1"/>
  <c r="G181" i="15" s="1"/>
  <c r="H181" i="15" s="1"/>
  <c r="I181" i="15" s="1"/>
  <c r="J181" i="15" s="1"/>
  <c r="K181" i="15" s="1"/>
  <c r="L181" i="15" s="1"/>
  <c r="M181" i="15" s="1"/>
  <c r="N181" i="15" s="1"/>
  <c r="O181" i="15" s="1"/>
  <c r="P181" i="15" s="1"/>
  <c r="Q181" i="15" s="1"/>
  <c r="R181" i="15" s="1"/>
  <c r="S181" i="15" s="1"/>
  <c r="T181" i="15" s="1"/>
  <c r="D181" i="15"/>
  <c r="F180" i="15"/>
  <c r="G180" i="15" s="1"/>
  <c r="H180" i="15" s="1"/>
  <c r="I180" i="15" s="1"/>
  <c r="J180" i="15" s="1"/>
  <c r="K180" i="15" s="1"/>
  <c r="L180" i="15" s="1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B180" i="15" s="1"/>
  <c r="D180" i="15"/>
  <c r="E180" i="15" s="1"/>
  <c r="R179" i="15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B179" i="15" s="1"/>
  <c r="D179" i="15"/>
  <c r="E179" i="15" s="1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G177" i="15"/>
  <c r="H177" i="15" s="1"/>
  <c r="I177" i="15" s="1"/>
  <c r="J177" i="15" s="1"/>
  <c r="K177" i="15" s="1"/>
  <c r="L177" i="15" s="1"/>
  <c r="M177" i="15" s="1"/>
  <c r="N177" i="15" s="1"/>
  <c r="O177" i="15" s="1"/>
  <c r="P177" i="15" s="1"/>
  <c r="Q177" i="15" s="1"/>
  <c r="R177" i="15" s="1"/>
  <c r="S177" i="15" s="1"/>
  <c r="T177" i="15" s="1"/>
  <c r="U177" i="15" s="1"/>
  <c r="V177" i="15" s="1"/>
  <c r="W177" i="15" s="1"/>
  <c r="X177" i="15" s="1"/>
  <c r="Y177" i="15" s="1"/>
  <c r="Z177" i="15" s="1"/>
  <c r="AA177" i="15" s="1"/>
  <c r="AB177" i="15" s="1"/>
  <c r="AC177" i="15" s="1"/>
  <c r="AD177" i="15" s="1"/>
  <c r="AE177" i="15" s="1"/>
  <c r="AF177" i="15" s="1"/>
  <c r="B177" i="15" s="1"/>
  <c r="F177" i="15"/>
  <c r="E177" i="15"/>
  <c r="D177" i="15"/>
  <c r="W176" i="15"/>
  <c r="X176" i="15" s="1"/>
  <c r="Y176" i="15" s="1"/>
  <c r="Z176" i="15" s="1"/>
  <c r="AA176" i="15" s="1"/>
  <c r="AB176" i="15" s="1"/>
  <c r="AC176" i="15" s="1"/>
  <c r="AD176" i="15" s="1"/>
  <c r="AE176" i="15" s="1"/>
  <c r="AF176" i="15" s="1"/>
  <c r="B176" i="15" s="1"/>
  <c r="F176" i="15"/>
  <c r="G176" i="15" s="1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D176" i="15"/>
  <c r="E176" i="15" s="1"/>
  <c r="D175" i="15"/>
  <c r="E175" i="15" s="1"/>
  <c r="F175" i="15" s="1"/>
  <c r="G175" i="15" s="1"/>
  <c r="H175" i="15" s="1"/>
  <c r="I175" i="15" s="1"/>
  <c r="J175" i="15" s="1"/>
  <c r="K175" i="15" s="1"/>
  <c r="L175" i="15" s="1"/>
  <c r="M175" i="15" s="1"/>
  <c r="N175" i="15" s="1"/>
  <c r="O175" i="15" s="1"/>
  <c r="P175" i="15" s="1"/>
  <c r="Q175" i="15" s="1"/>
  <c r="R175" i="15" s="1"/>
  <c r="S175" i="15" s="1"/>
  <c r="T175" i="15" s="1"/>
  <c r="U175" i="15" s="1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B175" i="15" s="1"/>
  <c r="D174" i="15"/>
  <c r="E174" i="15" s="1"/>
  <c r="F174" i="15" s="1"/>
  <c r="G174" i="15" s="1"/>
  <c r="H174" i="15" s="1"/>
  <c r="I174" i="15" s="1"/>
  <c r="J174" i="15" s="1"/>
  <c r="K174" i="15" s="1"/>
  <c r="L174" i="15" s="1"/>
  <c r="M174" i="15" s="1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B174" i="15" s="1"/>
  <c r="K173" i="15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B173" i="15" s="1"/>
  <c r="D173" i="15"/>
  <c r="E173" i="15" s="1"/>
  <c r="F173" i="15" s="1"/>
  <c r="G173" i="15" s="1"/>
  <c r="H173" i="15" s="1"/>
  <c r="I173" i="15" s="1"/>
  <c r="J173" i="15" s="1"/>
  <c r="E172" i="15"/>
  <c r="F172" i="15" s="1"/>
  <c r="G172" i="15" s="1"/>
  <c r="H172" i="15" s="1"/>
  <c r="I172" i="15" s="1"/>
  <c r="J172" i="15" s="1"/>
  <c r="K172" i="15" s="1"/>
  <c r="L172" i="15" s="1"/>
  <c r="M172" i="15" s="1"/>
  <c r="N172" i="15" s="1"/>
  <c r="O172" i="15" s="1"/>
  <c r="P172" i="15" s="1"/>
  <c r="Q172" i="15" s="1"/>
  <c r="R172" i="15" s="1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B172" i="15" s="1"/>
  <c r="D172" i="15"/>
  <c r="D171" i="15"/>
  <c r="E171" i="15" s="1"/>
  <c r="F171" i="15" s="1"/>
  <c r="G171" i="15" s="1"/>
  <c r="H171" i="15" s="1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B171" i="15" s="1"/>
  <c r="G170" i="15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B170" i="15" s="1"/>
  <c r="D170" i="15"/>
  <c r="E170" i="15" s="1"/>
  <c r="F170" i="15" s="1"/>
  <c r="F168" i="15"/>
  <c r="G168" i="15" s="1"/>
  <c r="H168" i="15" s="1"/>
  <c r="I168" i="15" s="1"/>
  <c r="J168" i="15" s="1"/>
  <c r="K168" i="15" s="1"/>
  <c r="L168" i="15" s="1"/>
  <c r="M168" i="15" s="1"/>
  <c r="N168" i="15" s="1"/>
  <c r="O168" i="15" s="1"/>
  <c r="P168" i="15" s="1"/>
  <c r="Q168" i="15" s="1"/>
  <c r="R168" i="15" s="1"/>
  <c r="S168" i="15" s="1"/>
  <c r="T168" i="15" s="1"/>
  <c r="U168" i="15" s="1"/>
  <c r="V168" i="15" s="1"/>
  <c r="W168" i="15" s="1"/>
  <c r="X168" i="15" s="1"/>
  <c r="Y168" i="15" s="1"/>
  <c r="Z168" i="15" s="1"/>
  <c r="AA168" i="15" s="1"/>
  <c r="AB168" i="15" s="1"/>
  <c r="AC168" i="15" s="1"/>
  <c r="AD168" i="15" s="1"/>
  <c r="AE168" i="15" s="1"/>
  <c r="AF168" i="15" s="1"/>
  <c r="B168" i="15" s="1"/>
  <c r="E168" i="15"/>
  <c r="D168" i="15"/>
  <c r="F167" i="15"/>
  <c r="G167" i="15" s="1"/>
  <c r="H167" i="15" s="1"/>
  <c r="I167" i="15" s="1"/>
  <c r="J167" i="15" s="1"/>
  <c r="K167" i="15" s="1"/>
  <c r="L167" i="15" s="1"/>
  <c r="M167" i="15" s="1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B167" i="15" s="1"/>
  <c r="E167" i="15"/>
  <c r="D167" i="15"/>
  <c r="Q166" i="15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B166" i="15" s="1"/>
  <c r="G166" i="15"/>
  <c r="H166" i="15" s="1"/>
  <c r="I166" i="15" s="1"/>
  <c r="J166" i="15" s="1"/>
  <c r="K166" i="15" s="1"/>
  <c r="L166" i="15" s="1"/>
  <c r="M166" i="15" s="1"/>
  <c r="N166" i="15" s="1"/>
  <c r="O166" i="15" s="1"/>
  <c r="P166" i="15" s="1"/>
  <c r="D166" i="15"/>
  <c r="E166" i="15" s="1"/>
  <c r="F166" i="15" s="1"/>
  <c r="D165" i="15"/>
  <c r="E165" i="15" s="1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B165" i="15" s="1"/>
  <c r="D164" i="15"/>
  <c r="E164" i="15" s="1"/>
  <c r="F164" i="15" s="1"/>
  <c r="G164" i="15" s="1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B164" i="15" s="1"/>
  <c r="F163" i="15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B163" i="15" s="1"/>
  <c r="E163" i="15"/>
  <c r="D163" i="15"/>
  <c r="D162" i="15"/>
  <c r="E162" i="15" s="1"/>
  <c r="F162" i="15" s="1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B162" i="15" s="1"/>
  <c r="D161" i="15"/>
  <c r="E161" i="15" s="1"/>
  <c r="F161" i="15" s="1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B161" i="15" s="1"/>
  <c r="J160" i="15"/>
  <c r="K160" i="15" s="1"/>
  <c r="L160" i="15" s="1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B160" i="15" s="1"/>
  <c r="H160" i="15"/>
  <c r="I160" i="15" s="1"/>
  <c r="D160" i="15"/>
  <c r="E160" i="15" s="1"/>
  <c r="F160" i="15" s="1"/>
  <c r="G160" i="15" s="1"/>
  <c r="H159" i="15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B159" i="15" s="1"/>
  <c r="F159" i="15"/>
  <c r="G159" i="15" s="1"/>
  <c r="E159" i="15"/>
  <c r="D159" i="15"/>
  <c r="D158" i="15"/>
  <c r="E158" i="15" s="1"/>
  <c r="F158" i="15" s="1"/>
  <c r="G158" i="15" s="1"/>
  <c r="H158" i="15" s="1"/>
  <c r="I158" i="15" s="1"/>
  <c r="J158" i="15" s="1"/>
  <c r="K158" i="15" s="1"/>
  <c r="L158" i="15" s="1"/>
  <c r="M158" i="15" s="1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B158" i="15" s="1"/>
  <c r="F157" i="15"/>
  <c r="G157" i="15" s="1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B157" i="15" s="1"/>
  <c r="E157" i="15"/>
  <c r="D157" i="15"/>
  <c r="K156" i="15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AD156" i="15" s="1"/>
  <c r="AE156" i="15" s="1"/>
  <c r="AF156" i="15" s="1"/>
  <c r="B156" i="15" s="1"/>
  <c r="D156" i="15"/>
  <c r="E156" i="15" s="1"/>
  <c r="F156" i="15" s="1"/>
  <c r="G156" i="15" s="1"/>
  <c r="H156" i="15" s="1"/>
  <c r="I156" i="15" s="1"/>
  <c r="J156" i="15" s="1"/>
  <c r="F154" i="15"/>
  <c r="G154" i="15" s="1"/>
  <c r="H154" i="15" s="1"/>
  <c r="I154" i="15" s="1"/>
  <c r="J154" i="15" s="1"/>
  <c r="K154" i="15" s="1"/>
  <c r="L154" i="15" s="1"/>
  <c r="M154" i="15" s="1"/>
  <c r="N154" i="15" s="1"/>
  <c r="O154" i="15" s="1"/>
  <c r="P154" i="15" s="1"/>
  <c r="Q154" i="15" s="1"/>
  <c r="R154" i="15" s="1"/>
  <c r="S154" i="15" s="1"/>
  <c r="T154" i="15" s="1"/>
  <c r="U154" i="15" s="1"/>
  <c r="V154" i="15" s="1"/>
  <c r="W154" i="15" s="1"/>
  <c r="X154" i="15" s="1"/>
  <c r="Y154" i="15" s="1"/>
  <c r="Z154" i="15" s="1"/>
  <c r="AA154" i="15" s="1"/>
  <c r="AB154" i="15" s="1"/>
  <c r="AC154" i="15" s="1"/>
  <c r="AD154" i="15" s="1"/>
  <c r="AE154" i="15" s="1"/>
  <c r="AF154" i="15" s="1"/>
  <c r="B154" i="15" s="1"/>
  <c r="E154" i="15"/>
  <c r="D154" i="15"/>
  <c r="M153" i="15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B153" i="15" s="1"/>
  <c r="E153" i="15"/>
  <c r="F153" i="15" s="1"/>
  <c r="G153" i="15" s="1"/>
  <c r="H153" i="15" s="1"/>
  <c r="I153" i="15" s="1"/>
  <c r="J153" i="15" s="1"/>
  <c r="K153" i="15" s="1"/>
  <c r="L153" i="15" s="1"/>
  <c r="D153" i="15"/>
  <c r="G152" i="15"/>
  <c r="H152" i="15" s="1"/>
  <c r="I152" i="15" s="1"/>
  <c r="J152" i="15" s="1"/>
  <c r="K152" i="15" s="1"/>
  <c r="L152" i="15" s="1"/>
  <c r="M152" i="15" s="1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X152" i="15" s="1"/>
  <c r="Y152" i="15" s="1"/>
  <c r="Z152" i="15" s="1"/>
  <c r="AA152" i="15" s="1"/>
  <c r="AB152" i="15" s="1"/>
  <c r="AC152" i="15" s="1"/>
  <c r="AD152" i="15" s="1"/>
  <c r="AE152" i="15" s="1"/>
  <c r="AF152" i="15" s="1"/>
  <c r="B152" i="15" s="1"/>
  <c r="D152" i="15"/>
  <c r="E152" i="15" s="1"/>
  <c r="F152" i="15" s="1"/>
  <c r="M151" i="15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B151" i="15" s="1"/>
  <c r="E151" i="15"/>
  <c r="F151" i="15" s="1"/>
  <c r="G151" i="15" s="1"/>
  <c r="H151" i="15" s="1"/>
  <c r="I151" i="15" s="1"/>
  <c r="J151" i="15" s="1"/>
  <c r="K151" i="15" s="1"/>
  <c r="L151" i="15" s="1"/>
  <c r="D151" i="15"/>
  <c r="E149" i="15"/>
  <c r="F149" i="15" s="1"/>
  <c r="G149" i="15" s="1"/>
  <c r="H149" i="15" s="1"/>
  <c r="I149" i="15" s="1"/>
  <c r="J149" i="15" s="1"/>
  <c r="K149" i="15" s="1"/>
  <c r="L149" i="15" s="1"/>
  <c r="M149" i="15" s="1"/>
  <c r="N149" i="15" s="1"/>
  <c r="O149" i="15" s="1"/>
  <c r="P149" i="15" s="1"/>
  <c r="Q149" i="15" s="1"/>
  <c r="R149" i="15" s="1"/>
  <c r="S149" i="15" s="1"/>
  <c r="T149" i="15" s="1"/>
  <c r="U149" i="15" s="1"/>
  <c r="V149" i="15" s="1"/>
  <c r="W149" i="15" s="1"/>
  <c r="X149" i="15" s="1"/>
  <c r="Y149" i="15" s="1"/>
  <c r="Z149" i="15" s="1"/>
  <c r="AA149" i="15" s="1"/>
  <c r="AB149" i="15" s="1"/>
  <c r="AC149" i="15" s="1"/>
  <c r="AD149" i="15" s="1"/>
  <c r="AE149" i="15" s="1"/>
  <c r="AF149" i="15" s="1"/>
  <c r="B149" i="15" s="1"/>
  <c r="D149" i="15"/>
  <c r="E148" i="15"/>
  <c r="F148" i="15" s="1"/>
  <c r="G148" i="15" s="1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B148" i="15" s="1"/>
  <c r="D148" i="15"/>
  <c r="D146" i="15"/>
  <c r="E146" i="15" s="1"/>
  <c r="F146" i="15" s="1"/>
  <c r="G146" i="15" s="1"/>
  <c r="H146" i="15" s="1"/>
  <c r="I146" i="15" s="1"/>
  <c r="J146" i="15" s="1"/>
  <c r="K146" i="15" s="1"/>
  <c r="L146" i="15" s="1"/>
  <c r="M146" i="15" s="1"/>
  <c r="N146" i="15" s="1"/>
  <c r="O146" i="15" s="1"/>
  <c r="P146" i="15" s="1"/>
  <c r="Q146" i="15" s="1"/>
  <c r="R146" i="15" s="1"/>
  <c r="S146" i="15" s="1"/>
  <c r="T146" i="15" s="1"/>
  <c r="U146" i="15" s="1"/>
  <c r="V146" i="15" s="1"/>
  <c r="W146" i="15" s="1"/>
  <c r="X146" i="15" s="1"/>
  <c r="Y146" i="15" s="1"/>
  <c r="Z146" i="15" s="1"/>
  <c r="AA146" i="15" s="1"/>
  <c r="AB146" i="15" s="1"/>
  <c r="AC146" i="15" s="1"/>
  <c r="AD146" i="15" s="1"/>
  <c r="AE146" i="15" s="1"/>
  <c r="AF146" i="15" s="1"/>
  <c r="B146" i="15" s="1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B145" i="15" s="1"/>
  <c r="D145" i="15"/>
  <c r="E144" i="15"/>
  <c r="F144" i="15" s="1"/>
  <c r="G144" i="15" s="1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B144" i="15" s="1"/>
  <c r="D144" i="15"/>
  <c r="I143" i="15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B143" i="15" s="1"/>
  <c r="E143" i="15"/>
  <c r="F143" i="15" s="1"/>
  <c r="G143" i="15" s="1"/>
  <c r="H143" i="15" s="1"/>
  <c r="D143" i="15"/>
  <c r="D142" i="15"/>
  <c r="E142" i="15" s="1"/>
  <c r="F142" i="15" s="1"/>
  <c r="G142" i="15" s="1"/>
  <c r="H142" i="15" s="1"/>
  <c r="I142" i="15" s="1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B142" i="15" s="1"/>
  <c r="E141" i="15"/>
  <c r="F141" i="15" s="1"/>
  <c r="G141" i="15" s="1"/>
  <c r="H141" i="15" s="1"/>
  <c r="I141" i="15" s="1"/>
  <c r="J141" i="15" s="1"/>
  <c r="K141" i="15" s="1"/>
  <c r="L141" i="15" s="1"/>
  <c r="M141" i="15" s="1"/>
  <c r="N141" i="15" s="1"/>
  <c r="O141" i="15" s="1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B141" i="15" s="1"/>
  <c r="D141" i="15"/>
  <c r="O140" i="15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B140" i="15" s="1"/>
  <c r="G140" i="15"/>
  <c r="H140" i="15" s="1"/>
  <c r="I140" i="15" s="1"/>
  <c r="J140" i="15" s="1"/>
  <c r="K140" i="15" s="1"/>
  <c r="L140" i="15" s="1"/>
  <c r="M140" i="15" s="1"/>
  <c r="N140" i="15" s="1"/>
  <c r="E140" i="15"/>
  <c r="F140" i="15" s="1"/>
  <c r="D140" i="15"/>
  <c r="U138" i="15"/>
  <c r="V138" i="15" s="1"/>
  <c r="W138" i="15" s="1"/>
  <c r="X138" i="15" s="1"/>
  <c r="Y138" i="15" s="1"/>
  <c r="Z138" i="15" s="1"/>
  <c r="AA138" i="15" s="1"/>
  <c r="AB138" i="15" s="1"/>
  <c r="AC138" i="15" s="1"/>
  <c r="AD138" i="15" s="1"/>
  <c r="AE138" i="15" s="1"/>
  <c r="AF138" i="15" s="1"/>
  <c r="B138" i="15" s="1"/>
  <c r="E138" i="15"/>
  <c r="F138" i="15" s="1"/>
  <c r="G138" i="15" s="1"/>
  <c r="H138" i="15" s="1"/>
  <c r="I138" i="15" s="1"/>
  <c r="J138" i="15" s="1"/>
  <c r="K138" i="15" s="1"/>
  <c r="L138" i="15" s="1"/>
  <c r="M138" i="15" s="1"/>
  <c r="N138" i="15" s="1"/>
  <c r="O138" i="15" s="1"/>
  <c r="P138" i="15" s="1"/>
  <c r="Q138" i="15" s="1"/>
  <c r="R138" i="15" s="1"/>
  <c r="S138" i="15" s="1"/>
  <c r="T138" i="15" s="1"/>
  <c r="D138" i="15"/>
  <c r="G137" i="15"/>
  <c r="H137" i="15" s="1"/>
  <c r="I137" i="15" s="1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B137" i="15" s="1"/>
  <c r="D137" i="15"/>
  <c r="E137" i="15" s="1"/>
  <c r="F137" i="15" s="1"/>
  <c r="Y136" i="15"/>
  <c r="Z136" i="15" s="1"/>
  <c r="AA136" i="15" s="1"/>
  <c r="AB136" i="15" s="1"/>
  <c r="AC136" i="15" s="1"/>
  <c r="AD136" i="15" s="1"/>
  <c r="AE136" i="15" s="1"/>
  <c r="AF136" i="15" s="1"/>
  <c r="B136" i="15" s="1"/>
  <c r="I136" i="15"/>
  <c r="J136" i="15" s="1"/>
  <c r="K136" i="15" s="1"/>
  <c r="L136" i="15" s="1"/>
  <c r="M136" i="15" s="1"/>
  <c r="N136" i="15" s="1"/>
  <c r="O136" i="15" s="1"/>
  <c r="P136" i="15" s="1"/>
  <c r="Q136" i="15" s="1"/>
  <c r="R136" i="15" s="1"/>
  <c r="S136" i="15" s="1"/>
  <c r="T136" i="15" s="1"/>
  <c r="U136" i="15" s="1"/>
  <c r="V136" i="15" s="1"/>
  <c r="W136" i="15" s="1"/>
  <c r="X136" i="15" s="1"/>
  <c r="E136" i="15"/>
  <c r="F136" i="15" s="1"/>
  <c r="G136" i="15" s="1"/>
  <c r="H136" i="15" s="1"/>
  <c r="D136" i="15"/>
  <c r="AA135" i="15"/>
  <c r="AB135" i="15" s="1"/>
  <c r="AC135" i="15" s="1"/>
  <c r="AD135" i="15" s="1"/>
  <c r="AE135" i="15" s="1"/>
  <c r="AF135" i="15" s="1"/>
  <c r="B135" i="15" s="1"/>
  <c r="K135" i="15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G135" i="15"/>
  <c r="H135" i="15" s="1"/>
  <c r="I135" i="15" s="1"/>
  <c r="J135" i="15" s="1"/>
  <c r="F135" i="15"/>
  <c r="E135" i="15"/>
  <c r="D135" i="15"/>
  <c r="U134" i="15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B134" i="15" s="1"/>
  <c r="E134" i="15"/>
  <c r="F134" i="15" s="1"/>
  <c r="G134" i="15" s="1"/>
  <c r="H134" i="15" s="1"/>
  <c r="I134" i="15" s="1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D134" i="15"/>
  <c r="G133" i="15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B133" i="15" s="1"/>
  <c r="D133" i="15"/>
  <c r="E133" i="15" s="1"/>
  <c r="F133" i="15" s="1"/>
  <c r="E132" i="15"/>
  <c r="F132" i="15" s="1"/>
  <c r="G132" i="15" s="1"/>
  <c r="H132" i="15" s="1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B132" i="15" s="1"/>
  <c r="D132" i="15"/>
  <c r="E131" i="15"/>
  <c r="F131" i="15" s="1"/>
  <c r="G131" i="15" s="1"/>
  <c r="H131" i="15" s="1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B131" i="15" s="1"/>
  <c r="D131" i="15"/>
  <c r="K129" i="15"/>
  <c r="L129" i="15" s="1"/>
  <c r="M129" i="15" s="1"/>
  <c r="N129" i="15" s="1"/>
  <c r="O129" i="15" s="1"/>
  <c r="P129" i="15" s="1"/>
  <c r="Q129" i="15" s="1"/>
  <c r="R129" i="15" s="1"/>
  <c r="S129" i="15" s="1"/>
  <c r="T129" i="15" s="1"/>
  <c r="U129" i="15" s="1"/>
  <c r="V129" i="15" s="1"/>
  <c r="W129" i="15" s="1"/>
  <c r="X129" i="15" s="1"/>
  <c r="Y129" i="15" s="1"/>
  <c r="Z129" i="15" s="1"/>
  <c r="AA129" i="15" s="1"/>
  <c r="AB129" i="15" s="1"/>
  <c r="AC129" i="15" s="1"/>
  <c r="AD129" i="15" s="1"/>
  <c r="AE129" i="15" s="1"/>
  <c r="AF129" i="15" s="1"/>
  <c r="B129" i="15" s="1"/>
  <c r="E129" i="15"/>
  <c r="F129" i="15" s="1"/>
  <c r="G129" i="15" s="1"/>
  <c r="H129" i="15" s="1"/>
  <c r="I129" i="15" s="1"/>
  <c r="J129" i="15" s="1"/>
  <c r="D129" i="15"/>
  <c r="H128" i="15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B128" i="15" s="1"/>
  <c r="F128" i="15"/>
  <c r="G128" i="15" s="1"/>
  <c r="D128" i="15"/>
  <c r="E128" i="15" s="1"/>
  <c r="J127" i="15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B127" i="15" s="1"/>
  <c r="F127" i="15"/>
  <c r="G127" i="15" s="1"/>
  <c r="H127" i="15" s="1"/>
  <c r="I127" i="15" s="1"/>
  <c r="D127" i="15"/>
  <c r="E127" i="15" s="1"/>
  <c r="H126" i="15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B126" i="15" s="1"/>
  <c r="D126" i="15"/>
  <c r="E126" i="15" s="1"/>
  <c r="F126" i="15" s="1"/>
  <c r="G126" i="15" s="1"/>
  <c r="P125" i="15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B125" i="15" s="1"/>
  <c r="K125" i="15"/>
  <c r="L125" i="15" s="1"/>
  <c r="M125" i="15" s="1"/>
  <c r="N125" i="15" s="1"/>
  <c r="O125" i="15" s="1"/>
  <c r="J125" i="15"/>
  <c r="E125" i="15"/>
  <c r="F125" i="15" s="1"/>
  <c r="G125" i="15" s="1"/>
  <c r="H125" i="15" s="1"/>
  <c r="D125" i="15"/>
  <c r="F124" i="15"/>
  <c r="G124" i="15" s="1"/>
  <c r="H124" i="15" s="1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B124" i="15" s="1"/>
  <c r="E124" i="15"/>
  <c r="D124" i="15"/>
  <c r="G123" i="15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B123" i="15" s="1"/>
  <c r="D123" i="15"/>
  <c r="E123" i="15" s="1"/>
  <c r="F123" i="15" s="1"/>
  <c r="E122" i="15"/>
  <c r="F122" i="15" s="1"/>
  <c r="G122" i="15" s="1"/>
  <c r="H122" i="15" s="1"/>
  <c r="I122" i="15" s="1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B122" i="15" s="1"/>
  <c r="D122" i="15"/>
  <c r="E121" i="15"/>
  <c r="F121" i="15" s="1"/>
  <c r="G121" i="15" s="1"/>
  <c r="H121" i="15" s="1"/>
  <c r="I121" i="15" s="1"/>
  <c r="J121" i="15" s="1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B121" i="15" s="1"/>
  <c r="D121" i="15"/>
  <c r="F120" i="15"/>
  <c r="G120" i="15" s="1"/>
  <c r="H120" i="15" s="1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B120" i="15" s="1"/>
  <c r="D120" i="15"/>
  <c r="E120" i="15" s="1"/>
  <c r="H119" i="15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B119" i="15" s="1"/>
  <c r="D119" i="15"/>
  <c r="E119" i="15" s="1"/>
  <c r="F119" i="15" s="1"/>
  <c r="G119" i="15" s="1"/>
  <c r="F118" i="15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B118" i="15" s="1"/>
  <c r="D118" i="15"/>
  <c r="E118" i="15" s="1"/>
  <c r="H117" i="15"/>
  <c r="I117" i="15" s="1"/>
  <c r="J117" i="15" s="1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B117" i="15" s="1"/>
  <c r="D117" i="15"/>
  <c r="E117" i="15" s="1"/>
  <c r="F117" i="15" s="1"/>
  <c r="G117" i="15" s="1"/>
  <c r="F116" i="15"/>
  <c r="G116" i="15" s="1"/>
  <c r="H116" i="15" s="1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B116" i="15" s="1"/>
  <c r="D116" i="15"/>
  <c r="E116" i="15" s="1"/>
  <c r="D115" i="15"/>
  <c r="E115" i="15" s="1"/>
  <c r="F115" i="15" s="1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B115" i="15" s="1"/>
  <c r="N114" i="15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B114" i="15" s="1"/>
  <c r="L114" i="15"/>
  <c r="M114" i="15" s="1"/>
  <c r="K114" i="15"/>
  <c r="E114" i="15"/>
  <c r="F114" i="15" s="1"/>
  <c r="G114" i="15" s="1"/>
  <c r="H114" i="15" s="1"/>
  <c r="I114" i="15" s="1"/>
  <c r="D114" i="15"/>
  <c r="G113" i="15"/>
  <c r="H113" i="15" s="1"/>
  <c r="I113" i="15" s="1"/>
  <c r="J113" i="15" s="1"/>
  <c r="K113" i="15" s="1"/>
  <c r="L113" i="15" s="1"/>
  <c r="M113" i="15" s="1"/>
  <c r="N113" i="15" s="1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B113" i="15" s="1"/>
  <c r="D113" i="15"/>
  <c r="E113" i="15" s="1"/>
  <c r="F113" i="15" s="1"/>
  <c r="I112" i="15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B112" i="15" s="1"/>
  <c r="E112" i="15"/>
  <c r="F112" i="15" s="1"/>
  <c r="G112" i="15" s="1"/>
  <c r="H112" i="15" s="1"/>
  <c r="D112" i="15"/>
  <c r="G110" i="15"/>
  <c r="H110" i="15" s="1"/>
  <c r="I110" i="15" s="1"/>
  <c r="J110" i="15" s="1"/>
  <c r="K110" i="15" s="1"/>
  <c r="L110" i="15" s="1"/>
  <c r="M110" i="15" s="1"/>
  <c r="N110" i="15" s="1"/>
  <c r="O110" i="15" s="1"/>
  <c r="P110" i="15" s="1"/>
  <c r="Q110" i="15" s="1"/>
  <c r="R110" i="15" s="1"/>
  <c r="S110" i="15" s="1"/>
  <c r="T110" i="15" s="1"/>
  <c r="U110" i="15" s="1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B110" i="15" s="1"/>
  <c r="E110" i="15"/>
  <c r="F110" i="15" s="1"/>
  <c r="D110" i="15"/>
  <c r="F109" i="15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B109" i="15" s="1"/>
  <c r="E109" i="15"/>
  <c r="D109" i="15"/>
  <c r="E107" i="15"/>
  <c r="F107" i="15" s="1"/>
  <c r="G107" i="15" s="1"/>
  <c r="H107" i="15" s="1"/>
  <c r="I107" i="15" s="1"/>
  <c r="J107" i="15" s="1"/>
  <c r="K107" i="15" s="1"/>
  <c r="L107" i="15" s="1"/>
  <c r="M107" i="15" s="1"/>
  <c r="N107" i="15" s="1"/>
  <c r="O107" i="15" s="1"/>
  <c r="P107" i="15" s="1"/>
  <c r="Q107" i="15" s="1"/>
  <c r="R107" i="15" s="1"/>
  <c r="S107" i="15" s="1"/>
  <c r="T107" i="15" s="1"/>
  <c r="U107" i="15" s="1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B107" i="15" s="1"/>
  <c r="D107" i="15"/>
  <c r="D106" i="15"/>
  <c r="E106" i="15" s="1"/>
  <c r="F106" i="15" s="1"/>
  <c r="G106" i="15" s="1"/>
  <c r="H106" i="15" s="1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B106" i="15" s="1"/>
  <c r="E105" i="15"/>
  <c r="F105" i="15" s="1"/>
  <c r="G105" i="15" s="1"/>
  <c r="H105" i="15" s="1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B105" i="15" s="1"/>
  <c r="D105" i="15"/>
  <c r="E104" i="15"/>
  <c r="F104" i="15" s="1"/>
  <c r="G104" i="15" s="1"/>
  <c r="H104" i="15" s="1"/>
  <c r="I104" i="15" s="1"/>
  <c r="J104" i="15" s="1"/>
  <c r="K104" i="15" s="1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B104" i="15" s="1"/>
  <c r="D104" i="15"/>
  <c r="D103" i="15"/>
  <c r="E103" i="15" s="1"/>
  <c r="D102" i="15"/>
  <c r="AH100" i="15"/>
  <c r="AI100" i="15" s="1"/>
  <c r="AH99" i="15"/>
  <c r="AI99" i="15" s="1"/>
  <c r="AH98" i="15"/>
  <c r="AI98" i="15" s="1"/>
  <c r="AH97" i="15"/>
  <c r="AI97" i="15" s="1"/>
  <c r="AH96" i="15"/>
  <c r="AI96" i="15" s="1"/>
  <c r="AH95" i="15"/>
  <c r="AI95" i="15" s="1"/>
  <c r="AH94" i="15"/>
  <c r="AI94" i="15" s="1"/>
  <c r="C93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G82" i="15"/>
  <c r="AI81" i="15"/>
  <c r="AH81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P82" i="15" s="1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F77" i="15"/>
  <c r="AE77" i="15"/>
  <c r="AD77" i="15"/>
  <c r="AC77" i="15"/>
  <c r="AB77" i="15"/>
  <c r="AB82" i="15" s="1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F76" i="15"/>
  <c r="AE76" i="15"/>
  <c r="AD76" i="15"/>
  <c r="AC76" i="15"/>
  <c r="AB76" i="15"/>
  <c r="AA76" i="15"/>
  <c r="Z76" i="15"/>
  <c r="Z82" i="15" s="1"/>
  <c r="Y76" i="15"/>
  <c r="Y82" i="15" s="1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I74" i="15"/>
  <c r="AH74" i="15"/>
  <c r="AI72" i="15"/>
  <c r="AH72" i="15"/>
  <c r="AG72" i="15"/>
  <c r="AI71" i="15"/>
  <c r="AH71" i="15"/>
  <c r="AI70" i="15"/>
  <c r="AH70" i="15"/>
  <c r="AI69" i="15"/>
  <c r="AH69" i="15"/>
  <c r="AG68" i="15"/>
  <c r="AF68" i="15"/>
  <c r="AE5" i="15" s="1"/>
  <c r="AE68" i="15"/>
  <c r="AD68" i="15"/>
  <c r="AC5" i="15" s="1"/>
  <c r="AC68" i="15"/>
  <c r="AB68" i="15"/>
  <c r="AA5" i="15" s="1"/>
  <c r="AA68" i="15"/>
  <c r="Z5" i="15" s="1"/>
  <c r="Z68" i="15"/>
  <c r="Y5" i="15" s="1"/>
  <c r="Y68" i="15"/>
  <c r="X5" i="15" s="1"/>
  <c r="X68" i="15"/>
  <c r="W5" i="15" s="1"/>
  <c r="W68" i="15"/>
  <c r="V5" i="15" s="1"/>
  <c r="V68" i="15"/>
  <c r="U5" i="15" s="1"/>
  <c r="U68" i="15"/>
  <c r="T68" i="15"/>
  <c r="S5" i="15" s="1"/>
  <c r="S68" i="15"/>
  <c r="R5" i="15" s="1"/>
  <c r="R68" i="15"/>
  <c r="Q5" i="15" s="1"/>
  <c r="Q68" i="15"/>
  <c r="P5" i="15" s="1"/>
  <c r="P68" i="15"/>
  <c r="O5" i="15" s="1"/>
  <c r="O68" i="15"/>
  <c r="N5" i="15" s="1"/>
  <c r="N68" i="15"/>
  <c r="M5" i="15" s="1"/>
  <c r="M68" i="15"/>
  <c r="L68" i="15"/>
  <c r="K5" i="15" s="1"/>
  <c r="K68" i="15"/>
  <c r="J5" i="15" s="1"/>
  <c r="J68" i="15"/>
  <c r="I5" i="15" s="1"/>
  <c r="I68" i="15"/>
  <c r="H5" i="15" s="1"/>
  <c r="H68" i="15"/>
  <c r="G5" i="15" s="1"/>
  <c r="G68" i="15"/>
  <c r="F68" i="15"/>
  <c r="E5" i="15" s="1"/>
  <c r="E68" i="15"/>
  <c r="D68" i="15"/>
  <c r="C5" i="15" s="1"/>
  <c r="C68" i="15"/>
  <c r="B68" i="15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I55" i="15"/>
  <c r="AH55" i="15"/>
  <c r="AI54" i="15"/>
  <c r="AH54" i="15"/>
  <c r="AI53" i="15"/>
  <c r="AH53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I51" i="15"/>
  <c r="AH51" i="15"/>
  <c r="AG51" i="15"/>
  <c r="AG52" i="15" s="1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G38" i="15"/>
  <c r="AG2" i="15" s="1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G4" i="15"/>
  <c r="K4" i="15"/>
  <c r="B4" i="15"/>
  <c r="AF86" i="14"/>
  <c r="AE95" i="14"/>
  <c r="AE37" i="14"/>
  <c r="AD95" i="14"/>
  <c r="AD37" i="14"/>
  <c r="AC95" i="14"/>
  <c r="AC37" i="14"/>
  <c r="AB95" i="14"/>
  <c r="AB37" i="14"/>
  <c r="AA95" i="14"/>
  <c r="AA37" i="14"/>
  <c r="Z95" i="14"/>
  <c r="Z37" i="14"/>
  <c r="X95" i="14"/>
  <c r="Y37" i="14"/>
  <c r="X37" i="14"/>
  <c r="W95" i="14"/>
  <c r="W37" i="14"/>
  <c r="V95" i="14"/>
  <c r="V37" i="14"/>
  <c r="U95" i="14"/>
  <c r="U37" i="14"/>
  <c r="T95" i="14"/>
  <c r="T37" i="14"/>
  <c r="S95" i="14"/>
  <c r="S37" i="14"/>
  <c r="E4" i="16"/>
  <c r="E4" i="15"/>
  <c r="AM214" i="17" l="1"/>
  <c r="AS214" i="17"/>
  <c r="AR214" i="17"/>
  <c r="AF7" i="17"/>
  <c r="AW214" i="17"/>
  <c r="AV214" i="17"/>
  <c r="AU214" i="17"/>
  <c r="AB7" i="17"/>
  <c r="W7" i="17"/>
  <c r="T7" i="17"/>
  <c r="AJ214" i="17"/>
  <c r="Q7" i="17"/>
  <c r="P7" i="17"/>
  <c r="AG214" i="17"/>
  <c r="T73" i="16"/>
  <c r="T75" i="16" s="1"/>
  <c r="M7" i="17"/>
  <c r="AF214" i="17"/>
  <c r="C209" i="17"/>
  <c r="B209" i="17"/>
  <c r="F7" i="17"/>
  <c r="E7" i="17"/>
  <c r="C7" i="17"/>
  <c r="AF82" i="16"/>
  <c r="AF73" i="16"/>
  <c r="AF75" i="16" s="1"/>
  <c r="AF7" i="16" s="1"/>
  <c r="AE82" i="16"/>
  <c r="AE73" i="16"/>
  <c r="AE75" i="16" s="1"/>
  <c r="AW214" i="16" s="1"/>
  <c r="AD83" i="16"/>
  <c r="AD73" i="16"/>
  <c r="AD75" i="16" s="1"/>
  <c r="AD7" i="16" s="1"/>
  <c r="AC82" i="16"/>
  <c r="AC83" i="16" s="1"/>
  <c r="AC73" i="16"/>
  <c r="AC75" i="16" s="1"/>
  <c r="AU214" i="16" s="1"/>
  <c r="AI83" i="17"/>
  <c r="AH83" i="17"/>
  <c r="AI73" i="17"/>
  <c r="AH73" i="17"/>
  <c r="F235" i="17"/>
  <c r="H199" i="17"/>
  <c r="AI82" i="17"/>
  <c r="AH82" i="17"/>
  <c r="E93" i="17"/>
  <c r="F93" i="17"/>
  <c r="G103" i="17"/>
  <c r="F200" i="17"/>
  <c r="G194" i="17"/>
  <c r="E192" i="17"/>
  <c r="F102" i="17"/>
  <c r="AB82" i="16"/>
  <c r="AB83" i="16" s="1"/>
  <c r="AB73" i="16"/>
  <c r="AB75" i="16" s="1"/>
  <c r="AB7" i="16" s="1"/>
  <c r="AA83" i="16"/>
  <c r="AA73" i="16"/>
  <c r="AA75" i="16" s="1"/>
  <c r="AA7" i="16" s="1"/>
  <c r="Z82" i="16"/>
  <c r="Y73" i="16"/>
  <c r="Y75" i="16" s="1"/>
  <c r="AQ214" i="16" s="1"/>
  <c r="Y83" i="16"/>
  <c r="X82" i="16"/>
  <c r="X73" i="16"/>
  <c r="X75" i="16" s="1"/>
  <c r="AP214" i="16" s="1"/>
  <c r="W82" i="16"/>
  <c r="W83" i="16" s="1"/>
  <c r="W73" i="16"/>
  <c r="W75" i="16" s="1"/>
  <c r="AO214" i="16" s="1"/>
  <c r="V82" i="16"/>
  <c r="V83" i="16" s="1"/>
  <c r="V73" i="16"/>
  <c r="V75" i="16" s="1"/>
  <c r="AN214" i="16" s="1"/>
  <c r="T83" i="16"/>
  <c r="S82" i="16"/>
  <c r="S83" i="16"/>
  <c r="R5" i="16"/>
  <c r="S73" i="16"/>
  <c r="S75" i="16" s="1"/>
  <c r="AK214" i="16" s="1"/>
  <c r="R73" i="16"/>
  <c r="R75" i="16" s="1"/>
  <c r="R7" i="16" s="1"/>
  <c r="Q82" i="16"/>
  <c r="Q83" i="16"/>
  <c r="P5" i="16"/>
  <c r="Q73" i="16"/>
  <c r="Q75" i="16" s="1"/>
  <c r="AI214" i="16" s="1"/>
  <c r="P73" i="16"/>
  <c r="P75" i="16" s="1"/>
  <c r="P7" i="16" s="1"/>
  <c r="O82" i="16"/>
  <c r="O73" i="16"/>
  <c r="O75" i="16" s="1"/>
  <c r="AG214" i="16" s="1"/>
  <c r="N82" i="16"/>
  <c r="N83" i="16" s="1"/>
  <c r="N73" i="16"/>
  <c r="N75" i="16" s="1"/>
  <c r="AF214" i="16" s="1"/>
  <c r="M82" i="16"/>
  <c r="M83" i="16" s="1"/>
  <c r="L5" i="16"/>
  <c r="M73" i="16"/>
  <c r="M75" i="16" s="1"/>
  <c r="M7" i="16" s="1"/>
  <c r="L82" i="16"/>
  <c r="L83" i="16"/>
  <c r="K5" i="16"/>
  <c r="L73" i="16"/>
  <c r="L75" i="16" s="1"/>
  <c r="K83" i="16"/>
  <c r="AH78" i="16"/>
  <c r="J73" i="16"/>
  <c r="J75" i="16" s="1"/>
  <c r="K73" i="16"/>
  <c r="K75" i="16" s="1"/>
  <c r="AC214" i="16" s="1"/>
  <c r="AI80" i="16"/>
  <c r="I83" i="16"/>
  <c r="H5" i="16"/>
  <c r="I73" i="16"/>
  <c r="I75" i="16" s="1"/>
  <c r="AA214" i="16" s="1"/>
  <c r="H82" i="16"/>
  <c r="H73" i="16"/>
  <c r="H75" i="16" s="1"/>
  <c r="AI77" i="16"/>
  <c r="G82" i="16"/>
  <c r="G73" i="16"/>
  <c r="G75" i="16" s="1"/>
  <c r="G7" i="16" s="1"/>
  <c r="E73" i="16"/>
  <c r="E75" i="16" s="1"/>
  <c r="E7" i="16" s="1"/>
  <c r="AI76" i="16"/>
  <c r="F82" i="16"/>
  <c r="F83" i="16" s="1"/>
  <c r="F73" i="16"/>
  <c r="F75" i="16" s="1"/>
  <c r="X214" i="16" s="1"/>
  <c r="AI78" i="16"/>
  <c r="E83" i="16"/>
  <c r="AI56" i="16"/>
  <c r="AH79" i="16"/>
  <c r="AI52" i="16"/>
  <c r="C5" i="16"/>
  <c r="D73" i="16"/>
  <c r="D75" i="16" s="1"/>
  <c r="V214" i="16" s="1"/>
  <c r="D82" i="16"/>
  <c r="D83" i="16" s="1"/>
  <c r="AI79" i="16"/>
  <c r="B5" i="16"/>
  <c r="C82" i="16"/>
  <c r="C83" i="16" s="1"/>
  <c r="C73" i="16"/>
  <c r="C75" i="16" s="1"/>
  <c r="U214" i="16" s="1"/>
  <c r="AI38" i="16"/>
  <c r="H4" i="16"/>
  <c r="AR214" i="16"/>
  <c r="Z7" i="16"/>
  <c r="W214" i="16"/>
  <c r="AM214" i="16"/>
  <c r="U7" i="16"/>
  <c r="AD214" i="16"/>
  <c r="L7" i="16"/>
  <c r="G83" i="16"/>
  <c r="O83" i="16"/>
  <c r="AE83" i="16"/>
  <c r="AL214" i="16"/>
  <c r="T7" i="16"/>
  <c r="Z214" i="16"/>
  <c r="H7" i="16"/>
  <c r="X7" i="16"/>
  <c r="AX214" i="16"/>
  <c r="G103" i="16"/>
  <c r="F126" i="16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B126" i="16" s="1"/>
  <c r="E93" i="16"/>
  <c r="AB214" i="16"/>
  <c r="J7" i="16"/>
  <c r="AT214" i="16"/>
  <c r="I7" i="16"/>
  <c r="J83" i="16"/>
  <c r="R83" i="16"/>
  <c r="Z83" i="16"/>
  <c r="D211" i="16"/>
  <c r="S211" i="16"/>
  <c r="AH52" i="16"/>
  <c r="AH56" i="16"/>
  <c r="AH68" i="16"/>
  <c r="AH76" i="16"/>
  <c r="H83" i="16"/>
  <c r="P83" i="16"/>
  <c r="X83" i="16"/>
  <c r="AF83" i="16"/>
  <c r="AI68" i="16"/>
  <c r="AH77" i="16"/>
  <c r="D192" i="16"/>
  <c r="E192" i="16"/>
  <c r="AH38" i="16"/>
  <c r="F102" i="16"/>
  <c r="AH80" i="16"/>
  <c r="F199" i="16"/>
  <c r="D235" i="16"/>
  <c r="F194" i="16"/>
  <c r="E196" i="16"/>
  <c r="F196" i="16" s="1"/>
  <c r="G196" i="16" s="1"/>
  <c r="H196" i="16" s="1"/>
  <c r="I196" i="16" s="1"/>
  <c r="J196" i="16" s="1"/>
  <c r="K196" i="16" s="1"/>
  <c r="L196" i="16" s="1"/>
  <c r="M196" i="16" s="1"/>
  <c r="N196" i="16" s="1"/>
  <c r="O196" i="16" s="1"/>
  <c r="P196" i="16" s="1"/>
  <c r="Q196" i="16" s="1"/>
  <c r="R196" i="16" s="1"/>
  <c r="S196" i="16" s="1"/>
  <c r="T196" i="16" s="1"/>
  <c r="U196" i="16" s="1"/>
  <c r="V196" i="16" s="1"/>
  <c r="W196" i="16" s="1"/>
  <c r="X196" i="16" s="1"/>
  <c r="Y196" i="16" s="1"/>
  <c r="Z196" i="16" s="1"/>
  <c r="AA196" i="16" s="1"/>
  <c r="AB196" i="16" s="1"/>
  <c r="AC196" i="16" s="1"/>
  <c r="AD196" i="16" s="1"/>
  <c r="AE196" i="16" s="1"/>
  <c r="AF196" i="16" s="1"/>
  <c r="B196" i="16" s="1"/>
  <c r="D200" i="16"/>
  <c r="AF82" i="15"/>
  <c r="AE82" i="15"/>
  <c r="AE83" i="15"/>
  <c r="AE73" i="15"/>
  <c r="AE75" i="15" s="1"/>
  <c r="AF73" i="15"/>
  <c r="AF75" i="15" s="1"/>
  <c r="AD5" i="15"/>
  <c r="AD82" i="15"/>
  <c r="AD83" i="15" s="1"/>
  <c r="AD73" i="15"/>
  <c r="AD75" i="15" s="1"/>
  <c r="AC82" i="15"/>
  <c r="AC83" i="15"/>
  <c r="AB5" i="15"/>
  <c r="AC73" i="15"/>
  <c r="AC75" i="15" s="1"/>
  <c r="AB73" i="15"/>
  <c r="AB75" i="15" s="1"/>
  <c r="AA82" i="15"/>
  <c r="AA73" i="15"/>
  <c r="AA75" i="15" s="1"/>
  <c r="Y83" i="15"/>
  <c r="Z83" i="15"/>
  <c r="Z73" i="15"/>
  <c r="Z75" i="15" s="1"/>
  <c r="Y73" i="15"/>
  <c r="Y75" i="15" s="1"/>
  <c r="X82" i="15"/>
  <c r="X73" i="15"/>
  <c r="X75" i="15" s="1"/>
  <c r="W82" i="15"/>
  <c r="W83" i="15" s="1"/>
  <c r="W73" i="15"/>
  <c r="W75" i="15" s="1"/>
  <c r="V73" i="15"/>
  <c r="V75" i="15" s="1"/>
  <c r="V82" i="15"/>
  <c r="V83" i="15" s="1"/>
  <c r="U82" i="15"/>
  <c r="U83" i="15" s="1"/>
  <c r="T5" i="15"/>
  <c r="U73" i="15"/>
  <c r="U75" i="15" s="1"/>
  <c r="T82" i="15"/>
  <c r="T73" i="15"/>
  <c r="T75" i="15" s="1"/>
  <c r="S82" i="15"/>
  <c r="S83" i="15" s="1"/>
  <c r="S73" i="15"/>
  <c r="S75" i="15" s="1"/>
  <c r="R82" i="15"/>
  <c r="R83" i="15" s="1"/>
  <c r="R73" i="15"/>
  <c r="R75" i="15" s="1"/>
  <c r="Q82" i="15"/>
  <c r="Q83" i="15" s="1"/>
  <c r="Q73" i="15"/>
  <c r="Q75" i="15" s="1"/>
  <c r="P73" i="15"/>
  <c r="P75" i="15" s="1"/>
  <c r="O82" i="15"/>
  <c r="O83" i="15" s="1"/>
  <c r="O73" i="15"/>
  <c r="O75" i="15" s="1"/>
  <c r="N82" i="15"/>
  <c r="N83" i="15"/>
  <c r="N73" i="15"/>
  <c r="N75" i="15" s="1"/>
  <c r="AF214" i="15" s="1"/>
  <c r="M82" i="15"/>
  <c r="M83" i="15" s="1"/>
  <c r="L5" i="15"/>
  <c r="M73" i="15"/>
  <c r="M75" i="15" s="1"/>
  <c r="AE214" i="15" s="1"/>
  <c r="L82" i="15"/>
  <c r="L73" i="15"/>
  <c r="L75" i="15" s="1"/>
  <c r="K82" i="15"/>
  <c r="AI80" i="15"/>
  <c r="K73" i="15"/>
  <c r="K75" i="15" s="1"/>
  <c r="AC214" i="15" s="1"/>
  <c r="J82" i="15"/>
  <c r="J83" i="15" s="1"/>
  <c r="J73" i="15"/>
  <c r="J75" i="15" s="1"/>
  <c r="J7" i="15" s="1"/>
  <c r="I82" i="15"/>
  <c r="I83" i="15" s="1"/>
  <c r="I73" i="15"/>
  <c r="I75" i="15" s="1"/>
  <c r="H82" i="15"/>
  <c r="H73" i="15"/>
  <c r="H75" i="15" s="1"/>
  <c r="AI78" i="15"/>
  <c r="G82" i="15"/>
  <c r="G83" i="15" s="1"/>
  <c r="F5" i="15"/>
  <c r="G73" i="15"/>
  <c r="G75" i="15" s="1"/>
  <c r="F82" i="15"/>
  <c r="F83" i="15" s="1"/>
  <c r="F73" i="15"/>
  <c r="F75" i="15" s="1"/>
  <c r="F7" i="15" s="1"/>
  <c r="D5" i="15"/>
  <c r="E82" i="15"/>
  <c r="E83" i="15" s="1"/>
  <c r="E73" i="15"/>
  <c r="E75" i="15" s="1"/>
  <c r="E7" i="15" s="1"/>
  <c r="D82" i="15"/>
  <c r="D73" i="15"/>
  <c r="D75" i="15" s="1"/>
  <c r="D7" i="15" s="1"/>
  <c r="AI79" i="15"/>
  <c r="AH56" i="15"/>
  <c r="AI77" i="15"/>
  <c r="C82" i="15"/>
  <c r="C83" i="15" s="1"/>
  <c r="AH77" i="15"/>
  <c r="AH68" i="15"/>
  <c r="AH52" i="15"/>
  <c r="C73" i="15"/>
  <c r="C75" i="15" s="1"/>
  <c r="U214" i="15" s="1"/>
  <c r="AI38" i="15"/>
  <c r="AI56" i="15"/>
  <c r="AF5" i="15"/>
  <c r="B82" i="15"/>
  <c r="B83" i="15" s="1"/>
  <c r="AH80" i="15"/>
  <c r="AI68" i="15"/>
  <c r="AI52" i="15"/>
  <c r="H4" i="15"/>
  <c r="AK214" i="15"/>
  <c r="S7" i="15"/>
  <c r="AS214" i="15"/>
  <c r="AA7" i="15"/>
  <c r="AG3" i="15"/>
  <c r="AG6" i="15" s="1"/>
  <c r="AG75" i="15"/>
  <c r="AG73" i="15"/>
  <c r="V214" i="15"/>
  <c r="AD214" i="15"/>
  <c r="L7" i="15"/>
  <c r="AL214" i="15"/>
  <c r="T7" i="15"/>
  <c r="AT214" i="15"/>
  <c r="AB7" i="15"/>
  <c r="E93" i="15"/>
  <c r="F103" i="15"/>
  <c r="AN214" i="15"/>
  <c r="V7" i="15"/>
  <c r="AV214" i="15"/>
  <c r="AD7" i="15"/>
  <c r="H83" i="15"/>
  <c r="P83" i="15"/>
  <c r="X83" i="15"/>
  <c r="AF83" i="15"/>
  <c r="AR214" i="15"/>
  <c r="Z7" i="15"/>
  <c r="AM214" i="15"/>
  <c r="U7" i="15"/>
  <c r="AO214" i="15"/>
  <c r="W7" i="15"/>
  <c r="AJ214" i="15"/>
  <c r="R7" i="15"/>
  <c r="AU214" i="15"/>
  <c r="AC7" i="15"/>
  <c r="AG214" i="15"/>
  <c r="O7" i="15"/>
  <c r="AW214" i="15"/>
  <c r="AE7" i="15"/>
  <c r="Z214" i="15"/>
  <c r="H7" i="15"/>
  <c r="AH214" i="15"/>
  <c r="P7" i="15"/>
  <c r="AP214" i="15"/>
  <c r="X7" i="15"/>
  <c r="AX214" i="15"/>
  <c r="AF7" i="15"/>
  <c r="AA214" i="15"/>
  <c r="I7" i="15"/>
  <c r="AI214" i="15"/>
  <c r="Q7" i="15"/>
  <c r="AQ214" i="15"/>
  <c r="Y7" i="15"/>
  <c r="AH78" i="15"/>
  <c r="AH38" i="15"/>
  <c r="B73" i="15"/>
  <c r="AH79" i="15"/>
  <c r="K83" i="15"/>
  <c r="AA83" i="15"/>
  <c r="B5" i="15"/>
  <c r="D83" i="15"/>
  <c r="L83" i="15"/>
  <c r="T83" i="15"/>
  <c r="D192" i="15"/>
  <c r="AI76" i="15"/>
  <c r="D93" i="15"/>
  <c r="S211" i="15"/>
  <c r="D211" i="15"/>
  <c r="E102" i="15"/>
  <c r="AH76" i="15"/>
  <c r="D235" i="15"/>
  <c r="F199" i="15"/>
  <c r="G194" i="15"/>
  <c r="F200" i="15"/>
  <c r="E200" i="15"/>
  <c r="R95" i="14"/>
  <c r="R52" i="14"/>
  <c r="R37" i="14"/>
  <c r="Q37" i="14"/>
  <c r="AS214" i="16" l="1"/>
  <c r="K6" i="17"/>
  <c r="AE7" i="16"/>
  <c r="AV214" i="16"/>
  <c r="AC7" i="16"/>
  <c r="G235" i="17"/>
  <c r="I199" i="17"/>
  <c r="H194" i="17"/>
  <c r="G200" i="17"/>
  <c r="T214" i="17"/>
  <c r="AI75" i="17"/>
  <c r="AH75" i="17"/>
  <c r="B7" i="17"/>
  <c r="A7" i="17" s="1"/>
  <c r="H103" i="17"/>
  <c r="G93" i="17"/>
  <c r="F192" i="17"/>
  <c r="G102" i="17"/>
  <c r="Y7" i="16"/>
  <c r="W7" i="16"/>
  <c r="V7" i="16"/>
  <c r="S7" i="16"/>
  <c r="AJ214" i="16"/>
  <c r="Q7" i="16"/>
  <c r="AH214" i="16"/>
  <c r="O7" i="16"/>
  <c r="N7" i="16"/>
  <c r="AE214" i="16"/>
  <c r="K7" i="16"/>
  <c r="B209" i="16"/>
  <c r="Y214" i="16"/>
  <c r="C209" i="16"/>
  <c r="F7" i="16"/>
  <c r="D7" i="16"/>
  <c r="C7" i="16"/>
  <c r="F192" i="16"/>
  <c r="G102" i="16"/>
  <c r="AI73" i="16"/>
  <c r="AH73" i="16"/>
  <c r="F200" i="16"/>
  <c r="G194" i="16"/>
  <c r="G93" i="16"/>
  <c r="H103" i="16"/>
  <c r="E200" i="16"/>
  <c r="AI82" i="16"/>
  <c r="AH82" i="16"/>
  <c r="F93" i="16"/>
  <c r="E235" i="16"/>
  <c r="G199" i="16"/>
  <c r="AI83" i="16"/>
  <c r="AH83" i="16"/>
  <c r="N7" i="15"/>
  <c r="M7" i="15"/>
  <c r="AB214" i="15"/>
  <c r="K7" i="15"/>
  <c r="C209" i="15"/>
  <c r="K6" i="15" s="1"/>
  <c r="B209" i="15"/>
  <c r="Y214" i="15"/>
  <c r="X214" i="15"/>
  <c r="AH82" i="15"/>
  <c r="G7" i="15"/>
  <c r="W214" i="15"/>
  <c r="C7" i="15"/>
  <c r="AI82" i="15"/>
  <c r="E192" i="15"/>
  <c r="F102" i="15"/>
  <c r="B75" i="15"/>
  <c r="AI73" i="15"/>
  <c r="AH73" i="15"/>
  <c r="AG83" i="15"/>
  <c r="F93" i="15"/>
  <c r="G103" i="15"/>
  <c r="AH83" i="15"/>
  <c r="AI83" i="15"/>
  <c r="H194" i="15"/>
  <c r="G200" i="15"/>
  <c r="E235" i="15"/>
  <c r="G199" i="15"/>
  <c r="G192" i="17" l="1"/>
  <c r="H102" i="17"/>
  <c r="H200" i="17"/>
  <c r="I194" i="17"/>
  <c r="H235" i="17"/>
  <c r="J199" i="17"/>
  <c r="H93" i="17"/>
  <c r="I103" i="17"/>
  <c r="K6" i="16"/>
  <c r="G200" i="16"/>
  <c r="H194" i="16"/>
  <c r="T214" i="16"/>
  <c r="B7" i="16"/>
  <c r="A7" i="16" s="1"/>
  <c r="AI75" i="16"/>
  <c r="AH75" i="16"/>
  <c r="H199" i="16"/>
  <c r="F235" i="16"/>
  <c r="G192" i="16"/>
  <c r="H102" i="16"/>
  <c r="H93" i="16"/>
  <c r="I103" i="16"/>
  <c r="T214" i="15"/>
  <c r="AI75" i="15"/>
  <c r="B7" i="15"/>
  <c r="A7" i="15" s="1"/>
  <c r="AH75" i="15"/>
  <c r="F192" i="15"/>
  <c r="G102" i="15"/>
  <c r="I194" i="15"/>
  <c r="F235" i="15"/>
  <c r="H199" i="15"/>
  <c r="H103" i="15"/>
  <c r="G93" i="15"/>
  <c r="I235" i="17" l="1"/>
  <c r="K199" i="17"/>
  <c r="I200" i="17"/>
  <c r="J194" i="17"/>
  <c r="H192" i="17"/>
  <c r="I102" i="17"/>
  <c r="I93" i="17"/>
  <c r="J103" i="17"/>
  <c r="H192" i="16"/>
  <c r="I102" i="16"/>
  <c r="I194" i="16"/>
  <c r="H200" i="16"/>
  <c r="I93" i="16"/>
  <c r="J103" i="16"/>
  <c r="G235" i="16"/>
  <c r="I199" i="16"/>
  <c r="G192" i="15"/>
  <c r="H102" i="15"/>
  <c r="I103" i="15"/>
  <c r="H93" i="15"/>
  <c r="G235" i="15"/>
  <c r="I199" i="15"/>
  <c r="I200" i="15"/>
  <c r="J194" i="15"/>
  <c r="H200" i="15"/>
  <c r="J200" i="17" l="1"/>
  <c r="K194" i="17"/>
  <c r="K103" i="17"/>
  <c r="J93" i="17"/>
  <c r="I192" i="17"/>
  <c r="J102" i="17"/>
  <c r="J235" i="17"/>
  <c r="L199" i="17"/>
  <c r="J194" i="16"/>
  <c r="I200" i="16"/>
  <c r="J93" i="16"/>
  <c r="K103" i="16"/>
  <c r="I192" i="16"/>
  <c r="J102" i="16"/>
  <c r="H235" i="16"/>
  <c r="J199" i="16"/>
  <c r="J103" i="15"/>
  <c r="I93" i="15"/>
  <c r="H192" i="15"/>
  <c r="I102" i="15"/>
  <c r="J199" i="15"/>
  <c r="H235" i="15"/>
  <c r="J200" i="15"/>
  <c r="K194" i="15"/>
  <c r="L103" i="17" l="1"/>
  <c r="K93" i="17"/>
  <c r="K235" i="17"/>
  <c r="M199" i="17"/>
  <c r="J192" i="17"/>
  <c r="K102" i="17"/>
  <c r="K200" i="17"/>
  <c r="L194" i="17"/>
  <c r="L103" i="16"/>
  <c r="J192" i="16"/>
  <c r="K102" i="16"/>
  <c r="K194" i="16"/>
  <c r="J200" i="16"/>
  <c r="I235" i="16"/>
  <c r="K199" i="16"/>
  <c r="I235" i="15"/>
  <c r="K199" i="15"/>
  <c r="I192" i="15"/>
  <c r="J102" i="15"/>
  <c r="K103" i="15"/>
  <c r="J93" i="15"/>
  <c r="K200" i="15"/>
  <c r="L194" i="15"/>
  <c r="M194" i="17" l="1"/>
  <c r="L200" i="17"/>
  <c r="K192" i="17"/>
  <c r="L102" i="17"/>
  <c r="L235" i="17"/>
  <c r="N199" i="17"/>
  <c r="M103" i="17"/>
  <c r="L93" i="17"/>
  <c r="L199" i="16"/>
  <c r="J235" i="16"/>
  <c r="K200" i="16"/>
  <c r="L194" i="16"/>
  <c r="K192" i="16"/>
  <c r="L102" i="16"/>
  <c r="M103" i="16"/>
  <c r="L93" i="16"/>
  <c r="K93" i="16"/>
  <c r="M194" i="15"/>
  <c r="K93" i="15"/>
  <c r="L103" i="15"/>
  <c r="J192" i="15"/>
  <c r="K102" i="15"/>
  <c r="L199" i="15"/>
  <c r="J235" i="15"/>
  <c r="M93" i="17" l="1"/>
  <c r="N103" i="17"/>
  <c r="M235" i="17"/>
  <c r="O199" i="17"/>
  <c r="L192" i="17"/>
  <c r="M102" i="17"/>
  <c r="N194" i="17"/>
  <c r="M200" i="17"/>
  <c r="N103" i="16"/>
  <c r="L192" i="16"/>
  <c r="M102" i="16"/>
  <c r="L200" i="16"/>
  <c r="M194" i="16"/>
  <c r="M199" i="16"/>
  <c r="K235" i="16"/>
  <c r="M199" i="15"/>
  <c r="K235" i="15"/>
  <c r="K192" i="15"/>
  <c r="L102" i="15"/>
  <c r="L93" i="15"/>
  <c r="M103" i="15"/>
  <c r="M200" i="15"/>
  <c r="N194" i="15"/>
  <c r="L200" i="15"/>
  <c r="N200" i="17" l="1"/>
  <c r="O194" i="17"/>
  <c r="M192" i="17"/>
  <c r="N102" i="17"/>
  <c r="N235" i="17"/>
  <c r="P199" i="17"/>
  <c r="O103" i="17"/>
  <c r="N93" i="17"/>
  <c r="L235" i="16"/>
  <c r="N199" i="16"/>
  <c r="M200" i="16"/>
  <c r="N194" i="16"/>
  <c r="M192" i="16"/>
  <c r="N102" i="16"/>
  <c r="M93" i="16"/>
  <c r="O103" i="16"/>
  <c r="O194" i="15"/>
  <c r="M93" i="15"/>
  <c r="N103" i="15"/>
  <c r="L192" i="15"/>
  <c r="M102" i="15"/>
  <c r="L235" i="15"/>
  <c r="N199" i="15"/>
  <c r="P103" i="17" l="1"/>
  <c r="O93" i="17"/>
  <c r="N192" i="17"/>
  <c r="O102" i="17"/>
  <c r="O235" i="17"/>
  <c r="Q199" i="17"/>
  <c r="P194" i="17"/>
  <c r="O200" i="17"/>
  <c r="P103" i="16"/>
  <c r="N192" i="16"/>
  <c r="O102" i="16"/>
  <c r="N200" i="16"/>
  <c r="O194" i="16"/>
  <c r="O199" i="16"/>
  <c r="M235" i="16"/>
  <c r="N93" i="16"/>
  <c r="O199" i="15"/>
  <c r="M235" i="15"/>
  <c r="M192" i="15"/>
  <c r="N102" i="15"/>
  <c r="N93" i="15"/>
  <c r="O103" i="15"/>
  <c r="N200" i="15"/>
  <c r="P194" i="15"/>
  <c r="O200" i="15"/>
  <c r="P200" i="17" l="1"/>
  <c r="Q194" i="17"/>
  <c r="P235" i="17"/>
  <c r="R199" i="17"/>
  <c r="O192" i="17"/>
  <c r="P102" i="17"/>
  <c r="P93" i="17"/>
  <c r="Q103" i="17"/>
  <c r="O192" i="16"/>
  <c r="P102" i="16"/>
  <c r="P194" i="16"/>
  <c r="O200" i="16"/>
  <c r="O93" i="16"/>
  <c r="N235" i="16"/>
  <c r="P199" i="16"/>
  <c r="P93" i="16"/>
  <c r="Q103" i="16"/>
  <c r="Q194" i="15"/>
  <c r="P103" i="15"/>
  <c r="O93" i="15"/>
  <c r="N192" i="15"/>
  <c r="O102" i="15"/>
  <c r="N235" i="15"/>
  <c r="P199" i="15"/>
  <c r="Q93" i="17" l="1"/>
  <c r="R103" i="17"/>
  <c r="Q235" i="17"/>
  <c r="S199" i="17"/>
  <c r="Q200" i="17"/>
  <c r="R194" i="17"/>
  <c r="P192" i="17"/>
  <c r="Q102" i="17"/>
  <c r="O235" i="16"/>
  <c r="Q199" i="16"/>
  <c r="P200" i="16"/>
  <c r="Q194" i="16"/>
  <c r="P192" i="16"/>
  <c r="Q102" i="16"/>
  <c r="Q93" i="16"/>
  <c r="R103" i="16"/>
  <c r="O235" i="15"/>
  <c r="Q199" i="15"/>
  <c r="O192" i="15"/>
  <c r="P102" i="15"/>
  <c r="Q103" i="15"/>
  <c r="P93" i="15"/>
  <c r="P200" i="15"/>
  <c r="Q200" i="15"/>
  <c r="R194" i="15"/>
  <c r="S103" i="17" l="1"/>
  <c r="R93" i="17"/>
  <c r="Q192" i="17"/>
  <c r="R102" i="17"/>
  <c r="R200" i="17"/>
  <c r="S194" i="17"/>
  <c r="R235" i="17"/>
  <c r="T199" i="17"/>
  <c r="R194" i="16"/>
  <c r="Q200" i="16"/>
  <c r="P235" i="16"/>
  <c r="R199" i="16"/>
  <c r="R93" i="16"/>
  <c r="S103" i="16"/>
  <c r="Q192" i="16"/>
  <c r="R102" i="16"/>
  <c r="R103" i="15"/>
  <c r="Q93" i="15"/>
  <c r="R199" i="15"/>
  <c r="P235" i="15"/>
  <c r="P192" i="15"/>
  <c r="Q102" i="15"/>
  <c r="R200" i="15"/>
  <c r="S194" i="15"/>
  <c r="R192" i="17" l="1"/>
  <c r="S102" i="17"/>
  <c r="S235" i="17"/>
  <c r="U199" i="17"/>
  <c r="S200" i="17"/>
  <c r="T194" i="17"/>
  <c r="T103" i="17"/>
  <c r="S93" i="17"/>
  <c r="T103" i="16"/>
  <c r="R192" i="16"/>
  <c r="S102" i="16"/>
  <c r="Q235" i="16"/>
  <c r="S199" i="16"/>
  <c r="R200" i="16"/>
  <c r="S194" i="16"/>
  <c r="T194" i="15"/>
  <c r="Q235" i="15"/>
  <c r="S199" i="15"/>
  <c r="Q192" i="15"/>
  <c r="R102" i="15"/>
  <c r="S103" i="15"/>
  <c r="R93" i="15"/>
  <c r="T235" i="17" l="1"/>
  <c r="V199" i="17"/>
  <c r="U103" i="17"/>
  <c r="T93" i="17"/>
  <c r="U194" i="17"/>
  <c r="T200" i="17"/>
  <c r="S192" i="17"/>
  <c r="T102" i="17"/>
  <c r="S200" i="16"/>
  <c r="T194" i="16"/>
  <c r="S192" i="16"/>
  <c r="T102" i="16"/>
  <c r="T199" i="16"/>
  <c r="R235" i="16"/>
  <c r="U103" i="16"/>
  <c r="T93" i="16"/>
  <c r="S93" i="16"/>
  <c r="T103" i="15"/>
  <c r="S93" i="15"/>
  <c r="R192" i="15"/>
  <c r="S102" i="15"/>
  <c r="R235" i="15"/>
  <c r="T199" i="15"/>
  <c r="T200" i="15"/>
  <c r="U194" i="15"/>
  <c r="S200" i="15"/>
  <c r="T192" i="17" l="1"/>
  <c r="U102" i="17"/>
  <c r="U93" i="17"/>
  <c r="V103" i="17"/>
  <c r="V194" i="17"/>
  <c r="U200" i="17"/>
  <c r="U235" i="17"/>
  <c r="W199" i="17"/>
  <c r="T192" i="16"/>
  <c r="U102" i="16"/>
  <c r="S235" i="16"/>
  <c r="U199" i="16"/>
  <c r="T200" i="16"/>
  <c r="U194" i="16"/>
  <c r="V103" i="16"/>
  <c r="U93" i="16"/>
  <c r="V194" i="15"/>
  <c r="S235" i="15"/>
  <c r="U199" i="15"/>
  <c r="S192" i="15"/>
  <c r="T102" i="15"/>
  <c r="T93" i="15"/>
  <c r="U103" i="15"/>
  <c r="V200" i="17" l="1"/>
  <c r="W194" i="17"/>
  <c r="V93" i="17"/>
  <c r="W103" i="17"/>
  <c r="U192" i="17"/>
  <c r="V102" i="17"/>
  <c r="V235" i="17"/>
  <c r="X199" i="17"/>
  <c r="V199" i="16"/>
  <c r="T235" i="16"/>
  <c r="W103" i="16"/>
  <c r="V93" i="16"/>
  <c r="U200" i="16"/>
  <c r="V194" i="16"/>
  <c r="U192" i="16"/>
  <c r="V102" i="16"/>
  <c r="T192" i="15"/>
  <c r="U102" i="15"/>
  <c r="V199" i="15"/>
  <c r="T235" i="15"/>
  <c r="U200" i="15"/>
  <c r="U93" i="15"/>
  <c r="V103" i="15"/>
  <c r="W194" i="15"/>
  <c r="W235" i="17" l="1"/>
  <c r="Y199" i="17"/>
  <c r="V192" i="17"/>
  <c r="W102" i="17"/>
  <c r="X103" i="17"/>
  <c r="W93" i="17"/>
  <c r="X194" i="17"/>
  <c r="W200" i="17"/>
  <c r="V192" i="16"/>
  <c r="W102" i="16"/>
  <c r="V200" i="16"/>
  <c r="W194" i="16"/>
  <c r="X103" i="16"/>
  <c r="W93" i="16"/>
  <c r="U235" i="16"/>
  <c r="W199" i="16"/>
  <c r="X194" i="15"/>
  <c r="V93" i="15"/>
  <c r="W103" i="15"/>
  <c r="W199" i="15"/>
  <c r="W200" i="15" s="1"/>
  <c r="U235" i="15"/>
  <c r="U192" i="15"/>
  <c r="V102" i="15"/>
  <c r="V200" i="15"/>
  <c r="X200" i="17" l="1"/>
  <c r="Y194" i="17"/>
  <c r="X235" i="17"/>
  <c r="Z199" i="17"/>
  <c r="X93" i="17"/>
  <c r="Y103" i="17"/>
  <c r="W192" i="17"/>
  <c r="X102" i="17"/>
  <c r="X194" i="16"/>
  <c r="W200" i="16"/>
  <c r="Y103" i="16"/>
  <c r="X93" i="16"/>
  <c r="W192" i="16"/>
  <c r="X102" i="16"/>
  <c r="X199" i="16"/>
  <c r="V235" i="16"/>
  <c r="X103" i="15"/>
  <c r="W93" i="15"/>
  <c r="V192" i="15"/>
  <c r="W102" i="15"/>
  <c r="V235" i="15"/>
  <c r="X199" i="15"/>
  <c r="Y194" i="15"/>
  <c r="X200" i="15"/>
  <c r="X192" i="17" l="1"/>
  <c r="Y102" i="17"/>
  <c r="Y235" i="17"/>
  <c r="AA199" i="17"/>
  <c r="Y93" i="17"/>
  <c r="Z103" i="17"/>
  <c r="Y200" i="17"/>
  <c r="Z194" i="17"/>
  <c r="W235" i="16"/>
  <c r="Y199" i="16"/>
  <c r="Z103" i="16"/>
  <c r="X192" i="16"/>
  <c r="Y102" i="16"/>
  <c r="X200" i="16"/>
  <c r="Y194" i="16"/>
  <c r="W192" i="15"/>
  <c r="X102" i="15"/>
  <c r="Z194" i="15"/>
  <c r="W235" i="15"/>
  <c r="Y199" i="15"/>
  <c r="Y103" i="15"/>
  <c r="X93" i="15"/>
  <c r="Z235" i="17" l="1"/>
  <c r="AB199" i="17"/>
  <c r="AA103" i="17"/>
  <c r="Z93" i="17"/>
  <c r="Y192" i="17"/>
  <c r="Z102" i="17"/>
  <c r="Z200" i="17"/>
  <c r="AA194" i="17"/>
  <c r="Z194" i="16"/>
  <c r="Y200" i="16"/>
  <c r="Y93" i="16"/>
  <c r="Z93" i="16"/>
  <c r="AA103" i="16"/>
  <c r="X235" i="16"/>
  <c r="Z199" i="16"/>
  <c r="Y192" i="16"/>
  <c r="Z102" i="16"/>
  <c r="Z199" i="15"/>
  <c r="X235" i="15"/>
  <c r="Z200" i="15"/>
  <c r="AA194" i="15"/>
  <c r="Z103" i="15"/>
  <c r="Y93" i="15"/>
  <c r="Y200" i="15"/>
  <c r="X192" i="15"/>
  <c r="Y102" i="15"/>
  <c r="AA200" i="17" l="1"/>
  <c r="AB194" i="17"/>
  <c r="Z192" i="17"/>
  <c r="AA102" i="17"/>
  <c r="AB103" i="17"/>
  <c r="AA93" i="17"/>
  <c r="AA235" i="17"/>
  <c r="AC199" i="17"/>
  <c r="Y235" i="16"/>
  <c r="AA199" i="16"/>
  <c r="AB103" i="16"/>
  <c r="Z192" i="16"/>
  <c r="AA102" i="16"/>
  <c r="AA194" i="16"/>
  <c r="Z200" i="16"/>
  <c r="AA103" i="15"/>
  <c r="Z93" i="15"/>
  <c r="AB194" i="15"/>
  <c r="Y192" i="15"/>
  <c r="Z102" i="15"/>
  <c r="Y235" i="15"/>
  <c r="AA199" i="15"/>
  <c r="AB235" i="17" l="1"/>
  <c r="AD199" i="17"/>
  <c r="AC103" i="17"/>
  <c r="AB93" i="17"/>
  <c r="AA192" i="17"/>
  <c r="AB102" i="17"/>
  <c r="AB200" i="17"/>
  <c r="AC194" i="17"/>
  <c r="AA200" i="16"/>
  <c r="AB194" i="16"/>
  <c r="AA93" i="16"/>
  <c r="AB199" i="16"/>
  <c r="Z235" i="16"/>
  <c r="AA192" i="16"/>
  <c r="AB102" i="16"/>
  <c r="AC103" i="16"/>
  <c r="Z235" i="15"/>
  <c r="AB199" i="15"/>
  <c r="AA200" i="15"/>
  <c r="Z192" i="15"/>
  <c r="AA102" i="15"/>
  <c r="AC194" i="15"/>
  <c r="AB200" i="15"/>
  <c r="AB103" i="15"/>
  <c r="AA93" i="15"/>
  <c r="AD194" i="17" l="1"/>
  <c r="AC200" i="17"/>
  <c r="AB192" i="17"/>
  <c r="AC102" i="17"/>
  <c r="AD103" i="17"/>
  <c r="AC93" i="17"/>
  <c r="AC235" i="17"/>
  <c r="AE199" i="17"/>
  <c r="AD103" i="16"/>
  <c r="AA235" i="16"/>
  <c r="AC199" i="16"/>
  <c r="AB200" i="16"/>
  <c r="AC194" i="16"/>
  <c r="AB192" i="16"/>
  <c r="AC102" i="16"/>
  <c r="AB93" i="16"/>
  <c r="AB93" i="15"/>
  <c r="AC103" i="15"/>
  <c r="AA192" i="15"/>
  <c r="AB102" i="15"/>
  <c r="AD194" i="15"/>
  <c r="AA235" i="15"/>
  <c r="AC199" i="15"/>
  <c r="AD235" i="17" l="1"/>
  <c r="AF199" i="17"/>
  <c r="AE103" i="17"/>
  <c r="AD93" i="17"/>
  <c r="AC192" i="17"/>
  <c r="AD102" i="17"/>
  <c r="AD200" i="17"/>
  <c r="AE194" i="17"/>
  <c r="AC192" i="16"/>
  <c r="AD102" i="16"/>
  <c r="AB235" i="16"/>
  <c r="AD199" i="16"/>
  <c r="AC200" i="16"/>
  <c r="AD194" i="16"/>
  <c r="AC93" i="16"/>
  <c r="AE103" i="16"/>
  <c r="AB192" i="15"/>
  <c r="AC102" i="15"/>
  <c r="AB235" i="15"/>
  <c r="AD199" i="15"/>
  <c r="AE194" i="15"/>
  <c r="AD200" i="15"/>
  <c r="AC200" i="15"/>
  <c r="AD103" i="15"/>
  <c r="AC93" i="15"/>
  <c r="AF194" i="17" l="1"/>
  <c r="AE200" i="17"/>
  <c r="AF103" i="17"/>
  <c r="AE93" i="17"/>
  <c r="AD192" i="17"/>
  <c r="AE102" i="17"/>
  <c r="AE235" i="17"/>
  <c r="B199" i="17"/>
  <c r="AF235" i="17" s="1"/>
  <c r="AE199" i="16"/>
  <c r="AC235" i="16"/>
  <c r="AD200" i="16"/>
  <c r="AE194" i="16"/>
  <c r="AD192" i="16"/>
  <c r="AE102" i="16"/>
  <c r="AF103" i="16"/>
  <c r="AE93" i="16"/>
  <c r="AD93" i="16"/>
  <c r="AC235" i="15"/>
  <c r="AE199" i="15"/>
  <c r="AF194" i="15"/>
  <c r="AE200" i="15"/>
  <c r="AD93" i="15"/>
  <c r="AE103" i="15"/>
  <c r="AC192" i="15"/>
  <c r="AD102" i="15"/>
  <c r="AF93" i="17" l="1"/>
  <c r="B103" i="17"/>
  <c r="AE192" i="17"/>
  <c r="AF102" i="17"/>
  <c r="AF200" i="17"/>
  <c r="B194" i="17"/>
  <c r="B200" i="17" s="1"/>
  <c r="B103" i="16"/>
  <c r="AE200" i="16"/>
  <c r="AF194" i="16"/>
  <c r="AE192" i="16"/>
  <c r="AF102" i="16"/>
  <c r="AD235" i="16"/>
  <c r="AF199" i="16"/>
  <c r="AD192" i="15"/>
  <c r="AE102" i="15"/>
  <c r="AF103" i="15"/>
  <c r="AE93" i="15"/>
  <c r="B194" i="15"/>
  <c r="AD235" i="15"/>
  <c r="AF199" i="15"/>
  <c r="AF192" i="17" l="1"/>
  <c r="B102" i="17"/>
  <c r="B192" i="17" s="1"/>
  <c r="AI93" i="17"/>
  <c r="AH93" i="17"/>
  <c r="B194" i="16"/>
  <c r="AF200" i="16"/>
  <c r="AE235" i="16"/>
  <c r="B199" i="16"/>
  <c r="AF235" i="16" s="1"/>
  <c r="AF192" i="16"/>
  <c r="B102" i="16"/>
  <c r="B192" i="16" s="1"/>
  <c r="AF93" i="16"/>
  <c r="B93" i="16"/>
  <c r="AE235" i="15"/>
  <c r="B199" i="15"/>
  <c r="AF235" i="15" s="1"/>
  <c r="B200" i="15"/>
  <c r="AF200" i="15"/>
  <c r="AF93" i="15"/>
  <c r="B103" i="15"/>
  <c r="B93" i="15" s="1"/>
  <c r="AE192" i="15"/>
  <c r="AF102" i="15"/>
  <c r="AI93" i="16" l="1"/>
  <c r="AH93" i="16"/>
  <c r="B200" i="16"/>
  <c r="AF192" i="15"/>
  <c r="B102" i="15"/>
  <c r="B192" i="15" s="1"/>
  <c r="AI93" i="15"/>
  <c r="AH93" i="15"/>
  <c r="P95" i="14" l="1"/>
  <c r="P37" i="14"/>
  <c r="O95" i="14"/>
  <c r="O37" i="14"/>
  <c r="N95" i="14"/>
  <c r="N37" i="14"/>
  <c r="M95" i="14"/>
  <c r="M37" i="14"/>
  <c r="L37" i="14"/>
  <c r="K37" i="14"/>
  <c r="J37" i="14"/>
  <c r="I37" i="14"/>
  <c r="H37" i="14"/>
  <c r="F37" i="14" l="1"/>
  <c r="E37" i="14"/>
  <c r="D95" i="14"/>
  <c r="D37" i="14"/>
  <c r="C95" i="14"/>
  <c r="C37" i="14"/>
  <c r="B95" i="14"/>
  <c r="B37" i="14"/>
  <c r="B93" i="14"/>
  <c r="B80" i="14"/>
  <c r="B79" i="14"/>
  <c r="B78" i="14"/>
  <c r="B77" i="14"/>
  <c r="B76" i="14"/>
  <c r="B68" i="14"/>
  <c r="B56" i="14"/>
  <c r="B52" i="14"/>
  <c r="B38" i="14"/>
  <c r="AF239" i="14"/>
  <c r="AE239" i="14"/>
  <c r="AD239" i="14"/>
  <c r="AC239" i="14"/>
  <c r="AB239" i="14"/>
  <c r="AA239" i="14"/>
  <c r="Z239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A239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238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237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B235" i="14"/>
  <c r="S210" i="14"/>
  <c r="AG200" i="14"/>
  <c r="C200" i="14"/>
  <c r="D199" i="14"/>
  <c r="E198" i="14"/>
  <c r="F198" i="14" s="1"/>
  <c r="G198" i="14" s="1"/>
  <c r="H198" i="14" s="1"/>
  <c r="I198" i="14" s="1"/>
  <c r="J198" i="14" s="1"/>
  <c r="K198" i="14" s="1"/>
  <c r="L198" i="14" s="1"/>
  <c r="M198" i="14" s="1"/>
  <c r="N198" i="14" s="1"/>
  <c r="O198" i="14" s="1"/>
  <c r="P198" i="14" s="1"/>
  <c r="Q198" i="14" s="1"/>
  <c r="R198" i="14" s="1"/>
  <c r="S198" i="14" s="1"/>
  <c r="T198" i="14" s="1"/>
  <c r="U198" i="14" s="1"/>
  <c r="V198" i="14" s="1"/>
  <c r="W198" i="14" s="1"/>
  <c r="X198" i="14" s="1"/>
  <c r="Y198" i="14" s="1"/>
  <c r="Z198" i="14" s="1"/>
  <c r="AA198" i="14" s="1"/>
  <c r="AB198" i="14" s="1"/>
  <c r="AC198" i="14" s="1"/>
  <c r="AD198" i="14" s="1"/>
  <c r="AE198" i="14" s="1"/>
  <c r="AF198" i="14" s="1"/>
  <c r="B198" i="14" s="1"/>
  <c r="D198" i="14"/>
  <c r="D197" i="14"/>
  <c r="E197" i="14" s="1"/>
  <c r="F197" i="14" s="1"/>
  <c r="G197" i="14" s="1"/>
  <c r="H197" i="14" s="1"/>
  <c r="I197" i="14" s="1"/>
  <c r="J197" i="14" s="1"/>
  <c r="K197" i="14" s="1"/>
  <c r="L197" i="14" s="1"/>
  <c r="M197" i="14" s="1"/>
  <c r="N197" i="14" s="1"/>
  <c r="O197" i="14" s="1"/>
  <c r="P197" i="14" s="1"/>
  <c r="Q197" i="14" s="1"/>
  <c r="R197" i="14" s="1"/>
  <c r="S197" i="14" s="1"/>
  <c r="T197" i="14" s="1"/>
  <c r="U197" i="14" s="1"/>
  <c r="V197" i="14" s="1"/>
  <c r="W197" i="14" s="1"/>
  <c r="X197" i="14" s="1"/>
  <c r="Y197" i="14" s="1"/>
  <c r="Z197" i="14" s="1"/>
  <c r="AA197" i="14" s="1"/>
  <c r="AB197" i="14" s="1"/>
  <c r="AC197" i="14" s="1"/>
  <c r="AD197" i="14" s="1"/>
  <c r="AE197" i="14" s="1"/>
  <c r="AF197" i="14" s="1"/>
  <c r="B197" i="14" s="1"/>
  <c r="D196" i="14"/>
  <c r="D195" i="14"/>
  <c r="E195" i="14" s="1"/>
  <c r="F194" i="14"/>
  <c r="E194" i="14"/>
  <c r="D194" i="14"/>
  <c r="AG192" i="14"/>
  <c r="C192" i="14"/>
  <c r="D191" i="14"/>
  <c r="E191" i="14" s="1"/>
  <c r="F191" i="14" s="1"/>
  <c r="G191" i="14" s="1"/>
  <c r="H191" i="14" s="1"/>
  <c r="I191" i="14" s="1"/>
  <c r="J191" i="14" s="1"/>
  <c r="K191" i="14" s="1"/>
  <c r="L191" i="14" s="1"/>
  <c r="M191" i="14" s="1"/>
  <c r="N191" i="14" s="1"/>
  <c r="O191" i="14" s="1"/>
  <c r="P191" i="14" s="1"/>
  <c r="Q191" i="14" s="1"/>
  <c r="R191" i="14" s="1"/>
  <c r="S191" i="14" s="1"/>
  <c r="T191" i="14" s="1"/>
  <c r="U191" i="14" s="1"/>
  <c r="V191" i="14" s="1"/>
  <c r="W191" i="14" s="1"/>
  <c r="X191" i="14" s="1"/>
  <c r="Y191" i="14" s="1"/>
  <c r="Z191" i="14" s="1"/>
  <c r="AA191" i="14" s="1"/>
  <c r="AB191" i="14" s="1"/>
  <c r="AC191" i="14" s="1"/>
  <c r="AD191" i="14" s="1"/>
  <c r="AE191" i="14" s="1"/>
  <c r="AF191" i="14" s="1"/>
  <c r="B191" i="14" s="1"/>
  <c r="D190" i="14"/>
  <c r="E190" i="14" s="1"/>
  <c r="F190" i="14" s="1"/>
  <c r="G190" i="14" s="1"/>
  <c r="H190" i="14" s="1"/>
  <c r="I190" i="14" s="1"/>
  <c r="J190" i="14" s="1"/>
  <c r="K190" i="14" s="1"/>
  <c r="L190" i="14" s="1"/>
  <c r="M190" i="14" s="1"/>
  <c r="N190" i="14" s="1"/>
  <c r="O190" i="14" s="1"/>
  <c r="P190" i="14" s="1"/>
  <c r="Q190" i="14" s="1"/>
  <c r="R190" i="14" s="1"/>
  <c r="S190" i="14" s="1"/>
  <c r="T190" i="14" s="1"/>
  <c r="U190" i="14" s="1"/>
  <c r="V190" i="14" s="1"/>
  <c r="W190" i="14" s="1"/>
  <c r="X190" i="14" s="1"/>
  <c r="Y190" i="14" s="1"/>
  <c r="Z190" i="14" s="1"/>
  <c r="AA190" i="14" s="1"/>
  <c r="AB190" i="14" s="1"/>
  <c r="AC190" i="14" s="1"/>
  <c r="AD190" i="14" s="1"/>
  <c r="AE190" i="14" s="1"/>
  <c r="AF190" i="14" s="1"/>
  <c r="B190" i="14" s="1"/>
  <c r="E189" i="14"/>
  <c r="F189" i="14" s="1"/>
  <c r="G189" i="14" s="1"/>
  <c r="H189" i="14" s="1"/>
  <c r="I189" i="14" s="1"/>
  <c r="J189" i="14" s="1"/>
  <c r="K189" i="14" s="1"/>
  <c r="L189" i="14" s="1"/>
  <c r="M189" i="14" s="1"/>
  <c r="N189" i="14" s="1"/>
  <c r="O189" i="14" s="1"/>
  <c r="P189" i="14" s="1"/>
  <c r="Q189" i="14" s="1"/>
  <c r="R189" i="14" s="1"/>
  <c r="S189" i="14" s="1"/>
  <c r="T189" i="14" s="1"/>
  <c r="U189" i="14" s="1"/>
  <c r="V189" i="14" s="1"/>
  <c r="W189" i="14" s="1"/>
  <c r="X189" i="14" s="1"/>
  <c r="Y189" i="14" s="1"/>
  <c r="Z189" i="14" s="1"/>
  <c r="AA189" i="14" s="1"/>
  <c r="AB189" i="14" s="1"/>
  <c r="AC189" i="14" s="1"/>
  <c r="AD189" i="14" s="1"/>
  <c r="AE189" i="14" s="1"/>
  <c r="AF189" i="14" s="1"/>
  <c r="B189" i="14" s="1"/>
  <c r="D189" i="14"/>
  <c r="D188" i="14"/>
  <c r="E188" i="14" s="1"/>
  <c r="F188" i="14" s="1"/>
  <c r="G188" i="14" s="1"/>
  <c r="H188" i="14" s="1"/>
  <c r="I188" i="14" s="1"/>
  <c r="J188" i="14" s="1"/>
  <c r="K188" i="14" s="1"/>
  <c r="L188" i="14" s="1"/>
  <c r="M188" i="14" s="1"/>
  <c r="N188" i="14" s="1"/>
  <c r="O188" i="14" s="1"/>
  <c r="P188" i="14" s="1"/>
  <c r="Q188" i="14" s="1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B188" i="14" s="1"/>
  <c r="AB187" i="14"/>
  <c r="AC187" i="14" s="1"/>
  <c r="AD187" i="14" s="1"/>
  <c r="AE187" i="14" s="1"/>
  <c r="AF187" i="14" s="1"/>
  <c r="B187" i="14" s="1"/>
  <c r="F187" i="14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D187" i="14"/>
  <c r="E187" i="14" s="1"/>
  <c r="D186" i="14"/>
  <c r="E186" i="14" s="1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B186" i="14" s="1"/>
  <c r="E185" i="14"/>
  <c r="F185" i="14" s="1"/>
  <c r="G185" i="14" s="1"/>
  <c r="H185" i="14" s="1"/>
  <c r="I185" i="14" s="1"/>
  <c r="J185" i="14" s="1"/>
  <c r="K185" i="14" s="1"/>
  <c r="L185" i="14" s="1"/>
  <c r="M185" i="14" s="1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AC185" i="14" s="1"/>
  <c r="AD185" i="14" s="1"/>
  <c r="AE185" i="14" s="1"/>
  <c r="AF185" i="14" s="1"/>
  <c r="B185" i="14" s="1"/>
  <c r="D185" i="14"/>
  <c r="D184" i="14"/>
  <c r="E184" i="14" s="1"/>
  <c r="F184" i="14" s="1"/>
  <c r="G184" i="14" s="1"/>
  <c r="H184" i="14" s="1"/>
  <c r="I184" i="14" s="1"/>
  <c r="J184" i="14" s="1"/>
  <c r="K184" i="14" s="1"/>
  <c r="L184" i="14" s="1"/>
  <c r="M184" i="14" s="1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B184" i="14" s="1"/>
  <c r="I183" i="14"/>
  <c r="J183" i="14" s="1"/>
  <c r="K183" i="14" s="1"/>
  <c r="L183" i="14" s="1"/>
  <c r="M183" i="14" s="1"/>
  <c r="N183" i="14" s="1"/>
  <c r="O183" i="14" s="1"/>
  <c r="P183" i="14" s="1"/>
  <c r="Q183" i="14" s="1"/>
  <c r="R183" i="14" s="1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B183" i="14" s="1"/>
  <c r="H183" i="14"/>
  <c r="G183" i="14"/>
  <c r="F183" i="14"/>
  <c r="D183" i="14"/>
  <c r="E183" i="14" s="1"/>
  <c r="E182" i="14"/>
  <c r="F182" i="14" s="1"/>
  <c r="G182" i="14" s="1"/>
  <c r="H182" i="14" s="1"/>
  <c r="I182" i="14" s="1"/>
  <c r="J182" i="14" s="1"/>
  <c r="K182" i="14" s="1"/>
  <c r="L182" i="14" s="1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B182" i="14" s="1"/>
  <c r="D182" i="14"/>
  <c r="R181" i="14"/>
  <c r="S181" i="14" s="1"/>
  <c r="T181" i="14" s="1"/>
  <c r="U181" i="14" s="1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B181" i="14" s="1"/>
  <c r="F181" i="14"/>
  <c r="G181" i="14" s="1"/>
  <c r="H181" i="14" s="1"/>
  <c r="I181" i="14" s="1"/>
  <c r="J181" i="14" s="1"/>
  <c r="K181" i="14" s="1"/>
  <c r="L181" i="14" s="1"/>
  <c r="M181" i="14" s="1"/>
  <c r="N181" i="14" s="1"/>
  <c r="O181" i="14" s="1"/>
  <c r="P181" i="14" s="1"/>
  <c r="Q181" i="14" s="1"/>
  <c r="D181" i="14"/>
  <c r="E181" i="14" s="1"/>
  <c r="E180" i="14"/>
  <c r="F180" i="14" s="1"/>
  <c r="G180" i="14" s="1"/>
  <c r="H180" i="14" s="1"/>
  <c r="I180" i="14" s="1"/>
  <c r="J180" i="14" s="1"/>
  <c r="K180" i="14" s="1"/>
  <c r="L180" i="14" s="1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AE180" i="14" s="1"/>
  <c r="AF180" i="14" s="1"/>
  <c r="B180" i="14" s="1"/>
  <c r="D180" i="14"/>
  <c r="J179" i="14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Z179" i="14" s="1"/>
  <c r="AA179" i="14" s="1"/>
  <c r="AB179" i="14" s="1"/>
  <c r="AC179" i="14" s="1"/>
  <c r="AD179" i="14" s="1"/>
  <c r="AE179" i="14" s="1"/>
  <c r="AF179" i="14" s="1"/>
  <c r="B179" i="14" s="1"/>
  <c r="D179" i="14"/>
  <c r="E179" i="14" s="1"/>
  <c r="F179" i="14" s="1"/>
  <c r="G179" i="14" s="1"/>
  <c r="H179" i="14" s="1"/>
  <c r="I179" i="14" s="1"/>
  <c r="D177" i="14"/>
  <c r="E177" i="14" s="1"/>
  <c r="F177" i="14" s="1"/>
  <c r="G177" i="14" s="1"/>
  <c r="H177" i="14" s="1"/>
  <c r="I177" i="14" s="1"/>
  <c r="J177" i="14" s="1"/>
  <c r="K177" i="14" s="1"/>
  <c r="L177" i="14" s="1"/>
  <c r="M177" i="14" s="1"/>
  <c r="N177" i="14" s="1"/>
  <c r="O177" i="14" s="1"/>
  <c r="P177" i="14" s="1"/>
  <c r="Q177" i="14" s="1"/>
  <c r="R177" i="14" s="1"/>
  <c r="S177" i="14" s="1"/>
  <c r="T177" i="14" s="1"/>
  <c r="U177" i="14" s="1"/>
  <c r="V177" i="14" s="1"/>
  <c r="W177" i="14" s="1"/>
  <c r="X177" i="14" s="1"/>
  <c r="Y177" i="14" s="1"/>
  <c r="Z177" i="14" s="1"/>
  <c r="AA177" i="14" s="1"/>
  <c r="AB177" i="14" s="1"/>
  <c r="AC177" i="14" s="1"/>
  <c r="AD177" i="14" s="1"/>
  <c r="AE177" i="14" s="1"/>
  <c r="AF177" i="14" s="1"/>
  <c r="B177" i="14" s="1"/>
  <c r="F176" i="14"/>
  <c r="G176" i="14" s="1"/>
  <c r="H176" i="14" s="1"/>
  <c r="I176" i="14" s="1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B176" i="14" s="1"/>
  <c r="E176" i="14"/>
  <c r="D176" i="14"/>
  <c r="D175" i="14"/>
  <c r="E175" i="14" s="1"/>
  <c r="F175" i="14" s="1"/>
  <c r="G175" i="14" s="1"/>
  <c r="H175" i="14" s="1"/>
  <c r="I175" i="14" s="1"/>
  <c r="J175" i="14" s="1"/>
  <c r="K175" i="14" s="1"/>
  <c r="L175" i="14" s="1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B175" i="14" s="1"/>
  <c r="D174" i="14"/>
  <c r="E174" i="14" s="1"/>
  <c r="F174" i="14" s="1"/>
  <c r="G174" i="14" s="1"/>
  <c r="H174" i="14" s="1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B174" i="14" s="1"/>
  <c r="W173" i="14"/>
  <c r="X173" i="14" s="1"/>
  <c r="Y173" i="14" s="1"/>
  <c r="Z173" i="14" s="1"/>
  <c r="AA173" i="14" s="1"/>
  <c r="AB173" i="14" s="1"/>
  <c r="AC173" i="14" s="1"/>
  <c r="AD173" i="14" s="1"/>
  <c r="AE173" i="14" s="1"/>
  <c r="AF173" i="14" s="1"/>
  <c r="B173" i="14" s="1"/>
  <c r="I173" i="14"/>
  <c r="J173" i="14" s="1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D173" i="14"/>
  <c r="E173" i="14" s="1"/>
  <c r="F173" i="14" s="1"/>
  <c r="G173" i="14" s="1"/>
  <c r="H173" i="14" s="1"/>
  <c r="G172" i="14"/>
  <c r="H172" i="14" s="1"/>
  <c r="I172" i="14" s="1"/>
  <c r="J172" i="14" s="1"/>
  <c r="K172" i="14" s="1"/>
  <c r="L172" i="14" s="1"/>
  <c r="M172" i="14" s="1"/>
  <c r="N172" i="14" s="1"/>
  <c r="O172" i="14" s="1"/>
  <c r="P172" i="14" s="1"/>
  <c r="Q172" i="14" s="1"/>
  <c r="R172" i="14" s="1"/>
  <c r="S172" i="14" s="1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B172" i="14" s="1"/>
  <c r="F172" i="14"/>
  <c r="E172" i="14"/>
  <c r="D172" i="14"/>
  <c r="D171" i="14"/>
  <c r="E171" i="14" s="1"/>
  <c r="F171" i="14" s="1"/>
  <c r="G171" i="14" s="1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B171" i="14" s="1"/>
  <c r="T170" i="14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B170" i="14" s="1"/>
  <c r="D170" i="14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Q168" i="14"/>
  <c r="R168" i="14" s="1"/>
  <c r="S168" i="14" s="1"/>
  <c r="T168" i="14" s="1"/>
  <c r="U168" i="14" s="1"/>
  <c r="V168" i="14" s="1"/>
  <c r="W168" i="14" s="1"/>
  <c r="X168" i="14" s="1"/>
  <c r="Y168" i="14" s="1"/>
  <c r="Z168" i="14" s="1"/>
  <c r="AA168" i="14" s="1"/>
  <c r="AB168" i="14" s="1"/>
  <c r="AC168" i="14" s="1"/>
  <c r="AD168" i="14" s="1"/>
  <c r="AE168" i="14" s="1"/>
  <c r="AF168" i="14" s="1"/>
  <c r="B168" i="14" s="1"/>
  <c r="G168" i="14"/>
  <c r="H168" i="14" s="1"/>
  <c r="I168" i="14" s="1"/>
  <c r="J168" i="14" s="1"/>
  <c r="K168" i="14" s="1"/>
  <c r="L168" i="14" s="1"/>
  <c r="M168" i="14" s="1"/>
  <c r="N168" i="14" s="1"/>
  <c r="O168" i="14" s="1"/>
  <c r="P168" i="14" s="1"/>
  <c r="E168" i="14"/>
  <c r="F168" i="14" s="1"/>
  <c r="D168" i="14"/>
  <c r="Z167" i="14"/>
  <c r="AA167" i="14" s="1"/>
  <c r="AB167" i="14" s="1"/>
  <c r="AC167" i="14" s="1"/>
  <c r="AD167" i="14" s="1"/>
  <c r="AE167" i="14" s="1"/>
  <c r="AF167" i="14" s="1"/>
  <c r="B167" i="14" s="1"/>
  <c r="F167" i="14"/>
  <c r="G167" i="14" s="1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E167" i="14"/>
  <c r="D167" i="14"/>
  <c r="D166" i="14"/>
  <c r="E166" i="14" s="1"/>
  <c r="F166" i="14" s="1"/>
  <c r="G166" i="14" s="1"/>
  <c r="H166" i="14" s="1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B166" i="14" s="1"/>
  <c r="D165" i="14"/>
  <c r="E165" i="14" s="1"/>
  <c r="F165" i="14" s="1"/>
  <c r="G165" i="14" s="1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B165" i="14" s="1"/>
  <c r="E164" i="14"/>
  <c r="F164" i="14" s="1"/>
  <c r="G164" i="14" s="1"/>
  <c r="H164" i="14" s="1"/>
  <c r="I164" i="14" s="1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B164" i="14" s="1"/>
  <c r="D164" i="14"/>
  <c r="M163" i="14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B163" i="14" s="1"/>
  <c r="E163" i="14"/>
  <c r="F163" i="14" s="1"/>
  <c r="G163" i="14" s="1"/>
  <c r="H163" i="14" s="1"/>
  <c r="I163" i="14" s="1"/>
  <c r="J163" i="14" s="1"/>
  <c r="K163" i="14" s="1"/>
  <c r="L163" i="14" s="1"/>
  <c r="D163" i="14"/>
  <c r="D162" i="14"/>
  <c r="E162" i="14" s="1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B162" i="14" s="1"/>
  <c r="S161" i="14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B161" i="14" s="1"/>
  <c r="J161" i="14"/>
  <c r="K161" i="14" s="1"/>
  <c r="L161" i="14" s="1"/>
  <c r="M161" i="14" s="1"/>
  <c r="N161" i="14" s="1"/>
  <c r="O161" i="14" s="1"/>
  <c r="P161" i="14" s="1"/>
  <c r="Q161" i="14" s="1"/>
  <c r="R161" i="14" s="1"/>
  <c r="E161" i="14"/>
  <c r="F161" i="14" s="1"/>
  <c r="G161" i="14" s="1"/>
  <c r="H161" i="14" s="1"/>
  <c r="I161" i="14" s="1"/>
  <c r="D161" i="14"/>
  <c r="E160" i="14"/>
  <c r="F160" i="14" s="1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B160" i="14" s="1"/>
  <c r="D160" i="14"/>
  <c r="F159" i="14"/>
  <c r="G159" i="14" s="1"/>
  <c r="H159" i="14" s="1"/>
  <c r="I159" i="14" s="1"/>
  <c r="J159" i="14" s="1"/>
  <c r="K159" i="14" s="1"/>
  <c r="L159" i="14" s="1"/>
  <c r="M159" i="14" s="1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B159" i="14" s="1"/>
  <c r="E159" i="14"/>
  <c r="D159" i="14"/>
  <c r="S158" i="14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B158" i="14" s="1"/>
  <c r="I158" i="14"/>
  <c r="J158" i="14" s="1"/>
  <c r="K158" i="14" s="1"/>
  <c r="L158" i="14" s="1"/>
  <c r="M158" i="14" s="1"/>
  <c r="N158" i="14" s="1"/>
  <c r="O158" i="14" s="1"/>
  <c r="P158" i="14" s="1"/>
  <c r="Q158" i="14" s="1"/>
  <c r="R158" i="14" s="1"/>
  <c r="E158" i="14"/>
  <c r="F158" i="14" s="1"/>
  <c r="G158" i="14" s="1"/>
  <c r="H158" i="14" s="1"/>
  <c r="D158" i="14"/>
  <c r="L157" i="14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B157" i="14" s="1"/>
  <c r="G157" i="14"/>
  <c r="H157" i="14" s="1"/>
  <c r="I157" i="14" s="1"/>
  <c r="J157" i="14" s="1"/>
  <c r="K157" i="14" s="1"/>
  <c r="F157" i="14"/>
  <c r="E157" i="14"/>
  <c r="D157" i="14"/>
  <c r="E156" i="14"/>
  <c r="F156" i="14" s="1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B156" i="14" s="1"/>
  <c r="D156" i="14"/>
  <c r="E154" i="14"/>
  <c r="F154" i="14" s="1"/>
  <c r="G154" i="14" s="1"/>
  <c r="H154" i="14" s="1"/>
  <c r="I154" i="14" s="1"/>
  <c r="J154" i="14" s="1"/>
  <c r="K154" i="14" s="1"/>
  <c r="L154" i="14" s="1"/>
  <c r="M154" i="14" s="1"/>
  <c r="N154" i="14" s="1"/>
  <c r="O154" i="14" s="1"/>
  <c r="P154" i="14" s="1"/>
  <c r="Q154" i="14" s="1"/>
  <c r="R154" i="14" s="1"/>
  <c r="S154" i="14" s="1"/>
  <c r="T154" i="14" s="1"/>
  <c r="U154" i="14" s="1"/>
  <c r="V154" i="14" s="1"/>
  <c r="W154" i="14" s="1"/>
  <c r="X154" i="14" s="1"/>
  <c r="Y154" i="14" s="1"/>
  <c r="Z154" i="14" s="1"/>
  <c r="AA154" i="14" s="1"/>
  <c r="AB154" i="14" s="1"/>
  <c r="AC154" i="14" s="1"/>
  <c r="AD154" i="14" s="1"/>
  <c r="AE154" i="14" s="1"/>
  <c r="AF154" i="14" s="1"/>
  <c r="B154" i="14" s="1"/>
  <c r="D154" i="14"/>
  <c r="P153" i="14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B153" i="14" s="1"/>
  <c r="L153" i="14"/>
  <c r="M153" i="14" s="1"/>
  <c r="N153" i="14" s="1"/>
  <c r="O153" i="14" s="1"/>
  <c r="G153" i="14"/>
  <c r="H153" i="14" s="1"/>
  <c r="I153" i="14" s="1"/>
  <c r="J153" i="14" s="1"/>
  <c r="K153" i="14" s="1"/>
  <c r="F153" i="14"/>
  <c r="E153" i="14"/>
  <c r="D153" i="14"/>
  <c r="AA152" i="14"/>
  <c r="AB152" i="14" s="1"/>
  <c r="AC152" i="14" s="1"/>
  <c r="AD152" i="14" s="1"/>
  <c r="AE152" i="14" s="1"/>
  <c r="AF152" i="14" s="1"/>
  <c r="B152" i="14" s="1"/>
  <c r="N152" i="14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E152" i="14"/>
  <c r="F152" i="14" s="1"/>
  <c r="G152" i="14" s="1"/>
  <c r="H152" i="14" s="1"/>
  <c r="I152" i="14" s="1"/>
  <c r="J152" i="14" s="1"/>
  <c r="K152" i="14" s="1"/>
  <c r="L152" i="14" s="1"/>
  <c r="M152" i="14" s="1"/>
  <c r="D152" i="14"/>
  <c r="L151" i="14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B151" i="14" s="1"/>
  <c r="D151" i="14"/>
  <c r="E151" i="14" s="1"/>
  <c r="F151" i="14" s="1"/>
  <c r="G151" i="14" s="1"/>
  <c r="H151" i="14" s="1"/>
  <c r="I151" i="14" s="1"/>
  <c r="J151" i="14" s="1"/>
  <c r="K151" i="14" s="1"/>
  <c r="J149" i="14"/>
  <c r="K149" i="14" s="1"/>
  <c r="L149" i="14" s="1"/>
  <c r="M149" i="14" s="1"/>
  <c r="N149" i="14" s="1"/>
  <c r="O149" i="14" s="1"/>
  <c r="P149" i="14" s="1"/>
  <c r="Q149" i="14" s="1"/>
  <c r="R149" i="14" s="1"/>
  <c r="S149" i="14" s="1"/>
  <c r="T149" i="14" s="1"/>
  <c r="U149" i="14" s="1"/>
  <c r="V149" i="14" s="1"/>
  <c r="W149" i="14" s="1"/>
  <c r="X149" i="14" s="1"/>
  <c r="Y149" i="14" s="1"/>
  <c r="Z149" i="14" s="1"/>
  <c r="AA149" i="14" s="1"/>
  <c r="AB149" i="14" s="1"/>
  <c r="AC149" i="14" s="1"/>
  <c r="AD149" i="14" s="1"/>
  <c r="AE149" i="14" s="1"/>
  <c r="AF149" i="14" s="1"/>
  <c r="B149" i="14" s="1"/>
  <c r="F149" i="14"/>
  <c r="G149" i="14" s="1"/>
  <c r="H149" i="14" s="1"/>
  <c r="I149" i="14" s="1"/>
  <c r="E149" i="14"/>
  <c r="D149" i="14"/>
  <c r="AF148" i="14"/>
  <c r="B148" i="14" s="1"/>
  <c r="E148" i="14"/>
  <c r="F148" i="14" s="1"/>
  <c r="G148" i="14" s="1"/>
  <c r="H148" i="14" s="1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D148" i="14"/>
  <c r="D146" i="14"/>
  <c r="E146" i="14" s="1"/>
  <c r="F146" i="14" s="1"/>
  <c r="G146" i="14" s="1"/>
  <c r="H146" i="14" s="1"/>
  <c r="I146" i="14" s="1"/>
  <c r="J146" i="14" s="1"/>
  <c r="K146" i="14" s="1"/>
  <c r="L146" i="14" s="1"/>
  <c r="M146" i="14" s="1"/>
  <c r="N146" i="14" s="1"/>
  <c r="O146" i="14" s="1"/>
  <c r="P146" i="14" s="1"/>
  <c r="Q146" i="14" s="1"/>
  <c r="R146" i="14" s="1"/>
  <c r="S146" i="14" s="1"/>
  <c r="T146" i="14" s="1"/>
  <c r="U146" i="14" s="1"/>
  <c r="V146" i="14" s="1"/>
  <c r="W146" i="14" s="1"/>
  <c r="X146" i="14" s="1"/>
  <c r="Y146" i="14" s="1"/>
  <c r="Z146" i="14" s="1"/>
  <c r="AA146" i="14" s="1"/>
  <c r="AB146" i="14" s="1"/>
  <c r="AC146" i="14" s="1"/>
  <c r="AD146" i="14" s="1"/>
  <c r="AE146" i="14" s="1"/>
  <c r="AF146" i="14" s="1"/>
  <c r="B146" i="14" s="1"/>
  <c r="D145" i="14"/>
  <c r="E145" i="14" s="1"/>
  <c r="F145" i="14" s="1"/>
  <c r="G145" i="14" s="1"/>
  <c r="H145" i="14" s="1"/>
  <c r="I145" i="14" s="1"/>
  <c r="J145" i="14" s="1"/>
  <c r="K145" i="14" s="1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B145" i="14" s="1"/>
  <c r="J144" i="14"/>
  <c r="K144" i="14" s="1"/>
  <c r="L144" i="14" s="1"/>
  <c r="M144" i="14" s="1"/>
  <c r="N144" i="14" s="1"/>
  <c r="O144" i="14" s="1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B144" i="14" s="1"/>
  <c r="F144" i="14"/>
  <c r="G144" i="14" s="1"/>
  <c r="H144" i="14" s="1"/>
  <c r="I144" i="14" s="1"/>
  <c r="E144" i="14"/>
  <c r="D144" i="14"/>
  <c r="D143" i="14"/>
  <c r="E143" i="14" s="1"/>
  <c r="F143" i="14" s="1"/>
  <c r="G143" i="14" s="1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B143" i="14" s="1"/>
  <c r="D142" i="14"/>
  <c r="E142" i="14" s="1"/>
  <c r="F142" i="14" s="1"/>
  <c r="G142" i="14" s="1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B142" i="14" s="1"/>
  <c r="D141" i="14"/>
  <c r="E141" i="14" s="1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B141" i="14" s="1"/>
  <c r="F140" i="14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B140" i="14" s="1"/>
  <c r="E140" i="14"/>
  <c r="D140" i="14"/>
  <c r="D138" i="14"/>
  <c r="E138" i="14" s="1"/>
  <c r="F138" i="14" s="1"/>
  <c r="G138" i="14" s="1"/>
  <c r="H138" i="14" s="1"/>
  <c r="I138" i="14" s="1"/>
  <c r="J138" i="14" s="1"/>
  <c r="K138" i="14" s="1"/>
  <c r="L138" i="14" s="1"/>
  <c r="M138" i="14" s="1"/>
  <c r="N138" i="14" s="1"/>
  <c r="O138" i="14" s="1"/>
  <c r="P138" i="14" s="1"/>
  <c r="Q138" i="14" s="1"/>
  <c r="R138" i="14" s="1"/>
  <c r="S138" i="14" s="1"/>
  <c r="T138" i="14" s="1"/>
  <c r="U138" i="14" s="1"/>
  <c r="V138" i="14" s="1"/>
  <c r="W138" i="14" s="1"/>
  <c r="X138" i="14" s="1"/>
  <c r="Y138" i="14" s="1"/>
  <c r="Z138" i="14" s="1"/>
  <c r="AA138" i="14" s="1"/>
  <c r="AB138" i="14" s="1"/>
  <c r="AC138" i="14" s="1"/>
  <c r="AD138" i="14" s="1"/>
  <c r="AE138" i="14" s="1"/>
  <c r="AF138" i="14" s="1"/>
  <c r="B138" i="14" s="1"/>
  <c r="D137" i="14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B137" i="14" s="1"/>
  <c r="D136" i="14"/>
  <c r="E136" i="14" s="1"/>
  <c r="F136" i="14" s="1"/>
  <c r="G136" i="14" s="1"/>
  <c r="H136" i="14" s="1"/>
  <c r="I136" i="14" s="1"/>
  <c r="J136" i="14" s="1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B136" i="14" s="1"/>
  <c r="E135" i="14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B135" i="14" s="1"/>
  <c r="D135" i="14"/>
  <c r="X134" i="14"/>
  <c r="Y134" i="14" s="1"/>
  <c r="Z134" i="14" s="1"/>
  <c r="AA134" i="14" s="1"/>
  <c r="AB134" i="14" s="1"/>
  <c r="AC134" i="14" s="1"/>
  <c r="AD134" i="14" s="1"/>
  <c r="AE134" i="14" s="1"/>
  <c r="AF134" i="14" s="1"/>
  <c r="B134" i="14" s="1"/>
  <c r="H134" i="14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D134" i="14"/>
  <c r="E134" i="14" s="1"/>
  <c r="F134" i="14" s="1"/>
  <c r="G134" i="14" s="1"/>
  <c r="J133" i="14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B133" i="14" s="1"/>
  <c r="D133" i="14"/>
  <c r="E133" i="14" s="1"/>
  <c r="F133" i="14" s="1"/>
  <c r="G133" i="14" s="1"/>
  <c r="H133" i="14" s="1"/>
  <c r="I133" i="14" s="1"/>
  <c r="D132" i="14"/>
  <c r="E132" i="14" s="1"/>
  <c r="F132" i="14" s="1"/>
  <c r="G132" i="14" s="1"/>
  <c r="H132" i="14" s="1"/>
  <c r="I132" i="14" s="1"/>
  <c r="J132" i="14" s="1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B132" i="14" s="1"/>
  <c r="G131" i="14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B131" i="14" s="1"/>
  <c r="E131" i="14"/>
  <c r="F131" i="14" s="1"/>
  <c r="D131" i="14"/>
  <c r="M129" i="14"/>
  <c r="N129" i="14" s="1"/>
  <c r="O129" i="14" s="1"/>
  <c r="P129" i="14" s="1"/>
  <c r="Q129" i="14" s="1"/>
  <c r="R129" i="14" s="1"/>
  <c r="S129" i="14" s="1"/>
  <c r="T129" i="14" s="1"/>
  <c r="U129" i="14" s="1"/>
  <c r="V129" i="14" s="1"/>
  <c r="W129" i="14" s="1"/>
  <c r="X129" i="14" s="1"/>
  <c r="Y129" i="14" s="1"/>
  <c r="Z129" i="14" s="1"/>
  <c r="AA129" i="14" s="1"/>
  <c r="AB129" i="14" s="1"/>
  <c r="AC129" i="14" s="1"/>
  <c r="AD129" i="14" s="1"/>
  <c r="AE129" i="14" s="1"/>
  <c r="AF129" i="14" s="1"/>
  <c r="B129" i="14" s="1"/>
  <c r="D129" i="14"/>
  <c r="E129" i="14" s="1"/>
  <c r="F129" i="14" s="1"/>
  <c r="G129" i="14" s="1"/>
  <c r="H129" i="14" s="1"/>
  <c r="I129" i="14" s="1"/>
  <c r="J129" i="14" s="1"/>
  <c r="K129" i="14" s="1"/>
  <c r="L129" i="14" s="1"/>
  <c r="J128" i="14"/>
  <c r="K128" i="14" s="1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B128" i="14" s="1"/>
  <c r="F128" i="14"/>
  <c r="G128" i="14" s="1"/>
  <c r="H128" i="14" s="1"/>
  <c r="I128" i="14" s="1"/>
  <c r="D128" i="14"/>
  <c r="E128" i="14" s="1"/>
  <c r="E127" i="14"/>
  <c r="F127" i="14" s="1"/>
  <c r="G127" i="14" s="1"/>
  <c r="H127" i="14" s="1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B127" i="14" s="1"/>
  <c r="D127" i="14"/>
  <c r="G126" i="14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B126" i="14" s="1"/>
  <c r="D126" i="14"/>
  <c r="E126" i="14" s="1"/>
  <c r="F126" i="14" s="1"/>
  <c r="K125" i="14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B125" i="14" s="1"/>
  <c r="J125" i="14"/>
  <c r="D125" i="14"/>
  <c r="E125" i="14" s="1"/>
  <c r="F125" i="14" s="1"/>
  <c r="G125" i="14" s="1"/>
  <c r="H125" i="14" s="1"/>
  <c r="O124" i="14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B124" i="14" s="1"/>
  <c r="F124" i="14"/>
  <c r="G124" i="14" s="1"/>
  <c r="H124" i="14" s="1"/>
  <c r="I124" i="14" s="1"/>
  <c r="J124" i="14" s="1"/>
  <c r="K124" i="14" s="1"/>
  <c r="L124" i="14" s="1"/>
  <c r="M124" i="14" s="1"/>
  <c r="N124" i="14" s="1"/>
  <c r="E124" i="14"/>
  <c r="D124" i="14"/>
  <c r="I123" i="14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B123" i="14" s="1"/>
  <c r="E123" i="14"/>
  <c r="F123" i="14" s="1"/>
  <c r="G123" i="14" s="1"/>
  <c r="H123" i="14" s="1"/>
  <c r="D123" i="14"/>
  <c r="G122" i="14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B122" i="14" s="1"/>
  <c r="E122" i="14"/>
  <c r="F122" i="14" s="1"/>
  <c r="D122" i="14"/>
  <c r="D121" i="14"/>
  <c r="E121" i="14" s="1"/>
  <c r="F121" i="14" s="1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B121" i="14" s="1"/>
  <c r="D120" i="14"/>
  <c r="E120" i="14" s="1"/>
  <c r="F120" i="14" s="1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B120" i="14" s="1"/>
  <c r="F119" i="14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B119" i="14" s="1"/>
  <c r="D119" i="14"/>
  <c r="E119" i="14" s="1"/>
  <c r="D118" i="14"/>
  <c r="E118" i="14" s="1"/>
  <c r="F118" i="14" s="1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B118" i="14" s="1"/>
  <c r="H117" i="14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B117" i="14" s="1"/>
  <c r="D117" i="14"/>
  <c r="E117" i="14" s="1"/>
  <c r="F117" i="14" s="1"/>
  <c r="G117" i="14" s="1"/>
  <c r="F116" i="14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B116" i="14" s="1"/>
  <c r="D116" i="14"/>
  <c r="E116" i="14" s="1"/>
  <c r="F115" i="14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B115" i="14" s="1"/>
  <c r="D115" i="14"/>
  <c r="E115" i="14" s="1"/>
  <c r="L114" i="14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B114" i="14" s="1"/>
  <c r="K114" i="14"/>
  <c r="E114" i="14"/>
  <c r="F114" i="14" s="1"/>
  <c r="G114" i="14" s="1"/>
  <c r="H114" i="14" s="1"/>
  <c r="I114" i="14" s="1"/>
  <c r="D114" i="14"/>
  <c r="D113" i="14"/>
  <c r="E113" i="14" s="1"/>
  <c r="F113" i="14" s="1"/>
  <c r="G113" i="14" s="1"/>
  <c r="H113" i="14" s="1"/>
  <c r="I113" i="14" s="1"/>
  <c r="J113" i="14" s="1"/>
  <c r="K113" i="14" s="1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B113" i="14" s="1"/>
  <c r="G112" i="14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B112" i="14" s="1"/>
  <c r="E112" i="14"/>
  <c r="F112" i="14" s="1"/>
  <c r="D112" i="14"/>
  <c r="G110" i="14"/>
  <c r="H110" i="14" s="1"/>
  <c r="I110" i="14" s="1"/>
  <c r="J110" i="14" s="1"/>
  <c r="K110" i="14" s="1"/>
  <c r="L110" i="14" s="1"/>
  <c r="M110" i="14" s="1"/>
  <c r="N110" i="14" s="1"/>
  <c r="O110" i="14" s="1"/>
  <c r="P110" i="14" s="1"/>
  <c r="Q110" i="14" s="1"/>
  <c r="R110" i="14" s="1"/>
  <c r="S110" i="14" s="1"/>
  <c r="T110" i="14" s="1"/>
  <c r="U110" i="14" s="1"/>
  <c r="V110" i="14" s="1"/>
  <c r="W110" i="14" s="1"/>
  <c r="X110" i="14" s="1"/>
  <c r="Y110" i="14" s="1"/>
  <c r="Z110" i="14" s="1"/>
  <c r="AA110" i="14" s="1"/>
  <c r="AB110" i="14" s="1"/>
  <c r="AC110" i="14" s="1"/>
  <c r="AD110" i="14" s="1"/>
  <c r="AE110" i="14" s="1"/>
  <c r="AF110" i="14" s="1"/>
  <c r="B110" i="14" s="1"/>
  <c r="E110" i="14"/>
  <c r="F110" i="14" s="1"/>
  <c r="D110" i="14"/>
  <c r="F109" i="14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B109" i="14" s="1"/>
  <c r="E109" i="14"/>
  <c r="D109" i="14"/>
  <c r="D107" i="14"/>
  <c r="E107" i="14" s="1"/>
  <c r="F107" i="14" s="1"/>
  <c r="G107" i="14" s="1"/>
  <c r="H107" i="14" s="1"/>
  <c r="I107" i="14" s="1"/>
  <c r="J107" i="14" s="1"/>
  <c r="K107" i="14" s="1"/>
  <c r="L107" i="14" s="1"/>
  <c r="M107" i="14" s="1"/>
  <c r="N107" i="14" s="1"/>
  <c r="O107" i="14" s="1"/>
  <c r="P107" i="14" s="1"/>
  <c r="Q107" i="14" s="1"/>
  <c r="R107" i="14" s="1"/>
  <c r="S107" i="14" s="1"/>
  <c r="T107" i="14" s="1"/>
  <c r="U107" i="14" s="1"/>
  <c r="V107" i="14" s="1"/>
  <c r="W107" i="14" s="1"/>
  <c r="X107" i="14" s="1"/>
  <c r="Y107" i="14" s="1"/>
  <c r="Z107" i="14" s="1"/>
  <c r="AA107" i="14" s="1"/>
  <c r="AB107" i="14" s="1"/>
  <c r="AC107" i="14" s="1"/>
  <c r="AD107" i="14" s="1"/>
  <c r="AE107" i="14" s="1"/>
  <c r="AF107" i="14" s="1"/>
  <c r="B107" i="14" s="1"/>
  <c r="E106" i="14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B106" i="14" s="1"/>
  <c r="D106" i="14"/>
  <c r="D105" i="14"/>
  <c r="E105" i="14" s="1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B105" i="14" s="1"/>
  <c r="D104" i="14"/>
  <c r="E104" i="14" s="1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B104" i="14" s="1"/>
  <c r="E103" i="14"/>
  <c r="D103" i="14"/>
  <c r="E102" i="14"/>
  <c r="D102" i="14"/>
  <c r="AH100" i="14"/>
  <c r="AI100" i="14" s="1"/>
  <c r="AH99" i="14"/>
  <c r="AI99" i="14" s="1"/>
  <c r="AH98" i="14"/>
  <c r="AI98" i="14" s="1"/>
  <c r="AH97" i="14"/>
  <c r="AI97" i="14" s="1"/>
  <c r="AH96" i="14"/>
  <c r="AI96" i="14" s="1"/>
  <c r="AH95" i="14"/>
  <c r="AI95" i="14" s="1"/>
  <c r="AH94" i="14"/>
  <c r="AI94" i="14" s="1"/>
  <c r="D93" i="14"/>
  <c r="C93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G82" i="14"/>
  <c r="AI81" i="14"/>
  <c r="AH81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G82" i="14" s="1"/>
  <c r="F79" i="14"/>
  <c r="E79" i="14"/>
  <c r="D79" i="14"/>
  <c r="C79" i="14"/>
  <c r="AF78" i="14"/>
  <c r="AE78" i="14"/>
  <c r="AD78" i="14"/>
  <c r="AC78" i="14"/>
  <c r="AB78" i="14"/>
  <c r="AA78" i="14"/>
  <c r="AA82" i="14" s="1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F77" i="14"/>
  <c r="AE77" i="14"/>
  <c r="AD77" i="14"/>
  <c r="AC77" i="14"/>
  <c r="AB77" i="14"/>
  <c r="AA77" i="14"/>
  <c r="Z77" i="14"/>
  <c r="Y77" i="14"/>
  <c r="Y82" i="14" s="1"/>
  <c r="X77" i="14"/>
  <c r="W77" i="14"/>
  <c r="V77" i="14"/>
  <c r="U77" i="14"/>
  <c r="T77" i="14"/>
  <c r="S77" i="14"/>
  <c r="R77" i="14"/>
  <c r="Q77" i="14"/>
  <c r="Q82" i="14" s="1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F76" i="14"/>
  <c r="AF82" i="14" s="1"/>
  <c r="AE76" i="14"/>
  <c r="AD76" i="14"/>
  <c r="AD82" i="14" s="1"/>
  <c r="AC76" i="14"/>
  <c r="AC82" i="14" s="1"/>
  <c r="AB76" i="14"/>
  <c r="AB82" i="14" s="1"/>
  <c r="AA76" i="14"/>
  <c r="Z76" i="14"/>
  <c r="Y76" i="14"/>
  <c r="X76" i="14"/>
  <c r="X82" i="14" s="1"/>
  <c r="W76" i="14"/>
  <c r="V76" i="14"/>
  <c r="U76" i="14"/>
  <c r="U82" i="14" s="1"/>
  <c r="T76" i="14"/>
  <c r="S76" i="14"/>
  <c r="R76" i="14"/>
  <c r="Q76" i="14"/>
  <c r="O76" i="14"/>
  <c r="N76" i="14"/>
  <c r="M76" i="14"/>
  <c r="M82" i="14" s="1"/>
  <c r="L76" i="14"/>
  <c r="K76" i="14"/>
  <c r="J76" i="14"/>
  <c r="I76" i="14"/>
  <c r="H76" i="14"/>
  <c r="G76" i="14"/>
  <c r="F76" i="14"/>
  <c r="E76" i="14"/>
  <c r="D76" i="14"/>
  <c r="C76" i="14"/>
  <c r="AI74" i="14"/>
  <c r="AH74" i="14"/>
  <c r="AI72" i="14"/>
  <c r="AH72" i="14"/>
  <c r="AG72" i="14"/>
  <c r="AI71" i="14"/>
  <c r="AH71" i="14"/>
  <c r="AI70" i="14"/>
  <c r="AH70" i="14"/>
  <c r="AI69" i="14"/>
  <c r="AH69" i="14"/>
  <c r="AG68" i="14"/>
  <c r="AF68" i="14"/>
  <c r="AF83" i="14" s="1"/>
  <c r="AE68" i="14"/>
  <c r="AD5" i="14" s="1"/>
  <c r="AD68" i="14"/>
  <c r="AC5" i="14" s="1"/>
  <c r="AC68" i="14"/>
  <c r="AB5" i="14" s="1"/>
  <c r="AB68" i="14"/>
  <c r="AB83" i="14" s="1"/>
  <c r="AA68" i="14"/>
  <c r="Z5" i="14" s="1"/>
  <c r="Z68" i="14"/>
  <c r="Y68" i="14"/>
  <c r="X5" i="14" s="1"/>
  <c r="X68" i="14"/>
  <c r="X83" i="14" s="1"/>
  <c r="W68" i="14"/>
  <c r="V5" i="14" s="1"/>
  <c r="V68" i="14"/>
  <c r="U5" i="14" s="1"/>
  <c r="U68" i="14"/>
  <c r="U83" i="14" s="1"/>
  <c r="T68" i="14"/>
  <c r="S68" i="14"/>
  <c r="R5" i="14" s="1"/>
  <c r="R68" i="14"/>
  <c r="Q68" i="14"/>
  <c r="P5" i="14" s="1"/>
  <c r="P68" i="14"/>
  <c r="O68" i="14"/>
  <c r="N5" i="14" s="1"/>
  <c r="N68" i="14"/>
  <c r="M5" i="14" s="1"/>
  <c r="M68" i="14"/>
  <c r="L5" i="14" s="1"/>
  <c r="L68" i="14"/>
  <c r="K68" i="14"/>
  <c r="J5" i="14" s="1"/>
  <c r="J68" i="14"/>
  <c r="I68" i="14"/>
  <c r="H5" i="14" s="1"/>
  <c r="H68" i="14"/>
  <c r="G68" i="14"/>
  <c r="F5" i="14" s="1"/>
  <c r="F68" i="14"/>
  <c r="E5" i="14" s="1"/>
  <c r="E68" i="14"/>
  <c r="D68" i="14"/>
  <c r="C68" i="14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AI55" i="14"/>
  <c r="AH55" i="14"/>
  <c r="AI54" i="14"/>
  <c r="AH54" i="14"/>
  <c r="AI53" i="14"/>
  <c r="AH53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AI51" i="14"/>
  <c r="AH51" i="14"/>
  <c r="AG51" i="14"/>
  <c r="AG52" i="14" s="1"/>
  <c r="AG3" i="14" s="1"/>
  <c r="AG6" i="14" s="1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G38" i="14"/>
  <c r="AF38" i="14"/>
  <c r="AF73" i="14" s="1"/>
  <c r="AF75" i="14" s="1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G73" i="14" s="1"/>
  <c r="G75" i="14" s="1"/>
  <c r="F38" i="14"/>
  <c r="E38" i="14"/>
  <c r="D38" i="14"/>
  <c r="C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F5" i="14"/>
  <c r="AE5" i="14"/>
  <c r="AG4" i="14"/>
  <c r="K4" i="14"/>
  <c r="B4" i="14"/>
  <c r="AG2" i="14"/>
  <c r="AF95" i="13"/>
  <c r="AF37" i="13"/>
  <c r="AE37" i="13"/>
  <c r="AE95" i="13"/>
  <c r="AD95" i="13"/>
  <c r="AD37" i="13"/>
  <c r="E4" i="14"/>
  <c r="AE82" i="14" l="1"/>
  <c r="AE83" i="14" s="1"/>
  <c r="AE73" i="14"/>
  <c r="AE75" i="14" s="1"/>
  <c r="AD73" i="14"/>
  <c r="AD75" i="14" s="1"/>
  <c r="AD7" i="14" s="1"/>
  <c r="AC73" i="14"/>
  <c r="AC75" i="14" s="1"/>
  <c r="AC7" i="14" s="1"/>
  <c r="AA5" i="14"/>
  <c r="AB73" i="14"/>
  <c r="AB75" i="14" s="1"/>
  <c r="AT214" i="14" s="1"/>
  <c r="AA73" i="14"/>
  <c r="AA75" i="14" s="1"/>
  <c r="Z82" i="14"/>
  <c r="Z83" i="14" s="1"/>
  <c r="Y5" i="14"/>
  <c r="Z73" i="14"/>
  <c r="Z75" i="14" s="1"/>
  <c r="AR214" i="14" s="1"/>
  <c r="X73" i="14"/>
  <c r="X75" i="14" s="1"/>
  <c r="Y73" i="14"/>
  <c r="Y75" i="14" s="1"/>
  <c r="Y83" i="14"/>
  <c r="W5" i="14"/>
  <c r="W82" i="14"/>
  <c r="W73" i="14"/>
  <c r="W75" i="14" s="1"/>
  <c r="V82" i="14"/>
  <c r="V73" i="14"/>
  <c r="V75" i="14" s="1"/>
  <c r="AN214" i="14" s="1"/>
  <c r="T82" i="14"/>
  <c r="T83" i="14" s="1"/>
  <c r="U73" i="14"/>
  <c r="U75" i="14" s="1"/>
  <c r="S5" i="14"/>
  <c r="T73" i="14"/>
  <c r="T75" i="14" s="1"/>
  <c r="AL214" i="14" s="1"/>
  <c r="S82" i="14"/>
  <c r="S73" i="14"/>
  <c r="S75" i="14" s="1"/>
  <c r="AK214" i="14" s="1"/>
  <c r="R82" i="14"/>
  <c r="R83" i="14" s="1"/>
  <c r="Q5" i="14"/>
  <c r="R73" i="14"/>
  <c r="R75" i="14" s="1"/>
  <c r="Q83" i="14"/>
  <c r="P82" i="14"/>
  <c r="P83" i="14"/>
  <c r="O5" i="14"/>
  <c r="AI79" i="14"/>
  <c r="O82" i="14"/>
  <c r="O83" i="14" s="1"/>
  <c r="N82" i="14"/>
  <c r="AI80" i="14"/>
  <c r="O73" i="14"/>
  <c r="O75" i="14" s="1"/>
  <c r="AG214" i="14" s="1"/>
  <c r="P73" i="14"/>
  <c r="P75" i="14" s="1"/>
  <c r="AH214" i="14" s="1"/>
  <c r="Q73" i="14"/>
  <c r="Q75" i="14" s="1"/>
  <c r="AI214" i="14" s="1"/>
  <c r="N73" i="14"/>
  <c r="N75" i="14" s="1"/>
  <c r="AF214" i="14" s="1"/>
  <c r="M73" i="14"/>
  <c r="M75" i="14" s="1"/>
  <c r="AH80" i="14"/>
  <c r="K5" i="14"/>
  <c r="L82" i="14"/>
  <c r="L83" i="14" s="1"/>
  <c r="AH56" i="14"/>
  <c r="L73" i="14"/>
  <c r="L75" i="14" s="1"/>
  <c r="AD214" i="14" s="1"/>
  <c r="K73" i="14"/>
  <c r="K75" i="14" s="1"/>
  <c r="K82" i="14"/>
  <c r="AI78" i="14"/>
  <c r="AI77" i="14"/>
  <c r="J82" i="14"/>
  <c r="J83" i="14"/>
  <c r="I5" i="14"/>
  <c r="J73" i="14"/>
  <c r="J75" i="14" s="1"/>
  <c r="J7" i="14" s="1"/>
  <c r="AI56" i="14"/>
  <c r="H82" i="14"/>
  <c r="AH77" i="14"/>
  <c r="H83" i="14"/>
  <c r="G5" i="14"/>
  <c r="H73" i="14"/>
  <c r="H75" i="14" s="1"/>
  <c r="H7" i="14" s="1"/>
  <c r="I82" i="14"/>
  <c r="I83" i="14"/>
  <c r="I73" i="14"/>
  <c r="I75" i="14" s="1"/>
  <c r="AA214" i="14" s="1"/>
  <c r="F82" i="14"/>
  <c r="F73" i="14"/>
  <c r="F75" i="14" s="1"/>
  <c r="F7" i="14" s="1"/>
  <c r="E73" i="14"/>
  <c r="E75" i="14" s="1"/>
  <c r="W214" i="14" s="1"/>
  <c r="E82" i="14"/>
  <c r="E83" i="14" s="1"/>
  <c r="AH68" i="14"/>
  <c r="D82" i="14"/>
  <c r="D83" i="14" s="1"/>
  <c r="C5" i="14"/>
  <c r="D73" i="14"/>
  <c r="D75" i="14" s="1"/>
  <c r="V214" i="14" s="1"/>
  <c r="B5" i="14"/>
  <c r="C82" i="14"/>
  <c r="C73" i="14"/>
  <c r="C75" i="14" s="1"/>
  <c r="AH52" i="14"/>
  <c r="B82" i="14"/>
  <c r="AI52" i="14"/>
  <c r="B73" i="14"/>
  <c r="B75" i="14" s="1"/>
  <c r="B83" i="14"/>
  <c r="H4" i="14"/>
  <c r="AQ214" i="14"/>
  <c r="Y7" i="14"/>
  <c r="C83" i="14"/>
  <c r="K83" i="14"/>
  <c r="S83" i="14"/>
  <c r="AA83" i="14"/>
  <c r="U214" i="14"/>
  <c r="C7" i="14"/>
  <c r="AC214" i="14"/>
  <c r="K7" i="14"/>
  <c r="AS214" i="14"/>
  <c r="AA7" i="14"/>
  <c r="T7" i="14"/>
  <c r="AE214" i="14"/>
  <c r="M7" i="14"/>
  <c r="AM214" i="14"/>
  <c r="U7" i="14"/>
  <c r="AU214" i="14"/>
  <c r="AP214" i="14"/>
  <c r="X7" i="14"/>
  <c r="V7" i="14"/>
  <c r="AX214" i="14"/>
  <c r="AF7" i="14"/>
  <c r="AJ214" i="14"/>
  <c r="R7" i="14"/>
  <c r="X214" i="14"/>
  <c r="Y214" i="14"/>
  <c r="G7" i="14"/>
  <c r="AO214" i="14"/>
  <c r="W7" i="14"/>
  <c r="AW214" i="14"/>
  <c r="AE7" i="14"/>
  <c r="AG75" i="14"/>
  <c r="AI68" i="14"/>
  <c r="AI76" i="14"/>
  <c r="AG73" i="14"/>
  <c r="AG83" i="14" s="1"/>
  <c r="AH78" i="14"/>
  <c r="AH38" i="14"/>
  <c r="AH79" i="14"/>
  <c r="D192" i="14"/>
  <c r="F103" i="14"/>
  <c r="E192" i="14"/>
  <c r="M83" i="14"/>
  <c r="AC83" i="14"/>
  <c r="D5" i="14"/>
  <c r="T5" i="14"/>
  <c r="F83" i="14"/>
  <c r="N83" i="14"/>
  <c r="V83" i="14"/>
  <c r="AD83" i="14"/>
  <c r="F102" i="14"/>
  <c r="G83" i="14"/>
  <c r="W83" i="14"/>
  <c r="AI38" i="14"/>
  <c r="S211" i="14"/>
  <c r="D211" i="14"/>
  <c r="AH76" i="14"/>
  <c r="E200" i="14"/>
  <c r="F195" i="14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B195" i="14" s="1"/>
  <c r="D200" i="14"/>
  <c r="E196" i="14"/>
  <c r="F196" i="14" s="1"/>
  <c r="G196" i="14" s="1"/>
  <c r="H196" i="14" s="1"/>
  <c r="I196" i="14" s="1"/>
  <c r="J196" i="14" s="1"/>
  <c r="K196" i="14" s="1"/>
  <c r="L196" i="14" s="1"/>
  <c r="M196" i="14" s="1"/>
  <c r="N196" i="14" s="1"/>
  <c r="O196" i="14" s="1"/>
  <c r="P196" i="14" s="1"/>
  <c r="Q196" i="14" s="1"/>
  <c r="R196" i="14" s="1"/>
  <c r="S196" i="14" s="1"/>
  <c r="T196" i="14" s="1"/>
  <c r="U196" i="14" s="1"/>
  <c r="V196" i="14" s="1"/>
  <c r="W196" i="14" s="1"/>
  <c r="X196" i="14" s="1"/>
  <c r="Y196" i="14" s="1"/>
  <c r="Z196" i="14" s="1"/>
  <c r="AA196" i="14" s="1"/>
  <c r="AB196" i="14" s="1"/>
  <c r="AC196" i="14" s="1"/>
  <c r="AD196" i="14" s="1"/>
  <c r="AE196" i="14" s="1"/>
  <c r="AF196" i="14" s="1"/>
  <c r="B196" i="14" s="1"/>
  <c r="C235" i="14"/>
  <c r="E199" i="14"/>
  <c r="G194" i="14"/>
  <c r="AB7" i="14" l="1"/>
  <c r="AV214" i="14"/>
  <c r="Z7" i="14"/>
  <c r="S7" i="14"/>
  <c r="Q7" i="14"/>
  <c r="P7" i="14"/>
  <c r="O7" i="14"/>
  <c r="N7" i="14"/>
  <c r="AI82" i="14"/>
  <c r="AH82" i="14"/>
  <c r="L7" i="14"/>
  <c r="Z214" i="14"/>
  <c r="AB214" i="14"/>
  <c r="C209" i="14"/>
  <c r="B209" i="14"/>
  <c r="I7" i="14"/>
  <c r="E7" i="14"/>
  <c r="D7" i="14"/>
  <c r="AH73" i="14"/>
  <c r="AI73" i="14"/>
  <c r="F192" i="14"/>
  <c r="G102" i="14"/>
  <c r="H194" i="14"/>
  <c r="D235" i="14"/>
  <c r="F199" i="14"/>
  <c r="F93" i="14"/>
  <c r="G103" i="14"/>
  <c r="T214" i="14"/>
  <c r="AI75" i="14"/>
  <c r="AH75" i="14"/>
  <c r="B7" i="14"/>
  <c r="E93" i="14"/>
  <c r="AI83" i="14"/>
  <c r="AH83" i="14"/>
  <c r="A7" i="14" l="1"/>
  <c r="K6" i="14"/>
  <c r="E235" i="14"/>
  <c r="G199" i="14"/>
  <c r="F200" i="14"/>
  <c r="H103" i="14"/>
  <c r="G93" i="14"/>
  <c r="I194" i="14"/>
  <c r="G192" i="14"/>
  <c r="H102" i="14"/>
  <c r="J194" i="14" l="1"/>
  <c r="F235" i="14"/>
  <c r="H199" i="14"/>
  <c r="G200" i="14"/>
  <c r="I103" i="14"/>
  <c r="H93" i="14"/>
  <c r="H192" i="14"/>
  <c r="I102" i="14"/>
  <c r="J103" i="14" l="1"/>
  <c r="I93" i="14"/>
  <c r="I192" i="14"/>
  <c r="J102" i="14"/>
  <c r="K194" i="14"/>
  <c r="I199" i="14"/>
  <c r="G235" i="14"/>
  <c r="H200" i="14"/>
  <c r="J199" i="14" l="1"/>
  <c r="H235" i="14"/>
  <c r="I200" i="14"/>
  <c r="L194" i="14"/>
  <c r="J192" i="14"/>
  <c r="K102" i="14"/>
  <c r="J93" i="14"/>
  <c r="K103" i="14"/>
  <c r="K192" i="14" l="1"/>
  <c r="L102" i="14"/>
  <c r="M194" i="14"/>
  <c r="K93" i="14"/>
  <c r="L103" i="14"/>
  <c r="K199" i="14"/>
  <c r="I235" i="14"/>
  <c r="J200" i="14"/>
  <c r="J235" i="14" l="1"/>
  <c r="L199" i="14"/>
  <c r="K200" i="14"/>
  <c r="L93" i="14"/>
  <c r="M103" i="14"/>
  <c r="L192" i="14"/>
  <c r="M102" i="14"/>
  <c r="N194" i="14"/>
  <c r="O194" i="14" l="1"/>
  <c r="M192" i="14"/>
  <c r="N102" i="14"/>
  <c r="M93" i="14"/>
  <c r="N103" i="14"/>
  <c r="K235" i="14"/>
  <c r="M199" i="14"/>
  <c r="L200" i="14"/>
  <c r="L235" i="14" l="1"/>
  <c r="N199" i="14"/>
  <c r="M200" i="14"/>
  <c r="N192" i="14"/>
  <c r="O102" i="14"/>
  <c r="N93" i="14"/>
  <c r="O103" i="14"/>
  <c r="P194" i="14"/>
  <c r="P103" i="14" l="1"/>
  <c r="O192" i="14"/>
  <c r="P102" i="14"/>
  <c r="M235" i="14"/>
  <c r="O199" i="14"/>
  <c r="N200" i="14"/>
  <c r="Q194" i="14"/>
  <c r="N235" i="14" l="1"/>
  <c r="P199" i="14"/>
  <c r="O200" i="14"/>
  <c r="P192" i="14"/>
  <c r="Q102" i="14"/>
  <c r="O93" i="14"/>
  <c r="R194" i="14"/>
  <c r="Q103" i="14"/>
  <c r="P93" i="14"/>
  <c r="Q192" i="14" l="1"/>
  <c r="R102" i="14"/>
  <c r="S194" i="14"/>
  <c r="Q199" i="14"/>
  <c r="O235" i="14"/>
  <c r="P200" i="14"/>
  <c r="R103" i="14"/>
  <c r="Q93" i="14"/>
  <c r="R93" i="14" l="1"/>
  <c r="S103" i="14"/>
  <c r="R199" i="14"/>
  <c r="P235" i="14"/>
  <c r="Q200" i="14"/>
  <c r="T194" i="14"/>
  <c r="R192" i="14"/>
  <c r="S102" i="14"/>
  <c r="U194" i="14" l="1"/>
  <c r="S199" i="14"/>
  <c r="Q235" i="14"/>
  <c r="R200" i="14"/>
  <c r="S93" i="14"/>
  <c r="T103" i="14"/>
  <c r="S192" i="14"/>
  <c r="T102" i="14"/>
  <c r="U103" i="14" l="1"/>
  <c r="T199" i="14"/>
  <c r="R235" i="14"/>
  <c r="S200" i="14"/>
  <c r="T192" i="14"/>
  <c r="U102" i="14"/>
  <c r="V194" i="14"/>
  <c r="W194" i="14" l="1"/>
  <c r="S235" i="14"/>
  <c r="U199" i="14"/>
  <c r="T200" i="14"/>
  <c r="U93" i="14"/>
  <c r="V103" i="14"/>
  <c r="U192" i="14"/>
  <c r="V102" i="14"/>
  <c r="T93" i="14"/>
  <c r="W103" i="14" l="1"/>
  <c r="T235" i="14"/>
  <c r="V199" i="14"/>
  <c r="U200" i="14"/>
  <c r="V192" i="14"/>
  <c r="W102" i="14"/>
  <c r="X194" i="14"/>
  <c r="Y194" i="14" l="1"/>
  <c r="W192" i="14"/>
  <c r="X102" i="14"/>
  <c r="U235" i="14"/>
  <c r="W199" i="14"/>
  <c r="V200" i="14"/>
  <c r="X103" i="14"/>
  <c r="V93" i="14"/>
  <c r="Y103" i="14" l="1"/>
  <c r="X93" i="14"/>
  <c r="V235" i="14"/>
  <c r="X199" i="14"/>
  <c r="W200" i="14"/>
  <c r="Z194" i="14"/>
  <c r="X192" i="14"/>
  <c r="Y102" i="14"/>
  <c r="W93" i="14"/>
  <c r="AA194" i="14" l="1"/>
  <c r="Y199" i="14"/>
  <c r="W235" i="14"/>
  <c r="X200" i="14"/>
  <c r="Y192" i="14"/>
  <c r="Z102" i="14"/>
  <c r="Z103" i="14"/>
  <c r="Y93" i="14"/>
  <c r="AA103" i="14" l="1"/>
  <c r="Z192" i="14"/>
  <c r="AA102" i="14"/>
  <c r="X235" i="14"/>
  <c r="Z199" i="14"/>
  <c r="Y200" i="14"/>
  <c r="AB194" i="14"/>
  <c r="AB103" i="14" l="1"/>
  <c r="AA199" i="14"/>
  <c r="Y235" i="14"/>
  <c r="Z200" i="14"/>
  <c r="AA192" i="14"/>
  <c r="AB102" i="14"/>
  <c r="AC194" i="14"/>
  <c r="Z93" i="14"/>
  <c r="AB199" i="14" l="1"/>
  <c r="Z235" i="14"/>
  <c r="AA200" i="14"/>
  <c r="AB192" i="14"/>
  <c r="AC102" i="14"/>
  <c r="AB93" i="14"/>
  <c r="AC103" i="14"/>
  <c r="AD194" i="14"/>
  <c r="AA93" i="14"/>
  <c r="AC192" i="14" l="1"/>
  <c r="AD102" i="14"/>
  <c r="AD103" i="14"/>
  <c r="AC93" i="14"/>
  <c r="AE194" i="14"/>
  <c r="AC199" i="14"/>
  <c r="AA235" i="14"/>
  <c r="AB200" i="14"/>
  <c r="AB235" i="14" l="1"/>
  <c r="AD199" i="14"/>
  <c r="AC200" i="14"/>
  <c r="AF194" i="14"/>
  <c r="AD93" i="14"/>
  <c r="AE103" i="14"/>
  <c r="AD192" i="14"/>
  <c r="AE102" i="14"/>
  <c r="AF103" i="14" l="1"/>
  <c r="B194" i="14"/>
  <c r="AC235" i="14"/>
  <c r="AE199" i="14"/>
  <c r="AD200" i="14"/>
  <c r="AE192" i="14"/>
  <c r="AF102" i="14"/>
  <c r="AD235" i="14" l="1"/>
  <c r="AF199" i="14"/>
  <c r="AE200" i="14"/>
  <c r="AE93" i="14"/>
  <c r="AF192" i="14"/>
  <c r="B102" i="14"/>
  <c r="B192" i="14" s="1"/>
  <c r="AF93" i="14"/>
  <c r="B103" i="14"/>
  <c r="AI93" i="14" l="1"/>
  <c r="AH93" i="14"/>
  <c r="AE235" i="14"/>
  <c r="B199" i="14"/>
  <c r="AF200" i="14"/>
  <c r="AF235" i="14" l="1"/>
  <c r="B200" i="14"/>
  <c r="AC37" i="13" l="1"/>
  <c r="AB37" i="13"/>
  <c r="AA95" i="13"/>
  <c r="AA37" i="13"/>
  <c r="Z95" i="13"/>
  <c r="Z37" i="13"/>
  <c r="X95" i="13"/>
  <c r="Y95" i="13"/>
  <c r="X37" i="13"/>
  <c r="Y37" i="13"/>
  <c r="W37" i="13"/>
  <c r="W95" i="13"/>
  <c r="V95" i="13"/>
  <c r="V37" i="13"/>
  <c r="U95" i="13"/>
  <c r="U37" i="13"/>
  <c r="T95" i="13"/>
  <c r="T37" i="13"/>
  <c r="S37" i="13"/>
  <c r="S95" i="13"/>
  <c r="R95" i="13"/>
  <c r="R37" i="13"/>
  <c r="Q95" i="13"/>
  <c r="Q37" i="13"/>
  <c r="P95" i="13"/>
  <c r="P37" i="13"/>
  <c r="O95" i="13"/>
  <c r="N95" i="13"/>
  <c r="M95" i="13"/>
  <c r="L37" i="13"/>
  <c r="I37" i="13"/>
  <c r="H37" i="13"/>
  <c r="G37" i="13"/>
  <c r="F37" i="13"/>
  <c r="E37" i="13"/>
  <c r="D37" i="13"/>
  <c r="C37" i="13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B235" i="13"/>
  <c r="S210" i="13"/>
  <c r="AG200" i="13"/>
  <c r="C200" i="13"/>
  <c r="D199" i="13"/>
  <c r="C235" i="13" s="1"/>
  <c r="G198" i="13"/>
  <c r="H198" i="13" s="1"/>
  <c r="I198" i="13" s="1"/>
  <c r="J198" i="13" s="1"/>
  <c r="K198" i="13" s="1"/>
  <c r="L198" i="13" s="1"/>
  <c r="M198" i="13" s="1"/>
  <c r="N198" i="13" s="1"/>
  <c r="O198" i="13" s="1"/>
  <c r="P198" i="13" s="1"/>
  <c r="Q198" i="13" s="1"/>
  <c r="R198" i="13" s="1"/>
  <c r="S198" i="13" s="1"/>
  <c r="T198" i="13" s="1"/>
  <c r="U198" i="13" s="1"/>
  <c r="V198" i="13" s="1"/>
  <c r="W198" i="13" s="1"/>
  <c r="X198" i="13" s="1"/>
  <c r="Y198" i="13" s="1"/>
  <c r="Z198" i="13" s="1"/>
  <c r="AA198" i="13" s="1"/>
  <c r="AB198" i="13" s="1"/>
  <c r="AC198" i="13" s="1"/>
  <c r="AD198" i="13" s="1"/>
  <c r="AE198" i="13" s="1"/>
  <c r="AF198" i="13" s="1"/>
  <c r="B198" i="13" s="1"/>
  <c r="D198" i="13"/>
  <c r="E198" i="13" s="1"/>
  <c r="F198" i="13" s="1"/>
  <c r="E197" i="13"/>
  <c r="F197" i="13" s="1"/>
  <c r="G197" i="13" s="1"/>
  <c r="H197" i="13" s="1"/>
  <c r="I197" i="13" s="1"/>
  <c r="J197" i="13" s="1"/>
  <c r="K197" i="13" s="1"/>
  <c r="L197" i="13" s="1"/>
  <c r="M197" i="13" s="1"/>
  <c r="N197" i="13" s="1"/>
  <c r="O197" i="13" s="1"/>
  <c r="P197" i="13" s="1"/>
  <c r="Q197" i="13" s="1"/>
  <c r="R197" i="13" s="1"/>
  <c r="S197" i="13" s="1"/>
  <c r="T197" i="13" s="1"/>
  <c r="U197" i="13" s="1"/>
  <c r="V197" i="13" s="1"/>
  <c r="W197" i="13" s="1"/>
  <c r="X197" i="13" s="1"/>
  <c r="Y197" i="13" s="1"/>
  <c r="Z197" i="13" s="1"/>
  <c r="AA197" i="13" s="1"/>
  <c r="AB197" i="13" s="1"/>
  <c r="AC197" i="13" s="1"/>
  <c r="AD197" i="13" s="1"/>
  <c r="AE197" i="13" s="1"/>
  <c r="AF197" i="13" s="1"/>
  <c r="B197" i="13" s="1"/>
  <c r="D197" i="13"/>
  <c r="E196" i="13"/>
  <c r="F196" i="13" s="1"/>
  <c r="G196" i="13" s="1"/>
  <c r="H196" i="13" s="1"/>
  <c r="I196" i="13" s="1"/>
  <c r="J196" i="13" s="1"/>
  <c r="K196" i="13" s="1"/>
  <c r="L196" i="13" s="1"/>
  <c r="M196" i="13" s="1"/>
  <c r="N196" i="13" s="1"/>
  <c r="O196" i="13" s="1"/>
  <c r="P196" i="13" s="1"/>
  <c r="Q196" i="13" s="1"/>
  <c r="R196" i="13" s="1"/>
  <c r="S196" i="13" s="1"/>
  <c r="T196" i="13" s="1"/>
  <c r="U196" i="13" s="1"/>
  <c r="V196" i="13" s="1"/>
  <c r="W196" i="13" s="1"/>
  <c r="X196" i="13" s="1"/>
  <c r="Y196" i="13" s="1"/>
  <c r="Z196" i="13" s="1"/>
  <c r="AA196" i="13" s="1"/>
  <c r="AB196" i="13" s="1"/>
  <c r="AC196" i="13" s="1"/>
  <c r="AD196" i="13" s="1"/>
  <c r="AE196" i="13" s="1"/>
  <c r="AF196" i="13" s="1"/>
  <c r="B196" i="13" s="1"/>
  <c r="D196" i="13"/>
  <c r="D200" i="13" s="1"/>
  <c r="D195" i="13"/>
  <c r="E195" i="13" s="1"/>
  <c r="F195" i="13" s="1"/>
  <c r="G195" i="13" s="1"/>
  <c r="H195" i="13" s="1"/>
  <c r="I195" i="13" s="1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B195" i="13" s="1"/>
  <c r="D194" i="13"/>
  <c r="E194" i="13" s="1"/>
  <c r="F194" i="13" s="1"/>
  <c r="AG192" i="13"/>
  <c r="C192" i="13"/>
  <c r="E191" i="13"/>
  <c r="F191" i="13" s="1"/>
  <c r="G191" i="13" s="1"/>
  <c r="H191" i="13" s="1"/>
  <c r="I191" i="13" s="1"/>
  <c r="J191" i="13" s="1"/>
  <c r="K191" i="13" s="1"/>
  <c r="L191" i="13" s="1"/>
  <c r="M191" i="13" s="1"/>
  <c r="N191" i="13" s="1"/>
  <c r="O191" i="13" s="1"/>
  <c r="P191" i="13" s="1"/>
  <c r="Q191" i="13" s="1"/>
  <c r="R191" i="13" s="1"/>
  <c r="S191" i="13" s="1"/>
  <c r="T191" i="13" s="1"/>
  <c r="U191" i="13" s="1"/>
  <c r="V191" i="13" s="1"/>
  <c r="W191" i="13" s="1"/>
  <c r="X191" i="13" s="1"/>
  <c r="Y191" i="13" s="1"/>
  <c r="Z191" i="13" s="1"/>
  <c r="AA191" i="13" s="1"/>
  <c r="AB191" i="13" s="1"/>
  <c r="AC191" i="13" s="1"/>
  <c r="AD191" i="13" s="1"/>
  <c r="AE191" i="13" s="1"/>
  <c r="AF191" i="13" s="1"/>
  <c r="B191" i="13" s="1"/>
  <c r="D191" i="13"/>
  <c r="E190" i="13"/>
  <c r="F190" i="13" s="1"/>
  <c r="G190" i="13" s="1"/>
  <c r="H190" i="13" s="1"/>
  <c r="I190" i="13" s="1"/>
  <c r="J190" i="13" s="1"/>
  <c r="K190" i="13" s="1"/>
  <c r="L190" i="13" s="1"/>
  <c r="M190" i="13" s="1"/>
  <c r="N190" i="13" s="1"/>
  <c r="O190" i="13" s="1"/>
  <c r="P190" i="13" s="1"/>
  <c r="Q190" i="13" s="1"/>
  <c r="R190" i="13" s="1"/>
  <c r="S190" i="13" s="1"/>
  <c r="T190" i="13" s="1"/>
  <c r="U190" i="13" s="1"/>
  <c r="V190" i="13" s="1"/>
  <c r="W190" i="13" s="1"/>
  <c r="X190" i="13" s="1"/>
  <c r="Y190" i="13" s="1"/>
  <c r="Z190" i="13" s="1"/>
  <c r="AA190" i="13" s="1"/>
  <c r="AB190" i="13" s="1"/>
  <c r="AC190" i="13" s="1"/>
  <c r="AD190" i="13" s="1"/>
  <c r="AE190" i="13" s="1"/>
  <c r="AF190" i="13" s="1"/>
  <c r="B190" i="13" s="1"/>
  <c r="D190" i="13"/>
  <c r="D189" i="13"/>
  <c r="E189" i="13" s="1"/>
  <c r="F189" i="13" s="1"/>
  <c r="G189" i="13" s="1"/>
  <c r="H189" i="13" s="1"/>
  <c r="I189" i="13" s="1"/>
  <c r="J189" i="13" s="1"/>
  <c r="K189" i="13" s="1"/>
  <c r="L189" i="13" s="1"/>
  <c r="M189" i="13" s="1"/>
  <c r="N189" i="13" s="1"/>
  <c r="O189" i="13" s="1"/>
  <c r="P189" i="13" s="1"/>
  <c r="Q189" i="13" s="1"/>
  <c r="R189" i="13" s="1"/>
  <c r="S189" i="13" s="1"/>
  <c r="T189" i="13" s="1"/>
  <c r="U189" i="13" s="1"/>
  <c r="V189" i="13" s="1"/>
  <c r="W189" i="13" s="1"/>
  <c r="X189" i="13" s="1"/>
  <c r="Y189" i="13" s="1"/>
  <c r="Z189" i="13" s="1"/>
  <c r="AA189" i="13" s="1"/>
  <c r="AB189" i="13" s="1"/>
  <c r="AC189" i="13" s="1"/>
  <c r="AD189" i="13" s="1"/>
  <c r="AE189" i="13" s="1"/>
  <c r="AF189" i="13" s="1"/>
  <c r="B189" i="13" s="1"/>
  <c r="D188" i="13"/>
  <c r="E188" i="13" s="1"/>
  <c r="F188" i="13" s="1"/>
  <c r="G188" i="13" s="1"/>
  <c r="H188" i="13" s="1"/>
  <c r="I188" i="13" s="1"/>
  <c r="J188" i="13" s="1"/>
  <c r="K188" i="13" s="1"/>
  <c r="L188" i="13" s="1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B188" i="13" s="1"/>
  <c r="U187" i="13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B187" i="13" s="1"/>
  <c r="J187" i="13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E187" i="13"/>
  <c r="F187" i="13" s="1"/>
  <c r="G187" i="13" s="1"/>
  <c r="H187" i="13" s="1"/>
  <c r="I187" i="13" s="1"/>
  <c r="D187" i="13"/>
  <c r="G186" i="13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W186" i="13" s="1"/>
  <c r="X186" i="13" s="1"/>
  <c r="Y186" i="13" s="1"/>
  <c r="Z186" i="13" s="1"/>
  <c r="AA186" i="13" s="1"/>
  <c r="AB186" i="13" s="1"/>
  <c r="AC186" i="13" s="1"/>
  <c r="AD186" i="13" s="1"/>
  <c r="AE186" i="13" s="1"/>
  <c r="AF186" i="13" s="1"/>
  <c r="B186" i="13" s="1"/>
  <c r="D186" i="13"/>
  <c r="E186" i="13" s="1"/>
  <c r="F186" i="13" s="1"/>
  <c r="F185" i="13"/>
  <c r="G185" i="13" s="1"/>
  <c r="H185" i="13" s="1"/>
  <c r="I185" i="13" s="1"/>
  <c r="J185" i="13" s="1"/>
  <c r="K185" i="13" s="1"/>
  <c r="L185" i="13" s="1"/>
  <c r="M185" i="13" s="1"/>
  <c r="N185" i="13" s="1"/>
  <c r="O185" i="13" s="1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B185" i="13" s="1"/>
  <c r="D185" i="13"/>
  <c r="E185" i="13" s="1"/>
  <c r="R184" i="13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B184" i="13" s="1"/>
  <c r="I184" i="13"/>
  <c r="J184" i="13" s="1"/>
  <c r="K184" i="13" s="1"/>
  <c r="L184" i="13" s="1"/>
  <c r="M184" i="13" s="1"/>
  <c r="N184" i="13" s="1"/>
  <c r="O184" i="13" s="1"/>
  <c r="P184" i="13" s="1"/>
  <c r="Q184" i="13" s="1"/>
  <c r="D184" i="13"/>
  <c r="E184" i="13" s="1"/>
  <c r="F184" i="13" s="1"/>
  <c r="G184" i="13" s="1"/>
  <c r="H184" i="13" s="1"/>
  <c r="N183" i="13"/>
  <c r="O183" i="13" s="1"/>
  <c r="P183" i="13" s="1"/>
  <c r="Q183" i="13" s="1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B183" i="13" s="1"/>
  <c r="E183" i="13"/>
  <c r="F183" i="13" s="1"/>
  <c r="G183" i="13" s="1"/>
  <c r="H183" i="13" s="1"/>
  <c r="I183" i="13" s="1"/>
  <c r="J183" i="13" s="1"/>
  <c r="K183" i="13" s="1"/>
  <c r="L183" i="13" s="1"/>
  <c r="M183" i="13" s="1"/>
  <c r="D183" i="13"/>
  <c r="Q182" i="13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B182" i="13" s="1"/>
  <c r="H182" i="13"/>
  <c r="I182" i="13" s="1"/>
  <c r="J182" i="13" s="1"/>
  <c r="K182" i="13" s="1"/>
  <c r="L182" i="13" s="1"/>
  <c r="M182" i="13" s="1"/>
  <c r="N182" i="13" s="1"/>
  <c r="O182" i="13" s="1"/>
  <c r="P182" i="13" s="1"/>
  <c r="F182" i="13"/>
  <c r="G182" i="13" s="1"/>
  <c r="D182" i="13"/>
  <c r="E182" i="13" s="1"/>
  <c r="K181" i="13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B181" i="13" s="1"/>
  <c r="D181" i="13"/>
  <c r="E181" i="13" s="1"/>
  <c r="F181" i="13" s="1"/>
  <c r="G181" i="13" s="1"/>
  <c r="H181" i="13" s="1"/>
  <c r="I181" i="13" s="1"/>
  <c r="J181" i="13" s="1"/>
  <c r="G180" i="13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B180" i="13" s="1"/>
  <c r="D180" i="13"/>
  <c r="E180" i="13" s="1"/>
  <c r="F180" i="13" s="1"/>
  <c r="N179" i="13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B179" i="13" s="1"/>
  <c r="E179" i="13"/>
  <c r="F179" i="13" s="1"/>
  <c r="G179" i="13" s="1"/>
  <c r="H179" i="13" s="1"/>
  <c r="I179" i="13" s="1"/>
  <c r="J179" i="13" s="1"/>
  <c r="K179" i="13" s="1"/>
  <c r="L179" i="13" s="1"/>
  <c r="M179" i="13" s="1"/>
  <c r="D179" i="13"/>
  <c r="D177" i="13"/>
  <c r="E177" i="13" s="1"/>
  <c r="F177" i="13" s="1"/>
  <c r="G177" i="13" s="1"/>
  <c r="H177" i="13" s="1"/>
  <c r="I177" i="13" s="1"/>
  <c r="J177" i="13" s="1"/>
  <c r="K177" i="13" s="1"/>
  <c r="L177" i="13" s="1"/>
  <c r="M177" i="13" s="1"/>
  <c r="N177" i="13" s="1"/>
  <c r="O177" i="13" s="1"/>
  <c r="P177" i="13" s="1"/>
  <c r="Q177" i="13" s="1"/>
  <c r="R177" i="13" s="1"/>
  <c r="S177" i="13" s="1"/>
  <c r="T177" i="13" s="1"/>
  <c r="U177" i="13" s="1"/>
  <c r="V177" i="13" s="1"/>
  <c r="W177" i="13" s="1"/>
  <c r="X177" i="13" s="1"/>
  <c r="Y177" i="13" s="1"/>
  <c r="Z177" i="13" s="1"/>
  <c r="AA177" i="13" s="1"/>
  <c r="AB177" i="13" s="1"/>
  <c r="AC177" i="13" s="1"/>
  <c r="AD177" i="13" s="1"/>
  <c r="AE177" i="13" s="1"/>
  <c r="AF177" i="13" s="1"/>
  <c r="B177" i="13" s="1"/>
  <c r="D176" i="13"/>
  <c r="E176" i="13" s="1"/>
  <c r="F176" i="13" s="1"/>
  <c r="G176" i="13" s="1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AF176" i="13" s="1"/>
  <c r="B176" i="13" s="1"/>
  <c r="AC175" i="13"/>
  <c r="AD175" i="13" s="1"/>
  <c r="AE175" i="13" s="1"/>
  <c r="AF175" i="13" s="1"/>
  <c r="B175" i="13" s="1"/>
  <c r="D175" i="13"/>
  <c r="E175" i="13" s="1"/>
  <c r="F175" i="13" s="1"/>
  <c r="G175" i="13" s="1"/>
  <c r="H175" i="13" s="1"/>
  <c r="I175" i="13" s="1"/>
  <c r="J175" i="13" s="1"/>
  <c r="K175" i="13" s="1"/>
  <c r="L175" i="13" s="1"/>
  <c r="M175" i="13" s="1"/>
  <c r="N175" i="13" s="1"/>
  <c r="O175" i="13" s="1"/>
  <c r="P175" i="13" s="1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J174" i="13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B174" i="13" s="1"/>
  <c r="G174" i="13"/>
  <c r="H174" i="13" s="1"/>
  <c r="I174" i="13" s="1"/>
  <c r="E174" i="13"/>
  <c r="F174" i="13" s="1"/>
  <c r="D174" i="13"/>
  <c r="K173" i="13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B173" i="13" s="1"/>
  <c r="G173" i="13"/>
  <c r="H173" i="13" s="1"/>
  <c r="I173" i="13" s="1"/>
  <c r="J173" i="13" s="1"/>
  <c r="E173" i="13"/>
  <c r="F173" i="13" s="1"/>
  <c r="D173" i="13"/>
  <c r="F172" i="13"/>
  <c r="G172" i="13" s="1"/>
  <c r="H172" i="13" s="1"/>
  <c r="I172" i="13" s="1"/>
  <c r="J172" i="13" s="1"/>
  <c r="K172" i="13" s="1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B172" i="13" s="1"/>
  <c r="E172" i="13"/>
  <c r="D172" i="13"/>
  <c r="K171" i="13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B171" i="13" s="1"/>
  <c r="D171" i="13"/>
  <c r="E171" i="13" s="1"/>
  <c r="F171" i="13" s="1"/>
  <c r="G171" i="13" s="1"/>
  <c r="H171" i="13" s="1"/>
  <c r="I171" i="13" s="1"/>
  <c r="J171" i="13" s="1"/>
  <c r="R170" i="13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B170" i="13" s="1"/>
  <c r="J170" i="13"/>
  <c r="K170" i="13" s="1"/>
  <c r="L170" i="13" s="1"/>
  <c r="M170" i="13" s="1"/>
  <c r="N170" i="13" s="1"/>
  <c r="O170" i="13" s="1"/>
  <c r="P170" i="13" s="1"/>
  <c r="Q170" i="13" s="1"/>
  <c r="E170" i="13"/>
  <c r="F170" i="13" s="1"/>
  <c r="G170" i="13" s="1"/>
  <c r="H170" i="13" s="1"/>
  <c r="I170" i="13" s="1"/>
  <c r="D170" i="13"/>
  <c r="F168" i="13"/>
  <c r="G168" i="13" s="1"/>
  <c r="H168" i="13" s="1"/>
  <c r="I168" i="13" s="1"/>
  <c r="J168" i="13" s="1"/>
  <c r="K168" i="13" s="1"/>
  <c r="L168" i="13" s="1"/>
  <c r="M168" i="13" s="1"/>
  <c r="N168" i="13" s="1"/>
  <c r="O168" i="13" s="1"/>
  <c r="P168" i="13" s="1"/>
  <c r="Q168" i="13" s="1"/>
  <c r="R168" i="13" s="1"/>
  <c r="S168" i="13" s="1"/>
  <c r="T168" i="13" s="1"/>
  <c r="U168" i="13" s="1"/>
  <c r="V168" i="13" s="1"/>
  <c r="W168" i="13" s="1"/>
  <c r="X168" i="13" s="1"/>
  <c r="Y168" i="13" s="1"/>
  <c r="Z168" i="13" s="1"/>
  <c r="AA168" i="13" s="1"/>
  <c r="AB168" i="13" s="1"/>
  <c r="AC168" i="13" s="1"/>
  <c r="AD168" i="13" s="1"/>
  <c r="AE168" i="13" s="1"/>
  <c r="AF168" i="13" s="1"/>
  <c r="B168" i="13" s="1"/>
  <c r="E168" i="13"/>
  <c r="D168" i="13"/>
  <c r="G167" i="13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B167" i="13" s="1"/>
  <c r="E167" i="13"/>
  <c r="F167" i="13" s="1"/>
  <c r="D167" i="13"/>
  <c r="G166" i="13"/>
  <c r="H166" i="13" s="1"/>
  <c r="I166" i="13" s="1"/>
  <c r="J166" i="13" s="1"/>
  <c r="K166" i="13" s="1"/>
  <c r="L166" i="13" s="1"/>
  <c r="M166" i="13" s="1"/>
  <c r="N166" i="13" s="1"/>
  <c r="O166" i="13" s="1"/>
  <c r="P166" i="13" s="1"/>
  <c r="Q166" i="13" s="1"/>
  <c r="R166" i="13" s="1"/>
  <c r="S166" i="13" s="1"/>
  <c r="T166" i="13" s="1"/>
  <c r="U166" i="13" s="1"/>
  <c r="V166" i="13" s="1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B166" i="13" s="1"/>
  <c r="E166" i="13"/>
  <c r="F166" i="13" s="1"/>
  <c r="D166" i="13"/>
  <c r="J165" i="13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B165" i="13" s="1"/>
  <c r="E165" i="13"/>
  <c r="F165" i="13" s="1"/>
  <c r="G165" i="13" s="1"/>
  <c r="H165" i="13" s="1"/>
  <c r="I165" i="13" s="1"/>
  <c r="D165" i="13"/>
  <c r="G164" i="13"/>
  <c r="H164" i="13" s="1"/>
  <c r="I164" i="13" s="1"/>
  <c r="J164" i="13" s="1"/>
  <c r="K164" i="13" s="1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B164" i="13" s="1"/>
  <c r="E164" i="13"/>
  <c r="F164" i="13" s="1"/>
  <c r="D164" i="13"/>
  <c r="I163" i="13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B163" i="13" s="1"/>
  <c r="E163" i="13"/>
  <c r="F163" i="13" s="1"/>
  <c r="G163" i="13" s="1"/>
  <c r="H163" i="13" s="1"/>
  <c r="D163" i="13"/>
  <c r="I162" i="13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B162" i="13" s="1"/>
  <c r="E162" i="13"/>
  <c r="F162" i="13" s="1"/>
  <c r="G162" i="13" s="1"/>
  <c r="H162" i="13" s="1"/>
  <c r="D162" i="13"/>
  <c r="O161" i="13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B161" i="13" s="1"/>
  <c r="E161" i="13"/>
  <c r="F161" i="13" s="1"/>
  <c r="G161" i="13" s="1"/>
  <c r="H161" i="13" s="1"/>
  <c r="I161" i="13" s="1"/>
  <c r="J161" i="13" s="1"/>
  <c r="K161" i="13" s="1"/>
  <c r="L161" i="13" s="1"/>
  <c r="M161" i="13" s="1"/>
  <c r="N161" i="13" s="1"/>
  <c r="D161" i="13"/>
  <c r="AA160" i="13"/>
  <c r="AB160" i="13" s="1"/>
  <c r="AC160" i="13" s="1"/>
  <c r="AD160" i="13" s="1"/>
  <c r="AE160" i="13" s="1"/>
  <c r="AF160" i="13" s="1"/>
  <c r="B160" i="13" s="1"/>
  <c r="I160" i="13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E160" i="13"/>
  <c r="F160" i="13" s="1"/>
  <c r="G160" i="13" s="1"/>
  <c r="H160" i="13" s="1"/>
  <c r="D160" i="13"/>
  <c r="E159" i="13"/>
  <c r="F159" i="13" s="1"/>
  <c r="G159" i="13" s="1"/>
  <c r="H159" i="13" s="1"/>
  <c r="I159" i="13" s="1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B159" i="13" s="1"/>
  <c r="D159" i="13"/>
  <c r="E158" i="13"/>
  <c r="F158" i="13" s="1"/>
  <c r="G158" i="13" s="1"/>
  <c r="H158" i="13" s="1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B158" i="13" s="1"/>
  <c r="D158" i="13"/>
  <c r="E157" i="13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B157" i="13" s="1"/>
  <c r="D157" i="13"/>
  <c r="S156" i="13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B156" i="13" s="1"/>
  <c r="O156" i="13"/>
  <c r="P156" i="13" s="1"/>
  <c r="Q156" i="13" s="1"/>
  <c r="R156" i="13" s="1"/>
  <c r="M156" i="13"/>
  <c r="N156" i="13" s="1"/>
  <c r="E156" i="13"/>
  <c r="F156" i="13" s="1"/>
  <c r="G156" i="13" s="1"/>
  <c r="H156" i="13" s="1"/>
  <c r="I156" i="13" s="1"/>
  <c r="J156" i="13" s="1"/>
  <c r="K156" i="13" s="1"/>
  <c r="L156" i="13" s="1"/>
  <c r="D156" i="13"/>
  <c r="J154" i="13"/>
  <c r="K154" i="13" s="1"/>
  <c r="L154" i="13" s="1"/>
  <c r="M154" i="13" s="1"/>
  <c r="N154" i="13" s="1"/>
  <c r="O154" i="13" s="1"/>
  <c r="P154" i="13" s="1"/>
  <c r="Q154" i="13" s="1"/>
  <c r="R154" i="13" s="1"/>
  <c r="S154" i="13" s="1"/>
  <c r="T154" i="13" s="1"/>
  <c r="U154" i="13" s="1"/>
  <c r="V154" i="13" s="1"/>
  <c r="W154" i="13" s="1"/>
  <c r="X154" i="13" s="1"/>
  <c r="Y154" i="13" s="1"/>
  <c r="Z154" i="13" s="1"/>
  <c r="AA154" i="13" s="1"/>
  <c r="AB154" i="13" s="1"/>
  <c r="AC154" i="13" s="1"/>
  <c r="AD154" i="13" s="1"/>
  <c r="AE154" i="13" s="1"/>
  <c r="AF154" i="13" s="1"/>
  <c r="B154" i="13" s="1"/>
  <c r="F154" i="13"/>
  <c r="G154" i="13" s="1"/>
  <c r="H154" i="13" s="1"/>
  <c r="I154" i="13" s="1"/>
  <c r="E154" i="13"/>
  <c r="D154" i="13"/>
  <c r="E153" i="13"/>
  <c r="F153" i="13" s="1"/>
  <c r="G153" i="13" s="1"/>
  <c r="H153" i="13" s="1"/>
  <c r="I153" i="13" s="1"/>
  <c r="J153" i="13" s="1"/>
  <c r="K153" i="13" s="1"/>
  <c r="L153" i="13" s="1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B153" i="13" s="1"/>
  <c r="D153" i="13"/>
  <c r="E152" i="13"/>
  <c r="F152" i="13" s="1"/>
  <c r="G152" i="13" s="1"/>
  <c r="H152" i="13" s="1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B152" i="13" s="1"/>
  <c r="D152" i="13"/>
  <c r="D151" i="13"/>
  <c r="E151" i="13" s="1"/>
  <c r="F151" i="13" s="1"/>
  <c r="G151" i="13" s="1"/>
  <c r="H151" i="13" s="1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B151" i="13" s="1"/>
  <c r="H149" i="13"/>
  <c r="I149" i="13" s="1"/>
  <c r="J149" i="13" s="1"/>
  <c r="K149" i="13" s="1"/>
  <c r="L149" i="13" s="1"/>
  <c r="M149" i="13" s="1"/>
  <c r="N149" i="13" s="1"/>
  <c r="O149" i="13" s="1"/>
  <c r="P149" i="13" s="1"/>
  <c r="Q149" i="13" s="1"/>
  <c r="R149" i="13" s="1"/>
  <c r="S149" i="13" s="1"/>
  <c r="T149" i="13" s="1"/>
  <c r="U149" i="13" s="1"/>
  <c r="V149" i="13" s="1"/>
  <c r="W149" i="13" s="1"/>
  <c r="X149" i="13" s="1"/>
  <c r="Y149" i="13" s="1"/>
  <c r="Z149" i="13" s="1"/>
  <c r="AA149" i="13" s="1"/>
  <c r="AB149" i="13" s="1"/>
  <c r="AC149" i="13" s="1"/>
  <c r="AD149" i="13" s="1"/>
  <c r="AE149" i="13" s="1"/>
  <c r="AF149" i="13" s="1"/>
  <c r="B149" i="13" s="1"/>
  <c r="E149" i="13"/>
  <c r="F149" i="13" s="1"/>
  <c r="G149" i="13" s="1"/>
  <c r="D149" i="13"/>
  <c r="H148" i="13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B148" i="13" s="1"/>
  <c r="F148" i="13"/>
  <c r="G148" i="13" s="1"/>
  <c r="E148" i="13"/>
  <c r="D148" i="13"/>
  <c r="Q146" i="13"/>
  <c r="R146" i="13" s="1"/>
  <c r="S146" i="13" s="1"/>
  <c r="T146" i="13" s="1"/>
  <c r="U146" i="13" s="1"/>
  <c r="V146" i="13" s="1"/>
  <c r="W146" i="13" s="1"/>
  <c r="X146" i="13" s="1"/>
  <c r="Y146" i="13" s="1"/>
  <c r="Z146" i="13" s="1"/>
  <c r="AA146" i="13" s="1"/>
  <c r="AB146" i="13" s="1"/>
  <c r="AC146" i="13" s="1"/>
  <c r="AD146" i="13" s="1"/>
  <c r="AE146" i="13" s="1"/>
  <c r="AF146" i="13" s="1"/>
  <c r="B146" i="13" s="1"/>
  <c r="I146" i="13"/>
  <c r="J146" i="13" s="1"/>
  <c r="K146" i="13" s="1"/>
  <c r="L146" i="13" s="1"/>
  <c r="M146" i="13" s="1"/>
  <c r="N146" i="13" s="1"/>
  <c r="O146" i="13" s="1"/>
  <c r="P146" i="13" s="1"/>
  <c r="D146" i="13"/>
  <c r="E146" i="13" s="1"/>
  <c r="F146" i="13" s="1"/>
  <c r="G146" i="13" s="1"/>
  <c r="H146" i="13" s="1"/>
  <c r="O145" i="13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B145" i="13" s="1"/>
  <c r="G145" i="13"/>
  <c r="H145" i="13" s="1"/>
  <c r="I145" i="13" s="1"/>
  <c r="J145" i="13" s="1"/>
  <c r="K145" i="13" s="1"/>
  <c r="L145" i="13" s="1"/>
  <c r="M145" i="13" s="1"/>
  <c r="N145" i="13" s="1"/>
  <c r="D145" i="13"/>
  <c r="E145" i="13" s="1"/>
  <c r="F145" i="13" s="1"/>
  <c r="P144" i="13"/>
  <c r="Q144" i="13" s="1"/>
  <c r="R144" i="13" s="1"/>
  <c r="S144" i="13" s="1"/>
  <c r="T144" i="13" s="1"/>
  <c r="U144" i="13" s="1"/>
  <c r="V144" i="13" s="1"/>
  <c r="W144" i="13" s="1"/>
  <c r="X144" i="13" s="1"/>
  <c r="Y144" i="13" s="1"/>
  <c r="Z144" i="13" s="1"/>
  <c r="AA144" i="13" s="1"/>
  <c r="AB144" i="13" s="1"/>
  <c r="AC144" i="13" s="1"/>
  <c r="AD144" i="13" s="1"/>
  <c r="AE144" i="13" s="1"/>
  <c r="AF144" i="13" s="1"/>
  <c r="B144" i="13" s="1"/>
  <c r="H144" i="13"/>
  <c r="I144" i="13" s="1"/>
  <c r="J144" i="13" s="1"/>
  <c r="K144" i="13" s="1"/>
  <c r="L144" i="13" s="1"/>
  <c r="M144" i="13" s="1"/>
  <c r="N144" i="13" s="1"/>
  <c r="O144" i="13" s="1"/>
  <c r="E144" i="13"/>
  <c r="F144" i="13" s="1"/>
  <c r="G144" i="13" s="1"/>
  <c r="D144" i="13"/>
  <c r="F143" i="13"/>
  <c r="G143" i="13" s="1"/>
  <c r="H143" i="13" s="1"/>
  <c r="I143" i="13" s="1"/>
  <c r="J143" i="13" s="1"/>
  <c r="K143" i="13" s="1"/>
  <c r="L143" i="13" s="1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B143" i="13" s="1"/>
  <c r="E143" i="13"/>
  <c r="D143" i="13"/>
  <c r="F142" i="13"/>
  <c r="G142" i="13" s="1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B142" i="13" s="1"/>
  <c r="D142" i="13"/>
  <c r="E142" i="13" s="1"/>
  <c r="I141" i="13"/>
  <c r="J141" i="13" s="1"/>
  <c r="K141" i="13" s="1"/>
  <c r="L141" i="13" s="1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B141" i="13" s="1"/>
  <c r="G141" i="13"/>
  <c r="H141" i="13" s="1"/>
  <c r="E141" i="13"/>
  <c r="F141" i="13" s="1"/>
  <c r="D141" i="13"/>
  <c r="K140" i="13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B140" i="13" s="1"/>
  <c r="E140" i="13"/>
  <c r="F140" i="13" s="1"/>
  <c r="G140" i="13" s="1"/>
  <c r="H140" i="13" s="1"/>
  <c r="I140" i="13" s="1"/>
  <c r="J140" i="13" s="1"/>
  <c r="D140" i="13"/>
  <c r="F138" i="13"/>
  <c r="G138" i="13" s="1"/>
  <c r="H138" i="13" s="1"/>
  <c r="I138" i="13" s="1"/>
  <c r="J138" i="13" s="1"/>
  <c r="K138" i="13" s="1"/>
  <c r="L138" i="13" s="1"/>
  <c r="M138" i="13" s="1"/>
  <c r="N138" i="13" s="1"/>
  <c r="O138" i="13" s="1"/>
  <c r="P138" i="13" s="1"/>
  <c r="Q138" i="13" s="1"/>
  <c r="R138" i="13" s="1"/>
  <c r="S138" i="13" s="1"/>
  <c r="T138" i="13" s="1"/>
  <c r="U138" i="13" s="1"/>
  <c r="V138" i="13" s="1"/>
  <c r="W138" i="13" s="1"/>
  <c r="X138" i="13" s="1"/>
  <c r="Y138" i="13" s="1"/>
  <c r="Z138" i="13" s="1"/>
  <c r="AA138" i="13" s="1"/>
  <c r="AB138" i="13" s="1"/>
  <c r="AC138" i="13" s="1"/>
  <c r="AD138" i="13" s="1"/>
  <c r="AE138" i="13" s="1"/>
  <c r="AF138" i="13" s="1"/>
  <c r="B138" i="13" s="1"/>
  <c r="E138" i="13"/>
  <c r="D138" i="13"/>
  <c r="H137" i="13"/>
  <c r="I137" i="13" s="1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B137" i="13" s="1"/>
  <c r="F137" i="13"/>
  <c r="G137" i="13" s="1"/>
  <c r="D137" i="13"/>
  <c r="E137" i="13" s="1"/>
  <c r="E136" i="13"/>
  <c r="F136" i="13" s="1"/>
  <c r="G136" i="13" s="1"/>
  <c r="H136" i="13" s="1"/>
  <c r="I136" i="13" s="1"/>
  <c r="J136" i="13" s="1"/>
  <c r="K136" i="13" s="1"/>
  <c r="L136" i="13" s="1"/>
  <c r="M136" i="13" s="1"/>
  <c r="N136" i="13" s="1"/>
  <c r="O136" i="13" s="1"/>
  <c r="P136" i="13" s="1"/>
  <c r="Q136" i="13" s="1"/>
  <c r="R136" i="13" s="1"/>
  <c r="S136" i="13" s="1"/>
  <c r="T136" i="13" s="1"/>
  <c r="U136" i="13" s="1"/>
  <c r="V136" i="13" s="1"/>
  <c r="W136" i="13" s="1"/>
  <c r="X136" i="13" s="1"/>
  <c r="Y136" i="13" s="1"/>
  <c r="Z136" i="13" s="1"/>
  <c r="AA136" i="13" s="1"/>
  <c r="AB136" i="13" s="1"/>
  <c r="AC136" i="13" s="1"/>
  <c r="AD136" i="13" s="1"/>
  <c r="AE136" i="13" s="1"/>
  <c r="AF136" i="13" s="1"/>
  <c r="B136" i="13" s="1"/>
  <c r="D136" i="13"/>
  <c r="E135" i="13"/>
  <c r="F135" i="13" s="1"/>
  <c r="G135" i="13" s="1"/>
  <c r="H135" i="13" s="1"/>
  <c r="I135" i="13" s="1"/>
  <c r="J135" i="13" s="1"/>
  <c r="K135" i="13" s="1"/>
  <c r="L135" i="13" s="1"/>
  <c r="M135" i="13" s="1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B135" i="13" s="1"/>
  <c r="D135" i="13"/>
  <c r="J134" i="13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B134" i="13" s="1"/>
  <c r="I134" i="13"/>
  <c r="D134" i="13"/>
  <c r="E134" i="13" s="1"/>
  <c r="F134" i="13" s="1"/>
  <c r="G134" i="13" s="1"/>
  <c r="H134" i="13" s="1"/>
  <c r="J133" i="13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B133" i="13" s="1"/>
  <c r="E133" i="13"/>
  <c r="F133" i="13" s="1"/>
  <c r="G133" i="13" s="1"/>
  <c r="H133" i="13" s="1"/>
  <c r="I133" i="13" s="1"/>
  <c r="D133" i="13"/>
  <c r="D132" i="13"/>
  <c r="E132" i="13" s="1"/>
  <c r="F132" i="13" s="1"/>
  <c r="G132" i="13" s="1"/>
  <c r="H132" i="13" s="1"/>
  <c r="I132" i="13" s="1"/>
  <c r="J132" i="13" s="1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B132" i="13" s="1"/>
  <c r="F131" i="13"/>
  <c r="G131" i="13" s="1"/>
  <c r="H131" i="13" s="1"/>
  <c r="I131" i="13" s="1"/>
  <c r="J131" i="13" s="1"/>
  <c r="K131" i="13" s="1"/>
  <c r="L131" i="13" s="1"/>
  <c r="M131" i="13" s="1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B131" i="13" s="1"/>
  <c r="E131" i="13"/>
  <c r="D131" i="13"/>
  <c r="H129" i="13"/>
  <c r="I129" i="13" s="1"/>
  <c r="J129" i="13" s="1"/>
  <c r="K129" i="13" s="1"/>
  <c r="L129" i="13" s="1"/>
  <c r="M129" i="13" s="1"/>
  <c r="N129" i="13" s="1"/>
  <c r="O129" i="13" s="1"/>
  <c r="P129" i="13" s="1"/>
  <c r="Q129" i="13" s="1"/>
  <c r="R129" i="13" s="1"/>
  <c r="S129" i="13" s="1"/>
  <c r="T129" i="13" s="1"/>
  <c r="U129" i="13" s="1"/>
  <c r="V129" i="13" s="1"/>
  <c r="W129" i="13" s="1"/>
  <c r="X129" i="13" s="1"/>
  <c r="Y129" i="13" s="1"/>
  <c r="Z129" i="13" s="1"/>
  <c r="AA129" i="13" s="1"/>
  <c r="AB129" i="13" s="1"/>
  <c r="AC129" i="13" s="1"/>
  <c r="AD129" i="13" s="1"/>
  <c r="AE129" i="13" s="1"/>
  <c r="AF129" i="13" s="1"/>
  <c r="B129" i="13" s="1"/>
  <c r="G129" i="13"/>
  <c r="D129" i="13"/>
  <c r="E129" i="13" s="1"/>
  <c r="F129" i="13" s="1"/>
  <c r="D128" i="13"/>
  <c r="E128" i="13" s="1"/>
  <c r="F128" i="13" s="1"/>
  <c r="G128" i="13" s="1"/>
  <c r="H128" i="13" s="1"/>
  <c r="I128" i="13" s="1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B128" i="13" s="1"/>
  <c r="G127" i="13"/>
  <c r="H127" i="13" s="1"/>
  <c r="I127" i="13" s="1"/>
  <c r="J127" i="13" s="1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B127" i="13" s="1"/>
  <c r="F127" i="13"/>
  <c r="D127" i="13"/>
  <c r="E127" i="13" s="1"/>
  <c r="F126" i="13"/>
  <c r="G126" i="13" s="1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B126" i="13" s="1"/>
  <c r="E126" i="13"/>
  <c r="D126" i="13"/>
  <c r="J125" i="13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B125" i="13" s="1"/>
  <c r="D125" i="13"/>
  <c r="E125" i="13" s="1"/>
  <c r="F125" i="13" s="1"/>
  <c r="G125" i="13" s="1"/>
  <c r="H125" i="13" s="1"/>
  <c r="D124" i="13"/>
  <c r="E124" i="13" s="1"/>
  <c r="F124" i="13" s="1"/>
  <c r="G124" i="13" s="1"/>
  <c r="H124" i="13" s="1"/>
  <c r="I124" i="13" s="1"/>
  <c r="J124" i="13" s="1"/>
  <c r="K124" i="13" s="1"/>
  <c r="L124" i="13" s="1"/>
  <c r="M124" i="13" s="1"/>
  <c r="N124" i="13" s="1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B124" i="13" s="1"/>
  <c r="D123" i="13"/>
  <c r="E123" i="13" s="1"/>
  <c r="F123" i="13" s="1"/>
  <c r="G123" i="13" s="1"/>
  <c r="H123" i="13" s="1"/>
  <c r="I123" i="13" s="1"/>
  <c r="J123" i="13" s="1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B123" i="13" s="1"/>
  <c r="G122" i="13"/>
  <c r="H122" i="13" s="1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B122" i="13" s="1"/>
  <c r="F122" i="13"/>
  <c r="E122" i="13"/>
  <c r="D122" i="13"/>
  <c r="D121" i="13"/>
  <c r="E121" i="13" s="1"/>
  <c r="F121" i="13" s="1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B121" i="13" s="1"/>
  <c r="E120" i="13"/>
  <c r="F120" i="13" s="1"/>
  <c r="G120" i="13" s="1"/>
  <c r="H120" i="13" s="1"/>
  <c r="I120" i="13" s="1"/>
  <c r="J120" i="13" s="1"/>
  <c r="K120" i="13" s="1"/>
  <c r="L120" i="13" s="1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AD120" i="13" s="1"/>
  <c r="AE120" i="13" s="1"/>
  <c r="AF120" i="13" s="1"/>
  <c r="B120" i="13" s="1"/>
  <c r="D120" i="13"/>
  <c r="E119" i="13"/>
  <c r="F119" i="13" s="1"/>
  <c r="G119" i="13" s="1"/>
  <c r="H119" i="13" s="1"/>
  <c r="I119" i="13" s="1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B119" i="13" s="1"/>
  <c r="D119" i="13"/>
  <c r="D118" i="13"/>
  <c r="E118" i="13" s="1"/>
  <c r="F118" i="13" s="1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B118" i="13" s="1"/>
  <c r="D117" i="13"/>
  <c r="E117" i="13" s="1"/>
  <c r="F117" i="13" s="1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B117" i="13" s="1"/>
  <c r="E116" i="13"/>
  <c r="F116" i="13" s="1"/>
  <c r="G116" i="13" s="1"/>
  <c r="H116" i="13" s="1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B116" i="13" s="1"/>
  <c r="D116" i="13"/>
  <c r="E115" i="13"/>
  <c r="F115" i="13" s="1"/>
  <c r="G115" i="13" s="1"/>
  <c r="H115" i="13" s="1"/>
  <c r="I115" i="13" s="1"/>
  <c r="J115" i="13" s="1"/>
  <c r="K115" i="13" s="1"/>
  <c r="L115" i="13" s="1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B115" i="13" s="1"/>
  <c r="D115" i="13"/>
  <c r="K114" i="13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B114" i="13" s="1"/>
  <c r="E114" i="13"/>
  <c r="F114" i="13" s="1"/>
  <c r="G114" i="13" s="1"/>
  <c r="H114" i="13" s="1"/>
  <c r="I114" i="13" s="1"/>
  <c r="D114" i="13"/>
  <c r="F113" i="13"/>
  <c r="G113" i="13" s="1"/>
  <c r="H113" i="13" s="1"/>
  <c r="I113" i="13" s="1"/>
  <c r="J113" i="13" s="1"/>
  <c r="K113" i="13" s="1"/>
  <c r="L113" i="13" s="1"/>
  <c r="M113" i="13" s="1"/>
  <c r="N113" i="13" s="1"/>
  <c r="O113" i="13" s="1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B113" i="13" s="1"/>
  <c r="E113" i="13"/>
  <c r="D113" i="13"/>
  <c r="D112" i="13"/>
  <c r="E112" i="13" s="1"/>
  <c r="F112" i="13" s="1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B112" i="13" s="1"/>
  <c r="D110" i="13"/>
  <c r="E110" i="13" s="1"/>
  <c r="F110" i="13" s="1"/>
  <c r="G110" i="13" s="1"/>
  <c r="H110" i="13" s="1"/>
  <c r="I110" i="13" s="1"/>
  <c r="J110" i="13" s="1"/>
  <c r="K110" i="13" s="1"/>
  <c r="L110" i="13" s="1"/>
  <c r="M110" i="13" s="1"/>
  <c r="N110" i="13" s="1"/>
  <c r="O110" i="13" s="1"/>
  <c r="P110" i="13" s="1"/>
  <c r="Q110" i="13" s="1"/>
  <c r="R110" i="13" s="1"/>
  <c r="S110" i="13" s="1"/>
  <c r="T110" i="13" s="1"/>
  <c r="U110" i="13" s="1"/>
  <c r="V110" i="13" s="1"/>
  <c r="W110" i="13" s="1"/>
  <c r="X110" i="13" s="1"/>
  <c r="Y110" i="13" s="1"/>
  <c r="Z110" i="13" s="1"/>
  <c r="AA110" i="13" s="1"/>
  <c r="AB110" i="13" s="1"/>
  <c r="AC110" i="13" s="1"/>
  <c r="AD110" i="13" s="1"/>
  <c r="AE110" i="13" s="1"/>
  <c r="AF110" i="13" s="1"/>
  <c r="B110" i="13" s="1"/>
  <c r="E109" i="13"/>
  <c r="F109" i="13" s="1"/>
  <c r="D109" i="13"/>
  <c r="F107" i="13"/>
  <c r="G107" i="13" s="1"/>
  <c r="H107" i="13" s="1"/>
  <c r="I107" i="13" s="1"/>
  <c r="J107" i="13" s="1"/>
  <c r="K107" i="13" s="1"/>
  <c r="L107" i="13" s="1"/>
  <c r="M107" i="13" s="1"/>
  <c r="N107" i="13" s="1"/>
  <c r="O107" i="13" s="1"/>
  <c r="P107" i="13" s="1"/>
  <c r="Q107" i="13" s="1"/>
  <c r="R107" i="13" s="1"/>
  <c r="S107" i="13" s="1"/>
  <c r="T107" i="13" s="1"/>
  <c r="U107" i="13" s="1"/>
  <c r="V107" i="13" s="1"/>
  <c r="W107" i="13" s="1"/>
  <c r="X107" i="13" s="1"/>
  <c r="Y107" i="13" s="1"/>
  <c r="Z107" i="13" s="1"/>
  <c r="AA107" i="13" s="1"/>
  <c r="AB107" i="13" s="1"/>
  <c r="AC107" i="13" s="1"/>
  <c r="AD107" i="13" s="1"/>
  <c r="AE107" i="13" s="1"/>
  <c r="AF107" i="13" s="1"/>
  <c r="B107" i="13" s="1"/>
  <c r="E107" i="13"/>
  <c r="D107" i="13"/>
  <c r="D106" i="13"/>
  <c r="E106" i="13" s="1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B106" i="13" s="1"/>
  <c r="D105" i="13"/>
  <c r="E105" i="13" s="1"/>
  <c r="F105" i="13" s="1"/>
  <c r="G105" i="13" s="1"/>
  <c r="H105" i="13" s="1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B105" i="13" s="1"/>
  <c r="E104" i="13"/>
  <c r="F104" i="13" s="1"/>
  <c r="G104" i="13" s="1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B104" i="13" s="1"/>
  <c r="D104" i="13"/>
  <c r="F103" i="13"/>
  <c r="G103" i="13" s="1"/>
  <c r="H103" i="13" s="1"/>
  <c r="I103" i="13" s="1"/>
  <c r="E103" i="13"/>
  <c r="D103" i="13"/>
  <c r="D102" i="13"/>
  <c r="AH100" i="13"/>
  <c r="AI100" i="13" s="1"/>
  <c r="AH99" i="13"/>
  <c r="AI99" i="13" s="1"/>
  <c r="AH98" i="13"/>
  <c r="AI98" i="13" s="1"/>
  <c r="AH97" i="13"/>
  <c r="AI97" i="13" s="1"/>
  <c r="AH96" i="13"/>
  <c r="AI96" i="13" s="1"/>
  <c r="AH95" i="13"/>
  <c r="AI95" i="13" s="1"/>
  <c r="AH94" i="13"/>
  <c r="AI94" i="13" s="1"/>
  <c r="C93" i="13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G82" i="13"/>
  <c r="N82" i="13"/>
  <c r="AI81" i="13"/>
  <c r="AH81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F76" i="13"/>
  <c r="AE76" i="13"/>
  <c r="AE82" i="13" s="1"/>
  <c r="AD76" i="13"/>
  <c r="AD82" i="13" s="1"/>
  <c r="AB76" i="13"/>
  <c r="AA76" i="13"/>
  <c r="Z76" i="13"/>
  <c r="Y76" i="13"/>
  <c r="X76" i="13"/>
  <c r="W76" i="13"/>
  <c r="V76" i="13"/>
  <c r="V82" i="13" s="1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I74" i="13"/>
  <c r="AH74" i="13"/>
  <c r="AI72" i="13"/>
  <c r="AH72" i="13"/>
  <c r="AG72" i="13"/>
  <c r="AI71" i="13"/>
  <c r="AH71" i="13"/>
  <c r="AI70" i="13"/>
  <c r="AH70" i="13"/>
  <c r="AI69" i="13"/>
  <c r="AH69" i="13"/>
  <c r="AG68" i="13"/>
  <c r="AG73" i="13" s="1"/>
  <c r="AF68" i="13"/>
  <c r="AE5" i="13" s="1"/>
  <c r="AE68" i="13"/>
  <c r="AD5" i="13" s="1"/>
  <c r="AD68" i="13"/>
  <c r="AC5" i="13" s="1"/>
  <c r="AC68" i="13"/>
  <c r="AB5" i="13" s="1"/>
  <c r="AB68" i="13"/>
  <c r="AA5" i="13" s="1"/>
  <c r="AA68" i="13"/>
  <c r="Z5" i="13" s="1"/>
  <c r="Z68" i="13"/>
  <c r="Y5" i="13" s="1"/>
  <c r="Y68" i="13"/>
  <c r="X5" i="13" s="1"/>
  <c r="X68" i="13"/>
  <c r="W68" i="13"/>
  <c r="V5" i="13" s="1"/>
  <c r="V68" i="13"/>
  <c r="U5" i="13" s="1"/>
  <c r="U68" i="13"/>
  <c r="T5" i="13" s="1"/>
  <c r="T68" i="13"/>
  <c r="S5" i="13" s="1"/>
  <c r="S68" i="13"/>
  <c r="R5" i="13" s="1"/>
  <c r="R68" i="13"/>
  <c r="Q5" i="13" s="1"/>
  <c r="Q68" i="13"/>
  <c r="P5" i="13" s="1"/>
  <c r="P68" i="13"/>
  <c r="O5" i="13" s="1"/>
  <c r="O68" i="13"/>
  <c r="N5" i="13" s="1"/>
  <c r="N68" i="13"/>
  <c r="M5" i="13" s="1"/>
  <c r="M68" i="13"/>
  <c r="L5" i="13" s="1"/>
  <c r="L68" i="13"/>
  <c r="K5" i="13" s="1"/>
  <c r="K68" i="13"/>
  <c r="J5" i="13" s="1"/>
  <c r="J68" i="13"/>
  <c r="I5" i="13" s="1"/>
  <c r="I68" i="13"/>
  <c r="H5" i="13" s="1"/>
  <c r="H68" i="13"/>
  <c r="G5" i="13" s="1"/>
  <c r="G68" i="13"/>
  <c r="F5" i="13" s="1"/>
  <c r="F68" i="13"/>
  <c r="E5" i="13" s="1"/>
  <c r="E68" i="13"/>
  <c r="D5" i="13" s="1"/>
  <c r="D68" i="13"/>
  <c r="C5" i="13" s="1"/>
  <c r="C68" i="13"/>
  <c r="B5" i="13" s="1"/>
  <c r="B68" i="13"/>
  <c r="AF5" i="13" s="1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I55" i="13"/>
  <c r="AH55" i="13"/>
  <c r="AI54" i="13"/>
  <c r="AH54" i="13"/>
  <c r="AI53" i="13"/>
  <c r="AH53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I51" i="13"/>
  <c r="AH51" i="13"/>
  <c r="AG51" i="13"/>
  <c r="AG52" i="13" s="1"/>
  <c r="AG3" i="13" s="1"/>
  <c r="AG6" i="13" s="1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G38" i="13"/>
  <c r="AF38" i="13"/>
  <c r="AF73" i="13" s="1"/>
  <c r="AF75" i="13" s="1"/>
  <c r="AE38" i="13"/>
  <c r="AD38" i="13"/>
  <c r="AC38" i="13"/>
  <c r="AB38" i="13"/>
  <c r="AA38" i="13"/>
  <c r="Z38" i="13"/>
  <c r="Y38" i="13"/>
  <c r="X38" i="13"/>
  <c r="X73" i="13" s="1"/>
  <c r="X75" i="13" s="1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37" i="13"/>
  <c r="AI37" i="13" s="1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W5" i="13"/>
  <c r="AG4" i="13"/>
  <c r="K4" i="13"/>
  <c r="B4" i="13"/>
  <c r="AG2" i="13"/>
  <c r="AF37" i="12"/>
  <c r="AE37" i="12"/>
  <c r="AD37" i="12"/>
  <c r="AC37" i="12"/>
  <c r="AB37" i="12"/>
  <c r="AA95" i="12"/>
  <c r="AA37" i="12"/>
  <c r="Z95" i="12"/>
  <c r="Z37" i="12"/>
  <c r="Y95" i="12"/>
  <c r="Y37" i="12"/>
  <c r="X95" i="12"/>
  <c r="X37" i="12"/>
  <c r="W95" i="12"/>
  <c r="W37" i="12"/>
  <c r="V95" i="12"/>
  <c r="V37" i="12"/>
  <c r="U95" i="12"/>
  <c r="U37" i="12"/>
  <c r="T95" i="12"/>
  <c r="T37" i="12"/>
  <c r="S95" i="12"/>
  <c r="S37" i="12"/>
  <c r="R95" i="12"/>
  <c r="R37" i="12"/>
  <c r="Q37" i="12"/>
  <c r="P95" i="12"/>
  <c r="P37" i="12"/>
  <c r="O95" i="12"/>
  <c r="O37" i="12"/>
  <c r="N91" i="12"/>
  <c r="N37" i="12"/>
  <c r="L95" i="12"/>
  <c r="M37" i="12"/>
  <c r="L37" i="12"/>
  <c r="K95" i="12"/>
  <c r="K37" i="12"/>
  <c r="H94" i="12"/>
  <c r="I94" i="12"/>
  <c r="J37" i="12"/>
  <c r="H37" i="12"/>
  <c r="I37" i="12"/>
  <c r="G94" i="12"/>
  <c r="G37" i="12"/>
  <c r="F94" i="12"/>
  <c r="F37" i="12"/>
  <c r="E95" i="12"/>
  <c r="E37" i="12"/>
  <c r="D95" i="12"/>
  <c r="D37" i="12"/>
  <c r="C37" i="12"/>
  <c r="B37" i="12"/>
  <c r="B95" i="12"/>
  <c r="B93" i="12"/>
  <c r="B80" i="12"/>
  <c r="B79" i="12"/>
  <c r="B78" i="12"/>
  <c r="B77" i="12"/>
  <c r="B76" i="12"/>
  <c r="B68" i="12"/>
  <c r="B56" i="12"/>
  <c r="B52" i="12"/>
  <c r="B38" i="12"/>
  <c r="AF239" i="12"/>
  <c r="AE239" i="12"/>
  <c r="AD239" i="12"/>
  <c r="AC239" i="12"/>
  <c r="AB239" i="12"/>
  <c r="AA239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M239" i="12"/>
  <c r="L239" i="12"/>
  <c r="K239" i="12"/>
  <c r="J239" i="12"/>
  <c r="I239" i="12"/>
  <c r="H239" i="12"/>
  <c r="G239" i="12"/>
  <c r="F239" i="12"/>
  <c r="E239" i="12"/>
  <c r="D239" i="12"/>
  <c r="C239" i="12"/>
  <c r="B239" i="12"/>
  <c r="A239" i="12"/>
  <c r="AF238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238" i="12"/>
  <c r="AF237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A237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E235" i="12"/>
  <c r="C235" i="12"/>
  <c r="B235" i="12"/>
  <c r="S210" i="12"/>
  <c r="AG200" i="12"/>
  <c r="C200" i="12"/>
  <c r="H199" i="12"/>
  <c r="G235" i="12" s="1"/>
  <c r="F199" i="12"/>
  <c r="G199" i="12" s="1"/>
  <c r="F235" i="12" s="1"/>
  <c r="E199" i="12"/>
  <c r="D235" i="12" s="1"/>
  <c r="D199" i="12"/>
  <c r="F198" i="12"/>
  <c r="G198" i="12" s="1"/>
  <c r="H198" i="12" s="1"/>
  <c r="I198" i="12" s="1"/>
  <c r="J198" i="12" s="1"/>
  <c r="K198" i="12" s="1"/>
  <c r="L198" i="12" s="1"/>
  <c r="M198" i="12" s="1"/>
  <c r="N198" i="12" s="1"/>
  <c r="O198" i="12" s="1"/>
  <c r="P198" i="12" s="1"/>
  <c r="Q198" i="12" s="1"/>
  <c r="R198" i="12" s="1"/>
  <c r="S198" i="12" s="1"/>
  <c r="T198" i="12" s="1"/>
  <c r="U198" i="12" s="1"/>
  <c r="V198" i="12" s="1"/>
  <c r="W198" i="12" s="1"/>
  <c r="X198" i="12" s="1"/>
  <c r="Y198" i="12" s="1"/>
  <c r="Z198" i="12" s="1"/>
  <c r="AA198" i="12" s="1"/>
  <c r="AB198" i="12" s="1"/>
  <c r="AC198" i="12" s="1"/>
  <c r="AD198" i="12" s="1"/>
  <c r="AE198" i="12" s="1"/>
  <c r="AF198" i="12" s="1"/>
  <c r="B198" i="12" s="1"/>
  <c r="D198" i="12"/>
  <c r="E198" i="12" s="1"/>
  <c r="E197" i="12"/>
  <c r="F197" i="12" s="1"/>
  <c r="G197" i="12" s="1"/>
  <c r="H197" i="12" s="1"/>
  <c r="I197" i="12" s="1"/>
  <c r="J197" i="12" s="1"/>
  <c r="K197" i="12" s="1"/>
  <c r="L197" i="12" s="1"/>
  <c r="M197" i="12" s="1"/>
  <c r="N197" i="12" s="1"/>
  <c r="O197" i="12" s="1"/>
  <c r="P197" i="12" s="1"/>
  <c r="Q197" i="12" s="1"/>
  <c r="R197" i="12" s="1"/>
  <c r="S197" i="12" s="1"/>
  <c r="T197" i="12" s="1"/>
  <c r="U197" i="12" s="1"/>
  <c r="V197" i="12" s="1"/>
  <c r="W197" i="12" s="1"/>
  <c r="X197" i="12" s="1"/>
  <c r="Y197" i="12" s="1"/>
  <c r="Z197" i="12" s="1"/>
  <c r="AA197" i="12" s="1"/>
  <c r="AB197" i="12" s="1"/>
  <c r="AC197" i="12" s="1"/>
  <c r="AD197" i="12" s="1"/>
  <c r="AE197" i="12" s="1"/>
  <c r="AF197" i="12" s="1"/>
  <c r="B197" i="12" s="1"/>
  <c r="D197" i="12"/>
  <c r="D196" i="12"/>
  <c r="E196" i="12" s="1"/>
  <c r="F196" i="12" s="1"/>
  <c r="G196" i="12" s="1"/>
  <c r="H196" i="12" s="1"/>
  <c r="I196" i="12" s="1"/>
  <c r="J196" i="12" s="1"/>
  <c r="K196" i="12" s="1"/>
  <c r="L196" i="12" s="1"/>
  <c r="M196" i="12" s="1"/>
  <c r="N196" i="12" s="1"/>
  <c r="O196" i="12" s="1"/>
  <c r="P196" i="12" s="1"/>
  <c r="Q196" i="12" s="1"/>
  <c r="R196" i="12" s="1"/>
  <c r="S196" i="12" s="1"/>
  <c r="T196" i="12" s="1"/>
  <c r="U196" i="12" s="1"/>
  <c r="V196" i="12" s="1"/>
  <c r="W196" i="12" s="1"/>
  <c r="X196" i="12" s="1"/>
  <c r="Y196" i="12" s="1"/>
  <c r="Z196" i="12" s="1"/>
  <c r="AA196" i="12" s="1"/>
  <c r="AB196" i="12" s="1"/>
  <c r="AC196" i="12" s="1"/>
  <c r="AD196" i="12" s="1"/>
  <c r="AE196" i="12" s="1"/>
  <c r="AF196" i="12" s="1"/>
  <c r="B196" i="12" s="1"/>
  <c r="H195" i="12"/>
  <c r="I195" i="12" s="1"/>
  <c r="J195" i="12" s="1"/>
  <c r="K195" i="12" s="1"/>
  <c r="L195" i="12" s="1"/>
  <c r="M195" i="12" s="1"/>
  <c r="N195" i="12" s="1"/>
  <c r="O195" i="12" s="1"/>
  <c r="P195" i="12" s="1"/>
  <c r="Q195" i="12" s="1"/>
  <c r="R195" i="12" s="1"/>
  <c r="S195" i="12" s="1"/>
  <c r="T195" i="12" s="1"/>
  <c r="U195" i="12" s="1"/>
  <c r="V195" i="12" s="1"/>
  <c r="W195" i="12" s="1"/>
  <c r="X195" i="12" s="1"/>
  <c r="Y195" i="12" s="1"/>
  <c r="Z195" i="12" s="1"/>
  <c r="AA195" i="12" s="1"/>
  <c r="AB195" i="12" s="1"/>
  <c r="AC195" i="12" s="1"/>
  <c r="AD195" i="12" s="1"/>
  <c r="AE195" i="12" s="1"/>
  <c r="AF195" i="12" s="1"/>
  <c r="B195" i="12" s="1"/>
  <c r="F195" i="12"/>
  <c r="G195" i="12" s="1"/>
  <c r="E195" i="12"/>
  <c r="D195" i="12"/>
  <c r="D194" i="12"/>
  <c r="D200" i="12" s="1"/>
  <c r="AG192" i="12"/>
  <c r="C192" i="12"/>
  <c r="E191" i="12"/>
  <c r="F191" i="12" s="1"/>
  <c r="G191" i="12" s="1"/>
  <c r="H191" i="12" s="1"/>
  <c r="I191" i="12" s="1"/>
  <c r="J191" i="12" s="1"/>
  <c r="K191" i="12" s="1"/>
  <c r="L191" i="12" s="1"/>
  <c r="M191" i="12" s="1"/>
  <c r="N191" i="12" s="1"/>
  <c r="O191" i="12" s="1"/>
  <c r="P191" i="12" s="1"/>
  <c r="Q191" i="12" s="1"/>
  <c r="R191" i="12" s="1"/>
  <c r="S191" i="12" s="1"/>
  <c r="T191" i="12" s="1"/>
  <c r="U191" i="12" s="1"/>
  <c r="V191" i="12" s="1"/>
  <c r="W191" i="12" s="1"/>
  <c r="X191" i="12" s="1"/>
  <c r="Y191" i="12" s="1"/>
  <c r="Z191" i="12" s="1"/>
  <c r="AA191" i="12" s="1"/>
  <c r="AB191" i="12" s="1"/>
  <c r="AC191" i="12" s="1"/>
  <c r="AD191" i="12" s="1"/>
  <c r="AE191" i="12" s="1"/>
  <c r="AF191" i="12" s="1"/>
  <c r="B191" i="12" s="1"/>
  <c r="D191" i="12"/>
  <c r="J190" i="12"/>
  <c r="K190" i="12" s="1"/>
  <c r="L190" i="12" s="1"/>
  <c r="M190" i="12" s="1"/>
  <c r="N190" i="12" s="1"/>
  <c r="O190" i="12" s="1"/>
  <c r="P190" i="12" s="1"/>
  <c r="Q190" i="12" s="1"/>
  <c r="R190" i="12" s="1"/>
  <c r="S190" i="12" s="1"/>
  <c r="T190" i="12" s="1"/>
  <c r="U190" i="12" s="1"/>
  <c r="V190" i="12" s="1"/>
  <c r="W190" i="12" s="1"/>
  <c r="X190" i="12" s="1"/>
  <c r="Y190" i="12" s="1"/>
  <c r="Z190" i="12" s="1"/>
  <c r="AA190" i="12" s="1"/>
  <c r="AB190" i="12" s="1"/>
  <c r="AC190" i="12" s="1"/>
  <c r="AD190" i="12" s="1"/>
  <c r="AE190" i="12" s="1"/>
  <c r="AF190" i="12" s="1"/>
  <c r="B190" i="12" s="1"/>
  <c r="D190" i="12"/>
  <c r="E190" i="12" s="1"/>
  <c r="F190" i="12" s="1"/>
  <c r="G190" i="12" s="1"/>
  <c r="H190" i="12" s="1"/>
  <c r="I190" i="12" s="1"/>
  <c r="E189" i="12"/>
  <c r="F189" i="12" s="1"/>
  <c r="G189" i="12" s="1"/>
  <c r="H189" i="12" s="1"/>
  <c r="I189" i="12" s="1"/>
  <c r="J189" i="12" s="1"/>
  <c r="K189" i="12" s="1"/>
  <c r="L189" i="12" s="1"/>
  <c r="M189" i="12" s="1"/>
  <c r="N189" i="12" s="1"/>
  <c r="O189" i="12" s="1"/>
  <c r="P189" i="12" s="1"/>
  <c r="Q189" i="12" s="1"/>
  <c r="R189" i="12" s="1"/>
  <c r="S189" i="12" s="1"/>
  <c r="T189" i="12" s="1"/>
  <c r="U189" i="12" s="1"/>
  <c r="V189" i="12" s="1"/>
  <c r="W189" i="12" s="1"/>
  <c r="X189" i="12" s="1"/>
  <c r="Y189" i="12" s="1"/>
  <c r="Z189" i="12" s="1"/>
  <c r="AA189" i="12" s="1"/>
  <c r="AB189" i="12" s="1"/>
  <c r="AC189" i="12" s="1"/>
  <c r="AD189" i="12" s="1"/>
  <c r="AE189" i="12" s="1"/>
  <c r="AF189" i="12" s="1"/>
  <c r="D189" i="12"/>
  <c r="B189" i="12"/>
  <c r="L188" i="12"/>
  <c r="M188" i="12" s="1"/>
  <c r="N188" i="12" s="1"/>
  <c r="O188" i="12" s="1"/>
  <c r="P188" i="12" s="1"/>
  <c r="Q188" i="12" s="1"/>
  <c r="R188" i="12" s="1"/>
  <c r="S188" i="12" s="1"/>
  <c r="T188" i="12" s="1"/>
  <c r="U188" i="12" s="1"/>
  <c r="V188" i="12" s="1"/>
  <c r="W188" i="12" s="1"/>
  <c r="X188" i="12" s="1"/>
  <c r="Y188" i="12" s="1"/>
  <c r="Z188" i="12" s="1"/>
  <c r="AA188" i="12" s="1"/>
  <c r="AB188" i="12" s="1"/>
  <c r="AC188" i="12" s="1"/>
  <c r="AD188" i="12" s="1"/>
  <c r="AE188" i="12" s="1"/>
  <c r="AF188" i="12" s="1"/>
  <c r="B188" i="12" s="1"/>
  <c r="D188" i="12"/>
  <c r="E188" i="12" s="1"/>
  <c r="F188" i="12" s="1"/>
  <c r="G188" i="12" s="1"/>
  <c r="H188" i="12" s="1"/>
  <c r="I188" i="12" s="1"/>
  <c r="J188" i="12" s="1"/>
  <c r="K188" i="12" s="1"/>
  <c r="E187" i="12"/>
  <c r="F187" i="12" s="1"/>
  <c r="G187" i="12" s="1"/>
  <c r="H187" i="12" s="1"/>
  <c r="I187" i="12" s="1"/>
  <c r="J187" i="12" s="1"/>
  <c r="K187" i="12" s="1"/>
  <c r="L187" i="12" s="1"/>
  <c r="M187" i="12" s="1"/>
  <c r="N187" i="12" s="1"/>
  <c r="O187" i="12" s="1"/>
  <c r="P187" i="12" s="1"/>
  <c r="Q187" i="12" s="1"/>
  <c r="R187" i="12" s="1"/>
  <c r="S187" i="12" s="1"/>
  <c r="T187" i="12" s="1"/>
  <c r="U187" i="12" s="1"/>
  <c r="V187" i="12" s="1"/>
  <c r="W187" i="12" s="1"/>
  <c r="X187" i="12" s="1"/>
  <c r="Y187" i="12" s="1"/>
  <c r="Z187" i="12" s="1"/>
  <c r="AA187" i="12" s="1"/>
  <c r="AB187" i="12" s="1"/>
  <c r="AC187" i="12" s="1"/>
  <c r="AD187" i="12" s="1"/>
  <c r="AE187" i="12" s="1"/>
  <c r="AF187" i="12" s="1"/>
  <c r="B187" i="12" s="1"/>
  <c r="D187" i="12"/>
  <c r="D186" i="12"/>
  <c r="E186" i="12" s="1"/>
  <c r="F186" i="12" s="1"/>
  <c r="G186" i="12" s="1"/>
  <c r="H186" i="12" s="1"/>
  <c r="I186" i="12" s="1"/>
  <c r="J186" i="12" s="1"/>
  <c r="K186" i="12" s="1"/>
  <c r="L186" i="12" s="1"/>
  <c r="M186" i="12" s="1"/>
  <c r="N186" i="12" s="1"/>
  <c r="O186" i="12" s="1"/>
  <c r="P186" i="12" s="1"/>
  <c r="Q186" i="12" s="1"/>
  <c r="R186" i="12" s="1"/>
  <c r="S186" i="12" s="1"/>
  <c r="T186" i="12" s="1"/>
  <c r="U186" i="12" s="1"/>
  <c r="V186" i="12" s="1"/>
  <c r="W186" i="12" s="1"/>
  <c r="X186" i="12" s="1"/>
  <c r="Y186" i="12" s="1"/>
  <c r="Z186" i="12" s="1"/>
  <c r="AA186" i="12" s="1"/>
  <c r="AB186" i="12" s="1"/>
  <c r="AC186" i="12" s="1"/>
  <c r="AD186" i="12" s="1"/>
  <c r="AE186" i="12" s="1"/>
  <c r="AF186" i="12" s="1"/>
  <c r="B186" i="12" s="1"/>
  <c r="F185" i="12"/>
  <c r="G185" i="12" s="1"/>
  <c r="H185" i="12" s="1"/>
  <c r="I185" i="12" s="1"/>
  <c r="J185" i="12" s="1"/>
  <c r="K185" i="12" s="1"/>
  <c r="L185" i="12" s="1"/>
  <c r="M185" i="12" s="1"/>
  <c r="N185" i="12" s="1"/>
  <c r="O185" i="12" s="1"/>
  <c r="P185" i="12" s="1"/>
  <c r="Q185" i="12" s="1"/>
  <c r="R185" i="12" s="1"/>
  <c r="S185" i="12" s="1"/>
  <c r="T185" i="12" s="1"/>
  <c r="U185" i="12" s="1"/>
  <c r="V185" i="12" s="1"/>
  <c r="W185" i="12" s="1"/>
  <c r="X185" i="12" s="1"/>
  <c r="Y185" i="12" s="1"/>
  <c r="Z185" i="12" s="1"/>
  <c r="AA185" i="12" s="1"/>
  <c r="AB185" i="12" s="1"/>
  <c r="AC185" i="12" s="1"/>
  <c r="AD185" i="12" s="1"/>
  <c r="AE185" i="12" s="1"/>
  <c r="AF185" i="12" s="1"/>
  <c r="B185" i="12" s="1"/>
  <c r="E185" i="12"/>
  <c r="D185" i="12"/>
  <c r="F184" i="12"/>
  <c r="G184" i="12" s="1"/>
  <c r="H184" i="12" s="1"/>
  <c r="I184" i="12" s="1"/>
  <c r="J184" i="12" s="1"/>
  <c r="K184" i="12" s="1"/>
  <c r="L184" i="12" s="1"/>
  <c r="M184" i="12" s="1"/>
  <c r="N184" i="12" s="1"/>
  <c r="O184" i="12" s="1"/>
  <c r="P184" i="12" s="1"/>
  <c r="Q184" i="12" s="1"/>
  <c r="R184" i="12" s="1"/>
  <c r="S184" i="12" s="1"/>
  <c r="T184" i="12" s="1"/>
  <c r="U184" i="12" s="1"/>
  <c r="V184" i="12" s="1"/>
  <c r="W184" i="12" s="1"/>
  <c r="X184" i="12" s="1"/>
  <c r="Y184" i="12" s="1"/>
  <c r="Z184" i="12" s="1"/>
  <c r="AA184" i="12" s="1"/>
  <c r="AB184" i="12" s="1"/>
  <c r="AC184" i="12" s="1"/>
  <c r="AD184" i="12" s="1"/>
  <c r="AE184" i="12" s="1"/>
  <c r="AF184" i="12" s="1"/>
  <c r="B184" i="12" s="1"/>
  <c r="D184" i="12"/>
  <c r="E184" i="12" s="1"/>
  <c r="D183" i="12"/>
  <c r="E183" i="12" s="1"/>
  <c r="F183" i="12" s="1"/>
  <c r="G183" i="12" s="1"/>
  <c r="H183" i="12" s="1"/>
  <c r="I183" i="12" s="1"/>
  <c r="J183" i="12" s="1"/>
  <c r="K183" i="12" s="1"/>
  <c r="L183" i="12" s="1"/>
  <c r="M183" i="12" s="1"/>
  <c r="N183" i="12" s="1"/>
  <c r="O183" i="12" s="1"/>
  <c r="P183" i="12" s="1"/>
  <c r="Q183" i="12" s="1"/>
  <c r="R183" i="12" s="1"/>
  <c r="S183" i="12" s="1"/>
  <c r="T183" i="12" s="1"/>
  <c r="U183" i="12" s="1"/>
  <c r="V183" i="12" s="1"/>
  <c r="W183" i="12" s="1"/>
  <c r="X183" i="12" s="1"/>
  <c r="Y183" i="12" s="1"/>
  <c r="Z183" i="12" s="1"/>
  <c r="AA183" i="12" s="1"/>
  <c r="AB183" i="12" s="1"/>
  <c r="AC183" i="12" s="1"/>
  <c r="AD183" i="12" s="1"/>
  <c r="AE183" i="12" s="1"/>
  <c r="AF183" i="12" s="1"/>
  <c r="B183" i="12" s="1"/>
  <c r="L182" i="12"/>
  <c r="M182" i="12" s="1"/>
  <c r="N182" i="12" s="1"/>
  <c r="O182" i="12" s="1"/>
  <c r="P182" i="12" s="1"/>
  <c r="Q182" i="12" s="1"/>
  <c r="R182" i="12" s="1"/>
  <c r="S182" i="12" s="1"/>
  <c r="T182" i="12" s="1"/>
  <c r="U182" i="12" s="1"/>
  <c r="V182" i="12" s="1"/>
  <c r="W182" i="12" s="1"/>
  <c r="X182" i="12" s="1"/>
  <c r="Y182" i="12" s="1"/>
  <c r="Z182" i="12" s="1"/>
  <c r="AA182" i="12" s="1"/>
  <c r="AB182" i="12" s="1"/>
  <c r="AC182" i="12" s="1"/>
  <c r="AD182" i="12" s="1"/>
  <c r="AE182" i="12" s="1"/>
  <c r="AF182" i="12" s="1"/>
  <c r="B182" i="12" s="1"/>
  <c r="E182" i="12"/>
  <c r="F182" i="12" s="1"/>
  <c r="G182" i="12" s="1"/>
  <c r="H182" i="12" s="1"/>
  <c r="I182" i="12" s="1"/>
  <c r="J182" i="12" s="1"/>
  <c r="K182" i="12" s="1"/>
  <c r="D182" i="12"/>
  <c r="E181" i="12"/>
  <c r="F181" i="12" s="1"/>
  <c r="G181" i="12" s="1"/>
  <c r="H181" i="12" s="1"/>
  <c r="I181" i="12" s="1"/>
  <c r="J181" i="12" s="1"/>
  <c r="K181" i="12" s="1"/>
  <c r="L181" i="12" s="1"/>
  <c r="M181" i="12" s="1"/>
  <c r="N181" i="12" s="1"/>
  <c r="O181" i="12" s="1"/>
  <c r="P181" i="12" s="1"/>
  <c r="Q181" i="12" s="1"/>
  <c r="R181" i="12" s="1"/>
  <c r="S181" i="12" s="1"/>
  <c r="T181" i="12" s="1"/>
  <c r="U181" i="12" s="1"/>
  <c r="V181" i="12" s="1"/>
  <c r="W181" i="12" s="1"/>
  <c r="X181" i="12" s="1"/>
  <c r="Y181" i="12" s="1"/>
  <c r="Z181" i="12" s="1"/>
  <c r="AA181" i="12" s="1"/>
  <c r="AB181" i="12" s="1"/>
  <c r="AC181" i="12" s="1"/>
  <c r="AD181" i="12" s="1"/>
  <c r="AE181" i="12" s="1"/>
  <c r="AF181" i="12" s="1"/>
  <c r="B181" i="12" s="1"/>
  <c r="D181" i="12"/>
  <c r="D180" i="12"/>
  <c r="E180" i="12" s="1"/>
  <c r="F180" i="12" s="1"/>
  <c r="G180" i="12" s="1"/>
  <c r="H180" i="12" s="1"/>
  <c r="I180" i="12" s="1"/>
  <c r="J180" i="12" s="1"/>
  <c r="K180" i="12" s="1"/>
  <c r="L180" i="12" s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s="1"/>
  <c r="X180" i="12" s="1"/>
  <c r="Y180" i="12" s="1"/>
  <c r="Z180" i="12" s="1"/>
  <c r="AA180" i="12" s="1"/>
  <c r="AB180" i="12" s="1"/>
  <c r="AC180" i="12" s="1"/>
  <c r="AD180" i="12" s="1"/>
  <c r="AE180" i="12" s="1"/>
  <c r="AF180" i="12" s="1"/>
  <c r="B180" i="12" s="1"/>
  <c r="F179" i="12"/>
  <c r="G179" i="12" s="1"/>
  <c r="H179" i="12" s="1"/>
  <c r="I179" i="12" s="1"/>
  <c r="J179" i="12" s="1"/>
  <c r="K179" i="12" s="1"/>
  <c r="L179" i="12" s="1"/>
  <c r="M179" i="12" s="1"/>
  <c r="N179" i="12" s="1"/>
  <c r="O179" i="12" s="1"/>
  <c r="P179" i="12" s="1"/>
  <c r="Q179" i="12" s="1"/>
  <c r="R179" i="12" s="1"/>
  <c r="S179" i="12" s="1"/>
  <c r="T179" i="12" s="1"/>
  <c r="U179" i="12" s="1"/>
  <c r="V179" i="12" s="1"/>
  <c r="W179" i="12" s="1"/>
  <c r="X179" i="12" s="1"/>
  <c r="Y179" i="12" s="1"/>
  <c r="Z179" i="12" s="1"/>
  <c r="AA179" i="12" s="1"/>
  <c r="AB179" i="12" s="1"/>
  <c r="AC179" i="12" s="1"/>
  <c r="AD179" i="12" s="1"/>
  <c r="AE179" i="12" s="1"/>
  <c r="AF179" i="12" s="1"/>
  <c r="B179" i="12" s="1"/>
  <c r="D179" i="12"/>
  <c r="E179" i="12" s="1"/>
  <c r="D177" i="12"/>
  <c r="E177" i="12" s="1"/>
  <c r="F177" i="12" s="1"/>
  <c r="G177" i="12" s="1"/>
  <c r="H177" i="12" s="1"/>
  <c r="I177" i="12" s="1"/>
  <c r="J177" i="12" s="1"/>
  <c r="K177" i="12" s="1"/>
  <c r="L177" i="12" s="1"/>
  <c r="M177" i="12" s="1"/>
  <c r="N177" i="12" s="1"/>
  <c r="O177" i="12" s="1"/>
  <c r="P177" i="12" s="1"/>
  <c r="Q177" i="12" s="1"/>
  <c r="R177" i="12" s="1"/>
  <c r="S177" i="12" s="1"/>
  <c r="T177" i="12" s="1"/>
  <c r="U177" i="12" s="1"/>
  <c r="V177" i="12" s="1"/>
  <c r="W177" i="12" s="1"/>
  <c r="X177" i="12" s="1"/>
  <c r="Y177" i="12" s="1"/>
  <c r="Z177" i="12" s="1"/>
  <c r="AA177" i="12" s="1"/>
  <c r="AB177" i="12" s="1"/>
  <c r="AC177" i="12" s="1"/>
  <c r="AD177" i="12" s="1"/>
  <c r="AE177" i="12" s="1"/>
  <c r="AF177" i="12" s="1"/>
  <c r="B177" i="12" s="1"/>
  <c r="H176" i="12"/>
  <c r="I176" i="12" s="1"/>
  <c r="J176" i="12" s="1"/>
  <c r="K176" i="12" s="1"/>
  <c r="L176" i="12" s="1"/>
  <c r="M176" i="12" s="1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B176" i="12" s="1"/>
  <c r="D176" i="12"/>
  <c r="E176" i="12" s="1"/>
  <c r="F176" i="12" s="1"/>
  <c r="G176" i="12" s="1"/>
  <c r="D175" i="12"/>
  <c r="E175" i="12" s="1"/>
  <c r="F175" i="12" s="1"/>
  <c r="G175" i="12" s="1"/>
  <c r="H175" i="12" s="1"/>
  <c r="I175" i="12" s="1"/>
  <c r="J175" i="12" s="1"/>
  <c r="K175" i="12" s="1"/>
  <c r="L175" i="12" s="1"/>
  <c r="M175" i="12" s="1"/>
  <c r="N175" i="12" s="1"/>
  <c r="O175" i="12" s="1"/>
  <c r="P175" i="12" s="1"/>
  <c r="Q175" i="12" s="1"/>
  <c r="R175" i="12" s="1"/>
  <c r="S175" i="12" s="1"/>
  <c r="T175" i="12" s="1"/>
  <c r="U175" i="12" s="1"/>
  <c r="V175" i="12" s="1"/>
  <c r="W175" i="12" s="1"/>
  <c r="X175" i="12" s="1"/>
  <c r="Y175" i="12" s="1"/>
  <c r="Z175" i="12" s="1"/>
  <c r="AA175" i="12" s="1"/>
  <c r="AB175" i="12" s="1"/>
  <c r="AC175" i="12" s="1"/>
  <c r="AD175" i="12" s="1"/>
  <c r="AE175" i="12" s="1"/>
  <c r="AF175" i="12" s="1"/>
  <c r="B175" i="12" s="1"/>
  <c r="F174" i="12"/>
  <c r="G174" i="12" s="1"/>
  <c r="H174" i="12" s="1"/>
  <c r="I174" i="12" s="1"/>
  <c r="J174" i="12" s="1"/>
  <c r="K174" i="12" s="1"/>
  <c r="L174" i="12" s="1"/>
  <c r="M174" i="12" s="1"/>
  <c r="N174" i="12" s="1"/>
  <c r="O174" i="12" s="1"/>
  <c r="P174" i="12" s="1"/>
  <c r="Q174" i="12" s="1"/>
  <c r="R174" i="12" s="1"/>
  <c r="S174" i="12" s="1"/>
  <c r="T174" i="12" s="1"/>
  <c r="U174" i="12" s="1"/>
  <c r="V174" i="12" s="1"/>
  <c r="W174" i="12" s="1"/>
  <c r="X174" i="12" s="1"/>
  <c r="Y174" i="12" s="1"/>
  <c r="Z174" i="12" s="1"/>
  <c r="AA174" i="12" s="1"/>
  <c r="AB174" i="12" s="1"/>
  <c r="AC174" i="12" s="1"/>
  <c r="AD174" i="12" s="1"/>
  <c r="AE174" i="12" s="1"/>
  <c r="AF174" i="12" s="1"/>
  <c r="B174" i="12" s="1"/>
  <c r="D174" i="12"/>
  <c r="E174" i="12" s="1"/>
  <c r="L173" i="12"/>
  <c r="M173" i="12" s="1"/>
  <c r="N173" i="12" s="1"/>
  <c r="O173" i="12" s="1"/>
  <c r="P173" i="12" s="1"/>
  <c r="Q173" i="12" s="1"/>
  <c r="R173" i="12" s="1"/>
  <c r="S173" i="12" s="1"/>
  <c r="T173" i="12" s="1"/>
  <c r="U173" i="12" s="1"/>
  <c r="V173" i="12" s="1"/>
  <c r="W173" i="12" s="1"/>
  <c r="X173" i="12" s="1"/>
  <c r="Y173" i="12" s="1"/>
  <c r="Z173" i="12" s="1"/>
  <c r="AA173" i="12" s="1"/>
  <c r="AB173" i="12" s="1"/>
  <c r="AC173" i="12" s="1"/>
  <c r="AD173" i="12" s="1"/>
  <c r="AE173" i="12" s="1"/>
  <c r="AF173" i="12" s="1"/>
  <c r="B173" i="12" s="1"/>
  <c r="D173" i="12"/>
  <c r="E173" i="12" s="1"/>
  <c r="F173" i="12" s="1"/>
  <c r="G173" i="12" s="1"/>
  <c r="H173" i="12" s="1"/>
  <c r="I173" i="12" s="1"/>
  <c r="J173" i="12" s="1"/>
  <c r="K173" i="12" s="1"/>
  <c r="J172" i="12"/>
  <c r="K172" i="12" s="1"/>
  <c r="L172" i="12" s="1"/>
  <c r="M172" i="12" s="1"/>
  <c r="N172" i="12" s="1"/>
  <c r="O172" i="12" s="1"/>
  <c r="P172" i="12" s="1"/>
  <c r="Q172" i="12" s="1"/>
  <c r="R172" i="12" s="1"/>
  <c r="S172" i="12" s="1"/>
  <c r="T172" i="12" s="1"/>
  <c r="U172" i="12" s="1"/>
  <c r="V172" i="12" s="1"/>
  <c r="W172" i="12" s="1"/>
  <c r="X172" i="12" s="1"/>
  <c r="Y172" i="12" s="1"/>
  <c r="Z172" i="12" s="1"/>
  <c r="AA172" i="12" s="1"/>
  <c r="AB172" i="12" s="1"/>
  <c r="AC172" i="12" s="1"/>
  <c r="AD172" i="12" s="1"/>
  <c r="AE172" i="12" s="1"/>
  <c r="AF172" i="12" s="1"/>
  <c r="B172" i="12" s="1"/>
  <c r="D172" i="12"/>
  <c r="E172" i="12" s="1"/>
  <c r="F172" i="12" s="1"/>
  <c r="G172" i="12" s="1"/>
  <c r="H172" i="12" s="1"/>
  <c r="I172" i="12" s="1"/>
  <c r="H171" i="12"/>
  <c r="I171" i="12" s="1"/>
  <c r="J171" i="12" s="1"/>
  <c r="K171" i="12" s="1"/>
  <c r="L171" i="12" s="1"/>
  <c r="M171" i="12" s="1"/>
  <c r="N171" i="12" s="1"/>
  <c r="O171" i="12" s="1"/>
  <c r="P171" i="12" s="1"/>
  <c r="Q171" i="12" s="1"/>
  <c r="R171" i="12" s="1"/>
  <c r="S171" i="12" s="1"/>
  <c r="T171" i="12" s="1"/>
  <c r="U171" i="12" s="1"/>
  <c r="V171" i="12" s="1"/>
  <c r="W171" i="12" s="1"/>
  <c r="X171" i="12" s="1"/>
  <c r="Y171" i="12" s="1"/>
  <c r="Z171" i="12" s="1"/>
  <c r="AA171" i="12" s="1"/>
  <c r="AB171" i="12" s="1"/>
  <c r="AC171" i="12" s="1"/>
  <c r="AD171" i="12" s="1"/>
  <c r="AE171" i="12" s="1"/>
  <c r="AF171" i="12" s="1"/>
  <c r="B171" i="12" s="1"/>
  <c r="F171" i="12"/>
  <c r="G171" i="12" s="1"/>
  <c r="E171" i="12"/>
  <c r="D171" i="12"/>
  <c r="N170" i="12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B170" i="12" s="1"/>
  <c r="D170" i="12"/>
  <c r="E170" i="12" s="1"/>
  <c r="F170" i="12" s="1"/>
  <c r="G170" i="12" s="1"/>
  <c r="H170" i="12" s="1"/>
  <c r="I170" i="12" s="1"/>
  <c r="J170" i="12" s="1"/>
  <c r="K170" i="12" s="1"/>
  <c r="L170" i="12" s="1"/>
  <c r="M170" i="12" s="1"/>
  <c r="R168" i="12"/>
  <c r="S168" i="12" s="1"/>
  <c r="T168" i="12" s="1"/>
  <c r="U168" i="12" s="1"/>
  <c r="V168" i="12" s="1"/>
  <c r="W168" i="12" s="1"/>
  <c r="X168" i="12" s="1"/>
  <c r="Y168" i="12" s="1"/>
  <c r="Z168" i="12" s="1"/>
  <c r="AA168" i="12" s="1"/>
  <c r="AB168" i="12" s="1"/>
  <c r="AC168" i="12" s="1"/>
  <c r="AD168" i="12" s="1"/>
  <c r="AE168" i="12" s="1"/>
  <c r="AF168" i="12" s="1"/>
  <c r="B168" i="12" s="1"/>
  <c r="E168" i="12"/>
  <c r="F168" i="12" s="1"/>
  <c r="G168" i="12" s="1"/>
  <c r="H168" i="12" s="1"/>
  <c r="I168" i="12" s="1"/>
  <c r="J168" i="12" s="1"/>
  <c r="K168" i="12" s="1"/>
  <c r="L168" i="12" s="1"/>
  <c r="M168" i="12" s="1"/>
  <c r="N168" i="12" s="1"/>
  <c r="O168" i="12" s="1"/>
  <c r="P168" i="12" s="1"/>
  <c r="Q168" i="12" s="1"/>
  <c r="D168" i="12"/>
  <c r="G167" i="12"/>
  <c r="H167" i="12" s="1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B167" i="12" s="1"/>
  <c r="D167" i="12"/>
  <c r="E167" i="12" s="1"/>
  <c r="F167" i="12" s="1"/>
  <c r="E166" i="12"/>
  <c r="F166" i="12" s="1"/>
  <c r="G166" i="12" s="1"/>
  <c r="H166" i="12" s="1"/>
  <c r="I166" i="12" s="1"/>
  <c r="J166" i="12" s="1"/>
  <c r="K166" i="12" s="1"/>
  <c r="L166" i="12" s="1"/>
  <c r="M166" i="12" s="1"/>
  <c r="N166" i="12" s="1"/>
  <c r="O166" i="12" s="1"/>
  <c r="P166" i="12" s="1"/>
  <c r="Q166" i="12" s="1"/>
  <c r="R166" i="12" s="1"/>
  <c r="S166" i="12" s="1"/>
  <c r="T166" i="12" s="1"/>
  <c r="U166" i="12" s="1"/>
  <c r="V166" i="12" s="1"/>
  <c r="W166" i="12" s="1"/>
  <c r="X166" i="12" s="1"/>
  <c r="Y166" i="12" s="1"/>
  <c r="Z166" i="12" s="1"/>
  <c r="AA166" i="12" s="1"/>
  <c r="AB166" i="12" s="1"/>
  <c r="AC166" i="12" s="1"/>
  <c r="AD166" i="12" s="1"/>
  <c r="AE166" i="12" s="1"/>
  <c r="AF166" i="12" s="1"/>
  <c r="B166" i="12" s="1"/>
  <c r="D166" i="12"/>
  <c r="D165" i="12"/>
  <c r="E165" i="12" s="1"/>
  <c r="F165" i="12" s="1"/>
  <c r="G165" i="12" s="1"/>
  <c r="H165" i="12" s="1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B165" i="12" s="1"/>
  <c r="I164" i="12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B164" i="12" s="1"/>
  <c r="E164" i="12"/>
  <c r="F164" i="12" s="1"/>
  <c r="G164" i="12" s="1"/>
  <c r="H164" i="12" s="1"/>
  <c r="D164" i="12"/>
  <c r="D163" i="12"/>
  <c r="E163" i="12" s="1"/>
  <c r="F163" i="12" s="1"/>
  <c r="G163" i="12" s="1"/>
  <c r="H163" i="12" s="1"/>
  <c r="I163" i="12" s="1"/>
  <c r="J163" i="12" s="1"/>
  <c r="K163" i="12" s="1"/>
  <c r="L163" i="12" s="1"/>
  <c r="M163" i="12" s="1"/>
  <c r="N163" i="12" s="1"/>
  <c r="O163" i="12" s="1"/>
  <c r="P163" i="12" s="1"/>
  <c r="Q163" i="12" s="1"/>
  <c r="R163" i="12" s="1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B163" i="12" s="1"/>
  <c r="I162" i="12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B162" i="12" s="1"/>
  <c r="E162" i="12"/>
  <c r="F162" i="12" s="1"/>
  <c r="G162" i="12" s="1"/>
  <c r="H162" i="12" s="1"/>
  <c r="D162" i="12"/>
  <c r="D161" i="12"/>
  <c r="E161" i="12" s="1"/>
  <c r="F161" i="12" s="1"/>
  <c r="G161" i="12" s="1"/>
  <c r="H161" i="12" s="1"/>
  <c r="I161" i="12" s="1"/>
  <c r="J161" i="12" s="1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B161" i="12" s="1"/>
  <c r="I160" i="12"/>
  <c r="J160" i="12" s="1"/>
  <c r="K160" i="12" s="1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B160" i="12" s="1"/>
  <c r="E160" i="12"/>
  <c r="F160" i="12" s="1"/>
  <c r="G160" i="12" s="1"/>
  <c r="H160" i="12" s="1"/>
  <c r="D160" i="12"/>
  <c r="S159" i="12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B159" i="12" s="1"/>
  <c r="D159" i="12"/>
  <c r="E159" i="12" s="1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R159" i="12" s="1"/>
  <c r="I158" i="12"/>
  <c r="J158" i="12" s="1"/>
  <c r="K158" i="12" s="1"/>
  <c r="L158" i="12" s="1"/>
  <c r="M158" i="12" s="1"/>
  <c r="N158" i="12" s="1"/>
  <c r="O158" i="12" s="1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B158" i="12" s="1"/>
  <c r="E158" i="12"/>
  <c r="F158" i="12" s="1"/>
  <c r="G158" i="12" s="1"/>
  <c r="H158" i="12" s="1"/>
  <c r="D158" i="12"/>
  <c r="D157" i="12"/>
  <c r="E157" i="12" s="1"/>
  <c r="F157" i="12" s="1"/>
  <c r="G157" i="12" s="1"/>
  <c r="H157" i="12" s="1"/>
  <c r="I157" i="12" s="1"/>
  <c r="J157" i="12" s="1"/>
  <c r="K157" i="12" s="1"/>
  <c r="L157" i="12" s="1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B157" i="12" s="1"/>
  <c r="AC156" i="12"/>
  <c r="AD156" i="12" s="1"/>
  <c r="AE156" i="12" s="1"/>
  <c r="AF156" i="12" s="1"/>
  <c r="B156" i="12" s="1"/>
  <c r="I156" i="12"/>
  <c r="J156" i="12" s="1"/>
  <c r="K156" i="12" s="1"/>
  <c r="L156" i="12" s="1"/>
  <c r="M156" i="12" s="1"/>
  <c r="N156" i="12" s="1"/>
  <c r="O156" i="12" s="1"/>
  <c r="P156" i="12" s="1"/>
  <c r="Q156" i="12" s="1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E156" i="12"/>
  <c r="F156" i="12" s="1"/>
  <c r="G156" i="12" s="1"/>
  <c r="H156" i="12" s="1"/>
  <c r="D156" i="12"/>
  <c r="D154" i="12"/>
  <c r="E154" i="12" s="1"/>
  <c r="F154" i="12" s="1"/>
  <c r="G154" i="12" s="1"/>
  <c r="H154" i="12" s="1"/>
  <c r="I154" i="12" s="1"/>
  <c r="J154" i="12" s="1"/>
  <c r="K154" i="12" s="1"/>
  <c r="L154" i="12" s="1"/>
  <c r="M154" i="12" s="1"/>
  <c r="N154" i="12" s="1"/>
  <c r="O154" i="12" s="1"/>
  <c r="P154" i="12" s="1"/>
  <c r="Q154" i="12" s="1"/>
  <c r="R154" i="12" s="1"/>
  <c r="S154" i="12" s="1"/>
  <c r="T154" i="12" s="1"/>
  <c r="U154" i="12" s="1"/>
  <c r="V154" i="12" s="1"/>
  <c r="W154" i="12" s="1"/>
  <c r="X154" i="12" s="1"/>
  <c r="Y154" i="12" s="1"/>
  <c r="Z154" i="12" s="1"/>
  <c r="AA154" i="12" s="1"/>
  <c r="AB154" i="12" s="1"/>
  <c r="AC154" i="12" s="1"/>
  <c r="AD154" i="12" s="1"/>
  <c r="AE154" i="12" s="1"/>
  <c r="AF154" i="12" s="1"/>
  <c r="B154" i="12" s="1"/>
  <c r="I153" i="12"/>
  <c r="J153" i="12" s="1"/>
  <c r="K153" i="12" s="1"/>
  <c r="L153" i="12" s="1"/>
  <c r="M153" i="12" s="1"/>
  <c r="N153" i="12" s="1"/>
  <c r="O153" i="12" s="1"/>
  <c r="P153" i="12" s="1"/>
  <c r="Q153" i="12" s="1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B153" i="12" s="1"/>
  <c r="E153" i="12"/>
  <c r="F153" i="12" s="1"/>
  <c r="G153" i="12" s="1"/>
  <c r="H153" i="12" s="1"/>
  <c r="D153" i="12"/>
  <c r="D152" i="12"/>
  <c r="E152" i="12" s="1"/>
  <c r="F152" i="12" s="1"/>
  <c r="G152" i="12" s="1"/>
  <c r="H152" i="12" s="1"/>
  <c r="I152" i="12" s="1"/>
  <c r="J152" i="12" s="1"/>
  <c r="K152" i="12" s="1"/>
  <c r="L152" i="12" s="1"/>
  <c r="M152" i="12" s="1"/>
  <c r="N152" i="12" s="1"/>
  <c r="O152" i="12" s="1"/>
  <c r="P152" i="12" s="1"/>
  <c r="Q152" i="12" s="1"/>
  <c r="R152" i="12" s="1"/>
  <c r="S152" i="12" s="1"/>
  <c r="T152" i="12" s="1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AF152" i="12" s="1"/>
  <c r="B152" i="12" s="1"/>
  <c r="D151" i="12"/>
  <c r="E151" i="12" s="1"/>
  <c r="F151" i="12" s="1"/>
  <c r="G151" i="12" s="1"/>
  <c r="H151" i="12" s="1"/>
  <c r="I151" i="12" s="1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B151" i="12" s="1"/>
  <c r="X149" i="12"/>
  <c r="Y149" i="12" s="1"/>
  <c r="Z149" i="12" s="1"/>
  <c r="AA149" i="12" s="1"/>
  <c r="AB149" i="12" s="1"/>
  <c r="AC149" i="12" s="1"/>
  <c r="AD149" i="12" s="1"/>
  <c r="AE149" i="12" s="1"/>
  <c r="AF149" i="12" s="1"/>
  <c r="B149" i="12" s="1"/>
  <c r="N149" i="12"/>
  <c r="O149" i="12" s="1"/>
  <c r="P149" i="12" s="1"/>
  <c r="Q149" i="12" s="1"/>
  <c r="R149" i="12" s="1"/>
  <c r="S149" i="12" s="1"/>
  <c r="T149" i="12" s="1"/>
  <c r="U149" i="12" s="1"/>
  <c r="V149" i="12" s="1"/>
  <c r="W149" i="12" s="1"/>
  <c r="F149" i="12"/>
  <c r="G149" i="12" s="1"/>
  <c r="H149" i="12" s="1"/>
  <c r="I149" i="12" s="1"/>
  <c r="J149" i="12" s="1"/>
  <c r="K149" i="12" s="1"/>
  <c r="L149" i="12" s="1"/>
  <c r="M149" i="12" s="1"/>
  <c r="D149" i="12"/>
  <c r="E149" i="12" s="1"/>
  <c r="D148" i="12"/>
  <c r="E148" i="12" s="1"/>
  <c r="F148" i="12" s="1"/>
  <c r="G148" i="12" s="1"/>
  <c r="H148" i="12" s="1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B148" i="12" s="1"/>
  <c r="D146" i="12"/>
  <c r="E146" i="12" s="1"/>
  <c r="F146" i="12" s="1"/>
  <c r="G146" i="12" s="1"/>
  <c r="H146" i="12" s="1"/>
  <c r="I146" i="12" s="1"/>
  <c r="J146" i="12" s="1"/>
  <c r="K146" i="12" s="1"/>
  <c r="L146" i="12" s="1"/>
  <c r="M146" i="12" s="1"/>
  <c r="N146" i="12" s="1"/>
  <c r="O146" i="12" s="1"/>
  <c r="P146" i="12" s="1"/>
  <c r="Q146" i="12" s="1"/>
  <c r="R146" i="12" s="1"/>
  <c r="S146" i="12" s="1"/>
  <c r="T146" i="12" s="1"/>
  <c r="U146" i="12" s="1"/>
  <c r="V146" i="12" s="1"/>
  <c r="W146" i="12" s="1"/>
  <c r="X146" i="12" s="1"/>
  <c r="Y146" i="12" s="1"/>
  <c r="Z146" i="12" s="1"/>
  <c r="AA146" i="12" s="1"/>
  <c r="AB146" i="12" s="1"/>
  <c r="AC146" i="12" s="1"/>
  <c r="AD146" i="12" s="1"/>
  <c r="AE146" i="12" s="1"/>
  <c r="AF146" i="12" s="1"/>
  <c r="B146" i="12" s="1"/>
  <c r="D145" i="12"/>
  <c r="E145" i="12" s="1"/>
  <c r="F145" i="12" s="1"/>
  <c r="G145" i="12" s="1"/>
  <c r="H145" i="12" s="1"/>
  <c r="I145" i="12" s="1"/>
  <c r="J145" i="12" s="1"/>
  <c r="K145" i="12" s="1"/>
  <c r="L145" i="12" s="1"/>
  <c r="M145" i="12" s="1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B145" i="12" s="1"/>
  <c r="H144" i="12"/>
  <c r="I144" i="12" s="1"/>
  <c r="J144" i="12" s="1"/>
  <c r="K144" i="12" s="1"/>
  <c r="L144" i="12" s="1"/>
  <c r="M144" i="12" s="1"/>
  <c r="N144" i="12" s="1"/>
  <c r="O144" i="12" s="1"/>
  <c r="P144" i="12" s="1"/>
  <c r="Q144" i="12" s="1"/>
  <c r="R144" i="12" s="1"/>
  <c r="S144" i="12" s="1"/>
  <c r="T144" i="12" s="1"/>
  <c r="U144" i="12" s="1"/>
  <c r="V144" i="12" s="1"/>
  <c r="W144" i="12" s="1"/>
  <c r="X144" i="12" s="1"/>
  <c r="Y144" i="12" s="1"/>
  <c r="Z144" i="12" s="1"/>
  <c r="AA144" i="12" s="1"/>
  <c r="AB144" i="12" s="1"/>
  <c r="AC144" i="12" s="1"/>
  <c r="AD144" i="12" s="1"/>
  <c r="AE144" i="12" s="1"/>
  <c r="AF144" i="12" s="1"/>
  <c r="B144" i="12" s="1"/>
  <c r="E144" i="12"/>
  <c r="F144" i="12" s="1"/>
  <c r="G144" i="12" s="1"/>
  <c r="D144" i="12"/>
  <c r="X143" i="12"/>
  <c r="Y143" i="12" s="1"/>
  <c r="Z143" i="12" s="1"/>
  <c r="AA143" i="12" s="1"/>
  <c r="AB143" i="12" s="1"/>
  <c r="AC143" i="12" s="1"/>
  <c r="AD143" i="12" s="1"/>
  <c r="AE143" i="12" s="1"/>
  <c r="AF143" i="12" s="1"/>
  <c r="B143" i="12" s="1"/>
  <c r="D143" i="12"/>
  <c r="E143" i="12" s="1"/>
  <c r="F143" i="12" s="1"/>
  <c r="G143" i="12" s="1"/>
  <c r="H143" i="12" s="1"/>
  <c r="I143" i="12" s="1"/>
  <c r="J143" i="12" s="1"/>
  <c r="K143" i="12" s="1"/>
  <c r="L143" i="12" s="1"/>
  <c r="M143" i="12" s="1"/>
  <c r="N143" i="12" s="1"/>
  <c r="O143" i="12" s="1"/>
  <c r="P143" i="12" s="1"/>
  <c r="Q143" i="12" s="1"/>
  <c r="R143" i="12" s="1"/>
  <c r="S143" i="12" s="1"/>
  <c r="T143" i="12" s="1"/>
  <c r="U143" i="12" s="1"/>
  <c r="V143" i="12" s="1"/>
  <c r="W143" i="12" s="1"/>
  <c r="AB142" i="12"/>
  <c r="AC142" i="12" s="1"/>
  <c r="AD142" i="12" s="1"/>
  <c r="AE142" i="12" s="1"/>
  <c r="AF142" i="12" s="1"/>
  <c r="B142" i="12" s="1"/>
  <c r="D142" i="12"/>
  <c r="E142" i="12" s="1"/>
  <c r="F142" i="12" s="1"/>
  <c r="G142" i="12" s="1"/>
  <c r="H142" i="12" s="1"/>
  <c r="I142" i="12" s="1"/>
  <c r="J142" i="12" s="1"/>
  <c r="K142" i="12" s="1"/>
  <c r="L142" i="12" s="1"/>
  <c r="M142" i="12" s="1"/>
  <c r="N142" i="12" s="1"/>
  <c r="O142" i="12" s="1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J141" i="12"/>
  <c r="K141" i="12" s="1"/>
  <c r="L141" i="12" s="1"/>
  <c r="M141" i="12" s="1"/>
  <c r="N141" i="12" s="1"/>
  <c r="O141" i="12" s="1"/>
  <c r="P141" i="12" s="1"/>
  <c r="Q141" i="12" s="1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B141" i="12" s="1"/>
  <c r="D141" i="12"/>
  <c r="E141" i="12" s="1"/>
  <c r="F141" i="12" s="1"/>
  <c r="G141" i="12" s="1"/>
  <c r="H141" i="12" s="1"/>
  <c r="I141" i="12" s="1"/>
  <c r="H140" i="12"/>
  <c r="I140" i="12" s="1"/>
  <c r="J140" i="12" s="1"/>
  <c r="K140" i="12" s="1"/>
  <c r="L140" i="12" s="1"/>
  <c r="M140" i="12" s="1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B140" i="12" s="1"/>
  <c r="E140" i="12"/>
  <c r="F140" i="12" s="1"/>
  <c r="G140" i="12" s="1"/>
  <c r="D140" i="12"/>
  <c r="D138" i="12"/>
  <c r="E138" i="12" s="1"/>
  <c r="F138" i="12" s="1"/>
  <c r="G138" i="12" s="1"/>
  <c r="H138" i="12" s="1"/>
  <c r="I138" i="12" s="1"/>
  <c r="J138" i="12" s="1"/>
  <c r="K138" i="12" s="1"/>
  <c r="L138" i="12" s="1"/>
  <c r="M138" i="12" s="1"/>
  <c r="N138" i="12" s="1"/>
  <c r="O138" i="12" s="1"/>
  <c r="P138" i="12" s="1"/>
  <c r="Q138" i="12" s="1"/>
  <c r="R138" i="12" s="1"/>
  <c r="S138" i="12" s="1"/>
  <c r="T138" i="12" s="1"/>
  <c r="U138" i="12" s="1"/>
  <c r="V138" i="12" s="1"/>
  <c r="W138" i="12" s="1"/>
  <c r="X138" i="12" s="1"/>
  <c r="Y138" i="12" s="1"/>
  <c r="Z138" i="12" s="1"/>
  <c r="AA138" i="12" s="1"/>
  <c r="AB138" i="12" s="1"/>
  <c r="AC138" i="12" s="1"/>
  <c r="AD138" i="12" s="1"/>
  <c r="AE138" i="12" s="1"/>
  <c r="AF138" i="12" s="1"/>
  <c r="B138" i="12" s="1"/>
  <c r="D137" i="12"/>
  <c r="E137" i="12" s="1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B137" i="12" s="1"/>
  <c r="V136" i="12"/>
  <c r="W136" i="12" s="1"/>
  <c r="X136" i="12" s="1"/>
  <c r="Y136" i="12" s="1"/>
  <c r="Z136" i="12" s="1"/>
  <c r="AA136" i="12" s="1"/>
  <c r="AB136" i="12" s="1"/>
  <c r="AC136" i="12" s="1"/>
  <c r="AD136" i="12" s="1"/>
  <c r="AE136" i="12" s="1"/>
  <c r="AF136" i="12" s="1"/>
  <c r="B136" i="12" s="1"/>
  <c r="L136" i="12"/>
  <c r="M136" i="12" s="1"/>
  <c r="N136" i="12" s="1"/>
  <c r="O136" i="12" s="1"/>
  <c r="P136" i="12" s="1"/>
  <c r="Q136" i="12" s="1"/>
  <c r="R136" i="12" s="1"/>
  <c r="S136" i="12" s="1"/>
  <c r="T136" i="12" s="1"/>
  <c r="U136" i="12" s="1"/>
  <c r="D136" i="12"/>
  <c r="E136" i="12" s="1"/>
  <c r="F136" i="12" s="1"/>
  <c r="G136" i="12" s="1"/>
  <c r="H136" i="12" s="1"/>
  <c r="I136" i="12" s="1"/>
  <c r="J136" i="12" s="1"/>
  <c r="K136" i="12" s="1"/>
  <c r="J135" i="12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B135" i="12" s="1"/>
  <c r="H135" i="12"/>
  <c r="I135" i="12" s="1"/>
  <c r="D135" i="12"/>
  <c r="E135" i="12" s="1"/>
  <c r="F135" i="12" s="1"/>
  <c r="G135" i="12" s="1"/>
  <c r="AD134" i="12"/>
  <c r="AE134" i="12" s="1"/>
  <c r="AF134" i="12" s="1"/>
  <c r="B134" i="12" s="1"/>
  <c r="R134" i="12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H134" i="12"/>
  <c r="I134" i="12" s="1"/>
  <c r="J134" i="12" s="1"/>
  <c r="K134" i="12" s="1"/>
  <c r="L134" i="12" s="1"/>
  <c r="M134" i="12" s="1"/>
  <c r="N134" i="12" s="1"/>
  <c r="O134" i="12" s="1"/>
  <c r="P134" i="12" s="1"/>
  <c r="Q134" i="12" s="1"/>
  <c r="D134" i="12"/>
  <c r="E134" i="12" s="1"/>
  <c r="F134" i="12" s="1"/>
  <c r="G134" i="12" s="1"/>
  <c r="G133" i="12"/>
  <c r="H133" i="12" s="1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B133" i="12" s="1"/>
  <c r="D133" i="12"/>
  <c r="E133" i="12" s="1"/>
  <c r="F133" i="12" s="1"/>
  <c r="E132" i="12"/>
  <c r="F132" i="12" s="1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B132" i="12" s="1"/>
  <c r="D132" i="12"/>
  <c r="S131" i="12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B131" i="12" s="1"/>
  <c r="K131" i="12"/>
  <c r="L131" i="12" s="1"/>
  <c r="M131" i="12" s="1"/>
  <c r="N131" i="12" s="1"/>
  <c r="O131" i="12" s="1"/>
  <c r="P131" i="12" s="1"/>
  <c r="Q131" i="12" s="1"/>
  <c r="R131" i="12" s="1"/>
  <c r="J131" i="12"/>
  <c r="H131" i="12"/>
  <c r="I131" i="12" s="1"/>
  <c r="D131" i="12"/>
  <c r="E131" i="12" s="1"/>
  <c r="F131" i="12" s="1"/>
  <c r="G131" i="12" s="1"/>
  <c r="V129" i="12"/>
  <c r="W129" i="12" s="1"/>
  <c r="X129" i="12" s="1"/>
  <c r="Y129" i="12" s="1"/>
  <c r="Z129" i="12" s="1"/>
  <c r="AA129" i="12" s="1"/>
  <c r="AB129" i="12" s="1"/>
  <c r="AC129" i="12" s="1"/>
  <c r="AD129" i="12" s="1"/>
  <c r="AE129" i="12" s="1"/>
  <c r="AF129" i="12" s="1"/>
  <c r="B129" i="12" s="1"/>
  <c r="O129" i="12"/>
  <c r="P129" i="12" s="1"/>
  <c r="Q129" i="12" s="1"/>
  <c r="R129" i="12" s="1"/>
  <c r="S129" i="12" s="1"/>
  <c r="T129" i="12" s="1"/>
  <c r="U129" i="12" s="1"/>
  <c r="I129" i="12"/>
  <c r="J129" i="12" s="1"/>
  <c r="K129" i="12" s="1"/>
  <c r="L129" i="12" s="1"/>
  <c r="M129" i="12" s="1"/>
  <c r="N129" i="12" s="1"/>
  <c r="E129" i="12"/>
  <c r="F129" i="12" s="1"/>
  <c r="G129" i="12" s="1"/>
  <c r="H129" i="12" s="1"/>
  <c r="D129" i="12"/>
  <c r="O128" i="12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B128" i="12" s="1"/>
  <c r="K128" i="12"/>
  <c r="L128" i="12" s="1"/>
  <c r="M128" i="12" s="1"/>
  <c r="N128" i="12" s="1"/>
  <c r="H128" i="12"/>
  <c r="I128" i="12" s="1"/>
  <c r="J128" i="12" s="1"/>
  <c r="G128" i="12"/>
  <c r="F128" i="12"/>
  <c r="E128" i="12"/>
  <c r="D128" i="12"/>
  <c r="I127" i="12"/>
  <c r="J127" i="12" s="1"/>
  <c r="K127" i="12" s="1"/>
  <c r="L127" i="12" s="1"/>
  <c r="M127" i="12" s="1"/>
  <c r="N127" i="12" s="1"/>
  <c r="O127" i="12" s="1"/>
  <c r="P127" i="12" s="1"/>
  <c r="Q127" i="12" s="1"/>
  <c r="R127" i="12" s="1"/>
  <c r="S127" i="12" s="1"/>
  <c r="T127" i="12" s="1"/>
  <c r="U127" i="12" s="1"/>
  <c r="V127" i="12" s="1"/>
  <c r="W127" i="12" s="1"/>
  <c r="X127" i="12" s="1"/>
  <c r="Y127" i="12" s="1"/>
  <c r="Z127" i="12" s="1"/>
  <c r="AA127" i="12" s="1"/>
  <c r="AB127" i="12" s="1"/>
  <c r="AC127" i="12" s="1"/>
  <c r="AD127" i="12" s="1"/>
  <c r="AE127" i="12" s="1"/>
  <c r="AF127" i="12" s="1"/>
  <c r="B127" i="12" s="1"/>
  <c r="F127" i="12"/>
  <c r="G127" i="12" s="1"/>
  <c r="H127" i="12" s="1"/>
  <c r="E127" i="12"/>
  <c r="D127" i="12"/>
  <c r="D126" i="12"/>
  <c r="E126" i="12" s="1"/>
  <c r="F126" i="12" s="1"/>
  <c r="G126" i="12" s="1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B126" i="12" s="1"/>
  <c r="AC125" i="12"/>
  <c r="AD125" i="12" s="1"/>
  <c r="AE125" i="12" s="1"/>
  <c r="AF125" i="12" s="1"/>
  <c r="B125" i="12" s="1"/>
  <c r="J125" i="12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V125" i="12" s="1"/>
  <c r="W125" i="12" s="1"/>
  <c r="X125" i="12" s="1"/>
  <c r="Y125" i="12" s="1"/>
  <c r="Z125" i="12" s="1"/>
  <c r="AA125" i="12" s="1"/>
  <c r="AB125" i="12" s="1"/>
  <c r="H125" i="12"/>
  <c r="D125" i="12"/>
  <c r="E125" i="12" s="1"/>
  <c r="F125" i="12" s="1"/>
  <c r="G125" i="12" s="1"/>
  <c r="O124" i="12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B124" i="12" s="1"/>
  <c r="N124" i="12"/>
  <c r="J124" i="12"/>
  <c r="K124" i="12" s="1"/>
  <c r="L124" i="12" s="1"/>
  <c r="M124" i="12" s="1"/>
  <c r="G124" i="12"/>
  <c r="H124" i="12" s="1"/>
  <c r="I124" i="12" s="1"/>
  <c r="F124" i="12"/>
  <c r="E124" i="12"/>
  <c r="D124" i="12"/>
  <c r="L123" i="12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B123" i="12" s="1"/>
  <c r="H123" i="12"/>
  <c r="I123" i="12" s="1"/>
  <c r="J123" i="12" s="1"/>
  <c r="K123" i="12" s="1"/>
  <c r="E123" i="12"/>
  <c r="F123" i="12" s="1"/>
  <c r="G123" i="12" s="1"/>
  <c r="D123" i="12"/>
  <c r="F122" i="12"/>
  <c r="G122" i="12" s="1"/>
  <c r="H122" i="12" s="1"/>
  <c r="I122" i="12" s="1"/>
  <c r="J122" i="12" s="1"/>
  <c r="K122" i="12" s="1"/>
  <c r="L122" i="12" s="1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AB122" i="12" s="1"/>
  <c r="AC122" i="12" s="1"/>
  <c r="AD122" i="12" s="1"/>
  <c r="AE122" i="12" s="1"/>
  <c r="AF122" i="12" s="1"/>
  <c r="B122" i="12" s="1"/>
  <c r="E122" i="12"/>
  <c r="D122" i="12"/>
  <c r="D121" i="12"/>
  <c r="E121" i="12" s="1"/>
  <c r="F121" i="12" s="1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B121" i="12" s="1"/>
  <c r="O120" i="12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B120" i="12" s="1"/>
  <c r="N120" i="12"/>
  <c r="E120" i="12"/>
  <c r="F120" i="12" s="1"/>
  <c r="G120" i="12" s="1"/>
  <c r="H120" i="12" s="1"/>
  <c r="I120" i="12" s="1"/>
  <c r="J120" i="12" s="1"/>
  <c r="K120" i="12" s="1"/>
  <c r="L120" i="12" s="1"/>
  <c r="M120" i="12" s="1"/>
  <c r="D120" i="12"/>
  <c r="D119" i="12"/>
  <c r="E119" i="12" s="1"/>
  <c r="F119" i="12" s="1"/>
  <c r="G119" i="12" s="1"/>
  <c r="H119" i="12" s="1"/>
  <c r="I119" i="12" s="1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B119" i="12" s="1"/>
  <c r="D118" i="12"/>
  <c r="E118" i="12" s="1"/>
  <c r="F118" i="12" s="1"/>
  <c r="G118" i="12" s="1"/>
  <c r="H118" i="12" s="1"/>
  <c r="I118" i="12" s="1"/>
  <c r="J118" i="12" s="1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B118" i="12" s="1"/>
  <c r="I117" i="12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B117" i="12" s="1"/>
  <c r="H117" i="12"/>
  <c r="G117" i="12"/>
  <c r="D117" i="12"/>
  <c r="E117" i="12" s="1"/>
  <c r="F117" i="12" s="1"/>
  <c r="G116" i="12"/>
  <c r="H116" i="12" s="1"/>
  <c r="I116" i="12" s="1"/>
  <c r="J116" i="12" s="1"/>
  <c r="K116" i="12" s="1"/>
  <c r="L116" i="12" s="1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B116" i="12" s="1"/>
  <c r="F116" i="12"/>
  <c r="E116" i="12"/>
  <c r="D116" i="12"/>
  <c r="F115" i="12"/>
  <c r="G115" i="12" s="1"/>
  <c r="H115" i="12" s="1"/>
  <c r="I115" i="12" s="1"/>
  <c r="J115" i="12" s="1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B115" i="12" s="1"/>
  <c r="E115" i="12"/>
  <c r="D115" i="12"/>
  <c r="N114" i="12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B114" i="12" s="1"/>
  <c r="M114" i="12"/>
  <c r="L114" i="12"/>
  <c r="K114" i="12"/>
  <c r="D114" i="12"/>
  <c r="E114" i="12" s="1"/>
  <c r="F114" i="12" s="1"/>
  <c r="G114" i="12" s="1"/>
  <c r="H114" i="12" s="1"/>
  <c r="I114" i="12" s="1"/>
  <c r="F113" i="12"/>
  <c r="G113" i="12" s="1"/>
  <c r="H113" i="12" s="1"/>
  <c r="I113" i="12" s="1"/>
  <c r="J113" i="12" s="1"/>
  <c r="K113" i="12" s="1"/>
  <c r="L113" i="12" s="1"/>
  <c r="M113" i="12" s="1"/>
  <c r="N113" i="12" s="1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B113" i="12" s="1"/>
  <c r="E113" i="12"/>
  <c r="D113" i="12"/>
  <c r="G112" i="12"/>
  <c r="H112" i="12" s="1"/>
  <c r="I112" i="12" s="1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B112" i="12" s="1"/>
  <c r="F112" i="12"/>
  <c r="E112" i="12"/>
  <c r="D112" i="12"/>
  <c r="D110" i="12"/>
  <c r="E110" i="12" s="1"/>
  <c r="F110" i="12" s="1"/>
  <c r="G110" i="12" s="1"/>
  <c r="H110" i="12" s="1"/>
  <c r="I110" i="12" s="1"/>
  <c r="J110" i="12" s="1"/>
  <c r="K110" i="12" s="1"/>
  <c r="L110" i="12" s="1"/>
  <c r="M110" i="12" s="1"/>
  <c r="N110" i="12" s="1"/>
  <c r="O110" i="12" s="1"/>
  <c r="P110" i="12" s="1"/>
  <c r="Q110" i="12" s="1"/>
  <c r="R110" i="12" s="1"/>
  <c r="S110" i="12" s="1"/>
  <c r="T110" i="12" s="1"/>
  <c r="U110" i="12" s="1"/>
  <c r="V110" i="12" s="1"/>
  <c r="W110" i="12" s="1"/>
  <c r="X110" i="12" s="1"/>
  <c r="Y110" i="12" s="1"/>
  <c r="Z110" i="12" s="1"/>
  <c r="AA110" i="12" s="1"/>
  <c r="AB110" i="12" s="1"/>
  <c r="AC110" i="12" s="1"/>
  <c r="AD110" i="12" s="1"/>
  <c r="AE110" i="12" s="1"/>
  <c r="AF110" i="12" s="1"/>
  <c r="B110" i="12" s="1"/>
  <c r="D109" i="12"/>
  <c r="E109" i="12" s="1"/>
  <c r="G107" i="12"/>
  <c r="H107" i="12" s="1"/>
  <c r="I107" i="12" s="1"/>
  <c r="J107" i="12" s="1"/>
  <c r="K107" i="12" s="1"/>
  <c r="L107" i="12" s="1"/>
  <c r="M107" i="12" s="1"/>
  <c r="N107" i="12" s="1"/>
  <c r="O107" i="12" s="1"/>
  <c r="P107" i="12" s="1"/>
  <c r="Q107" i="12" s="1"/>
  <c r="R107" i="12" s="1"/>
  <c r="S107" i="12" s="1"/>
  <c r="T107" i="12" s="1"/>
  <c r="U107" i="12" s="1"/>
  <c r="V107" i="12" s="1"/>
  <c r="W107" i="12" s="1"/>
  <c r="X107" i="12" s="1"/>
  <c r="Y107" i="12" s="1"/>
  <c r="Z107" i="12" s="1"/>
  <c r="AA107" i="12" s="1"/>
  <c r="AB107" i="12" s="1"/>
  <c r="AC107" i="12" s="1"/>
  <c r="AD107" i="12" s="1"/>
  <c r="AE107" i="12" s="1"/>
  <c r="AF107" i="12" s="1"/>
  <c r="B107" i="12" s="1"/>
  <c r="F107" i="12"/>
  <c r="E107" i="12"/>
  <c r="D107" i="12"/>
  <c r="E106" i="12"/>
  <c r="F106" i="12" s="1"/>
  <c r="G106" i="12" s="1"/>
  <c r="H106" i="12" s="1"/>
  <c r="I106" i="12" s="1"/>
  <c r="J106" i="12" s="1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B106" i="12" s="1"/>
  <c r="D106" i="12"/>
  <c r="D105" i="12"/>
  <c r="E105" i="12" s="1"/>
  <c r="F105" i="12" s="1"/>
  <c r="G105" i="12" s="1"/>
  <c r="H105" i="12" s="1"/>
  <c r="I105" i="12" s="1"/>
  <c r="J105" i="12" s="1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B105" i="12" s="1"/>
  <c r="D104" i="12"/>
  <c r="E104" i="12" s="1"/>
  <c r="F104" i="12" s="1"/>
  <c r="G104" i="12" s="1"/>
  <c r="H104" i="12" s="1"/>
  <c r="I104" i="12" s="1"/>
  <c r="J104" i="12" s="1"/>
  <c r="K104" i="12" s="1"/>
  <c r="L104" i="12" s="1"/>
  <c r="M104" i="12" s="1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B104" i="12" s="1"/>
  <c r="G103" i="12"/>
  <c r="F103" i="12"/>
  <c r="E103" i="12"/>
  <c r="D103" i="12"/>
  <c r="E102" i="12"/>
  <c r="E192" i="12" s="1"/>
  <c r="D102" i="12"/>
  <c r="AH100" i="12"/>
  <c r="AI100" i="12" s="1"/>
  <c r="AH99" i="12"/>
  <c r="AI99" i="12" s="1"/>
  <c r="AH98" i="12"/>
  <c r="AI98" i="12" s="1"/>
  <c r="AH97" i="12"/>
  <c r="AI97" i="12" s="1"/>
  <c r="AH96" i="12"/>
  <c r="AI96" i="12" s="1"/>
  <c r="AH95" i="12"/>
  <c r="AI95" i="12" s="1"/>
  <c r="AH94" i="12"/>
  <c r="AI94" i="12" s="1"/>
  <c r="D93" i="12"/>
  <c r="C93" i="12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G82" i="12"/>
  <c r="AI81" i="12"/>
  <c r="AH81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AF76" i="12"/>
  <c r="AE76" i="12"/>
  <c r="AE82" i="12" s="1"/>
  <c r="AD76" i="12"/>
  <c r="AC76" i="12"/>
  <c r="AB76" i="12"/>
  <c r="AA76" i="12"/>
  <c r="Z76" i="12"/>
  <c r="Y76" i="12"/>
  <c r="X76" i="12"/>
  <c r="X82" i="12" s="1"/>
  <c r="W76" i="12"/>
  <c r="W82" i="12" s="1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H82" i="12" s="1"/>
  <c r="G76" i="12"/>
  <c r="F76" i="12"/>
  <c r="E76" i="12"/>
  <c r="D76" i="12"/>
  <c r="C76" i="12"/>
  <c r="AI74" i="12"/>
  <c r="AH74" i="12"/>
  <c r="AI72" i="12"/>
  <c r="AH72" i="12"/>
  <c r="AG72" i="12"/>
  <c r="AI71" i="12"/>
  <c r="AH71" i="12"/>
  <c r="AI70" i="12"/>
  <c r="AH70" i="12"/>
  <c r="AI69" i="12"/>
  <c r="AH69" i="12"/>
  <c r="AG68" i="12"/>
  <c r="AF68" i="12"/>
  <c r="AE5" i="12" s="1"/>
  <c r="AE68" i="12"/>
  <c r="AD68" i="12"/>
  <c r="AC5" i="12" s="1"/>
  <c r="AC68" i="12"/>
  <c r="AB5" i="12" s="1"/>
  <c r="AB68" i="12"/>
  <c r="AA5" i="12" s="1"/>
  <c r="AA68" i="12"/>
  <c r="Z5" i="12" s="1"/>
  <c r="Z68" i="12"/>
  <c r="Y5" i="12" s="1"/>
  <c r="Y68" i="12"/>
  <c r="X68" i="12"/>
  <c r="W5" i="12" s="1"/>
  <c r="W68" i="12"/>
  <c r="V5" i="12" s="1"/>
  <c r="V68" i="12"/>
  <c r="U5" i="12" s="1"/>
  <c r="U68" i="12"/>
  <c r="T5" i="12" s="1"/>
  <c r="T68" i="12"/>
  <c r="S5" i="12" s="1"/>
  <c r="S68" i="12"/>
  <c r="R5" i="12" s="1"/>
  <c r="R68" i="12"/>
  <c r="Q5" i="12" s="1"/>
  <c r="Q68" i="12"/>
  <c r="P68" i="12"/>
  <c r="O68" i="12"/>
  <c r="N68" i="12"/>
  <c r="M5" i="12" s="1"/>
  <c r="M68" i="12"/>
  <c r="L68" i="12"/>
  <c r="K5" i="12" s="1"/>
  <c r="K68" i="12"/>
  <c r="J5" i="12" s="1"/>
  <c r="J68" i="12"/>
  <c r="I5" i="12" s="1"/>
  <c r="I68" i="12"/>
  <c r="H68" i="12"/>
  <c r="G68" i="12"/>
  <c r="F68" i="12"/>
  <c r="E5" i="12" s="1"/>
  <c r="E68" i="12"/>
  <c r="D68" i="12"/>
  <c r="C5" i="12" s="1"/>
  <c r="C68" i="12"/>
  <c r="B5" i="12" s="1"/>
  <c r="AI67" i="12"/>
  <c r="AH67" i="12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AI55" i="12"/>
  <c r="AH55" i="12"/>
  <c r="AI54" i="12"/>
  <c r="AH54" i="12"/>
  <c r="AI53" i="12"/>
  <c r="AH53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I51" i="12"/>
  <c r="AH51" i="12"/>
  <c r="AG51" i="12"/>
  <c r="AG52" i="12" s="1"/>
  <c r="AG3" i="12" s="1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G4" i="12"/>
  <c r="K4" i="12"/>
  <c r="B4" i="12"/>
  <c r="AG2" i="12"/>
  <c r="AF95" i="11"/>
  <c r="AE95" i="11"/>
  <c r="AE37" i="11"/>
  <c r="AD95" i="11"/>
  <c r="AD37" i="11"/>
  <c r="AC95" i="11"/>
  <c r="AC37" i="11"/>
  <c r="AB95" i="11"/>
  <c r="AB37" i="11"/>
  <c r="AA95" i="11"/>
  <c r="AA37" i="11"/>
  <c r="Z95" i="11"/>
  <c r="Z37" i="11"/>
  <c r="Y95" i="11"/>
  <c r="Y37" i="11"/>
  <c r="X95" i="11"/>
  <c r="X37" i="11"/>
  <c r="W94" i="11"/>
  <c r="W37" i="11"/>
  <c r="V94" i="11"/>
  <c r="V37" i="11"/>
  <c r="U95" i="11"/>
  <c r="U37" i="11"/>
  <c r="T95" i="11"/>
  <c r="T37" i="11"/>
  <c r="S95" i="11"/>
  <c r="S37" i="11"/>
  <c r="R37" i="11"/>
  <c r="Q95" i="11"/>
  <c r="Q37" i="11"/>
  <c r="P95" i="11"/>
  <c r="P37" i="11"/>
  <c r="O37" i="11"/>
  <c r="N37" i="11"/>
  <c r="M37" i="11"/>
  <c r="L37" i="11"/>
  <c r="E4" i="13"/>
  <c r="E4" i="12"/>
  <c r="AD73" i="13" l="1"/>
  <c r="AD75" i="13" s="1"/>
  <c r="AB73" i="13"/>
  <c r="AB75" i="13" s="1"/>
  <c r="AA73" i="13"/>
  <c r="AA75" i="13" s="1"/>
  <c r="Z73" i="13"/>
  <c r="Z75" i="13" s="1"/>
  <c r="Z82" i="13"/>
  <c r="Z83" i="13" s="1"/>
  <c r="Y73" i="13"/>
  <c r="Y75" i="13" s="1"/>
  <c r="W82" i="13"/>
  <c r="V73" i="13"/>
  <c r="V75" i="13" s="1"/>
  <c r="T73" i="13"/>
  <c r="T75" i="13" s="1"/>
  <c r="S73" i="13"/>
  <c r="S75" i="13" s="1"/>
  <c r="R82" i="13"/>
  <c r="R83" i="13" s="1"/>
  <c r="R73" i="13"/>
  <c r="R75" i="13" s="1"/>
  <c r="Q73" i="13"/>
  <c r="Q75" i="13" s="1"/>
  <c r="P73" i="13"/>
  <c r="P75" i="13" s="1"/>
  <c r="O82" i="13"/>
  <c r="N73" i="13"/>
  <c r="N75" i="13" s="1"/>
  <c r="L73" i="13"/>
  <c r="L75" i="13" s="1"/>
  <c r="AD214" i="13" s="1"/>
  <c r="K73" i="13"/>
  <c r="K75" i="13" s="1"/>
  <c r="AC214" i="13" s="1"/>
  <c r="J82" i="13"/>
  <c r="J83" i="13" s="1"/>
  <c r="J73" i="13"/>
  <c r="J75" i="13" s="1"/>
  <c r="AB214" i="13" s="1"/>
  <c r="I73" i="13"/>
  <c r="I75" i="13" s="1"/>
  <c r="I7" i="13" s="1"/>
  <c r="H73" i="13"/>
  <c r="H75" i="13" s="1"/>
  <c r="Z214" i="13" s="1"/>
  <c r="G82" i="13"/>
  <c r="G83" i="13" s="1"/>
  <c r="F82" i="13"/>
  <c r="AH56" i="13"/>
  <c r="F73" i="13"/>
  <c r="F75" i="13" s="1"/>
  <c r="F7" i="13" s="1"/>
  <c r="AI76" i="13"/>
  <c r="AI79" i="13"/>
  <c r="D73" i="13"/>
  <c r="D75" i="13" s="1"/>
  <c r="V214" i="13" s="1"/>
  <c r="C73" i="13"/>
  <c r="C75" i="13" s="1"/>
  <c r="U214" i="13" s="1"/>
  <c r="B73" i="13"/>
  <c r="B75" i="13" s="1"/>
  <c r="E73" i="13"/>
  <c r="E75" i="13" s="1"/>
  <c r="E7" i="13" s="1"/>
  <c r="M73" i="13"/>
  <c r="M75" i="13" s="1"/>
  <c r="AE214" i="13" s="1"/>
  <c r="U73" i="13"/>
  <c r="U75" i="13" s="1"/>
  <c r="AM214" i="13" s="1"/>
  <c r="AC73" i="13"/>
  <c r="AC75" i="13" s="1"/>
  <c r="AU214" i="13" s="1"/>
  <c r="E82" i="13"/>
  <c r="E83" i="13" s="1"/>
  <c r="M82" i="13"/>
  <c r="M83" i="13" s="1"/>
  <c r="U82" i="13"/>
  <c r="U83" i="13" s="1"/>
  <c r="AC82" i="13"/>
  <c r="AC83" i="13" s="1"/>
  <c r="AH80" i="13"/>
  <c r="Q82" i="13"/>
  <c r="Q83" i="13" s="1"/>
  <c r="Y82" i="13"/>
  <c r="Y83" i="13" s="1"/>
  <c r="AH68" i="13"/>
  <c r="AH79" i="13"/>
  <c r="AI80" i="13"/>
  <c r="H82" i="13"/>
  <c r="H83" i="13" s="1"/>
  <c r="P82" i="13"/>
  <c r="P83" i="13" s="1"/>
  <c r="X82" i="13"/>
  <c r="X83" i="13" s="1"/>
  <c r="AF82" i="13"/>
  <c r="AF83" i="13" s="1"/>
  <c r="AI78" i="13"/>
  <c r="AI77" i="13"/>
  <c r="AH78" i="13"/>
  <c r="C82" i="13"/>
  <c r="C83" i="13" s="1"/>
  <c r="K82" i="13"/>
  <c r="K83" i="13" s="1"/>
  <c r="S82" i="13"/>
  <c r="S83" i="13" s="1"/>
  <c r="AA82" i="13"/>
  <c r="AA83" i="13" s="1"/>
  <c r="D82" i="13"/>
  <c r="D83" i="13" s="1"/>
  <c r="L82" i="13"/>
  <c r="L83" i="13" s="1"/>
  <c r="T82" i="13"/>
  <c r="T83" i="13" s="1"/>
  <c r="AB82" i="13"/>
  <c r="AB83" i="13" s="1"/>
  <c r="AI56" i="13"/>
  <c r="AH52" i="13"/>
  <c r="AI52" i="13"/>
  <c r="G73" i="13"/>
  <c r="G75" i="13" s="1"/>
  <c r="O73" i="13"/>
  <c r="O75" i="13" s="1"/>
  <c r="O7" i="13" s="1"/>
  <c r="W73" i="13"/>
  <c r="W75" i="13" s="1"/>
  <c r="AO214" i="13" s="1"/>
  <c r="AE73" i="13"/>
  <c r="AE75" i="13" s="1"/>
  <c r="AE7" i="13" s="1"/>
  <c r="H4" i="13"/>
  <c r="M7" i="13"/>
  <c r="AN214" i="13"/>
  <c r="V7" i="13"/>
  <c r="AV214" i="13"/>
  <c r="AD7" i="13"/>
  <c r="X214" i="13"/>
  <c r="Y214" i="13"/>
  <c r="AF214" i="13"/>
  <c r="N7" i="13"/>
  <c r="AH214" i="13"/>
  <c r="P7" i="13"/>
  <c r="AP214" i="13"/>
  <c r="X7" i="13"/>
  <c r="AX214" i="13"/>
  <c r="AF7" i="13"/>
  <c r="AI214" i="13"/>
  <c r="Q7" i="13"/>
  <c r="AQ214" i="13"/>
  <c r="Y7" i="13"/>
  <c r="AJ214" i="13"/>
  <c r="R7" i="13"/>
  <c r="AR214" i="13"/>
  <c r="Z7" i="13"/>
  <c r="J103" i="13"/>
  <c r="AK214" i="13"/>
  <c r="S7" i="13"/>
  <c r="AS214" i="13"/>
  <c r="AA7" i="13"/>
  <c r="G109" i="13"/>
  <c r="H109" i="13" s="1"/>
  <c r="I109" i="13" s="1"/>
  <c r="J109" i="13" s="1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B109" i="13" s="1"/>
  <c r="AL214" i="13"/>
  <c r="T7" i="13"/>
  <c r="AT214" i="13"/>
  <c r="AB7" i="13"/>
  <c r="AG75" i="13"/>
  <c r="AG83" i="13" s="1"/>
  <c r="F83" i="13"/>
  <c r="N83" i="13"/>
  <c r="V83" i="13"/>
  <c r="AD83" i="13"/>
  <c r="AI38" i="13"/>
  <c r="I82" i="13"/>
  <c r="I83" i="13" s="1"/>
  <c r="O83" i="13"/>
  <c r="W83" i="13"/>
  <c r="AE83" i="13"/>
  <c r="D93" i="13"/>
  <c r="S211" i="13"/>
  <c r="D211" i="13"/>
  <c r="AH76" i="13"/>
  <c r="B82" i="13"/>
  <c r="AH37" i="13"/>
  <c r="AI68" i="13"/>
  <c r="AH77" i="13"/>
  <c r="D192" i="13"/>
  <c r="AH38" i="13"/>
  <c r="E102" i="13"/>
  <c r="E199" i="13"/>
  <c r="G194" i="13"/>
  <c r="AF82" i="12"/>
  <c r="AF83" i="12" s="1"/>
  <c r="AF73" i="12"/>
  <c r="AF75" i="12" s="1"/>
  <c r="AD73" i="12"/>
  <c r="AD75" i="12" s="1"/>
  <c r="AI37" i="12"/>
  <c r="AC82" i="12"/>
  <c r="AC83" i="12" s="1"/>
  <c r="AC73" i="12"/>
  <c r="AC75" i="12" s="1"/>
  <c r="AB73" i="12"/>
  <c r="AB75" i="12" s="1"/>
  <c r="AA73" i="12"/>
  <c r="AA75" i="12" s="1"/>
  <c r="AS214" i="12" s="1"/>
  <c r="Z73" i="12"/>
  <c r="Z75" i="12" s="1"/>
  <c r="AR214" i="12" s="1"/>
  <c r="Y82" i="12"/>
  <c r="Y83" i="12" s="1"/>
  <c r="X73" i="12"/>
  <c r="X75" i="12" s="1"/>
  <c r="AP214" i="12" s="1"/>
  <c r="X83" i="12"/>
  <c r="V73" i="12"/>
  <c r="V75" i="12" s="1"/>
  <c r="U82" i="12"/>
  <c r="U73" i="12"/>
  <c r="U75" i="12" s="1"/>
  <c r="T73" i="12"/>
  <c r="T75" i="12" s="1"/>
  <c r="S73" i="12"/>
  <c r="S75" i="12" s="1"/>
  <c r="R73" i="12"/>
  <c r="R75" i="12" s="1"/>
  <c r="AJ214" i="12" s="1"/>
  <c r="AH37" i="12"/>
  <c r="Q82" i="12"/>
  <c r="Q83" i="12" s="1"/>
  <c r="P82" i="12"/>
  <c r="P83" i="12" s="1"/>
  <c r="P73" i="12"/>
  <c r="P75" i="12" s="1"/>
  <c r="O5" i="12"/>
  <c r="O82" i="12"/>
  <c r="N73" i="12"/>
  <c r="N75" i="12" s="1"/>
  <c r="M82" i="12"/>
  <c r="M83" i="12" s="1"/>
  <c r="M73" i="12"/>
  <c r="M75" i="12" s="1"/>
  <c r="AE214" i="12" s="1"/>
  <c r="L73" i="12"/>
  <c r="L75" i="12" s="1"/>
  <c r="L7" i="12" s="1"/>
  <c r="K73" i="12"/>
  <c r="K75" i="12" s="1"/>
  <c r="AC214" i="12" s="1"/>
  <c r="I82" i="12"/>
  <c r="I83" i="12" s="1"/>
  <c r="H83" i="12"/>
  <c r="J73" i="12"/>
  <c r="J75" i="12" s="1"/>
  <c r="AB214" i="12" s="1"/>
  <c r="G5" i="12"/>
  <c r="H73" i="12"/>
  <c r="H75" i="12" s="1"/>
  <c r="Z214" i="12" s="1"/>
  <c r="G82" i="12"/>
  <c r="AH79" i="12"/>
  <c r="F73" i="12"/>
  <c r="F75" i="12" s="1"/>
  <c r="X214" i="12" s="1"/>
  <c r="E82" i="12"/>
  <c r="E83" i="12" s="1"/>
  <c r="AH80" i="12"/>
  <c r="AI56" i="12"/>
  <c r="E73" i="12"/>
  <c r="E75" i="12" s="1"/>
  <c r="W214" i="12" s="1"/>
  <c r="AI52" i="12"/>
  <c r="D73" i="12"/>
  <c r="D75" i="12" s="1"/>
  <c r="V214" i="12" s="1"/>
  <c r="C73" i="12"/>
  <c r="C75" i="12" s="1"/>
  <c r="C7" i="12" s="1"/>
  <c r="B82" i="12"/>
  <c r="B83" i="12"/>
  <c r="B73" i="12"/>
  <c r="B75" i="12" s="1"/>
  <c r="H4" i="12"/>
  <c r="AK214" i="12"/>
  <c r="S7" i="12"/>
  <c r="AG6" i="12"/>
  <c r="AD214" i="12"/>
  <c r="AL214" i="12"/>
  <c r="T7" i="12"/>
  <c r="AT214" i="12"/>
  <c r="AB7" i="12"/>
  <c r="AU214" i="12"/>
  <c r="AC7" i="12"/>
  <c r="AN214" i="12"/>
  <c r="V7" i="12"/>
  <c r="AV214" i="12"/>
  <c r="AD7" i="12"/>
  <c r="AF214" i="12"/>
  <c r="N7" i="12"/>
  <c r="AH214" i="12"/>
  <c r="P7" i="12"/>
  <c r="AX214" i="12"/>
  <c r="AF7" i="12"/>
  <c r="AM214" i="12"/>
  <c r="U7" i="12"/>
  <c r="AH38" i="12"/>
  <c r="F109" i="12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B109" i="12" s="1"/>
  <c r="X7" i="12"/>
  <c r="AI38" i="12"/>
  <c r="F82" i="12"/>
  <c r="F83" i="12" s="1"/>
  <c r="N82" i="12"/>
  <c r="N83" i="12" s="1"/>
  <c r="V82" i="12"/>
  <c r="V83" i="12" s="1"/>
  <c r="AD82" i="12"/>
  <c r="AD83" i="12" s="1"/>
  <c r="AI79" i="12"/>
  <c r="AI80" i="12"/>
  <c r="U83" i="12"/>
  <c r="O83" i="12"/>
  <c r="AE83" i="12"/>
  <c r="D5" i="12"/>
  <c r="L5" i="12"/>
  <c r="R7" i="12"/>
  <c r="AH78" i="12"/>
  <c r="F102" i="12"/>
  <c r="S211" i="12"/>
  <c r="D211" i="12"/>
  <c r="K7" i="12"/>
  <c r="AA7" i="12"/>
  <c r="AG73" i="12"/>
  <c r="AG83" i="12" s="1"/>
  <c r="AG75" i="12"/>
  <c r="AI77" i="12"/>
  <c r="G73" i="12"/>
  <c r="G75" i="12" s="1"/>
  <c r="W73" i="12"/>
  <c r="W75" i="12" s="1"/>
  <c r="AE73" i="12"/>
  <c r="AE75" i="12" s="1"/>
  <c r="AH52" i="12"/>
  <c r="AH56" i="12"/>
  <c r="AI68" i="12"/>
  <c r="AH68" i="12"/>
  <c r="R83" i="12"/>
  <c r="AI76" i="12"/>
  <c r="J82" i="12"/>
  <c r="J83" i="12" s="1"/>
  <c r="R82" i="12"/>
  <c r="Z82" i="12"/>
  <c r="Z83" i="12" s="1"/>
  <c r="N5" i="12"/>
  <c r="AD5" i="12"/>
  <c r="O73" i="12"/>
  <c r="O75" i="12" s="1"/>
  <c r="C82" i="12"/>
  <c r="C83" i="12" s="1"/>
  <c r="K82" i="12"/>
  <c r="K83" i="12" s="1"/>
  <c r="S82" i="12"/>
  <c r="S83" i="12" s="1"/>
  <c r="AA82" i="12"/>
  <c r="AA83" i="12" s="1"/>
  <c r="H103" i="12"/>
  <c r="G83" i="12"/>
  <c r="W83" i="12"/>
  <c r="F5" i="12"/>
  <c r="H5" i="12"/>
  <c r="P5" i="12"/>
  <c r="X5" i="12"/>
  <c r="AF5" i="12"/>
  <c r="I73" i="12"/>
  <c r="I75" i="12" s="1"/>
  <c r="Q73" i="12"/>
  <c r="Q75" i="12" s="1"/>
  <c r="Y73" i="12"/>
  <c r="Y75" i="12" s="1"/>
  <c r="L83" i="12"/>
  <c r="AB83" i="12"/>
  <c r="D82" i="12"/>
  <c r="D83" i="12" s="1"/>
  <c r="L82" i="12"/>
  <c r="T82" i="12"/>
  <c r="T83" i="12" s="1"/>
  <c r="AB82" i="12"/>
  <c r="AI78" i="12"/>
  <c r="D192" i="12"/>
  <c r="AH76" i="12"/>
  <c r="AH77" i="12"/>
  <c r="I199" i="12"/>
  <c r="E194" i="12"/>
  <c r="E93" i="12" s="1"/>
  <c r="K37" i="11"/>
  <c r="J37" i="11"/>
  <c r="I37" i="11"/>
  <c r="H37" i="11"/>
  <c r="G37" i="11"/>
  <c r="F37" i="11"/>
  <c r="B95" i="11"/>
  <c r="AF95" i="10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B235" i="11"/>
  <c r="S210" i="11"/>
  <c r="AG200" i="11"/>
  <c r="C200" i="11"/>
  <c r="D199" i="11"/>
  <c r="C235" i="11" s="1"/>
  <c r="F198" i="11"/>
  <c r="G198" i="11" s="1"/>
  <c r="H198" i="11" s="1"/>
  <c r="I198" i="11" s="1"/>
  <c r="J198" i="11" s="1"/>
  <c r="K198" i="11" s="1"/>
  <c r="L198" i="11" s="1"/>
  <c r="M198" i="11" s="1"/>
  <c r="N198" i="11" s="1"/>
  <c r="O198" i="11" s="1"/>
  <c r="P198" i="11" s="1"/>
  <c r="Q198" i="11" s="1"/>
  <c r="R198" i="11" s="1"/>
  <c r="S198" i="11" s="1"/>
  <c r="T198" i="11" s="1"/>
  <c r="U198" i="11" s="1"/>
  <c r="V198" i="11" s="1"/>
  <c r="W198" i="11" s="1"/>
  <c r="X198" i="11" s="1"/>
  <c r="Y198" i="11" s="1"/>
  <c r="Z198" i="11" s="1"/>
  <c r="AA198" i="11" s="1"/>
  <c r="AB198" i="11" s="1"/>
  <c r="AC198" i="11" s="1"/>
  <c r="AD198" i="11" s="1"/>
  <c r="AE198" i="11" s="1"/>
  <c r="AF198" i="11" s="1"/>
  <c r="B198" i="11" s="1"/>
  <c r="E198" i="11"/>
  <c r="D198" i="11"/>
  <c r="D197" i="11"/>
  <c r="E197" i="11" s="1"/>
  <c r="F197" i="11" s="1"/>
  <c r="G197" i="11" s="1"/>
  <c r="H197" i="11" s="1"/>
  <c r="I197" i="11" s="1"/>
  <c r="J197" i="11" s="1"/>
  <c r="K197" i="11" s="1"/>
  <c r="L197" i="11" s="1"/>
  <c r="M197" i="11" s="1"/>
  <c r="N197" i="11" s="1"/>
  <c r="O197" i="11" s="1"/>
  <c r="P197" i="11" s="1"/>
  <c r="Q197" i="11" s="1"/>
  <c r="R197" i="11" s="1"/>
  <c r="S197" i="11" s="1"/>
  <c r="T197" i="11" s="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B197" i="11" s="1"/>
  <c r="D196" i="11"/>
  <c r="E196" i="11" s="1"/>
  <c r="F196" i="11" s="1"/>
  <c r="G196" i="11" s="1"/>
  <c r="H196" i="11" s="1"/>
  <c r="I196" i="11" s="1"/>
  <c r="J196" i="11" s="1"/>
  <c r="K196" i="11" s="1"/>
  <c r="L196" i="11" s="1"/>
  <c r="M196" i="11" s="1"/>
  <c r="N196" i="11" s="1"/>
  <c r="O196" i="11" s="1"/>
  <c r="P196" i="11" s="1"/>
  <c r="Q196" i="11" s="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B196" i="11" s="1"/>
  <c r="O195" i="1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B195" i="11" s="1"/>
  <c r="E195" i="11"/>
  <c r="F195" i="11" s="1"/>
  <c r="G195" i="11" s="1"/>
  <c r="H195" i="11" s="1"/>
  <c r="I195" i="11" s="1"/>
  <c r="J195" i="11" s="1"/>
  <c r="K195" i="11" s="1"/>
  <c r="L195" i="11" s="1"/>
  <c r="M195" i="11" s="1"/>
  <c r="N195" i="11" s="1"/>
  <c r="D195" i="11"/>
  <c r="F194" i="11"/>
  <c r="E194" i="11"/>
  <c r="D194" i="11"/>
  <c r="AG192" i="11"/>
  <c r="C192" i="11"/>
  <c r="D191" i="11"/>
  <c r="E191" i="11" s="1"/>
  <c r="F191" i="11" s="1"/>
  <c r="G191" i="11" s="1"/>
  <c r="H191" i="11" s="1"/>
  <c r="I191" i="11" s="1"/>
  <c r="J191" i="11" s="1"/>
  <c r="K191" i="11" s="1"/>
  <c r="L191" i="11" s="1"/>
  <c r="M191" i="11" s="1"/>
  <c r="N191" i="11" s="1"/>
  <c r="O191" i="11" s="1"/>
  <c r="P191" i="11" s="1"/>
  <c r="Q191" i="11" s="1"/>
  <c r="R191" i="11" s="1"/>
  <c r="S191" i="11" s="1"/>
  <c r="T191" i="11" s="1"/>
  <c r="U191" i="11" s="1"/>
  <c r="V191" i="11" s="1"/>
  <c r="W191" i="11" s="1"/>
  <c r="X191" i="11" s="1"/>
  <c r="Y191" i="11" s="1"/>
  <c r="Z191" i="11" s="1"/>
  <c r="AA191" i="11" s="1"/>
  <c r="AB191" i="11" s="1"/>
  <c r="AC191" i="11" s="1"/>
  <c r="AD191" i="11" s="1"/>
  <c r="AE191" i="11" s="1"/>
  <c r="AF191" i="11" s="1"/>
  <c r="B191" i="11" s="1"/>
  <c r="X190" i="11"/>
  <c r="Y190" i="11" s="1"/>
  <c r="Z190" i="11" s="1"/>
  <c r="AA190" i="11" s="1"/>
  <c r="AB190" i="11" s="1"/>
  <c r="AC190" i="11" s="1"/>
  <c r="AD190" i="11" s="1"/>
  <c r="AE190" i="11" s="1"/>
  <c r="AF190" i="11" s="1"/>
  <c r="B190" i="11" s="1"/>
  <c r="M190" i="11"/>
  <c r="N190" i="11" s="1"/>
  <c r="O190" i="11" s="1"/>
  <c r="P190" i="11" s="1"/>
  <c r="Q190" i="11" s="1"/>
  <c r="R190" i="11" s="1"/>
  <c r="S190" i="11" s="1"/>
  <c r="T190" i="11" s="1"/>
  <c r="U190" i="11" s="1"/>
  <c r="V190" i="11" s="1"/>
  <c r="W190" i="11" s="1"/>
  <c r="F190" i="11"/>
  <c r="G190" i="11" s="1"/>
  <c r="H190" i="11" s="1"/>
  <c r="I190" i="11" s="1"/>
  <c r="J190" i="11" s="1"/>
  <c r="K190" i="11" s="1"/>
  <c r="L190" i="11" s="1"/>
  <c r="D190" i="11"/>
  <c r="E190" i="11" s="1"/>
  <c r="L189" i="11"/>
  <c r="M189" i="11" s="1"/>
  <c r="N189" i="11" s="1"/>
  <c r="O189" i="11" s="1"/>
  <c r="P189" i="11" s="1"/>
  <c r="Q189" i="11" s="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B189" i="11" s="1"/>
  <c r="D189" i="11"/>
  <c r="E189" i="11" s="1"/>
  <c r="F189" i="11" s="1"/>
  <c r="G189" i="11" s="1"/>
  <c r="H189" i="11" s="1"/>
  <c r="I189" i="11" s="1"/>
  <c r="J189" i="11" s="1"/>
  <c r="K189" i="11" s="1"/>
  <c r="D188" i="11"/>
  <c r="E188" i="11" s="1"/>
  <c r="F188" i="11" s="1"/>
  <c r="G188" i="11" s="1"/>
  <c r="H188" i="11" s="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B188" i="11" s="1"/>
  <c r="I187" i="1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B187" i="11" s="1"/>
  <c r="D187" i="11"/>
  <c r="E187" i="11" s="1"/>
  <c r="F187" i="11" s="1"/>
  <c r="G187" i="11" s="1"/>
  <c r="H187" i="11" s="1"/>
  <c r="L186" i="11"/>
  <c r="M186" i="11" s="1"/>
  <c r="N186" i="11" s="1"/>
  <c r="O186" i="11" s="1"/>
  <c r="P186" i="11" s="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B186" i="11" s="1"/>
  <c r="J186" i="11"/>
  <c r="K186" i="11" s="1"/>
  <c r="H186" i="11"/>
  <c r="I186" i="11" s="1"/>
  <c r="E186" i="11"/>
  <c r="F186" i="11" s="1"/>
  <c r="G186" i="11" s="1"/>
  <c r="D186" i="11"/>
  <c r="D185" i="11"/>
  <c r="E185" i="11" s="1"/>
  <c r="F185" i="11" s="1"/>
  <c r="G185" i="11" s="1"/>
  <c r="H185" i="11" s="1"/>
  <c r="I185" i="11" s="1"/>
  <c r="J185" i="11" s="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B185" i="11" s="1"/>
  <c r="E184" i="11"/>
  <c r="F184" i="11" s="1"/>
  <c r="G184" i="11" s="1"/>
  <c r="H184" i="11" s="1"/>
  <c r="I184" i="11" s="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B184" i="11" s="1"/>
  <c r="D184" i="11"/>
  <c r="G183" i="11"/>
  <c r="H183" i="11" s="1"/>
  <c r="I183" i="11" s="1"/>
  <c r="J183" i="11" s="1"/>
  <c r="K183" i="11" s="1"/>
  <c r="L183" i="11" s="1"/>
  <c r="M183" i="11" s="1"/>
  <c r="N183" i="11" s="1"/>
  <c r="O183" i="11" s="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B183" i="11" s="1"/>
  <c r="F183" i="11"/>
  <c r="D183" i="11"/>
  <c r="E183" i="11" s="1"/>
  <c r="D182" i="11"/>
  <c r="E182" i="11" s="1"/>
  <c r="F182" i="11" s="1"/>
  <c r="G182" i="11" s="1"/>
  <c r="H182" i="11" s="1"/>
  <c r="I182" i="11" s="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B182" i="11" s="1"/>
  <c r="N181" i="1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B181" i="11" s="1"/>
  <c r="D181" i="11"/>
  <c r="E181" i="11" s="1"/>
  <c r="F181" i="11" s="1"/>
  <c r="G181" i="11" s="1"/>
  <c r="H181" i="11" s="1"/>
  <c r="I181" i="11" s="1"/>
  <c r="J181" i="11" s="1"/>
  <c r="K181" i="11" s="1"/>
  <c r="L181" i="11" s="1"/>
  <c r="M181" i="11" s="1"/>
  <c r="D180" i="11"/>
  <c r="E180" i="11" s="1"/>
  <c r="F180" i="11" s="1"/>
  <c r="G180" i="11" s="1"/>
  <c r="H180" i="11" s="1"/>
  <c r="I180" i="11" s="1"/>
  <c r="J180" i="11" s="1"/>
  <c r="K180" i="11" s="1"/>
  <c r="L180" i="11" s="1"/>
  <c r="M180" i="11" s="1"/>
  <c r="N180" i="11" s="1"/>
  <c r="O180" i="11" s="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B180" i="11" s="1"/>
  <c r="S179" i="1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B179" i="11" s="1"/>
  <c r="F179" i="1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E179" i="11"/>
  <c r="D179" i="11"/>
  <c r="G177" i="11"/>
  <c r="H177" i="11" s="1"/>
  <c r="I177" i="11" s="1"/>
  <c r="J177" i="11" s="1"/>
  <c r="K177" i="11" s="1"/>
  <c r="L177" i="11" s="1"/>
  <c r="M177" i="11" s="1"/>
  <c r="N177" i="11" s="1"/>
  <c r="O177" i="11" s="1"/>
  <c r="P177" i="11" s="1"/>
  <c r="Q177" i="11" s="1"/>
  <c r="R177" i="11" s="1"/>
  <c r="S177" i="11" s="1"/>
  <c r="T177" i="11" s="1"/>
  <c r="U177" i="11" s="1"/>
  <c r="V177" i="11" s="1"/>
  <c r="W177" i="11" s="1"/>
  <c r="X177" i="11" s="1"/>
  <c r="Y177" i="11" s="1"/>
  <c r="Z177" i="11" s="1"/>
  <c r="AA177" i="11" s="1"/>
  <c r="AB177" i="11" s="1"/>
  <c r="AC177" i="11" s="1"/>
  <c r="AD177" i="11" s="1"/>
  <c r="AE177" i="11" s="1"/>
  <c r="AF177" i="11" s="1"/>
  <c r="B177" i="11" s="1"/>
  <c r="E177" i="11"/>
  <c r="F177" i="11" s="1"/>
  <c r="D177" i="11"/>
  <c r="S176" i="1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B176" i="11" s="1"/>
  <c r="H176" i="1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F176" i="11"/>
  <c r="G176" i="11" s="1"/>
  <c r="E176" i="11"/>
  <c r="D176" i="11"/>
  <c r="O175" i="1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B175" i="11" s="1"/>
  <c r="D175" i="11"/>
  <c r="E175" i="11" s="1"/>
  <c r="F175" i="11" s="1"/>
  <c r="G175" i="11" s="1"/>
  <c r="H175" i="11" s="1"/>
  <c r="I175" i="11" s="1"/>
  <c r="J175" i="11" s="1"/>
  <c r="K175" i="11" s="1"/>
  <c r="L175" i="11" s="1"/>
  <c r="M175" i="11" s="1"/>
  <c r="N175" i="11" s="1"/>
  <c r="E174" i="11"/>
  <c r="F174" i="11" s="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B174" i="11" s="1"/>
  <c r="D174" i="11"/>
  <c r="L173" i="1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B173" i="11" s="1"/>
  <c r="D173" i="11"/>
  <c r="E173" i="11" s="1"/>
  <c r="F173" i="11" s="1"/>
  <c r="G173" i="11" s="1"/>
  <c r="H173" i="11" s="1"/>
  <c r="I173" i="11" s="1"/>
  <c r="J173" i="11" s="1"/>
  <c r="K173" i="11" s="1"/>
  <c r="K172" i="11"/>
  <c r="L172" i="11" s="1"/>
  <c r="M172" i="11" s="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B172" i="11" s="1"/>
  <c r="F172" i="11"/>
  <c r="G172" i="11" s="1"/>
  <c r="H172" i="11" s="1"/>
  <c r="I172" i="11" s="1"/>
  <c r="J172" i="11" s="1"/>
  <c r="E172" i="11"/>
  <c r="D172" i="11"/>
  <c r="K171" i="1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B171" i="11" s="1"/>
  <c r="D171" i="11"/>
  <c r="E171" i="11" s="1"/>
  <c r="F171" i="11" s="1"/>
  <c r="G171" i="11" s="1"/>
  <c r="H171" i="11" s="1"/>
  <c r="I171" i="11" s="1"/>
  <c r="J171" i="11" s="1"/>
  <c r="D170" i="11"/>
  <c r="E170" i="11" s="1"/>
  <c r="F170" i="11" s="1"/>
  <c r="G170" i="11" s="1"/>
  <c r="H170" i="11" s="1"/>
  <c r="I170" i="11" s="1"/>
  <c r="J170" i="11" s="1"/>
  <c r="K170" i="11" s="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B170" i="11" s="1"/>
  <c r="G168" i="11"/>
  <c r="H168" i="11" s="1"/>
  <c r="I168" i="11" s="1"/>
  <c r="J168" i="11" s="1"/>
  <c r="K168" i="11" s="1"/>
  <c r="L168" i="11" s="1"/>
  <c r="M168" i="11" s="1"/>
  <c r="N168" i="11" s="1"/>
  <c r="O168" i="11" s="1"/>
  <c r="P168" i="11" s="1"/>
  <c r="Q168" i="11" s="1"/>
  <c r="R168" i="11" s="1"/>
  <c r="S168" i="11" s="1"/>
  <c r="T168" i="11" s="1"/>
  <c r="U168" i="11" s="1"/>
  <c r="V168" i="11" s="1"/>
  <c r="W168" i="11" s="1"/>
  <c r="X168" i="11" s="1"/>
  <c r="Y168" i="11" s="1"/>
  <c r="Z168" i="11" s="1"/>
  <c r="AA168" i="11" s="1"/>
  <c r="AB168" i="11" s="1"/>
  <c r="AC168" i="11" s="1"/>
  <c r="AD168" i="11" s="1"/>
  <c r="AE168" i="11" s="1"/>
  <c r="AF168" i="11" s="1"/>
  <c r="B168" i="11" s="1"/>
  <c r="E168" i="11"/>
  <c r="F168" i="11" s="1"/>
  <c r="D168" i="11"/>
  <c r="E167" i="11"/>
  <c r="F167" i="11" s="1"/>
  <c r="G167" i="11" s="1"/>
  <c r="H167" i="11" s="1"/>
  <c r="I167" i="11" s="1"/>
  <c r="J167" i="11" s="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B167" i="11" s="1"/>
  <c r="D167" i="11"/>
  <c r="M166" i="11"/>
  <c r="N166" i="11" s="1"/>
  <c r="O166" i="11" s="1"/>
  <c r="P166" i="11" s="1"/>
  <c r="Q166" i="11" s="1"/>
  <c r="R166" i="11" s="1"/>
  <c r="S166" i="11" s="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B166" i="11" s="1"/>
  <c r="D166" i="11"/>
  <c r="E166" i="11" s="1"/>
  <c r="F166" i="11" s="1"/>
  <c r="G166" i="11" s="1"/>
  <c r="H166" i="11" s="1"/>
  <c r="I166" i="11" s="1"/>
  <c r="J166" i="11" s="1"/>
  <c r="K166" i="11" s="1"/>
  <c r="L166" i="11" s="1"/>
  <c r="K165" i="11"/>
  <c r="L165" i="11" s="1"/>
  <c r="M165" i="11" s="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B165" i="11" s="1"/>
  <c r="F165" i="11"/>
  <c r="G165" i="11" s="1"/>
  <c r="H165" i="11" s="1"/>
  <c r="I165" i="11" s="1"/>
  <c r="J165" i="11" s="1"/>
  <c r="E165" i="11"/>
  <c r="D165" i="11"/>
  <c r="I164" i="1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B164" i="11" s="1"/>
  <c r="D164" i="11"/>
  <c r="E164" i="11" s="1"/>
  <c r="F164" i="11" s="1"/>
  <c r="G164" i="11" s="1"/>
  <c r="H164" i="11" s="1"/>
  <c r="M163" i="1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B163" i="11" s="1"/>
  <c r="E163" i="11"/>
  <c r="F163" i="11" s="1"/>
  <c r="G163" i="11" s="1"/>
  <c r="H163" i="11" s="1"/>
  <c r="I163" i="11" s="1"/>
  <c r="J163" i="11" s="1"/>
  <c r="K163" i="11" s="1"/>
  <c r="L163" i="11" s="1"/>
  <c r="D163" i="11"/>
  <c r="F162" i="11"/>
  <c r="G162" i="11" s="1"/>
  <c r="H162" i="11" s="1"/>
  <c r="I162" i="11" s="1"/>
  <c r="J162" i="11" s="1"/>
  <c r="K162" i="11" s="1"/>
  <c r="L162" i="11" s="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B162" i="11" s="1"/>
  <c r="E162" i="11"/>
  <c r="D162" i="11"/>
  <c r="D161" i="11"/>
  <c r="E161" i="11" s="1"/>
  <c r="F161" i="11" s="1"/>
  <c r="G161" i="11" s="1"/>
  <c r="H161" i="11" s="1"/>
  <c r="I161" i="11" s="1"/>
  <c r="J161" i="11" s="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B161" i="11" s="1"/>
  <c r="E160" i="1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B160" i="11" s="1"/>
  <c r="D160" i="11"/>
  <c r="H159" i="1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B159" i="11" s="1"/>
  <c r="F159" i="11"/>
  <c r="G159" i="11" s="1"/>
  <c r="E159" i="11"/>
  <c r="D159" i="11"/>
  <c r="G158" i="1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B158" i="11" s="1"/>
  <c r="D158" i="11"/>
  <c r="E158" i="11" s="1"/>
  <c r="F158" i="11" s="1"/>
  <c r="J157" i="1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B157" i="11" s="1"/>
  <c r="E157" i="11"/>
  <c r="F157" i="11" s="1"/>
  <c r="G157" i="11" s="1"/>
  <c r="H157" i="11" s="1"/>
  <c r="I157" i="11" s="1"/>
  <c r="D157" i="11"/>
  <c r="Q156" i="1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B156" i="11" s="1"/>
  <c r="L156" i="11"/>
  <c r="M156" i="11" s="1"/>
  <c r="N156" i="11" s="1"/>
  <c r="O156" i="11" s="1"/>
  <c r="P156" i="11" s="1"/>
  <c r="E156" i="11"/>
  <c r="F156" i="11" s="1"/>
  <c r="G156" i="11" s="1"/>
  <c r="H156" i="11" s="1"/>
  <c r="I156" i="11" s="1"/>
  <c r="J156" i="11" s="1"/>
  <c r="K156" i="11" s="1"/>
  <c r="D156" i="11"/>
  <c r="H154" i="11"/>
  <c r="I154" i="11" s="1"/>
  <c r="J154" i="11" s="1"/>
  <c r="K154" i="11" s="1"/>
  <c r="L154" i="11" s="1"/>
  <c r="M154" i="11" s="1"/>
  <c r="N154" i="11" s="1"/>
  <c r="O154" i="11" s="1"/>
  <c r="P154" i="11" s="1"/>
  <c r="Q154" i="11" s="1"/>
  <c r="R154" i="11" s="1"/>
  <c r="S154" i="11" s="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B154" i="11" s="1"/>
  <c r="G154" i="11"/>
  <c r="F154" i="11"/>
  <c r="E154" i="11"/>
  <c r="D154" i="11"/>
  <c r="I153" i="11"/>
  <c r="J153" i="11" s="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B153" i="11" s="1"/>
  <c r="D153" i="11"/>
  <c r="E153" i="11" s="1"/>
  <c r="F153" i="11" s="1"/>
  <c r="G153" i="11" s="1"/>
  <c r="H153" i="11" s="1"/>
  <c r="E152" i="11"/>
  <c r="F152" i="11" s="1"/>
  <c r="G152" i="11" s="1"/>
  <c r="H152" i="11" s="1"/>
  <c r="I152" i="11" s="1"/>
  <c r="J152" i="11" s="1"/>
  <c r="K152" i="11" s="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B152" i="11" s="1"/>
  <c r="D152" i="11"/>
  <c r="E151" i="11"/>
  <c r="F151" i="11" s="1"/>
  <c r="G151" i="11" s="1"/>
  <c r="H151" i="11" s="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B151" i="11" s="1"/>
  <c r="D151" i="11"/>
  <c r="AC149" i="11"/>
  <c r="AD149" i="11" s="1"/>
  <c r="AE149" i="11" s="1"/>
  <c r="AF149" i="11" s="1"/>
  <c r="B149" i="11" s="1"/>
  <c r="F149" i="11"/>
  <c r="G149" i="11" s="1"/>
  <c r="H149" i="11" s="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A149" i="11" s="1"/>
  <c r="AB149" i="11" s="1"/>
  <c r="E149" i="11"/>
  <c r="D149" i="11"/>
  <c r="S148" i="1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B148" i="11" s="1"/>
  <c r="E148" i="11"/>
  <c r="F148" i="11" s="1"/>
  <c r="G148" i="11" s="1"/>
  <c r="H148" i="11" s="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D148" i="11"/>
  <c r="D146" i="11"/>
  <c r="E146" i="11" s="1"/>
  <c r="F146" i="11" s="1"/>
  <c r="G146" i="11" s="1"/>
  <c r="H146" i="11" s="1"/>
  <c r="I146" i="11" s="1"/>
  <c r="J146" i="11" s="1"/>
  <c r="K146" i="11" s="1"/>
  <c r="L146" i="11" s="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A146" i="11" s="1"/>
  <c r="AB146" i="11" s="1"/>
  <c r="AC146" i="11" s="1"/>
  <c r="AD146" i="11" s="1"/>
  <c r="AE146" i="11" s="1"/>
  <c r="AF146" i="11" s="1"/>
  <c r="B146" i="11" s="1"/>
  <c r="F145" i="11"/>
  <c r="G145" i="11" s="1"/>
  <c r="H145" i="11" s="1"/>
  <c r="I145" i="11" s="1"/>
  <c r="J145" i="11" s="1"/>
  <c r="K145" i="11" s="1"/>
  <c r="L145" i="11" s="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B145" i="11" s="1"/>
  <c r="D145" i="11"/>
  <c r="E145" i="11" s="1"/>
  <c r="T144" i="1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B144" i="11" s="1"/>
  <c r="H144" i="11"/>
  <c r="I144" i="11" s="1"/>
  <c r="J144" i="11" s="1"/>
  <c r="K144" i="11" s="1"/>
  <c r="L144" i="11" s="1"/>
  <c r="M144" i="11" s="1"/>
  <c r="N144" i="11" s="1"/>
  <c r="O144" i="11" s="1"/>
  <c r="P144" i="11" s="1"/>
  <c r="Q144" i="11" s="1"/>
  <c r="R144" i="11" s="1"/>
  <c r="S144" i="11" s="1"/>
  <c r="D144" i="11"/>
  <c r="E144" i="11" s="1"/>
  <c r="F144" i="11" s="1"/>
  <c r="G144" i="11" s="1"/>
  <c r="H143" i="1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B143" i="11" s="1"/>
  <c r="F143" i="11"/>
  <c r="G143" i="11" s="1"/>
  <c r="E143" i="11"/>
  <c r="D143" i="11"/>
  <c r="V142" i="1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B142" i="11" s="1"/>
  <c r="D142" i="11"/>
  <c r="E142" i="11" s="1"/>
  <c r="F142" i="11" s="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D141" i="11"/>
  <c r="E141" i="11" s="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B141" i="11" s="1"/>
  <c r="D140" i="11"/>
  <c r="E140" i="11" s="1"/>
  <c r="F140" i="11" s="1"/>
  <c r="G140" i="11" s="1"/>
  <c r="H140" i="11" s="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B140" i="11" s="1"/>
  <c r="H138" i="11"/>
  <c r="I138" i="11" s="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A138" i="11" s="1"/>
  <c r="AB138" i="11" s="1"/>
  <c r="AC138" i="11" s="1"/>
  <c r="AD138" i="11" s="1"/>
  <c r="AE138" i="11" s="1"/>
  <c r="AF138" i="11" s="1"/>
  <c r="B138" i="11" s="1"/>
  <c r="D138" i="11"/>
  <c r="E138" i="11" s="1"/>
  <c r="F138" i="11" s="1"/>
  <c r="G138" i="11" s="1"/>
  <c r="D137" i="11"/>
  <c r="E137" i="11" s="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B137" i="11" s="1"/>
  <c r="E136" i="11"/>
  <c r="F136" i="11" s="1"/>
  <c r="G136" i="11" s="1"/>
  <c r="H136" i="11" s="1"/>
  <c r="I136" i="11" s="1"/>
  <c r="J136" i="11" s="1"/>
  <c r="K136" i="11" s="1"/>
  <c r="L136" i="11" s="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B136" i="11" s="1"/>
  <c r="D136" i="11"/>
  <c r="D135" i="11"/>
  <c r="E135" i="11" s="1"/>
  <c r="F135" i="11" s="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B135" i="11" s="1"/>
  <c r="K134" i="1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B134" i="11" s="1"/>
  <c r="F134" i="11"/>
  <c r="G134" i="11" s="1"/>
  <c r="H134" i="11" s="1"/>
  <c r="I134" i="11" s="1"/>
  <c r="J134" i="11" s="1"/>
  <c r="E134" i="11"/>
  <c r="D134" i="11"/>
  <c r="E133" i="11"/>
  <c r="F133" i="11" s="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B133" i="11" s="1"/>
  <c r="D133" i="11"/>
  <c r="R132" i="1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B132" i="11" s="1"/>
  <c r="E132" i="11"/>
  <c r="F132" i="11" s="1"/>
  <c r="G132" i="11" s="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D132" i="11"/>
  <c r="I131" i="1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B131" i="11" s="1"/>
  <c r="D131" i="11"/>
  <c r="E131" i="11" s="1"/>
  <c r="F131" i="11" s="1"/>
  <c r="G131" i="11" s="1"/>
  <c r="H131" i="11" s="1"/>
  <c r="E129" i="11"/>
  <c r="F129" i="11" s="1"/>
  <c r="G129" i="11" s="1"/>
  <c r="H129" i="11" s="1"/>
  <c r="I129" i="11" s="1"/>
  <c r="J129" i="11" s="1"/>
  <c r="K129" i="11" s="1"/>
  <c r="L129" i="11" s="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B129" i="11" s="1"/>
  <c r="D129" i="11"/>
  <c r="X128" i="11"/>
  <c r="Y128" i="11" s="1"/>
  <c r="Z128" i="11" s="1"/>
  <c r="AA128" i="11" s="1"/>
  <c r="AB128" i="11" s="1"/>
  <c r="AC128" i="11" s="1"/>
  <c r="AD128" i="11" s="1"/>
  <c r="AE128" i="11" s="1"/>
  <c r="AF128" i="11" s="1"/>
  <c r="B128" i="11" s="1"/>
  <c r="E128" i="11"/>
  <c r="F128" i="11" s="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D128" i="11"/>
  <c r="F127" i="11"/>
  <c r="G127" i="11" s="1"/>
  <c r="H127" i="11" s="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B127" i="11" s="1"/>
  <c r="D127" i="11"/>
  <c r="E127" i="11" s="1"/>
  <c r="D126" i="11"/>
  <c r="E126" i="11" s="1"/>
  <c r="F126" i="11" s="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B126" i="11" s="1"/>
  <c r="J125" i="1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B125" i="11" s="1"/>
  <c r="F125" i="11"/>
  <c r="G125" i="11" s="1"/>
  <c r="H125" i="11" s="1"/>
  <c r="D125" i="11"/>
  <c r="E125" i="11" s="1"/>
  <c r="D124" i="11"/>
  <c r="E124" i="11" s="1"/>
  <c r="F124" i="11" s="1"/>
  <c r="G124" i="11" s="1"/>
  <c r="H124" i="11" s="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B124" i="11" s="1"/>
  <c r="E123" i="1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B123" i="11" s="1"/>
  <c r="D123" i="11"/>
  <c r="N122" i="1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B122" i="11" s="1"/>
  <c r="H122" i="11"/>
  <c r="I122" i="11" s="1"/>
  <c r="J122" i="11" s="1"/>
  <c r="K122" i="11" s="1"/>
  <c r="L122" i="11" s="1"/>
  <c r="M122" i="11" s="1"/>
  <c r="F122" i="11"/>
  <c r="G122" i="11" s="1"/>
  <c r="D122" i="11"/>
  <c r="E122" i="11" s="1"/>
  <c r="F121" i="1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B121" i="11" s="1"/>
  <c r="D121" i="11"/>
  <c r="E121" i="11" s="1"/>
  <c r="D120" i="11"/>
  <c r="E120" i="11" s="1"/>
  <c r="F120" i="11" s="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B120" i="11" s="1"/>
  <c r="E119" i="11"/>
  <c r="F119" i="11" s="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B119" i="11" s="1"/>
  <c r="D119" i="11"/>
  <c r="G118" i="1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B118" i="11" s="1"/>
  <c r="D118" i="11"/>
  <c r="E118" i="11" s="1"/>
  <c r="F118" i="11" s="1"/>
  <c r="J117" i="1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B117" i="11" s="1"/>
  <c r="F117" i="11"/>
  <c r="G117" i="11" s="1"/>
  <c r="H117" i="11" s="1"/>
  <c r="I117" i="11" s="1"/>
  <c r="E117" i="11"/>
  <c r="D117" i="11"/>
  <c r="D116" i="11"/>
  <c r="E116" i="11" s="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B116" i="11" s="1"/>
  <c r="E115" i="11"/>
  <c r="D115" i="11"/>
  <c r="L114" i="1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B114" i="11" s="1"/>
  <c r="K114" i="11"/>
  <c r="G114" i="11"/>
  <c r="H114" i="11" s="1"/>
  <c r="I114" i="11" s="1"/>
  <c r="F114" i="11"/>
  <c r="E114" i="11"/>
  <c r="D114" i="11"/>
  <c r="I113" i="11"/>
  <c r="J113" i="11" s="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B113" i="11" s="1"/>
  <c r="H113" i="11"/>
  <c r="E113" i="11"/>
  <c r="F113" i="11" s="1"/>
  <c r="G113" i="11" s="1"/>
  <c r="D113" i="11"/>
  <c r="D112" i="1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B112" i="11" s="1"/>
  <c r="D110" i="11"/>
  <c r="E110" i="11" s="1"/>
  <c r="F110" i="11" s="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A110" i="11" s="1"/>
  <c r="AB110" i="11" s="1"/>
  <c r="AC110" i="11" s="1"/>
  <c r="AD110" i="11" s="1"/>
  <c r="AE110" i="11" s="1"/>
  <c r="AF110" i="11" s="1"/>
  <c r="B110" i="11" s="1"/>
  <c r="G109" i="1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B109" i="11" s="1"/>
  <c r="F109" i="11"/>
  <c r="E109" i="11"/>
  <c r="D109" i="11"/>
  <c r="H107" i="11"/>
  <c r="I107" i="11" s="1"/>
  <c r="J107" i="11" s="1"/>
  <c r="K107" i="11" s="1"/>
  <c r="L107" i="11" s="1"/>
  <c r="M107" i="11" s="1"/>
  <c r="N107" i="11" s="1"/>
  <c r="O107" i="11" s="1"/>
  <c r="P107" i="11" s="1"/>
  <c r="Q107" i="11" s="1"/>
  <c r="R107" i="11" s="1"/>
  <c r="S107" i="11" s="1"/>
  <c r="T107" i="11" s="1"/>
  <c r="U107" i="11" s="1"/>
  <c r="V107" i="11" s="1"/>
  <c r="W107" i="11" s="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B107" i="11" s="1"/>
  <c r="E107" i="11"/>
  <c r="F107" i="11" s="1"/>
  <c r="G107" i="11" s="1"/>
  <c r="D107" i="11"/>
  <c r="F106" i="1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B106" i="11" s="1"/>
  <c r="D106" i="11"/>
  <c r="E106" i="11" s="1"/>
  <c r="E105" i="1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B105" i="11" s="1"/>
  <c r="D105" i="11"/>
  <c r="G104" i="1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B104" i="11" s="1"/>
  <c r="F104" i="11"/>
  <c r="E104" i="11"/>
  <c r="D104" i="11"/>
  <c r="E103" i="11"/>
  <c r="F103" i="11" s="1"/>
  <c r="D103" i="11"/>
  <c r="D102" i="11"/>
  <c r="AH100" i="11"/>
  <c r="AI100" i="11" s="1"/>
  <c r="AH99" i="11"/>
  <c r="AI99" i="11" s="1"/>
  <c r="AH98" i="11"/>
  <c r="AI98" i="11" s="1"/>
  <c r="AH97" i="11"/>
  <c r="AI97" i="11" s="1"/>
  <c r="AH96" i="11"/>
  <c r="AI96" i="11" s="1"/>
  <c r="AH95" i="11"/>
  <c r="AI95" i="11" s="1"/>
  <c r="AH94" i="11"/>
  <c r="AI94" i="11" s="1"/>
  <c r="D93" i="11"/>
  <c r="C93" i="1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G82" i="11"/>
  <c r="AI81" i="11"/>
  <c r="AH81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L82" i="11" s="1"/>
  <c r="K76" i="11"/>
  <c r="J76" i="11"/>
  <c r="I76" i="11"/>
  <c r="H76" i="11"/>
  <c r="G76" i="11"/>
  <c r="F76" i="11"/>
  <c r="E76" i="11"/>
  <c r="D76" i="11"/>
  <c r="D82" i="11" s="1"/>
  <c r="C76" i="11"/>
  <c r="AI74" i="11"/>
  <c r="AH74" i="11"/>
  <c r="AI72" i="11"/>
  <c r="AH72" i="11"/>
  <c r="AG72" i="11"/>
  <c r="AI71" i="11"/>
  <c r="AH71" i="11"/>
  <c r="AI70" i="11"/>
  <c r="AH70" i="11"/>
  <c r="AI69" i="11"/>
  <c r="AH69" i="11"/>
  <c r="AG68" i="11"/>
  <c r="AF68" i="11"/>
  <c r="AE5" i="11" s="1"/>
  <c r="AE68" i="11"/>
  <c r="AD5" i="11" s="1"/>
  <c r="AD68" i="11"/>
  <c r="AC5" i="11" s="1"/>
  <c r="AC68" i="11"/>
  <c r="AB5" i="11" s="1"/>
  <c r="AB68" i="11"/>
  <c r="AA5" i="11" s="1"/>
  <c r="AA68" i="11"/>
  <c r="Z5" i="11" s="1"/>
  <c r="Z68" i="11"/>
  <c r="Y5" i="11" s="1"/>
  <c r="Y68" i="11"/>
  <c r="X5" i="11" s="1"/>
  <c r="X68" i="11"/>
  <c r="W68" i="11"/>
  <c r="V5" i="11" s="1"/>
  <c r="V68" i="11"/>
  <c r="U68" i="11"/>
  <c r="T5" i="11" s="1"/>
  <c r="T68" i="11"/>
  <c r="S5" i="11" s="1"/>
  <c r="S68" i="11"/>
  <c r="R5" i="11" s="1"/>
  <c r="R68" i="11"/>
  <c r="Q68" i="11"/>
  <c r="P5" i="11" s="1"/>
  <c r="P68" i="11"/>
  <c r="O5" i="11" s="1"/>
  <c r="O68" i="11"/>
  <c r="N5" i="11" s="1"/>
  <c r="N68" i="11"/>
  <c r="M5" i="11" s="1"/>
  <c r="M68" i="11"/>
  <c r="L5" i="11" s="1"/>
  <c r="L68" i="11"/>
  <c r="K5" i="11" s="1"/>
  <c r="K68" i="11"/>
  <c r="J5" i="11" s="1"/>
  <c r="J68" i="11"/>
  <c r="I68" i="11"/>
  <c r="H5" i="11" s="1"/>
  <c r="H68" i="11"/>
  <c r="G68" i="11"/>
  <c r="F5" i="11" s="1"/>
  <c r="F68" i="11"/>
  <c r="E68" i="11"/>
  <c r="D5" i="11" s="1"/>
  <c r="D68" i="11"/>
  <c r="C5" i="11" s="1"/>
  <c r="C68" i="11"/>
  <c r="B5" i="11" s="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AI55" i="11"/>
  <c r="AH55" i="11"/>
  <c r="AI54" i="11"/>
  <c r="AH54" i="11"/>
  <c r="AI53" i="11"/>
  <c r="AH53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AI51" i="11"/>
  <c r="AH51" i="11"/>
  <c r="AG51" i="11"/>
  <c r="AG52" i="11" s="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G4" i="11"/>
  <c r="K4" i="11"/>
  <c r="B4" i="11"/>
  <c r="AG2" i="11"/>
  <c r="AF37" i="10"/>
  <c r="AE95" i="10"/>
  <c r="AE37" i="10"/>
  <c r="AD95" i="10"/>
  <c r="AC95" i="10"/>
  <c r="AD37" i="10"/>
  <c r="AC37" i="10"/>
  <c r="AB95" i="10"/>
  <c r="AB37" i="10"/>
  <c r="AA95" i="10"/>
  <c r="AA93" i="10" s="1"/>
  <c r="AA80" i="10"/>
  <c r="AA82" i="10" s="1"/>
  <c r="AA68" i="10"/>
  <c r="AA83" i="10" s="1"/>
  <c r="AA56" i="10"/>
  <c r="AA73" i="10" s="1"/>
  <c r="AA52" i="10"/>
  <c r="AA38" i="10"/>
  <c r="AA37" i="10"/>
  <c r="Z95" i="10"/>
  <c r="Z37" i="10"/>
  <c r="Y95" i="10"/>
  <c r="Y37" i="10"/>
  <c r="X95" i="10"/>
  <c r="X37" i="10"/>
  <c r="W95" i="10"/>
  <c r="W37" i="10"/>
  <c r="V95" i="10"/>
  <c r="V37" i="10"/>
  <c r="U95" i="10"/>
  <c r="U37" i="10"/>
  <c r="T37" i="10"/>
  <c r="S95" i="10"/>
  <c r="S37" i="10"/>
  <c r="R37" i="10"/>
  <c r="Q37" i="10"/>
  <c r="P37" i="10"/>
  <c r="O37" i="10"/>
  <c r="N56" i="10"/>
  <c r="N37" i="10"/>
  <c r="E4" i="11"/>
  <c r="AW214" i="13" l="1"/>
  <c r="AC7" i="13"/>
  <c r="W7" i="13"/>
  <c r="K7" i="13"/>
  <c r="U7" i="13"/>
  <c r="AG214" i="13"/>
  <c r="L7" i="13"/>
  <c r="J7" i="13"/>
  <c r="AA214" i="13"/>
  <c r="C209" i="13"/>
  <c r="H7" i="13"/>
  <c r="G7" i="13"/>
  <c r="B209" i="13"/>
  <c r="W214" i="13"/>
  <c r="D7" i="13"/>
  <c r="C7" i="13"/>
  <c r="AI73" i="13"/>
  <c r="AH73" i="13"/>
  <c r="H194" i="13"/>
  <c r="K103" i="13"/>
  <c r="D235" i="13"/>
  <c r="F199" i="13"/>
  <c r="E200" i="13"/>
  <c r="T214" i="13"/>
  <c r="AI75" i="13"/>
  <c r="AH75" i="13"/>
  <c r="B7" i="13"/>
  <c r="E192" i="13"/>
  <c r="F102" i="13"/>
  <c r="B83" i="13"/>
  <c r="AI82" i="13"/>
  <c r="AH82" i="13"/>
  <c r="E93" i="13"/>
  <c r="Z7" i="12"/>
  <c r="M7" i="12"/>
  <c r="J7" i="12"/>
  <c r="H7" i="12"/>
  <c r="F7" i="12"/>
  <c r="U214" i="12"/>
  <c r="E7" i="12"/>
  <c r="AI73" i="12"/>
  <c r="D7" i="12"/>
  <c r="AH83" i="12"/>
  <c r="AI83" i="12"/>
  <c r="AW214" i="12"/>
  <c r="AE7" i="12"/>
  <c r="AO214" i="12"/>
  <c r="W7" i="12"/>
  <c r="AQ214" i="12"/>
  <c r="Y7" i="12"/>
  <c r="Y214" i="12"/>
  <c r="C209" i="12"/>
  <c r="B209" i="12"/>
  <c r="G7" i="12"/>
  <c r="AH73" i="12"/>
  <c r="E200" i="12"/>
  <c r="F194" i="12"/>
  <c r="AI214" i="12"/>
  <c r="Q7" i="12"/>
  <c r="F93" i="12"/>
  <c r="F192" i="12"/>
  <c r="G102" i="12"/>
  <c r="T214" i="12"/>
  <c r="AI75" i="12"/>
  <c r="AH75" i="12"/>
  <c r="B7" i="12"/>
  <c r="H235" i="12"/>
  <c r="J199" i="12"/>
  <c r="AA214" i="12"/>
  <c r="I7" i="12"/>
  <c r="I103" i="12"/>
  <c r="AI82" i="12"/>
  <c r="AH82" i="12"/>
  <c r="AG214" i="12"/>
  <c r="O7" i="12"/>
  <c r="AF82" i="11"/>
  <c r="AF83" i="11" s="1"/>
  <c r="AF73" i="11"/>
  <c r="AF75" i="11" s="1"/>
  <c r="AX214" i="11" s="1"/>
  <c r="AD73" i="11"/>
  <c r="AD75" i="11" s="1"/>
  <c r="AC82" i="11"/>
  <c r="AC83" i="11" s="1"/>
  <c r="AC73" i="11"/>
  <c r="AC75" i="11" s="1"/>
  <c r="AB82" i="11"/>
  <c r="AB73" i="11"/>
  <c r="AB75" i="11" s="1"/>
  <c r="AT214" i="11" s="1"/>
  <c r="AA73" i="11"/>
  <c r="AA75" i="11" s="1"/>
  <c r="AS214" i="11" s="1"/>
  <c r="Z73" i="11"/>
  <c r="Z75" i="11" s="1"/>
  <c r="Y82" i="11"/>
  <c r="Y73" i="11"/>
  <c r="Y75" i="11" s="1"/>
  <c r="AQ214" i="11" s="1"/>
  <c r="X82" i="11"/>
  <c r="X73" i="11"/>
  <c r="X75" i="11" s="1"/>
  <c r="AP214" i="11" s="1"/>
  <c r="AI78" i="11"/>
  <c r="V73" i="11"/>
  <c r="V75" i="11" s="1"/>
  <c r="V7" i="11" s="1"/>
  <c r="U82" i="11"/>
  <c r="T82" i="11"/>
  <c r="U73" i="11"/>
  <c r="U75" i="11" s="1"/>
  <c r="U7" i="11" s="1"/>
  <c r="T73" i="11"/>
  <c r="T75" i="11" s="1"/>
  <c r="T7" i="11" s="1"/>
  <c r="S73" i="11"/>
  <c r="S75" i="11" s="1"/>
  <c r="AK214" i="11" s="1"/>
  <c r="R82" i="11"/>
  <c r="R73" i="11"/>
  <c r="R75" i="11" s="1"/>
  <c r="R7" i="11" s="1"/>
  <c r="Q82" i="11"/>
  <c r="Q73" i="11"/>
  <c r="Q75" i="11" s="1"/>
  <c r="P73" i="11"/>
  <c r="P75" i="11" s="1"/>
  <c r="P82" i="11"/>
  <c r="AI76" i="11"/>
  <c r="N73" i="11"/>
  <c r="N75" i="11" s="1"/>
  <c r="N7" i="11" s="1"/>
  <c r="M82" i="11"/>
  <c r="AI77" i="11"/>
  <c r="M73" i="11"/>
  <c r="M75" i="11" s="1"/>
  <c r="M7" i="11" s="1"/>
  <c r="L73" i="11"/>
  <c r="L75" i="11" s="1"/>
  <c r="K73" i="11"/>
  <c r="K75" i="11" s="1"/>
  <c r="AC214" i="11" s="1"/>
  <c r="AH78" i="11"/>
  <c r="J82" i="11"/>
  <c r="J73" i="11"/>
  <c r="J75" i="11" s="1"/>
  <c r="AB214" i="11" s="1"/>
  <c r="AH79" i="11"/>
  <c r="I73" i="11"/>
  <c r="I75" i="11" s="1"/>
  <c r="AA214" i="11" s="1"/>
  <c r="H82" i="11"/>
  <c r="AH56" i="11"/>
  <c r="H73" i="11"/>
  <c r="H75" i="11" s="1"/>
  <c r="Z214" i="11" s="1"/>
  <c r="E82" i="11"/>
  <c r="D73" i="11"/>
  <c r="D75" i="11" s="1"/>
  <c r="D7" i="11" s="1"/>
  <c r="E73" i="11"/>
  <c r="E75" i="11" s="1"/>
  <c r="AI52" i="11"/>
  <c r="F73" i="11"/>
  <c r="F75" i="11" s="1"/>
  <c r="F7" i="11" s="1"/>
  <c r="C73" i="11"/>
  <c r="C75" i="11" s="1"/>
  <c r="U214" i="11" s="1"/>
  <c r="AH38" i="11"/>
  <c r="H4" i="11"/>
  <c r="AR214" i="11"/>
  <c r="Z7" i="11"/>
  <c r="AI214" i="11"/>
  <c r="Q7" i="11"/>
  <c r="V214" i="11"/>
  <c r="AD214" i="11"/>
  <c r="L7" i="11"/>
  <c r="AL214" i="11"/>
  <c r="AG3" i="11"/>
  <c r="AG73" i="11"/>
  <c r="AG75" i="11"/>
  <c r="AU214" i="11"/>
  <c r="AC7" i="11"/>
  <c r="AF214" i="11"/>
  <c r="AG6" i="11"/>
  <c r="AV214" i="11"/>
  <c r="AD7" i="11"/>
  <c r="W214" i="11"/>
  <c r="E7" i="11"/>
  <c r="AJ214" i="11"/>
  <c r="O83" i="11"/>
  <c r="AH214" i="11"/>
  <c r="P7" i="11"/>
  <c r="X7" i="11"/>
  <c r="AI38" i="11"/>
  <c r="I82" i="11"/>
  <c r="I83" i="11" s="1"/>
  <c r="AH77" i="11"/>
  <c r="X83" i="11"/>
  <c r="S211" i="11"/>
  <c r="D211" i="11"/>
  <c r="E5" i="11"/>
  <c r="U5" i="11"/>
  <c r="C7" i="11"/>
  <c r="S7" i="11"/>
  <c r="AA7" i="11"/>
  <c r="Q83" i="11"/>
  <c r="Y83" i="11"/>
  <c r="AG83" i="11"/>
  <c r="C82" i="11"/>
  <c r="C83" i="11" s="1"/>
  <c r="K82" i="11"/>
  <c r="K83" i="11" s="1"/>
  <c r="S82" i="11"/>
  <c r="S83" i="11" s="1"/>
  <c r="AA82" i="11"/>
  <c r="AA83" i="11" s="1"/>
  <c r="F115" i="1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B115" i="11" s="1"/>
  <c r="H83" i="11"/>
  <c r="G73" i="11"/>
  <c r="G75" i="11" s="1"/>
  <c r="W73" i="11"/>
  <c r="W75" i="11" s="1"/>
  <c r="AH52" i="11"/>
  <c r="AH68" i="11"/>
  <c r="R83" i="11"/>
  <c r="AI68" i="11"/>
  <c r="G103" i="11"/>
  <c r="G5" i="11"/>
  <c r="W5" i="11"/>
  <c r="AI56" i="11"/>
  <c r="P83" i="11"/>
  <c r="AH76" i="11"/>
  <c r="Z82" i="11"/>
  <c r="Z83" i="11" s="1"/>
  <c r="O73" i="11"/>
  <c r="O75" i="11" s="1"/>
  <c r="AE73" i="11"/>
  <c r="AE75" i="11" s="1"/>
  <c r="J83" i="11"/>
  <c r="AI79" i="11"/>
  <c r="AI80" i="11"/>
  <c r="AF5" i="11"/>
  <c r="D83" i="11"/>
  <c r="L83" i="11"/>
  <c r="T83" i="11"/>
  <c r="AB83" i="11"/>
  <c r="F82" i="11"/>
  <c r="F83" i="11" s="1"/>
  <c r="N82" i="11"/>
  <c r="N83" i="11" s="1"/>
  <c r="V82" i="11"/>
  <c r="V83" i="11" s="1"/>
  <c r="AD82" i="11"/>
  <c r="AD83" i="11" s="1"/>
  <c r="I5" i="11"/>
  <c r="Q5" i="11"/>
  <c r="E83" i="11"/>
  <c r="M83" i="11"/>
  <c r="U83" i="11"/>
  <c r="G82" i="11"/>
  <c r="G83" i="11" s="1"/>
  <c r="O82" i="11"/>
  <c r="W82" i="11"/>
  <c r="W83" i="11" s="1"/>
  <c r="AE82" i="11"/>
  <c r="AE83" i="11" s="1"/>
  <c r="AH80" i="11"/>
  <c r="D192" i="11"/>
  <c r="E102" i="11"/>
  <c r="E200" i="11"/>
  <c r="G194" i="11"/>
  <c r="D200" i="11"/>
  <c r="E199" i="11"/>
  <c r="E93" i="11" s="1"/>
  <c r="M37" i="10"/>
  <c r="L95" i="10"/>
  <c r="L37" i="10"/>
  <c r="K95" i="10"/>
  <c r="K37" i="10"/>
  <c r="J95" i="10"/>
  <c r="J37" i="10"/>
  <c r="I95" i="10"/>
  <c r="I37" i="10"/>
  <c r="H95" i="10"/>
  <c r="H37" i="10"/>
  <c r="AI37" i="10" s="1"/>
  <c r="G95" i="10"/>
  <c r="G37" i="10"/>
  <c r="F95" i="10"/>
  <c r="F37" i="10"/>
  <c r="E95" i="10"/>
  <c r="E37" i="10"/>
  <c r="D95" i="10"/>
  <c r="D37" i="10"/>
  <c r="C95" i="10"/>
  <c r="C37" i="10"/>
  <c r="B95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B235" i="10"/>
  <c r="S210" i="10"/>
  <c r="AG200" i="10"/>
  <c r="C200" i="10"/>
  <c r="E199" i="10"/>
  <c r="D199" i="10"/>
  <c r="C235" i="10" s="1"/>
  <c r="G198" i="10"/>
  <c r="H198" i="10" s="1"/>
  <c r="I198" i="10" s="1"/>
  <c r="J198" i="10" s="1"/>
  <c r="K198" i="10" s="1"/>
  <c r="L198" i="10" s="1"/>
  <c r="M198" i="10" s="1"/>
  <c r="N198" i="10" s="1"/>
  <c r="O198" i="10" s="1"/>
  <c r="P198" i="10" s="1"/>
  <c r="Q198" i="10" s="1"/>
  <c r="R198" i="10" s="1"/>
  <c r="S198" i="10" s="1"/>
  <c r="T198" i="10" s="1"/>
  <c r="U198" i="10" s="1"/>
  <c r="V198" i="10" s="1"/>
  <c r="W198" i="10" s="1"/>
  <c r="X198" i="10" s="1"/>
  <c r="Y198" i="10" s="1"/>
  <c r="Z198" i="10" s="1"/>
  <c r="AA198" i="10" s="1"/>
  <c r="AB198" i="10" s="1"/>
  <c r="AC198" i="10" s="1"/>
  <c r="AD198" i="10" s="1"/>
  <c r="AE198" i="10" s="1"/>
  <c r="AF198" i="10" s="1"/>
  <c r="B198" i="10" s="1"/>
  <c r="F198" i="10"/>
  <c r="D198" i="10"/>
  <c r="E198" i="10" s="1"/>
  <c r="W197" i="10"/>
  <c r="X197" i="10" s="1"/>
  <c r="Y197" i="10" s="1"/>
  <c r="Z197" i="10" s="1"/>
  <c r="AA197" i="10" s="1"/>
  <c r="AB197" i="10" s="1"/>
  <c r="AC197" i="10" s="1"/>
  <c r="AD197" i="10" s="1"/>
  <c r="AE197" i="10" s="1"/>
  <c r="AF197" i="10" s="1"/>
  <c r="B197" i="10" s="1"/>
  <c r="E197" i="10"/>
  <c r="F197" i="10" s="1"/>
  <c r="G197" i="10" s="1"/>
  <c r="H197" i="10" s="1"/>
  <c r="I197" i="10" s="1"/>
  <c r="J197" i="10" s="1"/>
  <c r="K197" i="10" s="1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D197" i="10"/>
  <c r="E196" i="10"/>
  <c r="F196" i="10" s="1"/>
  <c r="G196" i="10" s="1"/>
  <c r="H196" i="10" s="1"/>
  <c r="I196" i="10" s="1"/>
  <c r="J196" i="10" s="1"/>
  <c r="K196" i="10" s="1"/>
  <c r="L196" i="10" s="1"/>
  <c r="M196" i="10" s="1"/>
  <c r="N196" i="10" s="1"/>
  <c r="O196" i="10" s="1"/>
  <c r="P196" i="10" s="1"/>
  <c r="Q196" i="10" s="1"/>
  <c r="R196" i="10" s="1"/>
  <c r="S196" i="10" s="1"/>
  <c r="T196" i="10" s="1"/>
  <c r="U196" i="10" s="1"/>
  <c r="V196" i="10" s="1"/>
  <c r="W196" i="10" s="1"/>
  <c r="X196" i="10" s="1"/>
  <c r="Y196" i="10" s="1"/>
  <c r="Z196" i="10" s="1"/>
  <c r="AA196" i="10" s="1"/>
  <c r="AB196" i="10" s="1"/>
  <c r="AC196" i="10" s="1"/>
  <c r="AD196" i="10" s="1"/>
  <c r="AE196" i="10" s="1"/>
  <c r="AF196" i="10" s="1"/>
  <c r="B196" i="10" s="1"/>
  <c r="D196" i="10"/>
  <c r="D195" i="10"/>
  <c r="E195" i="10" s="1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B195" i="10" s="1"/>
  <c r="D194" i="10"/>
  <c r="D200" i="10" s="1"/>
  <c r="AG192" i="10"/>
  <c r="C192" i="10"/>
  <c r="I191" i="10"/>
  <c r="J191" i="10" s="1"/>
  <c r="K191" i="10" s="1"/>
  <c r="L191" i="10" s="1"/>
  <c r="M191" i="10" s="1"/>
  <c r="N191" i="10" s="1"/>
  <c r="O191" i="10" s="1"/>
  <c r="P191" i="10" s="1"/>
  <c r="Q191" i="10" s="1"/>
  <c r="R191" i="10" s="1"/>
  <c r="S191" i="10" s="1"/>
  <c r="T191" i="10" s="1"/>
  <c r="U191" i="10" s="1"/>
  <c r="V191" i="10" s="1"/>
  <c r="W191" i="10" s="1"/>
  <c r="X191" i="10" s="1"/>
  <c r="Y191" i="10" s="1"/>
  <c r="Z191" i="10" s="1"/>
  <c r="AA191" i="10" s="1"/>
  <c r="AB191" i="10" s="1"/>
  <c r="AC191" i="10" s="1"/>
  <c r="AD191" i="10" s="1"/>
  <c r="AE191" i="10" s="1"/>
  <c r="AF191" i="10" s="1"/>
  <c r="B191" i="10" s="1"/>
  <c r="D191" i="10"/>
  <c r="E191" i="10" s="1"/>
  <c r="F191" i="10" s="1"/>
  <c r="G191" i="10" s="1"/>
  <c r="H191" i="10" s="1"/>
  <c r="E190" i="10"/>
  <c r="F190" i="10" s="1"/>
  <c r="G190" i="10" s="1"/>
  <c r="H190" i="10" s="1"/>
  <c r="I190" i="10" s="1"/>
  <c r="J190" i="10" s="1"/>
  <c r="K190" i="10" s="1"/>
  <c r="L190" i="10" s="1"/>
  <c r="M190" i="10" s="1"/>
  <c r="N190" i="10" s="1"/>
  <c r="O190" i="10" s="1"/>
  <c r="P190" i="10" s="1"/>
  <c r="Q190" i="10" s="1"/>
  <c r="R190" i="10" s="1"/>
  <c r="S190" i="10" s="1"/>
  <c r="T190" i="10" s="1"/>
  <c r="U190" i="10" s="1"/>
  <c r="V190" i="10" s="1"/>
  <c r="W190" i="10" s="1"/>
  <c r="X190" i="10" s="1"/>
  <c r="Y190" i="10" s="1"/>
  <c r="Z190" i="10" s="1"/>
  <c r="AA190" i="10" s="1"/>
  <c r="AB190" i="10" s="1"/>
  <c r="AC190" i="10" s="1"/>
  <c r="AD190" i="10" s="1"/>
  <c r="AE190" i="10" s="1"/>
  <c r="AF190" i="10" s="1"/>
  <c r="B190" i="10" s="1"/>
  <c r="D190" i="10"/>
  <c r="D189" i="10"/>
  <c r="E189" i="10" s="1"/>
  <c r="F189" i="10" s="1"/>
  <c r="G189" i="10" s="1"/>
  <c r="H189" i="10" s="1"/>
  <c r="I189" i="10" s="1"/>
  <c r="J189" i="10" s="1"/>
  <c r="K189" i="10" s="1"/>
  <c r="L189" i="10" s="1"/>
  <c r="M189" i="10" s="1"/>
  <c r="N189" i="10" s="1"/>
  <c r="O189" i="10" s="1"/>
  <c r="P189" i="10" s="1"/>
  <c r="Q189" i="10" s="1"/>
  <c r="R189" i="10" s="1"/>
  <c r="S189" i="10" s="1"/>
  <c r="T189" i="10" s="1"/>
  <c r="U189" i="10" s="1"/>
  <c r="V189" i="10" s="1"/>
  <c r="W189" i="10" s="1"/>
  <c r="X189" i="10" s="1"/>
  <c r="Y189" i="10" s="1"/>
  <c r="Z189" i="10" s="1"/>
  <c r="AA189" i="10" s="1"/>
  <c r="AB189" i="10" s="1"/>
  <c r="AC189" i="10" s="1"/>
  <c r="AD189" i="10" s="1"/>
  <c r="AE189" i="10" s="1"/>
  <c r="AF189" i="10" s="1"/>
  <c r="B189" i="10" s="1"/>
  <c r="F188" i="10"/>
  <c r="G188" i="10" s="1"/>
  <c r="H188" i="10" s="1"/>
  <c r="I188" i="10" s="1"/>
  <c r="J188" i="10" s="1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B188" i="10" s="1"/>
  <c r="D188" i="10"/>
  <c r="E188" i="10" s="1"/>
  <c r="D187" i="10"/>
  <c r="E187" i="10" s="1"/>
  <c r="F187" i="10" s="1"/>
  <c r="G187" i="10" s="1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B187" i="10" s="1"/>
  <c r="Q186" i="10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B186" i="10" s="1"/>
  <c r="G186" i="10"/>
  <c r="H186" i="10" s="1"/>
  <c r="I186" i="10" s="1"/>
  <c r="J186" i="10" s="1"/>
  <c r="K186" i="10" s="1"/>
  <c r="L186" i="10" s="1"/>
  <c r="M186" i="10" s="1"/>
  <c r="N186" i="10" s="1"/>
  <c r="O186" i="10" s="1"/>
  <c r="P186" i="10" s="1"/>
  <c r="F186" i="10"/>
  <c r="E186" i="10"/>
  <c r="D186" i="10"/>
  <c r="F185" i="10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X185" i="10" s="1"/>
  <c r="Y185" i="10" s="1"/>
  <c r="Z185" i="10" s="1"/>
  <c r="AA185" i="10" s="1"/>
  <c r="AB185" i="10" s="1"/>
  <c r="AC185" i="10" s="1"/>
  <c r="AD185" i="10" s="1"/>
  <c r="AE185" i="10" s="1"/>
  <c r="AF185" i="10" s="1"/>
  <c r="B185" i="10" s="1"/>
  <c r="D185" i="10"/>
  <c r="E185" i="10" s="1"/>
  <c r="E184" i="10"/>
  <c r="F184" i="10" s="1"/>
  <c r="G184" i="10" s="1"/>
  <c r="H184" i="10" s="1"/>
  <c r="I184" i="10" s="1"/>
  <c r="J184" i="10" s="1"/>
  <c r="K184" i="10" s="1"/>
  <c r="L184" i="10" s="1"/>
  <c r="M184" i="10" s="1"/>
  <c r="N184" i="10" s="1"/>
  <c r="O184" i="10" s="1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AE184" i="10" s="1"/>
  <c r="AF184" i="10" s="1"/>
  <c r="B184" i="10" s="1"/>
  <c r="D184" i="10"/>
  <c r="D183" i="10"/>
  <c r="E183" i="10" s="1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B183" i="10" s="1"/>
  <c r="W182" i="10"/>
  <c r="X182" i="10" s="1"/>
  <c r="Y182" i="10" s="1"/>
  <c r="Z182" i="10" s="1"/>
  <c r="AA182" i="10" s="1"/>
  <c r="AB182" i="10" s="1"/>
  <c r="AC182" i="10" s="1"/>
  <c r="AD182" i="10" s="1"/>
  <c r="AE182" i="10" s="1"/>
  <c r="AF182" i="10" s="1"/>
  <c r="B182" i="10" s="1"/>
  <c r="I182" i="10"/>
  <c r="J182" i="10" s="1"/>
  <c r="K182" i="10" s="1"/>
  <c r="L182" i="10" s="1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E182" i="10"/>
  <c r="F182" i="10" s="1"/>
  <c r="G182" i="10" s="1"/>
  <c r="H182" i="10" s="1"/>
  <c r="D182" i="10"/>
  <c r="D181" i="10"/>
  <c r="E181" i="10" s="1"/>
  <c r="F181" i="10" s="1"/>
  <c r="G181" i="10" s="1"/>
  <c r="H181" i="10" s="1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B181" i="10" s="1"/>
  <c r="Y180" i="10"/>
  <c r="Z180" i="10" s="1"/>
  <c r="AA180" i="10" s="1"/>
  <c r="AB180" i="10" s="1"/>
  <c r="AC180" i="10" s="1"/>
  <c r="AD180" i="10" s="1"/>
  <c r="AE180" i="10" s="1"/>
  <c r="AF180" i="10" s="1"/>
  <c r="B180" i="10" s="1"/>
  <c r="M180" i="10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D180" i="10"/>
  <c r="E180" i="10" s="1"/>
  <c r="F180" i="10" s="1"/>
  <c r="G180" i="10" s="1"/>
  <c r="H180" i="10" s="1"/>
  <c r="I180" i="10" s="1"/>
  <c r="J180" i="10" s="1"/>
  <c r="K180" i="10" s="1"/>
  <c r="L180" i="10" s="1"/>
  <c r="G179" i="10"/>
  <c r="H179" i="10" s="1"/>
  <c r="I179" i="10" s="1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B179" i="10" s="1"/>
  <c r="E179" i="10"/>
  <c r="F179" i="10" s="1"/>
  <c r="D179" i="10"/>
  <c r="Y177" i="10"/>
  <c r="Z177" i="10" s="1"/>
  <c r="AA177" i="10" s="1"/>
  <c r="AB177" i="10" s="1"/>
  <c r="AC177" i="10" s="1"/>
  <c r="AD177" i="10" s="1"/>
  <c r="AE177" i="10" s="1"/>
  <c r="AF177" i="10" s="1"/>
  <c r="B177" i="10" s="1"/>
  <c r="M177" i="10"/>
  <c r="N177" i="10" s="1"/>
  <c r="O177" i="10" s="1"/>
  <c r="P177" i="10" s="1"/>
  <c r="Q177" i="10" s="1"/>
  <c r="R177" i="10" s="1"/>
  <c r="S177" i="10" s="1"/>
  <c r="T177" i="10" s="1"/>
  <c r="U177" i="10" s="1"/>
  <c r="V177" i="10" s="1"/>
  <c r="W177" i="10" s="1"/>
  <c r="X177" i="10" s="1"/>
  <c r="E177" i="10"/>
  <c r="F177" i="10" s="1"/>
  <c r="G177" i="10" s="1"/>
  <c r="H177" i="10" s="1"/>
  <c r="I177" i="10" s="1"/>
  <c r="J177" i="10" s="1"/>
  <c r="K177" i="10" s="1"/>
  <c r="L177" i="10" s="1"/>
  <c r="D177" i="10"/>
  <c r="D176" i="10"/>
  <c r="E176" i="10" s="1"/>
  <c r="F176" i="10" s="1"/>
  <c r="G176" i="10" s="1"/>
  <c r="H176" i="10" s="1"/>
  <c r="I176" i="10" s="1"/>
  <c r="J176" i="10" s="1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B176" i="10" s="1"/>
  <c r="F175" i="10"/>
  <c r="G175" i="10" s="1"/>
  <c r="H175" i="10" s="1"/>
  <c r="I175" i="10" s="1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B175" i="10" s="1"/>
  <c r="D175" i="10"/>
  <c r="E175" i="10" s="1"/>
  <c r="D174" i="10"/>
  <c r="E174" i="10" s="1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B174" i="10" s="1"/>
  <c r="D173" i="10"/>
  <c r="E173" i="10" s="1"/>
  <c r="F173" i="10" s="1"/>
  <c r="G173" i="10" s="1"/>
  <c r="H173" i="10" s="1"/>
  <c r="I173" i="10" s="1"/>
  <c r="J173" i="10" s="1"/>
  <c r="K173" i="10" s="1"/>
  <c r="L173" i="10" s="1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X173" i="10" s="1"/>
  <c r="Y173" i="10" s="1"/>
  <c r="Z173" i="10" s="1"/>
  <c r="AA173" i="10" s="1"/>
  <c r="AB173" i="10" s="1"/>
  <c r="AC173" i="10" s="1"/>
  <c r="AD173" i="10" s="1"/>
  <c r="AE173" i="10" s="1"/>
  <c r="AF173" i="10" s="1"/>
  <c r="B173" i="10" s="1"/>
  <c r="I172" i="10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B172" i="10" s="1"/>
  <c r="G172" i="10"/>
  <c r="H172" i="10" s="1"/>
  <c r="F172" i="10"/>
  <c r="D172" i="10"/>
  <c r="E172" i="10" s="1"/>
  <c r="D171" i="10"/>
  <c r="E171" i="10" s="1"/>
  <c r="F171" i="10" s="1"/>
  <c r="G171" i="10" s="1"/>
  <c r="H171" i="10" s="1"/>
  <c r="I171" i="10" s="1"/>
  <c r="J171" i="10" s="1"/>
  <c r="K171" i="10" s="1"/>
  <c r="L171" i="10" s="1"/>
  <c r="M171" i="10" s="1"/>
  <c r="N171" i="10" s="1"/>
  <c r="O171" i="10" s="1"/>
  <c r="P171" i="10" s="1"/>
  <c r="Q171" i="10" s="1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B171" i="10" s="1"/>
  <c r="D170" i="10"/>
  <c r="E170" i="10" s="1"/>
  <c r="F170" i="10" s="1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B170" i="10" s="1"/>
  <c r="F168" i="10"/>
  <c r="G168" i="10" s="1"/>
  <c r="H168" i="10" s="1"/>
  <c r="I168" i="10" s="1"/>
  <c r="J168" i="10" s="1"/>
  <c r="K168" i="10" s="1"/>
  <c r="L168" i="10" s="1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X168" i="10" s="1"/>
  <c r="Y168" i="10" s="1"/>
  <c r="Z168" i="10" s="1"/>
  <c r="AA168" i="10" s="1"/>
  <c r="AB168" i="10" s="1"/>
  <c r="AC168" i="10" s="1"/>
  <c r="AD168" i="10" s="1"/>
  <c r="AE168" i="10" s="1"/>
  <c r="AF168" i="10" s="1"/>
  <c r="B168" i="10" s="1"/>
  <c r="D168" i="10"/>
  <c r="E168" i="10" s="1"/>
  <c r="K167" i="10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B167" i="10" s="1"/>
  <c r="I167" i="10"/>
  <c r="J167" i="10" s="1"/>
  <c r="G167" i="10"/>
  <c r="H167" i="10" s="1"/>
  <c r="F167" i="10"/>
  <c r="D167" i="10"/>
  <c r="E167" i="10" s="1"/>
  <c r="D166" i="10"/>
  <c r="E166" i="10" s="1"/>
  <c r="F166" i="10" s="1"/>
  <c r="G166" i="10" s="1"/>
  <c r="H166" i="10" s="1"/>
  <c r="I166" i="10" s="1"/>
  <c r="J166" i="10" s="1"/>
  <c r="K166" i="10" s="1"/>
  <c r="L166" i="10" s="1"/>
  <c r="M166" i="10" s="1"/>
  <c r="N166" i="10" s="1"/>
  <c r="O166" i="10" s="1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B166" i="10" s="1"/>
  <c r="AF165" i="10"/>
  <c r="B165" i="10" s="1"/>
  <c r="N165" i="10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E165" i="10"/>
  <c r="F165" i="10" s="1"/>
  <c r="G165" i="10" s="1"/>
  <c r="H165" i="10" s="1"/>
  <c r="I165" i="10" s="1"/>
  <c r="J165" i="10" s="1"/>
  <c r="K165" i="10" s="1"/>
  <c r="L165" i="10" s="1"/>
  <c r="M165" i="10" s="1"/>
  <c r="D165" i="10"/>
  <c r="I164" i="10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B164" i="10" s="1"/>
  <c r="H164" i="10"/>
  <c r="E164" i="10"/>
  <c r="F164" i="10" s="1"/>
  <c r="G164" i="10" s="1"/>
  <c r="D164" i="10"/>
  <c r="V163" i="10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B163" i="10" s="1"/>
  <c r="H163" i="10"/>
  <c r="I163" i="10" s="1"/>
  <c r="J163" i="10" s="1"/>
  <c r="K163" i="10" s="1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D163" i="10"/>
  <c r="E163" i="10" s="1"/>
  <c r="F163" i="10" s="1"/>
  <c r="G163" i="10" s="1"/>
  <c r="O162" i="10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B162" i="10" s="1"/>
  <c r="F162" i="10"/>
  <c r="G162" i="10" s="1"/>
  <c r="H162" i="10" s="1"/>
  <c r="I162" i="10" s="1"/>
  <c r="J162" i="10" s="1"/>
  <c r="K162" i="10" s="1"/>
  <c r="L162" i="10" s="1"/>
  <c r="M162" i="10" s="1"/>
  <c r="N162" i="10" s="1"/>
  <c r="E162" i="10"/>
  <c r="D162" i="10"/>
  <c r="H161" i="10"/>
  <c r="I161" i="10" s="1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B161" i="10" s="1"/>
  <c r="D161" i="10"/>
  <c r="E161" i="10" s="1"/>
  <c r="F161" i="10" s="1"/>
  <c r="G161" i="10" s="1"/>
  <c r="D160" i="10"/>
  <c r="E160" i="10" s="1"/>
  <c r="F160" i="10" s="1"/>
  <c r="G160" i="10" s="1"/>
  <c r="H160" i="10" s="1"/>
  <c r="I160" i="10" s="1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B160" i="10" s="1"/>
  <c r="N159" i="10"/>
  <c r="O159" i="10" s="1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B159" i="10" s="1"/>
  <c r="D159" i="10"/>
  <c r="E159" i="10" s="1"/>
  <c r="F159" i="10" s="1"/>
  <c r="G159" i="10" s="1"/>
  <c r="H159" i="10" s="1"/>
  <c r="I159" i="10" s="1"/>
  <c r="J159" i="10" s="1"/>
  <c r="K159" i="10" s="1"/>
  <c r="L159" i="10" s="1"/>
  <c r="M159" i="10" s="1"/>
  <c r="G158" i="10"/>
  <c r="H158" i="10" s="1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B158" i="10" s="1"/>
  <c r="F158" i="10"/>
  <c r="E158" i="10"/>
  <c r="D158" i="10"/>
  <c r="J157" i="10"/>
  <c r="K157" i="10" s="1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B157" i="10" s="1"/>
  <c r="D157" i="10"/>
  <c r="E157" i="10" s="1"/>
  <c r="F157" i="10" s="1"/>
  <c r="G157" i="10" s="1"/>
  <c r="H157" i="10" s="1"/>
  <c r="I157" i="10" s="1"/>
  <c r="U156" i="10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B156" i="10" s="1"/>
  <c r="L156" i="10"/>
  <c r="M156" i="10" s="1"/>
  <c r="N156" i="10" s="1"/>
  <c r="O156" i="10" s="1"/>
  <c r="P156" i="10" s="1"/>
  <c r="Q156" i="10" s="1"/>
  <c r="R156" i="10" s="1"/>
  <c r="S156" i="10" s="1"/>
  <c r="T156" i="10" s="1"/>
  <c r="D156" i="10"/>
  <c r="E156" i="10" s="1"/>
  <c r="F156" i="10" s="1"/>
  <c r="G156" i="10" s="1"/>
  <c r="H156" i="10" s="1"/>
  <c r="I156" i="10" s="1"/>
  <c r="J156" i="10" s="1"/>
  <c r="K156" i="10" s="1"/>
  <c r="O154" i="10"/>
  <c r="P154" i="10" s="1"/>
  <c r="Q154" i="10" s="1"/>
  <c r="R154" i="10" s="1"/>
  <c r="S154" i="10" s="1"/>
  <c r="T154" i="10" s="1"/>
  <c r="U154" i="10" s="1"/>
  <c r="V154" i="10" s="1"/>
  <c r="W154" i="10" s="1"/>
  <c r="X154" i="10" s="1"/>
  <c r="Y154" i="10" s="1"/>
  <c r="Z154" i="10" s="1"/>
  <c r="AA154" i="10" s="1"/>
  <c r="AB154" i="10" s="1"/>
  <c r="AC154" i="10" s="1"/>
  <c r="AD154" i="10" s="1"/>
  <c r="AE154" i="10" s="1"/>
  <c r="AF154" i="10" s="1"/>
  <c r="B154" i="10" s="1"/>
  <c r="F154" i="10"/>
  <c r="G154" i="10" s="1"/>
  <c r="H154" i="10" s="1"/>
  <c r="I154" i="10" s="1"/>
  <c r="J154" i="10" s="1"/>
  <c r="K154" i="10" s="1"/>
  <c r="L154" i="10" s="1"/>
  <c r="M154" i="10" s="1"/>
  <c r="N154" i="10" s="1"/>
  <c r="D154" i="10"/>
  <c r="E154" i="10" s="1"/>
  <c r="D153" i="10"/>
  <c r="E153" i="10" s="1"/>
  <c r="F153" i="10" s="1"/>
  <c r="G153" i="10" s="1"/>
  <c r="H153" i="10" s="1"/>
  <c r="I153" i="10" s="1"/>
  <c r="J153" i="10" s="1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B153" i="10" s="1"/>
  <c r="D152" i="10"/>
  <c r="E152" i="10" s="1"/>
  <c r="F152" i="10" s="1"/>
  <c r="G152" i="10" s="1"/>
  <c r="H152" i="10" s="1"/>
  <c r="I152" i="10" s="1"/>
  <c r="J152" i="10" s="1"/>
  <c r="K152" i="10" s="1"/>
  <c r="L152" i="10" s="1"/>
  <c r="M152" i="10" s="1"/>
  <c r="N152" i="10" s="1"/>
  <c r="O152" i="10" s="1"/>
  <c r="P152" i="10" s="1"/>
  <c r="Q152" i="10" s="1"/>
  <c r="R152" i="10" s="1"/>
  <c r="S152" i="10" s="1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B152" i="10" s="1"/>
  <c r="D151" i="10"/>
  <c r="E151" i="10" s="1"/>
  <c r="F151" i="10" s="1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B151" i="10" s="1"/>
  <c r="D149" i="10"/>
  <c r="E149" i="10" s="1"/>
  <c r="F149" i="10" s="1"/>
  <c r="G149" i="10" s="1"/>
  <c r="H149" i="10" s="1"/>
  <c r="I149" i="10" s="1"/>
  <c r="J149" i="10" s="1"/>
  <c r="K149" i="10" s="1"/>
  <c r="L149" i="10" s="1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149" i="10" s="1"/>
  <c r="Y149" i="10" s="1"/>
  <c r="Z149" i="10" s="1"/>
  <c r="AA149" i="10" s="1"/>
  <c r="AB149" i="10" s="1"/>
  <c r="AC149" i="10" s="1"/>
  <c r="AD149" i="10" s="1"/>
  <c r="AE149" i="10" s="1"/>
  <c r="AF149" i="10" s="1"/>
  <c r="B149" i="10" s="1"/>
  <c r="AF148" i="10"/>
  <c r="B148" i="10" s="1"/>
  <c r="H148" i="10"/>
  <c r="I148" i="10" s="1"/>
  <c r="J148" i="10" s="1"/>
  <c r="K148" i="10" s="1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D148" i="10"/>
  <c r="E148" i="10" s="1"/>
  <c r="F148" i="10" s="1"/>
  <c r="G148" i="10" s="1"/>
  <c r="F146" i="10"/>
  <c r="G146" i="10" s="1"/>
  <c r="H146" i="10" s="1"/>
  <c r="I146" i="10" s="1"/>
  <c r="J146" i="10" s="1"/>
  <c r="K146" i="10" s="1"/>
  <c r="L146" i="10" s="1"/>
  <c r="M146" i="10" s="1"/>
  <c r="N146" i="10" s="1"/>
  <c r="O146" i="10" s="1"/>
  <c r="P146" i="10" s="1"/>
  <c r="Q146" i="10" s="1"/>
  <c r="R146" i="10" s="1"/>
  <c r="S146" i="10" s="1"/>
  <c r="T146" i="10" s="1"/>
  <c r="U146" i="10" s="1"/>
  <c r="V146" i="10" s="1"/>
  <c r="W146" i="10" s="1"/>
  <c r="X146" i="10" s="1"/>
  <c r="Y146" i="10" s="1"/>
  <c r="Z146" i="10" s="1"/>
  <c r="AA146" i="10" s="1"/>
  <c r="AB146" i="10" s="1"/>
  <c r="AC146" i="10" s="1"/>
  <c r="AD146" i="10" s="1"/>
  <c r="AE146" i="10" s="1"/>
  <c r="AF146" i="10" s="1"/>
  <c r="B146" i="10" s="1"/>
  <c r="E146" i="10"/>
  <c r="D146" i="10"/>
  <c r="D145" i="10"/>
  <c r="E145" i="10" s="1"/>
  <c r="F145" i="10" s="1"/>
  <c r="G145" i="10" s="1"/>
  <c r="H145" i="10" s="1"/>
  <c r="I145" i="10" s="1"/>
  <c r="J145" i="10" s="1"/>
  <c r="K145" i="10" s="1"/>
  <c r="L145" i="10" s="1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B145" i="10" s="1"/>
  <c r="E144" i="10"/>
  <c r="F144" i="10" s="1"/>
  <c r="G144" i="10" s="1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B144" i="10" s="1"/>
  <c r="D144" i="10"/>
  <c r="D143" i="10"/>
  <c r="E143" i="10" s="1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B143" i="10" s="1"/>
  <c r="W142" i="10"/>
  <c r="X142" i="10" s="1"/>
  <c r="Y142" i="10" s="1"/>
  <c r="Z142" i="10" s="1"/>
  <c r="AA142" i="10" s="1"/>
  <c r="AB142" i="10" s="1"/>
  <c r="AC142" i="10" s="1"/>
  <c r="AD142" i="10" s="1"/>
  <c r="AE142" i="10" s="1"/>
  <c r="AF142" i="10" s="1"/>
  <c r="B142" i="10" s="1"/>
  <c r="I142" i="10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F142" i="10"/>
  <c r="G142" i="10" s="1"/>
  <c r="H142" i="10" s="1"/>
  <c r="E142" i="10"/>
  <c r="D142" i="10"/>
  <c r="D141" i="10"/>
  <c r="E141" i="10" s="1"/>
  <c r="F141" i="10" s="1"/>
  <c r="G141" i="10" s="1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B141" i="10" s="1"/>
  <c r="E140" i="10"/>
  <c r="F140" i="10" s="1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B140" i="10" s="1"/>
  <c r="D140" i="10"/>
  <c r="D138" i="10"/>
  <c r="E138" i="10" s="1"/>
  <c r="F138" i="10" s="1"/>
  <c r="G138" i="10" s="1"/>
  <c r="H138" i="10" s="1"/>
  <c r="I138" i="10" s="1"/>
  <c r="J138" i="10" s="1"/>
  <c r="K138" i="10" s="1"/>
  <c r="L138" i="10" s="1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B138" i="10" s="1"/>
  <c r="G137" i="10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B137" i="10" s="1"/>
  <c r="D137" i="10"/>
  <c r="E137" i="10" s="1"/>
  <c r="F137" i="10" s="1"/>
  <c r="M136" i="10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B136" i="10" s="1"/>
  <c r="E136" i="10"/>
  <c r="F136" i="10" s="1"/>
  <c r="G136" i="10" s="1"/>
  <c r="H136" i="10" s="1"/>
  <c r="I136" i="10" s="1"/>
  <c r="J136" i="10" s="1"/>
  <c r="K136" i="10" s="1"/>
  <c r="L136" i="10" s="1"/>
  <c r="D136" i="10"/>
  <c r="K135" i="10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B135" i="10" s="1"/>
  <c r="F135" i="10"/>
  <c r="G135" i="10" s="1"/>
  <c r="H135" i="10" s="1"/>
  <c r="I135" i="10" s="1"/>
  <c r="J135" i="10" s="1"/>
  <c r="D135" i="10"/>
  <c r="E135" i="10" s="1"/>
  <c r="L134" i="10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B134" i="10" s="1"/>
  <c r="I134" i="10"/>
  <c r="J134" i="10" s="1"/>
  <c r="K134" i="10" s="1"/>
  <c r="D134" i="10"/>
  <c r="E134" i="10" s="1"/>
  <c r="F134" i="10" s="1"/>
  <c r="G134" i="10" s="1"/>
  <c r="H134" i="10" s="1"/>
  <c r="J133" i="10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B133" i="10" s="1"/>
  <c r="G133" i="10"/>
  <c r="H133" i="10" s="1"/>
  <c r="I133" i="10" s="1"/>
  <c r="D133" i="10"/>
  <c r="E133" i="10" s="1"/>
  <c r="F133" i="10" s="1"/>
  <c r="M132" i="10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B132" i="10" s="1"/>
  <c r="H132" i="10"/>
  <c r="I132" i="10" s="1"/>
  <c r="J132" i="10" s="1"/>
  <c r="K132" i="10" s="1"/>
  <c r="L132" i="10" s="1"/>
  <c r="E132" i="10"/>
  <c r="F132" i="10" s="1"/>
  <c r="G132" i="10" s="1"/>
  <c r="D132" i="10"/>
  <c r="N131" i="10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B131" i="10" s="1"/>
  <c r="D131" i="10"/>
  <c r="E131" i="10" s="1"/>
  <c r="F131" i="10" s="1"/>
  <c r="G131" i="10" s="1"/>
  <c r="H131" i="10" s="1"/>
  <c r="I131" i="10" s="1"/>
  <c r="J131" i="10" s="1"/>
  <c r="K131" i="10" s="1"/>
  <c r="L131" i="10" s="1"/>
  <c r="M131" i="10" s="1"/>
  <c r="D129" i="10"/>
  <c r="E129" i="10" s="1"/>
  <c r="F129" i="10" s="1"/>
  <c r="G129" i="10" s="1"/>
  <c r="H129" i="10" s="1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B129" i="10" s="1"/>
  <c r="D128" i="10"/>
  <c r="E128" i="10" s="1"/>
  <c r="F128" i="10" s="1"/>
  <c r="G128" i="10" s="1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B128" i="10" s="1"/>
  <c r="P127" i="10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B127" i="10" s="1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D127" i="10"/>
  <c r="D126" i="10"/>
  <c r="E126" i="10" s="1"/>
  <c r="F126" i="10" s="1"/>
  <c r="G126" i="10" s="1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B126" i="10" s="1"/>
  <c r="J125" i="10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B125" i="10" s="1"/>
  <c r="H125" i="10"/>
  <c r="E125" i="10"/>
  <c r="F125" i="10" s="1"/>
  <c r="G125" i="10" s="1"/>
  <c r="D125" i="10"/>
  <c r="D124" i="10"/>
  <c r="E124" i="10" s="1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B124" i="10" s="1"/>
  <c r="D123" i="10"/>
  <c r="E123" i="10" s="1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B123" i="10" s="1"/>
  <c r="W122" i="10"/>
  <c r="X122" i="10" s="1"/>
  <c r="Y122" i="10" s="1"/>
  <c r="Z122" i="10" s="1"/>
  <c r="AA122" i="10" s="1"/>
  <c r="AB122" i="10" s="1"/>
  <c r="AC122" i="10" s="1"/>
  <c r="AD122" i="10" s="1"/>
  <c r="AE122" i="10" s="1"/>
  <c r="AF122" i="10" s="1"/>
  <c r="B122" i="10" s="1"/>
  <c r="G122" i="10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E122" i="10"/>
  <c r="F122" i="10" s="1"/>
  <c r="D122" i="10"/>
  <c r="H121" i="10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B121" i="10" s="1"/>
  <c r="E121" i="10"/>
  <c r="F121" i="10" s="1"/>
  <c r="G121" i="10" s="1"/>
  <c r="D121" i="10"/>
  <c r="F120" i="10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B120" i="10" s="1"/>
  <c r="D120" i="10"/>
  <c r="E120" i="10" s="1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B119" i="10" s="1"/>
  <c r="D119" i="10"/>
  <c r="D118" i="10"/>
  <c r="E118" i="10" s="1"/>
  <c r="F118" i="10" s="1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B118" i="10" s="1"/>
  <c r="E117" i="10"/>
  <c r="F117" i="10" s="1"/>
  <c r="G117" i="10" s="1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B117" i="10" s="1"/>
  <c r="D117" i="10"/>
  <c r="O116" i="10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B116" i="10" s="1"/>
  <c r="F116" i="10"/>
  <c r="G116" i="10" s="1"/>
  <c r="H116" i="10" s="1"/>
  <c r="I116" i="10" s="1"/>
  <c r="J116" i="10" s="1"/>
  <c r="K116" i="10" s="1"/>
  <c r="L116" i="10" s="1"/>
  <c r="M116" i="10" s="1"/>
  <c r="N116" i="10" s="1"/>
  <c r="E116" i="10"/>
  <c r="D116" i="10"/>
  <c r="E115" i="10"/>
  <c r="F115" i="10" s="1"/>
  <c r="G115" i="10" s="1"/>
  <c r="H115" i="10" s="1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B115" i="10" s="1"/>
  <c r="D115" i="10"/>
  <c r="W114" i="10"/>
  <c r="X114" i="10" s="1"/>
  <c r="Y114" i="10" s="1"/>
  <c r="Z114" i="10" s="1"/>
  <c r="AA114" i="10" s="1"/>
  <c r="AB114" i="10" s="1"/>
  <c r="AC114" i="10" s="1"/>
  <c r="AD114" i="10" s="1"/>
  <c r="AE114" i="10" s="1"/>
  <c r="AF114" i="10" s="1"/>
  <c r="B114" i="10" s="1"/>
  <c r="M114" i="10"/>
  <c r="N114" i="10" s="1"/>
  <c r="O114" i="10" s="1"/>
  <c r="P114" i="10" s="1"/>
  <c r="Q114" i="10" s="1"/>
  <c r="R114" i="10" s="1"/>
  <c r="S114" i="10" s="1"/>
  <c r="T114" i="10" s="1"/>
  <c r="U114" i="10" s="1"/>
  <c r="V114" i="10" s="1"/>
  <c r="L114" i="10"/>
  <c r="K114" i="10"/>
  <c r="F114" i="10"/>
  <c r="G114" i="10" s="1"/>
  <c r="H114" i="10" s="1"/>
  <c r="I114" i="10" s="1"/>
  <c r="E114" i="10"/>
  <c r="D114" i="10"/>
  <c r="T113" i="10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B113" i="10" s="1"/>
  <c r="J113" i="10"/>
  <c r="K113" i="10" s="1"/>
  <c r="L113" i="10" s="1"/>
  <c r="M113" i="10" s="1"/>
  <c r="N113" i="10" s="1"/>
  <c r="O113" i="10" s="1"/>
  <c r="P113" i="10" s="1"/>
  <c r="Q113" i="10" s="1"/>
  <c r="R113" i="10" s="1"/>
  <c r="S113" i="10" s="1"/>
  <c r="D113" i="10"/>
  <c r="E113" i="10" s="1"/>
  <c r="F113" i="10" s="1"/>
  <c r="G113" i="10" s="1"/>
  <c r="H113" i="10" s="1"/>
  <c r="I113" i="10" s="1"/>
  <c r="E112" i="10"/>
  <c r="F112" i="10" s="1"/>
  <c r="G112" i="10" s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B112" i="10" s="1"/>
  <c r="D112" i="10"/>
  <c r="E110" i="10"/>
  <c r="F110" i="10" s="1"/>
  <c r="G110" i="10" s="1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B110" i="10" s="1"/>
  <c r="D110" i="10"/>
  <c r="G109" i="10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B109" i="10" s="1"/>
  <c r="D109" i="10"/>
  <c r="E109" i="10" s="1"/>
  <c r="F109" i="10" s="1"/>
  <c r="E107" i="10"/>
  <c r="F107" i="10" s="1"/>
  <c r="G107" i="10" s="1"/>
  <c r="H107" i="10" s="1"/>
  <c r="I107" i="10" s="1"/>
  <c r="J107" i="10" s="1"/>
  <c r="K107" i="10" s="1"/>
  <c r="L107" i="10" s="1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B107" i="10" s="1"/>
  <c r="D107" i="10"/>
  <c r="S106" i="10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B106" i="10" s="1"/>
  <c r="K106" i="10"/>
  <c r="L106" i="10" s="1"/>
  <c r="M106" i="10" s="1"/>
  <c r="N106" i="10" s="1"/>
  <c r="O106" i="10" s="1"/>
  <c r="P106" i="10" s="1"/>
  <c r="Q106" i="10" s="1"/>
  <c r="R106" i="10" s="1"/>
  <c r="D106" i="10"/>
  <c r="E106" i="10" s="1"/>
  <c r="F106" i="10" s="1"/>
  <c r="G106" i="10" s="1"/>
  <c r="H106" i="10" s="1"/>
  <c r="I106" i="10" s="1"/>
  <c r="J106" i="10" s="1"/>
  <c r="I105" i="10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B105" i="10" s="1"/>
  <c r="E105" i="10"/>
  <c r="F105" i="10" s="1"/>
  <c r="G105" i="10" s="1"/>
  <c r="H105" i="10" s="1"/>
  <c r="D105" i="10"/>
  <c r="G104" i="10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B104" i="10" s="1"/>
  <c r="D104" i="10"/>
  <c r="E104" i="10" s="1"/>
  <c r="F104" i="10" s="1"/>
  <c r="E103" i="10"/>
  <c r="D103" i="10"/>
  <c r="D102" i="10"/>
  <c r="AH100" i="10"/>
  <c r="AI100" i="10" s="1"/>
  <c r="AH99" i="10"/>
  <c r="AI99" i="10" s="1"/>
  <c r="AH98" i="10"/>
  <c r="AI98" i="10" s="1"/>
  <c r="AH97" i="10"/>
  <c r="AI97" i="10" s="1"/>
  <c r="AH96" i="10"/>
  <c r="AI96" i="10" s="1"/>
  <c r="AH95" i="10"/>
  <c r="AI95" i="10" s="1"/>
  <c r="AH94" i="10"/>
  <c r="AI94" i="10" s="1"/>
  <c r="D93" i="10"/>
  <c r="C93" i="10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G82" i="10"/>
  <c r="AI81" i="10"/>
  <c r="AH81" i="10"/>
  <c r="AF80" i="10"/>
  <c r="AE80" i="10"/>
  <c r="AD80" i="10"/>
  <c r="AC80" i="10"/>
  <c r="AB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F79" i="10"/>
  <c r="AE79" i="10"/>
  <c r="AD79" i="10"/>
  <c r="AC79" i="10"/>
  <c r="AB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F78" i="10"/>
  <c r="AE78" i="10"/>
  <c r="AD78" i="10"/>
  <c r="AC78" i="10"/>
  <c r="AB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F77" i="10"/>
  <c r="AE77" i="10"/>
  <c r="AD77" i="10"/>
  <c r="AC77" i="10"/>
  <c r="AB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F76" i="10"/>
  <c r="AE76" i="10"/>
  <c r="AD76" i="10"/>
  <c r="AC76" i="10"/>
  <c r="AC82" i="10" s="1"/>
  <c r="AB76" i="10"/>
  <c r="Z76" i="10"/>
  <c r="Y76" i="10"/>
  <c r="X76" i="10"/>
  <c r="W76" i="10"/>
  <c r="V76" i="10"/>
  <c r="U76" i="10"/>
  <c r="T76" i="10"/>
  <c r="T82" i="10" s="1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I74" i="10"/>
  <c r="AH74" i="10"/>
  <c r="AI72" i="10"/>
  <c r="AH72" i="10"/>
  <c r="AG72" i="10"/>
  <c r="AI71" i="10"/>
  <c r="AH71" i="10"/>
  <c r="AI70" i="10"/>
  <c r="AH70" i="10"/>
  <c r="AI69" i="10"/>
  <c r="AH69" i="10"/>
  <c r="AG68" i="10"/>
  <c r="AF68" i="10"/>
  <c r="AE5" i="10" s="1"/>
  <c r="AE68" i="10"/>
  <c r="AD68" i="10"/>
  <c r="AC68" i="10"/>
  <c r="AB68" i="10"/>
  <c r="AA5" i="10" s="1"/>
  <c r="Z5" i="10"/>
  <c r="Z68" i="10"/>
  <c r="Y68" i="10"/>
  <c r="X5" i="10" s="1"/>
  <c r="X68" i="10"/>
  <c r="W5" i="10" s="1"/>
  <c r="W68" i="10"/>
  <c r="V5" i="10" s="1"/>
  <c r="V68" i="10"/>
  <c r="U68" i="10"/>
  <c r="T68" i="10"/>
  <c r="S68" i="10"/>
  <c r="R68" i="10"/>
  <c r="Q5" i="10" s="1"/>
  <c r="Q68" i="10"/>
  <c r="P5" i="10" s="1"/>
  <c r="P68" i="10"/>
  <c r="O5" i="10" s="1"/>
  <c r="O68" i="10"/>
  <c r="N5" i="10" s="1"/>
  <c r="N68" i="10"/>
  <c r="M68" i="10"/>
  <c r="L68" i="10"/>
  <c r="K68" i="10"/>
  <c r="J5" i="10" s="1"/>
  <c r="J68" i="10"/>
  <c r="I68" i="10"/>
  <c r="H5" i="10" s="1"/>
  <c r="H68" i="10"/>
  <c r="G5" i="10" s="1"/>
  <c r="G68" i="10"/>
  <c r="F5" i="10" s="1"/>
  <c r="F68" i="10"/>
  <c r="E68" i="10"/>
  <c r="D68" i="10"/>
  <c r="C68" i="10"/>
  <c r="B5" i="10" s="1"/>
  <c r="B68" i="10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G56" i="10"/>
  <c r="AG4" i="10" s="1"/>
  <c r="AF56" i="10"/>
  <c r="AE56" i="10"/>
  <c r="AD56" i="10"/>
  <c r="AC56" i="10"/>
  <c r="AB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I55" i="10"/>
  <c r="AH55" i="10"/>
  <c r="AI54" i="10"/>
  <c r="AH54" i="10"/>
  <c r="AI53" i="10"/>
  <c r="AH53" i="10"/>
  <c r="AG52" i="10"/>
  <c r="AG3" i="10" s="1"/>
  <c r="AF52" i="10"/>
  <c r="AE52" i="10"/>
  <c r="AD52" i="10"/>
  <c r="AC52" i="10"/>
  <c r="AB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I51" i="10"/>
  <c r="AH51" i="10"/>
  <c r="AG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G38" i="10"/>
  <c r="AG2" i="10" s="1"/>
  <c r="AF38" i="10"/>
  <c r="AE38" i="10"/>
  <c r="AE73" i="10" s="1"/>
  <c r="AE75" i="10" s="1"/>
  <c r="AW214" i="10" s="1"/>
  <c r="AD38" i="10"/>
  <c r="AC38" i="10"/>
  <c r="AB38" i="10"/>
  <c r="Z38" i="10"/>
  <c r="Y38" i="10"/>
  <c r="X38" i="10"/>
  <c r="W38" i="10"/>
  <c r="W73" i="10" s="1"/>
  <c r="W75" i="10" s="1"/>
  <c r="AO214" i="10" s="1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D5" i="10"/>
  <c r="Y5" i="10"/>
  <c r="R5" i="10"/>
  <c r="K4" i="10"/>
  <c r="B4" i="10"/>
  <c r="AF95" i="9"/>
  <c r="AF37" i="9"/>
  <c r="AE95" i="9"/>
  <c r="AE37" i="9"/>
  <c r="AD95" i="9"/>
  <c r="AD37" i="9"/>
  <c r="AC95" i="9"/>
  <c r="AC37" i="9"/>
  <c r="AB95" i="9"/>
  <c r="AB37" i="9"/>
  <c r="AA95" i="9"/>
  <c r="AA37" i="9"/>
  <c r="Z95" i="9"/>
  <c r="Z37" i="9"/>
  <c r="Y95" i="9"/>
  <c r="X95" i="9"/>
  <c r="Y37" i="9"/>
  <c r="X37" i="9"/>
  <c r="W95" i="9"/>
  <c r="W37" i="9"/>
  <c r="V95" i="9"/>
  <c r="V37" i="9"/>
  <c r="U95" i="9"/>
  <c r="U37" i="9"/>
  <c r="T95" i="9"/>
  <c r="T37" i="9"/>
  <c r="E4" i="10"/>
  <c r="K6" i="13" l="1"/>
  <c r="A7" i="13"/>
  <c r="E235" i="13"/>
  <c r="G199" i="13"/>
  <c r="F93" i="13"/>
  <c r="F200" i="13"/>
  <c r="F192" i="13"/>
  <c r="G102" i="13"/>
  <c r="L103" i="13"/>
  <c r="AI83" i="13"/>
  <c r="AH83" i="13"/>
  <c r="I194" i="13"/>
  <c r="J103" i="12"/>
  <c r="G192" i="12"/>
  <c r="H102" i="12"/>
  <c r="K6" i="12"/>
  <c r="K199" i="12"/>
  <c r="I235" i="12"/>
  <c r="A7" i="12"/>
  <c r="F200" i="12"/>
  <c r="G194" i="12"/>
  <c r="AF7" i="11"/>
  <c r="AB7" i="11"/>
  <c r="AN214" i="11"/>
  <c r="Y7" i="11"/>
  <c r="AM214" i="11"/>
  <c r="AE214" i="11"/>
  <c r="K7" i="11"/>
  <c r="X214" i="11"/>
  <c r="I7" i="11"/>
  <c r="J7" i="11"/>
  <c r="H7" i="11"/>
  <c r="H103" i="11"/>
  <c r="E192" i="11"/>
  <c r="F102" i="11"/>
  <c r="AI82" i="11"/>
  <c r="AH82" i="11"/>
  <c r="AI73" i="11"/>
  <c r="AH73" i="11"/>
  <c r="D235" i="11"/>
  <c r="F199" i="11"/>
  <c r="AW214" i="11"/>
  <c r="AE7" i="11"/>
  <c r="AG214" i="11"/>
  <c r="O7" i="11"/>
  <c r="AO214" i="11"/>
  <c r="W7" i="11"/>
  <c r="H194" i="11"/>
  <c r="B209" i="11"/>
  <c r="C209" i="11"/>
  <c r="Y214" i="11"/>
  <c r="G7" i="11"/>
  <c r="AF73" i="10"/>
  <c r="AF75" i="10" s="1"/>
  <c r="AX214" i="10" s="1"/>
  <c r="AE82" i="10"/>
  <c r="AD82" i="10"/>
  <c r="AD83" i="10"/>
  <c r="AC5" i="10"/>
  <c r="AD73" i="10"/>
  <c r="AD75" i="10" s="1"/>
  <c r="AC83" i="10"/>
  <c r="AB82" i="10"/>
  <c r="AB83" i="10"/>
  <c r="Z73" i="10"/>
  <c r="Z75" i="10" s="1"/>
  <c r="Z7" i="10" s="1"/>
  <c r="X73" i="10"/>
  <c r="X75" i="10" s="1"/>
  <c r="AP214" i="10" s="1"/>
  <c r="W82" i="10"/>
  <c r="V82" i="10"/>
  <c r="V83" i="10" s="1"/>
  <c r="V73" i="10"/>
  <c r="V75" i="10" s="1"/>
  <c r="U5" i="10"/>
  <c r="U82" i="10"/>
  <c r="U73" i="10"/>
  <c r="U75" i="10" s="1"/>
  <c r="T83" i="10"/>
  <c r="S82" i="10"/>
  <c r="S83" i="10" s="1"/>
  <c r="S73" i="10"/>
  <c r="S75" i="10" s="1"/>
  <c r="AK214" i="10" s="1"/>
  <c r="R73" i="10"/>
  <c r="R75" i="10" s="1"/>
  <c r="P73" i="10"/>
  <c r="P75" i="10" s="1"/>
  <c r="AH214" i="10" s="1"/>
  <c r="O82" i="10"/>
  <c r="O73" i="10"/>
  <c r="O75" i="10" s="1"/>
  <c r="AG214" i="10" s="1"/>
  <c r="N82" i="10"/>
  <c r="N83" i="10" s="1"/>
  <c r="N73" i="10"/>
  <c r="N75" i="10" s="1"/>
  <c r="M5" i="10"/>
  <c r="M82" i="10"/>
  <c r="M83" i="10" s="1"/>
  <c r="M73" i="10"/>
  <c r="M75" i="10" s="1"/>
  <c r="AE214" i="10" s="1"/>
  <c r="L82" i="10"/>
  <c r="L83" i="10"/>
  <c r="K73" i="10"/>
  <c r="K75" i="10" s="1"/>
  <c r="AC214" i="10" s="1"/>
  <c r="K82" i="10"/>
  <c r="K83" i="10" s="1"/>
  <c r="AI78" i="10"/>
  <c r="J73" i="10"/>
  <c r="J75" i="10" s="1"/>
  <c r="J7" i="10" s="1"/>
  <c r="AH78" i="10"/>
  <c r="AI76" i="10"/>
  <c r="AH79" i="10"/>
  <c r="H73" i="10"/>
  <c r="H75" i="10" s="1"/>
  <c r="Z214" i="10" s="1"/>
  <c r="G73" i="10"/>
  <c r="G75" i="10" s="1"/>
  <c r="G7" i="10" s="1"/>
  <c r="G82" i="10"/>
  <c r="AI56" i="10"/>
  <c r="F82" i="10"/>
  <c r="F83" i="10" s="1"/>
  <c r="E5" i="10"/>
  <c r="F73" i="10"/>
  <c r="F75" i="10" s="1"/>
  <c r="F7" i="10" s="1"/>
  <c r="E82" i="10"/>
  <c r="E83" i="10"/>
  <c r="E73" i="10"/>
  <c r="E75" i="10" s="1"/>
  <c r="W214" i="10" s="1"/>
  <c r="D82" i="10"/>
  <c r="D83" i="10" s="1"/>
  <c r="C73" i="10"/>
  <c r="C75" i="10" s="1"/>
  <c r="U214" i="10" s="1"/>
  <c r="C82" i="10"/>
  <c r="C83" i="10" s="1"/>
  <c r="AI52" i="10"/>
  <c r="AI38" i="10"/>
  <c r="H4" i="10"/>
  <c r="AM214" i="10"/>
  <c r="U7" i="10"/>
  <c r="AV214" i="10"/>
  <c r="AD7" i="10"/>
  <c r="AF214" i="10"/>
  <c r="N7" i="10"/>
  <c r="AG6" i="10"/>
  <c r="X214" i="10"/>
  <c r="AN214" i="10"/>
  <c r="V7" i="10"/>
  <c r="AJ214" i="10"/>
  <c r="R7" i="10"/>
  <c r="AR214" i="10"/>
  <c r="AH52" i="10"/>
  <c r="AH56" i="10"/>
  <c r="B73" i="10"/>
  <c r="D211" i="10"/>
  <c r="S211" i="10"/>
  <c r="AI68" i="10"/>
  <c r="AH68" i="10"/>
  <c r="I73" i="10"/>
  <c r="I75" i="10" s="1"/>
  <c r="Q73" i="10"/>
  <c r="Q75" i="10" s="1"/>
  <c r="I5" i="10"/>
  <c r="O7" i="10"/>
  <c r="W7" i="10"/>
  <c r="AE7" i="10"/>
  <c r="AH38" i="10"/>
  <c r="U83" i="10"/>
  <c r="AF5" i="10"/>
  <c r="K5" i="10"/>
  <c r="D73" i="10"/>
  <c r="D75" i="10" s="1"/>
  <c r="L73" i="10"/>
  <c r="L75" i="10" s="1"/>
  <c r="T73" i="10"/>
  <c r="T75" i="10" s="1"/>
  <c r="AB73" i="10"/>
  <c r="AB75" i="10" s="1"/>
  <c r="G83" i="10"/>
  <c r="O83" i="10"/>
  <c r="W83" i="10"/>
  <c r="AE83" i="10"/>
  <c r="H82" i="10"/>
  <c r="H83" i="10" s="1"/>
  <c r="P82" i="10"/>
  <c r="P83" i="10" s="1"/>
  <c r="X82" i="10"/>
  <c r="X83" i="10" s="1"/>
  <c r="AF82" i="10"/>
  <c r="AF83" i="10" s="1"/>
  <c r="AI79" i="10"/>
  <c r="AI80" i="10"/>
  <c r="Y214" i="10"/>
  <c r="Y73" i="10"/>
  <c r="Y75" i="10" s="1"/>
  <c r="C5" i="10"/>
  <c r="S5" i="10"/>
  <c r="D5" i="10"/>
  <c r="L5" i="10"/>
  <c r="T5" i="10"/>
  <c r="AB5" i="10"/>
  <c r="AC73" i="10"/>
  <c r="AC75" i="10" s="1"/>
  <c r="I82" i="10"/>
  <c r="I83" i="10" s="1"/>
  <c r="Q82" i="10"/>
  <c r="Y82" i="10"/>
  <c r="Y83" i="10" s="1"/>
  <c r="AI77" i="10"/>
  <c r="AG75" i="10"/>
  <c r="AG83" i="10" s="1"/>
  <c r="Q83" i="10"/>
  <c r="AG73" i="10"/>
  <c r="J82" i="10"/>
  <c r="J83" i="10" s="1"/>
  <c r="R82" i="10"/>
  <c r="R83" i="10" s="1"/>
  <c r="Z82" i="10"/>
  <c r="Z83" i="10" s="1"/>
  <c r="E93" i="10"/>
  <c r="F103" i="10"/>
  <c r="AH80" i="10"/>
  <c r="D192" i="10"/>
  <c r="E102" i="10"/>
  <c r="AH76" i="10"/>
  <c r="B82" i="10"/>
  <c r="B83" i="10" s="1"/>
  <c r="AH77" i="10"/>
  <c r="E194" i="10"/>
  <c r="F199" i="10"/>
  <c r="D235" i="10"/>
  <c r="S95" i="9"/>
  <c r="S37" i="9"/>
  <c r="M103" i="13" l="1"/>
  <c r="G192" i="13"/>
  <c r="H102" i="13"/>
  <c r="J194" i="13"/>
  <c r="H199" i="13"/>
  <c r="F235" i="13"/>
  <c r="G200" i="13"/>
  <c r="G93" i="13"/>
  <c r="J235" i="12"/>
  <c r="L199" i="12"/>
  <c r="H192" i="12"/>
  <c r="I102" i="12"/>
  <c r="G200" i="12"/>
  <c r="H194" i="12"/>
  <c r="G93" i="12"/>
  <c r="K103" i="12"/>
  <c r="K6" i="11"/>
  <c r="I194" i="11"/>
  <c r="E235" i="11"/>
  <c r="G199" i="11"/>
  <c r="F93" i="11"/>
  <c r="F200" i="11"/>
  <c r="F192" i="11"/>
  <c r="G102" i="11"/>
  <c r="AH83" i="11"/>
  <c r="AI83" i="11"/>
  <c r="I103" i="11"/>
  <c r="T214" i="11"/>
  <c r="AI75" i="11"/>
  <c r="B7" i="11"/>
  <c r="A7" i="11" s="1"/>
  <c r="AH75" i="11"/>
  <c r="AF7" i="10"/>
  <c r="X7" i="10"/>
  <c r="AS214" i="10"/>
  <c r="AA7" i="10"/>
  <c r="S7" i="10"/>
  <c r="P7" i="10"/>
  <c r="AB214" i="10"/>
  <c r="C7" i="10"/>
  <c r="M7" i="10"/>
  <c r="K7" i="10"/>
  <c r="B209" i="10"/>
  <c r="C209" i="10"/>
  <c r="K6" i="10" s="1"/>
  <c r="H7" i="10"/>
  <c r="E7" i="10"/>
  <c r="G199" i="10"/>
  <c r="E235" i="10"/>
  <c r="AT214" i="10"/>
  <c r="AB7" i="10"/>
  <c r="AH83" i="10"/>
  <c r="AI83" i="10"/>
  <c r="E200" i="10"/>
  <c r="F194" i="10"/>
  <c r="AL214" i="10"/>
  <c r="T7" i="10"/>
  <c r="F93" i="10"/>
  <c r="G103" i="10"/>
  <c r="AD214" i="10"/>
  <c r="L7" i="10"/>
  <c r="AQ214" i="10"/>
  <c r="Y7" i="10"/>
  <c r="AI82" i="10"/>
  <c r="AH82" i="10"/>
  <c r="AU214" i="10"/>
  <c r="AC7" i="10"/>
  <c r="V214" i="10"/>
  <c r="D7" i="10"/>
  <c r="B75" i="10"/>
  <c r="AI73" i="10"/>
  <c r="AH73" i="10"/>
  <c r="E192" i="10"/>
  <c r="F102" i="10"/>
  <c r="AI214" i="10"/>
  <c r="Q7" i="10"/>
  <c r="AA214" i="10"/>
  <c r="I7" i="10"/>
  <c r="R95" i="9"/>
  <c r="R37" i="9"/>
  <c r="Q95" i="9"/>
  <c r="Q37" i="9"/>
  <c r="P95" i="9"/>
  <c r="P37" i="9"/>
  <c r="O95" i="9"/>
  <c r="O37" i="9"/>
  <c r="N95" i="9"/>
  <c r="N37" i="9"/>
  <c r="M37" i="9"/>
  <c r="J37" i="9"/>
  <c r="I37" i="9"/>
  <c r="G37" i="9"/>
  <c r="F37" i="9"/>
  <c r="E37" i="9"/>
  <c r="D95" i="9"/>
  <c r="D37" i="9"/>
  <c r="K194" i="13" l="1"/>
  <c r="H192" i="13"/>
  <c r="I102" i="13"/>
  <c r="G235" i="13"/>
  <c r="I199" i="13"/>
  <c r="H93" i="13"/>
  <c r="H200" i="13"/>
  <c r="N103" i="13"/>
  <c r="H200" i="12"/>
  <c r="I194" i="12"/>
  <c r="H93" i="12"/>
  <c r="I192" i="12"/>
  <c r="J102" i="12"/>
  <c r="K235" i="12"/>
  <c r="M199" i="12"/>
  <c r="L103" i="12"/>
  <c r="J103" i="11"/>
  <c r="F235" i="11"/>
  <c r="H199" i="11"/>
  <c r="G93" i="11"/>
  <c r="G200" i="11"/>
  <c r="J194" i="11"/>
  <c r="G192" i="11"/>
  <c r="H102" i="11"/>
  <c r="F192" i="10"/>
  <c r="G102" i="10"/>
  <c r="H103" i="10"/>
  <c r="F235" i="10"/>
  <c r="H199" i="10"/>
  <c r="T214" i="10"/>
  <c r="AI75" i="10"/>
  <c r="AH75" i="10"/>
  <c r="B7" i="10"/>
  <c r="A7" i="10" s="1"/>
  <c r="G194" i="10"/>
  <c r="F200" i="10"/>
  <c r="J199" i="13" l="1"/>
  <c r="H235" i="13"/>
  <c r="I200" i="13"/>
  <c r="I93" i="13"/>
  <c r="I192" i="13"/>
  <c r="J102" i="13"/>
  <c r="O103" i="13"/>
  <c r="L194" i="13"/>
  <c r="J192" i="12"/>
  <c r="K102" i="12"/>
  <c r="J194" i="12"/>
  <c r="I200" i="12"/>
  <c r="I93" i="12"/>
  <c r="M103" i="12"/>
  <c r="L235" i="12"/>
  <c r="N199" i="12"/>
  <c r="I199" i="11"/>
  <c r="G235" i="11"/>
  <c r="H200" i="11"/>
  <c r="H93" i="11"/>
  <c r="H192" i="11"/>
  <c r="I102" i="11"/>
  <c r="K103" i="11"/>
  <c r="K194" i="11"/>
  <c r="G235" i="10"/>
  <c r="I199" i="10"/>
  <c r="H93" i="10"/>
  <c r="I103" i="10"/>
  <c r="H194" i="10"/>
  <c r="G200" i="10"/>
  <c r="G93" i="10"/>
  <c r="G192" i="10"/>
  <c r="H102" i="10"/>
  <c r="J192" i="13" l="1"/>
  <c r="K102" i="13"/>
  <c r="M194" i="13"/>
  <c r="P103" i="13"/>
  <c r="K199" i="13"/>
  <c r="I235" i="13"/>
  <c r="J200" i="13"/>
  <c r="J93" i="13"/>
  <c r="K194" i="12"/>
  <c r="J200" i="12"/>
  <c r="J93" i="12"/>
  <c r="K192" i="12"/>
  <c r="L102" i="12"/>
  <c r="O199" i="12"/>
  <c r="M235" i="12"/>
  <c r="N103" i="12"/>
  <c r="I192" i="11"/>
  <c r="J102" i="11"/>
  <c r="L194" i="11"/>
  <c r="J199" i="11"/>
  <c r="H235" i="11"/>
  <c r="I200" i="11"/>
  <c r="I93" i="11"/>
  <c r="L103" i="11"/>
  <c r="J103" i="10"/>
  <c r="I93" i="10"/>
  <c r="I194" i="10"/>
  <c r="H200" i="10"/>
  <c r="J199" i="10"/>
  <c r="H235" i="10"/>
  <c r="H192" i="10"/>
  <c r="I102" i="10"/>
  <c r="Q103" i="13" l="1"/>
  <c r="N194" i="13"/>
  <c r="K192" i="13"/>
  <c r="L102" i="13"/>
  <c r="L199" i="13"/>
  <c r="J235" i="13"/>
  <c r="K200" i="13"/>
  <c r="K93" i="13"/>
  <c r="L192" i="12"/>
  <c r="M102" i="12"/>
  <c r="N235" i="12"/>
  <c r="P199" i="12"/>
  <c r="O103" i="12"/>
  <c r="K200" i="12"/>
  <c r="L194" i="12"/>
  <c r="K93" i="12"/>
  <c r="I235" i="11"/>
  <c r="K199" i="11"/>
  <c r="J200" i="11"/>
  <c r="J93" i="11"/>
  <c r="M194" i="11"/>
  <c r="M103" i="11"/>
  <c r="J192" i="11"/>
  <c r="K102" i="11"/>
  <c r="I235" i="10"/>
  <c r="K199" i="10"/>
  <c r="J194" i="10"/>
  <c r="I200" i="10"/>
  <c r="K103" i="10"/>
  <c r="J93" i="10"/>
  <c r="I192" i="10"/>
  <c r="J102" i="10"/>
  <c r="K235" i="13" l="1"/>
  <c r="M199" i="13"/>
  <c r="L200" i="13"/>
  <c r="L93" i="13"/>
  <c r="O194" i="13"/>
  <c r="L192" i="13"/>
  <c r="M102" i="13"/>
  <c r="R103" i="13"/>
  <c r="L200" i="12"/>
  <c r="M194" i="12"/>
  <c r="L93" i="12"/>
  <c r="P103" i="12"/>
  <c r="O235" i="12"/>
  <c r="Q199" i="12"/>
  <c r="M192" i="12"/>
  <c r="N102" i="12"/>
  <c r="N194" i="11"/>
  <c r="N103" i="11"/>
  <c r="K192" i="11"/>
  <c r="L102" i="11"/>
  <c r="J235" i="11"/>
  <c r="L199" i="11"/>
  <c r="K93" i="11"/>
  <c r="K200" i="11"/>
  <c r="L103" i="10"/>
  <c r="K93" i="10"/>
  <c r="K194" i="10"/>
  <c r="J200" i="10"/>
  <c r="L199" i="10"/>
  <c r="J235" i="10"/>
  <c r="J192" i="10"/>
  <c r="K102" i="10"/>
  <c r="P194" i="13" l="1"/>
  <c r="S103" i="13"/>
  <c r="L235" i="13"/>
  <c r="N199" i="13"/>
  <c r="M93" i="13"/>
  <c r="M200" i="13"/>
  <c r="M192" i="13"/>
  <c r="N102" i="13"/>
  <c r="Q103" i="12"/>
  <c r="M200" i="12"/>
  <c r="N194" i="12"/>
  <c r="M93" i="12"/>
  <c r="P235" i="12"/>
  <c r="R199" i="12"/>
  <c r="N192" i="12"/>
  <c r="O102" i="12"/>
  <c r="K235" i="11"/>
  <c r="M199" i="11"/>
  <c r="L93" i="11"/>
  <c r="L200" i="11"/>
  <c r="L192" i="11"/>
  <c r="M102" i="11"/>
  <c r="O103" i="11"/>
  <c r="O194" i="11"/>
  <c r="K200" i="10"/>
  <c r="L194" i="10"/>
  <c r="K192" i="10"/>
  <c r="L102" i="10"/>
  <c r="M199" i="10"/>
  <c r="K235" i="10"/>
  <c r="L93" i="10"/>
  <c r="M103" i="10"/>
  <c r="T103" i="13" l="1"/>
  <c r="M235" i="13"/>
  <c r="O199" i="13"/>
  <c r="N200" i="13"/>
  <c r="N93" i="13"/>
  <c r="N192" i="13"/>
  <c r="O102" i="13"/>
  <c r="Q194" i="13"/>
  <c r="S199" i="12"/>
  <c r="Q235" i="12"/>
  <c r="N200" i="12"/>
  <c r="O194" i="12"/>
  <c r="N93" i="12"/>
  <c r="R103" i="12"/>
  <c r="O192" i="12"/>
  <c r="P102" i="12"/>
  <c r="P103" i="11"/>
  <c r="M192" i="11"/>
  <c r="N102" i="11"/>
  <c r="L235" i="11"/>
  <c r="N199" i="11"/>
  <c r="M200" i="11"/>
  <c r="M93" i="11"/>
  <c r="P194" i="11"/>
  <c r="N103" i="10"/>
  <c r="L235" i="10"/>
  <c r="N199" i="10"/>
  <c r="L192" i="10"/>
  <c r="M102" i="10"/>
  <c r="L200" i="10"/>
  <c r="M194" i="10"/>
  <c r="O192" i="13" l="1"/>
  <c r="P102" i="13"/>
  <c r="P199" i="13"/>
  <c r="N235" i="13"/>
  <c r="O200" i="13"/>
  <c r="O93" i="13"/>
  <c r="R194" i="13"/>
  <c r="U103" i="13"/>
  <c r="O200" i="12"/>
  <c r="P194" i="12"/>
  <c r="O93" i="12"/>
  <c r="S103" i="12"/>
  <c r="P192" i="12"/>
  <c r="Q102" i="12"/>
  <c r="R235" i="12"/>
  <c r="T199" i="12"/>
  <c r="M235" i="11"/>
  <c r="O199" i="11"/>
  <c r="N200" i="11"/>
  <c r="N93" i="11"/>
  <c r="N192" i="11"/>
  <c r="O102" i="11"/>
  <c r="Q194" i="11"/>
  <c r="Q103" i="11"/>
  <c r="M200" i="10"/>
  <c r="N194" i="10"/>
  <c r="M192" i="10"/>
  <c r="N102" i="10"/>
  <c r="M235" i="10"/>
  <c r="O199" i="10"/>
  <c r="N93" i="10"/>
  <c r="O103" i="10"/>
  <c r="M93" i="10"/>
  <c r="C95" i="9"/>
  <c r="B37" i="9"/>
  <c r="C37" i="9"/>
  <c r="B80" i="9"/>
  <c r="B79" i="9"/>
  <c r="B78" i="9"/>
  <c r="B77" i="9"/>
  <c r="B76" i="9"/>
  <c r="B68" i="9"/>
  <c r="AF5" i="9" s="1"/>
  <c r="B56" i="9"/>
  <c r="B52" i="9"/>
  <c r="B38" i="9"/>
  <c r="AI37" i="9"/>
  <c r="AF239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C235" i="9"/>
  <c r="B235" i="9"/>
  <c r="S210" i="9"/>
  <c r="AG200" i="9"/>
  <c r="C200" i="9"/>
  <c r="D199" i="9"/>
  <c r="E199" i="9" s="1"/>
  <c r="D198" i="9"/>
  <c r="E198" i="9" s="1"/>
  <c r="F198" i="9" s="1"/>
  <c r="G198" i="9" s="1"/>
  <c r="H198" i="9" s="1"/>
  <c r="I198" i="9" s="1"/>
  <c r="J198" i="9" s="1"/>
  <c r="K198" i="9" s="1"/>
  <c r="L198" i="9" s="1"/>
  <c r="M198" i="9" s="1"/>
  <c r="N198" i="9" s="1"/>
  <c r="O198" i="9" s="1"/>
  <c r="P198" i="9" s="1"/>
  <c r="Q198" i="9" s="1"/>
  <c r="R198" i="9" s="1"/>
  <c r="S198" i="9" s="1"/>
  <c r="T198" i="9" s="1"/>
  <c r="U198" i="9" s="1"/>
  <c r="V198" i="9" s="1"/>
  <c r="W198" i="9" s="1"/>
  <c r="X198" i="9" s="1"/>
  <c r="Y198" i="9" s="1"/>
  <c r="Z198" i="9" s="1"/>
  <c r="AA198" i="9" s="1"/>
  <c r="AB198" i="9" s="1"/>
  <c r="AC198" i="9" s="1"/>
  <c r="AD198" i="9" s="1"/>
  <c r="AE198" i="9" s="1"/>
  <c r="AF198" i="9" s="1"/>
  <c r="B198" i="9" s="1"/>
  <c r="D197" i="9"/>
  <c r="E197" i="9" s="1"/>
  <c r="F197" i="9" s="1"/>
  <c r="G197" i="9" s="1"/>
  <c r="H197" i="9" s="1"/>
  <c r="I197" i="9" s="1"/>
  <c r="J197" i="9" s="1"/>
  <c r="K197" i="9" s="1"/>
  <c r="L197" i="9" s="1"/>
  <c r="M197" i="9" s="1"/>
  <c r="N197" i="9" s="1"/>
  <c r="O197" i="9" s="1"/>
  <c r="P197" i="9" s="1"/>
  <c r="Q197" i="9" s="1"/>
  <c r="R197" i="9" s="1"/>
  <c r="S197" i="9" s="1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 s="1"/>
  <c r="B197" i="9" s="1"/>
  <c r="D196" i="9"/>
  <c r="E196" i="9" s="1"/>
  <c r="F196" i="9" s="1"/>
  <c r="G196" i="9" s="1"/>
  <c r="H196" i="9" s="1"/>
  <c r="I196" i="9" s="1"/>
  <c r="J196" i="9" s="1"/>
  <c r="K196" i="9" s="1"/>
  <c r="L196" i="9" s="1"/>
  <c r="M196" i="9" s="1"/>
  <c r="N196" i="9" s="1"/>
  <c r="O196" i="9" s="1"/>
  <c r="P196" i="9" s="1"/>
  <c r="Q196" i="9" s="1"/>
  <c r="R196" i="9" s="1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AE196" i="9" s="1"/>
  <c r="AF196" i="9" s="1"/>
  <c r="B196" i="9" s="1"/>
  <c r="D195" i="9"/>
  <c r="E195" i="9" s="1"/>
  <c r="F195" i="9" s="1"/>
  <c r="G195" i="9" s="1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B195" i="9" s="1"/>
  <c r="E194" i="9"/>
  <c r="F194" i="9" s="1"/>
  <c r="D194" i="9"/>
  <c r="AG192" i="9"/>
  <c r="C192" i="9"/>
  <c r="D191" i="9"/>
  <c r="E191" i="9" s="1"/>
  <c r="F191" i="9" s="1"/>
  <c r="G191" i="9" s="1"/>
  <c r="H191" i="9" s="1"/>
  <c r="I191" i="9" s="1"/>
  <c r="J191" i="9" s="1"/>
  <c r="K191" i="9" s="1"/>
  <c r="L191" i="9" s="1"/>
  <c r="M191" i="9" s="1"/>
  <c r="N191" i="9" s="1"/>
  <c r="O191" i="9" s="1"/>
  <c r="P191" i="9" s="1"/>
  <c r="Q191" i="9" s="1"/>
  <c r="R191" i="9" s="1"/>
  <c r="S191" i="9" s="1"/>
  <c r="T191" i="9" s="1"/>
  <c r="U191" i="9" s="1"/>
  <c r="V191" i="9" s="1"/>
  <c r="W191" i="9" s="1"/>
  <c r="X191" i="9" s="1"/>
  <c r="Y191" i="9" s="1"/>
  <c r="Z191" i="9" s="1"/>
  <c r="AA191" i="9" s="1"/>
  <c r="AB191" i="9" s="1"/>
  <c r="AC191" i="9" s="1"/>
  <c r="AD191" i="9" s="1"/>
  <c r="AE191" i="9" s="1"/>
  <c r="AF191" i="9" s="1"/>
  <c r="B191" i="9" s="1"/>
  <c r="D190" i="9"/>
  <c r="E190" i="9" s="1"/>
  <c r="F190" i="9" s="1"/>
  <c r="G190" i="9" s="1"/>
  <c r="H190" i="9" s="1"/>
  <c r="I190" i="9" s="1"/>
  <c r="J190" i="9" s="1"/>
  <c r="K190" i="9" s="1"/>
  <c r="L190" i="9" s="1"/>
  <c r="M190" i="9" s="1"/>
  <c r="N190" i="9" s="1"/>
  <c r="O190" i="9" s="1"/>
  <c r="P190" i="9" s="1"/>
  <c r="Q190" i="9" s="1"/>
  <c r="R190" i="9" s="1"/>
  <c r="S190" i="9" s="1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 s="1"/>
  <c r="B190" i="9" s="1"/>
  <c r="D189" i="9"/>
  <c r="E189" i="9" s="1"/>
  <c r="F189" i="9" s="1"/>
  <c r="G189" i="9" s="1"/>
  <c r="H189" i="9" s="1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B189" i="9" s="1"/>
  <c r="E188" i="9"/>
  <c r="F188" i="9" s="1"/>
  <c r="G188" i="9" s="1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B188" i="9" s="1"/>
  <c r="D188" i="9"/>
  <c r="D187" i="9"/>
  <c r="E187" i="9" s="1"/>
  <c r="F187" i="9" s="1"/>
  <c r="G187" i="9" s="1"/>
  <c r="H187" i="9" s="1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B187" i="9" s="1"/>
  <c r="H186" i="9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B186" i="9" s="1"/>
  <c r="D186" i="9"/>
  <c r="E186" i="9" s="1"/>
  <c r="F186" i="9" s="1"/>
  <c r="G186" i="9" s="1"/>
  <c r="D185" i="9"/>
  <c r="E185" i="9" s="1"/>
  <c r="F185" i="9" s="1"/>
  <c r="G185" i="9" s="1"/>
  <c r="H185" i="9" s="1"/>
  <c r="I185" i="9" s="1"/>
  <c r="J185" i="9" s="1"/>
  <c r="K185" i="9" s="1"/>
  <c r="L185" i="9" s="1"/>
  <c r="M185" i="9" s="1"/>
  <c r="N185" i="9" s="1"/>
  <c r="O185" i="9" s="1"/>
  <c r="P185" i="9" s="1"/>
  <c r="Q185" i="9" s="1"/>
  <c r="R185" i="9" s="1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B185" i="9" s="1"/>
  <c r="D184" i="9"/>
  <c r="E184" i="9" s="1"/>
  <c r="F184" i="9" s="1"/>
  <c r="G184" i="9" s="1"/>
  <c r="H184" i="9" s="1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B184" i="9" s="1"/>
  <c r="G183" i="9"/>
  <c r="H183" i="9" s="1"/>
  <c r="I183" i="9" s="1"/>
  <c r="J183" i="9" s="1"/>
  <c r="K183" i="9" s="1"/>
  <c r="L183" i="9" s="1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B183" i="9" s="1"/>
  <c r="D183" i="9"/>
  <c r="E183" i="9" s="1"/>
  <c r="F183" i="9" s="1"/>
  <c r="D182" i="9"/>
  <c r="E182" i="9" s="1"/>
  <c r="F182" i="9" s="1"/>
  <c r="G182" i="9" s="1"/>
  <c r="H182" i="9" s="1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B182" i="9" s="1"/>
  <c r="D181" i="9"/>
  <c r="E181" i="9" s="1"/>
  <c r="F181" i="9" s="1"/>
  <c r="G181" i="9" s="1"/>
  <c r="H181" i="9" s="1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B181" i="9" s="1"/>
  <c r="E180" i="9"/>
  <c r="F180" i="9" s="1"/>
  <c r="G180" i="9" s="1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B180" i="9" s="1"/>
  <c r="D180" i="9"/>
  <c r="D179" i="9"/>
  <c r="E179" i="9" s="1"/>
  <c r="F179" i="9" s="1"/>
  <c r="G179" i="9" s="1"/>
  <c r="H179" i="9" s="1"/>
  <c r="I179" i="9" s="1"/>
  <c r="J179" i="9" s="1"/>
  <c r="K179" i="9" s="1"/>
  <c r="L179" i="9" s="1"/>
  <c r="M179" i="9" s="1"/>
  <c r="N179" i="9" s="1"/>
  <c r="O179" i="9" s="1"/>
  <c r="P179" i="9" s="1"/>
  <c r="Q179" i="9" s="1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B179" i="9" s="1"/>
  <c r="D177" i="9"/>
  <c r="E177" i="9" s="1"/>
  <c r="F177" i="9" s="1"/>
  <c r="G177" i="9" s="1"/>
  <c r="H177" i="9" s="1"/>
  <c r="I177" i="9" s="1"/>
  <c r="J177" i="9" s="1"/>
  <c r="K177" i="9" s="1"/>
  <c r="L177" i="9" s="1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X177" i="9" s="1"/>
  <c r="Y177" i="9" s="1"/>
  <c r="Z177" i="9" s="1"/>
  <c r="AA177" i="9" s="1"/>
  <c r="AB177" i="9" s="1"/>
  <c r="AC177" i="9" s="1"/>
  <c r="AD177" i="9" s="1"/>
  <c r="AE177" i="9" s="1"/>
  <c r="AF177" i="9" s="1"/>
  <c r="B177" i="9" s="1"/>
  <c r="D176" i="9"/>
  <c r="E176" i="9" s="1"/>
  <c r="F176" i="9" s="1"/>
  <c r="G176" i="9" s="1"/>
  <c r="H176" i="9" s="1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B176" i="9" s="1"/>
  <c r="D175" i="9"/>
  <c r="E175" i="9" s="1"/>
  <c r="F175" i="9" s="1"/>
  <c r="G175" i="9" s="1"/>
  <c r="H175" i="9" s="1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B175" i="9" s="1"/>
  <c r="F174" i="9"/>
  <c r="G174" i="9" s="1"/>
  <c r="H174" i="9" s="1"/>
  <c r="I174" i="9" s="1"/>
  <c r="J174" i="9" s="1"/>
  <c r="K174" i="9" s="1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B174" i="9" s="1"/>
  <c r="D174" i="9"/>
  <c r="E174" i="9" s="1"/>
  <c r="O173" i="9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B173" i="9" s="1"/>
  <c r="D173" i="9"/>
  <c r="E173" i="9" s="1"/>
  <c r="F173" i="9" s="1"/>
  <c r="G173" i="9" s="1"/>
  <c r="H173" i="9" s="1"/>
  <c r="I173" i="9" s="1"/>
  <c r="J173" i="9" s="1"/>
  <c r="K173" i="9" s="1"/>
  <c r="L173" i="9" s="1"/>
  <c r="M173" i="9" s="1"/>
  <c r="N173" i="9" s="1"/>
  <c r="E172" i="9"/>
  <c r="F172" i="9" s="1"/>
  <c r="G172" i="9" s="1"/>
  <c r="H172" i="9" s="1"/>
  <c r="I172" i="9" s="1"/>
  <c r="J172" i="9" s="1"/>
  <c r="K172" i="9" s="1"/>
  <c r="L172" i="9" s="1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B172" i="9" s="1"/>
  <c r="D172" i="9"/>
  <c r="E171" i="9"/>
  <c r="F171" i="9" s="1"/>
  <c r="G171" i="9" s="1"/>
  <c r="H171" i="9" s="1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B171" i="9" s="1"/>
  <c r="D171" i="9"/>
  <c r="K170" i="9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B170" i="9" s="1"/>
  <c r="D170" i="9"/>
  <c r="E170" i="9" s="1"/>
  <c r="F170" i="9" s="1"/>
  <c r="G170" i="9" s="1"/>
  <c r="H170" i="9" s="1"/>
  <c r="I170" i="9" s="1"/>
  <c r="J170" i="9" s="1"/>
  <c r="I168" i="9"/>
  <c r="J168" i="9" s="1"/>
  <c r="K168" i="9" s="1"/>
  <c r="L168" i="9" s="1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AF168" i="9" s="1"/>
  <c r="B168" i="9" s="1"/>
  <c r="D168" i="9"/>
  <c r="E168" i="9" s="1"/>
  <c r="F168" i="9" s="1"/>
  <c r="G168" i="9" s="1"/>
  <c r="H168" i="9" s="1"/>
  <c r="E167" i="9"/>
  <c r="F167" i="9" s="1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B167" i="9" s="1"/>
  <c r="D167" i="9"/>
  <c r="D166" i="9"/>
  <c r="E166" i="9" s="1"/>
  <c r="F166" i="9" s="1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B166" i="9" s="1"/>
  <c r="D165" i="9"/>
  <c r="E165" i="9" s="1"/>
  <c r="F165" i="9" s="1"/>
  <c r="G165" i="9" s="1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B165" i="9" s="1"/>
  <c r="D164" i="9"/>
  <c r="E164" i="9" s="1"/>
  <c r="F164" i="9" s="1"/>
  <c r="G164" i="9" s="1"/>
  <c r="H164" i="9" s="1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B164" i="9" s="1"/>
  <c r="Y163" i="9"/>
  <c r="Z163" i="9" s="1"/>
  <c r="AA163" i="9" s="1"/>
  <c r="AB163" i="9" s="1"/>
  <c r="AC163" i="9" s="1"/>
  <c r="AD163" i="9" s="1"/>
  <c r="AE163" i="9" s="1"/>
  <c r="AF163" i="9" s="1"/>
  <c r="B163" i="9" s="1"/>
  <c r="E163" i="9"/>
  <c r="F163" i="9" s="1"/>
  <c r="G163" i="9" s="1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D163" i="9"/>
  <c r="D162" i="9"/>
  <c r="E162" i="9" s="1"/>
  <c r="F162" i="9" s="1"/>
  <c r="G162" i="9" s="1"/>
  <c r="H162" i="9" s="1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B162" i="9" s="1"/>
  <c r="D161" i="9"/>
  <c r="E161" i="9" s="1"/>
  <c r="F161" i="9" s="1"/>
  <c r="G161" i="9" s="1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S161" i="9" s="1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B161" i="9" s="1"/>
  <c r="I160" i="9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B160" i="9" s="1"/>
  <c r="E160" i="9"/>
  <c r="F160" i="9" s="1"/>
  <c r="G160" i="9" s="1"/>
  <c r="H160" i="9" s="1"/>
  <c r="D160" i="9"/>
  <c r="S159" i="9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B159" i="9" s="1"/>
  <c r="D159" i="9"/>
  <c r="E159" i="9" s="1"/>
  <c r="F159" i="9" s="1"/>
  <c r="G159" i="9" s="1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G158" i="9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B158" i="9" s="1"/>
  <c r="E158" i="9"/>
  <c r="F158" i="9" s="1"/>
  <c r="D158" i="9"/>
  <c r="D157" i="9"/>
  <c r="E157" i="9" s="1"/>
  <c r="F157" i="9" s="1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B157" i="9" s="1"/>
  <c r="E156" i="9"/>
  <c r="F156" i="9" s="1"/>
  <c r="G156" i="9" s="1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B156" i="9" s="1"/>
  <c r="D156" i="9"/>
  <c r="G154" i="9"/>
  <c r="H154" i="9" s="1"/>
  <c r="I154" i="9" s="1"/>
  <c r="J154" i="9" s="1"/>
  <c r="K154" i="9" s="1"/>
  <c r="L154" i="9" s="1"/>
  <c r="M154" i="9" s="1"/>
  <c r="N154" i="9" s="1"/>
  <c r="O154" i="9" s="1"/>
  <c r="P154" i="9" s="1"/>
  <c r="Q154" i="9" s="1"/>
  <c r="R154" i="9" s="1"/>
  <c r="S154" i="9" s="1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 s="1"/>
  <c r="AF154" i="9" s="1"/>
  <c r="B154" i="9" s="1"/>
  <c r="D154" i="9"/>
  <c r="E154" i="9" s="1"/>
  <c r="F154" i="9" s="1"/>
  <c r="D153" i="9"/>
  <c r="E153" i="9" s="1"/>
  <c r="F153" i="9" s="1"/>
  <c r="G153" i="9" s="1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B153" i="9" s="1"/>
  <c r="G152" i="9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B152" i="9" s="1"/>
  <c r="D152" i="9"/>
  <c r="E152" i="9" s="1"/>
  <c r="F152" i="9" s="1"/>
  <c r="D151" i="9"/>
  <c r="E151" i="9" s="1"/>
  <c r="F151" i="9" s="1"/>
  <c r="G151" i="9" s="1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B151" i="9" s="1"/>
  <c r="D149" i="9"/>
  <c r="E149" i="9" s="1"/>
  <c r="F149" i="9" s="1"/>
  <c r="G149" i="9" s="1"/>
  <c r="H149" i="9" s="1"/>
  <c r="I149" i="9" s="1"/>
  <c r="J149" i="9" s="1"/>
  <c r="K149" i="9" s="1"/>
  <c r="L149" i="9" s="1"/>
  <c r="M149" i="9" s="1"/>
  <c r="N149" i="9" s="1"/>
  <c r="O149" i="9" s="1"/>
  <c r="P149" i="9" s="1"/>
  <c r="Q149" i="9" s="1"/>
  <c r="R149" i="9" s="1"/>
  <c r="S149" i="9" s="1"/>
  <c r="T149" i="9" s="1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149" i="9" s="1"/>
  <c r="AF149" i="9" s="1"/>
  <c r="B149" i="9" s="1"/>
  <c r="D148" i="9"/>
  <c r="E148" i="9" s="1"/>
  <c r="F148" i="9" s="1"/>
  <c r="G148" i="9" s="1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B148" i="9" s="1"/>
  <c r="D146" i="9"/>
  <c r="E146" i="9" s="1"/>
  <c r="F146" i="9" s="1"/>
  <c r="G146" i="9" s="1"/>
  <c r="H146" i="9" s="1"/>
  <c r="I146" i="9" s="1"/>
  <c r="J146" i="9" s="1"/>
  <c r="K146" i="9" s="1"/>
  <c r="L146" i="9" s="1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AE146" i="9" s="1"/>
  <c r="AF146" i="9" s="1"/>
  <c r="B146" i="9" s="1"/>
  <c r="E145" i="9"/>
  <c r="F145" i="9" s="1"/>
  <c r="G145" i="9" s="1"/>
  <c r="H145" i="9" s="1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B145" i="9" s="1"/>
  <c r="D145" i="9"/>
  <c r="D144" i="9"/>
  <c r="E144" i="9" s="1"/>
  <c r="F144" i="9" s="1"/>
  <c r="G144" i="9" s="1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Y144" i="9" s="1"/>
  <c r="Z144" i="9" s="1"/>
  <c r="AA144" i="9" s="1"/>
  <c r="AB144" i="9" s="1"/>
  <c r="AC144" i="9" s="1"/>
  <c r="AD144" i="9" s="1"/>
  <c r="AE144" i="9" s="1"/>
  <c r="AF144" i="9" s="1"/>
  <c r="B144" i="9" s="1"/>
  <c r="G143" i="9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B143" i="9" s="1"/>
  <c r="E143" i="9"/>
  <c r="F143" i="9" s="1"/>
  <c r="D143" i="9"/>
  <c r="D142" i="9"/>
  <c r="E142" i="9" s="1"/>
  <c r="F142" i="9" s="1"/>
  <c r="G142" i="9" s="1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S142" i="9" s="1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B142" i="9" s="1"/>
  <c r="D141" i="9"/>
  <c r="E141" i="9" s="1"/>
  <c r="F141" i="9" s="1"/>
  <c r="G141" i="9" s="1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B141" i="9" s="1"/>
  <c r="D140" i="9"/>
  <c r="E140" i="9" s="1"/>
  <c r="F140" i="9" s="1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B140" i="9" s="1"/>
  <c r="D138" i="9"/>
  <c r="E138" i="9" s="1"/>
  <c r="F138" i="9" s="1"/>
  <c r="G138" i="9" s="1"/>
  <c r="H138" i="9" s="1"/>
  <c r="I138" i="9" s="1"/>
  <c r="J138" i="9" s="1"/>
  <c r="K138" i="9" s="1"/>
  <c r="L138" i="9" s="1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X138" i="9" s="1"/>
  <c r="Y138" i="9" s="1"/>
  <c r="Z138" i="9" s="1"/>
  <c r="AA138" i="9" s="1"/>
  <c r="AB138" i="9" s="1"/>
  <c r="AC138" i="9" s="1"/>
  <c r="AD138" i="9" s="1"/>
  <c r="AE138" i="9" s="1"/>
  <c r="AF138" i="9" s="1"/>
  <c r="B138" i="9" s="1"/>
  <c r="D137" i="9"/>
  <c r="E137" i="9" s="1"/>
  <c r="F137" i="9" s="1"/>
  <c r="G137" i="9" s="1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B137" i="9" s="1"/>
  <c r="F136" i="9"/>
  <c r="G136" i="9" s="1"/>
  <c r="H136" i="9" s="1"/>
  <c r="I136" i="9" s="1"/>
  <c r="J136" i="9" s="1"/>
  <c r="K136" i="9" s="1"/>
  <c r="L136" i="9" s="1"/>
  <c r="M136" i="9" s="1"/>
  <c r="N136" i="9" s="1"/>
  <c r="O136" i="9" s="1"/>
  <c r="P136" i="9" s="1"/>
  <c r="Q136" i="9" s="1"/>
  <c r="R136" i="9" s="1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B136" i="9" s="1"/>
  <c r="D136" i="9"/>
  <c r="E136" i="9" s="1"/>
  <c r="E135" i="9"/>
  <c r="F135" i="9" s="1"/>
  <c r="G135" i="9" s="1"/>
  <c r="H135" i="9" s="1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B135" i="9" s="1"/>
  <c r="D135" i="9"/>
  <c r="P134" i="9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B134" i="9" s="1"/>
  <c r="E134" i="9"/>
  <c r="F134" i="9" s="1"/>
  <c r="G134" i="9" s="1"/>
  <c r="H134" i="9" s="1"/>
  <c r="I134" i="9" s="1"/>
  <c r="J134" i="9" s="1"/>
  <c r="K134" i="9" s="1"/>
  <c r="L134" i="9" s="1"/>
  <c r="M134" i="9" s="1"/>
  <c r="N134" i="9" s="1"/>
  <c r="O134" i="9" s="1"/>
  <c r="D134" i="9"/>
  <c r="F133" i="9"/>
  <c r="G133" i="9" s="1"/>
  <c r="H133" i="9" s="1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B133" i="9" s="1"/>
  <c r="D133" i="9"/>
  <c r="E133" i="9" s="1"/>
  <c r="I132" i="9"/>
  <c r="J132" i="9" s="1"/>
  <c r="K132" i="9" s="1"/>
  <c r="L132" i="9" s="1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B132" i="9" s="1"/>
  <c r="D132" i="9"/>
  <c r="E132" i="9" s="1"/>
  <c r="F132" i="9" s="1"/>
  <c r="G132" i="9" s="1"/>
  <c r="H132" i="9" s="1"/>
  <c r="D131" i="9"/>
  <c r="E131" i="9" s="1"/>
  <c r="F131" i="9" s="1"/>
  <c r="G131" i="9" s="1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B131" i="9" s="1"/>
  <c r="D129" i="9"/>
  <c r="E129" i="9" s="1"/>
  <c r="F129" i="9" s="1"/>
  <c r="G129" i="9" s="1"/>
  <c r="H129" i="9" s="1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S129" i="9" s="1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 s="1"/>
  <c r="B129" i="9" s="1"/>
  <c r="D128" i="9"/>
  <c r="E128" i="9" s="1"/>
  <c r="F128" i="9" s="1"/>
  <c r="G128" i="9" s="1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B128" i="9" s="1"/>
  <c r="E127" i="9"/>
  <c r="F127" i="9" s="1"/>
  <c r="G127" i="9" s="1"/>
  <c r="H127" i="9" s="1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 s="1"/>
  <c r="B127" i="9" s="1"/>
  <c r="D127" i="9"/>
  <c r="D126" i="9"/>
  <c r="E126" i="9" s="1"/>
  <c r="F126" i="9" s="1"/>
  <c r="G126" i="9" s="1"/>
  <c r="H126" i="9" s="1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B126" i="9" s="1"/>
  <c r="J125" i="9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B125" i="9" s="1"/>
  <c r="D125" i="9"/>
  <c r="E125" i="9" s="1"/>
  <c r="F125" i="9" s="1"/>
  <c r="G125" i="9" s="1"/>
  <c r="H125" i="9" s="1"/>
  <c r="D124" i="9"/>
  <c r="E124" i="9" s="1"/>
  <c r="F124" i="9" s="1"/>
  <c r="G124" i="9" s="1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B124" i="9" s="1"/>
  <c r="G123" i="9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B123" i="9" s="1"/>
  <c r="D123" i="9"/>
  <c r="E123" i="9" s="1"/>
  <c r="F123" i="9" s="1"/>
  <c r="E122" i="9"/>
  <c r="F122" i="9" s="1"/>
  <c r="G122" i="9" s="1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B122" i="9" s="1"/>
  <c r="D122" i="9"/>
  <c r="E121" i="9"/>
  <c r="F121" i="9" s="1"/>
  <c r="G121" i="9" s="1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B121" i="9" s="1"/>
  <c r="D121" i="9"/>
  <c r="E120" i="9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B120" i="9" s="1"/>
  <c r="D120" i="9"/>
  <c r="F119" i="9"/>
  <c r="G119" i="9" s="1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B119" i="9" s="1"/>
  <c r="D119" i="9"/>
  <c r="E119" i="9" s="1"/>
  <c r="D118" i="9"/>
  <c r="E118" i="9" s="1"/>
  <c r="F118" i="9" s="1"/>
  <c r="G118" i="9" s="1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B118" i="9" s="1"/>
  <c r="D117" i="9"/>
  <c r="E117" i="9" s="1"/>
  <c r="F117" i="9" s="1"/>
  <c r="G117" i="9" s="1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B117" i="9" s="1"/>
  <c r="E116" i="9"/>
  <c r="F116" i="9" s="1"/>
  <c r="G116" i="9" s="1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B116" i="9" s="1"/>
  <c r="D116" i="9"/>
  <c r="D115" i="9"/>
  <c r="E115" i="9" s="1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B115" i="9" s="1"/>
  <c r="K114" i="9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B114" i="9" s="1"/>
  <c r="D114" i="9"/>
  <c r="E114" i="9" s="1"/>
  <c r="F114" i="9" s="1"/>
  <c r="G114" i="9" s="1"/>
  <c r="H114" i="9" s="1"/>
  <c r="I114" i="9" s="1"/>
  <c r="I113" i="9"/>
  <c r="J113" i="9" s="1"/>
  <c r="K113" i="9" s="1"/>
  <c r="L113" i="9" s="1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B113" i="9" s="1"/>
  <c r="D113" i="9"/>
  <c r="E113" i="9" s="1"/>
  <c r="F113" i="9" s="1"/>
  <c r="G113" i="9" s="1"/>
  <c r="H113" i="9" s="1"/>
  <c r="D112" i="9"/>
  <c r="E112" i="9" s="1"/>
  <c r="F112" i="9" s="1"/>
  <c r="G112" i="9" s="1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B112" i="9" s="1"/>
  <c r="E110" i="9"/>
  <c r="F110" i="9" s="1"/>
  <c r="G110" i="9" s="1"/>
  <c r="H110" i="9" s="1"/>
  <c r="I110" i="9" s="1"/>
  <c r="J110" i="9" s="1"/>
  <c r="K110" i="9" s="1"/>
  <c r="L110" i="9" s="1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E110" i="9" s="1"/>
  <c r="AF110" i="9" s="1"/>
  <c r="B110" i="9" s="1"/>
  <c r="D110" i="9"/>
  <c r="D109" i="9"/>
  <c r="E109" i="9" s="1"/>
  <c r="F109" i="9" s="1"/>
  <c r="G109" i="9" s="1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B109" i="9" s="1"/>
  <c r="D107" i="9"/>
  <c r="E107" i="9" s="1"/>
  <c r="F107" i="9" s="1"/>
  <c r="G107" i="9" s="1"/>
  <c r="H107" i="9" s="1"/>
  <c r="I107" i="9" s="1"/>
  <c r="J107" i="9" s="1"/>
  <c r="K107" i="9" s="1"/>
  <c r="L107" i="9" s="1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B107" i="9" s="1"/>
  <c r="D106" i="9"/>
  <c r="E106" i="9" s="1"/>
  <c r="F106" i="9" s="1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B106" i="9" s="1"/>
  <c r="D105" i="9"/>
  <c r="E105" i="9" s="1"/>
  <c r="F105" i="9" s="1"/>
  <c r="G105" i="9" s="1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B105" i="9" s="1"/>
  <c r="D104" i="9"/>
  <c r="E104" i="9" s="1"/>
  <c r="F104" i="9" s="1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B104" i="9" s="1"/>
  <c r="D103" i="9"/>
  <c r="E103" i="9" s="1"/>
  <c r="D102" i="9"/>
  <c r="AH100" i="9"/>
  <c r="AI100" i="9" s="1"/>
  <c r="AH99" i="9"/>
  <c r="AI99" i="9" s="1"/>
  <c r="AH98" i="9"/>
  <c r="AI98" i="9" s="1"/>
  <c r="AH97" i="9"/>
  <c r="AI97" i="9" s="1"/>
  <c r="AH96" i="9"/>
  <c r="AI96" i="9" s="1"/>
  <c r="AH95" i="9"/>
  <c r="AI95" i="9" s="1"/>
  <c r="AH94" i="9"/>
  <c r="AI94" i="9" s="1"/>
  <c r="C93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G82" i="9"/>
  <c r="AI81" i="9"/>
  <c r="AH81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K82" i="9" s="1"/>
  <c r="J76" i="9"/>
  <c r="I76" i="9"/>
  <c r="H76" i="9"/>
  <c r="G76" i="9"/>
  <c r="F76" i="9"/>
  <c r="E76" i="9"/>
  <c r="D76" i="9"/>
  <c r="C76" i="9"/>
  <c r="AI74" i="9"/>
  <c r="AH74" i="9"/>
  <c r="AI72" i="9"/>
  <c r="AH72" i="9"/>
  <c r="AG72" i="9"/>
  <c r="AI71" i="9"/>
  <c r="AH71" i="9"/>
  <c r="AI70" i="9"/>
  <c r="AH70" i="9"/>
  <c r="AI69" i="9"/>
  <c r="AH69" i="9"/>
  <c r="AG68" i="9"/>
  <c r="AF68" i="9"/>
  <c r="AE5" i="9" s="1"/>
  <c r="AE68" i="9"/>
  <c r="AD5" i="9" s="1"/>
  <c r="AD68" i="9"/>
  <c r="AC68" i="9"/>
  <c r="AB68" i="9"/>
  <c r="AA68" i="9"/>
  <c r="Z5" i="9" s="1"/>
  <c r="Z68" i="9"/>
  <c r="Y5" i="9" s="1"/>
  <c r="Y68" i="9"/>
  <c r="X5" i="9" s="1"/>
  <c r="X68" i="9"/>
  <c r="W5" i="9" s="1"/>
  <c r="W68" i="9"/>
  <c r="V5" i="9" s="1"/>
  <c r="V68" i="9"/>
  <c r="U68" i="9"/>
  <c r="T68" i="9"/>
  <c r="S68" i="9"/>
  <c r="R5" i="9" s="1"/>
  <c r="R68" i="9"/>
  <c r="Q5" i="9" s="1"/>
  <c r="Q68" i="9"/>
  <c r="P5" i="9" s="1"/>
  <c r="P68" i="9"/>
  <c r="O5" i="9" s="1"/>
  <c r="O68" i="9"/>
  <c r="N5" i="9" s="1"/>
  <c r="N68" i="9"/>
  <c r="M68" i="9"/>
  <c r="L5" i="9" s="1"/>
  <c r="L68" i="9"/>
  <c r="K5" i="9" s="1"/>
  <c r="K68" i="9"/>
  <c r="J68" i="9"/>
  <c r="I5" i="9" s="1"/>
  <c r="I68" i="9"/>
  <c r="H5" i="9" s="1"/>
  <c r="H68" i="9"/>
  <c r="G5" i="9" s="1"/>
  <c r="G68" i="9"/>
  <c r="F5" i="9" s="1"/>
  <c r="F68" i="9"/>
  <c r="E68" i="9"/>
  <c r="D5" i="9" s="1"/>
  <c r="D68" i="9"/>
  <c r="C5" i="9" s="1"/>
  <c r="C68" i="9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G56" i="9"/>
  <c r="AG4" i="9" s="1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AI55" i="9"/>
  <c r="AH55" i="9"/>
  <c r="AI54" i="9"/>
  <c r="AH54" i="9"/>
  <c r="AI53" i="9"/>
  <c r="AH53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I51" i="9"/>
  <c r="AH51" i="9"/>
  <c r="AG51" i="9"/>
  <c r="AG52" i="9" s="1"/>
  <c r="AG3" i="9" s="1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K4" i="9"/>
  <c r="B4" i="9"/>
  <c r="AF95" i="8"/>
  <c r="AF37" i="8"/>
  <c r="AE95" i="8"/>
  <c r="AE37" i="8"/>
  <c r="AD37" i="8"/>
  <c r="AC37" i="8"/>
  <c r="AB37" i="8"/>
  <c r="AA95" i="8"/>
  <c r="AA37" i="8"/>
  <c r="Z95" i="8"/>
  <c r="Z37" i="8"/>
  <c r="E4" i="9"/>
  <c r="S194" i="13" l="1"/>
  <c r="O235" i="13"/>
  <c r="Q199" i="13"/>
  <c r="P200" i="13"/>
  <c r="P93" i="13"/>
  <c r="V103" i="13"/>
  <c r="P192" i="13"/>
  <c r="Q102" i="13"/>
  <c r="Q192" i="12"/>
  <c r="R102" i="12"/>
  <c r="T103" i="12"/>
  <c r="P200" i="12"/>
  <c r="Q194" i="12"/>
  <c r="P93" i="12"/>
  <c r="S235" i="12"/>
  <c r="U199" i="12"/>
  <c r="R194" i="11"/>
  <c r="O192" i="11"/>
  <c r="P102" i="11"/>
  <c r="R103" i="11"/>
  <c r="N235" i="11"/>
  <c r="P199" i="11"/>
  <c r="O93" i="11"/>
  <c r="O200" i="11"/>
  <c r="P103" i="10"/>
  <c r="P199" i="10"/>
  <c r="N235" i="10"/>
  <c r="N192" i="10"/>
  <c r="O102" i="10"/>
  <c r="N200" i="10"/>
  <c r="O194" i="10"/>
  <c r="AF73" i="9"/>
  <c r="AF75" i="9" s="1"/>
  <c r="AX214" i="9" s="1"/>
  <c r="AD82" i="9"/>
  <c r="AB73" i="9"/>
  <c r="AB75" i="9" s="1"/>
  <c r="AB7" i="9" s="1"/>
  <c r="AA82" i="9"/>
  <c r="AA83" i="9"/>
  <c r="AA73" i="9"/>
  <c r="AA75" i="9" s="1"/>
  <c r="AS214" i="9" s="1"/>
  <c r="Y73" i="9"/>
  <c r="Y75" i="9" s="1"/>
  <c r="X73" i="9"/>
  <c r="X75" i="9" s="1"/>
  <c r="AP214" i="9" s="1"/>
  <c r="W82" i="9"/>
  <c r="T73" i="9"/>
  <c r="T75" i="9" s="1"/>
  <c r="S82" i="9"/>
  <c r="S73" i="9"/>
  <c r="S75" i="9" s="1"/>
  <c r="Q73" i="9"/>
  <c r="Q75" i="9" s="1"/>
  <c r="P73" i="9"/>
  <c r="P75" i="9" s="1"/>
  <c r="L73" i="9"/>
  <c r="L75" i="9" s="1"/>
  <c r="D235" i="9"/>
  <c r="F199" i="9"/>
  <c r="N82" i="9"/>
  <c r="V82" i="9"/>
  <c r="AG73" i="9"/>
  <c r="R73" i="9"/>
  <c r="R75" i="9" s="1"/>
  <c r="AJ214" i="9" s="1"/>
  <c r="Z73" i="9"/>
  <c r="Z75" i="9" s="1"/>
  <c r="Z7" i="9" s="1"/>
  <c r="L82" i="9"/>
  <c r="L83" i="9" s="1"/>
  <c r="T82" i="9"/>
  <c r="T83" i="9" s="1"/>
  <c r="AB82" i="9"/>
  <c r="AB83" i="9" s="1"/>
  <c r="W83" i="9"/>
  <c r="M82" i="9"/>
  <c r="M83" i="9" s="1"/>
  <c r="U82" i="9"/>
  <c r="U83" i="9" s="1"/>
  <c r="AC82" i="9"/>
  <c r="Q82" i="9"/>
  <c r="Q83" i="9" s="1"/>
  <c r="AG75" i="9"/>
  <c r="M73" i="9"/>
  <c r="M75" i="9" s="1"/>
  <c r="AE214" i="9" s="1"/>
  <c r="U73" i="9"/>
  <c r="U75" i="9" s="1"/>
  <c r="U7" i="9" s="1"/>
  <c r="AC73" i="9"/>
  <c r="AC75" i="9" s="1"/>
  <c r="AU214" i="9" s="1"/>
  <c r="AE82" i="9"/>
  <c r="AE83" i="9" s="1"/>
  <c r="O82" i="9"/>
  <c r="O83" i="9" s="1"/>
  <c r="N73" i="9"/>
  <c r="N75" i="9" s="1"/>
  <c r="AF214" i="9" s="1"/>
  <c r="V73" i="9"/>
  <c r="V75" i="9" s="1"/>
  <c r="V7" i="9" s="1"/>
  <c r="AD73" i="9"/>
  <c r="AD75" i="9" s="1"/>
  <c r="AV214" i="9" s="1"/>
  <c r="R82" i="9"/>
  <c r="Z82" i="9"/>
  <c r="Z83" i="9" s="1"/>
  <c r="O73" i="9"/>
  <c r="O75" i="9" s="1"/>
  <c r="AG214" i="9" s="1"/>
  <c r="W73" i="9"/>
  <c r="W75" i="9" s="1"/>
  <c r="W7" i="9" s="1"/>
  <c r="AE73" i="9"/>
  <c r="AE75" i="9" s="1"/>
  <c r="AW214" i="9" s="1"/>
  <c r="K83" i="9"/>
  <c r="S83" i="9"/>
  <c r="I82" i="9"/>
  <c r="Y82" i="9"/>
  <c r="J5" i="9"/>
  <c r="K73" i="9"/>
  <c r="K75" i="9" s="1"/>
  <c r="K7" i="9" s="1"/>
  <c r="J82" i="9"/>
  <c r="AI76" i="9"/>
  <c r="J73" i="9"/>
  <c r="J75" i="9" s="1"/>
  <c r="AB214" i="9" s="1"/>
  <c r="I73" i="9"/>
  <c r="I75" i="9" s="1"/>
  <c r="AA214" i="9" s="1"/>
  <c r="H73" i="9"/>
  <c r="H75" i="9" s="1"/>
  <c r="AH56" i="9"/>
  <c r="G73" i="9"/>
  <c r="G75" i="9" s="1"/>
  <c r="G7" i="9" s="1"/>
  <c r="F82" i="9"/>
  <c r="F83" i="9" s="1"/>
  <c r="AH80" i="9"/>
  <c r="F73" i="9"/>
  <c r="F75" i="9" s="1"/>
  <c r="F7" i="9" s="1"/>
  <c r="AI80" i="9"/>
  <c r="E82" i="9"/>
  <c r="E83" i="9" s="1"/>
  <c r="E73" i="9"/>
  <c r="E75" i="9" s="1"/>
  <c r="W214" i="9" s="1"/>
  <c r="AI79" i="9"/>
  <c r="D82" i="9"/>
  <c r="AH52" i="9"/>
  <c r="D73" i="9"/>
  <c r="D75" i="9" s="1"/>
  <c r="D7" i="9" s="1"/>
  <c r="AH68" i="9"/>
  <c r="B73" i="9"/>
  <c r="B75" i="9" s="1"/>
  <c r="B82" i="9"/>
  <c r="B83" i="9" s="1"/>
  <c r="AI78" i="9"/>
  <c r="AH79" i="9"/>
  <c r="B5" i="9"/>
  <c r="C82" i="9"/>
  <c r="C83" i="9" s="1"/>
  <c r="C73" i="9"/>
  <c r="C75" i="9" s="1"/>
  <c r="U214" i="9" s="1"/>
  <c r="AH37" i="9"/>
  <c r="AI77" i="9"/>
  <c r="AH78" i="9"/>
  <c r="AI38" i="9"/>
  <c r="H4" i="9"/>
  <c r="AO214" i="9"/>
  <c r="Z214" i="9"/>
  <c r="H7" i="9"/>
  <c r="X7" i="9"/>
  <c r="AH214" i="9"/>
  <c r="P7" i="9"/>
  <c r="AI214" i="9"/>
  <c r="Q7" i="9"/>
  <c r="AQ214" i="9"/>
  <c r="Y7" i="9"/>
  <c r="J83" i="9"/>
  <c r="R83" i="9"/>
  <c r="F103" i="9"/>
  <c r="E93" i="9"/>
  <c r="AC214" i="9"/>
  <c r="AA7" i="9"/>
  <c r="AD214" i="9"/>
  <c r="L7" i="9"/>
  <c r="AL214" i="9"/>
  <c r="T7" i="9"/>
  <c r="AT214" i="9"/>
  <c r="AC83" i="9"/>
  <c r="AK214" i="9"/>
  <c r="S7" i="9"/>
  <c r="V83" i="9"/>
  <c r="AI52" i="9"/>
  <c r="AI56" i="9"/>
  <c r="AI68" i="9"/>
  <c r="AH77" i="9"/>
  <c r="D192" i="9"/>
  <c r="E102" i="9"/>
  <c r="AH38" i="9"/>
  <c r="D83" i="9"/>
  <c r="G82" i="9"/>
  <c r="G83" i="9" s="1"/>
  <c r="AG2" i="9"/>
  <c r="AG6" i="9" s="1"/>
  <c r="S5" i="9"/>
  <c r="AA5" i="9"/>
  <c r="D93" i="9"/>
  <c r="AD83" i="9"/>
  <c r="T5" i="9"/>
  <c r="AB5" i="9"/>
  <c r="N83" i="9"/>
  <c r="D211" i="9"/>
  <c r="S211" i="9"/>
  <c r="E5" i="9"/>
  <c r="M5" i="9"/>
  <c r="U5" i="9"/>
  <c r="AC5" i="9"/>
  <c r="I83" i="9"/>
  <c r="Y83" i="9"/>
  <c r="H82" i="9"/>
  <c r="P82" i="9"/>
  <c r="P83" i="9" s="1"/>
  <c r="X82" i="9"/>
  <c r="X83" i="9" s="1"/>
  <c r="AF82" i="9"/>
  <c r="AF83" i="9" s="1"/>
  <c r="AG83" i="9"/>
  <c r="AH76" i="9"/>
  <c r="G194" i="9"/>
  <c r="F200" i="9"/>
  <c r="D200" i="9"/>
  <c r="E200" i="9"/>
  <c r="W103" i="13" l="1"/>
  <c r="P235" i="13"/>
  <c r="R199" i="13"/>
  <c r="Q93" i="13"/>
  <c r="Q200" i="13"/>
  <c r="Q192" i="13"/>
  <c r="R102" i="13"/>
  <c r="T194" i="13"/>
  <c r="R194" i="12"/>
  <c r="Q200" i="12"/>
  <c r="Q93" i="12"/>
  <c r="U103" i="12"/>
  <c r="R192" i="12"/>
  <c r="S102" i="12"/>
  <c r="T235" i="12"/>
  <c r="V199" i="12"/>
  <c r="Q199" i="11"/>
  <c r="O235" i="11"/>
  <c r="P93" i="11"/>
  <c r="P200" i="11"/>
  <c r="S103" i="11"/>
  <c r="P192" i="11"/>
  <c r="Q102" i="11"/>
  <c r="S194" i="11"/>
  <c r="AF7" i="9"/>
  <c r="O192" i="10"/>
  <c r="P102" i="10"/>
  <c r="O235" i="10"/>
  <c r="Q199" i="10"/>
  <c r="P93" i="10"/>
  <c r="Q103" i="10"/>
  <c r="P194" i="10"/>
  <c r="O200" i="10"/>
  <c r="O93" i="10"/>
  <c r="AE7" i="9"/>
  <c r="AD7" i="9"/>
  <c r="AC7" i="9"/>
  <c r="AR214" i="9"/>
  <c r="AM214" i="9"/>
  <c r="R7" i="9"/>
  <c r="C7" i="9"/>
  <c r="M7" i="9"/>
  <c r="Y214" i="9"/>
  <c r="O7" i="9"/>
  <c r="N7" i="9"/>
  <c r="AN214" i="9"/>
  <c r="G199" i="9"/>
  <c r="E235" i="9"/>
  <c r="J7" i="9"/>
  <c r="I7" i="9"/>
  <c r="C209" i="9"/>
  <c r="B209" i="9"/>
  <c r="AI82" i="9"/>
  <c r="X214" i="9"/>
  <c r="E7" i="9"/>
  <c r="V214" i="9"/>
  <c r="AH73" i="9"/>
  <c r="AI73" i="9"/>
  <c r="E192" i="9"/>
  <c r="F102" i="9"/>
  <c r="AH82" i="9"/>
  <c r="H83" i="9"/>
  <c r="H194" i="9"/>
  <c r="G200" i="9"/>
  <c r="G103" i="9"/>
  <c r="F93" i="9"/>
  <c r="AI83" i="9"/>
  <c r="AH83" i="9"/>
  <c r="R192" i="13" l="1"/>
  <c r="S102" i="13"/>
  <c r="S199" i="13"/>
  <c r="Q235" i="13"/>
  <c r="R200" i="13"/>
  <c r="R93" i="13"/>
  <c r="U194" i="13"/>
  <c r="X103" i="13"/>
  <c r="S192" i="12"/>
  <c r="T102" i="12"/>
  <c r="V103" i="12"/>
  <c r="W199" i="12"/>
  <c r="U235" i="12"/>
  <c r="S194" i="12"/>
  <c r="R200" i="12"/>
  <c r="R93" i="12"/>
  <c r="Q192" i="11"/>
  <c r="R102" i="11"/>
  <c r="T103" i="11"/>
  <c r="T194" i="11"/>
  <c r="R199" i="11"/>
  <c r="P235" i="11"/>
  <c r="Q200" i="11"/>
  <c r="Q93" i="11"/>
  <c r="P200" i="10"/>
  <c r="Q194" i="10"/>
  <c r="R103" i="10"/>
  <c r="Q93" i="10"/>
  <c r="R199" i="10"/>
  <c r="P235" i="10"/>
  <c r="P192" i="10"/>
  <c r="Q102" i="10"/>
  <c r="K6" i="9"/>
  <c r="F235" i="9"/>
  <c r="H199" i="9"/>
  <c r="F192" i="9"/>
  <c r="G102" i="9"/>
  <c r="H103" i="9"/>
  <c r="G93" i="9"/>
  <c r="H200" i="9"/>
  <c r="I194" i="9"/>
  <c r="T214" i="9"/>
  <c r="AI75" i="9"/>
  <c r="AH75" i="9"/>
  <c r="B7" i="9"/>
  <c r="A7" i="9" s="1"/>
  <c r="V194" i="13" l="1"/>
  <c r="T199" i="13"/>
  <c r="R235" i="13"/>
  <c r="S200" i="13"/>
  <c r="S93" i="13"/>
  <c r="Y103" i="13"/>
  <c r="S192" i="13"/>
  <c r="T102" i="13"/>
  <c r="V235" i="12"/>
  <c r="X199" i="12"/>
  <c r="W103" i="12"/>
  <c r="T192" i="12"/>
  <c r="U102" i="12"/>
  <c r="S200" i="12"/>
  <c r="T194" i="12"/>
  <c r="S93" i="12"/>
  <c r="S199" i="11"/>
  <c r="Q235" i="11"/>
  <c r="R200" i="11"/>
  <c r="R93" i="11"/>
  <c r="U194" i="11"/>
  <c r="U103" i="11"/>
  <c r="R192" i="11"/>
  <c r="S102" i="11"/>
  <c r="Q192" i="10"/>
  <c r="R102" i="10"/>
  <c r="Q235" i="10"/>
  <c r="S199" i="10"/>
  <c r="S103" i="10"/>
  <c r="R93" i="10"/>
  <c r="R194" i="10"/>
  <c r="Q200" i="10"/>
  <c r="I199" i="9"/>
  <c r="G235" i="9"/>
  <c r="G192" i="9"/>
  <c r="H102" i="9"/>
  <c r="I200" i="9"/>
  <c r="J194" i="9"/>
  <c r="H93" i="9"/>
  <c r="I103" i="9"/>
  <c r="Y95" i="8"/>
  <c r="Y37" i="8"/>
  <c r="X95" i="8"/>
  <c r="X37" i="8"/>
  <c r="X11" i="8"/>
  <c r="W95" i="8"/>
  <c r="W37" i="8"/>
  <c r="W11" i="8"/>
  <c r="V95" i="8"/>
  <c r="V37" i="8"/>
  <c r="V11" i="8"/>
  <c r="U95" i="8"/>
  <c r="U37" i="8"/>
  <c r="T95" i="8"/>
  <c r="T37" i="8"/>
  <c r="S95" i="8"/>
  <c r="S37" i="8"/>
  <c r="R95" i="8"/>
  <c r="R37" i="8"/>
  <c r="Q95" i="8"/>
  <c r="P95" i="8"/>
  <c r="P37" i="8"/>
  <c r="Q37" i="8"/>
  <c r="O95" i="8"/>
  <c r="O37" i="8"/>
  <c r="M95" i="8"/>
  <c r="L37" i="8"/>
  <c r="K37" i="8"/>
  <c r="J37" i="8"/>
  <c r="I37" i="8"/>
  <c r="H37" i="8"/>
  <c r="G37" i="8"/>
  <c r="D37" i="8"/>
  <c r="C37" i="8"/>
  <c r="AF37" i="7"/>
  <c r="B37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B239" i="8"/>
  <c r="A239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B235" i="8"/>
  <c r="S210" i="8"/>
  <c r="AG200" i="8"/>
  <c r="D200" i="8"/>
  <c r="C200" i="8"/>
  <c r="F199" i="8"/>
  <c r="E235" i="8" s="1"/>
  <c r="E199" i="8"/>
  <c r="D235" i="8" s="1"/>
  <c r="D199" i="8"/>
  <c r="C235" i="8" s="1"/>
  <c r="G198" i="8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B198" i="8" s="1"/>
  <c r="D198" i="8"/>
  <c r="E198" i="8" s="1"/>
  <c r="F198" i="8" s="1"/>
  <c r="E197" i="8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B197" i="8" s="1"/>
  <c r="D197" i="8"/>
  <c r="G196" i="8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B196" i="8" s="1"/>
  <c r="E196" i="8"/>
  <c r="F196" i="8" s="1"/>
  <c r="D196" i="8"/>
  <c r="AB195" i="8"/>
  <c r="AC195" i="8" s="1"/>
  <c r="AD195" i="8" s="1"/>
  <c r="AE195" i="8" s="1"/>
  <c r="AF195" i="8" s="1"/>
  <c r="B195" i="8" s="1"/>
  <c r="G195" i="8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D195" i="8"/>
  <c r="E195" i="8" s="1"/>
  <c r="F195" i="8" s="1"/>
  <c r="E194" i="8"/>
  <c r="D194" i="8"/>
  <c r="AG192" i="8"/>
  <c r="C192" i="8"/>
  <c r="P191" i="8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B191" i="8" s="1"/>
  <c r="H191" i="8"/>
  <c r="I191" i="8" s="1"/>
  <c r="J191" i="8" s="1"/>
  <c r="K191" i="8" s="1"/>
  <c r="L191" i="8" s="1"/>
  <c r="M191" i="8" s="1"/>
  <c r="N191" i="8" s="1"/>
  <c r="O191" i="8" s="1"/>
  <c r="D191" i="8"/>
  <c r="E191" i="8" s="1"/>
  <c r="F191" i="8" s="1"/>
  <c r="G191" i="8" s="1"/>
  <c r="I190" i="8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B190" i="8" s="1"/>
  <c r="F190" i="8"/>
  <c r="G190" i="8" s="1"/>
  <c r="H190" i="8" s="1"/>
  <c r="E190" i="8"/>
  <c r="D190" i="8"/>
  <c r="X189" i="8"/>
  <c r="Y189" i="8" s="1"/>
  <c r="Z189" i="8" s="1"/>
  <c r="AA189" i="8" s="1"/>
  <c r="AB189" i="8" s="1"/>
  <c r="AC189" i="8" s="1"/>
  <c r="AD189" i="8" s="1"/>
  <c r="AE189" i="8" s="1"/>
  <c r="AF189" i="8" s="1"/>
  <c r="B189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B188" i="8" s="1"/>
  <c r="AA187" i="8"/>
  <c r="AB187" i="8" s="1"/>
  <c r="AC187" i="8" s="1"/>
  <c r="AD187" i="8" s="1"/>
  <c r="AE187" i="8" s="1"/>
  <c r="AF187" i="8" s="1"/>
  <c r="E187" i="8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D187" i="8"/>
  <c r="B187" i="8"/>
  <c r="E186" i="8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B186" i="8" s="1"/>
  <c r="D186" i="8"/>
  <c r="I185" i="8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B185" i="8" s="1"/>
  <c r="D185" i="8"/>
  <c r="E185" i="8" s="1"/>
  <c r="F185" i="8" s="1"/>
  <c r="G185" i="8" s="1"/>
  <c r="H185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B184" i="8"/>
  <c r="L183" i="8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B183" i="8" s="1"/>
  <c r="D183" i="8"/>
  <c r="E183" i="8" s="1"/>
  <c r="F183" i="8" s="1"/>
  <c r="G183" i="8" s="1"/>
  <c r="H183" i="8" s="1"/>
  <c r="I183" i="8" s="1"/>
  <c r="J183" i="8" s="1"/>
  <c r="K183" i="8" s="1"/>
  <c r="G182" i="8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B182" i="8" s="1"/>
  <c r="F182" i="8"/>
  <c r="E182" i="8"/>
  <c r="D182" i="8"/>
  <c r="F181" i="8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B181" i="8" s="1"/>
  <c r="D181" i="8"/>
  <c r="E181" i="8" s="1"/>
  <c r="K180" i="8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B180" i="8" s="1"/>
  <c r="E180" i="8"/>
  <c r="F180" i="8" s="1"/>
  <c r="G180" i="8" s="1"/>
  <c r="H180" i="8" s="1"/>
  <c r="I180" i="8" s="1"/>
  <c r="J180" i="8" s="1"/>
  <c r="D180" i="8"/>
  <c r="I179" i="8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B179" i="8" s="1"/>
  <c r="D179" i="8"/>
  <c r="E179" i="8" s="1"/>
  <c r="F179" i="8" s="1"/>
  <c r="G179" i="8" s="1"/>
  <c r="H179" i="8" s="1"/>
  <c r="P177" i="8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B177" i="8" s="1"/>
  <c r="H177" i="8"/>
  <c r="I177" i="8" s="1"/>
  <c r="J177" i="8" s="1"/>
  <c r="K177" i="8" s="1"/>
  <c r="L177" i="8" s="1"/>
  <c r="M177" i="8" s="1"/>
  <c r="N177" i="8" s="1"/>
  <c r="O177" i="8" s="1"/>
  <c r="E177" i="8"/>
  <c r="F177" i="8" s="1"/>
  <c r="G177" i="8" s="1"/>
  <c r="D177" i="8"/>
  <c r="I176" i="8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B176" i="8" s="1"/>
  <c r="D176" i="8"/>
  <c r="E176" i="8" s="1"/>
  <c r="F176" i="8" s="1"/>
  <c r="G176" i="8" s="1"/>
  <c r="H176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B175" i="8" s="1"/>
  <c r="L174" i="8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B174" i="8" s="1"/>
  <c r="F174" i="8"/>
  <c r="G174" i="8" s="1"/>
  <c r="H174" i="8" s="1"/>
  <c r="I174" i="8" s="1"/>
  <c r="J174" i="8" s="1"/>
  <c r="K174" i="8" s="1"/>
  <c r="E174" i="8"/>
  <c r="D174" i="8"/>
  <c r="J173" i="8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B173" i="8" s="1"/>
  <c r="E173" i="8"/>
  <c r="F173" i="8" s="1"/>
  <c r="G173" i="8" s="1"/>
  <c r="H173" i="8" s="1"/>
  <c r="I173" i="8" s="1"/>
  <c r="D173" i="8"/>
  <c r="AE172" i="8"/>
  <c r="AF172" i="8" s="1"/>
  <c r="B172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T171" i="8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B171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G170" i="8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B170" i="8" s="1"/>
  <c r="E170" i="8"/>
  <c r="F170" i="8" s="1"/>
  <c r="D170" i="8"/>
  <c r="J168" i="8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B168" i="8" s="1"/>
  <c r="E168" i="8"/>
  <c r="F168" i="8" s="1"/>
  <c r="G168" i="8" s="1"/>
  <c r="H168" i="8" s="1"/>
  <c r="I168" i="8" s="1"/>
  <c r="D168" i="8"/>
  <c r="H167" i="8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B167" i="8" s="1"/>
  <c r="D167" i="8"/>
  <c r="E167" i="8" s="1"/>
  <c r="F167" i="8" s="1"/>
  <c r="G167" i="8" s="1"/>
  <c r="F166" i="8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B166" i="8" s="1"/>
  <c r="D166" i="8"/>
  <c r="E166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B165" i="8" s="1"/>
  <c r="K164" i="8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B164" i="8" s="1"/>
  <c r="F164" i="8"/>
  <c r="G164" i="8" s="1"/>
  <c r="H164" i="8" s="1"/>
  <c r="I164" i="8" s="1"/>
  <c r="J164" i="8" s="1"/>
  <c r="E164" i="8"/>
  <c r="D164" i="8"/>
  <c r="N163" i="8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B163" i="8" s="1"/>
  <c r="I163" i="8"/>
  <c r="J163" i="8" s="1"/>
  <c r="K163" i="8" s="1"/>
  <c r="L163" i="8" s="1"/>
  <c r="M163" i="8" s="1"/>
  <c r="D163" i="8"/>
  <c r="E163" i="8" s="1"/>
  <c r="F163" i="8" s="1"/>
  <c r="G163" i="8" s="1"/>
  <c r="H163" i="8" s="1"/>
  <c r="G162" i="8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B162" i="8" s="1"/>
  <c r="E162" i="8"/>
  <c r="F162" i="8" s="1"/>
  <c r="D162" i="8"/>
  <c r="S161" i="8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B161" i="8" s="1"/>
  <c r="E161" i="8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D161" i="8"/>
  <c r="L160" i="8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B160" i="8" s="1"/>
  <c r="H160" i="8"/>
  <c r="I160" i="8" s="1"/>
  <c r="J160" i="8" s="1"/>
  <c r="K160" i="8" s="1"/>
  <c r="D160" i="8"/>
  <c r="E160" i="8" s="1"/>
  <c r="F160" i="8" s="1"/>
  <c r="G160" i="8" s="1"/>
  <c r="J159" i="8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B159" i="8" s="1"/>
  <c r="F159" i="8"/>
  <c r="G159" i="8" s="1"/>
  <c r="H159" i="8" s="1"/>
  <c r="I159" i="8" s="1"/>
  <c r="D159" i="8"/>
  <c r="E159" i="8" s="1"/>
  <c r="H158" i="8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B158" i="8" s="1"/>
  <c r="D158" i="8"/>
  <c r="E158" i="8" s="1"/>
  <c r="F158" i="8" s="1"/>
  <c r="G158" i="8" s="1"/>
  <c r="T157" i="8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B157" i="8" s="1"/>
  <c r="F157" i="8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E157" i="8"/>
  <c r="D157" i="8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B156" i="8" s="1"/>
  <c r="P154" i="8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B154" i="8" s="1"/>
  <c r="F154" i="8"/>
  <c r="G154" i="8" s="1"/>
  <c r="H154" i="8" s="1"/>
  <c r="I154" i="8" s="1"/>
  <c r="J154" i="8" s="1"/>
  <c r="K154" i="8" s="1"/>
  <c r="L154" i="8" s="1"/>
  <c r="M154" i="8" s="1"/>
  <c r="N154" i="8" s="1"/>
  <c r="O154" i="8" s="1"/>
  <c r="D154" i="8"/>
  <c r="E154" i="8" s="1"/>
  <c r="O153" i="8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B153" i="8" s="1"/>
  <c r="F153" i="8"/>
  <c r="G153" i="8" s="1"/>
  <c r="H153" i="8" s="1"/>
  <c r="I153" i="8" s="1"/>
  <c r="J153" i="8" s="1"/>
  <c r="K153" i="8" s="1"/>
  <c r="L153" i="8" s="1"/>
  <c r="M153" i="8" s="1"/>
  <c r="N153" i="8" s="1"/>
  <c r="E153" i="8"/>
  <c r="D153" i="8"/>
  <c r="H152" i="8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B152" i="8" s="1"/>
  <c r="D152" i="8"/>
  <c r="E152" i="8" s="1"/>
  <c r="F152" i="8" s="1"/>
  <c r="G152" i="8" s="1"/>
  <c r="E151" i="8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B151" i="8" s="1"/>
  <c r="D151" i="8"/>
  <c r="H149" i="8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B149" i="8" s="1"/>
  <c r="D149" i="8"/>
  <c r="E149" i="8" s="1"/>
  <c r="F149" i="8" s="1"/>
  <c r="G149" i="8" s="1"/>
  <c r="V148" i="8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B148" i="8" s="1"/>
  <c r="N148" i="8"/>
  <c r="O148" i="8" s="1"/>
  <c r="P148" i="8" s="1"/>
  <c r="Q148" i="8" s="1"/>
  <c r="R148" i="8" s="1"/>
  <c r="S148" i="8" s="1"/>
  <c r="T148" i="8" s="1"/>
  <c r="U148" i="8" s="1"/>
  <c r="F148" i="8"/>
  <c r="G148" i="8" s="1"/>
  <c r="H148" i="8" s="1"/>
  <c r="I148" i="8" s="1"/>
  <c r="J148" i="8" s="1"/>
  <c r="K148" i="8" s="1"/>
  <c r="L148" i="8" s="1"/>
  <c r="M148" i="8" s="1"/>
  <c r="E148" i="8"/>
  <c r="D148" i="8"/>
  <c r="L146" i="8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B146" i="8" s="1"/>
  <c r="K146" i="8"/>
  <c r="D146" i="8"/>
  <c r="E146" i="8" s="1"/>
  <c r="F146" i="8" s="1"/>
  <c r="G146" i="8" s="1"/>
  <c r="H146" i="8" s="1"/>
  <c r="I146" i="8" s="1"/>
  <c r="J146" i="8" s="1"/>
  <c r="F145" i="8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B145" i="8" s="1"/>
  <c r="E145" i="8"/>
  <c r="D145" i="8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B144" i="8" s="1"/>
  <c r="E143" i="8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B143" i="8" s="1"/>
  <c r="D143" i="8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B142" i="8" s="1"/>
  <c r="F141" i="8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B141" i="8" s="1"/>
  <c r="E141" i="8"/>
  <c r="D141" i="8"/>
  <c r="G140" i="8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B140" i="8" s="1"/>
  <c r="D140" i="8"/>
  <c r="E140" i="8" s="1"/>
  <c r="F140" i="8" s="1"/>
  <c r="M138" i="8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B138" i="8" s="1"/>
  <c r="E138" i="8"/>
  <c r="F138" i="8" s="1"/>
  <c r="G138" i="8" s="1"/>
  <c r="H138" i="8" s="1"/>
  <c r="I138" i="8" s="1"/>
  <c r="J138" i="8" s="1"/>
  <c r="K138" i="8" s="1"/>
  <c r="L138" i="8" s="1"/>
  <c r="D138" i="8"/>
  <c r="L137" i="8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B137" i="8" s="1"/>
  <c r="D137" i="8"/>
  <c r="E137" i="8" s="1"/>
  <c r="F137" i="8" s="1"/>
  <c r="G137" i="8" s="1"/>
  <c r="H137" i="8" s="1"/>
  <c r="I137" i="8" s="1"/>
  <c r="J137" i="8" s="1"/>
  <c r="K137" i="8" s="1"/>
  <c r="F136" i="8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B136" i="8" s="1"/>
  <c r="E136" i="8"/>
  <c r="D136" i="8"/>
  <c r="K135" i="8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B135" i="8" s="1"/>
  <c r="G135" i="8"/>
  <c r="H135" i="8" s="1"/>
  <c r="I135" i="8" s="1"/>
  <c r="J135" i="8" s="1"/>
  <c r="D135" i="8"/>
  <c r="E135" i="8" s="1"/>
  <c r="F135" i="8" s="1"/>
  <c r="I134" i="8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B134" i="8" s="1"/>
  <c r="E134" i="8"/>
  <c r="F134" i="8" s="1"/>
  <c r="G134" i="8" s="1"/>
  <c r="H134" i="8" s="1"/>
  <c r="D134" i="8"/>
  <c r="E133" i="8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B133" i="8" s="1"/>
  <c r="D133" i="8"/>
  <c r="E132" i="8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B132" i="8" s="1"/>
  <c r="D132" i="8"/>
  <c r="G131" i="8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B131" i="8" s="1"/>
  <c r="E131" i="8"/>
  <c r="F131" i="8" s="1"/>
  <c r="D131" i="8"/>
  <c r="F129" i="8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B129" i="8" s="1"/>
  <c r="E129" i="8"/>
  <c r="D129" i="8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B128" i="8" s="1"/>
  <c r="E127" i="8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B127" i="8" s="1"/>
  <c r="D127" i="8"/>
  <c r="E126" i="8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B126" i="8" s="1"/>
  <c r="D126" i="8"/>
  <c r="M125" i="8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B125" i="8" s="1"/>
  <c r="K125" i="8"/>
  <c r="L125" i="8" s="1"/>
  <c r="J125" i="8"/>
  <c r="D125" i="8"/>
  <c r="E125" i="8" s="1"/>
  <c r="F125" i="8" s="1"/>
  <c r="G125" i="8" s="1"/>
  <c r="H125" i="8" s="1"/>
  <c r="J124" i="8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B124" i="8" s="1"/>
  <c r="D124" i="8"/>
  <c r="E124" i="8" s="1"/>
  <c r="F124" i="8" s="1"/>
  <c r="G124" i="8" s="1"/>
  <c r="H124" i="8" s="1"/>
  <c r="I124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B123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B122" i="8" s="1"/>
  <c r="E121" i="8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B121" i="8" s="1"/>
  <c r="D121" i="8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B120" i="8" s="1"/>
  <c r="I119" i="8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B119" i="8" s="1"/>
  <c r="H119" i="8"/>
  <c r="D119" i="8"/>
  <c r="E119" i="8" s="1"/>
  <c r="F119" i="8" s="1"/>
  <c r="G119" i="8" s="1"/>
  <c r="F118" i="8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B118" i="8" s="1"/>
  <c r="D118" i="8"/>
  <c r="E118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B117" i="8" s="1"/>
  <c r="K116" i="8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B116" i="8" s="1"/>
  <c r="D116" i="8"/>
  <c r="E116" i="8" s="1"/>
  <c r="F116" i="8" s="1"/>
  <c r="G116" i="8" s="1"/>
  <c r="H116" i="8" s="1"/>
  <c r="I116" i="8" s="1"/>
  <c r="J116" i="8" s="1"/>
  <c r="R115" i="8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B115" i="8" s="1"/>
  <c r="H115" i="8"/>
  <c r="I115" i="8" s="1"/>
  <c r="J115" i="8" s="1"/>
  <c r="K115" i="8" s="1"/>
  <c r="L115" i="8" s="1"/>
  <c r="M115" i="8" s="1"/>
  <c r="N115" i="8" s="1"/>
  <c r="O115" i="8" s="1"/>
  <c r="P115" i="8" s="1"/>
  <c r="Q115" i="8" s="1"/>
  <c r="D115" i="8"/>
  <c r="E115" i="8" s="1"/>
  <c r="F115" i="8" s="1"/>
  <c r="G115" i="8" s="1"/>
  <c r="AE114" i="8"/>
  <c r="AF114" i="8" s="1"/>
  <c r="B114" i="8" s="1"/>
  <c r="L114" i="8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K114" i="8"/>
  <c r="F114" i="8"/>
  <c r="G114" i="8" s="1"/>
  <c r="H114" i="8" s="1"/>
  <c r="I114" i="8" s="1"/>
  <c r="E114" i="8"/>
  <c r="D114" i="8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B113" i="8" s="1"/>
  <c r="I112" i="8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B112" i="8" s="1"/>
  <c r="G112" i="8"/>
  <c r="H112" i="8" s="1"/>
  <c r="E112" i="8"/>
  <c r="F112" i="8" s="1"/>
  <c r="D112" i="8"/>
  <c r="I110" i="8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B110" i="8" s="1"/>
  <c r="E110" i="8"/>
  <c r="F110" i="8" s="1"/>
  <c r="G110" i="8" s="1"/>
  <c r="H110" i="8" s="1"/>
  <c r="D110" i="8"/>
  <c r="E109" i="8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B109" i="8" s="1"/>
  <c r="D109" i="8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B107" i="8" s="1"/>
  <c r="I106" i="8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B106" i="8" s="1"/>
  <c r="G106" i="8"/>
  <c r="H106" i="8" s="1"/>
  <c r="E106" i="8"/>
  <c r="F106" i="8" s="1"/>
  <c r="D106" i="8"/>
  <c r="I105" i="8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B105" i="8" s="1"/>
  <c r="E105" i="8"/>
  <c r="F105" i="8" s="1"/>
  <c r="G105" i="8" s="1"/>
  <c r="H105" i="8" s="1"/>
  <c r="D105" i="8"/>
  <c r="K104" i="8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B104" i="8" s="1"/>
  <c r="E104" i="8"/>
  <c r="F104" i="8" s="1"/>
  <c r="G104" i="8" s="1"/>
  <c r="H104" i="8" s="1"/>
  <c r="I104" i="8" s="1"/>
  <c r="J104" i="8" s="1"/>
  <c r="D104" i="8"/>
  <c r="D103" i="8"/>
  <c r="E102" i="8"/>
  <c r="D102" i="8"/>
  <c r="AH100" i="8"/>
  <c r="AI100" i="8" s="1"/>
  <c r="AH99" i="8"/>
  <c r="AI99" i="8" s="1"/>
  <c r="AH98" i="8"/>
  <c r="AI98" i="8" s="1"/>
  <c r="AH97" i="8"/>
  <c r="AI97" i="8" s="1"/>
  <c r="AH96" i="8"/>
  <c r="AI96" i="8" s="1"/>
  <c r="AH95" i="8"/>
  <c r="AI95" i="8" s="1"/>
  <c r="AH94" i="8"/>
  <c r="AI94" i="8" s="1"/>
  <c r="C93" i="8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G82" i="8"/>
  <c r="AI81" i="8"/>
  <c r="AH81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S82" i="8" s="1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F76" i="8"/>
  <c r="AE76" i="8"/>
  <c r="AD76" i="8"/>
  <c r="AC76" i="8"/>
  <c r="AB76" i="8"/>
  <c r="AB82" i="8" s="1"/>
  <c r="AA76" i="8"/>
  <c r="Z76" i="8"/>
  <c r="Y76" i="8"/>
  <c r="Y82" i="8" s="1"/>
  <c r="X76" i="8"/>
  <c r="W76" i="8"/>
  <c r="V76" i="8"/>
  <c r="U76" i="8"/>
  <c r="T76" i="8"/>
  <c r="T82" i="8" s="1"/>
  <c r="S76" i="8"/>
  <c r="R76" i="8"/>
  <c r="Q76" i="8"/>
  <c r="P76" i="8"/>
  <c r="O76" i="8"/>
  <c r="N76" i="8"/>
  <c r="M76" i="8"/>
  <c r="L76" i="8"/>
  <c r="K76" i="8"/>
  <c r="J76" i="8"/>
  <c r="I76" i="8"/>
  <c r="I82" i="8" s="1"/>
  <c r="H76" i="8"/>
  <c r="G76" i="8"/>
  <c r="F76" i="8"/>
  <c r="F82" i="8" s="1"/>
  <c r="E76" i="8"/>
  <c r="D76" i="8"/>
  <c r="C76" i="8"/>
  <c r="B76" i="8"/>
  <c r="AI74" i="8"/>
  <c r="AH74" i="8"/>
  <c r="AI72" i="8"/>
  <c r="AH72" i="8"/>
  <c r="AG72" i="8"/>
  <c r="AI71" i="8"/>
  <c r="AH71" i="8"/>
  <c r="AI70" i="8"/>
  <c r="AH70" i="8"/>
  <c r="AI69" i="8"/>
  <c r="AH69" i="8"/>
  <c r="AG68" i="8"/>
  <c r="AF68" i="8"/>
  <c r="AE68" i="8"/>
  <c r="AD5" i="8" s="1"/>
  <c r="AD68" i="8"/>
  <c r="AC5" i="8" s="1"/>
  <c r="AC68" i="8"/>
  <c r="AB68" i="8"/>
  <c r="AA5" i="8" s="1"/>
  <c r="AA68" i="8"/>
  <c r="Z68" i="8"/>
  <c r="Y5" i="8" s="1"/>
  <c r="Y68" i="8"/>
  <c r="X68" i="8"/>
  <c r="W5" i="8" s="1"/>
  <c r="W68" i="8"/>
  <c r="V5" i="8" s="1"/>
  <c r="V68" i="8"/>
  <c r="U5" i="8" s="1"/>
  <c r="U68" i="8"/>
  <c r="T68" i="8"/>
  <c r="S5" i="8" s="1"/>
  <c r="S68" i="8"/>
  <c r="R5" i="8" s="1"/>
  <c r="R68" i="8"/>
  <c r="Q5" i="8" s="1"/>
  <c r="Q68" i="8"/>
  <c r="P5" i="8" s="1"/>
  <c r="P68" i="8"/>
  <c r="O5" i="8" s="1"/>
  <c r="O68" i="8"/>
  <c r="N5" i="8" s="1"/>
  <c r="N68" i="8"/>
  <c r="M5" i="8" s="1"/>
  <c r="M68" i="8"/>
  <c r="L5" i="8" s="1"/>
  <c r="L68" i="8"/>
  <c r="K5" i="8" s="1"/>
  <c r="K68" i="8"/>
  <c r="J5" i="8" s="1"/>
  <c r="J68" i="8"/>
  <c r="I5" i="8" s="1"/>
  <c r="I68" i="8"/>
  <c r="H68" i="8"/>
  <c r="G68" i="8"/>
  <c r="F5" i="8" s="1"/>
  <c r="F68" i="8"/>
  <c r="E5" i="8" s="1"/>
  <c r="E68" i="8"/>
  <c r="D68" i="8"/>
  <c r="C5" i="8" s="1"/>
  <c r="C68" i="8"/>
  <c r="B5" i="8" s="1"/>
  <c r="B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I54" i="8"/>
  <c r="AH54" i="8"/>
  <c r="AI53" i="8"/>
  <c r="AH53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I51" i="8"/>
  <c r="AH51" i="8"/>
  <c r="AG51" i="8"/>
  <c r="AG52" i="8" s="1"/>
  <c r="AG3" i="8" s="1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G4" i="8"/>
  <c r="K4" i="8"/>
  <c r="B4" i="8"/>
  <c r="AG2" i="8"/>
  <c r="AE37" i="7"/>
  <c r="AD37" i="7"/>
  <c r="E4" i="8"/>
  <c r="Z103" i="13" l="1"/>
  <c r="U199" i="13"/>
  <c r="S235" i="13"/>
  <c r="T93" i="13"/>
  <c r="T200" i="13"/>
  <c r="T192" i="13"/>
  <c r="U102" i="13"/>
  <c r="W194" i="13"/>
  <c r="T200" i="12"/>
  <c r="U194" i="12"/>
  <c r="T93" i="12"/>
  <c r="U192" i="12"/>
  <c r="V102" i="12"/>
  <c r="X103" i="12"/>
  <c r="W235" i="12"/>
  <c r="Y199" i="12"/>
  <c r="V103" i="11"/>
  <c r="V194" i="11"/>
  <c r="S192" i="11"/>
  <c r="T102" i="11"/>
  <c r="R235" i="11"/>
  <c r="T199" i="11"/>
  <c r="S93" i="11"/>
  <c r="S200" i="11"/>
  <c r="S194" i="10"/>
  <c r="R200" i="10"/>
  <c r="T103" i="10"/>
  <c r="S93" i="10"/>
  <c r="R235" i="10"/>
  <c r="T199" i="10"/>
  <c r="R192" i="10"/>
  <c r="S102" i="10"/>
  <c r="H235" i="9"/>
  <c r="J199" i="9"/>
  <c r="I93" i="9"/>
  <c r="J103" i="9"/>
  <c r="J200" i="9"/>
  <c r="K194" i="9"/>
  <c r="H192" i="9"/>
  <c r="I102" i="9"/>
  <c r="AF82" i="8"/>
  <c r="AF83" i="8"/>
  <c r="AE5" i="8"/>
  <c r="AF73" i="8"/>
  <c r="AF75" i="8" s="1"/>
  <c r="AE73" i="8"/>
  <c r="AE75" i="8" s="1"/>
  <c r="AD73" i="8"/>
  <c r="AD75" i="8" s="1"/>
  <c r="AC82" i="8"/>
  <c r="AC73" i="8"/>
  <c r="AC75" i="8" s="1"/>
  <c r="AC7" i="8" s="1"/>
  <c r="AB73" i="8"/>
  <c r="AB75" i="8" s="1"/>
  <c r="AT214" i="8" s="1"/>
  <c r="AA82" i="8"/>
  <c r="AA83" i="8" s="1"/>
  <c r="Z5" i="8"/>
  <c r="AA73" i="8"/>
  <c r="AA75" i="8" s="1"/>
  <c r="Z73" i="8"/>
  <c r="Z75" i="8" s="1"/>
  <c r="Z82" i="8"/>
  <c r="X82" i="8"/>
  <c r="X83" i="8" s="1"/>
  <c r="X73" i="8"/>
  <c r="X75" i="8" s="1"/>
  <c r="AP214" i="8" s="1"/>
  <c r="W73" i="8"/>
  <c r="W75" i="8" s="1"/>
  <c r="AO214" i="8" s="1"/>
  <c r="V73" i="8"/>
  <c r="V75" i="8" s="1"/>
  <c r="V82" i="8"/>
  <c r="U73" i="8"/>
  <c r="U75" i="8" s="1"/>
  <c r="T73" i="8"/>
  <c r="T75" i="8" s="1"/>
  <c r="AL214" i="8" s="1"/>
  <c r="S83" i="8"/>
  <c r="S73" i="8"/>
  <c r="S75" i="8" s="1"/>
  <c r="AK214" i="8" s="1"/>
  <c r="R73" i="8"/>
  <c r="R75" i="8" s="1"/>
  <c r="AJ214" i="8" s="1"/>
  <c r="P82" i="8"/>
  <c r="Q82" i="8"/>
  <c r="P83" i="8"/>
  <c r="P73" i="8"/>
  <c r="P75" i="8" s="1"/>
  <c r="O82" i="8"/>
  <c r="O73" i="8"/>
  <c r="O75" i="8" s="1"/>
  <c r="N82" i="8"/>
  <c r="AI80" i="8"/>
  <c r="N73" i="8"/>
  <c r="N75" i="8" s="1"/>
  <c r="M82" i="8"/>
  <c r="M83" i="8" s="1"/>
  <c r="M73" i="8"/>
  <c r="M75" i="8" s="1"/>
  <c r="AE214" i="8" s="1"/>
  <c r="L73" i="8"/>
  <c r="L75" i="8" s="1"/>
  <c r="K82" i="8"/>
  <c r="K83" i="8"/>
  <c r="K73" i="8"/>
  <c r="K75" i="8" s="1"/>
  <c r="K7" i="8" s="1"/>
  <c r="AD214" i="8"/>
  <c r="L7" i="8"/>
  <c r="L82" i="8"/>
  <c r="AH78" i="8"/>
  <c r="J73" i="8"/>
  <c r="J75" i="8" s="1"/>
  <c r="AB214" i="8" s="1"/>
  <c r="H82" i="8"/>
  <c r="H83" i="8"/>
  <c r="AI77" i="8"/>
  <c r="G5" i="8"/>
  <c r="H73" i="8"/>
  <c r="H75" i="8" s="1"/>
  <c r="G73" i="8"/>
  <c r="G75" i="8" s="1"/>
  <c r="Y214" i="8" s="1"/>
  <c r="F73" i="8"/>
  <c r="F75" i="8" s="1"/>
  <c r="X214" i="8" s="1"/>
  <c r="E73" i="8"/>
  <c r="E75" i="8" s="1"/>
  <c r="E7" i="8" s="1"/>
  <c r="D82" i="8"/>
  <c r="AI38" i="8"/>
  <c r="D73" i="8"/>
  <c r="D75" i="8" s="1"/>
  <c r="V214" i="8" s="1"/>
  <c r="C82" i="8"/>
  <c r="AH79" i="8"/>
  <c r="C73" i="8"/>
  <c r="C75" i="8" s="1"/>
  <c r="U214" i="8" s="1"/>
  <c r="AH56" i="8"/>
  <c r="H4" i="8"/>
  <c r="AW214" i="8"/>
  <c r="AE7" i="8"/>
  <c r="AV214" i="8"/>
  <c r="AD7" i="8"/>
  <c r="AS214" i="8"/>
  <c r="AA7" i="8"/>
  <c r="AN214" i="8"/>
  <c r="V7" i="8"/>
  <c r="AR214" i="8"/>
  <c r="Z7" i="8"/>
  <c r="AG214" i="8"/>
  <c r="O7" i="8"/>
  <c r="AF214" i="8"/>
  <c r="N7" i="8"/>
  <c r="AH214" i="8"/>
  <c r="P7" i="8"/>
  <c r="AX214" i="8"/>
  <c r="AF7" i="8"/>
  <c r="J82" i="8"/>
  <c r="J83" i="8" s="1"/>
  <c r="R82" i="8"/>
  <c r="R83" i="8" s="1"/>
  <c r="AF5" i="8"/>
  <c r="AI68" i="8"/>
  <c r="Z83" i="8"/>
  <c r="AH68" i="8"/>
  <c r="AH76" i="8"/>
  <c r="AU214" i="8"/>
  <c r="C83" i="8"/>
  <c r="D7" i="8"/>
  <c r="T7" i="8"/>
  <c r="AI52" i="8"/>
  <c r="AH52" i="8"/>
  <c r="B73" i="8"/>
  <c r="E82" i="8"/>
  <c r="E83" i="8" s="1"/>
  <c r="U82" i="8"/>
  <c r="U83" i="8" s="1"/>
  <c r="AG75" i="8"/>
  <c r="Q83" i="8"/>
  <c r="AI56" i="8"/>
  <c r="D5" i="8"/>
  <c r="AH38" i="8"/>
  <c r="H5" i="8"/>
  <c r="I83" i="8"/>
  <c r="AG73" i="8"/>
  <c r="AG83" i="8" s="1"/>
  <c r="AM214" i="8"/>
  <c r="U7" i="8"/>
  <c r="AC83" i="8"/>
  <c r="AB5" i="8"/>
  <c r="S211" i="8"/>
  <c r="D211" i="8"/>
  <c r="G82" i="8"/>
  <c r="G83" i="8" s="1"/>
  <c r="W82" i="8"/>
  <c r="W83" i="8" s="1"/>
  <c r="AE82" i="8"/>
  <c r="AE83" i="8" s="1"/>
  <c r="D93" i="8"/>
  <c r="E103" i="8"/>
  <c r="X5" i="8"/>
  <c r="Y83" i="8"/>
  <c r="AI76" i="8"/>
  <c r="S7" i="8"/>
  <c r="AG6" i="8"/>
  <c r="T5" i="8"/>
  <c r="I73" i="8"/>
  <c r="I75" i="8" s="1"/>
  <c r="Q73" i="8"/>
  <c r="Q75" i="8" s="1"/>
  <c r="Y73" i="8"/>
  <c r="Y75" i="8" s="1"/>
  <c r="O83" i="8"/>
  <c r="AI78" i="8"/>
  <c r="AD82" i="8"/>
  <c r="AD83" i="8" s="1"/>
  <c r="B82" i="8"/>
  <c r="AH77" i="8"/>
  <c r="D83" i="8"/>
  <c r="L83" i="8"/>
  <c r="T83" i="8"/>
  <c r="AB83" i="8"/>
  <c r="F83" i="8"/>
  <c r="N83" i="8"/>
  <c r="V83" i="8"/>
  <c r="AI79" i="8"/>
  <c r="AH80" i="8"/>
  <c r="D192" i="8"/>
  <c r="E192" i="8"/>
  <c r="F102" i="8"/>
  <c r="E200" i="8"/>
  <c r="F194" i="8"/>
  <c r="G199" i="8"/>
  <c r="X7" i="8" l="1"/>
  <c r="R7" i="8"/>
  <c r="U192" i="13"/>
  <c r="V102" i="13"/>
  <c r="T235" i="13"/>
  <c r="V199" i="13"/>
  <c r="U200" i="13"/>
  <c r="U93" i="13"/>
  <c r="X194" i="13"/>
  <c r="AA103" i="13"/>
  <c r="Y103" i="12"/>
  <c r="V192" i="12"/>
  <c r="W102" i="12"/>
  <c r="U200" i="12"/>
  <c r="V194" i="12"/>
  <c r="U93" i="12"/>
  <c r="X235" i="12"/>
  <c r="Z199" i="12"/>
  <c r="S235" i="11"/>
  <c r="U199" i="11"/>
  <c r="T200" i="11"/>
  <c r="T93" i="11"/>
  <c r="T192" i="11"/>
  <c r="U102" i="11"/>
  <c r="W194" i="11"/>
  <c r="W103" i="11"/>
  <c r="S192" i="10"/>
  <c r="T102" i="10"/>
  <c r="U103" i="10"/>
  <c r="U199" i="10"/>
  <c r="S235" i="10"/>
  <c r="S200" i="10"/>
  <c r="T194" i="10"/>
  <c r="I235" i="9"/>
  <c r="K199" i="9"/>
  <c r="I192" i="9"/>
  <c r="J102" i="9"/>
  <c r="K200" i="9"/>
  <c r="L194" i="9"/>
  <c r="K103" i="9"/>
  <c r="J93" i="9"/>
  <c r="AB7" i="8"/>
  <c r="W7" i="8"/>
  <c r="M7" i="8"/>
  <c r="AC214" i="8"/>
  <c r="C209" i="8"/>
  <c r="J7" i="8"/>
  <c r="B209" i="8"/>
  <c r="K6" i="8" s="1"/>
  <c r="W214" i="8"/>
  <c r="G7" i="8"/>
  <c r="C7" i="8"/>
  <c r="F7" i="8"/>
  <c r="H7" i="8"/>
  <c r="Z214" i="8"/>
  <c r="AI214" i="8"/>
  <c r="Q7" i="8"/>
  <c r="F235" i="8"/>
  <c r="H199" i="8"/>
  <c r="G194" i="8"/>
  <c r="F200" i="8"/>
  <c r="AA214" i="8"/>
  <c r="I7" i="8"/>
  <c r="AH82" i="8"/>
  <c r="B83" i="8"/>
  <c r="AI82" i="8"/>
  <c r="AQ214" i="8"/>
  <c r="Y7" i="8"/>
  <c r="F192" i="8"/>
  <c r="G102" i="8"/>
  <c r="F103" i="8"/>
  <c r="E93" i="8"/>
  <c r="AI73" i="8"/>
  <c r="B75" i="8"/>
  <c r="AH73" i="8"/>
  <c r="Y194" i="13" l="1"/>
  <c r="U235" i="13"/>
  <c r="W199" i="13"/>
  <c r="V200" i="13"/>
  <c r="V93" i="13"/>
  <c r="AB103" i="13"/>
  <c r="V192" i="13"/>
  <c r="W102" i="13"/>
  <c r="W192" i="12"/>
  <c r="X102" i="12"/>
  <c r="V200" i="12"/>
  <c r="W194" i="12"/>
  <c r="V93" i="12"/>
  <c r="Z103" i="12"/>
  <c r="AA199" i="12"/>
  <c r="Y235" i="12"/>
  <c r="T235" i="11"/>
  <c r="V199" i="11"/>
  <c r="U93" i="11"/>
  <c r="U200" i="11"/>
  <c r="X194" i="11"/>
  <c r="U192" i="11"/>
  <c r="V102" i="11"/>
  <c r="X103" i="11"/>
  <c r="U194" i="10"/>
  <c r="T200" i="10"/>
  <c r="T93" i="10"/>
  <c r="T235" i="10"/>
  <c r="V199" i="10"/>
  <c r="T192" i="10"/>
  <c r="U102" i="10"/>
  <c r="U93" i="10"/>
  <c r="V103" i="10"/>
  <c r="L199" i="9"/>
  <c r="J235" i="9"/>
  <c r="L103" i="9"/>
  <c r="K93" i="9"/>
  <c r="L200" i="9"/>
  <c r="M194" i="9"/>
  <c r="J192" i="9"/>
  <c r="K102" i="9"/>
  <c r="T214" i="8"/>
  <c r="B7" i="8"/>
  <c r="A7" i="8" s="1"/>
  <c r="AH75" i="8"/>
  <c r="AI75" i="8"/>
  <c r="AI83" i="8"/>
  <c r="AH83" i="8"/>
  <c r="G235" i="8"/>
  <c r="I199" i="8"/>
  <c r="G103" i="8"/>
  <c r="F93" i="8"/>
  <c r="H194" i="8"/>
  <c r="G200" i="8"/>
  <c r="G192" i="8"/>
  <c r="H102" i="8"/>
  <c r="X199" i="13" l="1"/>
  <c r="V235" i="13"/>
  <c r="W93" i="13"/>
  <c r="W200" i="13"/>
  <c r="W192" i="13"/>
  <c r="X102" i="13"/>
  <c r="AC103" i="13"/>
  <c r="Z194" i="13"/>
  <c r="Z235" i="12"/>
  <c r="AB199" i="12"/>
  <c r="AA103" i="12"/>
  <c r="W200" i="12"/>
  <c r="X194" i="12"/>
  <c r="W93" i="12"/>
  <c r="X192" i="12"/>
  <c r="Y102" i="12"/>
  <c r="V192" i="11"/>
  <c r="W102" i="11"/>
  <c r="Y103" i="11"/>
  <c r="W199" i="11"/>
  <c r="U235" i="11"/>
  <c r="V200" i="11"/>
  <c r="V93" i="11"/>
  <c r="Y194" i="11"/>
  <c r="U192" i="10"/>
  <c r="V102" i="10"/>
  <c r="U235" i="10"/>
  <c r="W199" i="10"/>
  <c r="V93" i="10"/>
  <c r="W103" i="10"/>
  <c r="U200" i="10"/>
  <c r="V194" i="10"/>
  <c r="M199" i="9"/>
  <c r="K235" i="9"/>
  <c r="K192" i="9"/>
  <c r="L102" i="9"/>
  <c r="M200" i="9"/>
  <c r="N194" i="9"/>
  <c r="L93" i="9"/>
  <c r="M103" i="9"/>
  <c r="H103" i="8"/>
  <c r="G93" i="8"/>
  <c r="H192" i="8"/>
  <c r="I102" i="8"/>
  <c r="H200" i="8"/>
  <c r="I194" i="8"/>
  <c r="J199" i="8"/>
  <c r="H235" i="8"/>
  <c r="X192" i="13" l="1"/>
  <c r="Y102" i="13"/>
  <c r="AA194" i="13"/>
  <c r="AD103" i="13"/>
  <c r="W235" i="13"/>
  <c r="Y199" i="13"/>
  <c r="X200" i="13"/>
  <c r="X93" i="13"/>
  <c r="X200" i="12"/>
  <c r="Y194" i="12"/>
  <c r="X93" i="12"/>
  <c r="AA235" i="12"/>
  <c r="AC199" i="12"/>
  <c r="AB103" i="12"/>
  <c r="Y192" i="12"/>
  <c r="Z102" i="12"/>
  <c r="V235" i="11"/>
  <c r="X199" i="11"/>
  <c r="W93" i="11"/>
  <c r="W200" i="11"/>
  <c r="Z103" i="11"/>
  <c r="Z194" i="11"/>
  <c r="W192" i="11"/>
  <c r="X102" i="11"/>
  <c r="X199" i="10"/>
  <c r="V235" i="10"/>
  <c r="X103" i="10"/>
  <c r="V192" i="10"/>
  <c r="W102" i="10"/>
  <c r="V200" i="10"/>
  <c r="W194" i="10"/>
  <c r="L235" i="9"/>
  <c r="N199" i="9"/>
  <c r="N103" i="9"/>
  <c r="M93" i="9"/>
  <c r="O194" i="9"/>
  <c r="N200" i="9"/>
  <c r="L192" i="9"/>
  <c r="M102" i="9"/>
  <c r="I235" i="8"/>
  <c r="K199" i="8"/>
  <c r="J102" i="8"/>
  <c r="I200" i="8"/>
  <c r="J194" i="8"/>
  <c r="I103" i="8"/>
  <c r="H93" i="8"/>
  <c r="AC37" i="7"/>
  <c r="AA95" i="7"/>
  <c r="AA37" i="7"/>
  <c r="Z95" i="7"/>
  <c r="Z37" i="7"/>
  <c r="Y95" i="7"/>
  <c r="Y37" i="7"/>
  <c r="X95" i="7"/>
  <c r="X37" i="7"/>
  <c r="W95" i="7"/>
  <c r="W37" i="7"/>
  <c r="V95" i="7"/>
  <c r="V37" i="7"/>
  <c r="U95" i="7"/>
  <c r="U37" i="7"/>
  <c r="T95" i="7"/>
  <c r="T37" i="7"/>
  <c r="S37" i="7"/>
  <c r="R37" i="7"/>
  <c r="Q37" i="7"/>
  <c r="P37" i="7"/>
  <c r="O37" i="7"/>
  <c r="N95" i="7"/>
  <c r="N37" i="7"/>
  <c r="M95" i="7"/>
  <c r="M37" i="7"/>
  <c r="L95" i="7"/>
  <c r="L37" i="7"/>
  <c r="E37" i="7"/>
  <c r="D95" i="7"/>
  <c r="D37" i="7"/>
  <c r="C95" i="7"/>
  <c r="C37" i="7"/>
  <c r="B95" i="7"/>
  <c r="AF11" i="5"/>
  <c r="B80" i="7"/>
  <c r="B78" i="7"/>
  <c r="B77" i="7"/>
  <c r="B76" i="7"/>
  <c r="B68" i="7"/>
  <c r="B56" i="7"/>
  <c r="B52" i="7"/>
  <c r="B38" i="7"/>
  <c r="B37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A239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B235" i="7"/>
  <c r="S210" i="7"/>
  <c r="AG200" i="7"/>
  <c r="C200" i="7"/>
  <c r="D199" i="7"/>
  <c r="D198" i="7"/>
  <c r="E198" i="7" s="1"/>
  <c r="F198" i="7" s="1"/>
  <c r="G198" i="7" s="1"/>
  <c r="H198" i="7" s="1"/>
  <c r="I198" i="7" s="1"/>
  <c r="J198" i="7" s="1"/>
  <c r="K198" i="7" s="1"/>
  <c r="L198" i="7" s="1"/>
  <c r="M198" i="7" s="1"/>
  <c r="N198" i="7" s="1"/>
  <c r="O198" i="7" s="1"/>
  <c r="P198" i="7" s="1"/>
  <c r="Q198" i="7" s="1"/>
  <c r="R198" i="7" s="1"/>
  <c r="S198" i="7" s="1"/>
  <c r="T198" i="7" s="1"/>
  <c r="U198" i="7" s="1"/>
  <c r="V198" i="7" s="1"/>
  <c r="W198" i="7" s="1"/>
  <c r="X198" i="7" s="1"/>
  <c r="Y198" i="7" s="1"/>
  <c r="Z198" i="7" s="1"/>
  <c r="AA198" i="7" s="1"/>
  <c r="AB198" i="7" s="1"/>
  <c r="AC198" i="7" s="1"/>
  <c r="AD198" i="7" s="1"/>
  <c r="AE198" i="7" s="1"/>
  <c r="AF198" i="7" s="1"/>
  <c r="B198" i="7" s="1"/>
  <c r="D197" i="7"/>
  <c r="E197" i="7" s="1"/>
  <c r="F197" i="7" s="1"/>
  <c r="G197" i="7" s="1"/>
  <c r="H197" i="7" s="1"/>
  <c r="I197" i="7" s="1"/>
  <c r="J197" i="7" s="1"/>
  <c r="K197" i="7" s="1"/>
  <c r="L197" i="7" s="1"/>
  <c r="M197" i="7" s="1"/>
  <c r="N197" i="7" s="1"/>
  <c r="O197" i="7" s="1"/>
  <c r="P197" i="7" s="1"/>
  <c r="Q197" i="7" s="1"/>
  <c r="R197" i="7" s="1"/>
  <c r="S197" i="7" s="1"/>
  <c r="T197" i="7" s="1"/>
  <c r="U197" i="7" s="1"/>
  <c r="V197" i="7" s="1"/>
  <c r="W197" i="7" s="1"/>
  <c r="X197" i="7" s="1"/>
  <c r="Y197" i="7" s="1"/>
  <c r="Z197" i="7" s="1"/>
  <c r="AA197" i="7" s="1"/>
  <c r="AB197" i="7" s="1"/>
  <c r="AC197" i="7" s="1"/>
  <c r="AD197" i="7" s="1"/>
  <c r="AE197" i="7" s="1"/>
  <c r="AF197" i="7" s="1"/>
  <c r="B197" i="7" s="1"/>
  <c r="H196" i="7"/>
  <c r="I196" i="7" s="1"/>
  <c r="J196" i="7" s="1"/>
  <c r="K196" i="7" s="1"/>
  <c r="L196" i="7" s="1"/>
  <c r="M196" i="7" s="1"/>
  <c r="N196" i="7" s="1"/>
  <c r="O196" i="7" s="1"/>
  <c r="P196" i="7" s="1"/>
  <c r="Q196" i="7" s="1"/>
  <c r="R196" i="7" s="1"/>
  <c r="S196" i="7" s="1"/>
  <c r="T196" i="7" s="1"/>
  <c r="U196" i="7" s="1"/>
  <c r="V196" i="7" s="1"/>
  <c r="W196" i="7" s="1"/>
  <c r="X196" i="7" s="1"/>
  <c r="Y196" i="7" s="1"/>
  <c r="Z196" i="7" s="1"/>
  <c r="AA196" i="7" s="1"/>
  <c r="AB196" i="7" s="1"/>
  <c r="AC196" i="7" s="1"/>
  <c r="AD196" i="7" s="1"/>
  <c r="AE196" i="7" s="1"/>
  <c r="AF196" i="7" s="1"/>
  <c r="B196" i="7" s="1"/>
  <c r="E196" i="7"/>
  <c r="F196" i="7" s="1"/>
  <c r="G196" i="7" s="1"/>
  <c r="D196" i="7"/>
  <c r="D195" i="7"/>
  <c r="E195" i="7" s="1"/>
  <c r="F195" i="7" s="1"/>
  <c r="G195" i="7" s="1"/>
  <c r="H195" i="7" s="1"/>
  <c r="I195" i="7" s="1"/>
  <c r="J195" i="7" s="1"/>
  <c r="K195" i="7" s="1"/>
  <c r="L195" i="7" s="1"/>
  <c r="M195" i="7" s="1"/>
  <c r="N195" i="7" s="1"/>
  <c r="O195" i="7" s="1"/>
  <c r="P195" i="7" s="1"/>
  <c r="Q195" i="7" s="1"/>
  <c r="R195" i="7" s="1"/>
  <c r="S195" i="7" s="1"/>
  <c r="T195" i="7" s="1"/>
  <c r="U195" i="7" s="1"/>
  <c r="V195" i="7" s="1"/>
  <c r="W195" i="7" s="1"/>
  <c r="X195" i="7" s="1"/>
  <c r="Y195" i="7" s="1"/>
  <c r="Z195" i="7" s="1"/>
  <c r="AA195" i="7" s="1"/>
  <c r="AB195" i="7" s="1"/>
  <c r="AC195" i="7" s="1"/>
  <c r="AD195" i="7" s="1"/>
  <c r="AE195" i="7" s="1"/>
  <c r="AF195" i="7" s="1"/>
  <c r="B195" i="7" s="1"/>
  <c r="F194" i="7"/>
  <c r="D194" i="7"/>
  <c r="E194" i="7" s="1"/>
  <c r="AG192" i="7"/>
  <c r="C192" i="7"/>
  <c r="D191" i="7"/>
  <c r="E191" i="7" s="1"/>
  <c r="F191" i="7" s="1"/>
  <c r="G191" i="7" s="1"/>
  <c r="H191" i="7" s="1"/>
  <c r="I191" i="7" s="1"/>
  <c r="J191" i="7" s="1"/>
  <c r="K191" i="7" s="1"/>
  <c r="L191" i="7" s="1"/>
  <c r="M191" i="7" s="1"/>
  <c r="N191" i="7" s="1"/>
  <c r="O191" i="7" s="1"/>
  <c r="P191" i="7" s="1"/>
  <c r="Q191" i="7" s="1"/>
  <c r="R191" i="7" s="1"/>
  <c r="S191" i="7" s="1"/>
  <c r="T191" i="7" s="1"/>
  <c r="U191" i="7" s="1"/>
  <c r="V191" i="7" s="1"/>
  <c r="W191" i="7" s="1"/>
  <c r="X191" i="7" s="1"/>
  <c r="Y191" i="7" s="1"/>
  <c r="Z191" i="7" s="1"/>
  <c r="AA191" i="7" s="1"/>
  <c r="AB191" i="7" s="1"/>
  <c r="AC191" i="7" s="1"/>
  <c r="AD191" i="7" s="1"/>
  <c r="AE191" i="7" s="1"/>
  <c r="AF191" i="7" s="1"/>
  <c r="B191" i="7" s="1"/>
  <c r="E190" i="7"/>
  <c r="F190" i="7" s="1"/>
  <c r="G190" i="7" s="1"/>
  <c r="H190" i="7" s="1"/>
  <c r="I190" i="7" s="1"/>
  <c r="J190" i="7" s="1"/>
  <c r="K190" i="7" s="1"/>
  <c r="L190" i="7" s="1"/>
  <c r="M190" i="7" s="1"/>
  <c r="N190" i="7" s="1"/>
  <c r="O190" i="7" s="1"/>
  <c r="P190" i="7" s="1"/>
  <c r="Q190" i="7" s="1"/>
  <c r="R190" i="7" s="1"/>
  <c r="S190" i="7" s="1"/>
  <c r="T190" i="7" s="1"/>
  <c r="U190" i="7" s="1"/>
  <c r="V190" i="7" s="1"/>
  <c r="W190" i="7" s="1"/>
  <c r="X190" i="7" s="1"/>
  <c r="Y190" i="7" s="1"/>
  <c r="Z190" i="7" s="1"/>
  <c r="AA190" i="7" s="1"/>
  <c r="AB190" i="7" s="1"/>
  <c r="AC190" i="7" s="1"/>
  <c r="AD190" i="7" s="1"/>
  <c r="AE190" i="7" s="1"/>
  <c r="AF190" i="7" s="1"/>
  <c r="B190" i="7" s="1"/>
  <c r="D190" i="7"/>
  <c r="D189" i="7"/>
  <c r="E189" i="7" s="1"/>
  <c r="F189" i="7" s="1"/>
  <c r="G189" i="7" s="1"/>
  <c r="H189" i="7" s="1"/>
  <c r="I189" i="7" s="1"/>
  <c r="J189" i="7" s="1"/>
  <c r="K189" i="7" s="1"/>
  <c r="L189" i="7" s="1"/>
  <c r="M189" i="7" s="1"/>
  <c r="N189" i="7" s="1"/>
  <c r="O189" i="7" s="1"/>
  <c r="P189" i="7" s="1"/>
  <c r="Q189" i="7" s="1"/>
  <c r="R189" i="7" s="1"/>
  <c r="S189" i="7" s="1"/>
  <c r="T189" i="7" s="1"/>
  <c r="U189" i="7" s="1"/>
  <c r="V189" i="7" s="1"/>
  <c r="W189" i="7" s="1"/>
  <c r="X189" i="7" s="1"/>
  <c r="Y189" i="7" s="1"/>
  <c r="Z189" i="7" s="1"/>
  <c r="AA189" i="7" s="1"/>
  <c r="AB189" i="7" s="1"/>
  <c r="AC189" i="7" s="1"/>
  <c r="AD189" i="7" s="1"/>
  <c r="AE189" i="7" s="1"/>
  <c r="AF189" i="7" s="1"/>
  <c r="B189" i="7" s="1"/>
  <c r="D188" i="7"/>
  <c r="E188" i="7" s="1"/>
  <c r="F188" i="7" s="1"/>
  <c r="G188" i="7" s="1"/>
  <c r="H188" i="7" s="1"/>
  <c r="I188" i="7" s="1"/>
  <c r="J188" i="7" s="1"/>
  <c r="K188" i="7" s="1"/>
  <c r="L188" i="7" s="1"/>
  <c r="M188" i="7" s="1"/>
  <c r="N188" i="7" s="1"/>
  <c r="O188" i="7" s="1"/>
  <c r="P188" i="7" s="1"/>
  <c r="Q188" i="7" s="1"/>
  <c r="R188" i="7" s="1"/>
  <c r="S188" i="7" s="1"/>
  <c r="T188" i="7" s="1"/>
  <c r="U188" i="7" s="1"/>
  <c r="V188" i="7" s="1"/>
  <c r="W188" i="7" s="1"/>
  <c r="X188" i="7" s="1"/>
  <c r="Y188" i="7" s="1"/>
  <c r="Z188" i="7" s="1"/>
  <c r="AA188" i="7" s="1"/>
  <c r="AB188" i="7" s="1"/>
  <c r="AC188" i="7" s="1"/>
  <c r="AD188" i="7" s="1"/>
  <c r="AE188" i="7" s="1"/>
  <c r="AF188" i="7" s="1"/>
  <c r="B188" i="7" s="1"/>
  <c r="AE187" i="7"/>
  <c r="AF187" i="7" s="1"/>
  <c r="B187" i="7" s="1"/>
  <c r="O187" i="7"/>
  <c r="P187" i="7" s="1"/>
  <c r="Q187" i="7" s="1"/>
  <c r="R187" i="7" s="1"/>
  <c r="S187" i="7" s="1"/>
  <c r="T187" i="7" s="1"/>
  <c r="U187" i="7" s="1"/>
  <c r="V187" i="7" s="1"/>
  <c r="W187" i="7" s="1"/>
  <c r="X187" i="7" s="1"/>
  <c r="Y187" i="7" s="1"/>
  <c r="Z187" i="7" s="1"/>
  <c r="AA187" i="7" s="1"/>
  <c r="AB187" i="7" s="1"/>
  <c r="AC187" i="7" s="1"/>
  <c r="AD187" i="7" s="1"/>
  <c r="H187" i="7"/>
  <c r="I187" i="7" s="1"/>
  <c r="J187" i="7" s="1"/>
  <c r="K187" i="7" s="1"/>
  <c r="L187" i="7" s="1"/>
  <c r="M187" i="7" s="1"/>
  <c r="N187" i="7" s="1"/>
  <c r="G187" i="7"/>
  <c r="D187" i="7"/>
  <c r="E187" i="7" s="1"/>
  <c r="F187" i="7" s="1"/>
  <c r="F186" i="7"/>
  <c r="G186" i="7" s="1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B186" i="7" s="1"/>
  <c r="E186" i="7"/>
  <c r="D186" i="7"/>
  <c r="F185" i="7"/>
  <c r="G185" i="7" s="1"/>
  <c r="H185" i="7" s="1"/>
  <c r="I185" i="7" s="1"/>
  <c r="J185" i="7" s="1"/>
  <c r="K185" i="7" s="1"/>
  <c r="L185" i="7" s="1"/>
  <c r="M185" i="7" s="1"/>
  <c r="N185" i="7" s="1"/>
  <c r="O185" i="7" s="1"/>
  <c r="P185" i="7" s="1"/>
  <c r="Q185" i="7" s="1"/>
  <c r="R185" i="7" s="1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AF185" i="7" s="1"/>
  <c r="B185" i="7" s="1"/>
  <c r="D185" i="7"/>
  <c r="E185" i="7" s="1"/>
  <c r="H184" i="7"/>
  <c r="I184" i="7" s="1"/>
  <c r="J184" i="7" s="1"/>
  <c r="K184" i="7" s="1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B184" i="7" s="1"/>
  <c r="F184" i="7"/>
  <c r="G184" i="7" s="1"/>
  <c r="D184" i="7"/>
  <c r="E184" i="7" s="1"/>
  <c r="D183" i="7"/>
  <c r="E183" i="7" s="1"/>
  <c r="F183" i="7" s="1"/>
  <c r="G183" i="7" s="1"/>
  <c r="H183" i="7" s="1"/>
  <c r="I183" i="7" s="1"/>
  <c r="J183" i="7" s="1"/>
  <c r="K183" i="7" s="1"/>
  <c r="L183" i="7" s="1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B183" i="7" s="1"/>
  <c r="D182" i="7"/>
  <c r="E182" i="7" s="1"/>
  <c r="F182" i="7" s="1"/>
  <c r="G182" i="7" s="1"/>
  <c r="H182" i="7" s="1"/>
  <c r="I182" i="7" s="1"/>
  <c r="J182" i="7" s="1"/>
  <c r="K182" i="7" s="1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Y182" i="7" s="1"/>
  <c r="Z182" i="7" s="1"/>
  <c r="AA182" i="7" s="1"/>
  <c r="AB182" i="7" s="1"/>
  <c r="AC182" i="7" s="1"/>
  <c r="AD182" i="7" s="1"/>
  <c r="AE182" i="7" s="1"/>
  <c r="AF182" i="7" s="1"/>
  <c r="B182" i="7" s="1"/>
  <c r="D181" i="7"/>
  <c r="E181" i="7" s="1"/>
  <c r="F181" i="7" s="1"/>
  <c r="G181" i="7" s="1"/>
  <c r="H181" i="7" s="1"/>
  <c r="I181" i="7" s="1"/>
  <c r="J181" i="7" s="1"/>
  <c r="K181" i="7" s="1"/>
  <c r="L181" i="7" s="1"/>
  <c r="M181" i="7" s="1"/>
  <c r="N181" i="7" s="1"/>
  <c r="O181" i="7" s="1"/>
  <c r="P181" i="7" s="1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AB181" i="7" s="1"/>
  <c r="AC181" i="7" s="1"/>
  <c r="AD181" i="7" s="1"/>
  <c r="AE181" i="7" s="1"/>
  <c r="AF181" i="7" s="1"/>
  <c r="B181" i="7" s="1"/>
  <c r="E180" i="7"/>
  <c r="F180" i="7" s="1"/>
  <c r="G180" i="7" s="1"/>
  <c r="H180" i="7" s="1"/>
  <c r="I180" i="7" s="1"/>
  <c r="J180" i="7" s="1"/>
  <c r="K180" i="7" s="1"/>
  <c r="L180" i="7" s="1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Z180" i="7" s="1"/>
  <c r="AA180" i="7" s="1"/>
  <c r="AB180" i="7" s="1"/>
  <c r="AC180" i="7" s="1"/>
  <c r="AD180" i="7" s="1"/>
  <c r="AE180" i="7" s="1"/>
  <c r="AF180" i="7" s="1"/>
  <c r="B180" i="7" s="1"/>
  <c r="D180" i="7"/>
  <c r="D179" i="7"/>
  <c r="E179" i="7" s="1"/>
  <c r="F179" i="7" s="1"/>
  <c r="G179" i="7" s="1"/>
  <c r="H179" i="7" s="1"/>
  <c r="I179" i="7" s="1"/>
  <c r="J179" i="7" s="1"/>
  <c r="K179" i="7" s="1"/>
  <c r="L179" i="7" s="1"/>
  <c r="M179" i="7" s="1"/>
  <c r="N179" i="7" s="1"/>
  <c r="O179" i="7" s="1"/>
  <c r="P179" i="7" s="1"/>
  <c r="Q179" i="7" s="1"/>
  <c r="R179" i="7" s="1"/>
  <c r="S179" i="7" s="1"/>
  <c r="T179" i="7" s="1"/>
  <c r="U179" i="7" s="1"/>
  <c r="V179" i="7" s="1"/>
  <c r="W179" i="7" s="1"/>
  <c r="X179" i="7" s="1"/>
  <c r="Y179" i="7" s="1"/>
  <c r="Z179" i="7" s="1"/>
  <c r="AA179" i="7" s="1"/>
  <c r="AB179" i="7" s="1"/>
  <c r="AC179" i="7" s="1"/>
  <c r="AD179" i="7" s="1"/>
  <c r="AE179" i="7" s="1"/>
  <c r="AF179" i="7" s="1"/>
  <c r="B179" i="7" s="1"/>
  <c r="F177" i="7"/>
  <c r="G177" i="7" s="1"/>
  <c r="H177" i="7" s="1"/>
  <c r="I177" i="7" s="1"/>
  <c r="J177" i="7" s="1"/>
  <c r="K177" i="7" s="1"/>
  <c r="L177" i="7" s="1"/>
  <c r="M177" i="7" s="1"/>
  <c r="N177" i="7" s="1"/>
  <c r="O177" i="7" s="1"/>
  <c r="P177" i="7" s="1"/>
  <c r="Q177" i="7" s="1"/>
  <c r="R177" i="7" s="1"/>
  <c r="S177" i="7" s="1"/>
  <c r="T177" i="7" s="1"/>
  <c r="U177" i="7" s="1"/>
  <c r="V177" i="7" s="1"/>
  <c r="W177" i="7" s="1"/>
  <c r="X177" i="7" s="1"/>
  <c r="Y177" i="7" s="1"/>
  <c r="Z177" i="7" s="1"/>
  <c r="AA177" i="7" s="1"/>
  <c r="AB177" i="7" s="1"/>
  <c r="AC177" i="7" s="1"/>
  <c r="AD177" i="7" s="1"/>
  <c r="AE177" i="7" s="1"/>
  <c r="AF177" i="7" s="1"/>
  <c r="B177" i="7" s="1"/>
  <c r="D177" i="7"/>
  <c r="E177" i="7" s="1"/>
  <c r="H176" i="7"/>
  <c r="I176" i="7" s="1"/>
  <c r="J176" i="7" s="1"/>
  <c r="K176" i="7" s="1"/>
  <c r="L176" i="7" s="1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Z176" i="7" s="1"/>
  <c r="AA176" i="7" s="1"/>
  <c r="AB176" i="7" s="1"/>
  <c r="AC176" i="7" s="1"/>
  <c r="AD176" i="7" s="1"/>
  <c r="AE176" i="7" s="1"/>
  <c r="AF176" i="7" s="1"/>
  <c r="B176" i="7" s="1"/>
  <c r="D176" i="7"/>
  <c r="E176" i="7" s="1"/>
  <c r="F176" i="7" s="1"/>
  <c r="G176" i="7" s="1"/>
  <c r="D175" i="7"/>
  <c r="E175" i="7" s="1"/>
  <c r="F175" i="7" s="1"/>
  <c r="G175" i="7" s="1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X175" i="7" s="1"/>
  <c r="Y175" i="7" s="1"/>
  <c r="Z175" i="7" s="1"/>
  <c r="AA175" i="7" s="1"/>
  <c r="AB175" i="7" s="1"/>
  <c r="AC175" i="7" s="1"/>
  <c r="AD175" i="7" s="1"/>
  <c r="AE175" i="7" s="1"/>
  <c r="AF175" i="7" s="1"/>
  <c r="B175" i="7" s="1"/>
  <c r="D174" i="7"/>
  <c r="E174" i="7" s="1"/>
  <c r="F174" i="7" s="1"/>
  <c r="G174" i="7" s="1"/>
  <c r="H174" i="7" s="1"/>
  <c r="I174" i="7" s="1"/>
  <c r="J174" i="7" s="1"/>
  <c r="K174" i="7" s="1"/>
  <c r="L174" i="7" s="1"/>
  <c r="M174" i="7" s="1"/>
  <c r="N174" i="7" s="1"/>
  <c r="O174" i="7" s="1"/>
  <c r="P174" i="7" s="1"/>
  <c r="Q174" i="7" s="1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B174" i="7" s="1"/>
  <c r="R173" i="7"/>
  <c r="S173" i="7" s="1"/>
  <c r="T173" i="7" s="1"/>
  <c r="U173" i="7" s="1"/>
  <c r="V173" i="7" s="1"/>
  <c r="W173" i="7" s="1"/>
  <c r="X173" i="7" s="1"/>
  <c r="Y173" i="7" s="1"/>
  <c r="Z173" i="7" s="1"/>
  <c r="AA173" i="7" s="1"/>
  <c r="AB173" i="7" s="1"/>
  <c r="AC173" i="7" s="1"/>
  <c r="AD173" i="7" s="1"/>
  <c r="AE173" i="7" s="1"/>
  <c r="AF173" i="7" s="1"/>
  <c r="B173" i="7" s="1"/>
  <c r="F173" i="7"/>
  <c r="G173" i="7" s="1"/>
  <c r="H173" i="7" s="1"/>
  <c r="I173" i="7" s="1"/>
  <c r="J173" i="7" s="1"/>
  <c r="K173" i="7" s="1"/>
  <c r="L173" i="7" s="1"/>
  <c r="M173" i="7" s="1"/>
  <c r="N173" i="7" s="1"/>
  <c r="O173" i="7" s="1"/>
  <c r="P173" i="7" s="1"/>
  <c r="Q173" i="7" s="1"/>
  <c r="E173" i="7"/>
  <c r="D173" i="7"/>
  <c r="T172" i="7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B172" i="7" s="1"/>
  <c r="E172" i="7"/>
  <c r="F172" i="7" s="1"/>
  <c r="G172" i="7" s="1"/>
  <c r="H172" i="7" s="1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D172" i="7"/>
  <c r="D171" i="7"/>
  <c r="E171" i="7" s="1"/>
  <c r="F171" i="7" s="1"/>
  <c r="G171" i="7" s="1"/>
  <c r="H171" i="7" s="1"/>
  <c r="I171" i="7" s="1"/>
  <c r="J171" i="7" s="1"/>
  <c r="K171" i="7" s="1"/>
  <c r="L171" i="7" s="1"/>
  <c r="M171" i="7" s="1"/>
  <c r="N171" i="7" s="1"/>
  <c r="O171" i="7" s="1"/>
  <c r="P171" i="7" s="1"/>
  <c r="Q171" i="7" s="1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AF171" i="7" s="1"/>
  <c r="B171" i="7" s="1"/>
  <c r="Q170" i="7"/>
  <c r="R170" i="7" s="1"/>
  <c r="S170" i="7" s="1"/>
  <c r="T170" i="7" s="1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B170" i="7" s="1"/>
  <c r="D170" i="7"/>
  <c r="E170" i="7" s="1"/>
  <c r="F170" i="7" s="1"/>
  <c r="G170" i="7" s="1"/>
  <c r="H170" i="7" s="1"/>
  <c r="I170" i="7" s="1"/>
  <c r="J170" i="7" s="1"/>
  <c r="K170" i="7" s="1"/>
  <c r="L170" i="7" s="1"/>
  <c r="M170" i="7" s="1"/>
  <c r="N170" i="7" s="1"/>
  <c r="O170" i="7" s="1"/>
  <c r="P170" i="7" s="1"/>
  <c r="G168" i="7"/>
  <c r="H168" i="7" s="1"/>
  <c r="I168" i="7" s="1"/>
  <c r="J168" i="7" s="1"/>
  <c r="K168" i="7" s="1"/>
  <c r="L168" i="7" s="1"/>
  <c r="M168" i="7" s="1"/>
  <c r="N168" i="7" s="1"/>
  <c r="O168" i="7" s="1"/>
  <c r="P168" i="7" s="1"/>
  <c r="Q168" i="7" s="1"/>
  <c r="R168" i="7" s="1"/>
  <c r="S168" i="7" s="1"/>
  <c r="T168" i="7" s="1"/>
  <c r="U168" i="7" s="1"/>
  <c r="V168" i="7" s="1"/>
  <c r="W168" i="7" s="1"/>
  <c r="X168" i="7" s="1"/>
  <c r="Y168" i="7" s="1"/>
  <c r="Z168" i="7" s="1"/>
  <c r="AA168" i="7" s="1"/>
  <c r="AB168" i="7" s="1"/>
  <c r="AC168" i="7" s="1"/>
  <c r="AD168" i="7" s="1"/>
  <c r="AE168" i="7" s="1"/>
  <c r="AF168" i="7" s="1"/>
  <c r="F168" i="7"/>
  <c r="E168" i="7"/>
  <c r="D168" i="7"/>
  <c r="B168" i="7"/>
  <c r="G167" i="7"/>
  <c r="H167" i="7" s="1"/>
  <c r="I167" i="7" s="1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B167" i="7" s="1"/>
  <c r="D167" i="7"/>
  <c r="E167" i="7" s="1"/>
  <c r="F167" i="7" s="1"/>
  <c r="E166" i="7"/>
  <c r="F166" i="7" s="1"/>
  <c r="G166" i="7" s="1"/>
  <c r="H166" i="7" s="1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B166" i="7" s="1"/>
  <c r="D166" i="7"/>
  <c r="S165" i="7"/>
  <c r="T165" i="7" s="1"/>
  <c r="U165" i="7" s="1"/>
  <c r="V165" i="7" s="1"/>
  <c r="W165" i="7" s="1"/>
  <c r="X165" i="7" s="1"/>
  <c r="Y165" i="7" s="1"/>
  <c r="Z165" i="7" s="1"/>
  <c r="AA165" i="7" s="1"/>
  <c r="AB165" i="7" s="1"/>
  <c r="AC165" i="7" s="1"/>
  <c r="AD165" i="7" s="1"/>
  <c r="AE165" i="7" s="1"/>
  <c r="AF165" i="7" s="1"/>
  <c r="B165" i="7" s="1"/>
  <c r="J165" i="7"/>
  <c r="K165" i="7" s="1"/>
  <c r="L165" i="7" s="1"/>
  <c r="M165" i="7" s="1"/>
  <c r="N165" i="7" s="1"/>
  <c r="O165" i="7" s="1"/>
  <c r="P165" i="7" s="1"/>
  <c r="Q165" i="7" s="1"/>
  <c r="R165" i="7" s="1"/>
  <c r="F165" i="7"/>
  <c r="G165" i="7" s="1"/>
  <c r="H165" i="7" s="1"/>
  <c r="I165" i="7" s="1"/>
  <c r="E165" i="7"/>
  <c r="D165" i="7"/>
  <c r="H164" i="7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B164" i="7" s="1"/>
  <c r="D164" i="7"/>
  <c r="E164" i="7" s="1"/>
  <c r="F164" i="7" s="1"/>
  <c r="G164" i="7" s="1"/>
  <c r="J163" i="7"/>
  <c r="K163" i="7" s="1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AD163" i="7" s="1"/>
  <c r="AE163" i="7" s="1"/>
  <c r="AF163" i="7" s="1"/>
  <c r="B163" i="7" s="1"/>
  <c r="G163" i="7"/>
  <c r="H163" i="7" s="1"/>
  <c r="I163" i="7" s="1"/>
  <c r="F163" i="7"/>
  <c r="E163" i="7"/>
  <c r="D163" i="7"/>
  <c r="T162" i="7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B162" i="7" s="1"/>
  <c r="Q162" i="7"/>
  <c r="R162" i="7" s="1"/>
  <c r="S162" i="7" s="1"/>
  <c r="D162" i="7"/>
  <c r="E162" i="7" s="1"/>
  <c r="F162" i="7" s="1"/>
  <c r="G162" i="7" s="1"/>
  <c r="H162" i="7" s="1"/>
  <c r="I162" i="7" s="1"/>
  <c r="J162" i="7" s="1"/>
  <c r="K162" i="7" s="1"/>
  <c r="L162" i="7" s="1"/>
  <c r="M162" i="7" s="1"/>
  <c r="N162" i="7" s="1"/>
  <c r="O162" i="7" s="1"/>
  <c r="P162" i="7" s="1"/>
  <c r="O161" i="7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AD161" i="7" s="1"/>
  <c r="AE161" i="7" s="1"/>
  <c r="AF161" i="7" s="1"/>
  <c r="B161" i="7" s="1"/>
  <c r="G161" i="7"/>
  <c r="H161" i="7" s="1"/>
  <c r="I161" i="7" s="1"/>
  <c r="J161" i="7" s="1"/>
  <c r="K161" i="7" s="1"/>
  <c r="L161" i="7" s="1"/>
  <c r="M161" i="7" s="1"/>
  <c r="N161" i="7" s="1"/>
  <c r="F161" i="7"/>
  <c r="E161" i="7"/>
  <c r="D161" i="7"/>
  <c r="D160" i="7"/>
  <c r="E160" i="7" s="1"/>
  <c r="F160" i="7" s="1"/>
  <c r="G160" i="7" s="1"/>
  <c r="H160" i="7" s="1"/>
  <c r="I160" i="7" s="1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B160" i="7" s="1"/>
  <c r="O159" i="7"/>
  <c r="P159" i="7" s="1"/>
  <c r="Q159" i="7" s="1"/>
  <c r="R159" i="7" s="1"/>
  <c r="S159" i="7" s="1"/>
  <c r="T159" i="7" s="1"/>
  <c r="U159" i="7" s="1"/>
  <c r="V159" i="7" s="1"/>
  <c r="W159" i="7" s="1"/>
  <c r="X159" i="7" s="1"/>
  <c r="Y159" i="7" s="1"/>
  <c r="Z159" i="7" s="1"/>
  <c r="AA159" i="7" s="1"/>
  <c r="AB159" i="7" s="1"/>
  <c r="AC159" i="7" s="1"/>
  <c r="AD159" i="7" s="1"/>
  <c r="AE159" i="7" s="1"/>
  <c r="AF159" i="7" s="1"/>
  <c r="B159" i="7" s="1"/>
  <c r="I159" i="7"/>
  <c r="J159" i="7" s="1"/>
  <c r="K159" i="7" s="1"/>
  <c r="L159" i="7" s="1"/>
  <c r="M159" i="7" s="1"/>
  <c r="N159" i="7" s="1"/>
  <c r="G159" i="7"/>
  <c r="H159" i="7" s="1"/>
  <c r="F159" i="7"/>
  <c r="E159" i="7"/>
  <c r="D159" i="7"/>
  <c r="D158" i="7"/>
  <c r="E158" i="7" s="1"/>
  <c r="F158" i="7" s="1"/>
  <c r="G158" i="7" s="1"/>
  <c r="H158" i="7" s="1"/>
  <c r="I158" i="7" s="1"/>
  <c r="J158" i="7" s="1"/>
  <c r="K158" i="7" s="1"/>
  <c r="L158" i="7" s="1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B158" i="7" s="1"/>
  <c r="O157" i="7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B157" i="7" s="1"/>
  <c r="E157" i="7"/>
  <c r="F157" i="7" s="1"/>
  <c r="G157" i="7" s="1"/>
  <c r="H157" i="7" s="1"/>
  <c r="I157" i="7" s="1"/>
  <c r="J157" i="7" s="1"/>
  <c r="K157" i="7" s="1"/>
  <c r="L157" i="7" s="1"/>
  <c r="M157" i="7" s="1"/>
  <c r="N157" i="7" s="1"/>
  <c r="D157" i="7"/>
  <c r="D156" i="7"/>
  <c r="E156" i="7" s="1"/>
  <c r="F156" i="7" s="1"/>
  <c r="G156" i="7" s="1"/>
  <c r="H156" i="7" s="1"/>
  <c r="I156" i="7" s="1"/>
  <c r="J156" i="7" s="1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B156" i="7" s="1"/>
  <c r="F154" i="7"/>
  <c r="G154" i="7" s="1"/>
  <c r="H154" i="7" s="1"/>
  <c r="I154" i="7" s="1"/>
  <c r="J154" i="7" s="1"/>
  <c r="K154" i="7" s="1"/>
  <c r="L154" i="7" s="1"/>
  <c r="M154" i="7" s="1"/>
  <c r="N154" i="7" s="1"/>
  <c r="O154" i="7" s="1"/>
  <c r="P154" i="7" s="1"/>
  <c r="Q154" i="7" s="1"/>
  <c r="R154" i="7" s="1"/>
  <c r="S154" i="7" s="1"/>
  <c r="T154" i="7" s="1"/>
  <c r="U154" i="7" s="1"/>
  <c r="V154" i="7" s="1"/>
  <c r="W154" i="7" s="1"/>
  <c r="X154" i="7" s="1"/>
  <c r="Y154" i="7" s="1"/>
  <c r="Z154" i="7" s="1"/>
  <c r="AA154" i="7" s="1"/>
  <c r="AB154" i="7" s="1"/>
  <c r="AC154" i="7" s="1"/>
  <c r="AD154" i="7" s="1"/>
  <c r="AE154" i="7" s="1"/>
  <c r="AF154" i="7" s="1"/>
  <c r="B154" i="7" s="1"/>
  <c r="E154" i="7"/>
  <c r="D154" i="7"/>
  <c r="E153" i="7"/>
  <c r="F153" i="7" s="1"/>
  <c r="G153" i="7" s="1"/>
  <c r="H153" i="7" s="1"/>
  <c r="I153" i="7" s="1"/>
  <c r="J153" i="7" s="1"/>
  <c r="K153" i="7" s="1"/>
  <c r="L153" i="7" s="1"/>
  <c r="M153" i="7" s="1"/>
  <c r="N153" i="7" s="1"/>
  <c r="O153" i="7" s="1"/>
  <c r="P153" i="7" s="1"/>
  <c r="Q153" i="7" s="1"/>
  <c r="R153" i="7" s="1"/>
  <c r="S153" i="7" s="1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B153" i="7" s="1"/>
  <c r="D153" i="7"/>
  <c r="I152" i="7"/>
  <c r="J152" i="7" s="1"/>
  <c r="K152" i="7" s="1"/>
  <c r="L152" i="7" s="1"/>
  <c r="M152" i="7" s="1"/>
  <c r="N152" i="7" s="1"/>
  <c r="O152" i="7" s="1"/>
  <c r="P152" i="7" s="1"/>
  <c r="Q152" i="7" s="1"/>
  <c r="R152" i="7" s="1"/>
  <c r="S152" i="7" s="1"/>
  <c r="T152" i="7" s="1"/>
  <c r="U152" i="7" s="1"/>
  <c r="V152" i="7" s="1"/>
  <c r="W152" i="7" s="1"/>
  <c r="X152" i="7" s="1"/>
  <c r="Y152" i="7" s="1"/>
  <c r="Z152" i="7" s="1"/>
  <c r="AA152" i="7" s="1"/>
  <c r="AB152" i="7" s="1"/>
  <c r="AC152" i="7" s="1"/>
  <c r="AD152" i="7" s="1"/>
  <c r="AE152" i="7" s="1"/>
  <c r="AF152" i="7" s="1"/>
  <c r="B152" i="7" s="1"/>
  <c r="F152" i="7"/>
  <c r="G152" i="7" s="1"/>
  <c r="H152" i="7" s="1"/>
  <c r="E152" i="7"/>
  <c r="D152" i="7"/>
  <c r="D151" i="7"/>
  <c r="E151" i="7" s="1"/>
  <c r="F151" i="7" s="1"/>
  <c r="G151" i="7" s="1"/>
  <c r="H151" i="7" s="1"/>
  <c r="I151" i="7" s="1"/>
  <c r="J151" i="7" s="1"/>
  <c r="K151" i="7" s="1"/>
  <c r="L151" i="7" s="1"/>
  <c r="M151" i="7" s="1"/>
  <c r="N151" i="7" s="1"/>
  <c r="O151" i="7" s="1"/>
  <c r="P151" i="7" s="1"/>
  <c r="Q151" i="7" s="1"/>
  <c r="R151" i="7" s="1"/>
  <c r="S151" i="7" s="1"/>
  <c r="T151" i="7" s="1"/>
  <c r="U151" i="7" s="1"/>
  <c r="V151" i="7" s="1"/>
  <c r="W151" i="7" s="1"/>
  <c r="X151" i="7" s="1"/>
  <c r="Y151" i="7" s="1"/>
  <c r="Z151" i="7" s="1"/>
  <c r="AA151" i="7" s="1"/>
  <c r="AB151" i="7" s="1"/>
  <c r="AC151" i="7" s="1"/>
  <c r="AD151" i="7" s="1"/>
  <c r="AE151" i="7" s="1"/>
  <c r="AF151" i="7" s="1"/>
  <c r="B151" i="7" s="1"/>
  <c r="V149" i="7"/>
  <c r="W149" i="7" s="1"/>
  <c r="X149" i="7" s="1"/>
  <c r="Y149" i="7" s="1"/>
  <c r="Z149" i="7" s="1"/>
  <c r="AA149" i="7" s="1"/>
  <c r="AB149" i="7" s="1"/>
  <c r="AC149" i="7" s="1"/>
  <c r="AD149" i="7" s="1"/>
  <c r="AE149" i="7" s="1"/>
  <c r="AF149" i="7" s="1"/>
  <c r="B149" i="7" s="1"/>
  <c r="G149" i="7"/>
  <c r="H149" i="7" s="1"/>
  <c r="I149" i="7" s="1"/>
  <c r="J149" i="7" s="1"/>
  <c r="K149" i="7" s="1"/>
  <c r="L149" i="7" s="1"/>
  <c r="M149" i="7" s="1"/>
  <c r="N149" i="7" s="1"/>
  <c r="O149" i="7" s="1"/>
  <c r="P149" i="7" s="1"/>
  <c r="Q149" i="7" s="1"/>
  <c r="R149" i="7" s="1"/>
  <c r="S149" i="7" s="1"/>
  <c r="T149" i="7" s="1"/>
  <c r="U149" i="7" s="1"/>
  <c r="F149" i="7"/>
  <c r="E149" i="7"/>
  <c r="D149" i="7"/>
  <c r="K148" i="7"/>
  <c r="L148" i="7" s="1"/>
  <c r="M148" i="7" s="1"/>
  <c r="N148" i="7" s="1"/>
  <c r="O148" i="7" s="1"/>
  <c r="P148" i="7" s="1"/>
  <c r="Q148" i="7" s="1"/>
  <c r="R148" i="7" s="1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B148" i="7" s="1"/>
  <c r="D148" i="7"/>
  <c r="E148" i="7" s="1"/>
  <c r="F148" i="7" s="1"/>
  <c r="G148" i="7" s="1"/>
  <c r="H148" i="7" s="1"/>
  <c r="I148" i="7" s="1"/>
  <c r="J148" i="7" s="1"/>
  <c r="G146" i="7"/>
  <c r="H146" i="7" s="1"/>
  <c r="I146" i="7" s="1"/>
  <c r="J146" i="7" s="1"/>
  <c r="K146" i="7" s="1"/>
  <c r="L146" i="7" s="1"/>
  <c r="M146" i="7" s="1"/>
  <c r="N146" i="7" s="1"/>
  <c r="O146" i="7" s="1"/>
  <c r="P146" i="7" s="1"/>
  <c r="Q146" i="7" s="1"/>
  <c r="R146" i="7" s="1"/>
  <c r="S146" i="7" s="1"/>
  <c r="T146" i="7" s="1"/>
  <c r="U146" i="7" s="1"/>
  <c r="V146" i="7" s="1"/>
  <c r="W146" i="7" s="1"/>
  <c r="X146" i="7" s="1"/>
  <c r="Y146" i="7" s="1"/>
  <c r="Z146" i="7" s="1"/>
  <c r="AA146" i="7" s="1"/>
  <c r="AB146" i="7" s="1"/>
  <c r="AC146" i="7" s="1"/>
  <c r="AD146" i="7" s="1"/>
  <c r="AE146" i="7" s="1"/>
  <c r="AF146" i="7" s="1"/>
  <c r="B146" i="7" s="1"/>
  <c r="D146" i="7"/>
  <c r="E146" i="7" s="1"/>
  <c r="F146" i="7" s="1"/>
  <c r="D145" i="7"/>
  <c r="E145" i="7" s="1"/>
  <c r="F145" i="7" s="1"/>
  <c r="G145" i="7" s="1"/>
  <c r="H145" i="7" s="1"/>
  <c r="I145" i="7" s="1"/>
  <c r="J145" i="7" s="1"/>
  <c r="K145" i="7" s="1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AE145" i="7" s="1"/>
  <c r="AF145" i="7" s="1"/>
  <c r="B145" i="7" s="1"/>
  <c r="D144" i="7"/>
  <c r="E144" i="7" s="1"/>
  <c r="F144" i="7" s="1"/>
  <c r="G144" i="7" s="1"/>
  <c r="H144" i="7" s="1"/>
  <c r="I144" i="7" s="1"/>
  <c r="J144" i="7" s="1"/>
  <c r="K144" i="7" s="1"/>
  <c r="L144" i="7" s="1"/>
  <c r="M144" i="7" s="1"/>
  <c r="N144" i="7" s="1"/>
  <c r="O144" i="7" s="1"/>
  <c r="P144" i="7" s="1"/>
  <c r="Q144" i="7" s="1"/>
  <c r="R144" i="7" s="1"/>
  <c r="S144" i="7" s="1"/>
  <c r="T144" i="7" s="1"/>
  <c r="U144" i="7" s="1"/>
  <c r="V144" i="7" s="1"/>
  <c r="W144" i="7" s="1"/>
  <c r="X144" i="7" s="1"/>
  <c r="Y144" i="7" s="1"/>
  <c r="Z144" i="7" s="1"/>
  <c r="AA144" i="7" s="1"/>
  <c r="AB144" i="7" s="1"/>
  <c r="AC144" i="7" s="1"/>
  <c r="AD144" i="7" s="1"/>
  <c r="AE144" i="7" s="1"/>
  <c r="AF144" i="7" s="1"/>
  <c r="B144" i="7" s="1"/>
  <c r="E143" i="7"/>
  <c r="F143" i="7" s="1"/>
  <c r="G143" i="7" s="1"/>
  <c r="H143" i="7" s="1"/>
  <c r="I143" i="7" s="1"/>
  <c r="J143" i="7" s="1"/>
  <c r="K143" i="7" s="1"/>
  <c r="L143" i="7" s="1"/>
  <c r="M143" i="7" s="1"/>
  <c r="N143" i="7" s="1"/>
  <c r="O143" i="7" s="1"/>
  <c r="P143" i="7" s="1"/>
  <c r="Q143" i="7" s="1"/>
  <c r="R143" i="7" s="1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B143" i="7" s="1"/>
  <c r="D143" i="7"/>
  <c r="D142" i="7"/>
  <c r="E142" i="7" s="1"/>
  <c r="F142" i="7" s="1"/>
  <c r="G142" i="7" s="1"/>
  <c r="H142" i="7" s="1"/>
  <c r="I142" i="7" s="1"/>
  <c r="J142" i="7" s="1"/>
  <c r="K142" i="7" s="1"/>
  <c r="L142" i="7" s="1"/>
  <c r="M142" i="7" s="1"/>
  <c r="N142" i="7" s="1"/>
  <c r="O142" i="7" s="1"/>
  <c r="P142" i="7" s="1"/>
  <c r="Q142" i="7" s="1"/>
  <c r="R142" i="7" s="1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B142" i="7" s="1"/>
  <c r="I141" i="7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B141" i="7" s="1"/>
  <c r="E141" i="7"/>
  <c r="F141" i="7" s="1"/>
  <c r="G141" i="7" s="1"/>
  <c r="H141" i="7" s="1"/>
  <c r="D141" i="7"/>
  <c r="M140" i="7"/>
  <c r="N140" i="7" s="1"/>
  <c r="O140" i="7" s="1"/>
  <c r="P140" i="7" s="1"/>
  <c r="Q140" i="7" s="1"/>
  <c r="R140" i="7" s="1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B140" i="7" s="1"/>
  <c r="D140" i="7"/>
  <c r="E140" i="7" s="1"/>
  <c r="F140" i="7" s="1"/>
  <c r="G140" i="7" s="1"/>
  <c r="H140" i="7" s="1"/>
  <c r="I140" i="7" s="1"/>
  <c r="J140" i="7" s="1"/>
  <c r="K140" i="7" s="1"/>
  <c r="L140" i="7" s="1"/>
  <c r="K138" i="7"/>
  <c r="L138" i="7" s="1"/>
  <c r="M138" i="7" s="1"/>
  <c r="N138" i="7" s="1"/>
  <c r="O138" i="7" s="1"/>
  <c r="P138" i="7" s="1"/>
  <c r="Q138" i="7" s="1"/>
  <c r="R138" i="7" s="1"/>
  <c r="S138" i="7" s="1"/>
  <c r="T138" i="7" s="1"/>
  <c r="U138" i="7" s="1"/>
  <c r="V138" i="7" s="1"/>
  <c r="W138" i="7" s="1"/>
  <c r="X138" i="7" s="1"/>
  <c r="Y138" i="7" s="1"/>
  <c r="Z138" i="7" s="1"/>
  <c r="AA138" i="7" s="1"/>
  <c r="AB138" i="7" s="1"/>
  <c r="AC138" i="7" s="1"/>
  <c r="AD138" i="7" s="1"/>
  <c r="AE138" i="7" s="1"/>
  <c r="AF138" i="7" s="1"/>
  <c r="B138" i="7" s="1"/>
  <c r="F138" i="7"/>
  <c r="G138" i="7" s="1"/>
  <c r="H138" i="7" s="1"/>
  <c r="I138" i="7" s="1"/>
  <c r="J138" i="7" s="1"/>
  <c r="E138" i="7"/>
  <c r="D138" i="7"/>
  <c r="F137" i="7"/>
  <c r="G137" i="7" s="1"/>
  <c r="H137" i="7" s="1"/>
  <c r="I137" i="7" s="1"/>
  <c r="J137" i="7" s="1"/>
  <c r="K137" i="7" s="1"/>
  <c r="L137" i="7" s="1"/>
  <c r="M137" i="7" s="1"/>
  <c r="N137" i="7" s="1"/>
  <c r="O137" i="7" s="1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B137" i="7" s="1"/>
  <c r="D137" i="7"/>
  <c r="E137" i="7" s="1"/>
  <c r="D136" i="7"/>
  <c r="E136" i="7" s="1"/>
  <c r="F136" i="7" s="1"/>
  <c r="G136" i="7" s="1"/>
  <c r="H136" i="7" s="1"/>
  <c r="I136" i="7" s="1"/>
  <c r="J136" i="7" s="1"/>
  <c r="K136" i="7" s="1"/>
  <c r="L136" i="7" s="1"/>
  <c r="M136" i="7" s="1"/>
  <c r="N136" i="7" s="1"/>
  <c r="O136" i="7" s="1"/>
  <c r="P136" i="7" s="1"/>
  <c r="Q136" i="7" s="1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AB136" i="7" s="1"/>
  <c r="AC136" i="7" s="1"/>
  <c r="AD136" i="7" s="1"/>
  <c r="AE136" i="7" s="1"/>
  <c r="AF136" i="7" s="1"/>
  <c r="B136" i="7" s="1"/>
  <c r="G135" i="7"/>
  <c r="H135" i="7" s="1"/>
  <c r="I135" i="7" s="1"/>
  <c r="J135" i="7" s="1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AC135" i="7" s="1"/>
  <c r="AD135" i="7" s="1"/>
  <c r="AE135" i="7" s="1"/>
  <c r="AF135" i="7" s="1"/>
  <c r="B135" i="7" s="1"/>
  <c r="E135" i="7"/>
  <c r="F135" i="7" s="1"/>
  <c r="D135" i="7"/>
  <c r="H134" i="7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B134" i="7" s="1"/>
  <c r="D134" i="7"/>
  <c r="E134" i="7" s="1"/>
  <c r="F134" i="7" s="1"/>
  <c r="G134" i="7" s="1"/>
  <c r="D133" i="7"/>
  <c r="E133" i="7" s="1"/>
  <c r="F133" i="7" s="1"/>
  <c r="G133" i="7" s="1"/>
  <c r="H133" i="7" s="1"/>
  <c r="I133" i="7" s="1"/>
  <c r="J133" i="7" s="1"/>
  <c r="K133" i="7" s="1"/>
  <c r="L133" i="7" s="1"/>
  <c r="M133" i="7" s="1"/>
  <c r="N133" i="7" s="1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B133" i="7" s="1"/>
  <c r="D132" i="7"/>
  <c r="E132" i="7" s="1"/>
  <c r="F132" i="7" s="1"/>
  <c r="G132" i="7" s="1"/>
  <c r="H132" i="7" s="1"/>
  <c r="I132" i="7" s="1"/>
  <c r="J132" i="7" s="1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B132" i="7" s="1"/>
  <c r="K131" i="7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B131" i="7" s="1"/>
  <c r="J131" i="7"/>
  <c r="G131" i="7"/>
  <c r="H131" i="7" s="1"/>
  <c r="I131" i="7" s="1"/>
  <c r="F131" i="7"/>
  <c r="E131" i="7"/>
  <c r="D131" i="7"/>
  <c r="J129" i="7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AC129" i="7" s="1"/>
  <c r="AD129" i="7" s="1"/>
  <c r="AE129" i="7" s="1"/>
  <c r="AF129" i="7" s="1"/>
  <c r="B129" i="7" s="1"/>
  <c r="I129" i="7"/>
  <c r="D129" i="7"/>
  <c r="E129" i="7" s="1"/>
  <c r="F129" i="7" s="1"/>
  <c r="G129" i="7" s="1"/>
  <c r="H129" i="7" s="1"/>
  <c r="F128" i="7"/>
  <c r="G128" i="7" s="1"/>
  <c r="H128" i="7" s="1"/>
  <c r="I128" i="7" s="1"/>
  <c r="J128" i="7" s="1"/>
  <c r="K128" i="7" s="1"/>
  <c r="L128" i="7" s="1"/>
  <c r="M128" i="7" s="1"/>
  <c r="N128" i="7" s="1"/>
  <c r="O128" i="7" s="1"/>
  <c r="P128" i="7" s="1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B128" i="7" s="1"/>
  <c r="D128" i="7"/>
  <c r="E128" i="7" s="1"/>
  <c r="E127" i="7"/>
  <c r="F127" i="7" s="1"/>
  <c r="G127" i="7" s="1"/>
  <c r="H127" i="7" s="1"/>
  <c r="I127" i="7" s="1"/>
  <c r="J127" i="7" s="1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W127" i="7" s="1"/>
  <c r="X127" i="7" s="1"/>
  <c r="Y127" i="7" s="1"/>
  <c r="Z127" i="7" s="1"/>
  <c r="AA127" i="7" s="1"/>
  <c r="AB127" i="7" s="1"/>
  <c r="AC127" i="7" s="1"/>
  <c r="AD127" i="7" s="1"/>
  <c r="AE127" i="7" s="1"/>
  <c r="AF127" i="7" s="1"/>
  <c r="B127" i="7" s="1"/>
  <c r="D127" i="7"/>
  <c r="L126" i="7"/>
  <c r="M126" i="7" s="1"/>
  <c r="N126" i="7" s="1"/>
  <c r="O126" i="7" s="1"/>
  <c r="P126" i="7" s="1"/>
  <c r="Q126" i="7" s="1"/>
  <c r="R126" i="7" s="1"/>
  <c r="S126" i="7" s="1"/>
  <c r="T126" i="7" s="1"/>
  <c r="U126" i="7" s="1"/>
  <c r="V126" i="7" s="1"/>
  <c r="W126" i="7" s="1"/>
  <c r="X126" i="7" s="1"/>
  <c r="Y126" i="7" s="1"/>
  <c r="Z126" i="7" s="1"/>
  <c r="AA126" i="7" s="1"/>
  <c r="AB126" i="7" s="1"/>
  <c r="AC126" i="7" s="1"/>
  <c r="AD126" i="7" s="1"/>
  <c r="AE126" i="7" s="1"/>
  <c r="AF126" i="7" s="1"/>
  <c r="B126" i="7" s="1"/>
  <c r="D126" i="7"/>
  <c r="E126" i="7" s="1"/>
  <c r="F126" i="7" s="1"/>
  <c r="G126" i="7" s="1"/>
  <c r="H126" i="7" s="1"/>
  <c r="I126" i="7" s="1"/>
  <c r="J126" i="7" s="1"/>
  <c r="K126" i="7" s="1"/>
  <c r="K125" i="7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B125" i="7" s="1"/>
  <c r="J125" i="7"/>
  <c r="D125" i="7"/>
  <c r="E125" i="7" s="1"/>
  <c r="F125" i="7" s="1"/>
  <c r="G125" i="7" s="1"/>
  <c r="H125" i="7" s="1"/>
  <c r="U124" i="7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B124" i="7" s="1"/>
  <c r="F124" i="7"/>
  <c r="G124" i="7" s="1"/>
  <c r="H124" i="7" s="1"/>
  <c r="I124" i="7" s="1"/>
  <c r="J124" i="7" s="1"/>
  <c r="K124" i="7" s="1"/>
  <c r="L124" i="7" s="1"/>
  <c r="M124" i="7" s="1"/>
  <c r="N124" i="7" s="1"/>
  <c r="O124" i="7" s="1"/>
  <c r="P124" i="7" s="1"/>
  <c r="Q124" i="7" s="1"/>
  <c r="R124" i="7" s="1"/>
  <c r="S124" i="7" s="1"/>
  <c r="T124" i="7" s="1"/>
  <c r="E124" i="7"/>
  <c r="D124" i="7"/>
  <c r="S123" i="7"/>
  <c r="T123" i="7" s="1"/>
  <c r="U123" i="7" s="1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B123" i="7" s="1"/>
  <c r="P123" i="7"/>
  <c r="Q123" i="7" s="1"/>
  <c r="R123" i="7" s="1"/>
  <c r="G123" i="7"/>
  <c r="H123" i="7" s="1"/>
  <c r="I123" i="7" s="1"/>
  <c r="J123" i="7" s="1"/>
  <c r="K123" i="7" s="1"/>
  <c r="L123" i="7" s="1"/>
  <c r="M123" i="7" s="1"/>
  <c r="N123" i="7" s="1"/>
  <c r="O123" i="7" s="1"/>
  <c r="F123" i="7"/>
  <c r="E123" i="7"/>
  <c r="D123" i="7"/>
  <c r="M122" i="7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B122" i="7" s="1"/>
  <c r="D122" i="7"/>
  <c r="E122" i="7" s="1"/>
  <c r="F122" i="7" s="1"/>
  <c r="G122" i="7" s="1"/>
  <c r="H122" i="7" s="1"/>
  <c r="I122" i="7" s="1"/>
  <c r="J122" i="7" s="1"/>
  <c r="K122" i="7" s="1"/>
  <c r="L122" i="7" s="1"/>
  <c r="M121" i="7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Y121" i="7" s="1"/>
  <c r="Z121" i="7" s="1"/>
  <c r="AA121" i="7" s="1"/>
  <c r="AB121" i="7" s="1"/>
  <c r="AC121" i="7" s="1"/>
  <c r="AD121" i="7" s="1"/>
  <c r="AE121" i="7" s="1"/>
  <c r="AF121" i="7" s="1"/>
  <c r="B121" i="7" s="1"/>
  <c r="I121" i="7"/>
  <c r="J121" i="7" s="1"/>
  <c r="K121" i="7" s="1"/>
  <c r="L121" i="7" s="1"/>
  <c r="H121" i="7"/>
  <c r="F121" i="7"/>
  <c r="G121" i="7" s="1"/>
  <c r="E121" i="7"/>
  <c r="D121" i="7"/>
  <c r="L120" i="7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B120" i="7" s="1"/>
  <c r="K120" i="7"/>
  <c r="G120" i="7"/>
  <c r="H120" i="7" s="1"/>
  <c r="I120" i="7" s="1"/>
  <c r="J120" i="7" s="1"/>
  <c r="F120" i="7"/>
  <c r="D120" i="7"/>
  <c r="E120" i="7" s="1"/>
  <c r="I119" i="7"/>
  <c r="J119" i="7" s="1"/>
  <c r="K119" i="7" s="1"/>
  <c r="L119" i="7" s="1"/>
  <c r="M119" i="7" s="1"/>
  <c r="N119" i="7" s="1"/>
  <c r="O119" i="7" s="1"/>
  <c r="P119" i="7" s="1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B119" i="7" s="1"/>
  <c r="E119" i="7"/>
  <c r="F119" i="7" s="1"/>
  <c r="G119" i="7" s="1"/>
  <c r="H119" i="7" s="1"/>
  <c r="D119" i="7"/>
  <c r="W118" i="7"/>
  <c r="X118" i="7" s="1"/>
  <c r="Y118" i="7" s="1"/>
  <c r="Z118" i="7" s="1"/>
  <c r="AA118" i="7" s="1"/>
  <c r="AB118" i="7" s="1"/>
  <c r="AC118" i="7" s="1"/>
  <c r="AD118" i="7" s="1"/>
  <c r="AE118" i="7" s="1"/>
  <c r="AF118" i="7" s="1"/>
  <c r="B118" i="7" s="1"/>
  <c r="H118" i="7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G118" i="7"/>
  <c r="D118" i="7"/>
  <c r="E118" i="7" s="1"/>
  <c r="F118" i="7" s="1"/>
  <c r="F117" i="7"/>
  <c r="G117" i="7" s="1"/>
  <c r="H117" i="7" s="1"/>
  <c r="I117" i="7" s="1"/>
  <c r="J117" i="7" s="1"/>
  <c r="K117" i="7" s="1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B117" i="7" s="1"/>
  <c r="E117" i="7"/>
  <c r="D117" i="7"/>
  <c r="J116" i="7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B116" i="7" s="1"/>
  <c r="D116" i="7"/>
  <c r="E116" i="7" s="1"/>
  <c r="F116" i="7" s="1"/>
  <c r="G116" i="7" s="1"/>
  <c r="H116" i="7" s="1"/>
  <c r="I116" i="7" s="1"/>
  <c r="D115" i="7"/>
  <c r="E115" i="7" s="1"/>
  <c r="F115" i="7" s="1"/>
  <c r="G115" i="7" s="1"/>
  <c r="H115" i="7" s="1"/>
  <c r="I115" i="7" s="1"/>
  <c r="J115" i="7" s="1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B115" i="7" s="1"/>
  <c r="P114" i="7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B114" i="7" s="1"/>
  <c r="K114" i="7"/>
  <c r="L114" i="7" s="1"/>
  <c r="M114" i="7" s="1"/>
  <c r="N114" i="7" s="1"/>
  <c r="O114" i="7" s="1"/>
  <c r="E114" i="7"/>
  <c r="F114" i="7" s="1"/>
  <c r="G114" i="7" s="1"/>
  <c r="H114" i="7" s="1"/>
  <c r="I114" i="7" s="1"/>
  <c r="D114" i="7"/>
  <c r="D113" i="7"/>
  <c r="E113" i="7" s="1"/>
  <c r="F113" i="7" s="1"/>
  <c r="G113" i="7" s="1"/>
  <c r="H113" i="7" s="1"/>
  <c r="I113" i="7" s="1"/>
  <c r="J113" i="7" s="1"/>
  <c r="K113" i="7" s="1"/>
  <c r="L113" i="7" s="1"/>
  <c r="M113" i="7" s="1"/>
  <c r="N113" i="7" s="1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B113" i="7" s="1"/>
  <c r="G112" i="7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B112" i="7" s="1"/>
  <c r="F112" i="7"/>
  <c r="E112" i="7"/>
  <c r="D112" i="7"/>
  <c r="G110" i="7"/>
  <c r="H110" i="7" s="1"/>
  <c r="I110" i="7" s="1"/>
  <c r="J110" i="7" s="1"/>
  <c r="K110" i="7" s="1"/>
  <c r="L110" i="7" s="1"/>
  <c r="M110" i="7" s="1"/>
  <c r="N110" i="7" s="1"/>
  <c r="O110" i="7" s="1"/>
  <c r="P110" i="7" s="1"/>
  <c r="Q110" i="7" s="1"/>
  <c r="R110" i="7" s="1"/>
  <c r="S110" i="7" s="1"/>
  <c r="T110" i="7" s="1"/>
  <c r="U110" i="7" s="1"/>
  <c r="V110" i="7" s="1"/>
  <c r="W110" i="7" s="1"/>
  <c r="X110" i="7" s="1"/>
  <c r="Y110" i="7" s="1"/>
  <c r="Z110" i="7" s="1"/>
  <c r="AA110" i="7" s="1"/>
  <c r="AB110" i="7" s="1"/>
  <c r="AC110" i="7" s="1"/>
  <c r="AD110" i="7" s="1"/>
  <c r="AE110" i="7" s="1"/>
  <c r="AF110" i="7" s="1"/>
  <c r="B110" i="7" s="1"/>
  <c r="E110" i="7"/>
  <c r="F110" i="7" s="1"/>
  <c r="D110" i="7"/>
  <c r="J109" i="7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B109" i="7" s="1"/>
  <c r="E109" i="7"/>
  <c r="F109" i="7" s="1"/>
  <c r="G109" i="7" s="1"/>
  <c r="H109" i="7" s="1"/>
  <c r="I109" i="7" s="1"/>
  <c r="D109" i="7"/>
  <c r="D107" i="7"/>
  <c r="E107" i="7" s="1"/>
  <c r="F107" i="7" s="1"/>
  <c r="G107" i="7" s="1"/>
  <c r="H107" i="7" s="1"/>
  <c r="I107" i="7" s="1"/>
  <c r="J107" i="7" s="1"/>
  <c r="K107" i="7" s="1"/>
  <c r="L107" i="7" s="1"/>
  <c r="M107" i="7" s="1"/>
  <c r="N107" i="7" s="1"/>
  <c r="O107" i="7" s="1"/>
  <c r="P107" i="7" s="1"/>
  <c r="Q107" i="7" s="1"/>
  <c r="R107" i="7" s="1"/>
  <c r="S107" i="7" s="1"/>
  <c r="T107" i="7" s="1"/>
  <c r="U107" i="7" s="1"/>
  <c r="V107" i="7" s="1"/>
  <c r="W107" i="7" s="1"/>
  <c r="X107" i="7" s="1"/>
  <c r="Y107" i="7" s="1"/>
  <c r="Z107" i="7" s="1"/>
  <c r="AA107" i="7" s="1"/>
  <c r="AB107" i="7" s="1"/>
  <c r="AC107" i="7" s="1"/>
  <c r="AD107" i="7" s="1"/>
  <c r="AE107" i="7" s="1"/>
  <c r="AF107" i="7" s="1"/>
  <c r="B107" i="7" s="1"/>
  <c r="F106" i="7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B106" i="7" s="1"/>
  <c r="E106" i="7"/>
  <c r="D106" i="7"/>
  <c r="E105" i="7"/>
  <c r="F105" i="7" s="1"/>
  <c r="G105" i="7" s="1"/>
  <c r="H105" i="7" s="1"/>
  <c r="I105" i="7" s="1"/>
  <c r="J105" i="7" s="1"/>
  <c r="K105" i="7" s="1"/>
  <c r="L105" i="7" s="1"/>
  <c r="M105" i="7" s="1"/>
  <c r="N105" i="7" s="1"/>
  <c r="O105" i="7" s="1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B105" i="7" s="1"/>
  <c r="D105" i="7"/>
  <c r="E104" i="7"/>
  <c r="F104" i="7" s="1"/>
  <c r="G104" i="7" s="1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B104" i="7" s="1"/>
  <c r="D104" i="7"/>
  <c r="E103" i="7"/>
  <c r="F103" i="7" s="1"/>
  <c r="G103" i="7" s="1"/>
  <c r="D103" i="7"/>
  <c r="G102" i="7"/>
  <c r="F102" i="7"/>
  <c r="E102" i="7"/>
  <c r="D102" i="7"/>
  <c r="AH100" i="7"/>
  <c r="AI100" i="7" s="1"/>
  <c r="AH99" i="7"/>
  <c r="AI99" i="7" s="1"/>
  <c r="AH98" i="7"/>
  <c r="AI98" i="7" s="1"/>
  <c r="AH97" i="7"/>
  <c r="AI97" i="7" s="1"/>
  <c r="AH96" i="7"/>
  <c r="AI96" i="7" s="1"/>
  <c r="AH95" i="7"/>
  <c r="AI95" i="7" s="1"/>
  <c r="AH94" i="7"/>
  <c r="AI94" i="7" s="1"/>
  <c r="D93" i="7"/>
  <c r="C93" i="7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G82" i="7"/>
  <c r="AI81" i="7"/>
  <c r="AH81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F77" i="7"/>
  <c r="AE77" i="7"/>
  <c r="AD77" i="7"/>
  <c r="AC77" i="7"/>
  <c r="AB77" i="7"/>
  <c r="AA77" i="7"/>
  <c r="Z77" i="7"/>
  <c r="Y77" i="7"/>
  <c r="X77" i="7"/>
  <c r="W77" i="7"/>
  <c r="V77" i="7"/>
  <c r="V82" i="7" s="1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F76" i="7"/>
  <c r="AE76" i="7"/>
  <c r="AD76" i="7"/>
  <c r="AC76" i="7"/>
  <c r="AB76" i="7"/>
  <c r="AA76" i="7"/>
  <c r="AA82" i="7" s="1"/>
  <c r="Z76" i="7"/>
  <c r="Z82" i="7" s="1"/>
  <c r="Y76" i="7"/>
  <c r="X76" i="7"/>
  <c r="W76" i="7"/>
  <c r="V76" i="7"/>
  <c r="U76" i="7"/>
  <c r="T76" i="7"/>
  <c r="T82" i="7" s="1"/>
  <c r="S76" i="7"/>
  <c r="S82" i="7" s="1"/>
  <c r="R76" i="7"/>
  <c r="Q76" i="7"/>
  <c r="Q82" i="7" s="1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C82" i="7" s="1"/>
  <c r="AI74" i="7"/>
  <c r="AH74" i="7"/>
  <c r="AI72" i="7"/>
  <c r="AH72" i="7"/>
  <c r="AG72" i="7"/>
  <c r="AI71" i="7"/>
  <c r="AH71" i="7"/>
  <c r="AI70" i="7"/>
  <c r="AH70" i="7"/>
  <c r="AI69" i="7"/>
  <c r="AH69" i="7"/>
  <c r="AG68" i="7"/>
  <c r="AF68" i="7"/>
  <c r="AE5" i="7" s="1"/>
  <c r="AE68" i="7"/>
  <c r="AD5" i="7" s="1"/>
  <c r="AD68" i="7"/>
  <c r="AC5" i="7" s="1"/>
  <c r="AC68" i="7"/>
  <c r="AB5" i="7" s="1"/>
  <c r="AB68" i="7"/>
  <c r="AA5" i="7" s="1"/>
  <c r="AA68" i="7"/>
  <c r="AA83" i="7" s="1"/>
  <c r="Z68" i="7"/>
  <c r="Y5" i="7" s="1"/>
  <c r="Y68" i="7"/>
  <c r="X68" i="7"/>
  <c r="W5" i="7" s="1"/>
  <c r="W68" i="7"/>
  <c r="V68" i="7"/>
  <c r="V83" i="7" s="1"/>
  <c r="U68" i="7"/>
  <c r="T68" i="7"/>
  <c r="S68" i="7"/>
  <c r="S83" i="7" s="1"/>
  <c r="R68" i="7"/>
  <c r="Q5" i="7" s="1"/>
  <c r="Q68" i="7"/>
  <c r="P68" i="7"/>
  <c r="O5" i="7" s="1"/>
  <c r="O68" i="7"/>
  <c r="N5" i="7" s="1"/>
  <c r="N68" i="7"/>
  <c r="M5" i="7" s="1"/>
  <c r="M68" i="7"/>
  <c r="L5" i="7" s="1"/>
  <c r="L68" i="7"/>
  <c r="K5" i="7" s="1"/>
  <c r="K68" i="7"/>
  <c r="J68" i="7"/>
  <c r="I5" i="7" s="1"/>
  <c r="I68" i="7"/>
  <c r="H68" i="7"/>
  <c r="G5" i="7" s="1"/>
  <c r="G68" i="7"/>
  <c r="F68" i="7"/>
  <c r="E68" i="7"/>
  <c r="D5" i="7" s="1"/>
  <c r="D68" i="7"/>
  <c r="C5" i="7" s="1"/>
  <c r="C68" i="7"/>
  <c r="C83" i="7" s="1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I55" i="7"/>
  <c r="AH55" i="7"/>
  <c r="AI54" i="7"/>
  <c r="AH54" i="7"/>
  <c r="AI53" i="7"/>
  <c r="AH53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I51" i="7"/>
  <c r="AH51" i="7"/>
  <c r="AG51" i="7"/>
  <c r="AG52" i="7" s="1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G38" i="7"/>
  <c r="AF38" i="7"/>
  <c r="AE38" i="7"/>
  <c r="AE73" i="7" s="1"/>
  <c r="AE75" i="7" s="1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T5" i="7"/>
  <c r="S5" i="7"/>
  <c r="AG4" i="7"/>
  <c r="K4" i="7"/>
  <c r="B4" i="7"/>
  <c r="AG2" i="7"/>
  <c r="AF95" i="5"/>
  <c r="AF37" i="5"/>
  <c r="AE37" i="5"/>
  <c r="AD95" i="5"/>
  <c r="AD37" i="5"/>
  <c r="AC95" i="5"/>
  <c r="AC37" i="5"/>
  <c r="AB95" i="5"/>
  <c r="AB37" i="5"/>
  <c r="Z37" i="5"/>
  <c r="Y37" i="5"/>
  <c r="X37" i="5"/>
  <c r="W37" i="5"/>
  <c r="V95" i="5"/>
  <c r="V37" i="5"/>
  <c r="E4" i="7"/>
  <c r="AE103" i="13" l="1"/>
  <c r="AB194" i="13"/>
  <c r="Y192" i="13"/>
  <c r="Z102" i="13"/>
  <c r="X235" i="13"/>
  <c r="Z199" i="13"/>
  <c r="Y200" i="13"/>
  <c r="Y93" i="13"/>
  <c r="AC103" i="12"/>
  <c r="AB235" i="12"/>
  <c r="AD199" i="12"/>
  <c r="Z194" i="12"/>
  <c r="Y200" i="12"/>
  <c r="Y93" i="12"/>
  <c r="Z192" i="12"/>
  <c r="AA102" i="12"/>
  <c r="AA194" i="11"/>
  <c r="AA103" i="11"/>
  <c r="X192" i="11"/>
  <c r="Y102" i="11"/>
  <c r="Y199" i="11"/>
  <c r="W235" i="11"/>
  <c r="X200" i="11"/>
  <c r="X93" i="11"/>
  <c r="X194" i="10"/>
  <c r="W200" i="10"/>
  <c r="W192" i="10"/>
  <c r="X102" i="10"/>
  <c r="X93" i="10"/>
  <c r="Y103" i="10"/>
  <c r="W93" i="10"/>
  <c r="W235" i="10"/>
  <c r="Y199" i="10"/>
  <c r="M235" i="9"/>
  <c r="O199" i="9"/>
  <c r="M192" i="9"/>
  <c r="N102" i="9"/>
  <c r="O200" i="9"/>
  <c r="P194" i="9"/>
  <c r="O103" i="9"/>
  <c r="N93" i="9"/>
  <c r="J103" i="8"/>
  <c r="I93" i="8"/>
  <c r="J200" i="8"/>
  <c r="K194" i="8"/>
  <c r="J192" i="8"/>
  <c r="K102" i="8"/>
  <c r="I192" i="8"/>
  <c r="L199" i="8"/>
  <c r="J235" i="8"/>
  <c r="AF82" i="7"/>
  <c r="AF73" i="7"/>
  <c r="AF75" i="7" s="1"/>
  <c r="AE82" i="7"/>
  <c r="AD82" i="7"/>
  <c r="AD73" i="7"/>
  <c r="AD75" i="7" s="1"/>
  <c r="AC82" i="7"/>
  <c r="AC73" i="7"/>
  <c r="AC75" i="7" s="1"/>
  <c r="AB82" i="7"/>
  <c r="AB73" i="7"/>
  <c r="AB75" i="7" s="1"/>
  <c r="AA73" i="7"/>
  <c r="AA75" i="7" s="1"/>
  <c r="Z5" i="7"/>
  <c r="Z73" i="7"/>
  <c r="Z75" i="7" s="1"/>
  <c r="Y82" i="7"/>
  <c r="Y73" i="7"/>
  <c r="Y75" i="7" s="1"/>
  <c r="X73" i="7"/>
  <c r="X75" i="7" s="1"/>
  <c r="X82" i="7"/>
  <c r="X83" i="7" s="1"/>
  <c r="W82" i="7"/>
  <c r="W83" i="7" s="1"/>
  <c r="W73" i="7"/>
  <c r="W75" i="7" s="1"/>
  <c r="V73" i="7"/>
  <c r="V75" i="7" s="1"/>
  <c r="U73" i="7"/>
  <c r="U75" i="7" s="1"/>
  <c r="U82" i="7"/>
  <c r="T73" i="7"/>
  <c r="T75" i="7" s="1"/>
  <c r="R5" i="7"/>
  <c r="S73" i="7"/>
  <c r="S75" i="7" s="1"/>
  <c r="R82" i="7"/>
  <c r="R73" i="7"/>
  <c r="R75" i="7" s="1"/>
  <c r="Q73" i="7"/>
  <c r="Q75" i="7" s="1"/>
  <c r="AI214" i="7" s="1"/>
  <c r="P82" i="7"/>
  <c r="P73" i="7"/>
  <c r="P75" i="7" s="1"/>
  <c r="O73" i="7"/>
  <c r="O75" i="7" s="1"/>
  <c r="N82" i="7"/>
  <c r="N73" i="7"/>
  <c r="N75" i="7" s="1"/>
  <c r="M82" i="7"/>
  <c r="M73" i="7"/>
  <c r="M75" i="7" s="1"/>
  <c r="AE214" i="7" s="1"/>
  <c r="L82" i="7"/>
  <c r="L73" i="7"/>
  <c r="L75" i="7" s="1"/>
  <c r="AD214" i="7" s="1"/>
  <c r="K82" i="7"/>
  <c r="K83" i="7" s="1"/>
  <c r="J5" i="7"/>
  <c r="K73" i="7"/>
  <c r="K75" i="7" s="1"/>
  <c r="AC214" i="7" s="1"/>
  <c r="AH78" i="7"/>
  <c r="J82" i="7"/>
  <c r="J73" i="7"/>
  <c r="J75" i="7" s="1"/>
  <c r="J7" i="7" s="1"/>
  <c r="I82" i="7"/>
  <c r="I73" i="7"/>
  <c r="I75" i="7" s="1"/>
  <c r="AI79" i="7"/>
  <c r="H82" i="7"/>
  <c r="H83" i="7" s="1"/>
  <c r="H73" i="7"/>
  <c r="H75" i="7" s="1"/>
  <c r="Z214" i="7" s="1"/>
  <c r="G82" i="7"/>
  <c r="G83" i="7" s="1"/>
  <c r="G73" i="7"/>
  <c r="G75" i="7" s="1"/>
  <c r="F82" i="7"/>
  <c r="F83" i="7" s="1"/>
  <c r="AI78" i="7"/>
  <c r="AI56" i="7"/>
  <c r="F73" i="7"/>
  <c r="F75" i="7" s="1"/>
  <c r="F7" i="7" s="1"/>
  <c r="E82" i="7"/>
  <c r="E73" i="7"/>
  <c r="E75" i="7" s="1"/>
  <c r="W214" i="7" s="1"/>
  <c r="D82" i="7"/>
  <c r="AI52" i="7"/>
  <c r="D73" i="7"/>
  <c r="D75" i="7" s="1"/>
  <c r="V214" i="7" s="1"/>
  <c r="AI38" i="7"/>
  <c r="B5" i="7"/>
  <c r="AH56" i="7"/>
  <c r="AH52" i="7"/>
  <c r="B73" i="7"/>
  <c r="B75" i="7" s="1"/>
  <c r="B82" i="7"/>
  <c r="AH79" i="7"/>
  <c r="B83" i="7"/>
  <c r="H4" i="7"/>
  <c r="AR214" i="7"/>
  <c r="Z7" i="7"/>
  <c r="AK214" i="7"/>
  <c r="S7" i="7"/>
  <c r="AS214" i="7"/>
  <c r="AA7" i="7"/>
  <c r="AB214" i="7"/>
  <c r="L7" i="7"/>
  <c r="AL214" i="7"/>
  <c r="T7" i="7"/>
  <c r="E7" i="7"/>
  <c r="AM214" i="7"/>
  <c r="U7" i="7"/>
  <c r="AU214" i="7"/>
  <c r="AC7" i="7"/>
  <c r="AF214" i="7"/>
  <c r="N7" i="7"/>
  <c r="AV214" i="7"/>
  <c r="AD7" i="7"/>
  <c r="Y214" i="7"/>
  <c r="AG75" i="7"/>
  <c r="AG3" i="7"/>
  <c r="AG6" i="7" s="1"/>
  <c r="AT214" i="7"/>
  <c r="AB7" i="7"/>
  <c r="AN214" i="7"/>
  <c r="V7" i="7"/>
  <c r="AG214" i="7"/>
  <c r="O7" i="7"/>
  <c r="AO214" i="7"/>
  <c r="W7" i="7"/>
  <c r="AW214" i="7"/>
  <c r="AE7" i="7"/>
  <c r="AG73" i="7"/>
  <c r="AH214" i="7"/>
  <c r="P7" i="7"/>
  <c r="AP214" i="7"/>
  <c r="X7" i="7"/>
  <c r="AX214" i="7"/>
  <c r="AF7" i="7"/>
  <c r="AJ214" i="7"/>
  <c r="R7" i="7"/>
  <c r="AA214" i="7"/>
  <c r="I7" i="7"/>
  <c r="AQ214" i="7"/>
  <c r="Y7" i="7"/>
  <c r="AH76" i="7"/>
  <c r="N83" i="7"/>
  <c r="AD83" i="7"/>
  <c r="C73" i="7"/>
  <c r="C75" i="7" s="1"/>
  <c r="O82" i="7"/>
  <c r="I83" i="7"/>
  <c r="Q83" i="7"/>
  <c r="Y83" i="7"/>
  <c r="AI76" i="7"/>
  <c r="AI77" i="7"/>
  <c r="AI80" i="7"/>
  <c r="O83" i="7"/>
  <c r="AE83" i="7"/>
  <c r="S211" i="7"/>
  <c r="D211" i="7"/>
  <c r="E5" i="7"/>
  <c r="U5" i="7"/>
  <c r="F5" i="7"/>
  <c r="V5" i="7"/>
  <c r="J83" i="7"/>
  <c r="R83" i="7"/>
  <c r="Z83" i="7"/>
  <c r="AH68" i="7"/>
  <c r="AG83" i="7"/>
  <c r="AH80" i="7"/>
  <c r="P83" i="7"/>
  <c r="AF83" i="7"/>
  <c r="H103" i="7"/>
  <c r="AI68" i="7"/>
  <c r="H5" i="7"/>
  <c r="P5" i="7"/>
  <c r="X5" i="7"/>
  <c r="AF5" i="7"/>
  <c r="D83" i="7"/>
  <c r="L83" i="7"/>
  <c r="T83" i="7"/>
  <c r="AB83" i="7"/>
  <c r="AH38" i="7"/>
  <c r="E83" i="7"/>
  <c r="M83" i="7"/>
  <c r="U83" i="7"/>
  <c r="AC83" i="7"/>
  <c r="AH77" i="7"/>
  <c r="E192" i="7"/>
  <c r="F192" i="7"/>
  <c r="G192" i="7"/>
  <c r="H102" i="7"/>
  <c r="D192" i="7"/>
  <c r="G194" i="7"/>
  <c r="E199" i="7"/>
  <c r="E200" i="7" s="1"/>
  <c r="C235" i="7"/>
  <c r="D200" i="7"/>
  <c r="Z192" i="13" l="1"/>
  <c r="AA102" i="13"/>
  <c r="AC194" i="13"/>
  <c r="Y235" i="13"/>
  <c r="AA199" i="13"/>
  <c r="Z200" i="13"/>
  <c r="Z93" i="13"/>
  <c r="AF103" i="13"/>
  <c r="AA194" i="12"/>
  <c r="Z200" i="12"/>
  <c r="Z93" i="12"/>
  <c r="AC235" i="12"/>
  <c r="AE199" i="12"/>
  <c r="AA192" i="12"/>
  <c r="AB102" i="12"/>
  <c r="AD103" i="12"/>
  <c r="Z199" i="11"/>
  <c r="X235" i="11"/>
  <c r="Y93" i="11"/>
  <c r="Y200" i="11"/>
  <c r="Y192" i="11"/>
  <c r="Z102" i="11"/>
  <c r="AB103" i="11"/>
  <c r="AB194" i="11"/>
  <c r="Z103" i="10"/>
  <c r="X192" i="10"/>
  <c r="Y102" i="10"/>
  <c r="Z199" i="10"/>
  <c r="X235" i="10"/>
  <c r="X200" i="10"/>
  <c r="Y194" i="10"/>
  <c r="Y93" i="10" s="1"/>
  <c r="N235" i="9"/>
  <c r="P199" i="9"/>
  <c r="P103" i="9"/>
  <c r="O93" i="9"/>
  <c r="P200" i="9"/>
  <c r="Q194" i="9"/>
  <c r="N192" i="9"/>
  <c r="O102" i="9"/>
  <c r="M199" i="8"/>
  <c r="K235" i="8"/>
  <c r="L102" i="8"/>
  <c r="K200" i="8"/>
  <c r="L194" i="8"/>
  <c r="J93" i="8"/>
  <c r="K103" i="8"/>
  <c r="Q7" i="7"/>
  <c r="M7" i="7"/>
  <c r="K7" i="7"/>
  <c r="C209" i="7"/>
  <c r="K6" i="7" s="1"/>
  <c r="B209" i="7"/>
  <c r="H7" i="7"/>
  <c r="G7" i="7"/>
  <c r="X214" i="7"/>
  <c r="D7" i="7"/>
  <c r="AI73" i="7"/>
  <c r="AH83" i="7"/>
  <c r="AI83" i="7"/>
  <c r="U214" i="7"/>
  <c r="C7" i="7"/>
  <c r="H192" i="7"/>
  <c r="I102" i="7"/>
  <c r="AI82" i="7"/>
  <c r="AH82" i="7"/>
  <c r="T214" i="7"/>
  <c r="AI75" i="7"/>
  <c r="B7" i="7"/>
  <c r="AH75" i="7"/>
  <c r="D235" i="7"/>
  <c r="F199" i="7"/>
  <c r="E93" i="7"/>
  <c r="AH73" i="7"/>
  <c r="H194" i="7"/>
  <c r="I103" i="7"/>
  <c r="AB199" i="13" l="1"/>
  <c r="Z235" i="13"/>
  <c r="AA200" i="13"/>
  <c r="AA93" i="13"/>
  <c r="AD194" i="13"/>
  <c r="B103" i="13"/>
  <c r="AA192" i="13"/>
  <c r="AB102" i="13"/>
  <c r="AB192" i="12"/>
  <c r="AC102" i="12"/>
  <c r="AD235" i="12"/>
  <c r="AF199" i="12"/>
  <c r="AE103" i="12"/>
  <c r="AA200" i="12"/>
  <c r="AB194" i="12"/>
  <c r="AA93" i="12"/>
  <c r="AC103" i="11"/>
  <c r="Z192" i="11"/>
  <c r="AA102" i="11"/>
  <c r="AC194" i="11"/>
  <c r="AA199" i="11"/>
  <c r="Y235" i="11"/>
  <c r="Z200" i="11"/>
  <c r="Z93" i="11"/>
  <c r="AA199" i="10"/>
  <c r="Y235" i="10"/>
  <c r="Y192" i="10"/>
  <c r="Z102" i="10"/>
  <c r="Y200" i="10"/>
  <c r="Z194" i="10"/>
  <c r="AA103" i="10"/>
  <c r="Z93" i="10"/>
  <c r="Q199" i="9"/>
  <c r="O235" i="9"/>
  <c r="O192" i="9"/>
  <c r="P102" i="9"/>
  <c r="R194" i="9"/>
  <c r="Q200" i="9"/>
  <c r="Q103" i="9"/>
  <c r="P93" i="9"/>
  <c r="K93" i="8"/>
  <c r="L103" i="8"/>
  <c r="L192" i="8"/>
  <c r="M102" i="8"/>
  <c r="M194" i="8"/>
  <c r="L200" i="8"/>
  <c r="K192" i="8"/>
  <c r="L235" i="8"/>
  <c r="N199" i="8"/>
  <c r="A7" i="7"/>
  <c r="E235" i="7"/>
  <c r="G199" i="7"/>
  <c r="F200" i="7"/>
  <c r="F93" i="7"/>
  <c r="I192" i="7"/>
  <c r="J102" i="7"/>
  <c r="J103" i="7"/>
  <c r="I194" i="7"/>
  <c r="AE194" i="13" l="1"/>
  <c r="AB192" i="13"/>
  <c r="AC102" i="13"/>
  <c r="AC199" i="13"/>
  <c r="AA235" i="13"/>
  <c r="AB200" i="13"/>
  <c r="AB93" i="13"/>
  <c r="AB200" i="12"/>
  <c r="AC194" i="12"/>
  <c r="AB93" i="12"/>
  <c r="AF103" i="12"/>
  <c r="B199" i="12"/>
  <c r="AF235" i="12" s="1"/>
  <c r="AE235" i="12"/>
  <c r="AC192" i="12"/>
  <c r="AD102" i="12"/>
  <c r="AD194" i="11"/>
  <c r="AB199" i="11"/>
  <c r="Z235" i="11"/>
  <c r="AA200" i="11"/>
  <c r="AA93" i="11"/>
  <c r="AA192" i="11"/>
  <c r="AB102" i="11"/>
  <c r="AD103" i="11"/>
  <c r="Z200" i="10"/>
  <c r="AA194" i="10"/>
  <c r="Z192" i="10"/>
  <c r="AA102" i="10"/>
  <c r="AB103" i="10"/>
  <c r="Z235" i="10"/>
  <c r="AB199" i="10"/>
  <c r="P235" i="9"/>
  <c r="R199" i="9"/>
  <c r="Q93" i="9"/>
  <c r="R103" i="9"/>
  <c r="R200" i="9"/>
  <c r="S194" i="9"/>
  <c r="P192" i="9"/>
  <c r="Q102" i="9"/>
  <c r="N194" i="8"/>
  <c r="M200" i="8"/>
  <c r="N102" i="8"/>
  <c r="L93" i="8"/>
  <c r="M103" i="8"/>
  <c r="M235" i="8"/>
  <c r="O199" i="8"/>
  <c r="J194" i="7"/>
  <c r="F235" i="7"/>
  <c r="H199" i="7"/>
  <c r="G93" i="7"/>
  <c r="G200" i="7"/>
  <c r="J192" i="7"/>
  <c r="K102" i="7"/>
  <c r="K103" i="7"/>
  <c r="AD199" i="13" l="1"/>
  <c r="AB235" i="13"/>
  <c r="AC200" i="13"/>
  <c r="AC93" i="13"/>
  <c r="AF194" i="13"/>
  <c r="AC192" i="13"/>
  <c r="AD102" i="13"/>
  <c r="B103" i="12"/>
  <c r="AC200" i="12"/>
  <c r="AD194" i="12"/>
  <c r="AC93" i="12"/>
  <c r="AD192" i="12"/>
  <c r="AE102" i="12"/>
  <c r="AE194" i="11"/>
  <c r="AB192" i="11"/>
  <c r="AC102" i="11"/>
  <c r="AC199" i="11"/>
  <c r="AA235" i="11"/>
  <c r="AB93" i="11"/>
  <c r="AB200" i="11"/>
  <c r="AE103" i="11"/>
  <c r="AA235" i="10"/>
  <c r="AC199" i="10"/>
  <c r="AC103" i="10"/>
  <c r="AA192" i="10"/>
  <c r="AB102" i="10"/>
  <c r="AA200" i="10"/>
  <c r="AB194" i="10"/>
  <c r="Q235" i="9"/>
  <c r="S199" i="9"/>
  <c r="Q192" i="9"/>
  <c r="R102" i="9"/>
  <c r="T194" i="9"/>
  <c r="S200" i="9"/>
  <c r="S103" i="9"/>
  <c r="R93" i="9"/>
  <c r="N235" i="8"/>
  <c r="P199" i="8"/>
  <c r="N103" i="8"/>
  <c r="M93" i="8"/>
  <c r="N192" i="8"/>
  <c r="O102" i="8"/>
  <c r="M192" i="8"/>
  <c r="N200" i="8"/>
  <c r="O194" i="8"/>
  <c r="G235" i="7"/>
  <c r="I199" i="7"/>
  <c r="H93" i="7"/>
  <c r="H200" i="7"/>
  <c r="K194" i="7"/>
  <c r="K192" i="7"/>
  <c r="L102" i="7"/>
  <c r="L103" i="7"/>
  <c r="R37" i="5"/>
  <c r="Q37" i="5"/>
  <c r="P37" i="5"/>
  <c r="O37" i="5"/>
  <c r="N37" i="5"/>
  <c r="M37" i="5"/>
  <c r="B194" i="13" l="1"/>
  <c r="AD192" i="13"/>
  <c r="AE102" i="13"/>
  <c r="AC235" i="13"/>
  <c r="AE199" i="13"/>
  <c r="AD200" i="13"/>
  <c r="AD93" i="13"/>
  <c r="AE192" i="12"/>
  <c r="AF102" i="12"/>
  <c r="AD200" i="12"/>
  <c r="AE194" i="12"/>
  <c r="AD93" i="12"/>
  <c r="AD199" i="11"/>
  <c r="AB235" i="11"/>
  <c r="AC200" i="11"/>
  <c r="AC93" i="11"/>
  <c r="AC192" i="11"/>
  <c r="AD102" i="11"/>
  <c r="AF103" i="11"/>
  <c r="AF194" i="11"/>
  <c r="AC194" i="10"/>
  <c r="AB200" i="10"/>
  <c r="AB192" i="10"/>
  <c r="AC102" i="10"/>
  <c r="AC93" i="10"/>
  <c r="AD103" i="10"/>
  <c r="AB93" i="10"/>
  <c r="AD199" i="10"/>
  <c r="AB235" i="10"/>
  <c r="R235" i="9"/>
  <c r="T199" i="9"/>
  <c r="S93" i="9"/>
  <c r="T103" i="9"/>
  <c r="U194" i="9"/>
  <c r="T200" i="9"/>
  <c r="R192" i="9"/>
  <c r="S102" i="9"/>
  <c r="P102" i="8"/>
  <c r="O103" i="8"/>
  <c r="N93" i="8"/>
  <c r="O235" i="8"/>
  <c r="Q199" i="8"/>
  <c r="P194" i="8"/>
  <c r="O200" i="8"/>
  <c r="L194" i="7"/>
  <c r="H235" i="7"/>
  <c r="J199" i="7"/>
  <c r="I93" i="7"/>
  <c r="I200" i="7"/>
  <c r="M103" i="7"/>
  <c r="L192" i="7"/>
  <c r="M102" i="7"/>
  <c r="L95" i="5"/>
  <c r="K95" i="5"/>
  <c r="L37" i="5"/>
  <c r="K37" i="5"/>
  <c r="J95" i="5"/>
  <c r="J37" i="5"/>
  <c r="H95" i="5"/>
  <c r="I95" i="5"/>
  <c r="H37" i="5"/>
  <c r="I37" i="5"/>
  <c r="G95" i="5"/>
  <c r="G37" i="5"/>
  <c r="AI37" i="5" s="1"/>
  <c r="E95" i="5"/>
  <c r="E37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D235" i="5"/>
  <c r="C235" i="5"/>
  <c r="B235" i="5"/>
  <c r="S210" i="5"/>
  <c r="AG200" i="5"/>
  <c r="C200" i="5"/>
  <c r="F199" i="5"/>
  <c r="E235" i="5" s="1"/>
  <c r="D199" i="5"/>
  <c r="E199" i="5" s="1"/>
  <c r="E198" i="5"/>
  <c r="F198" i="5" s="1"/>
  <c r="G198" i="5" s="1"/>
  <c r="H198" i="5" s="1"/>
  <c r="I198" i="5" s="1"/>
  <c r="J198" i="5" s="1"/>
  <c r="K198" i="5" s="1"/>
  <c r="L198" i="5" s="1"/>
  <c r="M198" i="5" s="1"/>
  <c r="N198" i="5" s="1"/>
  <c r="O198" i="5" s="1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B198" i="5" s="1"/>
  <c r="D198" i="5"/>
  <c r="E197" i="5"/>
  <c r="F197" i="5" s="1"/>
  <c r="G197" i="5" s="1"/>
  <c r="H197" i="5" s="1"/>
  <c r="I197" i="5" s="1"/>
  <c r="J197" i="5" s="1"/>
  <c r="K197" i="5" s="1"/>
  <c r="L197" i="5" s="1"/>
  <c r="M197" i="5" s="1"/>
  <c r="N197" i="5" s="1"/>
  <c r="O197" i="5" s="1"/>
  <c r="P197" i="5" s="1"/>
  <c r="Q197" i="5" s="1"/>
  <c r="R197" i="5" s="1"/>
  <c r="S197" i="5" s="1"/>
  <c r="T197" i="5" s="1"/>
  <c r="U197" i="5" s="1"/>
  <c r="V197" i="5" s="1"/>
  <c r="W197" i="5" s="1"/>
  <c r="X197" i="5" s="1"/>
  <c r="Y197" i="5" s="1"/>
  <c r="Z197" i="5" s="1"/>
  <c r="AA197" i="5" s="1"/>
  <c r="AB197" i="5" s="1"/>
  <c r="AC197" i="5" s="1"/>
  <c r="AD197" i="5" s="1"/>
  <c r="AE197" i="5" s="1"/>
  <c r="AF197" i="5" s="1"/>
  <c r="B197" i="5" s="1"/>
  <c r="D197" i="5"/>
  <c r="D196" i="5"/>
  <c r="E196" i="5" s="1"/>
  <c r="F196" i="5" s="1"/>
  <c r="G196" i="5" s="1"/>
  <c r="H196" i="5" s="1"/>
  <c r="I196" i="5" s="1"/>
  <c r="J196" i="5" s="1"/>
  <c r="K196" i="5" s="1"/>
  <c r="L196" i="5" s="1"/>
  <c r="M196" i="5" s="1"/>
  <c r="N196" i="5" s="1"/>
  <c r="O196" i="5" s="1"/>
  <c r="P196" i="5" s="1"/>
  <c r="Q196" i="5" s="1"/>
  <c r="R196" i="5" s="1"/>
  <c r="S196" i="5" s="1"/>
  <c r="T196" i="5" s="1"/>
  <c r="U196" i="5" s="1"/>
  <c r="V196" i="5" s="1"/>
  <c r="W196" i="5" s="1"/>
  <c r="X196" i="5" s="1"/>
  <c r="Y196" i="5" s="1"/>
  <c r="Z196" i="5" s="1"/>
  <c r="AA196" i="5" s="1"/>
  <c r="AB196" i="5" s="1"/>
  <c r="AC196" i="5" s="1"/>
  <c r="AD196" i="5" s="1"/>
  <c r="AE196" i="5" s="1"/>
  <c r="AF196" i="5" s="1"/>
  <c r="B196" i="5" s="1"/>
  <c r="D195" i="5"/>
  <c r="E195" i="5" s="1"/>
  <c r="F195" i="5" s="1"/>
  <c r="G195" i="5" s="1"/>
  <c r="H195" i="5" s="1"/>
  <c r="I195" i="5" s="1"/>
  <c r="J195" i="5" s="1"/>
  <c r="K195" i="5" s="1"/>
  <c r="L195" i="5" s="1"/>
  <c r="M195" i="5" s="1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AF195" i="5" s="1"/>
  <c r="B195" i="5" s="1"/>
  <c r="D194" i="5"/>
  <c r="D200" i="5" s="1"/>
  <c r="AG192" i="5"/>
  <c r="C192" i="5"/>
  <c r="E191" i="5"/>
  <c r="F191" i="5" s="1"/>
  <c r="G191" i="5" s="1"/>
  <c r="H191" i="5" s="1"/>
  <c r="I191" i="5" s="1"/>
  <c r="J191" i="5" s="1"/>
  <c r="K191" i="5" s="1"/>
  <c r="L191" i="5" s="1"/>
  <c r="M191" i="5" s="1"/>
  <c r="N191" i="5" s="1"/>
  <c r="O191" i="5" s="1"/>
  <c r="P191" i="5" s="1"/>
  <c r="Q191" i="5" s="1"/>
  <c r="R191" i="5" s="1"/>
  <c r="S191" i="5" s="1"/>
  <c r="T191" i="5" s="1"/>
  <c r="U191" i="5" s="1"/>
  <c r="V191" i="5" s="1"/>
  <c r="W191" i="5" s="1"/>
  <c r="X191" i="5" s="1"/>
  <c r="Y191" i="5" s="1"/>
  <c r="Z191" i="5" s="1"/>
  <c r="AA191" i="5" s="1"/>
  <c r="AB191" i="5" s="1"/>
  <c r="AC191" i="5" s="1"/>
  <c r="AD191" i="5" s="1"/>
  <c r="AE191" i="5" s="1"/>
  <c r="AF191" i="5" s="1"/>
  <c r="B191" i="5" s="1"/>
  <c r="D191" i="5"/>
  <c r="F190" i="5"/>
  <c r="G190" i="5" s="1"/>
  <c r="H190" i="5" s="1"/>
  <c r="I190" i="5" s="1"/>
  <c r="J190" i="5" s="1"/>
  <c r="K190" i="5" s="1"/>
  <c r="L190" i="5" s="1"/>
  <c r="M190" i="5" s="1"/>
  <c r="N190" i="5" s="1"/>
  <c r="O190" i="5" s="1"/>
  <c r="P190" i="5" s="1"/>
  <c r="Q190" i="5" s="1"/>
  <c r="R190" i="5" s="1"/>
  <c r="S190" i="5" s="1"/>
  <c r="T190" i="5" s="1"/>
  <c r="U190" i="5" s="1"/>
  <c r="V190" i="5" s="1"/>
  <c r="W190" i="5" s="1"/>
  <c r="X190" i="5" s="1"/>
  <c r="Y190" i="5" s="1"/>
  <c r="Z190" i="5" s="1"/>
  <c r="AA190" i="5" s="1"/>
  <c r="AB190" i="5" s="1"/>
  <c r="AC190" i="5" s="1"/>
  <c r="AD190" i="5" s="1"/>
  <c r="AE190" i="5" s="1"/>
  <c r="AF190" i="5" s="1"/>
  <c r="B190" i="5" s="1"/>
  <c r="D190" i="5"/>
  <c r="E190" i="5" s="1"/>
  <c r="O189" i="5"/>
  <c r="P189" i="5" s="1"/>
  <c r="Q189" i="5" s="1"/>
  <c r="R189" i="5" s="1"/>
  <c r="S189" i="5" s="1"/>
  <c r="T189" i="5" s="1"/>
  <c r="U189" i="5" s="1"/>
  <c r="V189" i="5" s="1"/>
  <c r="W189" i="5" s="1"/>
  <c r="X189" i="5" s="1"/>
  <c r="Y189" i="5" s="1"/>
  <c r="Z189" i="5" s="1"/>
  <c r="AA189" i="5" s="1"/>
  <c r="AB189" i="5" s="1"/>
  <c r="AC189" i="5" s="1"/>
  <c r="AD189" i="5" s="1"/>
  <c r="AE189" i="5" s="1"/>
  <c r="AF189" i="5" s="1"/>
  <c r="B189" i="5" s="1"/>
  <c r="F189" i="5"/>
  <c r="G189" i="5" s="1"/>
  <c r="H189" i="5" s="1"/>
  <c r="I189" i="5" s="1"/>
  <c r="J189" i="5" s="1"/>
  <c r="K189" i="5" s="1"/>
  <c r="L189" i="5" s="1"/>
  <c r="M189" i="5" s="1"/>
  <c r="N189" i="5" s="1"/>
  <c r="D189" i="5"/>
  <c r="E189" i="5" s="1"/>
  <c r="D188" i="5"/>
  <c r="E188" i="5" s="1"/>
  <c r="F188" i="5" s="1"/>
  <c r="G188" i="5" s="1"/>
  <c r="H188" i="5" s="1"/>
  <c r="I188" i="5" s="1"/>
  <c r="J188" i="5" s="1"/>
  <c r="K188" i="5" s="1"/>
  <c r="L188" i="5" s="1"/>
  <c r="M188" i="5" s="1"/>
  <c r="N188" i="5" s="1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B188" i="5" s="1"/>
  <c r="F187" i="5"/>
  <c r="G187" i="5" s="1"/>
  <c r="H187" i="5" s="1"/>
  <c r="I187" i="5" s="1"/>
  <c r="J187" i="5" s="1"/>
  <c r="K187" i="5" s="1"/>
  <c r="L187" i="5" s="1"/>
  <c r="M187" i="5" s="1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B187" i="5" s="1"/>
  <c r="E187" i="5"/>
  <c r="D187" i="5"/>
  <c r="H186" i="5"/>
  <c r="I186" i="5" s="1"/>
  <c r="J186" i="5" s="1"/>
  <c r="K186" i="5" s="1"/>
  <c r="L186" i="5" s="1"/>
  <c r="M186" i="5" s="1"/>
  <c r="N186" i="5" s="1"/>
  <c r="O186" i="5" s="1"/>
  <c r="P186" i="5" s="1"/>
  <c r="Q186" i="5" s="1"/>
  <c r="R186" i="5" s="1"/>
  <c r="S186" i="5" s="1"/>
  <c r="T186" i="5" s="1"/>
  <c r="U186" i="5" s="1"/>
  <c r="V186" i="5" s="1"/>
  <c r="W186" i="5" s="1"/>
  <c r="X186" i="5" s="1"/>
  <c r="Y186" i="5" s="1"/>
  <c r="Z186" i="5" s="1"/>
  <c r="AA186" i="5" s="1"/>
  <c r="AB186" i="5" s="1"/>
  <c r="AC186" i="5" s="1"/>
  <c r="AD186" i="5" s="1"/>
  <c r="AE186" i="5" s="1"/>
  <c r="AF186" i="5" s="1"/>
  <c r="B186" i="5" s="1"/>
  <c r="F186" i="5"/>
  <c r="G186" i="5" s="1"/>
  <c r="D186" i="5"/>
  <c r="E186" i="5" s="1"/>
  <c r="F185" i="5"/>
  <c r="G185" i="5" s="1"/>
  <c r="H185" i="5" s="1"/>
  <c r="I185" i="5" s="1"/>
  <c r="J185" i="5" s="1"/>
  <c r="K185" i="5" s="1"/>
  <c r="L185" i="5" s="1"/>
  <c r="M185" i="5" s="1"/>
  <c r="N185" i="5" s="1"/>
  <c r="O185" i="5" s="1"/>
  <c r="P185" i="5" s="1"/>
  <c r="Q185" i="5" s="1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B185" i="5" s="1"/>
  <c r="D185" i="5"/>
  <c r="E185" i="5" s="1"/>
  <c r="R184" i="5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B184" i="5" s="1"/>
  <c r="D184" i="5"/>
  <c r="E184" i="5" s="1"/>
  <c r="F184" i="5" s="1"/>
  <c r="G184" i="5" s="1"/>
  <c r="H184" i="5" s="1"/>
  <c r="I184" i="5" s="1"/>
  <c r="J184" i="5" s="1"/>
  <c r="K184" i="5" s="1"/>
  <c r="L184" i="5" s="1"/>
  <c r="M184" i="5" s="1"/>
  <c r="N184" i="5" s="1"/>
  <c r="O184" i="5" s="1"/>
  <c r="P184" i="5" s="1"/>
  <c r="Q184" i="5" s="1"/>
  <c r="F183" i="5"/>
  <c r="G183" i="5" s="1"/>
  <c r="H183" i="5" s="1"/>
  <c r="I183" i="5" s="1"/>
  <c r="J183" i="5" s="1"/>
  <c r="K183" i="5" s="1"/>
  <c r="L183" i="5" s="1"/>
  <c r="M183" i="5" s="1"/>
  <c r="N183" i="5" s="1"/>
  <c r="O183" i="5" s="1"/>
  <c r="P183" i="5" s="1"/>
  <c r="Q183" i="5" s="1"/>
  <c r="R183" i="5" s="1"/>
  <c r="S183" i="5" s="1"/>
  <c r="T183" i="5" s="1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B183" i="5" s="1"/>
  <c r="E183" i="5"/>
  <c r="D183" i="5"/>
  <c r="G182" i="5"/>
  <c r="H182" i="5" s="1"/>
  <c r="I182" i="5" s="1"/>
  <c r="J182" i="5" s="1"/>
  <c r="K182" i="5" s="1"/>
  <c r="L182" i="5" s="1"/>
  <c r="M182" i="5" s="1"/>
  <c r="N182" i="5" s="1"/>
  <c r="O182" i="5" s="1"/>
  <c r="P182" i="5" s="1"/>
  <c r="Q182" i="5" s="1"/>
  <c r="R182" i="5" s="1"/>
  <c r="S182" i="5" s="1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B182" i="5" s="1"/>
  <c r="F182" i="5"/>
  <c r="D182" i="5"/>
  <c r="E182" i="5" s="1"/>
  <c r="D181" i="5"/>
  <c r="E181" i="5" s="1"/>
  <c r="F181" i="5" s="1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B181" i="5" s="1"/>
  <c r="E180" i="5"/>
  <c r="F180" i="5" s="1"/>
  <c r="G180" i="5" s="1"/>
  <c r="H180" i="5" s="1"/>
  <c r="I180" i="5" s="1"/>
  <c r="J180" i="5" s="1"/>
  <c r="K180" i="5" s="1"/>
  <c r="L180" i="5" s="1"/>
  <c r="M180" i="5" s="1"/>
  <c r="N180" i="5" s="1"/>
  <c r="O180" i="5" s="1"/>
  <c r="P180" i="5" s="1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B180" i="5" s="1"/>
  <c r="D180" i="5"/>
  <c r="E179" i="5"/>
  <c r="F179" i="5" s="1"/>
  <c r="G179" i="5" s="1"/>
  <c r="H179" i="5" s="1"/>
  <c r="I179" i="5" s="1"/>
  <c r="J179" i="5" s="1"/>
  <c r="K179" i="5" s="1"/>
  <c r="L179" i="5" s="1"/>
  <c r="M179" i="5" s="1"/>
  <c r="N179" i="5" s="1"/>
  <c r="O179" i="5" s="1"/>
  <c r="P179" i="5" s="1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B179" i="5" s="1"/>
  <c r="D179" i="5"/>
  <c r="F177" i="5"/>
  <c r="G177" i="5" s="1"/>
  <c r="H177" i="5" s="1"/>
  <c r="I177" i="5" s="1"/>
  <c r="J177" i="5" s="1"/>
  <c r="K177" i="5" s="1"/>
  <c r="L177" i="5" s="1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X177" i="5" s="1"/>
  <c r="Y177" i="5" s="1"/>
  <c r="Z177" i="5" s="1"/>
  <c r="AA177" i="5" s="1"/>
  <c r="AB177" i="5" s="1"/>
  <c r="AC177" i="5" s="1"/>
  <c r="AD177" i="5" s="1"/>
  <c r="AE177" i="5" s="1"/>
  <c r="AF177" i="5" s="1"/>
  <c r="B177" i="5" s="1"/>
  <c r="D177" i="5"/>
  <c r="E177" i="5" s="1"/>
  <c r="E176" i="5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B176" i="5" s="1"/>
  <c r="D176" i="5"/>
  <c r="G175" i="5"/>
  <c r="H175" i="5" s="1"/>
  <c r="I175" i="5" s="1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V175" i="5" s="1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B175" i="5" s="1"/>
  <c r="D175" i="5"/>
  <c r="E175" i="5" s="1"/>
  <c r="F175" i="5" s="1"/>
  <c r="J174" i="5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B174" i="5" s="1"/>
  <c r="E174" i="5"/>
  <c r="F174" i="5" s="1"/>
  <c r="G174" i="5" s="1"/>
  <c r="H174" i="5" s="1"/>
  <c r="I174" i="5" s="1"/>
  <c r="D174" i="5"/>
  <c r="V173" i="5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B173" i="5" s="1"/>
  <c r="F173" i="5"/>
  <c r="G173" i="5" s="1"/>
  <c r="H173" i="5" s="1"/>
  <c r="I173" i="5" s="1"/>
  <c r="J173" i="5" s="1"/>
  <c r="K173" i="5" s="1"/>
  <c r="L173" i="5" s="1"/>
  <c r="M173" i="5" s="1"/>
  <c r="N173" i="5" s="1"/>
  <c r="O173" i="5" s="1"/>
  <c r="P173" i="5" s="1"/>
  <c r="Q173" i="5" s="1"/>
  <c r="R173" i="5" s="1"/>
  <c r="S173" i="5" s="1"/>
  <c r="T173" i="5" s="1"/>
  <c r="U173" i="5" s="1"/>
  <c r="D173" i="5"/>
  <c r="E173" i="5" s="1"/>
  <c r="D172" i="5"/>
  <c r="E172" i="5" s="1"/>
  <c r="F172" i="5" s="1"/>
  <c r="G172" i="5" s="1"/>
  <c r="H172" i="5" s="1"/>
  <c r="I172" i="5" s="1"/>
  <c r="J172" i="5" s="1"/>
  <c r="K172" i="5" s="1"/>
  <c r="L172" i="5" s="1"/>
  <c r="M172" i="5" s="1"/>
  <c r="N172" i="5" s="1"/>
  <c r="O172" i="5" s="1"/>
  <c r="P172" i="5" s="1"/>
  <c r="Q172" i="5" s="1"/>
  <c r="R172" i="5" s="1"/>
  <c r="S172" i="5" s="1"/>
  <c r="T172" i="5" s="1"/>
  <c r="U172" i="5" s="1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B172" i="5" s="1"/>
  <c r="D171" i="5"/>
  <c r="E171" i="5" s="1"/>
  <c r="F171" i="5" s="1"/>
  <c r="G171" i="5" s="1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B171" i="5" s="1"/>
  <c r="D170" i="5"/>
  <c r="E170" i="5" s="1"/>
  <c r="F170" i="5" s="1"/>
  <c r="G170" i="5" s="1"/>
  <c r="H170" i="5" s="1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B170" i="5" s="1"/>
  <c r="H168" i="5"/>
  <c r="I168" i="5" s="1"/>
  <c r="J168" i="5" s="1"/>
  <c r="K168" i="5" s="1"/>
  <c r="L168" i="5" s="1"/>
  <c r="M168" i="5" s="1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AB168" i="5" s="1"/>
  <c r="AC168" i="5" s="1"/>
  <c r="AD168" i="5" s="1"/>
  <c r="AE168" i="5" s="1"/>
  <c r="AF168" i="5" s="1"/>
  <c r="B168" i="5" s="1"/>
  <c r="D168" i="5"/>
  <c r="E168" i="5" s="1"/>
  <c r="F168" i="5" s="1"/>
  <c r="G168" i="5" s="1"/>
  <c r="N167" i="5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B167" i="5" s="1"/>
  <c r="D167" i="5"/>
  <c r="E167" i="5" s="1"/>
  <c r="F167" i="5" s="1"/>
  <c r="G167" i="5" s="1"/>
  <c r="H167" i="5" s="1"/>
  <c r="I167" i="5" s="1"/>
  <c r="J167" i="5" s="1"/>
  <c r="K167" i="5" s="1"/>
  <c r="L167" i="5" s="1"/>
  <c r="M167" i="5" s="1"/>
  <c r="D166" i="5"/>
  <c r="E166" i="5" s="1"/>
  <c r="F166" i="5" s="1"/>
  <c r="G166" i="5" s="1"/>
  <c r="H166" i="5" s="1"/>
  <c r="I166" i="5" s="1"/>
  <c r="J166" i="5" s="1"/>
  <c r="K166" i="5" s="1"/>
  <c r="L166" i="5" s="1"/>
  <c r="M166" i="5" s="1"/>
  <c r="N166" i="5" s="1"/>
  <c r="O166" i="5" s="1"/>
  <c r="P166" i="5" s="1"/>
  <c r="Q166" i="5" s="1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B166" i="5" s="1"/>
  <c r="D165" i="5"/>
  <c r="E165" i="5" s="1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B165" i="5" s="1"/>
  <c r="T164" i="5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B164" i="5" s="1"/>
  <c r="D164" i="5"/>
  <c r="E164" i="5" s="1"/>
  <c r="F164" i="5" s="1"/>
  <c r="G164" i="5" s="1"/>
  <c r="H164" i="5" s="1"/>
  <c r="I164" i="5" s="1"/>
  <c r="J164" i="5" s="1"/>
  <c r="K164" i="5" s="1"/>
  <c r="L164" i="5" s="1"/>
  <c r="M164" i="5" s="1"/>
  <c r="N164" i="5" s="1"/>
  <c r="O164" i="5" s="1"/>
  <c r="P164" i="5" s="1"/>
  <c r="Q164" i="5" s="1"/>
  <c r="R164" i="5" s="1"/>
  <c r="S164" i="5" s="1"/>
  <c r="H163" i="5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B163" i="5" s="1"/>
  <c r="F163" i="5"/>
  <c r="G163" i="5" s="1"/>
  <c r="E163" i="5"/>
  <c r="D163" i="5"/>
  <c r="L162" i="5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B162" i="5" s="1"/>
  <c r="F162" i="5"/>
  <c r="G162" i="5" s="1"/>
  <c r="H162" i="5" s="1"/>
  <c r="I162" i="5" s="1"/>
  <c r="J162" i="5" s="1"/>
  <c r="K162" i="5" s="1"/>
  <c r="D162" i="5"/>
  <c r="E162" i="5" s="1"/>
  <c r="D161" i="5"/>
  <c r="E161" i="5" s="1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B161" i="5" s="1"/>
  <c r="D160" i="5"/>
  <c r="E160" i="5" s="1"/>
  <c r="F160" i="5" s="1"/>
  <c r="G160" i="5" s="1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B160" i="5" s="1"/>
  <c r="D159" i="5"/>
  <c r="E159" i="5" s="1"/>
  <c r="F159" i="5" s="1"/>
  <c r="G159" i="5" s="1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B159" i="5" s="1"/>
  <c r="D158" i="5"/>
  <c r="E158" i="5" s="1"/>
  <c r="F158" i="5" s="1"/>
  <c r="G158" i="5" s="1"/>
  <c r="H158" i="5" s="1"/>
  <c r="I158" i="5" s="1"/>
  <c r="J158" i="5" s="1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B158" i="5" s="1"/>
  <c r="G157" i="5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B157" i="5" s="1"/>
  <c r="F157" i="5"/>
  <c r="E157" i="5"/>
  <c r="D157" i="5"/>
  <c r="E156" i="5"/>
  <c r="F156" i="5" s="1"/>
  <c r="G156" i="5" s="1"/>
  <c r="H156" i="5" s="1"/>
  <c r="I156" i="5" s="1"/>
  <c r="J156" i="5" s="1"/>
  <c r="K156" i="5" s="1"/>
  <c r="L156" i="5" s="1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B156" i="5" s="1"/>
  <c r="D156" i="5"/>
  <c r="E154" i="5"/>
  <c r="F154" i="5" s="1"/>
  <c r="G154" i="5" s="1"/>
  <c r="H154" i="5" s="1"/>
  <c r="I154" i="5" s="1"/>
  <c r="J154" i="5" s="1"/>
  <c r="K154" i="5" s="1"/>
  <c r="L154" i="5" s="1"/>
  <c r="M154" i="5" s="1"/>
  <c r="N154" i="5" s="1"/>
  <c r="O154" i="5" s="1"/>
  <c r="P154" i="5" s="1"/>
  <c r="Q154" i="5" s="1"/>
  <c r="R154" i="5" s="1"/>
  <c r="S154" i="5" s="1"/>
  <c r="T154" i="5" s="1"/>
  <c r="U154" i="5" s="1"/>
  <c r="V154" i="5" s="1"/>
  <c r="W154" i="5" s="1"/>
  <c r="X154" i="5" s="1"/>
  <c r="Y154" i="5" s="1"/>
  <c r="Z154" i="5" s="1"/>
  <c r="AA154" i="5" s="1"/>
  <c r="AB154" i="5" s="1"/>
  <c r="AC154" i="5" s="1"/>
  <c r="AD154" i="5" s="1"/>
  <c r="AE154" i="5" s="1"/>
  <c r="AF154" i="5" s="1"/>
  <c r="B154" i="5" s="1"/>
  <c r="D154" i="5"/>
  <c r="E153" i="5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B153" i="5" s="1"/>
  <c r="D153" i="5"/>
  <c r="G152" i="5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B152" i="5" s="1"/>
  <c r="F152" i="5"/>
  <c r="E152" i="5"/>
  <c r="D152" i="5"/>
  <c r="E151" i="5"/>
  <c r="F151" i="5" s="1"/>
  <c r="G151" i="5" s="1"/>
  <c r="H151" i="5" s="1"/>
  <c r="I151" i="5" s="1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W151" i="5" s="1"/>
  <c r="X151" i="5" s="1"/>
  <c r="Y151" i="5" s="1"/>
  <c r="Z151" i="5" s="1"/>
  <c r="AA151" i="5" s="1"/>
  <c r="AB151" i="5" s="1"/>
  <c r="AC151" i="5" s="1"/>
  <c r="AD151" i="5" s="1"/>
  <c r="AE151" i="5" s="1"/>
  <c r="AF151" i="5" s="1"/>
  <c r="B151" i="5" s="1"/>
  <c r="D151" i="5"/>
  <c r="G149" i="5"/>
  <c r="H149" i="5" s="1"/>
  <c r="I149" i="5" s="1"/>
  <c r="J149" i="5" s="1"/>
  <c r="K149" i="5" s="1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W149" i="5" s="1"/>
  <c r="X149" i="5" s="1"/>
  <c r="Y149" i="5" s="1"/>
  <c r="Z149" i="5" s="1"/>
  <c r="AA149" i="5" s="1"/>
  <c r="AB149" i="5" s="1"/>
  <c r="AC149" i="5" s="1"/>
  <c r="AD149" i="5" s="1"/>
  <c r="AE149" i="5" s="1"/>
  <c r="AF149" i="5" s="1"/>
  <c r="B149" i="5" s="1"/>
  <c r="F149" i="5"/>
  <c r="E149" i="5"/>
  <c r="D149" i="5"/>
  <c r="E148" i="5"/>
  <c r="F148" i="5" s="1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B148" i="5" s="1"/>
  <c r="D148" i="5"/>
  <c r="G146" i="5"/>
  <c r="H146" i="5" s="1"/>
  <c r="I146" i="5" s="1"/>
  <c r="J146" i="5" s="1"/>
  <c r="K146" i="5" s="1"/>
  <c r="L146" i="5" s="1"/>
  <c r="M146" i="5" s="1"/>
  <c r="N146" i="5" s="1"/>
  <c r="O146" i="5" s="1"/>
  <c r="P146" i="5" s="1"/>
  <c r="Q146" i="5" s="1"/>
  <c r="R146" i="5" s="1"/>
  <c r="S146" i="5" s="1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B146" i="5" s="1"/>
  <c r="F146" i="5"/>
  <c r="E146" i="5"/>
  <c r="D146" i="5"/>
  <c r="E145" i="5"/>
  <c r="F145" i="5" s="1"/>
  <c r="G145" i="5" s="1"/>
  <c r="H145" i="5" s="1"/>
  <c r="I145" i="5" s="1"/>
  <c r="J145" i="5" s="1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B145" i="5" s="1"/>
  <c r="D145" i="5"/>
  <c r="E144" i="5"/>
  <c r="F144" i="5" s="1"/>
  <c r="G144" i="5" s="1"/>
  <c r="H144" i="5" s="1"/>
  <c r="I144" i="5" s="1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B144" i="5" s="1"/>
  <c r="D144" i="5"/>
  <c r="I143" i="5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B143" i="5" s="1"/>
  <c r="D143" i="5"/>
  <c r="E143" i="5" s="1"/>
  <c r="F143" i="5" s="1"/>
  <c r="G143" i="5" s="1"/>
  <c r="H143" i="5" s="1"/>
  <c r="G142" i="5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B142" i="5" s="1"/>
  <c r="F142" i="5"/>
  <c r="E142" i="5"/>
  <c r="D142" i="5"/>
  <c r="E141" i="5"/>
  <c r="F141" i="5" s="1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B141" i="5" s="1"/>
  <c r="D141" i="5"/>
  <c r="AA140" i="5"/>
  <c r="AB140" i="5" s="1"/>
  <c r="AC140" i="5" s="1"/>
  <c r="AD140" i="5" s="1"/>
  <c r="AE140" i="5" s="1"/>
  <c r="AF140" i="5" s="1"/>
  <c r="B140" i="5" s="1"/>
  <c r="E140" i="5"/>
  <c r="F140" i="5" s="1"/>
  <c r="G140" i="5" s="1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D140" i="5"/>
  <c r="K138" i="5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W138" i="5" s="1"/>
  <c r="X138" i="5" s="1"/>
  <c r="Y138" i="5" s="1"/>
  <c r="Z138" i="5" s="1"/>
  <c r="AA138" i="5" s="1"/>
  <c r="AB138" i="5" s="1"/>
  <c r="AC138" i="5" s="1"/>
  <c r="AD138" i="5" s="1"/>
  <c r="AE138" i="5" s="1"/>
  <c r="AF138" i="5" s="1"/>
  <c r="B138" i="5" s="1"/>
  <c r="D138" i="5"/>
  <c r="E138" i="5" s="1"/>
  <c r="F138" i="5" s="1"/>
  <c r="G138" i="5" s="1"/>
  <c r="H138" i="5" s="1"/>
  <c r="I138" i="5" s="1"/>
  <c r="J138" i="5" s="1"/>
  <c r="F137" i="5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B137" i="5" s="1"/>
  <c r="E137" i="5"/>
  <c r="D137" i="5"/>
  <c r="F136" i="5"/>
  <c r="G136" i="5" s="1"/>
  <c r="H136" i="5" s="1"/>
  <c r="I136" i="5" s="1"/>
  <c r="J136" i="5" s="1"/>
  <c r="K136" i="5" s="1"/>
  <c r="L136" i="5" s="1"/>
  <c r="M136" i="5" s="1"/>
  <c r="N136" i="5" s="1"/>
  <c r="O136" i="5" s="1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B136" i="5" s="1"/>
  <c r="D136" i="5"/>
  <c r="E136" i="5" s="1"/>
  <c r="D135" i="5"/>
  <c r="E135" i="5" s="1"/>
  <c r="F135" i="5" s="1"/>
  <c r="G135" i="5" s="1"/>
  <c r="H135" i="5" s="1"/>
  <c r="I135" i="5" s="1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B135" i="5" s="1"/>
  <c r="E134" i="5"/>
  <c r="F134" i="5" s="1"/>
  <c r="G134" i="5" s="1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B134" i="5" s="1"/>
  <c r="D134" i="5"/>
  <c r="G133" i="5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B133" i="5" s="1"/>
  <c r="D133" i="5"/>
  <c r="E133" i="5" s="1"/>
  <c r="F133" i="5" s="1"/>
  <c r="E132" i="5"/>
  <c r="F132" i="5" s="1"/>
  <c r="G132" i="5" s="1"/>
  <c r="H132" i="5" s="1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B132" i="5" s="1"/>
  <c r="D132" i="5"/>
  <c r="G131" i="5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B131" i="5" s="1"/>
  <c r="D131" i="5"/>
  <c r="E131" i="5" s="1"/>
  <c r="F131" i="5" s="1"/>
  <c r="T129" i="5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B129" i="5" s="1"/>
  <c r="D129" i="5"/>
  <c r="E129" i="5" s="1"/>
  <c r="F129" i="5" s="1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Q129" i="5" s="1"/>
  <c r="R129" i="5" s="1"/>
  <c r="S129" i="5" s="1"/>
  <c r="G128" i="5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B128" i="5" s="1"/>
  <c r="D128" i="5"/>
  <c r="E128" i="5" s="1"/>
  <c r="F128" i="5" s="1"/>
  <c r="E127" i="5"/>
  <c r="F127" i="5" s="1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B127" i="5" s="1"/>
  <c r="D127" i="5"/>
  <c r="D126" i="5"/>
  <c r="E126" i="5" s="1"/>
  <c r="F126" i="5" s="1"/>
  <c r="G126" i="5" s="1"/>
  <c r="H126" i="5" s="1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B126" i="5" s="1"/>
  <c r="T125" i="5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B125" i="5" s="1"/>
  <c r="J125" i="5"/>
  <c r="K125" i="5" s="1"/>
  <c r="L125" i="5" s="1"/>
  <c r="M125" i="5" s="1"/>
  <c r="N125" i="5" s="1"/>
  <c r="O125" i="5" s="1"/>
  <c r="P125" i="5" s="1"/>
  <c r="Q125" i="5" s="1"/>
  <c r="R125" i="5" s="1"/>
  <c r="S125" i="5" s="1"/>
  <c r="D125" i="5"/>
  <c r="E125" i="5" s="1"/>
  <c r="F125" i="5" s="1"/>
  <c r="G125" i="5" s="1"/>
  <c r="H125" i="5" s="1"/>
  <c r="F124" i="5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B124" i="5" s="1"/>
  <c r="E124" i="5"/>
  <c r="D124" i="5"/>
  <c r="D123" i="5"/>
  <c r="E123" i="5" s="1"/>
  <c r="F123" i="5" s="1"/>
  <c r="G123" i="5" s="1"/>
  <c r="H123" i="5" s="1"/>
  <c r="I123" i="5" s="1"/>
  <c r="J123" i="5" s="1"/>
  <c r="K123" i="5" s="1"/>
  <c r="L123" i="5" s="1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B123" i="5" s="1"/>
  <c r="E122" i="5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B122" i="5" s="1"/>
  <c r="D122" i="5"/>
  <c r="E121" i="5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B121" i="5" s="1"/>
  <c r="D121" i="5"/>
  <c r="F120" i="5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B120" i="5" s="1"/>
  <c r="E120" i="5"/>
  <c r="D120" i="5"/>
  <c r="D119" i="5"/>
  <c r="E119" i="5" s="1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B119" i="5" s="1"/>
  <c r="J118" i="5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B118" i="5" s="1"/>
  <c r="D118" i="5"/>
  <c r="E118" i="5" s="1"/>
  <c r="F118" i="5" s="1"/>
  <c r="G118" i="5" s="1"/>
  <c r="H118" i="5" s="1"/>
  <c r="I118" i="5" s="1"/>
  <c r="D117" i="5"/>
  <c r="E117" i="5" s="1"/>
  <c r="F117" i="5" s="1"/>
  <c r="G117" i="5" s="1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B117" i="5" s="1"/>
  <c r="E116" i="5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B116" i="5" s="1"/>
  <c r="D116" i="5"/>
  <c r="D115" i="5"/>
  <c r="E115" i="5" s="1"/>
  <c r="F115" i="5" s="1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B115" i="5" s="1"/>
  <c r="K114" i="5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B114" i="5" s="1"/>
  <c r="H114" i="5"/>
  <c r="I114" i="5" s="1"/>
  <c r="E114" i="5"/>
  <c r="F114" i="5" s="1"/>
  <c r="G114" i="5" s="1"/>
  <c r="D114" i="5"/>
  <c r="K113" i="5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B113" i="5" s="1"/>
  <c r="F113" i="5"/>
  <c r="G113" i="5" s="1"/>
  <c r="H113" i="5" s="1"/>
  <c r="I113" i="5" s="1"/>
  <c r="J113" i="5" s="1"/>
  <c r="E113" i="5"/>
  <c r="D113" i="5"/>
  <c r="D112" i="5"/>
  <c r="E112" i="5" s="1"/>
  <c r="F112" i="5" s="1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B112" i="5" s="1"/>
  <c r="D110" i="5"/>
  <c r="E110" i="5" s="1"/>
  <c r="F110" i="5" s="1"/>
  <c r="G110" i="5" s="1"/>
  <c r="H110" i="5" s="1"/>
  <c r="I110" i="5" s="1"/>
  <c r="J110" i="5" s="1"/>
  <c r="K110" i="5" s="1"/>
  <c r="L110" i="5" s="1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B110" i="5" s="1"/>
  <c r="E109" i="5"/>
  <c r="D109" i="5"/>
  <c r="F107" i="5"/>
  <c r="G107" i="5" s="1"/>
  <c r="H107" i="5" s="1"/>
  <c r="I107" i="5" s="1"/>
  <c r="J107" i="5" s="1"/>
  <c r="K107" i="5" s="1"/>
  <c r="L107" i="5" s="1"/>
  <c r="M107" i="5" s="1"/>
  <c r="N107" i="5" s="1"/>
  <c r="O107" i="5" s="1"/>
  <c r="P107" i="5" s="1"/>
  <c r="Q107" i="5" s="1"/>
  <c r="R107" i="5" s="1"/>
  <c r="S107" i="5" s="1"/>
  <c r="T107" i="5" s="1"/>
  <c r="U107" i="5" s="1"/>
  <c r="V107" i="5" s="1"/>
  <c r="W107" i="5" s="1"/>
  <c r="X107" i="5" s="1"/>
  <c r="Y107" i="5" s="1"/>
  <c r="Z107" i="5" s="1"/>
  <c r="AA107" i="5" s="1"/>
  <c r="AB107" i="5" s="1"/>
  <c r="AC107" i="5" s="1"/>
  <c r="AD107" i="5" s="1"/>
  <c r="AE107" i="5" s="1"/>
  <c r="AF107" i="5" s="1"/>
  <c r="B107" i="5" s="1"/>
  <c r="E107" i="5"/>
  <c r="D107" i="5"/>
  <c r="D106" i="5"/>
  <c r="E106" i="5" s="1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B106" i="5" s="1"/>
  <c r="D105" i="5"/>
  <c r="E105" i="5" s="1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B105" i="5" s="1"/>
  <c r="E104" i="5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B104" i="5" s="1"/>
  <c r="D104" i="5"/>
  <c r="F103" i="5"/>
  <c r="E103" i="5"/>
  <c r="D103" i="5"/>
  <c r="D102" i="5"/>
  <c r="AH100" i="5"/>
  <c r="AI100" i="5" s="1"/>
  <c r="AH99" i="5"/>
  <c r="AI99" i="5" s="1"/>
  <c r="AH98" i="5"/>
  <c r="AI98" i="5" s="1"/>
  <c r="AH97" i="5"/>
  <c r="AI97" i="5" s="1"/>
  <c r="AH96" i="5"/>
  <c r="AI96" i="5" s="1"/>
  <c r="AH95" i="5"/>
  <c r="AI95" i="5" s="1"/>
  <c r="AH94" i="5"/>
  <c r="AI94" i="5" s="1"/>
  <c r="D93" i="5"/>
  <c r="C93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G82" i="5"/>
  <c r="AI81" i="5"/>
  <c r="AH81" i="5"/>
  <c r="AF80" i="5"/>
  <c r="AF82" i="5" s="1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F76" i="5"/>
  <c r="AE76" i="5"/>
  <c r="AD76" i="5"/>
  <c r="AC76" i="5"/>
  <c r="AB76" i="5"/>
  <c r="AA76" i="5"/>
  <c r="Z76" i="5"/>
  <c r="Y76" i="5"/>
  <c r="X76" i="5"/>
  <c r="W76" i="5"/>
  <c r="V76" i="5"/>
  <c r="V82" i="5" s="1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F82" i="5" s="1"/>
  <c r="F83" i="5" s="1"/>
  <c r="E76" i="5"/>
  <c r="D76" i="5"/>
  <c r="C76" i="5"/>
  <c r="B76" i="5"/>
  <c r="B82" i="5" s="1"/>
  <c r="AI74" i="5"/>
  <c r="AH74" i="5"/>
  <c r="AI72" i="5"/>
  <c r="AH72" i="5"/>
  <c r="AG72" i="5"/>
  <c r="AI71" i="5"/>
  <c r="AH71" i="5"/>
  <c r="AI70" i="5"/>
  <c r="AH70" i="5"/>
  <c r="AI69" i="5"/>
  <c r="AH69" i="5"/>
  <c r="AG68" i="5"/>
  <c r="AG73" i="5" s="1"/>
  <c r="AF68" i="5"/>
  <c r="AE68" i="5"/>
  <c r="AD68" i="5"/>
  <c r="AC68" i="5"/>
  <c r="AB68" i="5"/>
  <c r="AA5" i="5" s="1"/>
  <c r="AA68" i="5"/>
  <c r="Z68" i="5"/>
  <c r="Y5" i="5" s="1"/>
  <c r="Y68" i="5"/>
  <c r="X68" i="5"/>
  <c r="W5" i="5" s="1"/>
  <c r="W68" i="5"/>
  <c r="V68" i="5"/>
  <c r="U5" i="5" s="1"/>
  <c r="U68" i="5"/>
  <c r="T68" i="5"/>
  <c r="S5" i="5" s="1"/>
  <c r="S68" i="5"/>
  <c r="R68" i="5"/>
  <c r="Q5" i="5" s="1"/>
  <c r="Q68" i="5"/>
  <c r="P68" i="5"/>
  <c r="O5" i="5" s="1"/>
  <c r="O68" i="5"/>
  <c r="N68" i="5"/>
  <c r="M5" i="5" s="1"/>
  <c r="M68" i="5"/>
  <c r="L5" i="5" s="1"/>
  <c r="L68" i="5"/>
  <c r="K5" i="5" s="1"/>
  <c r="K68" i="5"/>
  <c r="J5" i="5" s="1"/>
  <c r="J68" i="5"/>
  <c r="I5" i="5" s="1"/>
  <c r="I68" i="5"/>
  <c r="H68" i="5"/>
  <c r="G68" i="5"/>
  <c r="F5" i="5" s="1"/>
  <c r="F68" i="5"/>
  <c r="E68" i="5"/>
  <c r="D5" i="5" s="1"/>
  <c r="D68" i="5"/>
  <c r="C5" i="5" s="1"/>
  <c r="C68" i="5"/>
  <c r="B5" i="5" s="1"/>
  <c r="B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I55" i="5"/>
  <c r="AH55" i="5"/>
  <c r="AI54" i="5"/>
  <c r="AH54" i="5"/>
  <c r="AI53" i="5"/>
  <c r="AH53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I51" i="5"/>
  <c r="AH51" i="5"/>
  <c r="AG51" i="5"/>
  <c r="AG52" i="5" s="1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G38" i="5"/>
  <c r="AF38" i="5"/>
  <c r="AE38" i="5"/>
  <c r="AD38" i="5"/>
  <c r="AC38" i="5"/>
  <c r="AB38" i="5"/>
  <c r="AB73" i="5" s="1"/>
  <c r="AB75" i="5" s="1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F73" i="5" s="1"/>
  <c r="F75" i="5" s="1"/>
  <c r="E38" i="5"/>
  <c r="D38" i="5"/>
  <c r="C38" i="5"/>
  <c r="B38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C5" i="5"/>
  <c r="E5" i="5"/>
  <c r="AG4" i="5"/>
  <c r="K4" i="5"/>
  <c r="B4" i="5"/>
  <c r="AG2" i="5"/>
  <c r="AD95" i="4"/>
  <c r="AD37" i="4"/>
  <c r="AC95" i="4"/>
  <c r="AC37" i="4"/>
  <c r="AB95" i="4"/>
  <c r="AB37" i="4"/>
  <c r="W52" i="4"/>
  <c r="E4" i="5"/>
  <c r="AF199" i="13" l="1"/>
  <c r="AD235" i="13"/>
  <c r="AE200" i="13"/>
  <c r="AE93" i="13"/>
  <c r="AE192" i="13"/>
  <c r="AF102" i="13"/>
  <c r="AE200" i="12"/>
  <c r="AF194" i="12"/>
  <c r="AE93" i="12"/>
  <c r="AF192" i="12"/>
  <c r="B102" i="12"/>
  <c r="B192" i="12" s="1"/>
  <c r="B103" i="11"/>
  <c r="AD192" i="11"/>
  <c r="AE102" i="11"/>
  <c r="B194" i="11"/>
  <c r="AC235" i="11"/>
  <c r="AE199" i="11"/>
  <c r="AD200" i="11"/>
  <c r="AD93" i="11"/>
  <c r="AC235" i="10"/>
  <c r="AE199" i="10"/>
  <c r="AE103" i="10"/>
  <c r="AC192" i="10"/>
  <c r="AD102" i="10"/>
  <c r="AC200" i="10"/>
  <c r="AD194" i="10"/>
  <c r="U199" i="9"/>
  <c r="S235" i="9"/>
  <c r="S192" i="9"/>
  <c r="T102" i="9"/>
  <c r="U200" i="9"/>
  <c r="V194" i="9"/>
  <c r="T93" i="9"/>
  <c r="U103" i="9"/>
  <c r="P200" i="8"/>
  <c r="Q194" i="8"/>
  <c r="R199" i="8"/>
  <c r="P235" i="8"/>
  <c r="P103" i="8"/>
  <c r="O93" i="8"/>
  <c r="P192" i="8"/>
  <c r="Q102" i="8"/>
  <c r="O192" i="8"/>
  <c r="I235" i="7"/>
  <c r="K199" i="7"/>
  <c r="J93" i="7"/>
  <c r="J200" i="7"/>
  <c r="N103" i="7"/>
  <c r="M192" i="7"/>
  <c r="N102" i="7"/>
  <c r="M194" i="7"/>
  <c r="AF73" i="5"/>
  <c r="AF75" i="5" s="1"/>
  <c r="AX214" i="5" s="1"/>
  <c r="AE82" i="5"/>
  <c r="AE73" i="5"/>
  <c r="AE75" i="5" s="1"/>
  <c r="AW214" i="5" s="1"/>
  <c r="AD82" i="5"/>
  <c r="AD83" i="5" s="1"/>
  <c r="AD73" i="5"/>
  <c r="AD75" i="5" s="1"/>
  <c r="AV214" i="5" s="1"/>
  <c r="AC82" i="5"/>
  <c r="AC83" i="5"/>
  <c r="AC73" i="5"/>
  <c r="AC75" i="5" s="1"/>
  <c r="AU214" i="5" s="1"/>
  <c r="AB82" i="5"/>
  <c r="AB83" i="5"/>
  <c r="AA82" i="5"/>
  <c r="AA73" i="5"/>
  <c r="AA75" i="5" s="1"/>
  <c r="Y82" i="5"/>
  <c r="Y83" i="5"/>
  <c r="X5" i="5"/>
  <c r="Z82" i="5"/>
  <c r="Z83" i="5" s="1"/>
  <c r="Z73" i="5"/>
  <c r="Z75" i="5" s="1"/>
  <c r="Y73" i="5"/>
  <c r="Y75" i="5" s="1"/>
  <c r="Y7" i="5" s="1"/>
  <c r="X82" i="5"/>
  <c r="X73" i="5"/>
  <c r="X75" i="5" s="1"/>
  <c r="W82" i="5"/>
  <c r="W83" i="5" s="1"/>
  <c r="W73" i="5"/>
  <c r="W75" i="5" s="1"/>
  <c r="V73" i="5"/>
  <c r="V75" i="5" s="1"/>
  <c r="V7" i="5" s="1"/>
  <c r="U82" i="5"/>
  <c r="U83" i="5"/>
  <c r="U73" i="5"/>
  <c r="U75" i="5" s="1"/>
  <c r="T82" i="5"/>
  <c r="T83" i="5" s="1"/>
  <c r="T73" i="5"/>
  <c r="T75" i="5" s="1"/>
  <c r="S82" i="5"/>
  <c r="S73" i="5"/>
  <c r="S75" i="5" s="1"/>
  <c r="S7" i="5" s="1"/>
  <c r="R82" i="5"/>
  <c r="R73" i="5"/>
  <c r="R75" i="5" s="1"/>
  <c r="Q82" i="5"/>
  <c r="Q83" i="5" s="1"/>
  <c r="P5" i="5"/>
  <c r="Q73" i="5"/>
  <c r="Q75" i="5" s="1"/>
  <c r="Q7" i="5" s="1"/>
  <c r="P82" i="5"/>
  <c r="P73" i="5"/>
  <c r="P75" i="5" s="1"/>
  <c r="O82" i="5"/>
  <c r="O73" i="5"/>
  <c r="O75" i="5" s="1"/>
  <c r="AG214" i="5" s="1"/>
  <c r="N82" i="5"/>
  <c r="N73" i="5"/>
  <c r="N75" i="5" s="1"/>
  <c r="N7" i="5" s="1"/>
  <c r="M82" i="5"/>
  <c r="M73" i="5"/>
  <c r="M75" i="5" s="1"/>
  <c r="M7" i="5" s="1"/>
  <c r="K73" i="5"/>
  <c r="K75" i="5" s="1"/>
  <c r="K82" i="5"/>
  <c r="L82" i="5"/>
  <c r="L83" i="5" s="1"/>
  <c r="L73" i="5"/>
  <c r="L75" i="5" s="1"/>
  <c r="AD214" i="5" s="1"/>
  <c r="J82" i="5"/>
  <c r="J83" i="5" s="1"/>
  <c r="J73" i="5"/>
  <c r="J75" i="5" s="1"/>
  <c r="H5" i="5"/>
  <c r="I82" i="5"/>
  <c r="I83" i="5" s="1"/>
  <c r="H82" i="5"/>
  <c r="I73" i="5"/>
  <c r="I75" i="5" s="1"/>
  <c r="I7" i="5" s="1"/>
  <c r="H73" i="5"/>
  <c r="H75" i="5" s="1"/>
  <c r="G82" i="5"/>
  <c r="G73" i="5"/>
  <c r="G75" i="5" s="1"/>
  <c r="E82" i="5"/>
  <c r="E73" i="5"/>
  <c r="E75" i="5" s="1"/>
  <c r="E7" i="5" s="1"/>
  <c r="AI77" i="5"/>
  <c r="D82" i="5"/>
  <c r="D73" i="5"/>
  <c r="D75" i="5" s="1"/>
  <c r="V214" i="5" s="1"/>
  <c r="AH52" i="5"/>
  <c r="AH56" i="5"/>
  <c r="AI78" i="5"/>
  <c r="AH79" i="5"/>
  <c r="AH68" i="5"/>
  <c r="AI79" i="5"/>
  <c r="C82" i="5"/>
  <c r="C83" i="5" s="1"/>
  <c r="AI80" i="5"/>
  <c r="C73" i="5"/>
  <c r="C75" i="5" s="1"/>
  <c r="U214" i="5" s="1"/>
  <c r="AH38" i="5"/>
  <c r="AF5" i="5"/>
  <c r="AI56" i="5"/>
  <c r="AI52" i="5"/>
  <c r="H4" i="5"/>
  <c r="AT214" i="5"/>
  <c r="AB7" i="5"/>
  <c r="X214" i="5"/>
  <c r="F7" i="5"/>
  <c r="AF214" i="5"/>
  <c r="AN214" i="5"/>
  <c r="AL214" i="5"/>
  <c r="T7" i="5"/>
  <c r="AM214" i="5"/>
  <c r="U7" i="5"/>
  <c r="AO214" i="5"/>
  <c r="W7" i="5"/>
  <c r="AG83" i="5"/>
  <c r="AC214" i="5"/>
  <c r="K7" i="5"/>
  <c r="W214" i="5"/>
  <c r="Z214" i="5"/>
  <c r="H7" i="5"/>
  <c r="AH214" i="5"/>
  <c r="P7" i="5"/>
  <c r="AP214" i="5"/>
  <c r="X7" i="5"/>
  <c r="AF7" i="5"/>
  <c r="AS214" i="5"/>
  <c r="AA7" i="5"/>
  <c r="AQ214" i="5"/>
  <c r="Y214" i="5"/>
  <c r="G7" i="5"/>
  <c r="AI214" i="5"/>
  <c r="AB214" i="5"/>
  <c r="J7" i="5"/>
  <c r="AJ214" i="5"/>
  <c r="R7" i="5"/>
  <c r="AR214" i="5"/>
  <c r="Z7" i="5"/>
  <c r="AG75" i="5"/>
  <c r="AG3" i="5"/>
  <c r="AG6" i="5" s="1"/>
  <c r="D83" i="5"/>
  <c r="AB5" i="5"/>
  <c r="AF83" i="5"/>
  <c r="AE5" i="5"/>
  <c r="S83" i="5"/>
  <c r="AH77" i="5"/>
  <c r="G103" i="5"/>
  <c r="B73" i="5"/>
  <c r="T5" i="5"/>
  <c r="H83" i="5"/>
  <c r="G5" i="5"/>
  <c r="AA83" i="5"/>
  <c r="AI68" i="5"/>
  <c r="AI76" i="5"/>
  <c r="AH78" i="5"/>
  <c r="B83" i="5"/>
  <c r="K83" i="5"/>
  <c r="E93" i="5"/>
  <c r="F109" i="5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B109" i="5" s="1"/>
  <c r="R5" i="5"/>
  <c r="Z5" i="5"/>
  <c r="AI38" i="5"/>
  <c r="N83" i="5"/>
  <c r="V83" i="5"/>
  <c r="AH80" i="5"/>
  <c r="M83" i="5"/>
  <c r="O83" i="5"/>
  <c r="AE83" i="5"/>
  <c r="E83" i="5"/>
  <c r="P83" i="5"/>
  <c r="G83" i="5"/>
  <c r="D192" i="5"/>
  <c r="E102" i="5"/>
  <c r="X83" i="5"/>
  <c r="S211" i="5"/>
  <c r="D211" i="5"/>
  <c r="N5" i="5"/>
  <c r="V5" i="5"/>
  <c r="AD5" i="5"/>
  <c r="R83" i="5"/>
  <c r="AH76" i="5"/>
  <c r="G199" i="5"/>
  <c r="E194" i="5"/>
  <c r="AF192" i="13" l="1"/>
  <c r="B102" i="13"/>
  <c r="B192" i="13" s="1"/>
  <c r="AE235" i="13"/>
  <c r="B199" i="13"/>
  <c r="AF200" i="13"/>
  <c r="AF93" i="13"/>
  <c r="AF200" i="12"/>
  <c r="B194" i="12"/>
  <c r="AF93" i="12"/>
  <c r="AD235" i="11"/>
  <c r="AF199" i="11"/>
  <c r="AE200" i="11"/>
  <c r="AE93" i="11"/>
  <c r="AE192" i="11"/>
  <c r="AF102" i="11"/>
  <c r="AE194" i="10"/>
  <c r="AD200" i="10"/>
  <c r="AD192" i="10"/>
  <c r="AE102" i="10"/>
  <c r="AE93" i="10"/>
  <c r="AF103" i="10"/>
  <c r="AD93" i="10"/>
  <c r="AD235" i="10"/>
  <c r="AF199" i="10"/>
  <c r="V199" i="9"/>
  <c r="T235" i="9"/>
  <c r="V103" i="9"/>
  <c r="U93" i="9"/>
  <c r="W194" i="9"/>
  <c r="V200" i="9"/>
  <c r="T192" i="9"/>
  <c r="U102" i="9"/>
  <c r="R102" i="8"/>
  <c r="Q103" i="8"/>
  <c r="P93" i="8"/>
  <c r="Q235" i="8"/>
  <c r="S199" i="8"/>
  <c r="Q200" i="8"/>
  <c r="R194" i="8"/>
  <c r="O103" i="7"/>
  <c r="N192" i="7"/>
  <c r="O102" i="7"/>
  <c r="J235" i="7"/>
  <c r="L199" i="7"/>
  <c r="K200" i="7"/>
  <c r="K93" i="7"/>
  <c r="N194" i="7"/>
  <c r="AE7" i="5"/>
  <c r="AC7" i="5"/>
  <c r="AD7" i="5"/>
  <c r="AK214" i="5"/>
  <c r="AE214" i="5"/>
  <c r="O7" i="5"/>
  <c r="L7" i="5"/>
  <c r="AI82" i="5"/>
  <c r="AA214" i="5"/>
  <c r="B209" i="5"/>
  <c r="K6" i="5" s="1"/>
  <c r="C209" i="5"/>
  <c r="D7" i="5"/>
  <c r="AH82" i="5"/>
  <c r="C7" i="5"/>
  <c r="B75" i="5"/>
  <c r="AI73" i="5"/>
  <c r="AH73" i="5"/>
  <c r="H103" i="5"/>
  <c r="F93" i="5"/>
  <c r="AI83" i="5"/>
  <c r="AH83" i="5"/>
  <c r="F194" i="5"/>
  <c r="E200" i="5"/>
  <c r="H199" i="5"/>
  <c r="F235" i="5"/>
  <c r="E192" i="5"/>
  <c r="F102" i="5"/>
  <c r="AF235" i="13" l="1"/>
  <c r="B200" i="13"/>
  <c r="B93" i="13"/>
  <c r="AH93" i="13"/>
  <c r="AI93" i="13"/>
  <c r="AI93" i="12"/>
  <c r="AH93" i="12"/>
  <c r="B200" i="12"/>
  <c r="AF192" i="11"/>
  <c r="B102" i="11"/>
  <c r="B192" i="11" s="1"/>
  <c r="AE235" i="11"/>
  <c r="B199" i="11"/>
  <c r="AF93" i="11"/>
  <c r="AF200" i="11"/>
  <c r="B103" i="10"/>
  <c r="AE192" i="10"/>
  <c r="AF102" i="10"/>
  <c r="AE235" i="10"/>
  <c r="B199" i="10"/>
  <c r="AF235" i="10" s="1"/>
  <c r="AF194" i="10"/>
  <c r="AE200" i="10"/>
  <c r="W199" i="9"/>
  <c r="U235" i="9"/>
  <c r="X194" i="9"/>
  <c r="W200" i="9"/>
  <c r="W103" i="9"/>
  <c r="V93" i="9"/>
  <c r="U192" i="9"/>
  <c r="V102" i="9"/>
  <c r="R103" i="8"/>
  <c r="Q93" i="8"/>
  <c r="R192" i="8"/>
  <c r="S102" i="8"/>
  <c r="R200" i="8"/>
  <c r="S194" i="8"/>
  <c r="R235" i="8"/>
  <c r="T199" i="8"/>
  <c r="Q192" i="8"/>
  <c r="M199" i="7"/>
  <c r="K235" i="7"/>
  <c r="L93" i="7"/>
  <c r="L200" i="7"/>
  <c r="O192" i="7"/>
  <c r="P102" i="7"/>
  <c r="O194" i="7"/>
  <c r="P103" i="7"/>
  <c r="F192" i="5"/>
  <c r="G102" i="5"/>
  <c r="I103" i="5"/>
  <c r="F200" i="5"/>
  <c r="G194" i="5"/>
  <c r="I199" i="5"/>
  <c r="G235" i="5"/>
  <c r="T214" i="5"/>
  <c r="AI75" i="5"/>
  <c r="AH75" i="5"/>
  <c r="B7" i="5"/>
  <c r="A7" i="5" s="1"/>
  <c r="AI93" i="11" l="1"/>
  <c r="AH93" i="11"/>
  <c r="AF235" i="11"/>
  <c r="B200" i="11"/>
  <c r="AF192" i="10"/>
  <c r="B102" i="10"/>
  <c r="B192" i="10" s="1"/>
  <c r="AF200" i="10"/>
  <c r="B194" i="10"/>
  <c r="B200" i="10" s="1"/>
  <c r="B93" i="10"/>
  <c r="AF93" i="10"/>
  <c r="X199" i="9"/>
  <c r="V235" i="9"/>
  <c r="V192" i="9"/>
  <c r="W102" i="9"/>
  <c r="X103" i="9"/>
  <c r="W93" i="9"/>
  <c r="X200" i="9"/>
  <c r="Y194" i="9"/>
  <c r="S200" i="8"/>
  <c r="T194" i="8"/>
  <c r="U199" i="8"/>
  <c r="S235" i="8"/>
  <c r="T102" i="8"/>
  <c r="R93" i="8"/>
  <c r="S103" i="8"/>
  <c r="P194" i="7"/>
  <c r="P192" i="7"/>
  <c r="Q102" i="7"/>
  <c r="Q103" i="7"/>
  <c r="L235" i="7"/>
  <c r="N199" i="7"/>
  <c r="M93" i="7"/>
  <c r="M200" i="7"/>
  <c r="J103" i="5"/>
  <c r="G192" i="5"/>
  <c r="H102" i="5"/>
  <c r="G200" i="5"/>
  <c r="H194" i="5"/>
  <c r="G93" i="5"/>
  <c r="H235" i="5"/>
  <c r="J199" i="5"/>
  <c r="AI93" i="10" l="1"/>
  <c r="AH93" i="10"/>
  <c r="Y199" i="9"/>
  <c r="W235" i="9"/>
  <c r="W192" i="9"/>
  <c r="X102" i="9"/>
  <c r="Z194" i="9"/>
  <c r="Y200" i="9"/>
  <c r="Y103" i="9"/>
  <c r="X93" i="9"/>
  <c r="S93" i="8"/>
  <c r="T103" i="8"/>
  <c r="V199" i="8"/>
  <c r="T235" i="8"/>
  <c r="S192" i="8"/>
  <c r="U194" i="8"/>
  <c r="T200" i="8"/>
  <c r="T192" i="8"/>
  <c r="U102" i="8"/>
  <c r="R103" i="7"/>
  <c r="Q192" i="7"/>
  <c r="R102" i="7"/>
  <c r="M235" i="7"/>
  <c r="O199" i="7"/>
  <c r="N93" i="7"/>
  <c r="N200" i="7"/>
  <c r="Q194" i="7"/>
  <c r="I194" i="5"/>
  <c r="H200" i="5"/>
  <c r="H93" i="5"/>
  <c r="H192" i="5"/>
  <c r="I102" i="5"/>
  <c r="K199" i="5"/>
  <c r="I235" i="5"/>
  <c r="K103" i="5"/>
  <c r="X235" i="9" l="1"/>
  <c r="Z199" i="9"/>
  <c r="Y93" i="9"/>
  <c r="Z103" i="9"/>
  <c r="X192" i="9"/>
  <c r="Y102" i="9"/>
  <c r="AA194" i="9"/>
  <c r="U235" i="8"/>
  <c r="W199" i="8"/>
  <c r="V194" i="8"/>
  <c r="U200" i="8"/>
  <c r="T93" i="8"/>
  <c r="U103" i="8"/>
  <c r="U192" i="8"/>
  <c r="V102" i="8"/>
  <c r="N235" i="7"/>
  <c r="P199" i="7"/>
  <c r="O200" i="7"/>
  <c r="O93" i="7"/>
  <c r="R192" i="7"/>
  <c r="S102" i="7"/>
  <c r="R194" i="7"/>
  <c r="S103" i="7"/>
  <c r="J235" i="5"/>
  <c r="L199" i="5"/>
  <c r="I192" i="5"/>
  <c r="J102" i="5"/>
  <c r="L103" i="5"/>
  <c r="I200" i="5"/>
  <c r="J194" i="5"/>
  <c r="I93" i="5"/>
  <c r="AA199" i="9" l="1"/>
  <c r="Y235" i="9"/>
  <c r="Z200" i="9"/>
  <c r="AB194" i="9"/>
  <c r="AA200" i="9"/>
  <c r="Y192" i="9"/>
  <c r="Z102" i="9"/>
  <c r="AA103" i="9"/>
  <c r="Z93" i="9"/>
  <c r="W194" i="8"/>
  <c r="V200" i="8"/>
  <c r="V235" i="8"/>
  <c r="X199" i="8"/>
  <c r="W102" i="8"/>
  <c r="V103" i="8"/>
  <c r="U93" i="8"/>
  <c r="S194" i="7"/>
  <c r="T103" i="7"/>
  <c r="O235" i="7"/>
  <c r="Q199" i="7"/>
  <c r="P93" i="7"/>
  <c r="P200" i="7"/>
  <c r="S192" i="7"/>
  <c r="T102" i="7"/>
  <c r="K194" i="5"/>
  <c r="J200" i="5"/>
  <c r="J93" i="5"/>
  <c r="J192" i="5"/>
  <c r="K102" i="5"/>
  <c r="M199" i="5"/>
  <c r="K235" i="5"/>
  <c r="M103" i="5"/>
  <c r="AB199" i="9" l="1"/>
  <c r="Z235" i="9"/>
  <c r="AA93" i="9"/>
  <c r="AB103" i="9"/>
  <c r="Z192" i="9"/>
  <c r="AA102" i="9"/>
  <c r="AC194" i="9"/>
  <c r="AB200" i="9"/>
  <c r="W103" i="8"/>
  <c r="V93" i="8"/>
  <c r="V192" i="8"/>
  <c r="W192" i="8"/>
  <c r="X102" i="8"/>
  <c r="W235" i="8"/>
  <c r="Y199" i="8"/>
  <c r="X194" i="8"/>
  <c r="W200" i="8"/>
  <c r="T192" i="7"/>
  <c r="U102" i="7"/>
  <c r="T194" i="7"/>
  <c r="P235" i="7"/>
  <c r="R199" i="7"/>
  <c r="Q93" i="7"/>
  <c r="Q200" i="7"/>
  <c r="U103" i="7"/>
  <c r="L235" i="5"/>
  <c r="N199" i="5"/>
  <c r="K192" i="5"/>
  <c r="L102" i="5"/>
  <c r="N103" i="5"/>
  <c r="K200" i="5"/>
  <c r="L194" i="5"/>
  <c r="K93" i="5"/>
  <c r="AC199" i="9" l="1"/>
  <c r="AA235" i="9"/>
  <c r="AC200" i="9"/>
  <c r="AD194" i="9"/>
  <c r="AB93" i="9"/>
  <c r="AC103" i="9"/>
  <c r="AA192" i="9"/>
  <c r="AB102" i="9"/>
  <c r="Z199" i="8"/>
  <c r="X235" i="8"/>
  <c r="Y194" i="8"/>
  <c r="X200" i="8"/>
  <c r="Y102" i="8"/>
  <c r="X103" i="8"/>
  <c r="X192" i="8" s="1"/>
  <c r="W93" i="8"/>
  <c r="U194" i="7"/>
  <c r="Q235" i="7"/>
  <c r="S199" i="7"/>
  <c r="R200" i="7"/>
  <c r="R93" i="7"/>
  <c r="U192" i="7"/>
  <c r="V102" i="7"/>
  <c r="V103" i="7"/>
  <c r="L200" i="5"/>
  <c r="M194" i="5"/>
  <c r="L93" i="5"/>
  <c r="O103" i="5"/>
  <c r="M235" i="5"/>
  <c r="O199" i="5"/>
  <c r="L192" i="5"/>
  <c r="M102" i="5"/>
  <c r="AB235" i="9" l="1"/>
  <c r="AD199" i="9"/>
  <c r="AB192" i="9"/>
  <c r="AC102" i="9"/>
  <c r="AC93" i="9"/>
  <c r="AD103" i="9"/>
  <c r="AE194" i="9"/>
  <c r="AD200" i="9"/>
  <c r="Y103" i="8"/>
  <c r="X93" i="8"/>
  <c r="Y192" i="8"/>
  <c r="Z102" i="8"/>
  <c r="Y200" i="8"/>
  <c r="Z194" i="8"/>
  <c r="Y235" i="8"/>
  <c r="AA199" i="8"/>
  <c r="W103" i="7"/>
  <c r="V194" i="7"/>
  <c r="R235" i="7"/>
  <c r="T199" i="7"/>
  <c r="S93" i="7"/>
  <c r="S200" i="7"/>
  <c r="V192" i="7"/>
  <c r="W102" i="7"/>
  <c r="P199" i="5"/>
  <c r="N235" i="5"/>
  <c r="P103" i="5"/>
  <c r="N194" i="5"/>
  <c r="M200" i="5"/>
  <c r="M93" i="5"/>
  <c r="M192" i="5"/>
  <c r="N102" i="5"/>
  <c r="U37" i="4"/>
  <c r="S37" i="4"/>
  <c r="T37" i="4"/>
  <c r="AE199" i="9" l="1"/>
  <c r="AC235" i="9"/>
  <c r="AF194" i="9"/>
  <c r="AE200" i="9"/>
  <c r="AC192" i="9"/>
  <c r="AD102" i="9"/>
  <c r="AE103" i="9"/>
  <c r="AD93" i="9"/>
  <c r="Z200" i="8"/>
  <c r="AA194" i="8"/>
  <c r="AA102" i="8"/>
  <c r="Z235" i="8"/>
  <c r="AB199" i="8"/>
  <c r="Z103" i="8"/>
  <c r="Y93" i="8"/>
  <c r="U199" i="7"/>
  <c r="S235" i="7"/>
  <c r="T200" i="7"/>
  <c r="T93" i="7"/>
  <c r="W194" i="7"/>
  <c r="W192" i="7"/>
  <c r="X102" i="7"/>
  <c r="X103" i="7"/>
  <c r="N200" i="5"/>
  <c r="O194" i="5"/>
  <c r="N93" i="5"/>
  <c r="Q103" i="5"/>
  <c r="N192" i="5"/>
  <c r="O102" i="5"/>
  <c r="O235" i="5"/>
  <c r="Q199" i="5"/>
  <c r="AD235" i="9" l="1"/>
  <c r="AF199" i="9"/>
  <c r="AF103" i="9"/>
  <c r="AE93" i="9"/>
  <c r="AD192" i="9"/>
  <c r="AE102" i="9"/>
  <c r="AF200" i="9"/>
  <c r="B194" i="9"/>
  <c r="Z93" i="8"/>
  <c r="AA103" i="8"/>
  <c r="AA235" i="8"/>
  <c r="AC199" i="8"/>
  <c r="AA192" i="8"/>
  <c r="AB102" i="8"/>
  <c r="Z192" i="8"/>
  <c r="AA200" i="8"/>
  <c r="AB194" i="8"/>
  <c r="X194" i="7"/>
  <c r="Y103" i="7"/>
  <c r="T235" i="7"/>
  <c r="V199" i="7"/>
  <c r="U93" i="7"/>
  <c r="U200" i="7"/>
  <c r="X192" i="7"/>
  <c r="Y102" i="7"/>
  <c r="O192" i="5"/>
  <c r="P102" i="5"/>
  <c r="R103" i="5"/>
  <c r="P194" i="5"/>
  <c r="O200" i="5"/>
  <c r="O93" i="5"/>
  <c r="P235" i="5"/>
  <c r="R199" i="5"/>
  <c r="R95" i="4"/>
  <c r="R37" i="4"/>
  <c r="AE235" i="9" l="1"/>
  <c r="B199" i="9"/>
  <c r="AF235" i="9" s="1"/>
  <c r="AE192" i="9"/>
  <c r="AF102" i="9"/>
  <c r="B103" i="9"/>
  <c r="B93" i="9" s="1"/>
  <c r="AF93" i="9"/>
  <c r="AC102" i="8"/>
  <c r="AD199" i="8"/>
  <c r="AB235" i="8"/>
  <c r="AA93" i="8"/>
  <c r="AB103" i="8"/>
  <c r="AB200" i="8"/>
  <c r="AC194" i="8"/>
  <c r="U235" i="7"/>
  <c r="W199" i="7"/>
  <c r="V93" i="7"/>
  <c r="V200" i="7"/>
  <c r="Z103" i="7"/>
  <c r="Y192" i="7"/>
  <c r="Z102" i="7"/>
  <c r="Y194" i="7"/>
  <c r="Q194" i="5"/>
  <c r="P200" i="5"/>
  <c r="P93" i="5"/>
  <c r="P192" i="5"/>
  <c r="Q102" i="5"/>
  <c r="S103" i="5"/>
  <c r="S199" i="5"/>
  <c r="Q235" i="5"/>
  <c r="Q95" i="4"/>
  <c r="Q37" i="4"/>
  <c r="B200" i="9" l="1"/>
  <c r="AF192" i="9"/>
  <c r="B102" i="9"/>
  <c r="B192" i="9" s="1"/>
  <c r="AI93" i="9"/>
  <c r="AH93" i="9"/>
  <c r="AD194" i="8"/>
  <c r="AC200" i="8"/>
  <c r="AB93" i="8"/>
  <c r="AC103" i="8"/>
  <c r="AC192" i="8"/>
  <c r="AD102" i="8"/>
  <c r="AE199" i="8"/>
  <c r="AC235" i="8"/>
  <c r="AB192" i="8"/>
  <c r="Z192" i="7"/>
  <c r="AA102" i="7"/>
  <c r="AA103" i="7"/>
  <c r="V235" i="7"/>
  <c r="X199" i="7"/>
  <c r="W200" i="7"/>
  <c r="W93" i="7"/>
  <c r="Z194" i="7"/>
  <c r="R235" i="5"/>
  <c r="T199" i="5"/>
  <c r="T103" i="5"/>
  <c r="Q192" i="5"/>
  <c r="R102" i="5"/>
  <c r="Q200" i="5"/>
  <c r="R194" i="5"/>
  <c r="Q93" i="5"/>
  <c r="AD235" i="8" l="1"/>
  <c r="AF199" i="8"/>
  <c r="AE102" i="8"/>
  <c r="AD103" i="8"/>
  <c r="AC93" i="8"/>
  <c r="AE194" i="8"/>
  <c r="AD200" i="8"/>
  <c r="W235" i="7"/>
  <c r="Y199" i="7"/>
  <c r="X93" i="7"/>
  <c r="X200" i="7"/>
  <c r="AA194" i="7"/>
  <c r="AA192" i="7"/>
  <c r="AB102" i="7"/>
  <c r="AB103" i="7"/>
  <c r="S194" i="5"/>
  <c r="R200" i="5"/>
  <c r="R93" i="5"/>
  <c r="U199" i="5"/>
  <c r="S235" i="5"/>
  <c r="R192" i="5"/>
  <c r="S102" i="5"/>
  <c r="U103" i="5"/>
  <c r="AF194" i="8" l="1"/>
  <c r="AE200" i="8"/>
  <c r="AE103" i="8"/>
  <c r="AD93" i="8"/>
  <c r="AE192" i="8"/>
  <c r="AF102" i="8"/>
  <c r="AD192" i="8"/>
  <c r="AE235" i="8"/>
  <c r="B199" i="8"/>
  <c r="AF235" i="8" s="1"/>
  <c r="AB192" i="7"/>
  <c r="AC102" i="7"/>
  <c r="AB194" i="7"/>
  <c r="AC103" i="7"/>
  <c r="X235" i="7"/>
  <c r="Z199" i="7"/>
  <c r="Y93" i="7"/>
  <c r="Y200" i="7"/>
  <c r="S192" i="5"/>
  <c r="T102" i="5"/>
  <c r="V199" i="5"/>
  <c r="T235" i="5"/>
  <c r="V103" i="5"/>
  <c r="T194" i="5"/>
  <c r="S200" i="5"/>
  <c r="S93" i="5"/>
  <c r="B102" i="8" l="1"/>
  <c r="AF103" i="8"/>
  <c r="AE93" i="8"/>
  <c r="B194" i="8"/>
  <c r="B200" i="8" s="1"/>
  <c r="AF200" i="8"/>
  <c r="Y235" i="7"/>
  <c r="AA199" i="7"/>
  <c r="Z93" i="7"/>
  <c r="Z200" i="7"/>
  <c r="AD103" i="7"/>
  <c r="AC194" i="7"/>
  <c r="AC192" i="7"/>
  <c r="AD102" i="7"/>
  <c r="T200" i="5"/>
  <c r="U194" i="5"/>
  <c r="T93" i="5"/>
  <c r="W103" i="5"/>
  <c r="U235" i="5"/>
  <c r="W199" i="5"/>
  <c r="T192" i="5"/>
  <c r="U102" i="5"/>
  <c r="AF93" i="8" l="1"/>
  <c r="B103" i="8"/>
  <c r="B93" i="8" s="1"/>
  <c r="AF192" i="8"/>
  <c r="AE103" i="7"/>
  <c r="AD192" i="7"/>
  <c r="AE102" i="7"/>
  <c r="Z235" i="7"/>
  <c r="AB199" i="7"/>
  <c r="AA93" i="7"/>
  <c r="AA200" i="7"/>
  <c r="AD194" i="7"/>
  <c r="X199" i="5"/>
  <c r="V235" i="5"/>
  <c r="X103" i="5"/>
  <c r="V194" i="5"/>
  <c r="U200" i="5"/>
  <c r="U93" i="5"/>
  <c r="U192" i="5"/>
  <c r="V102" i="5"/>
  <c r="AI93" i="8" l="1"/>
  <c r="AH93" i="8"/>
  <c r="B192" i="8"/>
  <c r="AA235" i="7"/>
  <c r="AC199" i="7"/>
  <c r="AB93" i="7"/>
  <c r="AB200" i="7"/>
  <c r="AE192" i="7"/>
  <c r="AF102" i="7"/>
  <c r="AE194" i="7"/>
  <c r="AF103" i="7"/>
  <c r="V200" i="5"/>
  <c r="W194" i="5"/>
  <c r="V93" i="5"/>
  <c r="Y103" i="5"/>
  <c r="V192" i="5"/>
  <c r="W102" i="5"/>
  <c r="Y199" i="5"/>
  <c r="W235" i="5"/>
  <c r="AF194" i="7" l="1"/>
  <c r="AF192" i="7"/>
  <c r="B102" i="7"/>
  <c r="B103" i="7"/>
  <c r="AB235" i="7"/>
  <c r="AD199" i="7"/>
  <c r="AC93" i="7"/>
  <c r="AC200" i="7"/>
  <c r="X235" i="5"/>
  <c r="Z199" i="5"/>
  <c r="W192" i="5"/>
  <c r="X102" i="5"/>
  <c r="Z103" i="5"/>
  <c r="W200" i="5"/>
  <c r="X194" i="5"/>
  <c r="W93" i="5"/>
  <c r="B192" i="7" l="1"/>
  <c r="AC235" i="7"/>
  <c r="AE199" i="7"/>
  <c r="AD93" i="7"/>
  <c r="AD200" i="7"/>
  <c r="B194" i="7"/>
  <c r="AA103" i="5"/>
  <c r="X192" i="5"/>
  <c r="Y102" i="5"/>
  <c r="Y194" i="5"/>
  <c r="X200" i="5"/>
  <c r="X93" i="5"/>
  <c r="AA199" i="5"/>
  <c r="Y235" i="5"/>
  <c r="AD235" i="7" l="1"/>
  <c r="AF199" i="7"/>
  <c r="AE93" i="7"/>
  <c r="AE200" i="7"/>
  <c r="Z235" i="5"/>
  <c r="AB199" i="5"/>
  <c r="Y200" i="5"/>
  <c r="Z194" i="5"/>
  <c r="Y93" i="5"/>
  <c r="Y192" i="5"/>
  <c r="Z102" i="5"/>
  <c r="AB103" i="5"/>
  <c r="AE235" i="7" l="1"/>
  <c r="B199" i="7"/>
  <c r="AF93" i="7"/>
  <c r="AF200" i="7"/>
  <c r="Z192" i="5"/>
  <c r="AA102" i="5"/>
  <c r="AA194" i="5"/>
  <c r="Z200" i="5"/>
  <c r="Z93" i="5"/>
  <c r="AC199" i="5"/>
  <c r="AA235" i="5"/>
  <c r="AC103" i="5"/>
  <c r="AH93" i="7" l="1"/>
  <c r="AI93" i="7"/>
  <c r="AF235" i="7"/>
  <c r="B93" i="7"/>
  <c r="B200" i="7"/>
  <c r="AA200" i="5"/>
  <c r="AB194" i="5"/>
  <c r="AA93" i="5"/>
  <c r="AA192" i="5"/>
  <c r="AB102" i="5"/>
  <c r="AB235" i="5"/>
  <c r="AD199" i="5"/>
  <c r="AD103" i="5"/>
  <c r="AC235" i="5" l="1"/>
  <c r="AE199" i="5"/>
  <c r="AB192" i="5"/>
  <c r="AC102" i="5"/>
  <c r="AB200" i="5"/>
  <c r="AC194" i="5"/>
  <c r="AB93" i="5"/>
  <c r="AE103" i="5"/>
  <c r="AD194" i="5" l="1"/>
  <c r="AC200" i="5"/>
  <c r="AC93" i="5"/>
  <c r="AC192" i="5"/>
  <c r="AD102" i="5"/>
  <c r="AF199" i="5"/>
  <c r="AD235" i="5"/>
  <c r="AF103" i="5"/>
  <c r="B103" i="5" l="1"/>
  <c r="B199" i="5"/>
  <c r="AF235" i="5" s="1"/>
  <c r="AE235" i="5"/>
  <c r="AD192" i="5"/>
  <c r="AE102" i="5"/>
  <c r="AD200" i="5"/>
  <c r="AE194" i="5"/>
  <c r="AD93" i="5"/>
  <c r="AF194" i="5" l="1"/>
  <c r="AE200" i="5"/>
  <c r="AE93" i="5"/>
  <c r="AE192" i="5"/>
  <c r="AF102" i="5"/>
  <c r="AF192" i="5" l="1"/>
  <c r="B102" i="5"/>
  <c r="B192" i="5" s="1"/>
  <c r="B194" i="5"/>
  <c r="AF200" i="5"/>
  <c r="AF93" i="5"/>
  <c r="AI93" i="5" l="1"/>
  <c r="AH93" i="5"/>
  <c r="B200" i="5"/>
  <c r="B93" i="5"/>
  <c r="P95" i="4" l="1"/>
  <c r="P37" i="4"/>
  <c r="O37" i="4" l="1"/>
  <c r="M37" i="4" l="1"/>
  <c r="L95" i="4" l="1"/>
  <c r="L37" i="4"/>
  <c r="K95" i="4"/>
  <c r="K37" i="4"/>
  <c r="J95" i="4"/>
  <c r="J37" i="4"/>
  <c r="I95" i="4"/>
  <c r="I37" i="4"/>
  <c r="H95" i="4"/>
  <c r="H37" i="4"/>
  <c r="G95" i="4"/>
  <c r="G37" i="4"/>
  <c r="E95" i="4"/>
  <c r="E37" i="4"/>
  <c r="AH101" i="4"/>
  <c r="AI101" i="4" s="1"/>
  <c r="D95" i="4"/>
  <c r="D37" i="4"/>
  <c r="C95" i="4"/>
  <c r="C37" i="4"/>
  <c r="B95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B236" i="4"/>
  <c r="S211" i="4"/>
  <c r="AG201" i="4"/>
  <c r="C201" i="4"/>
  <c r="D200" i="4"/>
  <c r="C236" i="4" s="1"/>
  <c r="F199" i="4"/>
  <c r="G199" i="4" s="1"/>
  <c r="H199" i="4" s="1"/>
  <c r="I199" i="4" s="1"/>
  <c r="J199" i="4" s="1"/>
  <c r="K199" i="4" s="1"/>
  <c r="L199" i="4" s="1"/>
  <c r="M199" i="4" s="1"/>
  <c r="N199" i="4" s="1"/>
  <c r="O199" i="4" s="1"/>
  <c r="P199" i="4" s="1"/>
  <c r="Q199" i="4" s="1"/>
  <c r="R199" i="4" s="1"/>
  <c r="S199" i="4" s="1"/>
  <c r="T199" i="4" s="1"/>
  <c r="U199" i="4" s="1"/>
  <c r="V199" i="4" s="1"/>
  <c r="W199" i="4" s="1"/>
  <c r="X199" i="4" s="1"/>
  <c r="Y199" i="4" s="1"/>
  <c r="Z199" i="4" s="1"/>
  <c r="AA199" i="4" s="1"/>
  <c r="AB199" i="4" s="1"/>
  <c r="AC199" i="4" s="1"/>
  <c r="AD199" i="4" s="1"/>
  <c r="AE199" i="4" s="1"/>
  <c r="AF199" i="4" s="1"/>
  <c r="B199" i="4" s="1"/>
  <c r="E199" i="4"/>
  <c r="D199" i="4"/>
  <c r="E198" i="4"/>
  <c r="F198" i="4" s="1"/>
  <c r="G198" i="4" s="1"/>
  <c r="H198" i="4" s="1"/>
  <c r="I198" i="4" s="1"/>
  <c r="J198" i="4" s="1"/>
  <c r="K198" i="4" s="1"/>
  <c r="L198" i="4" s="1"/>
  <c r="M198" i="4" s="1"/>
  <c r="N198" i="4" s="1"/>
  <c r="O198" i="4" s="1"/>
  <c r="P198" i="4" s="1"/>
  <c r="Q198" i="4" s="1"/>
  <c r="R198" i="4" s="1"/>
  <c r="S198" i="4" s="1"/>
  <c r="T198" i="4" s="1"/>
  <c r="U198" i="4" s="1"/>
  <c r="V198" i="4" s="1"/>
  <c r="W198" i="4" s="1"/>
  <c r="X198" i="4" s="1"/>
  <c r="Y198" i="4" s="1"/>
  <c r="Z198" i="4" s="1"/>
  <c r="AA198" i="4" s="1"/>
  <c r="AB198" i="4" s="1"/>
  <c r="AC198" i="4" s="1"/>
  <c r="AD198" i="4" s="1"/>
  <c r="AE198" i="4" s="1"/>
  <c r="AF198" i="4" s="1"/>
  <c r="B198" i="4" s="1"/>
  <c r="D198" i="4"/>
  <c r="N197" i="4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AD197" i="4" s="1"/>
  <c r="AE197" i="4" s="1"/>
  <c r="AF197" i="4" s="1"/>
  <c r="B197" i="4" s="1"/>
  <c r="E197" i="4"/>
  <c r="F197" i="4" s="1"/>
  <c r="G197" i="4" s="1"/>
  <c r="H197" i="4" s="1"/>
  <c r="I197" i="4" s="1"/>
  <c r="J197" i="4" s="1"/>
  <c r="K197" i="4" s="1"/>
  <c r="L197" i="4" s="1"/>
  <c r="M197" i="4" s="1"/>
  <c r="D197" i="4"/>
  <c r="D196" i="4"/>
  <c r="D201" i="4" s="1"/>
  <c r="E195" i="4"/>
  <c r="D195" i="4"/>
  <c r="AG193" i="4"/>
  <c r="C193" i="4"/>
  <c r="E192" i="4"/>
  <c r="F192" i="4" s="1"/>
  <c r="G192" i="4" s="1"/>
  <c r="H192" i="4" s="1"/>
  <c r="I192" i="4" s="1"/>
  <c r="J192" i="4" s="1"/>
  <c r="K192" i="4" s="1"/>
  <c r="L192" i="4" s="1"/>
  <c r="M192" i="4" s="1"/>
  <c r="N192" i="4" s="1"/>
  <c r="O192" i="4" s="1"/>
  <c r="P192" i="4" s="1"/>
  <c r="Q192" i="4" s="1"/>
  <c r="R192" i="4" s="1"/>
  <c r="S192" i="4" s="1"/>
  <c r="T192" i="4" s="1"/>
  <c r="U192" i="4" s="1"/>
  <c r="V192" i="4" s="1"/>
  <c r="W192" i="4" s="1"/>
  <c r="X192" i="4" s="1"/>
  <c r="Y192" i="4" s="1"/>
  <c r="Z192" i="4" s="1"/>
  <c r="AA192" i="4" s="1"/>
  <c r="AB192" i="4" s="1"/>
  <c r="AC192" i="4" s="1"/>
  <c r="AD192" i="4" s="1"/>
  <c r="AE192" i="4" s="1"/>
  <c r="AF192" i="4" s="1"/>
  <c r="B192" i="4" s="1"/>
  <c r="D192" i="4"/>
  <c r="E191" i="4"/>
  <c r="F191" i="4" s="1"/>
  <c r="G191" i="4" s="1"/>
  <c r="H191" i="4" s="1"/>
  <c r="I191" i="4" s="1"/>
  <c r="J191" i="4" s="1"/>
  <c r="K191" i="4" s="1"/>
  <c r="L191" i="4" s="1"/>
  <c r="M191" i="4" s="1"/>
  <c r="N191" i="4" s="1"/>
  <c r="O191" i="4" s="1"/>
  <c r="P191" i="4" s="1"/>
  <c r="Q191" i="4" s="1"/>
  <c r="R191" i="4" s="1"/>
  <c r="S191" i="4" s="1"/>
  <c r="T191" i="4" s="1"/>
  <c r="U191" i="4" s="1"/>
  <c r="V191" i="4" s="1"/>
  <c r="W191" i="4" s="1"/>
  <c r="X191" i="4" s="1"/>
  <c r="Y191" i="4" s="1"/>
  <c r="Z191" i="4" s="1"/>
  <c r="AA191" i="4" s="1"/>
  <c r="AB191" i="4" s="1"/>
  <c r="AC191" i="4" s="1"/>
  <c r="AD191" i="4" s="1"/>
  <c r="AE191" i="4" s="1"/>
  <c r="AF191" i="4" s="1"/>
  <c r="B191" i="4" s="1"/>
  <c r="D191" i="4"/>
  <c r="F190" i="4"/>
  <c r="G190" i="4" s="1"/>
  <c r="H190" i="4" s="1"/>
  <c r="I190" i="4" s="1"/>
  <c r="J190" i="4" s="1"/>
  <c r="K190" i="4" s="1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W190" i="4" s="1"/>
  <c r="X190" i="4" s="1"/>
  <c r="Y190" i="4" s="1"/>
  <c r="Z190" i="4" s="1"/>
  <c r="AA190" i="4" s="1"/>
  <c r="AB190" i="4" s="1"/>
  <c r="AC190" i="4" s="1"/>
  <c r="AD190" i="4" s="1"/>
  <c r="AE190" i="4" s="1"/>
  <c r="AF190" i="4" s="1"/>
  <c r="B190" i="4" s="1"/>
  <c r="D190" i="4"/>
  <c r="E190" i="4" s="1"/>
  <c r="E189" i="4"/>
  <c r="F189" i="4" s="1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B189" i="4" s="1"/>
  <c r="D189" i="4"/>
  <c r="D188" i="4"/>
  <c r="E188" i="4" s="1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B188" i="4" s="1"/>
  <c r="E187" i="4"/>
  <c r="F187" i="4" s="1"/>
  <c r="G187" i="4" s="1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B187" i="4" s="1"/>
  <c r="D187" i="4"/>
  <c r="E186" i="4"/>
  <c r="F186" i="4" s="1"/>
  <c r="G186" i="4" s="1"/>
  <c r="H186" i="4" s="1"/>
  <c r="I186" i="4" s="1"/>
  <c r="J186" i="4" s="1"/>
  <c r="K186" i="4" s="1"/>
  <c r="L186" i="4" s="1"/>
  <c r="M186" i="4" s="1"/>
  <c r="N186" i="4" s="1"/>
  <c r="O186" i="4" s="1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B186" i="4" s="1"/>
  <c r="D186" i="4"/>
  <c r="D185" i="4"/>
  <c r="E185" i="4" s="1"/>
  <c r="F185" i="4" s="1"/>
  <c r="G185" i="4" s="1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B185" i="4" s="1"/>
  <c r="D184" i="4"/>
  <c r="E184" i="4" s="1"/>
  <c r="F184" i="4" s="1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B184" i="4" s="1"/>
  <c r="I183" i="4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B183" i="4" s="1"/>
  <c r="G183" i="4"/>
  <c r="H183" i="4" s="1"/>
  <c r="F183" i="4"/>
  <c r="E183" i="4"/>
  <c r="D183" i="4"/>
  <c r="G182" i="4"/>
  <c r="H182" i="4" s="1"/>
  <c r="I182" i="4" s="1"/>
  <c r="J182" i="4" s="1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B182" i="4" s="1"/>
  <c r="D182" i="4"/>
  <c r="E182" i="4" s="1"/>
  <c r="F182" i="4" s="1"/>
  <c r="AB181" i="4"/>
  <c r="AC181" i="4" s="1"/>
  <c r="AD181" i="4" s="1"/>
  <c r="AE181" i="4" s="1"/>
  <c r="AF181" i="4" s="1"/>
  <c r="B181" i="4" s="1"/>
  <c r="F181" i="4"/>
  <c r="G181" i="4" s="1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D181" i="4"/>
  <c r="E181" i="4" s="1"/>
  <c r="G180" i="4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B180" i="4" s="1"/>
  <c r="E180" i="4"/>
  <c r="F180" i="4" s="1"/>
  <c r="D180" i="4"/>
  <c r="S178" i="4"/>
  <c r="T178" i="4" s="1"/>
  <c r="U178" i="4" s="1"/>
  <c r="V178" i="4" s="1"/>
  <c r="W178" i="4" s="1"/>
  <c r="X178" i="4" s="1"/>
  <c r="Y178" i="4" s="1"/>
  <c r="Z178" i="4" s="1"/>
  <c r="AA178" i="4" s="1"/>
  <c r="AB178" i="4" s="1"/>
  <c r="AC178" i="4" s="1"/>
  <c r="AD178" i="4" s="1"/>
  <c r="AE178" i="4" s="1"/>
  <c r="AF178" i="4" s="1"/>
  <c r="B178" i="4" s="1"/>
  <c r="E178" i="4"/>
  <c r="F178" i="4" s="1"/>
  <c r="G178" i="4" s="1"/>
  <c r="H178" i="4" s="1"/>
  <c r="I178" i="4" s="1"/>
  <c r="J178" i="4" s="1"/>
  <c r="K178" i="4" s="1"/>
  <c r="L178" i="4" s="1"/>
  <c r="M178" i="4" s="1"/>
  <c r="N178" i="4" s="1"/>
  <c r="O178" i="4" s="1"/>
  <c r="P178" i="4" s="1"/>
  <c r="Q178" i="4" s="1"/>
  <c r="R178" i="4" s="1"/>
  <c r="D178" i="4"/>
  <c r="J177" i="4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B177" i="4" s="1"/>
  <c r="E177" i="4"/>
  <c r="F177" i="4" s="1"/>
  <c r="G177" i="4" s="1"/>
  <c r="H177" i="4" s="1"/>
  <c r="I177" i="4" s="1"/>
  <c r="D177" i="4"/>
  <c r="P176" i="4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B176" i="4" s="1"/>
  <c r="F176" i="4"/>
  <c r="G176" i="4" s="1"/>
  <c r="H176" i="4" s="1"/>
  <c r="I176" i="4" s="1"/>
  <c r="J176" i="4" s="1"/>
  <c r="K176" i="4" s="1"/>
  <c r="L176" i="4" s="1"/>
  <c r="M176" i="4" s="1"/>
  <c r="N176" i="4" s="1"/>
  <c r="O176" i="4" s="1"/>
  <c r="E176" i="4"/>
  <c r="D176" i="4"/>
  <c r="D175" i="4"/>
  <c r="E175" i="4" s="1"/>
  <c r="F175" i="4" s="1"/>
  <c r="G175" i="4" s="1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B175" i="4" s="1"/>
  <c r="I174" i="4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B174" i="4" s="1"/>
  <c r="D174" i="4"/>
  <c r="E174" i="4" s="1"/>
  <c r="F174" i="4" s="1"/>
  <c r="G174" i="4" s="1"/>
  <c r="H174" i="4" s="1"/>
  <c r="E173" i="4"/>
  <c r="F173" i="4" s="1"/>
  <c r="G173" i="4" s="1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B173" i="4" s="1"/>
  <c r="D173" i="4"/>
  <c r="D172" i="4"/>
  <c r="E172" i="4" s="1"/>
  <c r="F172" i="4" s="1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B172" i="4" s="1"/>
  <c r="F171" i="4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B171" i="4" s="1"/>
  <c r="D171" i="4"/>
  <c r="E171" i="4" s="1"/>
  <c r="G169" i="4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B169" i="4" s="1"/>
  <c r="D169" i="4"/>
  <c r="E169" i="4" s="1"/>
  <c r="F169" i="4" s="1"/>
  <c r="E168" i="4"/>
  <c r="F168" i="4" s="1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B168" i="4" s="1"/>
  <c r="D168" i="4"/>
  <c r="AF167" i="4"/>
  <c r="H167" i="4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D167" i="4"/>
  <c r="E167" i="4" s="1"/>
  <c r="F167" i="4" s="1"/>
  <c r="G167" i="4" s="1"/>
  <c r="B167" i="4"/>
  <c r="D166" i="4"/>
  <c r="E166" i="4" s="1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B166" i="4" s="1"/>
  <c r="D165" i="4"/>
  <c r="E165" i="4" s="1"/>
  <c r="F165" i="4" s="1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B165" i="4" s="1"/>
  <c r="R164" i="4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B164" i="4" s="1"/>
  <c r="D164" i="4"/>
  <c r="E164" i="4" s="1"/>
  <c r="F164" i="4" s="1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Z163" i="4"/>
  <c r="AA163" i="4" s="1"/>
  <c r="AB163" i="4" s="1"/>
  <c r="AC163" i="4" s="1"/>
  <c r="AD163" i="4" s="1"/>
  <c r="AE163" i="4" s="1"/>
  <c r="AF163" i="4" s="1"/>
  <c r="B163" i="4" s="1"/>
  <c r="J163" i="4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D163" i="4"/>
  <c r="E163" i="4" s="1"/>
  <c r="F163" i="4" s="1"/>
  <c r="G163" i="4" s="1"/>
  <c r="H163" i="4" s="1"/>
  <c r="I163" i="4" s="1"/>
  <c r="V162" i="4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B162" i="4" s="1"/>
  <c r="D162" i="4"/>
  <c r="E162" i="4" s="1"/>
  <c r="F162" i="4" s="1"/>
  <c r="G162" i="4" s="1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L161" i="4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B161" i="4" s="1"/>
  <c r="G161" i="4"/>
  <c r="H161" i="4" s="1"/>
  <c r="I161" i="4" s="1"/>
  <c r="J161" i="4" s="1"/>
  <c r="K161" i="4" s="1"/>
  <c r="D161" i="4"/>
  <c r="E161" i="4" s="1"/>
  <c r="F161" i="4" s="1"/>
  <c r="M160" i="4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B160" i="4" s="1"/>
  <c r="J160" i="4"/>
  <c r="K160" i="4" s="1"/>
  <c r="L160" i="4" s="1"/>
  <c r="D160" i="4"/>
  <c r="E160" i="4" s="1"/>
  <c r="F160" i="4" s="1"/>
  <c r="G160" i="4" s="1"/>
  <c r="H160" i="4" s="1"/>
  <c r="I160" i="4" s="1"/>
  <c r="N159" i="4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B159" i="4" s="1"/>
  <c r="D159" i="4"/>
  <c r="E159" i="4" s="1"/>
  <c r="F159" i="4" s="1"/>
  <c r="G159" i="4" s="1"/>
  <c r="H159" i="4" s="1"/>
  <c r="I159" i="4" s="1"/>
  <c r="J159" i="4" s="1"/>
  <c r="K159" i="4" s="1"/>
  <c r="L159" i="4" s="1"/>
  <c r="M159" i="4" s="1"/>
  <c r="K158" i="4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B158" i="4" s="1"/>
  <c r="I158" i="4"/>
  <c r="J158" i="4" s="1"/>
  <c r="D158" i="4"/>
  <c r="E158" i="4" s="1"/>
  <c r="F158" i="4" s="1"/>
  <c r="G158" i="4" s="1"/>
  <c r="H158" i="4" s="1"/>
  <c r="AF157" i="4"/>
  <c r="B157" i="4" s="1"/>
  <c r="K157" i="4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D157" i="4"/>
  <c r="E157" i="4" s="1"/>
  <c r="F157" i="4" s="1"/>
  <c r="G157" i="4" s="1"/>
  <c r="H157" i="4" s="1"/>
  <c r="I157" i="4" s="1"/>
  <c r="J157" i="4" s="1"/>
  <c r="E155" i="4"/>
  <c r="F155" i="4" s="1"/>
  <c r="G155" i="4" s="1"/>
  <c r="H155" i="4" s="1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B155" i="4" s="1"/>
  <c r="D155" i="4"/>
  <c r="D154" i="4"/>
  <c r="E154" i="4" s="1"/>
  <c r="F154" i="4" s="1"/>
  <c r="G154" i="4" s="1"/>
  <c r="H154" i="4" s="1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B154" i="4" s="1"/>
  <c r="G153" i="4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B153" i="4" s="1"/>
  <c r="E153" i="4"/>
  <c r="F153" i="4" s="1"/>
  <c r="D153" i="4"/>
  <c r="E152" i="4"/>
  <c r="F152" i="4" s="1"/>
  <c r="G152" i="4" s="1"/>
  <c r="H152" i="4" s="1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B152" i="4" s="1"/>
  <c r="D152" i="4"/>
  <c r="AA150" i="4"/>
  <c r="AB150" i="4" s="1"/>
  <c r="AC150" i="4" s="1"/>
  <c r="AD150" i="4" s="1"/>
  <c r="AE150" i="4" s="1"/>
  <c r="AF150" i="4" s="1"/>
  <c r="B150" i="4" s="1"/>
  <c r="K150" i="4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E150" i="4"/>
  <c r="F150" i="4" s="1"/>
  <c r="G150" i="4" s="1"/>
  <c r="H150" i="4" s="1"/>
  <c r="I150" i="4" s="1"/>
  <c r="J150" i="4" s="1"/>
  <c r="D150" i="4"/>
  <c r="D149" i="4"/>
  <c r="E149" i="4" s="1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B149" i="4" s="1"/>
  <c r="R147" i="4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B147" i="4" s="1"/>
  <c r="I147" i="4"/>
  <c r="J147" i="4" s="1"/>
  <c r="K147" i="4" s="1"/>
  <c r="L147" i="4" s="1"/>
  <c r="M147" i="4" s="1"/>
  <c r="N147" i="4" s="1"/>
  <c r="O147" i="4" s="1"/>
  <c r="P147" i="4" s="1"/>
  <c r="Q147" i="4" s="1"/>
  <c r="G147" i="4"/>
  <c r="H147" i="4" s="1"/>
  <c r="E147" i="4"/>
  <c r="F147" i="4" s="1"/>
  <c r="D147" i="4"/>
  <c r="S146" i="4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B146" i="4" s="1"/>
  <c r="H146" i="4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G146" i="4"/>
  <c r="E146" i="4"/>
  <c r="F146" i="4" s="1"/>
  <c r="D146" i="4"/>
  <c r="F145" i="4"/>
  <c r="G145" i="4" s="1"/>
  <c r="H145" i="4" s="1"/>
  <c r="I145" i="4" s="1"/>
  <c r="J145" i="4" s="1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B145" i="4" s="1"/>
  <c r="E145" i="4"/>
  <c r="D145" i="4"/>
  <c r="I144" i="4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B144" i="4" s="1"/>
  <c r="G144" i="4"/>
  <c r="H144" i="4" s="1"/>
  <c r="D144" i="4"/>
  <c r="E144" i="4" s="1"/>
  <c r="F144" i="4" s="1"/>
  <c r="E143" i="4"/>
  <c r="F143" i="4" s="1"/>
  <c r="G143" i="4" s="1"/>
  <c r="H143" i="4" s="1"/>
  <c r="I143" i="4" s="1"/>
  <c r="J143" i="4" s="1"/>
  <c r="K143" i="4" s="1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B143" i="4" s="1"/>
  <c r="D143" i="4"/>
  <c r="E142" i="4"/>
  <c r="F142" i="4" s="1"/>
  <c r="G142" i="4" s="1"/>
  <c r="H142" i="4" s="1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B142" i="4" s="1"/>
  <c r="D142" i="4"/>
  <c r="Q141" i="4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B141" i="4" s="1"/>
  <c r="F141" i="4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E141" i="4"/>
  <c r="D141" i="4"/>
  <c r="G139" i="4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B139" i="4" s="1"/>
  <c r="D139" i="4"/>
  <c r="E139" i="4" s="1"/>
  <c r="F139" i="4" s="1"/>
  <c r="G138" i="4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B138" i="4" s="1"/>
  <c r="E138" i="4"/>
  <c r="F138" i="4" s="1"/>
  <c r="D138" i="4"/>
  <c r="D137" i="4"/>
  <c r="E137" i="4" s="1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B137" i="4" s="1"/>
  <c r="M136" i="4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B136" i="4" s="1"/>
  <c r="G136" i="4"/>
  <c r="H136" i="4" s="1"/>
  <c r="I136" i="4" s="1"/>
  <c r="J136" i="4" s="1"/>
  <c r="K136" i="4" s="1"/>
  <c r="L136" i="4" s="1"/>
  <c r="F136" i="4"/>
  <c r="E136" i="4"/>
  <c r="D136" i="4"/>
  <c r="E135" i="4"/>
  <c r="F135" i="4" s="1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B135" i="4" s="1"/>
  <c r="D135" i="4"/>
  <c r="E134" i="4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B134" i="4" s="1"/>
  <c r="D134" i="4"/>
  <c r="H133" i="4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B133" i="4" s="1"/>
  <c r="F133" i="4"/>
  <c r="G133" i="4" s="1"/>
  <c r="E133" i="4"/>
  <c r="D133" i="4"/>
  <c r="F132" i="4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B132" i="4" s="1"/>
  <c r="D132" i="4"/>
  <c r="E132" i="4" s="1"/>
  <c r="T130" i="4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B130" i="4" s="1"/>
  <c r="D130" i="4"/>
  <c r="E130" i="4" s="1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D129" i="4"/>
  <c r="E129" i="4" s="1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B129" i="4" s="1"/>
  <c r="H128" i="4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B128" i="4" s="1"/>
  <c r="F128" i="4"/>
  <c r="G128" i="4" s="1"/>
  <c r="E128" i="4"/>
  <c r="D128" i="4"/>
  <c r="Q127" i="4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B127" i="4" s="1"/>
  <c r="D127" i="4"/>
  <c r="E127" i="4" s="1"/>
  <c r="F127" i="4" s="1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L126" i="4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B126" i="4" s="1"/>
  <c r="J126" i="4"/>
  <c r="K126" i="4" s="1"/>
  <c r="H126" i="4"/>
  <c r="E126" i="4"/>
  <c r="F126" i="4" s="1"/>
  <c r="G126" i="4" s="1"/>
  <c r="D126" i="4"/>
  <c r="D125" i="4"/>
  <c r="E125" i="4" s="1"/>
  <c r="F125" i="4" s="1"/>
  <c r="G125" i="4" s="1"/>
  <c r="H125" i="4" s="1"/>
  <c r="I125" i="4" s="1"/>
  <c r="J125" i="4" s="1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B125" i="4" s="1"/>
  <c r="AE124" i="4"/>
  <c r="AF124" i="4" s="1"/>
  <c r="B124" i="4" s="1"/>
  <c r="R124" i="4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E124" i="4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D124" i="4"/>
  <c r="J123" i="4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B123" i="4" s="1"/>
  <c r="G123" i="4"/>
  <c r="H123" i="4" s="1"/>
  <c r="I123" i="4" s="1"/>
  <c r="E123" i="4"/>
  <c r="F123" i="4" s="1"/>
  <c r="D123" i="4"/>
  <c r="AC122" i="4"/>
  <c r="AD122" i="4" s="1"/>
  <c r="AE122" i="4" s="1"/>
  <c r="AF122" i="4" s="1"/>
  <c r="B122" i="4" s="1"/>
  <c r="P122" i="4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F122" i="4"/>
  <c r="G122" i="4" s="1"/>
  <c r="H122" i="4" s="1"/>
  <c r="I122" i="4" s="1"/>
  <c r="J122" i="4" s="1"/>
  <c r="K122" i="4" s="1"/>
  <c r="L122" i="4" s="1"/>
  <c r="M122" i="4" s="1"/>
  <c r="N122" i="4" s="1"/>
  <c r="O122" i="4" s="1"/>
  <c r="E122" i="4"/>
  <c r="D122" i="4"/>
  <c r="G121" i="4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B121" i="4" s="1"/>
  <c r="F121" i="4"/>
  <c r="D121" i="4"/>
  <c r="E121" i="4" s="1"/>
  <c r="O120" i="4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B120" i="4" s="1"/>
  <c r="J120" i="4"/>
  <c r="K120" i="4" s="1"/>
  <c r="L120" i="4" s="1"/>
  <c r="M120" i="4" s="1"/>
  <c r="N120" i="4" s="1"/>
  <c r="G120" i="4"/>
  <c r="H120" i="4" s="1"/>
  <c r="I120" i="4" s="1"/>
  <c r="E120" i="4"/>
  <c r="F120" i="4" s="1"/>
  <c r="D120" i="4"/>
  <c r="H119" i="4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B119" i="4" s="1"/>
  <c r="D119" i="4"/>
  <c r="E119" i="4" s="1"/>
  <c r="F119" i="4" s="1"/>
  <c r="G119" i="4" s="1"/>
  <c r="H118" i="4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B118" i="4" s="1"/>
  <c r="F118" i="4"/>
  <c r="G118" i="4" s="1"/>
  <c r="D118" i="4"/>
  <c r="E118" i="4" s="1"/>
  <c r="D117" i="4"/>
  <c r="E117" i="4" s="1"/>
  <c r="F117" i="4" s="1"/>
  <c r="G117" i="4" s="1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B117" i="4" s="1"/>
  <c r="D116" i="4"/>
  <c r="E116" i="4" s="1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B116" i="4" s="1"/>
  <c r="N115" i="4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B115" i="4" s="1"/>
  <c r="K115" i="4"/>
  <c r="L115" i="4" s="1"/>
  <c r="M115" i="4" s="1"/>
  <c r="E115" i="4"/>
  <c r="F115" i="4" s="1"/>
  <c r="G115" i="4" s="1"/>
  <c r="H115" i="4" s="1"/>
  <c r="I115" i="4" s="1"/>
  <c r="D115" i="4"/>
  <c r="E114" i="4"/>
  <c r="F114" i="4" s="1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B114" i="4" s="1"/>
  <c r="D114" i="4"/>
  <c r="E113" i="4"/>
  <c r="F113" i="4" s="1"/>
  <c r="G113" i="4" s="1"/>
  <c r="H113" i="4" s="1"/>
  <c r="I113" i="4" s="1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B113" i="4" s="1"/>
  <c r="D113" i="4"/>
  <c r="G111" i="4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B111" i="4" s="1"/>
  <c r="D111" i="4"/>
  <c r="E111" i="4" s="1"/>
  <c r="F111" i="4" s="1"/>
  <c r="D110" i="4"/>
  <c r="E110" i="4" s="1"/>
  <c r="G108" i="4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B108" i="4" s="1"/>
  <c r="E108" i="4"/>
  <c r="F108" i="4" s="1"/>
  <c r="D108" i="4"/>
  <c r="H107" i="4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B107" i="4" s="1"/>
  <c r="E107" i="4"/>
  <c r="F107" i="4" s="1"/>
  <c r="G107" i="4" s="1"/>
  <c r="D107" i="4"/>
  <c r="D106" i="4"/>
  <c r="E106" i="4" s="1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B106" i="4" s="1"/>
  <c r="D105" i="4"/>
  <c r="E105" i="4" s="1"/>
  <c r="F105" i="4" s="1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B105" i="4" s="1"/>
  <c r="G104" i="4"/>
  <c r="H104" i="4" s="1"/>
  <c r="E104" i="4"/>
  <c r="F104" i="4" s="1"/>
  <c r="D104" i="4"/>
  <c r="E103" i="4"/>
  <c r="F103" i="4" s="1"/>
  <c r="D103" i="4"/>
  <c r="AH100" i="4"/>
  <c r="AI100" i="4" s="1"/>
  <c r="AH99" i="4"/>
  <c r="AI99" i="4" s="1"/>
  <c r="AH98" i="4"/>
  <c r="AI98" i="4" s="1"/>
  <c r="AH97" i="4"/>
  <c r="AI97" i="4" s="1"/>
  <c r="AH96" i="4"/>
  <c r="AI96" i="4" s="1"/>
  <c r="AH95" i="4"/>
  <c r="AI95" i="4" s="1"/>
  <c r="AH94" i="4"/>
  <c r="AI94" i="4" s="1"/>
  <c r="C93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G82" i="4"/>
  <c r="AI81" i="4"/>
  <c r="AH81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P82" i="4" s="1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F79" i="4"/>
  <c r="AE79" i="4"/>
  <c r="AD79" i="4"/>
  <c r="AC79" i="4"/>
  <c r="AB79" i="4"/>
  <c r="AB82" i="4" s="1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F77" i="4"/>
  <c r="AE77" i="4"/>
  <c r="AD77" i="4"/>
  <c r="AD82" i="4" s="1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F82" i="4" s="1"/>
  <c r="F83" i="4" s="1"/>
  <c r="E77" i="4"/>
  <c r="D77" i="4"/>
  <c r="C77" i="4"/>
  <c r="B77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R82" i="4" s="1"/>
  <c r="Q76" i="4"/>
  <c r="P76" i="4"/>
  <c r="O76" i="4"/>
  <c r="N76" i="4"/>
  <c r="M76" i="4"/>
  <c r="M82" i="4" s="1"/>
  <c r="L76" i="4"/>
  <c r="K76" i="4"/>
  <c r="J76" i="4"/>
  <c r="J82" i="4" s="1"/>
  <c r="I76" i="4"/>
  <c r="H76" i="4"/>
  <c r="G76" i="4"/>
  <c r="F76" i="4"/>
  <c r="E76" i="4"/>
  <c r="D76" i="4"/>
  <c r="C76" i="4"/>
  <c r="B76" i="4"/>
  <c r="AG75" i="4"/>
  <c r="AI74" i="4"/>
  <c r="AH74" i="4"/>
  <c r="AI72" i="4"/>
  <c r="AH72" i="4"/>
  <c r="AG72" i="4"/>
  <c r="AI71" i="4"/>
  <c r="AH71" i="4"/>
  <c r="AI70" i="4"/>
  <c r="AH70" i="4"/>
  <c r="AI69" i="4"/>
  <c r="AH69" i="4"/>
  <c r="AG68" i="4"/>
  <c r="AF68" i="4"/>
  <c r="AE5" i="4" s="1"/>
  <c r="AE68" i="4"/>
  <c r="AD5" i="4" s="1"/>
  <c r="AD68" i="4"/>
  <c r="AC5" i="4" s="1"/>
  <c r="AC68" i="4"/>
  <c r="AB5" i="4" s="1"/>
  <c r="AB68" i="4"/>
  <c r="AA5" i="4" s="1"/>
  <c r="AA68" i="4"/>
  <c r="Z68" i="4"/>
  <c r="Y5" i="4" s="1"/>
  <c r="Y68" i="4"/>
  <c r="X68" i="4"/>
  <c r="W5" i="4" s="1"/>
  <c r="W68" i="4"/>
  <c r="V5" i="4" s="1"/>
  <c r="V68" i="4"/>
  <c r="U5" i="4" s="1"/>
  <c r="U68" i="4"/>
  <c r="T5" i="4" s="1"/>
  <c r="T68" i="4"/>
  <c r="S5" i="4" s="1"/>
  <c r="S68" i="4"/>
  <c r="R68" i="4"/>
  <c r="Q5" i="4" s="1"/>
  <c r="Q68" i="4"/>
  <c r="P68" i="4"/>
  <c r="O5" i="4" s="1"/>
  <c r="O68" i="4"/>
  <c r="N5" i="4" s="1"/>
  <c r="N68" i="4"/>
  <c r="M5" i="4" s="1"/>
  <c r="M68" i="4"/>
  <c r="L5" i="4" s="1"/>
  <c r="L68" i="4"/>
  <c r="K5" i="4" s="1"/>
  <c r="K68" i="4"/>
  <c r="J68" i="4"/>
  <c r="I5" i="4" s="1"/>
  <c r="I68" i="4"/>
  <c r="H5" i="4" s="1"/>
  <c r="H68" i="4"/>
  <c r="G5" i="4" s="1"/>
  <c r="G68" i="4"/>
  <c r="F5" i="4" s="1"/>
  <c r="F68" i="4"/>
  <c r="E68" i="4"/>
  <c r="D5" i="4" s="1"/>
  <c r="D68" i="4"/>
  <c r="C5" i="4" s="1"/>
  <c r="C68" i="4"/>
  <c r="B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G56" i="4"/>
  <c r="AG4" i="4" s="1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I55" i="4"/>
  <c r="AH55" i="4"/>
  <c r="AI54" i="4"/>
  <c r="AH54" i="4"/>
  <c r="AI53" i="4"/>
  <c r="AH53" i="4"/>
  <c r="AG52" i="4"/>
  <c r="AF52" i="4"/>
  <c r="AE52" i="4"/>
  <c r="AD52" i="4"/>
  <c r="AC52" i="4"/>
  <c r="AB52" i="4"/>
  <c r="AA52" i="4"/>
  <c r="Z52" i="4"/>
  <c r="Y52" i="4"/>
  <c r="X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I51" i="4"/>
  <c r="AH51" i="4"/>
  <c r="AG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G38" i="4"/>
  <c r="AG2" i="4" s="1"/>
  <c r="AG6" i="4" s="1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F73" i="4" s="1"/>
  <c r="F75" i="4" s="1"/>
  <c r="E38" i="4"/>
  <c r="D38" i="4"/>
  <c r="C38" i="4"/>
  <c r="B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E5" i="4"/>
  <c r="K4" i="4"/>
  <c r="B4" i="4"/>
  <c r="AG3" i="4"/>
  <c r="AF95" i="3"/>
  <c r="AF56" i="3"/>
  <c r="AF37" i="3"/>
  <c r="AE37" i="3"/>
  <c r="E4" i="4"/>
  <c r="AF82" i="4" l="1"/>
  <c r="AF73" i="4"/>
  <c r="AF75" i="4" s="1"/>
  <c r="AE73" i="4"/>
  <c r="AE75" i="4" s="1"/>
  <c r="AE7" i="4" s="1"/>
  <c r="AE82" i="4"/>
  <c r="AE83" i="4" s="1"/>
  <c r="AD73" i="4"/>
  <c r="AD75" i="4" s="1"/>
  <c r="AV215" i="4" s="1"/>
  <c r="AD83" i="4"/>
  <c r="AC82" i="4"/>
  <c r="AC73" i="4"/>
  <c r="AC75" i="4" s="1"/>
  <c r="AB73" i="4"/>
  <c r="AB75" i="4" s="1"/>
  <c r="AT215" i="4" s="1"/>
  <c r="AA82" i="4"/>
  <c r="AA83" i="4" s="1"/>
  <c r="AA73" i="4"/>
  <c r="AA75" i="4" s="1"/>
  <c r="Z5" i="4"/>
  <c r="Z82" i="4"/>
  <c r="Z83" i="4"/>
  <c r="Z73" i="4"/>
  <c r="Z75" i="4" s="1"/>
  <c r="AR215" i="4" s="1"/>
  <c r="X82" i="4"/>
  <c r="X83" i="4" s="1"/>
  <c r="X73" i="4"/>
  <c r="X75" i="4" s="1"/>
  <c r="AP215" i="4" s="1"/>
  <c r="Y82" i="4"/>
  <c r="Y83" i="4" s="1"/>
  <c r="X5" i="4"/>
  <c r="Y73" i="4"/>
  <c r="Y75" i="4" s="1"/>
  <c r="Y7" i="4" s="1"/>
  <c r="W82" i="4"/>
  <c r="W73" i="4"/>
  <c r="W75" i="4" s="1"/>
  <c r="AO215" i="4" s="1"/>
  <c r="W83" i="4"/>
  <c r="V73" i="4"/>
  <c r="V75" i="4" s="1"/>
  <c r="AN215" i="4" s="1"/>
  <c r="V82" i="4"/>
  <c r="V83" i="4" s="1"/>
  <c r="U82" i="4"/>
  <c r="U73" i="4"/>
  <c r="U75" i="4" s="1"/>
  <c r="S82" i="4"/>
  <c r="S83" i="4"/>
  <c r="R5" i="4"/>
  <c r="S73" i="4"/>
  <c r="S75" i="4" s="1"/>
  <c r="AK215" i="4" s="1"/>
  <c r="T73" i="4"/>
  <c r="T75" i="4" s="1"/>
  <c r="AL215" i="4" s="1"/>
  <c r="T82" i="4"/>
  <c r="T83" i="4" s="1"/>
  <c r="R83" i="4"/>
  <c r="R73" i="4"/>
  <c r="R75" i="4" s="1"/>
  <c r="P5" i="4"/>
  <c r="Q82" i="4"/>
  <c r="Q83" i="4" s="1"/>
  <c r="Q73" i="4"/>
  <c r="Q75" i="4" s="1"/>
  <c r="AI215" i="4" s="1"/>
  <c r="P73" i="4"/>
  <c r="P75" i="4" s="1"/>
  <c r="O82" i="4"/>
  <c r="O83" i="4" s="1"/>
  <c r="O73" i="4"/>
  <c r="O75" i="4" s="1"/>
  <c r="AG215" i="4" s="1"/>
  <c r="N82" i="4"/>
  <c r="N83" i="4"/>
  <c r="N73" i="4"/>
  <c r="N75" i="4" s="1"/>
  <c r="AF215" i="4" s="1"/>
  <c r="M73" i="4"/>
  <c r="M75" i="4" s="1"/>
  <c r="AE215" i="4" s="1"/>
  <c r="L82" i="4"/>
  <c r="L73" i="4"/>
  <c r="L75" i="4" s="1"/>
  <c r="AD215" i="4" s="1"/>
  <c r="AI78" i="4"/>
  <c r="AH78" i="4"/>
  <c r="K82" i="4"/>
  <c r="K83" i="4" s="1"/>
  <c r="J5" i="4"/>
  <c r="K73" i="4"/>
  <c r="K75" i="4" s="1"/>
  <c r="AC215" i="4" s="1"/>
  <c r="J83" i="4"/>
  <c r="J73" i="4"/>
  <c r="J75" i="4" s="1"/>
  <c r="AB215" i="4" s="1"/>
  <c r="I82" i="4"/>
  <c r="I83" i="4" s="1"/>
  <c r="I73" i="4"/>
  <c r="I75" i="4" s="1"/>
  <c r="AA215" i="4" s="1"/>
  <c r="H82" i="4"/>
  <c r="H83" i="4" s="1"/>
  <c r="H73" i="4"/>
  <c r="H75" i="4" s="1"/>
  <c r="H7" i="4" s="1"/>
  <c r="G82" i="4"/>
  <c r="AI79" i="4"/>
  <c r="G83" i="4"/>
  <c r="AH80" i="4"/>
  <c r="G73" i="4"/>
  <c r="G75" i="4" s="1"/>
  <c r="Y215" i="4" s="1"/>
  <c r="E82" i="4"/>
  <c r="E73" i="4"/>
  <c r="E75" i="4" s="1"/>
  <c r="E7" i="4" s="1"/>
  <c r="D82" i="4"/>
  <c r="AI56" i="4"/>
  <c r="D73" i="4"/>
  <c r="D75" i="4" s="1"/>
  <c r="V215" i="4" s="1"/>
  <c r="AI52" i="4"/>
  <c r="AI80" i="4"/>
  <c r="C82" i="4"/>
  <c r="C83" i="4" s="1"/>
  <c r="AI68" i="4"/>
  <c r="C73" i="4"/>
  <c r="C75" i="4" s="1"/>
  <c r="U215" i="4" s="1"/>
  <c r="AH77" i="4"/>
  <c r="AI76" i="4"/>
  <c r="B5" i="4"/>
  <c r="AI38" i="4"/>
  <c r="AF5" i="4"/>
  <c r="H4" i="4"/>
  <c r="Z215" i="4"/>
  <c r="AH215" i="4"/>
  <c r="P7" i="4"/>
  <c r="AX215" i="4"/>
  <c r="AF7" i="4"/>
  <c r="F110" i="4"/>
  <c r="I104" i="4"/>
  <c r="AW215" i="4"/>
  <c r="AJ215" i="4"/>
  <c r="R7" i="4"/>
  <c r="AQ215" i="4"/>
  <c r="C7" i="4"/>
  <c r="AS215" i="4"/>
  <c r="AA7" i="4"/>
  <c r="E83" i="4"/>
  <c r="U83" i="4"/>
  <c r="AC83" i="4"/>
  <c r="F193" i="4"/>
  <c r="G103" i="4"/>
  <c r="AM215" i="4"/>
  <c r="U7" i="4"/>
  <c r="O7" i="4"/>
  <c r="Q7" i="4"/>
  <c r="M83" i="4"/>
  <c r="AU215" i="4"/>
  <c r="AC7" i="4"/>
  <c r="X215" i="4"/>
  <c r="F7" i="4"/>
  <c r="AD7" i="4"/>
  <c r="AG73" i="4"/>
  <c r="AG83" i="4" s="1"/>
  <c r="AH38" i="4"/>
  <c r="B73" i="4"/>
  <c r="AH79" i="4"/>
  <c r="D83" i="4"/>
  <c r="L83" i="4"/>
  <c r="AB83" i="4"/>
  <c r="AI77" i="4"/>
  <c r="E193" i="4"/>
  <c r="D93" i="4"/>
  <c r="AH52" i="4"/>
  <c r="AH56" i="4"/>
  <c r="AH68" i="4"/>
  <c r="AH76" i="4"/>
  <c r="B82" i="4"/>
  <c r="P83" i="4"/>
  <c r="AF83" i="4"/>
  <c r="D212" i="4"/>
  <c r="S212" i="4"/>
  <c r="D193" i="4"/>
  <c r="F195" i="4"/>
  <c r="E196" i="4"/>
  <c r="F196" i="4" s="1"/>
  <c r="G196" i="4" s="1"/>
  <c r="H196" i="4" s="1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B196" i="4" s="1"/>
  <c r="E200" i="4"/>
  <c r="AB7" i="4" l="1"/>
  <c r="Z7" i="4"/>
  <c r="X7" i="4"/>
  <c r="W7" i="4"/>
  <c r="V7" i="4"/>
  <c r="T7" i="4"/>
  <c r="S7" i="4"/>
  <c r="N7" i="4"/>
  <c r="M7" i="4"/>
  <c r="L7" i="4"/>
  <c r="K7" i="4"/>
  <c r="J7" i="4"/>
  <c r="I7" i="4"/>
  <c r="G7" i="4"/>
  <c r="B210" i="4"/>
  <c r="C210" i="4"/>
  <c r="K6" i="4" s="1"/>
  <c r="W215" i="4"/>
  <c r="D7" i="4"/>
  <c r="J104" i="4"/>
  <c r="G195" i="4"/>
  <c r="F201" i="4"/>
  <c r="AI82" i="4"/>
  <c r="AH82" i="4"/>
  <c r="B83" i="4"/>
  <c r="F200" i="4"/>
  <c r="D236" i="4"/>
  <c r="E201" i="4"/>
  <c r="E93" i="4"/>
  <c r="B75" i="4"/>
  <c r="AI73" i="4"/>
  <c r="AH73" i="4"/>
  <c r="G110" i="4"/>
  <c r="F93" i="4"/>
  <c r="G193" i="4"/>
  <c r="H103" i="4"/>
  <c r="I103" i="4" l="1"/>
  <c r="H195" i="4"/>
  <c r="G200" i="4"/>
  <c r="E236" i="4"/>
  <c r="K104" i="4"/>
  <c r="AH83" i="4"/>
  <c r="AI83" i="4"/>
  <c r="T215" i="4"/>
  <c r="B7" i="4"/>
  <c r="A7" i="4" s="1"/>
  <c r="AI75" i="4"/>
  <c r="AH75" i="4"/>
  <c r="H110" i="4"/>
  <c r="G93" i="4"/>
  <c r="J103" i="4" l="1"/>
  <c r="L104" i="4"/>
  <c r="I110" i="4"/>
  <c r="H93" i="4"/>
  <c r="F236" i="4"/>
  <c r="H200" i="4"/>
  <c r="G201" i="4"/>
  <c r="I195" i="4"/>
  <c r="H201" i="4"/>
  <c r="H193" i="4"/>
  <c r="M104" i="4" l="1"/>
  <c r="J110" i="4"/>
  <c r="I93" i="4"/>
  <c r="J195" i="4"/>
  <c r="I201" i="4"/>
  <c r="J193" i="4"/>
  <c r="K103" i="4"/>
  <c r="I193" i="4"/>
  <c r="G236" i="4"/>
  <c r="I200" i="4"/>
  <c r="L103" i="4" l="1"/>
  <c r="K195" i="4"/>
  <c r="H236" i="4"/>
  <c r="J200" i="4"/>
  <c r="K110" i="4"/>
  <c r="J93" i="4"/>
  <c r="N104" i="4"/>
  <c r="L110" i="4" l="1"/>
  <c r="I236" i="4"/>
  <c r="K200" i="4"/>
  <c r="K201" i="4"/>
  <c r="L195" i="4"/>
  <c r="J201" i="4"/>
  <c r="L193" i="4"/>
  <c r="M103" i="4"/>
  <c r="O104" i="4"/>
  <c r="K193" i="4"/>
  <c r="M195" i="4" l="1"/>
  <c r="J236" i="4"/>
  <c r="L200" i="4"/>
  <c r="P104" i="4"/>
  <c r="K93" i="4"/>
  <c r="M193" i="4"/>
  <c r="N103" i="4"/>
  <c r="M110" i="4"/>
  <c r="L93" i="4"/>
  <c r="Q104" i="4" l="1"/>
  <c r="K236" i="4"/>
  <c r="M200" i="4"/>
  <c r="N110" i="4"/>
  <c r="M93" i="4"/>
  <c r="N195" i="4"/>
  <c r="M201" i="4"/>
  <c r="O103" i="4"/>
  <c r="L201" i="4"/>
  <c r="O195" i="4" l="1"/>
  <c r="O110" i="4"/>
  <c r="N93" i="4"/>
  <c r="N200" i="4"/>
  <c r="N201" i="4" s="1"/>
  <c r="L236" i="4"/>
  <c r="O193" i="4"/>
  <c r="P103" i="4"/>
  <c r="N193" i="4"/>
  <c r="R104" i="4"/>
  <c r="Q103" i="4" l="1"/>
  <c r="S104" i="4"/>
  <c r="P110" i="4"/>
  <c r="O93" i="4"/>
  <c r="M236" i="4"/>
  <c r="O200" i="4"/>
  <c r="P195" i="4"/>
  <c r="N236" i="4" l="1"/>
  <c r="P200" i="4"/>
  <c r="Q110" i="4"/>
  <c r="P93" i="4"/>
  <c r="T104" i="4"/>
  <c r="O201" i="4"/>
  <c r="Q193" i="4"/>
  <c r="R103" i="4"/>
  <c r="Q195" i="4"/>
  <c r="P201" i="4"/>
  <c r="P193" i="4"/>
  <c r="U104" i="4" l="1"/>
  <c r="R110" i="4"/>
  <c r="Q93" i="4"/>
  <c r="R195" i="4"/>
  <c r="O236" i="4"/>
  <c r="Q200" i="4"/>
  <c r="S103" i="4"/>
  <c r="S110" i="4" l="1"/>
  <c r="P236" i="4"/>
  <c r="R200" i="4"/>
  <c r="S195" i="4"/>
  <c r="R201" i="4"/>
  <c r="S193" i="4"/>
  <c r="T103" i="4"/>
  <c r="Q201" i="4"/>
  <c r="R193" i="4"/>
  <c r="V104" i="4"/>
  <c r="U103" i="4" l="1"/>
  <c r="T195" i="4"/>
  <c r="S200" i="4"/>
  <c r="S201" i="4" s="1"/>
  <c r="Q236" i="4"/>
  <c r="W104" i="4"/>
  <c r="R93" i="4"/>
  <c r="T110" i="4"/>
  <c r="S93" i="4"/>
  <c r="X104" i="4" l="1"/>
  <c r="U195" i="4"/>
  <c r="R236" i="4"/>
  <c r="T200" i="4"/>
  <c r="T201" i="4" s="1"/>
  <c r="U110" i="4"/>
  <c r="T93" i="4"/>
  <c r="V103" i="4"/>
  <c r="T193" i="4"/>
  <c r="V110" i="4" l="1"/>
  <c r="U93" i="4"/>
  <c r="S236" i="4"/>
  <c r="U200" i="4"/>
  <c r="U201" i="4"/>
  <c r="V195" i="4"/>
  <c r="V193" i="4"/>
  <c r="W103" i="4"/>
  <c r="Y104" i="4"/>
  <c r="U193" i="4"/>
  <c r="V200" i="4" l="1"/>
  <c r="T236" i="4"/>
  <c r="W193" i="4"/>
  <c r="X103" i="4"/>
  <c r="V201" i="4"/>
  <c r="W195" i="4"/>
  <c r="Z104" i="4"/>
  <c r="W110" i="4"/>
  <c r="V93" i="4"/>
  <c r="Y103" i="4" l="1"/>
  <c r="AA104" i="4"/>
  <c r="X195" i="4"/>
  <c r="W201" i="4"/>
  <c r="X110" i="4"/>
  <c r="W93" i="4"/>
  <c r="U236" i="4"/>
  <c r="W200" i="4"/>
  <c r="Y110" i="4" l="1"/>
  <c r="AB104" i="4"/>
  <c r="V236" i="4"/>
  <c r="X200" i="4"/>
  <c r="Y193" i="4"/>
  <c r="Z103" i="4"/>
  <c r="Y195" i="4"/>
  <c r="X193" i="4"/>
  <c r="AA103" i="4" l="1"/>
  <c r="AC104" i="4"/>
  <c r="W236" i="4"/>
  <c r="Y200" i="4"/>
  <c r="X93" i="4"/>
  <c r="Z195" i="4"/>
  <c r="X201" i="4"/>
  <c r="Z110" i="4"/>
  <c r="Y93" i="4"/>
  <c r="X236" i="4" l="1"/>
  <c r="Z200" i="4"/>
  <c r="AA195" i="4"/>
  <c r="Z201" i="4"/>
  <c r="AD104" i="4"/>
  <c r="AA193" i="4"/>
  <c r="AB103" i="4"/>
  <c r="AA110" i="4"/>
  <c r="Z93" i="4"/>
  <c r="Y201" i="4"/>
  <c r="Z193" i="4"/>
  <c r="AE104" i="4" l="1"/>
  <c r="AB193" i="4"/>
  <c r="AC103" i="4"/>
  <c r="AA200" i="4"/>
  <c r="Y236" i="4"/>
  <c r="AA201" i="4"/>
  <c r="AB195" i="4"/>
  <c r="AB110" i="4"/>
  <c r="AA93" i="4"/>
  <c r="AB200" i="4" l="1"/>
  <c r="Z236" i="4"/>
  <c r="AD103" i="4"/>
  <c r="AB201" i="4"/>
  <c r="AC195" i="4"/>
  <c r="AC110" i="4"/>
  <c r="AC193" i="4" s="1"/>
  <c r="AB93" i="4"/>
  <c r="AF104" i="4"/>
  <c r="AE103" i="4" l="1"/>
  <c r="AD110" i="4"/>
  <c r="AC93" i="4"/>
  <c r="AD195" i="4"/>
  <c r="AC201" i="4"/>
  <c r="B104" i="4"/>
  <c r="AA236" i="4"/>
  <c r="AC200" i="4"/>
  <c r="AE195" i="4" l="1"/>
  <c r="AD201" i="4"/>
  <c r="AD200" i="4"/>
  <c r="AB236" i="4"/>
  <c r="AF103" i="4"/>
  <c r="AE110" i="4"/>
  <c r="AE193" i="4" s="1"/>
  <c r="AD93" i="4"/>
  <c r="AD193" i="4"/>
  <c r="AE200" i="4" l="1"/>
  <c r="AC236" i="4"/>
  <c r="AF110" i="4"/>
  <c r="AE93" i="4"/>
  <c r="AF195" i="4"/>
  <c r="AE201" i="4"/>
  <c r="AF193" i="4"/>
  <c r="B103" i="4"/>
  <c r="B195" i="4" l="1"/>
  <c r="B110" i="4"/>
  <c r="B193" i="4"/>
  <c r="AD236" i="4"/>
  <c r="AF200" i="4"/>
  <c r="AE236" i="4" l="1"/>
  <c r="B200" i="4"/>
  <c r="AF236" i="4" s="1"/>
  <c r="B201" i="4"/>
  <c r="AF93" i="4"/>
  <c r="AF201" i="4"/>
  <c r="AI93" i="4" l="1"/>
  <c r="AH93" i="4"/>
  <c r="B93" i="4"/>
  <c r="AD95" i="3" l="1"/>
  <c r="AD37" i="3"/>
  <c r="AC95" i="3"/>
  <c r="AC37" i="3"/>
  <c r="AB95" i="3"/>
  <c r="AB37" i="3"/>
  <c r="AA95" i="3"/>
  <c r="AA37" i="3"/>
  <c r="Z95" i="3"/>
  <c r="Z37" i="3"/>
  <c r="Y95" i="3"/>
  <c r="Y37" i="3"/>
  <c r="X95" i="3"/>
  <c r="U95" i="3"/>
  <c r="U37" i="3"/>
  <c r="T95" i="3"/>
  <c r="T37" i="3"/>
  <c r="S95" i="3" l="1"/>
  <c r="S37" i="3"/>
  <c r="R37" i="3"/>
  <c r="Q37" i="3"/>
  <c r="P37" i="3"/>
  <c r="O37" i="3"/>
  <c r="N37" i="3" l="1"/>
  <c r="M37" i="3" l="1"/>
  <c r="J37" i="3"/>
  <c r="I37" i="3"/>
  <c r="H37" i="3"/>
  <c r="AH101" i="3"/>
  <c r="AI101" i="3" s="1"/>
  <c r="D95" i="3"/>
  <c r="D68" i="3"/>
  <c r="E68" i="3"/>
  <c r="F68" i="3"/>
  <c r="E5" i="3" s="1"/>
  <c r="G68" i="3"/>
  <c r="F5" i="3" s="1"/>
  <c r="H68" i="3"/>
  <c r="G5" i="3" s="1"/>
  <c r="I68" i="3"/>
  <c r="H5" i="3" s="1"/>
  <c r="J68" i="3"/>
  <c r="I5" i="3" s="1"/>
  <c r="K68" i="3"/>
  <c r="L68" i="3"/>
  <c r="K5" i="3" s="1"/>
  <c r="M68" i="3"/>
  <c r="L5" i="3" s="1"/>
  <c r="N68" i="3"/>
  <c r="M5" i="3" s="1"/>
  <c r="O68" i="3"/>
  <c r="P68" i="3"/>
  <c r="Q68" i="3"/>
  <c r="R68" i="3"/>
  <c r="S68" i="3"/>
  <c r="T68" i="3"/>
  <c r="S5" i="3" s="1"/>
  <c r="U68" i="3"/>
  <c r="T5" i="3" s="1"/>
  <c r="V68" i="3"/>
  <c r="U5" i="3" s="1"/>
  <c r="W68" i="3"/>
  <c r="X68" i="3"/>
  <c r="Y68" i="3"/>
  <c r="Z68" i="3"/>
  <c r="AA68" i="3"/>
  <c r="AB68" i="3"/>
  <c r="AC68" i="3"/>
  <c r="AB5" i="3" s="1"/>
  <c r="AD68" i="3"/>
  <c r="AE68" i="3"/>
  <c r="AF68" i="3"/>
  <c r="D37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B236" i="3"/>
  <c r="S211" i="3"/>
  <c r="AG201" i="3"/>
  <c r="C201" i="3"/>
  <c r="F200" i="3"/>
  <c r="D200" i="3"/>
  <c r="E200" i="3" s="1"/>
  <c r="D236" i="3" s="1"/>
  <c r="Y199" i="3"/>
  <c r="Z199" i="3" s="1"/>
  <c r="AA199" i="3" s="1"/>
  <c r="AB199" i="3" s="1"/>
  <c r="AC199" i="3" s="1"/>
  <c r="AD199" i="3" s="1"/>
  <c r="AE199" i="3" s="1"/>
  <c r="AF199" i="3" s="1"/>
  <c r="B199" i="3" s="1"/>
  <c r="D199" i="3"/>
  <c r="E199" i="3" s="1"/>
  <c r="F199" i="3" s="1"/>
  <c r="G199" i="3" s="1"/>
  <c r="H199" i="3" s="1"/>
  <c r="I199" i="3" s="1"/>
  <c r="J199" i="3" s="1"/>
  <c r="K199" i="3" s="1"/>
  <c r="L199" i="3" s="1"/>
  <c r="M199" i="3" s="1"/>
  <c r="N199" i="3" s="1"/>
  <c r="O199" i="3" s="1"/>
  <c r="P199" i="3" s="1"/>
  <c r="Q199" i="3" s="1"/>
  <c r="R199" i="3" s="1"/>
  <c r="S199" i="3" s="1"/>
  <c r="T199" i="3" s="1"/>
  <c r="U199" i="3" s="1"/>
  <c r="V199" i="3" s="1"/>
  <c r="W199" i="3" s="1"/>
  <c r="X199" i="3" s="1"/>
  <c r="F198" i="3"/>
  <c r="G198" i="3" s="1"/>
  <c r="H198" i="3" s="1"/>
  <c r="I198" i="3" s="1"/>
  <c r="J198" i="3" s="1"/>
  <c r="K198" i="3" s="1"/>
  <c r="L198" i="3" s="1"/>
  <c r="M198" i="3" s="1"/>
  <c r="N198" i="3" s="1"/>
  <c r="O198" i="3" s="1"/>
  <c r="P198" i="3" s="1"/>
  <c r="Q198" i="3" s="1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B198" i="3" s="1"/>
  <c r="D198" i="3"/>
  <c r="E198" i="3" s="1"/>
  <c r="F197" i="3"/>
  <c r="G197" i="3" s="1"/>
  <c r="H197" i="3" s="1"/>
  <c r="I197" i="3" s="1"/>
  <c r="J197" i="3" s="1"/>
  <c r="K197" i="3" s="1"/>
  <c r="L197" i="3" s="1"/>
  <c r="M197" i="3" s="1"/>
  <c r="N197" i="3" s="1"/>
  <c r="O197" i="3" s="1"/>
  <c r="P197" i="3" s="1"/>
  <c r="Q197" i="3" s="1"/>
  <c r="R197" i="3" s="1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B197" i="3" s="1"/>
  <c r="D197" i="3"/>
  <c r="E197" i="3" s="1"/>
  <c r="K196" i="3"/>
  <c r="L196" i="3" s="1"/>
  <c r="M196" i="3" s="1"/>
  <c r="N196" i="3" s="1"/>
  <c r="O196" i="3" s="1"/>
  <c r="P196" i="3" s="1"/>
  <c r="Q196" i="3" s="1"/>
  <c r="R196" i="3" s="1"/>
  <c r="S196" i="3" s="1"/>
  <c r="T196" i="3" s="1"/>
  <c r="U196" i="3" s="1"/>
  <c r="V196" i="3" s="1"/>
  <c r="W196" i="3" s="1"/>
  <c r="X196" i="3" s="1"/>
  <c r="Y196" i="3" s="1"/>
  <c r="Z196" i="3" s="1"/>
  <c r="AA196" i="3" s="1"/>
  <c r="AB196" i="3" s="1"/>
  <c r="AC196" i="3" s="1"/>
  <c r="AD196" i="3" s="1"/>
  <c r="AE196" i="3" s="1"/>
  <c r="AF196" i="3" s="1"/>
  <c r="B196" i="3" s="1"/>
  <c r="D196" i="3"/>
  <c r="E196" i="3" s="1"/>
  <c r="F196" i="3" s="1"/>
  <c r="G196" i="3" s="1"/>
  <c r="H196" i="3" s="1"/>
  <c r="I196" i="3" s="1"/>
  <c r="J196" i="3" s="1"/>
  <c r="D195" i="3"/>
  <c r="AG193" i="3"/>
  <c r="C193" i="3"/>
  <c r="W192" i="3"/>
  <c r="X192" i="3" s="1"/>
  <c r="Y192" i="3" s="1"/>
  <c r="Z192" i="3" s="1"/>
  <c r="AA192" i="3" s="1"/>
  <c r="AB192" i="3" s="1"/>
  <c r="AC192" i="3" s="1"/>
  <c r="AD192" i="3" s="1"/>
  <c r="AE192" i="3" s="1"/>
  <c r="AF192" i="3" s="1"/>
  <c r="B192" i="3" s="1"/>
  <c r="H192" i="3"/>
  <c r="I192" i="3" s="1"/>
  <c r="J192" i="3" s="1"/>
  <c r="K192" i="3" s="1"/>
  <c r="L192" i="3" s="1"/>
  <c r="M192" i="3" s="1"/>
  <c r="N192" i="3" s="1"/>
  <c r="O192" i="3" s="1"/>
  <c r="P192" i="3" s="1"/>
  <c r="Q192" i="3" s="1"/>
  <c r="R192" i="3" s="1"/>
  <c r="S192" i="3" s="1"/>
  <c r="T192" i="3" s="1"/>
  <c r="U192" i="3" s="1"/>
  <c r="V192" i="3" s="1"/>
  <c r="E192" i="3"/>
  <c r="F192" i="3" s="1"/>
  <c r="G192" i="3" s="1"/>
  <c r="D192" i="3"/>
  <c r="G191" i="3"/>
  <c r="H191" i="3" s="1"/>
  <c r="I191" i="3" s="1"/>
  <c r="J191" i="3" s="1"/>
  <c r="K191" i="3" s="1"/>
  <c r="L191" i="3" s="1"/>
  <c r="M191" i="3" s="1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B191" i="3" s="1"/>
  <c r="E191" i="3"/>
  <c r="F191" i="3" s="1"/>
  <c r="D191" i="3"/>
  <c r="E190" i="3"/>
  <c r="F190" i="3" s="1"/>
  <c r="G190" i="3" s="1"/>
  <c r="H190" i="3" s="1"/>
  <c r="I190" i="3" s="1"/>
  <c r="J190" i="3" s="1"/>
  <c r="K190" i="3" s="1"/>
  <c r="L190" i="3" s="1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B190" i="3" s="1"/>
  <c r="D190" i="3"/>
  <c r="P189" i="3"/>
  <c r="Q189" i="3" s="1"/>
  <c r="R189" i="3" s="1"/>
  <c r="S189" i="3" s="1"/>
  <c r="T189" i="3" s="1"/>
  <c r="U189" i="3" s="1"/>
  <c r="V189" i="3" s="1"/>
  <c r="W189" i="3" s="1"/>
  <c r="X189" i="3" s="1"/>
  <c r="Y189" i="3" s="1"/>
  <c r="Z189" i="3" s="1"/>
  <c r="AA189" i="3" s="1"/>
  <c r="AB189" i="3" s="1"/>
  <c r="AC189" i="3" s="1"/>
  <c r="AD189" i="3" s="1"/>
  <c r="AE189" i="3" s="1"/>
  <c r="AF189" i="3" s="1"/>
  <c r="B189" i="3" s="1"/>
  <c r="D189" i="3"/>
  <c r="E189" i="3" s="1"/>
  <c r="F189" i="3" s="1"/>
  <c r="G189" i="3" s="1"/>
  <c r="H189" i="3" s="1"/>
  <c r="I189" i="3" s="1"/>
  <c r="J189" i="3" s="1"/>
  <c r="K189" i="3" s="1"/>
  <c r="L189" i="3" s="1"/>
  <c r="M189" i="3" s="1"/>
  <c r="N189" i="3" s="1"/>
  <c r="O189" i="3" s="1"/>
  <c r="V188" i="3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B188" i="3" s="1"/>
  <c r="I188" i="3"/>
  <c r="J188" i="3" s="1"/>
  <c r="K188" i="3" s="1"/>
  <c r="L188" i="3" s="1"/>
  <c r="M188" i="3" s="1"/>
  <c r="N188" i="3" s="1"/>
  <c r="O188" i="3" s="1"/>
  <c r="P188" i="3" s="1"/>
  <c r="Q188" i="3" s="1"/>
  <c r="R188" i="3" s="1"/>
  <c r="S188" i="3" s="1"/>
  <c r="T188" i="3" s="1"/>
  <c r="U188" i="3" s="1"/>
  <c r="F188" i="3"/>
  <c r="G188" i="3" s="1"/>
  <c r="H188" i="3" s="1"/>
  <c r="D188" i="3"/>
  <c r="E188" i="3" s="1"/>
  <c r="F187" i="3"/>
  <c r="G187" i="3" s="1"/>
  <c r="H187" i="3" s="1"/>
  <c r="I187" i="3" s="1"/>
  <c r="J187" i="3" s="1"/>
  <c r="K187" i="3" s="1"/>
  <c r="L187" i="3" s="1"/>
  <c r="M187" i="3" s="1"/>
  <c r="N187" i="3" s="1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B187" i="3" s="1"/>
  <c r="D187" i="3"/>
  <c r="E187" i="3" s="1"/>
  <c r="D186" i="3"/>
  <c r="E186" i="3" s="1"/>
  <c r="F186" i="3" s="1"/>
  <c r="G186" i="3" s="1"/>
  <c r="H186" i="3" s="1"/>
  <c r="I186" i="3" s="1"/>
  <c r="J186" i="3" s="1"/>
  <c r="K186" i="3" s="1"/>
  <c r="L186" i="3" s="1"/>
  <c r="M186" i="3" s="1"/>
  <c r="N186" i="3" s="1"/>
  <c r="O186" i="3" s="1"/>
  <c r="P186" i="3" s="1"/>
  <c r="Q186" i="3" s="1"/>
  <c r="R186" i="3" s="1"/>
  <c r="S186" i="3" s="1"/>
  <c r="T186" i="3" s="1"/>
  <c r="U186" i="3" s="1"/>
  <c r="V186" i="3" s="1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B186" i="3" s="1"/>
  <c r="I185" i="3"/>
  <c r="J185" i="3" s="1"/>
  <c r="K185" i="3" s="1"/>
  <c r="L185" i="3" s="1"/>
  <c r="M185" i="3" s="1"/>
  <c r="N185" i="3" s="1"/>
  <c r="O185" i="3" s="1"/>
  <c r="P185" i="3" s="1"/>
  <c r="Q185" i="3" s="1"/>
  <c r="R185" i="3" s="1"/>
  <c r="S185" i="3" s="1"/>
  <c r="T185" i="3" s="1"/>
  <c r="U185" i="3" s="1"/>
  <c r="V185" i="3" s="1"/>
  <c r="W185" i="3" s="1"/>
  <c r="X185" i="3" s="1"/>
  <c r="Y185" i="3" s="1"/>
  <c r="Z185" i="3" s="1"/>
  <c r="AA185" i="3" s="1"/>
  <c r="AB185" i="3" s="1"/>
  <c r="AC185" i="3" s="1"/>
  <c r="AD185" i="3" s="1"/>
  <c r="AE185" i="3" s="1"/>
  <c r="AF185" i="3" s="1"/>
  <c r="B185" i="3" s="1"/>
  <c r="F185" i="3"/>
  <c r="G185" i="3" s="1"/>
  <c r="H185" i="3" s="1"/>
  <c r="D185" i="3"/>
  <c r="E185" i="3" s="1"/>
  <c r="H184" i="3"/>
  <c r="I184" i="3" s="1"/>
  <c r="J184" i="3" s="1"/>
  <c r="K184" i="3" s="1"/>
  <c r="L184" i="3" s="1"/>
  <c r="M184" i="3" s="1"/>
  <c r="N184" i="3" s="1"/>
  <c r="O184" i="3" s="1"/>
  <c r="P184" i="3" s="1"/>
  <c r="Q184" i="3" s="1"/>
  <c r="R184" i="3" s="1"/>
  <c r="S184" i="3" s="1"/>
  <c r="T184" i="3" s="1"/>
  <c r="U184" i="3" s="1"/>
  <c r="V184" i="3" s="1"/>
  <c r="W184" i="3" s="1"/>
  <c r="X184" i="3" s="1"/>
  <c r="Y184" i="3" s="1"/>
  <c r="Z184" i="3" s="1"/>
  <c r="AA184" i="3" s="1"/>
  <c r="AB184" i="3" s="1"/>
  <c r="AC184" i="3" s="1"/>
  <c r="AD184" i="3" s="1"/>
  <c r="AE184" i="3" s="1"/>
  <c r="AF184" i="3" s="1"/>
  <c r="B184" i="3" s="1"/>
  <c r="E184" i="3"/>
  <c r="F184" i="3" s="1"/>
  <c r="G184" i="3" s="1"/>
  <c r="D184" i="3"/>
  <c r="H183" i="3"/>
  <c r="I183" i="3" s="1"/>
  <c r="J183" i="3" s="1"/>
  <c r="K183" i="3" s="1"/>
  <c r="L183" i="3" s="1"/>
  <c r="M183" i="3" s="1"/>
  <c r="N183" i="3" s="1"/>
  <c r="O183" i="3" s="1"/>
  <c r="P183" i="3" s="1"/>
  <c r="Q183" i="3" s="1"/>
  <c r="R183" i="3" s="1"/>
  <c r="S183" i="3" s="1"/>
  <c r="T183" i="3" s="1"/>
  <c r="U183" i="3" s="1"/>
  <c r="V183" i="3" s="1"/>
  <c r="W183" i="3" s="1"/>
  <c r="X183" i="3" s="1"/>
  <c r="Y183" i="3" s="1"/>
  <c r="Z183" i="3" s="1"/>
  <c r="AA183" i="3" s="1"/>
  <c r="AB183" i="3" s="1"/>
  <c r="AC183" i="3" s="1"/>
  <c r="AD183" i="3" s="1"/>
  <c r="AE183" i="3" s="1"/>
  <c r="AF183" i="3" s="1"/>
  <c r="B183" i="3" s="1"/>
  <c r="G183" i="3"/>
  <c r="E183" i="3"/>
  <c r="F183" i="3" s="1"/>
  <c r="D183" i="3"/>
  <c r="F182" i="3"/>
  <c r="G182" i="3" s="1"/>
  <c r="H182" i="3" s="1"/>
  <c r="I182" i="3" s="1"/>
  <c r="J182" i="3" s="1"/>
  <c r="K182" i="3" s="1"/>
  <c r="L182" i="3" s="1"/>
  <c r="M182" i="3" s="1"/>
  <c r="N182" i="3" s="1"/>
  <c r="O182" i="3" s="1"/>
  <c r="P182" i="3" s="1"/>
  <c r="Q182" i="3" s="1"/>
  <c r="R182" i="3" s="1"/>
  <c r="S182" i="3" s="1"/>
  <c r="T182" i="3" s="1"/>
  <c r="U182" i="3" s="1"/>
  <c r="V182" i="3" s="1"/>
  <c r="W182" i="3" s="1"/>
  <c r="X182" i="3" s="1"/>
  <c r="Y182" i="3" s="1"/>
  <c r="Z182" i="3" s="1"/>
  <c r="AA182" i="3" s="1"/>
  <c r="AB182" i="3" s="1"/>
  <c r="AC182" i="3" s="1"/>
  <c r="AD182" i="3" s="1"/>
  <c r="AE182" i="3" s="1"/>
  <c r="AF182" i="3" s="1"/>
  <c r="B182" i="3" s="1"/>
  <c r="E182" i="3"/>
  <c r="D182" i="3"/>
  <c r="F181" i="3"/>
  <c r="G181" i="3" s="1"/>
  <c r="H181" i="3" s="1"/>
  <c r="I181" i="3" s="1"/>
  <c r="J181" i="3" s="1"/>
  <c r="K181" i="3" s="1"/>
  <c r="L181" i="3" s="1"/>
  <c r="M181" i="3" s="1"/>
  <c r="N181" i="3" s="1"/>
  <c r="O181" i="3" s="1"/>
  <c r="P181" i="3" s="1"/>
  <c r="Q181" i="3" s="1"/>
  <c r="R181" i="3" s="1"/>
  <c r="S181" i="3" s="1"/>
  <c r="T181" i="3" s="1"/>
  <c r="U181" i="3" s="1"/>
  <c r="V181" i="3" s="1"/>
  <c r="W181" i="3" s="1"/>
  <c r="X181" i="3" s="1"/>
  <c r="Y181" i="3" s="1"/>
  <c r="Z181" i="3" s="1"/>
  <c r="AA181" i="3" s="1"/>
  <c r="AB181" i="3" s="1"/>
  <c r="AC181" i="3" s="1"/>
  <c r="AD181" i="3" s="1"/>
  <c r="AE181" i="3" s="1"/>
  <c r="AF181" i="3" s="1"/>
  <c r="B181" i="3" s="1"/>
  <c r="D181" i="3"/>
  <c r="E181" i="3" s="1"/>
  <c r="P180" i="3"/>
  <c r="Q180" i="3" s="1"/>
  <c r="R180" i="3" s="1"/>
  <c r="S180" i="3" s="1"/>
  <c r="T180" i="3" s="1"/>
  <c r="U180" i="3" s="1"/>
  <c r="V180" i="3" s="1"/>
  <c r="W180" i="3" s="1"/>
  <c r="X180" i="3" s="1"/>
  <c r="Y180" i="3" s="1"/>
  <c r="Z180" i="3" s="1"/>
  <c r="AA180" i="3" s="1"/>
  <c r="AB180" i="3" s="1"/>
  <c r="AC180" i="3" s="1"/>
  <c r="AD180" i="3" s="1"/>
  <c r="AE180" i="3" s="1"/>
  <c r="AF180" i="3" s="1"/>
  <c r="B180" i="3" s="1"/>
  <c r="F180" i="3"/>
  <c r="G180" i="3" s="1"/>
  <c r="H180" i="3" s="1"/>
  <c r="I180" i="3" s="1"/>
  <c r="J180" i="3" s="1"/>
  <c r="K180" i="3" s="1"/>
  <c r="L180" i="3" s="1"/>
  <c r="M180" i="3" s="1"/>
  <c r="N180" i="3" s="1"/>
  <c r="O180" i="3" s="1"/>
  <c r="E180" i="3"/>
  <c r="D180" i="3"/>
  <c r="I178" i="3"/>
  <c r="J178" i="3" s="1"/>
  <c r="K178" i="3" s="1"/>
  <c r="L178" i="3" s="1"/>
  <c r="M178" i="3" s="1"/>
  <c r="N178" i="3" s="1"/>
  <c r="O178" i="3" s="1"/>
  <c r="P178" i="3" s="1"/>
  <c r="Q178" i="3" s="1"/>
  <c r="R178" i="3" s="1"/>
  <c r="S178" i="3" s="1"/>
  <c r="T178" i="3" s="1"/>
  <c r="U178" i="3" s="1"/>
  <c r="V178" i="3" s="1"/>
  <c r="W178" i="3" s="1"/>
  <c r="X178" i="3" s="1"/>
  <c r="Y178" i="3" s="1"/>
  <c r="Z178" i="3" s="1"/>
  <c r="AA178" i="3" s="1"/>
  <c r="AB178" i="3" s="1"/>
  <c r="AC178" i="3" s="1"/>
  <c r="AD178" i="3" s="1"/>
  <c r="AE178" i="3" s="1"/>
  <c r="AF178" i="3" s="1"/>
  <c r="B178" i="3" s="1"/>
  <c r="H178" i="3"/>
  <c r="G178" i="3"/>
  <c r="F178" i="3"/>
  <c r="D178" i="3"/>
  <c r="E178" i="3" s="1"/>
  <c r="E177" i="3"/>
  <c r="F177" i="3" s="1"/>
  <c r="G177" i="3" s="1"/>
  <c r="H177" i="3" s="1"/>
  <c r="I177" i="3" s="1"/>
  <c r="J177" i="3" s="1"/>
  <c r="K177" i="3" s="1"/>
  <c r="L177" i="3" s="1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B177" i="3" s="1"/>
  <c r="D177" i="3"/>
  <c r="G176" i="3"/>
  <c r="H176" i="3" s="1"/>
  <c r="I176" i="3" s="1"/>
  <c r="J176" i="3" s="1"/>
  <c r="K176" i="3" s="1"/>
  <c r="L176" i="3" s="1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B176" i="3" s="1"/>
  <c r="E176" i="3"/>
  <c r="F176" i="3" s="1"/>
  <c r="D176" i="3"/>
  <c r="I175" i="3"/>
  <c r="J175" i="3" s="1"/>
  <c r="K175" i="3" s="1"/>
  <c r="L175" i="3" s="1"/>
  <c r="M175" i="3" s="1"/>
  <c r="N175" i="3" s="1"/>
  <c r="O175" i="3" s="1"/>
  <c r="P175" i="3" s="1"/>
  <c r="Q175" i="3" s="1"/>
  <c r="R175" i="3" s="1"/>
  <c r="S175" i="3" s="1"/>
  <c r="T175" i="3" s="1"/>
  <c r="U175" i="3" s="1"/>
  <c r="V175" i="3" s="1"/>
  <c r="W175" i="3" s="1"/>
  <c r="X175" i="3" s="1"/>
  <c r="Y175" i="3" s="1"/>
  <c r="Z175" i="3" s="1"/>
  <c r="AA175" i="3" s="1"/>
  <c r="AB175" i="3" s="1"/>
  <c r="AC175" i="3" s="1"/>
  <c r="AD175" i="3" s="1"/>
  <c r="AE175" i="3" s="1"/>
  <c r="AF175" i="3" s="1"/>
  <c r="B175" i="3" s="1"/>
  <c r="D175" i="3"/>
  <c r="E175" i="3" s="1"/>
  <c r="F175" i="3" s="1"/>
  <c r="G175" i="3" s="1"/>
  <c r="H175" i="3" s="1"/>
  <c r="Y174" i="3"/>
  <c r="Z174" i="3" s="1"/>
  <c r="AA174" i="3" s="1"/>
  <c r="AB174" i="3" s="1"/>
  <c r="AC174" i="3" s="1"/>
  <c r="AD174" i="3" s="1"/>
  <c r="AE174" i="3" s="1"/>
  <c r="AF174" i="3" s="1"/>
  <c r="B174" i="3" s="1"/>
  <c r="E174" i="3"/>
  <c r="F174" i="3" s="1"/>
  <c r="G174" i="3" s="1"/>
  <c r="H174" i="3" s="1"/>
  <c r="I174" i="3" s="1"/>
  <c r="J174" i="3" s="1"/>
  <c r="K174" i="3" s="1"/>
  <c r="L174" i="3" s="1"/>
  <c r="M174" i="3" s="1"/>
  <c r="N174" i="3" s="1"/>
  <c r="O174" i="3" s="1"/>
  <c r="P174" i="3" s="1"/>
  <c r="Q174" i="3" s="1"/>
  <c r="R174" i="3" s="1"/>
  <c r="S174" i="3" s="1"/>
  <c r="T174" i="3" s="1"/>
  <c r="U174" i="3" s="1"/>
  <c r="V174" i="3" s="1"/>
  <c r="W174" i="3" s="1"/>
  <c r="X174" i="3" s="1"/>
  <c r="D174" i="3"/>
  <c r="P173" i="3"/>
  <c r="Q173" i="3" s="1"/>
  <c r="R173" i="3" s="1"/>
  <c r="S173" i="3" s="1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B173" i="3" s="1"/>
  <c r="E173" i="3"/>
  <c r="F173" i="3" s="1"/>
  <c r="G173" i="3" s="1"/>
  <c r="H173" i="3" s="1"/>
  <c r="I173" i="3" s="1"/>
  <c r="J173" i="3" s="1"/>
  <c r="K173" i="3" s="1"/>
  <c r="L173" i="3" s="1"/>
  <c r="M173" i="3" s="1"/>
  <c r="N173" i="3" s="1"/>
  <c r="O173" i="3" s="1"/>
  <c r="D173" i="3"/>
  <c r="F172" i="3"/>
  <c r="G172" i="3" s="1"/>
  <c r="H172" i="3" s="1"/>
  <c r="I172" i="3" s="1"/>
  <c r="J172" i="3" s="1"/>
  <c r="K172" i="3" s="1"/>
  <c r="L172" i="3" s="1"/>
  <c r="M172" i="3" s="1"/>
  <c r="N172" i="3" s="1"/>
  <c r="O172" i="3" s="1"/>
  <c r="P172" i="3" s="1"/>
  <c r="Q172" i="3" s="1"/>
  <c r="R172" i="3" s="1"/>
  <c r="S172" i="3" s="1"/>
  <c r="T172" i="3" s="1"/>
  <c r="U172" i="3" s="1"/>
  <c r="V172" i="3" s="1"/>
  <c r="W172" i="3" s="1"/>
  <c r="X172" i="3" s="1"/>
  <c r="Y172" i="3" s="1"/>
  <c r="Z172" i="3" s="1"/>
  <c r="AA172" i="3" s="1"/>
  <c r="AB172" i="3" s="1"/>
  <c r="AC172" i="3" s="1"/>
  <c r="AD172" i="3" s="1"/>
  <c r="AE172" i="3" s="1"/>
  <c r="AF172" i="3" s="1"/>
  <c r="B172" i="3" s="1"/>
  <c r="E172" i="3"/>
  <c r="D172" i="3"/>
  <c r="D171" i="3"/>
  <c r="E171" i="3" s="1"/>
  <c r="F171" i="3" s="1"/>
  <c r="G171" i="3" s="1"/>
  <c r="H171" i="3" s="1"/>
  <c r="I171" i="3" s="1"/>
  <c r="J171" i="3" s="1"/>
  <c r="K171" i="3" s="1"/>
  <c r="L171" i="3" s="1"/>
  <c r="M171" i="3" s="1"/>
  <c r="N171" i="3" s="1"/>
  <c r="O171" i="3" s="1"/>
  <c r="P171" i="3" s="1"/>
  <c r="Q171" i="3" s="1"/>
  <c r="R171" i="3" s="1"/>
  <c r="S171" i="3" s="1"/>
  <c r="T171" i="3" s="1"/>
  <c r="U171" i="3" s="1"/>
  <c r="V171" i="3" s="1"/>
  <c r="W171" i="3" s="1"/>
  <c r="X171" i="3" s="1"/>
  <c r="Y171" i="3" s="1"/>
  <c r="Z171" i="3" s="1"/>
  <c r="AA171" i="3" s="1"/>
  <c r="AB171" i="3" s="1"/>
  <c r="AC171" i="3" s="1"/>
  <c r="AD171" i="3" s="1"/>
  <c r="AE171" i="3" s="1"/>
  <c r="AF171" i="3" s="1"/>
  <c r="B171" i="3" s="1"/>
  <c r="V169" i="3"/>
  <c r="W169" i="3" s="1"/>
  <c r="X169" i="3" s="1"/>
  <c r="Y169" i="3" s="1"/>
  <c r="Z169" i="3" s="1"/>
  <c r="AA169" i="3" s="1"/>
  <c r="AB169" i="3" s="1"/>
  <c r="AC169" i="3" s="1"/>
  <c r="AD169" i="3" s="1"/>
  <c r="AE169" i="3" s="1"/>
  <c r="AF169" i="3" s="1"/>
  <c r="B169" i="3" s="1"/>
  <c r="I169" i="3"/>
  <c r="J169" i="3" s="1"/>
  <c r="K169" i="3" s="1"/>
  <c r="L169" i="3" s="1"/>
  <c r="M169" i="3" s="1"/>
  <c r="N169" i="3" s="1"/>
  <c r="O169" i="3" s="1"/>
  <c r="P169" i="3" s="1"/>
  <c r="Q169" i="3" s="1"/>
  <c r="R169" i="3" s="1"/>
  <c r="S169" i="3" s="1"/>
  <c r="T169" i="3" s="1"/>
  <c r="U169" i="3" s="1"/>
  <c r="G169" i="3"/>
  <c r="H169" i="3" s="1"/>
  <c r="F169" i="3"/>
  <c r="E169" i="3"/>
  <c r="D169" i="3"/>
  <c r="E168" i="3"/>
  <c r="F168" i="3" s="1"/>
  <c r="G168" i="3" s="1"/>
  <c r="H168" i="3" s="1"/>
  <c r="I168" i="3" s="1"/>
  <c r="J168" i="3" s="1"/>
  <c r="K168" i="3" s="1"/>
  <c r="L168" i="3" s="1"/>
  <c r="M168" i="3" s="1"/>
  <c r="N168" i="3" s="1"/>
  <c r="O168" i="3" s="1"/>
  <c r="P168" i="3" s="1"/>
  <c r="Q168" i="3" s="1"/>
  <c r="R168" i="3" s="1"/>
  <c r="S168" i="3" s="1"/>
  <c r="T168" i="3" s="1"/>
  <c r="U168" i="3" s="1"/>
  <c r="V168" i="3" s="1"/>
  <c r="W168" i="3" s="1"/>
  <c r="X168" i="3" s="1"/>
  <c r="Y168" i="3" s="1"/>
  <c r="Z168" i="3" s="1"/>
  <c r="AA168" i="3" s="1"/>
  <c r="AB168" i="3" s="1"/>
  <c r="AC168" i="3" s="1"/>
  <c r="AD168" i="3" s="1"/>
  <c r="AE168" i="3" s="1"/>
  <c r="AF168" i="3" s="1"/>
  <c r="B168" i="3" s="1"/>
  <c r="D168" i="3"/>
  <c r="J167" i="3"/>
  <c r="K167" i="3" s="1"/>
  <c r="L167" i="3" s="1"/>
  <c r="M167" i="3" s="1"/>
  <c r="N167" i="3" s="1"/>
  <c r="O167" i="3" s="1"/>
  <c r="P167" i="3" s="1"/>
  <c r="Q167" i="3" s="1"/>
  <c r="R167" i="3" s="1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AF167" i="3" s="1"/>
  <c r="B167" i="3" s="1"/>
  <c r="F167" i="3"/>
  <c r="G167" i="3" s="1"/>
  <c r="H167" i="3" s="1"/>
  <c r="I167" i="3" s="1"/>
  <c r="E167" i="3"/>
  <c r="D167" i="3"/>
  <c r="F166" i="3"/>
  <c r="G166" i="3" s="1"/>
  <c r="H166" i="3" s="1"/>
  <c r="I166" i="3" s="1"/>
  <c r="J166" i="3" s="1"/>
  <c r="K166" i="3" s="1"/>
  <c r="L166" i="3" s="1"/>
  <c r="M166" i="3" s="1"/>
  <c r="N166" i="3" s="1"/>
  <c r="O166" i="3" s="1"/>
  <c r="P166" i="3" s="1"/>
  <c r="Q166" i="3" s="1"/>
  <c r="R166" i="3" s="1"/>
  <c r="S166" i="3" s="1"/>
  <c r="T166" i="3" s="1"/>
  <c r="U166" i="3" s="1"/>
  <c r="V166" i="3" s="1"/>
  <c r="W166" i="3" s="1"/>
  <c r="X166" i="3" s="1"/>
  <c r="Y166" i="3" s="1"/>
  <c r="Z166" i="3" s="1"/>
  <c r="AA166" i="3" s="1"/>
  <c r="AB166" i="3" s="1"/>
  <c r="AC166" i="3" s="1"/>
  <c r="AD166" i="3" s="1"/>
  <c r="AE166" i="3" s="1"/>
  <c r="AF166" i="3" s="1"/>
  <c r="B166" i="3" s="1"/>
  <c r="D166" i="3"/>
  <c r="E166" i="3" s="1"/>
  <c r="N165" i="3"/>
  <c r="O165" i="3" s="1"/>
  <c r="P165" i="3" s="1"/>
  <c r="Q165" i="3" s="1"/>
  <c r="R165" i="3" s="1"/>
  <c r="S165" i="3" s="1"/>
  <c r="T165" i="3" s="1"/>
  <c r="U165" i="3" s="1"/>
  <c r="V165" i="3" s="1"/>
  <c r="W165" i="3" s="1"/>
  <c r="X165" i="3" s="1"/>
  <c r="Y165" i="3" s="1"/>
  <c r="Z165" i="3" s="1"/>
  <c r="AA165" i="3" s="1"/>
  <c r="AB165" i="3" s="1"/>
  <c r="AC165" i="3" s="1"/>
  <c r="AD165" i="3" s="1"/>
  <c r="AE165" i="3" s="1"/>
  <c r="AF165" i="3" s="1"/>
  <c r="B165" i="3" s="1"/>
  <c r="L165" i="3"/>
  <c r="M165" i="3" s="1"/>
  <c r="E165" i="3"/>
  <c r="F165" i="3" s="1"/>
  <c r="G165" i="3" s="1"/>
  <c r="H165" i="3" s="1"/>
  <c r="I165" i="3" s="1"/>
  <c r="J165" i="3" s="1"/>
  <c r="K165" i="3" s="1"/>
  <c r="D165" i="3"/>
  <c r="O164" i="3"/>
  <c r="P164" i="3" s="1"/>
  <c r="Q164" i="3" s="1"/>
  <c r="R164" i="3" s="1"/>
  <c r="S164" i="3" s="1"/>
  <c r="T164" i="3" s="1"/>
  <c r="U164" i="3" s="1"/>
  <c r="V164" i="3" s="1"/>
  <c r="W164" i="3" s="1"/>
  <c r="X164" i="3" s="1"/>
  <c r="Y164" i="3" s="1"/>
  <c r="Z164" i="3" s="1"/>
  <c r="AA164" i="3" s="1"/>
  <c r="AB164" i="3" s="1"/>
  <c r="AC164" i="3" s="1"/>
  <c r="AD164" i="3" s="1"/>
  <c r="AE164" i="3" s="1"/>
  <c r="AF164" i="3" s="1"/>
  <c r="B164" i="3" s="1"/>
  <c r="H164" i="3"/>
  <c r="I164" i="3" s="1"/>
  <c r="J164" i="3" s="1"/>
  <c r="K164" i="3" s="1"/>
  <c r="L164" i="3" s="1"/>
  <c r="M164" i="3" s="1"/>
  <c r="N164" i="3" s="1"/>
  <c r="E164" i="3"/>
  <c r="F164" i="3" s="1"/>
  <c r="G164" i="3" s="1"/>
  <c r="D164" i="3"/>
  <c r="Q163" i="3"/>
  <c r="R163" i="3" s="1"/>
  <c r="S163" i="3" s="1"/>
  <c r="T163" i="3" s="1"/>
  <c r="U163" i="3" s="1"/>
  <c r="V163" i="3" s="1"/>
  <c r="W163" i="3" s="1"/>
  <c r="X163" i="3" s="1"/>
  <c r="Y163" i="3" s="1"/>
  <c r="Z163" i="3" s="1"/>
  <c r="AA163" i="3" s="1"/>
  <c r="AB163" i="3" s="1"/>
  <c r="AC163" i="3" s="1"/>
  <c r="AD163" i="3" s="1"/>
  <c r="AE163" i="3" s="1"/>
  <c r="AF163" i="3" s="1"/>
  <c r="B163" i="3" s="1"/>
  <c r="J163" i="3"/>
  <c r="K163" i="3" s="1"/>
  <c r="L163" i="3" s="1"/>
  <c r="M163" i="3" s="1"/>
  <c r="N163" i="3" s="1"/>
  <c r="O163" i="3" s="1"/>
  <c r="P163" i="3" s="1"/>
  <c r="H163" i="3"/>
  <c r="I163" i="3" s="1"/>
  <c r="F163" i="3"/>
  <c r="G163" i="3" s="1"/>
  <c r="E163" i="3"/>
  <c r="D163" i="3"/>
  <c r="W162" i="3"/>
  <c r="X162" i="3" s="1"/>
  <c r="Y162" i="3" s="1"/>
  <c r="Z162" i="3" s="1"/>
  <c r="AA162" i="3" s="1"/>
  <c r="AB162" i="3" s="1"/>
  <c r="AC162" i="3" s="1"/>
  <c r="AD162" i="3" s="1"/>
  <c r="AE162" i="3" s="1"/>
  <c r="AF162" i="3" s="1"/>
  <c r="B162" i="3" s="1"/>
  <c r="E162" i="3"/>
  <c r="F162" i="3" s="1"/>
  <c r="G162" i="3" s="1"/>
  <c r="H162" i="3" s="1"/>
  <c r="I162" i="3" s="1"/>
  <c r="J162" i="3" s="1"/>
  <c r="K162" i="3" s="1"/>
  <c r="L162" i="3" s="1"/>
  <c r="M162" i="3" s="1"/>
  <c r="N162" i="3" s="1"/>
  <c r="O162" i="3" s="1"/>
  <c r="P162" i="3" s="1"/>
  <c r="Q162" i="3" s="1"/>
  <c r="R162" i="3" s="1"/>
  <c r="S162" i="3" s="1"/>
  <c r="T162" i="3" s="1"/>
  <c r="U162" i="3" s="1"/>
  <c r="V162" i="3" s="1"/>
  <c r="D162" i="3"/>
  <c r="E161" i="3"/>
  <c r="F161" i="3" s="1"/>
  <c r="G161" i="3" s="1"/>
  <c r="H161" i="3" s="1"/>
  <c r="I161" i="3" s="1"/>
  <c r="J161" i="3" s="1"/>
  <c r="K161" i="3" s="1"/>
  <c r="L161" i="3" s="1"/>
  <c r="M161" i="3" s="1"/>
  <c r="N161" i="3" s="1"/>
  <c r="O161" i="3" s="1"/>
  <c r="P161" i="3" s="1"/>
  <c r="Q161" i="3" s="1"/>
  <c r="R161" i="3" s="1"/>
  <c r="S161" i="3" s="1"/>
  <c r="T161" i="3" s="1"/>
  <c r="U161" i="3" s="1"/>
  <c r="V161" i="3" s="1"/>
  <c r="W161" i="3" s="1"/>
  <c r="X161" i="3" s="1"/>
  <c r="Y161" i="3" s="1"/>
  <c r="Z161" i="3" s="1"/>
  <c r="AA161" i="3" s="1"/>
  <c r="AB161" i="3" s="1"/>
  <c r="AC161" i="3" s="1"/>
  <c r="AD161" i="3" s="1"/>
  <c r="AE161" i="3" s="1"/>
  <c r="AF161" i="3" s="1"/>
  <c r="B161" i="3" s="1"/>
  <c r="D161" i="3"/>
  <c r="S160" i="3"/>
  <c r="T160" i="3" s="1"/>
  <c r="U160" i="3" s="1"/>
  <c r="V160" i="3" s="1"/>
  <c r="W160" i="3" s="1"/>
  <c r="X160" i="3" s="1"/>
  <c r="Y160" i="3" s="1"/>
  <c r="Z160" i="3" s="1"/>
  <c r="AA160" i="3" s="1"/>
  <c r="AB160" i="3" s="1"/>
  <c r="AC160" i="3" s="1"/>
  <c r="AD160" i="3" s="1"/>
  <c r="AE160" i="3" s="1"/>
  <c r="AF160" i="3" s="1"/>
  <c r="B160" i="3" s="1"/>
  <c r="E160" i="3"/>
  <c r="F160" i="3" s="1"/>
  <c r="G160" i="3" s="1"/>
  <c r="H160" i="3" s="1"/>
  <c r="I160" i="3" s="1"/>
  <c r="J160" i="3" s="1"/>
  <c r="K160" i="3" s="1"/>
  <c r="L160" i="3" s="1"/>
  <c r="M160" i="3" s="1"/>
  <c r="N160" i="3" s="1"/>
  <c r="O160" i="3" s="1"/>
  <c r="P160" i="3" s="1"/>
  <c r="Q160" i="3" s="1"/>
  <c r="R160" i="3" s="1"/>
  <c r="D160" i="3"/>
  <c r="E159" i="3"/>
  <c r="F159" i="3" s="1"/>
  <c r="G159" i="3" s="1"/>
  <c r="H159" i="3" s="1"/>
  <c r="I159" i="3" s="1"/>
  <c r="J159" i="3" s="1"/>
  <c r="K159" i="3" s="1"/>
  <c r="L159" i="3" s="1"/>
  <c r="M159" i="3" s="1"/>
  <c r="N159" i="3" s="1"/>
  <c r="O159" i="3" s="1"/>
  <c r="P159" i="3" s="1"/>
  <c r="Q159" i="3" s="1"/>
  <c r="R159" i="3" s="1"/>
  <c r="S159" i="3" s="1"/>
  <c r="T159" i="3" s="1"/>
  <c r="U159" i="3" s="1"/>
  <c r="V159" i="3" s="1"/>
  <c r="W159" i="3" s="1"/>
  <c r="X159" i="3" s="1"/>
  <c r="Y159" i="3" s="1"/>
  <c r="Z159" i="3" s="1"/>
  <c r="AA159" i="3" s="1"/>
  <c r="AB159" i="3" s="1"/>
  <c r="AC159" i="3" s="1"/>
  <c r="AD159" i="3" s="1"/>
  <c r="AE159" i="3" s="1"/>
  <c r="AF159" i="3" s="1"/>
  <c r="B159" i="3" s="1"/>
  <c r="D159" i="3"/>
  <c r="W158" i="3"/>
  <c r="X158" i="3" s="1"/>
  <c r="Y158" i="3" s="1"/>
  <c r="Z158" i="3" s="1"/>
  <c r="AA158" i="3" s="1"/>
  <c r="AB158" i="3" s="1"/>
  <c r="AC158" i="3" s="1"/>
  <c r="AD158" i="3" s="1"/>
  <c r="AE158" i="3" s="1"/>
  <c r="AF158" i="3" s="1"/>
  <c r="B158" i="3" s="1"/>
  <c r="E158" i="3"/>
  <c r="F158" i="3" s="1"/>
  <c r="G158" i="3" s="1"/>
  <c r="H158" i="3" s="1"/>
  <c r="I158" i="3" s="1"/>
  <c r="J158" i="3" s="1"/>
  <c r="K158" i="3" s="1"/>
  <c r="L158" i="3" s="1"/>
  <c r="M158" i="3" s="1"/>
  <c r="N158" i="3" s="1"/>
  <c r="O158" i="3" s="1"/>
  <c r="P158" i="3" s="1"/>
  <c r="Q158" i="3" s="1"/>
  <c r="R158" i="3" s="1"/>
  <c r="S158" i="3" s="1"/>
  <c r="T158" i="3" s="1"/>
  <c r="U158" i="3" s="1"/>
  <c r="V158" i="3" s="1"/>
  <c r="D158" i="3"/>
  <c r="K157" i="3"/>
  <c r="L157" i="3" s="1"/>
  <c r="M157" i="3" s="1"/>
  <c r="N157" i="3" s="1"/>
  <c r="O157" i="3" s="1"/>
  <c r="P157" i="3" s="1"/>
  <c r="Q157" i="3" s="1"/>
  <c r="R157" i="3" s="1"/>
  <c r="S157" i="3" s="1"/>
  <c r="T157" i="3" s="1"/>
  <c r="U157" i="3" s="1"/>
  <c r="V157" i="3" s="1"/>
  <c r="W157" i="3" s="1"/>
  <c r="X157" i="3" s="1"/>
  <c r="Y157" i="3" s="1"/>
  <c r="Z157" i="3" s="1"/>
  <c r="AA157" i="3" s="1"/>
  <c r="AB157" i="3" s="1"/>
  <c r="AC157" i="3" s="1"/>
  <c r="AD157" i="3" s="1"/>
  <c r="AE157" i="3" s="1"/>
  <c r="AF157" i="3" s="1"/>
  <c r="B157" i="3" s="1"/>
  <c r="G157" i="3"/>
  <c r="H157" i="3" s="1"/>
  <c r="I157" i="3" s="1"/>
  <c r="J157" i="3" s="1"/>
  <c r="E157" i="3"/>
  <c r="F157" i="3" s="1"/>
  <c r="D157" i="3"/>
  <c r="W155" i="3"/>
  <c r="X155" i="3" s="1"/>
  <c r="Y155" i="3" s="1"/>
  <c r="Z155" i="3" s="1"/>
  <c r="AA155" i="3" s="1"/>
  <c r="AB155" i="3" s="1"/>
  <c r="AC155" i="3" s="1"/>
  <c r="AD155" i="3" s="1"/>
  <c r="AE155" i="3" s="1"/>
  <c r="AF155" i="3" s="1"/>
  <c r="B155" i="3" s="1"/>
  <c r="L155" i="3"/>
  <c r="M155" i="3" s="1"/>
  <c r="N155" i="3" s="1"/>
  <c r="O155" i="3" s="1"/>
  <c r="P155" i="3" s="1"/>
  <c r="Q155" i="3" s="1"/>
  <c r="R155" i="3" s="1"/>
  <c r="S155" i="3" s="1"/>
  <c r="T155" i="3" s="1"/>
  <c r="U155" i="3" s="1"/>
  <c r="V155" i="3" s="1"/>
  <c r="J155" i="3"/>
  <c r="K155" i="3" s="1"/>
  <c r="D155" i="3"/>
  <c r="E155" i="3" s="1"/>
  <c r="F155" i="3" s="1"/>
  <c r="G155" i="3" s="1"/>
  <c r="H155" i="3" s="1"/>
  <c r="I155" i="3" s="1"/>
  <c r="F154" i="3"/>
  <c r="G154" i="3" s="1"/>
  <c r="H154" i="3" s="1"/>
  <c r="I154" i="3" s="1"/>
  <c r="J154" i="3" s="1"/>
  <c r="K154" i="3" s="1"/>
  <c r="L154" i="3" s="1"/>
  <c r="M154" i="3" s="1"/>
  <c r="N154" i="3" s="1"/>
  <c r="O154" i="3" s="1"/>
  <c r="P154" i="3" s="1"/>
  <c r="Q154" i="3" s="1"/>
  <c r="R154" i="3" s="1"/>
  <c r="S154" i="3" s="1"/>
  <c r="T154" i="3" s="1"/>
  <c r="U154" i="3" s="1"/>
  <c r="V154" i="3" s="1"/>
  <c r="W154" i="3" s="1"/>
  <c r="X154" i="3" s="1"/>
  <c r="Y154" i="3" s="1"/>
  <c r="Z154" i="3" s="1"/>
  <c r="AA154" i="3" s="1"/>
  <c r="AB154" i="3" s="1"/>
  <c r="AC154" i="3" s="1"/>
  <c r="AD154" i="3" s="1"/>
  <c r="AE154" i="3" s="1"/>
  <c r="AF154" i="3" s="1"/>
  <c r="B154" i="3" s="1"/>
  <c r="E154" i="3"/>
  <c r="D154" i="3"/>
  <c r="P153" i="3"/>
  <c r="Q153" i="3" s="1"/>
  <c r="R153" i="3" s="1"/>
  <c r="S153" i="3" s="1"/>
  <c r="T153" i="3" s="1"/>
  <c r="U153" i="3" s="1"/>
  <c r="V153" i="3" s="1"/>
  <c r="W153" i="3" s="1"/>
  <c r="X153" i="3" s="1"/>
  <c r="Y153" i="3" s="1"/>
  <c r="Z153" i="3" s="1"/>
  <c r="AA153" i="3" s="1"/>
  <c r="AB153" i="3" s="1"/>
  <c r="AC153" i="3" s="1"/>
  <c r="AD153" i="3" s="1"/>
  <c r="AE153" i="3" s="1"/>
  <c r="AF153" i="3" s="1"/>
  <c r="B153" i="3" s="1"/>
  <c r="E153" i="3"/>
  <c r="F153" i="3" s="1"/>
  <c r="G153" i="3" s="1"/>
  <c r="H153" i="3" s="1"/>
  <c r="I153" i="3" s="1"/>
  <c r="J153" i="3" s="1"/>
  <c r="K153" i="3" s="1"/>
  <c r="L153" i="3" s="1"/>
  <c r="M153" i="3" s="1"/>
  <c r="N153" i="3" s="1"/>
  <c r="O153" i="3" s="1"/>
  <c r="D153" i="3"/>
  <c r="M152" i="3"/>
  <c r="N152" i="3" s="1"/>
  <c r="O152" i="3" s="1"/>
  <c r="P152" i="3" s="1"/>
  <c r="Q152" i="3" s="1"/>
  <c r="R152" i="3" s="1"/>
  <c r="S152" i="3" s="1"/>
  <c r="T152" i="3" s="1"/>
  <c r="U152" i="3" s="1"/>
  <c r="V152" i="3" s="1"/>
  <c r="W152" i="3" s="1"/>
  <c r="X152" i="3" s="1"/>
  <c r="Y152" i="3" s="1"/>
  <c r="Z152" i="3" s="1"/>
  <c r="AA152" i="3" s="1"/>
  <c r="AB152" i="3" s="1"/>
  <c r="AC152" i="3" s="1"/>
  <c r="AD152" i="3" s="1"/>
  <c r="AE152" i="3" s="1"/>
  <c r="AF152" i="3" s="1"/>
  <c r="L152" i="3"/>
  <c r="J152" i="3"/>
  <c r="K152" i="3" s="1"/>
  <c r="D152" i="3"/>
  <c r="E152" i="3" s="1"/>
  <c r="F152" i="3" s="1"/>
  <c r="G152" i="3" s="1"/>
  <c r="H152" i="3" s="1"/>
  <c r="I152" i="3" s="1"/>
  <c r="B152" i="3"/>
  <c r="G150" i="3"/>
  <c r="H150" i="3" s="1"/>
  <c r="I150" i="3" s="1"/>
  <c r="J150" i="3" s="1"/>
  <c r="K150" i="3" s="1"/>
  <c r="L150" i="3" s="1"/>
  <c r="M150" i="3" s="1"/>
  <c r="N150" i="3" s="1"/>
  <c r="O150" i="3" s="1"/>
  <c r="P150" i="3" s="1"/>
  <c r="Q150" i="3" s="1"/>
  <c r="R150" i="3" s="1"/>
  <c r="S150" i="3" s="1"/>
  <c r="T150" i="3" s="1"/>
  <c r="U150" i="3" s="1"/>
  <c r="V150" i="3" s="1"/>
  <c r="W150" i="3" s="1"/>
  <c r="X150" i="3" s="1"/>
  <c r="Y150" i="3" s="1"/>
  <c r="Z150" i="3" s="1"/>
  <c r="AA150" i="3" s="1"/>
  <c r="AB150" i="3" s="1"/>
  <c r="AC150" i="3" s="1"/>
  <c r="AD150" i="3" s="1"/>
  <c r="AE150" i="3" s="1"/>
  <c r="AF150" i="3" s="1"/>
  <c r="B150" i="3" s="1"/>
  <c r="E150" i="3"/>
  <c r="F150" i="3" s="1"/>
  <c r="D150" i="3"/>
  <c r="S149" i="3"/>
  <c r="T149" i="3" s="1"/>
  <c r="U149" i="3" s="1"/>
  <c r="V149" i="3" s="1"/>
  <c r="W149" i="3" s="1"/>
  <c r="X149" i="3" s="1"/>
  <c r="Y149" i="3" s="1"/>
  <c r="Z149" i="3" s="1"/>
  <c r="AA149" i="3" s="1"/>
  <c r="AB149" i="3" s="1"/>
  <c r="AC149" i="3" s="1"/>
  <c r="AD149" i="3" s="1"/>
  <c r="AE149" i="3" s="1"/>
  <c r="AF149" i="3" s="1"/>
  <c r="B149" i="3" s="1"/>
  <c r="I149" i="3"/>
  <c r="J149" i="3" s="1"/>
  <c r="K149" i="3" s="1"/>
  <c r="L149" i="3" s="1"/>
  <c r="M149" i="3" s="1"/>
  <c r="N149" i="3" s="1"/>
  <c r="O149" i="3" s="1"/>
  <c r="P149" i="3" s="1"/>
  <c r="Q149" i="3" s="1"/>
  <c r="R149" i="3" s="1"/>
  <c r="D149" i="3"/>
  <c r="E149" i="3" s="1"/>
  <c r="F149" i="3" s="1"/>
  <c r="G149" i="3" s="1"/>
  <c r="H149" i="3" s="1"/>
  <c r="Q147" i="3"/>
  <c r="R147" i="3" s="1"/>
  <c r="S147" i="3" s="1"/>
  <c r="T147" i="3" s="1"/>
  <c r="U147" i="3" s="1"/>
  <c r="V147" i="3" s="1"/>
  <c r="W147" i="3" s="1"/>
  <c r="X147" i="3" s="1"/>
  <c r="Y147" i="3" s="1"/>
  <c r="Z147" i="3" s="1"/>
  <c r="AA147" i="3" s="1"/>
  <c r="AB147" i="3" s="1"/>
  <c r="AC147" i="3" s="1"/>
  <c r="AD147" i="3" s="1"/>
  <c r="AE147" i="3" s="1"/>
  <c r="AF147" i="3" s="1"/>
  <c r="B147" i="3" s="1"/>
  <c r="G147" i="3"/>
  <c r="H147" i="3" s="1"/>
  <c r="I147" i="3" s="1"/>
  <c r="J147" i="3" s="1"/>
  <c r="K147" i="3" s="1"/>
  <c r="L147" i="3" s="1"/>
  <c r="M147" i="3" s="1"/>
  <c r="N147" i="3" s="1"/>
  <c r="O147" i="3" s="1"/>
  <c r="P147" i="3" s="1"/>
  <c r="E147" i="3"/>
  <c r="F147" i="3" s="1"/>
  <c r="D147" i="3"/>
  <c r="H146" i="3"/>
  <c r="I146" i="3" s="1"/>
  <c r="J146" i="3" s="1"/>
  <c r="K146" i="3" s="1"/>
  <c r="L146" i="3" s="1"/>
  <c r="M146" i="3" s="1"/>
  <c r="N146" i="3" s="1"/>
  <c r="O146" i="3" s="1"/>
  <c r="P146" i="3" s="1"/>
  <c r="Q146" i="3" s="1"/>
  <c r="R146" i="3" s="1"/>
  <c r="S146" i="3" s="1"/>
  <c r="T146" i="3" s="1"/>
  <c r="U146" i="3" s="1"/>
  <c r="V146" i="3" s="1"/>
  <c r="W146" i="3" s="1"/>
  <c r="X146" i="3" s="1"/>
  <c r="Y146" i="3" s="1"/>
  <c r="Z146" i="3" s="1"/>
  <c r="AA146" i="3" s="1"/>
  <c r="AB146" i="3" s="1"/>
  <c r="AC146" i="3" s="1"/>
  <c r="AD146" i="3" s="1"/>
  <c r="AE146" i="3" s="1"/>
  <c r="AF146" i="3" s="1"/>
  <c r="B146" i="3" s="1"/>
  <c r="G146" i="3"/>
  <c r="E146" i="3"/>
  <c r="F146" i="3" s="1"/>
  <c r="D146" i="3"/>
  <c r="N145" i="3"/>
  <c r="O145" i="3" s="1"/>
  <c r="P145" i="3" s="1"/>
  <c r="Q145" i="3" s="1"/>
  <c r="R145" i="3" s="1"/>
  <c r="S145" i="3" s="1"/>
  <c r="T145" i="3" s="1"/>
  <c r="U145" i="3" s="1"/>
  <c r="V145" i="3" s="1"/>
  <c r="W145" i="3" s="1"/>
  <c r="X145" i="3" s="1"/>
  <c r="Y145" i="3" s="1"/>
  <c r="Z145" i="3" s="1"/>
  <c r="AA145" i="3" s="1"/>
  <c r="AB145" i="3" s="1"/>
  <c r="AC145" i="3" s="1"/>
  <c r="AD145" i="3" s="1"/>
  <c r="AE145" i="3" s="1"/>
  <c r="AF145" i="3" s="1"/>
  <c r="B145" i="3" s="1"/>
  <c r="F145" i="3"/>
  <c r="G145" i="3" s="1"/>
  <c r="H145" i="3" s="1"/>
  <c r="I145" i="3" s="1"/>
  <c r="J145" i="3" s="1"/>
  <c r="K145" i="3" s="1"/>
  <c r="L145" i="3" s="1"/>
  <c r="M145" i="3" s="1"/>
  <c r="E145" i="3"/>
  <c r="D145" i="3"/>
  <c r="O144" i="3"/>
  <c r="P144" i="3" s="1"/>
  <c r="Q144" i="3" s="1"/>
  <c r="R144" i="3" s="1"/>
  <c r="S144" i="3" s="1"/>
  <c r="T144" i="3" s="1"/>
  <c r="U144" i="3" s="1"/>
  <c r="V144" i="3" s="1"/>
  <c r="W144" i="3" s="1"/>
  <c r="X144" i="3" s="1"/>
  <c r="Y144" i="3" s="1"/>
  <c r="Z144" i="3" s="1"/>
  <c r="AA144" i="3" s="1"/>
  <c r="AB144" i="3" s="1"/>
  <c r="AC144" i="3" s="1"/>
  <c r="AD144" i="3" s="1"/>
  <c r="AE144" i="3" s="1"/>
  <c r="AF144" i="3" s="1"/>
  <c r="B144" i="3" s="1"/>
  <c r="G144" i="3"/>
  <c r="H144" i="3" s="1"/>
  <c r="I144" i="3" s="1"/>
  <c r="J144" i="3" s="1"/>
  <c r="K144" i="3" s="1"/>
  <c r="L144" i="3" s="1"/>
  <c r="M144" i="3" s="1"/>
  <c r="N144" i="3" s="1"/>
  <c r="D144" i="3"/>
  <c r="E144" i="3" s="1"/>
  <c r="F144" i="3" s="1"/>
  <c r="J143" i="3"/>
  <c r="K143" i="3" s="1"/>
  <c r="L143" i="3" s="1"/>
  <c r="M143" i="3" s="1"/>
  <c r="N143" i="3" s="1"/>
  <c r="O143" i="3" s="1"/>
  <c r="P143" i="3" s="1"/>
  <c r="Q143" i="3" s="1"/>
  <c r="R143" i="3" s="1"/>
  <c r="S143" i="3" s="1"/>
  <c r="T143" i="3" s="1"/>
  <c r="U143" i="3" s="1"/>
  <c r="V143" i="3" s="1"/>
  <c r="W143" i="3" s="1"/>
  <c r="X143" i="3" s="1"/>
  <c r="Y143" i="3" s="1"/>
  <c r="Z143" i="3" s="1"/>
  <c r="AA143" i="3" s="1"/>
  <c r="AB143" i="3" s="1"/>
  <c r="AC143" i="3" s="1"/>
  <c r="AD143" i="3" s="1"/>
  <c r="AE143" i="3" s="1"/>
  <c r="AF143" i="3" s="1"/>
  <c r="B143" i="3" s="1"/>
  <c r="E143" i="3"/>
  <c r="F143" i="3" s="1"/>
  <c r="G143" i="3" s="1"/>
  <c r="H143" i="3" s="1"/>
  <c r="I143" i="3" s="1"/>
  <c r="D143" i="3"/>
  <c r="L142" i="3"/>
  <c r="M142" i="3" s="1"/>
  <c r="N142" i="3" s="1"/>
  <c r="O142" i="3" s="1"/>
  <c r="P142" i="3" s="1"/>
  <c r="Q142" i="3" s="1"/>
  <c r="R142" i="3" s="1"/>
  <c r="S142" i="3" s="1"/>
  <c r="T142" i="3" s="1"/>
  <c r="U142" i="3" s="1"/>
  <c r="V142" i="3" s="1"/>
  <c r="W142" i="3" s="1"/>
  <c r="X142" i="3" s="1"/>
  <c r="Y142" i="3" s="1"/>
  <c r="Z142" i="3" s="1"/>
  <c r="AA142" i="3" s="1"/>
  <c r="AB142" i="3" s="1"/>
  <c r="AC142" i="3" s="1"/>
  <c r="AD142" i="3" s="1"/>
  <c r="AE142" i="3" s="1"/>
  <c r="AF142" i="3" s="1"/>
  <c r="B142" i="3" s="1"/>
  <c r="G142" i="3"/>
  <c r="H142" i="3" s="1"/>
  <c r="I142" i="3" s="1"/>
  <c r="J142" i="3" s="1"/>
  <c r="K142" i="3" s="1"/>
  <c r="E142" i="3"/>
  <c r="F142" i="3" s="1"/>
  <c r="D142" i="3"/>
  <c r="E141" i="3"/>
  <c r="F141" i="3" s="1"/>
  <c r="G141" i="3" s="1"/>
  <c r="H141" i="3" s="1"/>
  <c r="I141" i="3" s="1"/>
  <c r="J141" i="3" s="1"/>
  <c r="K141" i="3" s="1"/>
  <c r="L141" i="3" s="1"/>
  <c r="M141" i="3" s="1"/>
  <c r="N141" i="3" s="1"/>
  <c r="O141" i="3" s="1"/>
  <c r="P141" i="3" s="1"/>
  <c r="Q141" i="3" s="1"/>
  <c r="R141" i="3" s="1"/>
  <c r="S141" i="3" s="1"/>
  <c r="T141" i="3" s="1"/>
  <c r="U141" i="3" s="1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B141" i="3" s="1"/>
  <c r="D141" i="3"/>
  <c r="M139" i="3"/>
  <c r="N139" i="3" s="1"/>
  <c r="O139" i="3" s="1"/>
  <c r="P139" i="3" s="1"/>
  <c r="Q139" i="3" s="1"/>
  <c r="R139" i="3" s="1"/>
  <c r="S139" i="3" s="1"/>
  <c r="T139" i="3" s="1"/>
  <c r="U139" i="3" s="1"/>
  <c r="V139" i="3" s="1"/>
  <c r="W139" i="3" s="1"/>
  <c r="X139" i="3" s="1"/>
  <c r="Y139" i="3" s="1"/>
  <c r="Z139" i="3" s="1"/>
  <c r="AA139" i="3" s="1"/>
  <c r="AB139" i="3" s="1"/>
  <c r="AC139" i="3" s="1"/>
  <c r="AD139" i="3" s="1"/>
  <c r="AE139" i="3" s="1"/>
  <c r="AF139" i="3" s="1"/>
  <c r="B139" i="3" s="1"/>
  <c r="D139" i="3"/>
  <c r="E139" i="3" s="1"/>
  <c r="F139" i="3" s="1"/>
  <c r="G139" i="3" s="1"/>
  <c r="H139" i="3" s="1"/>
  <c r="I139" i="3" s="1"/>
  <c r="J139" i="3" s="1"/>
  <c r="K139" i="3" s="1"/>
  <c r="L139" i="3" s="1"/>
  <c r="F138" i="3"/>
  <c r="G138" i="3" s="1"/>
  <c r="H138" i="3" s="1"/>
  <c r="I138" i="3" s="1"/>
  <c r="J138" i="3" s="1"/>
  <c r="K138" i="3" s="1"/>
  <c r="L138" i="3" s="1"/>
  <c r="M138" i="3" s="1"/>
  <c r="N138" i="3" s="1"/>
  <c r="O138" i="3" s="1"/>
  <c r="P138" i="3" s="1"/>
  <c r="Q138" i="3" s="1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B138" i="3" s="1"/>
  <c r="E138" i="3"/>
  <c r="D138" i="3"/>
  <c r="I137" i="3"/>
  <c r="J137" i="3" s="1"/>
  <c r="K137" i="3" s="1"/>
  <c r="L137" i="3" s="1"/>
  <c r="M137" i="3" s="1"/>
  <c r="N137" i="3" s="1"/>
  <c r="O137" i="3" s="1"/>
  <c r="P137" i="3" s="1"/>
  <c r="Q137" i="3" s="1"/>
  <c r="R137" i="3" s="1"/>
  <c r="S137" i="3" s="1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B137" i="3" s="1"/>
  <c r="D137" i="3"/>
  <c r="E137" i="3" s="1"/>
  <c r="F137" i="3" s="1"/>
  <c r="G137" i="3" s="1"/>
  <c r="H137" i="3" s="1"/>
  <c r="E136" i="3"/>
  <c r="F136" i="3" s="1"/>
  <c r="G136" i="3" s="1"/>
  <c r="H136" i="3" s="1"/>
  <c r="I136" i="3" s="1"/>
  <c r="J136" i="3" s="1"/>
  <c r="K136" i="3" s="1"/>
  <c r="L136" i="3" s="1"/>
  <c r="M136" i="3" s="1"/>
  <c r="N136" i="3" s="1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B136" i="3" s="1"/>
  <c r="D136" i="3"/>
  <c r="E135" i="3"/>
  <c r="F135" i="3" s="1"/>
  <c r="G135" i="3" s="1"/>
  <c r="H135" i="3" s="1"/>
  <c r="I135" i="3" s="1"/>
  <c r="J135" i="3" s="1"/>
  <c r="K135" i="3" s="1"/>
  <c r="L135" i="3" s="1"/>
  <c r="M135" i="3" s="1"/>
  <c r="N135" i="3" s="1"/>
  <c r="O135" i="3" s="1"/>
  <c r="P135" i="3" s="1"/>
  <c r="Q135" i="3" s="1"/>
  <c r="R135" i="3" s="1"/>
  <c r="S135" i="3" s="1"/>
  <c r="T135" i="3" s="1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B135" i="3" s="1"/>
  <c r="D135" i="3"/>
  <c r="H134" i="3"/>
  <c r="I134" i="3" s="1"/>
  <c r="J134" i="3" s="1"/>
  <c r="K134" i="3" s="1"/>
  <c r="L134" i="3" s="1"/>
  <c r="M134" i="3" s="1"/>
  <c r="N134" i="3" s="1"/>
  <c r="O134" i="3" s="1"/>
  <c r="P134" i="3" s="1"/>
  <c r="Q134" i="3" s="1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B134" i="3" s="1"/>
  <c r="E134" i="3"/>
  <c r="F134" i="3" s="1"/>
  <c r="G134" i="3" s="1"/>
  <c r="D134" i="3"/>
  <c r="W133" i="3"/>
  <c r="X133" i="3" s="1"/>
  <c r="Y133" i="3" s="1"/>
  <c r="Z133" i="3" s="1"/>
  <c r="AA133" i="3" s="1"/>
  <c r="AB133" i="3" s="1"/>
  <c r="AC133" i="3" s="1"/>
  <c r="AD133" i="3" s="1"/>
  <c r="AE133" i="3" s="1"/>
  <c r="AF133" i="3" s="1"/>
  <c r="B133" i="3" s="1"/>
  <c r="G133" i="3"/>
  <c r="H133" i="3" s="1"/>
  <c r="I133" i="3" s="1"/>
  <c r="J133" i="3" s="1"/>
  <c r="K133" i="3" s="1"/>
  <c r="L133" i="3" s="1"/>
  <c r="M133" i="3" s="1"/>
  <c r="N133" i="3" s="1"/>
  <c r="O133" i="3" s="1"/>
  <c r="P133" i="3" s="1"/>
  <c r="Q133" i="3" s="1"/>
  <c r="R133" i="3" s="1"/>
  <c r="S133" i="3" s="1"/>
  <c r="T133" i="3" s="1"/>
  <c r="U133" i="3" s="1"/>
  <c r="V133" i="3" s="1"/>
  <c r="F133" i="3"/>
  <c r="E133" i="3"/>
  <c r="D133" i="3"/>
  <c r="D132" i="3"/>
  <c r="E132" i="3" s="1"/>
  <c r="F132" i="3" s="1"/>
  <c r="G132" i="3" s="1"/>
  <c r="H132" i="3" s="1"/>
  <c r="I132" i="3" s="1"/>
  <c r="J132" i="3" s="1"/>
  <c r="K132" i="3" s="1"/>
  <c r="L132" i="3" s="1"/>
  <c r="M132" i="3" s="1"/>
  <c r="N132" i="3" s="1"/>
  <c r="O132" i="3" s="1"/>
  <c r="P132" i="3" s="1"/>
  <c r="Q132" i="3" s="1"/>
  <c r="R132" i="3" s="1"/>
  <c r="S132" i="3" s="1"/>
  <c r="T132" i="3" s="1"/>
  <c r="U132" i="3" s="1"/>
  <c r="V132" i="3" s="1"/>
  <c r="W132" i="3" s="1"/>
  <c r="X132" i="3" s="1"/>
  <c r="Y132" i="3" s="1"/>
  <c r="Z132" i="3" s="1"/>
  <c r="AA132" i="3" s="1"/>
  <c r="AB132" i="3" s="1"/>
  <c r="AC132" i="3" s="1"/>
  <c r="AD132" i="3" s="1"/>
  <c r="AE132" i="3" s="1"/>
  <c r="AF132" i="3" s="1"/>
  <c r="B132" i="3" s="1"/>
  <c r="E130" i="3"/>
  <c r="F130" i="3" s="1"/>
  <c r="G130" i="3" s="1"/>
  <c r="H130" i="3" s="1"/>
  <c r="I130" i="3" s="1"/>
  <c r="J130" i="3" s="1"/>
  <c r="K130" i="3" s="1"/>
  <c r="L130" i="3" s="1"/>
  <c r="M130" i="3" s="1"/>
  <c r="N130" i="3" s="1"/>
  <c r="O130" i="3" s="1"/>
  <c r="P130" i="3" s="1"/>
  <c r="Q130" i="3" s="1"/>
  <c r="R130" i="3" s="1"/>
  <c r="S130" i="3" s="1"/>
  <c r="T130" i="3" s="1"/>
  <c r="U130" i="3" s="1"/>
  <c r="V130" i="3" s="1"/>
  <c r="W130" i="3" s="1"/>
  <c r="X130" i="3" s="1"/>
  <c r="Y130" i="3" s="1"/>
  <c r="Z130" i="3" s="1"/>
  <c r="AA130" i="3" s="1"/>
  <c r="AB130" i="3" s="1"/>
  <c r="AC130" i="3" s="1"/>
  <c r="AD130" i="3" s="1"/>
  <c r="AE130" i="3" s="1"/>
  <c r="AF130" i="3" s="1"/>
  <c r="B130" i="3" s="1"/>
  <c r="D130" i="3"/>
  <c r="E129" i="3"/>
  <c r="F129" i="3" s="1"/>
  <c r="G129" i="3" s="1"/>
  <c r="H129" i="3" s="1"/>
  <c r="I129" i="3" s="1"/>
  <c r="J129" i="3" s="1"/>
  <c r="K129" i="3" s="1"/>
  <c r="L129" i="3" s="1"/>
  <c r="M129" i="3" s="1"/>
  <c r="N129" i="3" s="1"/>
  <c r="O129" i="3" s="1"/>
  <c r="P129" i="3" s="1"/>
  <c r="Q129" i="3" s="1"/>
  <c r="R129" i="3" s="1"/>
  <c r="S129" i="3" s="1"/>
  <c r="T129" i="3" s="1"/>
  <c r="U129" i="3" s="1"/>
  <c r="V129" i="3" s="1"/>
  <c r="W129" i="3" s="1"/>
  <c r="X129" i="3" s="1"/>
  <c r="Y129" i="3" s="1"/>
  <c r="Z129" i="3" s="1"/>
  <c r="AA129" i="3" s="1"/>
  <c r="AB129" i="3" s="1"/>
  <c r="AC129" i="3" s="1"/>
  <c r="AD129" i="3" s="1"/>
  <c r="AE129" i="3" s="1"/>
  <c r="AF129" i="3" s="1"/>
  <c r="B129" i="3" s="1"/>
  <c r="D129" i="3"/>
  <c r="E128" i="3"/>
  <c r="F128" i="3" s="1"/>
  <c r="G128" i="3" s="1"/>
  <c r="H128" i="3" s="1"/>
  <c r="I128" i="3" s="1"/>
  <c r="J128" i="3" s="1"/>
  <c r="K128" i="3" s="1"/>
  <c r="L128" i="3" s="1"/>
  <c r="M128" i="3" s="1"/>
  <c r="N128" i="3" s="1"/>
  <c r="O128" i="3" s="1"/>
  <c r="P128" i="3" s="1"/>
  <c r="Q128" i="3" s="1"/>
  <c r="R128" i="3" s="1"/>
  <c r="S128" i="3" s="1"/>
  <c r="T128" i="3" s="1"/>
  <c r="U128" i="3" s="1"/>
  <c r="V128" i="3" s="1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B128" i="3" s="1"/>
  <c r="D128" i="3"/>
  <c r="D127" i="3"/>
  <c r="E127" i="3" s="1"/>
  <c r="F127" i="3" s="1"/>
  <c r="G127" i="3" s="1"/>
  <c r="H127" i="3" s="1"/>
  <c r="I127" i="3" s="1"/>
  <c r="J127" i="3" s="1"/>
  <c r="K127" i="3" s="1"/>
  <c r="L127" i="3" s="1"/>
  <c r="M127" i="3" s="1"/>
  <c r="N127" i="3" s="1"/>
  <c r="O127" i="3" s="1"/>
  <c r="P127" i="3" s="1"/>
  <c r="Q127" i="3" s="1"/>
  <c r="R127" i="3" s="1"/>
  <c r="S127" i="3" s="1"/>
  <c r="T127" i="3" s="1"/>
  <c r="U127" i="3" s="1"/>
  <c r="V127" i="3" s="1"/>
  <c r="W127" i="3" s="1"/>
  <c r="X127" i="3" s="1"/>
  <c r="Y127" i="3" s="1"/>
  <c r="Z127" i="3" s="1"/>
  <c r="AA127" i="3" s="1"/>
  <c r="AB127" i="3" s="1"/>
  <c r="AC127" i="3" s="1"/>
  <c r="AD127" i="3" s="1"/>
  <c r="AE127" i="3" s="1"/>
  <c r="AF127" i="3" s="1"/>
  <c r="B127" i="3" s="1"/>
  <c r="AA126" i="3"/>
  <c r="AB126" i="3" s="1"/>
  <c r="AC126" i="3" s="1"/>
  <c r="AD126" i="3" s="1"/>
  <c r="AE126" i="3" s="1"/>
  <c r="AF126" i="3" s="1"/>
  <c r="B126" i="3" s="1"/>
  <c r="O126" i="3"/>
  <c r="P126" i="3" s="1"/>
  <c r="Q126" i="3" s="1"/>
  <c r="R126" i="3" s="1"/>
  <c r="S126" i="3" s="1"/>
  <c r="T126" i="3" s="1"/>
  <c r="U126" i="3" s="1"/>
  <c r="V126" i="3" s="1"/>
  <c r="W126" i="3" s="1"/>
  <c r="X126" i="3" s="1"/>
  <c r="Y126" i="3" s="1"/>
  <c r="Z126" i="3" s="1"/>
  <c r="K126" i="3"/>
  <c r="L126" i="3" s="1"/>
  <c r="M126" i="3" s="1"/>
  <c r="N126" i="3" s="1"/>
  <c r="J126" i="3"/>
  <c r="D126" i="3"/>
  <c r="E126" i="3" s="1"/>
  <c r="F126" i="3" s="1"/>
  <c r="G126" i="3" s="1"/>
  <c r="H126" i="3" s="1"/>
  <c r="F125" i="3"/>
  <c r="G125" i="3" s="1"/>
  <c r="H125" i="3" s="1"/>
  <c r="I125" i="3" s="1"/>
  <c r="J125" i="3" s="1"/>
  <c r="K125" i="3" s="1"/>
  <c r="L125" i="3" s="1"/>
  <c r="M125" i="3" s="1"/>
  <c r="N125" i="3" s="1"/>
  <c r="O125" i="3" s="1"/>
  <c r="P125" i="3" s="1"/>
  <c r="Q125" i="3" s="1"/>
  <c r="R125" i="3" s="1"/>
  <c r="S125" i="3" s="1"/>
  <c r="T125" i="3" s="1"/>
  <c r="U125" i="3" s="1"/>
  <c r="V125" i="3" s="1"/>
  <c r="W125" i="3" s="1"/>
  <c r="X125" i="3" s="1"/>
  <c r="Y125" i="3" s="1"/>
  <c r="Z125" i="3" s="1"/>
  <c r="AA125" i="3" s="1"/>
  <c r="AB125" i="3" s="1"/>
  <c r="AC125" i="3" s="1"/>
  <c r="AD125" i="3" s="1"/>
  <c r="AE125" i="3" s="1"/>
  <c r="AF125" i="3" s="1"/>
  <c r="B125" i="3" s="1"/>
  <c r="D125" i="3"/>
  <c r="E125" i="3" s="1"/>
  <c r="D124" i="3"/>
  <c r="E124" i="3" s="1"/>
  <c r="F124" i="3" s="1"/>
  <c r="G124" i="3" s="1"/>
  <c r="H124" i="3" s="1"/>
  <c r="I124" i="3" s="1"/>
  <c r="J124" i="3" s="1"/>
  <c r="K124" i="3" s="1"/>
  <c r="L124" i="3" s="1"/>
  <c r="M124" i="3" s="1"/>
  <c r="N124" i="3" s="1"/>
  <c r="O124" i="3" s="1"/>
  <c r="P124" i="3" s="1"/>
  <c r="Q124" i="3" s="1"/>
  <c r="R124" i="3" s="1"/>
  <c r="S124" i="3" s="1"/>
  <c r="T124" i="3" s="1"/>
  <c r="U124" i="3" s="1"/>
  <c r="V124" i="3" s="1"/>
  <c r="W124" i="3" s="1"/>
  <c r="X124" i="3" s="1"/>
  <c r="Y124" i="3" s="1"/>
  <c r="Z124" i="3" s="1"/>
  <c r="AA124" i="3" s="1"/>
  <c r="AB124" i="3" s="1"/>
  <c r="AC124" i="3" s="1"/>
  <c r="AD124" i="3" s="1"/>
  <c r="AE124" i="3" s="1"/>
  <c r="AF124" i="3" s="1"/>
  <c r="B124" i="3" s="1"/>
  <c r="D123" i="3"/>
  <c r="E123" i="3" s="1"/>
  <c r="F123" i="3" s="1"/>
  <c r="G123" i="3" s="1"/>
  <c r="H123" i="3" s="1"/>
  <c r="I123" i="3" s="1"/>
  <c r="J123" i="3" s="1"/>
  <c r="K123" i="3" s="1"/>
  <c r="L123" i="3" s="1"/>
  <c r="M123" i="3" s="1"/>
  <c r="N123" i="3" s="1"/>
  <c r="O123" i="3" s="1"/>
  <c r="P123" i="3" s="1"/>
  <c r="Q123" i="3" s="1"/>
  <c r="R123" i="3" s="1"/>
  <c r="S123" i="3" s="1"/>
  <c r="T123" i="3" s="1"/>
  <c r="U123" i="3" s="1"/>
  <c r="V123" i="3" s="1"/>
  <c r="W123" i="3" s="1"/>
  <c r="X123" i="3" s="1"/>
  <c r="Y123" i="3" s="1"/>
  <c r="Z123" i="3" s="1"/>
  <c r="AA123" i="3" s="1"/>
  <c r="AB123" i="3" s="1"/>
  <c r="AC123" i="3" s="1"/>
  <c r="AD123" i="3" s="1"/>
  <c r="AE123" i="3" s="1"/>
  <c r="AF123" i="3" s="1"/>
  <c r="B123" i="3" s="1"/>
  <c r="D122" i="3"/>
  <c r="E122" i="3" s="1"/>
  <c r="F122" i="3" s="1"/>
  <c r="G122" i="3" s="1"/>
  <c r="H122" i="3" s="1"/>
  <c r="I122" i="3" s="1"/>
  <c r="J122" i="3" s="1"/>
  <c r="K122" i="3" s="1"/>
  <c r="L122" i="3" s="1"/>
  <c r="M122" i="3" s="1"/>
  <c r="N122" i="3" s="1"/>
  <c r="O122" i="3" s="1"/>
  <c r="P122" i="3" s="1"/>
  <c r="Q122" i="3" s="1"/>
  <c r="R122" i="3" s="1"/>
  <c r="S122" i="3" s="1"/>
  <c r="T122" i="3" s="1"/>
  <c r="U122" i="3" s="1"/>
  <c r="V122" i="3" s="1"/>
  <c r="W122" i="3" s="1"/>
  <c r="X122" i="3" s="1"/>
  <c r="Y122" i="3" s="1"/>
  <c r="Z122" i="3" s="1"/>
  <c r="AA122" i="3" s="1"/>
  <c r="AB122" i="3" s="1"/>
  <c r="AC122" i="3" s="1"/>
  <c r="AD122" i="3" s="1"/>
  <c r="AE122" i="3" s="1"/>
  <c r="AF122" i="3" s="1"/>
  <c r="B122" i="3" s="1"/>
  <c r="O121" i="3"/>
  <c r="P121" i="3" s="1"/>
  <c r="Q121" i="3" s="1"/>
  <c r="R121" i="3" s="1"/>
  <c r="S121" i="3" s="1"/>
  <c r="T121" i="3" s="1"/>
  <c r="U121" i="3" s="1"/>
  <c r="V121" i="3" s="1"/>
  <c r="W121" i="3" s="1"/>
  <c r="X121" i="3" s="1"/>
  <c r="Y121" i="3" s="1"/>
  <c r="Z121" i="3" s="1"/>
  <c r="AA121" i="3" s="1"/>
  <c r="AB121" i="3" s="1"/>
  <c r="AC121" i="3" s="1"/>
  <c r="AD121" i="3" s="1"/>
  <c r="AE121" i="3" s="1"/>
  <c r="AF121" i="3" s="1"/>
  <c r="B121" i="3" s="1"/>
  <c r="F121" i="3"/>
  <c r="G121" i="3" s="1"/>
  <c r="H121" i="3" s="1"/>
  <c r="I121" i="3" s="1"/>
  <c r="J121" i="3" s="1"/>
  <c r="K121" i="3" s="1"/>
  <c r="L121" i="3" s="1"/>
  <c r="M121" i="3" s="1"/>
  <c r="N121" i="3" s="1"/>
  <c r="D121" i="3"/>
  <c r="E121" i="3" s="1"/>
  <c r="D120" i="3"/>
  <c r="E120" i="3" s="1"/>
  <c r="F120" i="3" s="1"/>
  <c r="G120" i="3" s="1"/>
  <c r="H120" i="3" s="1"/>
  <c r="I120" i="3" s="1"/>
  <c r="J120" i="3" s="1"/>
  <c r="K120" i="3" s="1"/>
  <c r="L120" i="3" s="1"/>
  <c r="M120" i="3" s="1"/>
  <c r="N120" i="3" s="1"/>
  <c r="O120" i="3" s="1"/>
  <c r="P120" i="3" s="1"/>
  <c r="Q120" i="3" s="1"/>
  <c r="R120" i="3" s="1"/>
  <c r="S120" i="3" s="1"/>
  <c r="T120" i="3" s="1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B120" i="3" s="1"/>
  <c r="D119" i="3"/>
  <c r="E119" i="3" s="1"/>
  <c r="F119" i="3" s="1"/>
  <c r="G119" i="3" s="1"/>
  <c r="H119" i="3" s="1"/>
  <c r="I119" i="3" s="1"/>
  <c r="J119" i="3" s="1"/>
  <c r="K119" i="3" s="1"/>
  <c r="L119" i="3" s="1"/>
  <c r="M119" i="3" s="1"/>
  <c r="N119" i="3" s="1"/>
  <c r="O119" i="3" s="1"/>
  <c r="P119" i="3" s="1"/>
  <c r="Q119" i="3" s="1"/>
  <c r="R119" i="3" s="1"/>
  <c r="S119" i="3" s="1"/>
  <c r="T119" i="3" s="1"/>
  <c r="U119" i="3" s="1"/>
  <c r="V119" i="3" s="1"/>
  <c r="W119" i="3" s="1"/>
  <c r="X119" i="3" s="1"/>
  <c r="Y119" i="3" s="1"/>
  <c r="Z119" i="3" s="1"/>
  <c r="AA119" i="3" s="1"/>
  <c r="AB119" i="3" s="1"/>
  <c r="AC119" i="3" s="1"/>
  <c r="AD119" i="3" s="1"/>
  <c r="AE119" i="3" s="1"/>
  <c r="AF119" i="3" s="1"/>
  <c r="B119" i="3" s="1"/>
  <c r="D118" i="3"/>
  <c r="E118" i="3" s="1"/>
  <c r="F118" i="3" s="1"/>
  <c r="G118" i="3" s="1"/>
  <c r="H118" i="3" s="1"/>
  <c r="I118" i="3" s="1"/>
  <c r="J118" i="3" s="1"/>
  <c r="K118" i="3" s="1"/>
  <c r="L118" i="3" s="1"/>
  <c r="M118" i="3" s="1"/>
  <c r="N118" i="3" s="1"/>
  <c r="O118" i="3" s="1"/>
  <c r="P118" i="3" s="1"/>
  <c r="Q118" i="3" s="1"/>
  <c r="R118" i="3" s="1"/>
  <c r="S118" i="3" s="1"/>
  <c r="T118" i="3" s="1"/>
  <c r="U118" i="3" s="1"/>
  <c r="V118" i="3" s="1"/>
  <c r="W118" i="3" s="1"/>
  <c r="X118" i="3" s="1"/>
  <c r="Y118" i="3" s="1"/>
  <c r="Z118" i="3" s="1"/>
  <c r="AA118" i="3" s="1"/>
  <c r="AB118" i="3" s="1"/>
  <c r="AC118" i="3" s="1"/>
  <c r="AD118" i="3" s="1"/>
  <c r="AE118" i="3" s="1"/>
  <c r="AF118" i="3" s="1"/>
  <c r="B118" i="3" s="1"/>
  <c r="D117" i="3"/>
  <c r="E117" i="3" s="1"/>
  <c r="F117" i="3" s="1"/>
  <c r="G117" i="3" s="1"/>
  <c r="H117" i="3" s="1"/>
  <c r="I117" i="3" s="1"/>
  <c r="J117" i="3" s="1"/>
  <c r="K117" i="3" s="1"/>
  <c r="L117" i="3" s="1"/>
  <c r="M117" i="3" s="1"/>
  <c r="N117" i="3" s="1"/>
  <c r="O117" i="3" s="1"/>
  <c r="P117" i="3" s="1"/>
  <c r="Q117" i="3" s="1"/>
  <c r="R117" i="3" s="1"/>
  <c r="S117" i="3" s="1"/>
  <c r="T117" i="3" s="1"/>
  <c r="U117" i="3" s="1"/>
  <c r="V117" i="3" s="1"/>
  <c r="W117" i="3" s="1"/>
  <c r="X117" i="3" s="1"/>
  <c r="Y117" i="3" s="1"/>
  <c r="Z117" i="3" s="1"/>
  <c r="AA117" i="3" s="1"/>
  <c r="AB117" i="3" s="1"/>
  <c r="AC117" i="3" s="1"/>
  <c r="AD117" i="3" s="1"/>
  <c r="AE117" i="3" s="1"/>
  <c r="AF117" i="3" s="1"/>
  <c r="B117" i="3" s="1"/>
  <c r="E116" i="3"/>
  <c r="F116" i="3" s="1"/>
  <c r="G116" i="3" s="1"/>
  <c r="H116" i="3" s="1"/>
  <c r="I116" i="3" s="1"/>
  <c r="J116" i="3" s="1"/>
  <c r="K116" i="3" s="1"/>
  <c r="L116" i="3" s="1"/>
  <c r="M116" i="3" s="1"/>
  <c r="N116" i="3" s="1"/>
  <c r="O116" i="3" s="1"/>
  <c r="P116" i="3" s="1"/>
  <c r="Q116" i="3" s="1"/>
  <c r="R116" i="3" s="1"/>
  <c r="S116" i="3" s="1"/>
  <c r="T116" i="3" s="1"/>
  <c r="U116" i="3" s="1"/>
  <c r="V116" i="3" s="1"/>
  <c r="W116" i="3" s="1"/>
  <c r="X116" i="3" s="1"/>
  <c r="Y116" i="3" s="1"/>
  <c r="Z116" i="3" s="1"/>
  <c r="AA116" i="3" s="1"/>
  <c r="AB116" i="3" s="1"/>
  <c r="AC116" i="3" s="1"/>
  <c r="AD116" i="3" s="1"/>
  <c r="AE116" i="3" s="1"/>
  <c r="AF116" i="3" s="1"/>
  <c r="B116" i="3" s="1"/>
  <c r="D116" i="3"/>
  <c r="L115" i="3"/>
  <c r="M115" i="3" s="1"/>
  <c r="N115" i="3" s="1"/>
  <c r="O115" i="3" s="1"/>
  <c r="P115" i="3" s="1"/>
  <c r="Q115" i="3" s="1"/>
  <c r="R115" i="3" s="1"/>
  <c r="S115" i="3" s="1"/>
  <c r="T115" i="3" s="1"/>
  <c r="U115" i="3" s="1"/>
  <c r="V115" i="3" s="1"/>
  <c r="W115" i="3" s="1"/>
  <c r="X115" i="3" s="1"/>
  <c r="Y115" i="3" s="1"/>
  <c r="Z115" i="3" s="1"/>
  <c r="AA115" i="3" s="1"/>
  <c r="AB115" i="3" s="1"/>
  <c r="AC115" i="3" s="1"/>
  <c r="AD115" i="3" s="1"/>
  <c r="AE115" i="3" s="1"/>
  <c r="AF115" i="3" s="1"/>
  <c r="B115" i="3" s="1"/>
  <c r="K115" i="3"/>
  <c r="D115" i="3"/>
  <c r="E115" i="3" s="1"/>
  <c r="F115" i="3" s="1"/>
  <c r="G115" i="3" s="1"/>
  <c r="H115" i="3" s="1"/>
  <c r="I115" i="3" s="1"/>
  <c r="E114" i="3"/>
  <c r="F114" i="3" s="1"/>
  <c r="G114" i="3" s="1"/>
  <c r="H114" i="3" s="1"/>
  <c r="I114" i="3" s="1"/>
  <c r="J114" i="3" s="1"/>
  <c r="K114" i="3" s="1"/>
  <c r="L114" i="3" s="1"/>
  <c r="M114" i="3" s="1"/>
  <c r="N114" i="3" s="1"/>
  <c r="O114" i="3" s="1"/>
  <c r="P114" i="3" s="1"/>
  <c r="Q114" i="3" s="1"/>
  <c r="R114" i="3" s="1"/>
  <c r="S114" i="3" s="1"/>
  <c r="T114" i="3" s="1"/>
  <c r="U114" i="3" s="1"/>
  <c r="V114" i="3" s="1"/>
  <c r="W114" i="3" s="1"/>
  <c r="X114" i="3" s="1"/>
  <c r="Y114" i="3" s="1"/>
  <c r="Z114" i="3" s="1"/>
  <c r="AA114" i="3" s="1"/>
  <c r="AB114" i="3" s="1"/>
  <c r="AC114" i="3" s="1"/>
  <c r="AD114" i="3" s="1"/>
  <c r="AE114" i="3" s="1"/>
  <c r="AF114" i="3" s="1"/>
  <c r="B114" i="3" s="1"/>
  <c r="D114" i="3"/>
  <c r="K113" i="3"/>
  <c r="L113" i="3" s="1"/>
  <c r="M113" i="3" s="1"/>
  <c r="N113" i="3" s="1"/>
  <c r="O113" i="3" s="1"/>
  <c r="P113" i="3" s="1"/>
  <c r="Q113" i="3" s="1"/>
  <c r="R113" i="3" s="1"/>
  <c r="S113" i="3" s="1"/>
  <c r="T113" i="3" s="1"/>
  <c r="U113" i="3" s="1"/>
  <c r="V113" i="3" s="1"/>
  <c r="W113" i="3" s="1"/>
  <c r="X113" i="3" s="1"/>
  <c r="Y113" i="3" s="1"/>
  <c r="Z113" i="3" s="1"/>
  <c r="AA113" i="3" s="1"/>
  <c r="AB113" i="3" s="1"/>
  <c r="AC113" i="3" s="1"/>
  <c r="AD113" i="3" s="1"/>
  <c r="AE113" i="3" s="1"/>
  <c r="AF113" i="3" s="1"/>
  <c r="B113" i="3" s="1"/>
  <c r="E113" i="3"/>
  <c r="F113" i="3" s="1"/>
  <c r="G113" i="3" s="1"/>
  <c r="H113" i="3" s="1"/>
  <c r="I113" i="3" s="1"/>
  <c r="J113" i="3" s="1"/>
  <c r="D113" i="3"/>
  <c r="E111" i="3"/>
  <c r="F111" i="3" s="1"/>
  <c r="G111" i="3" s="1"/>
  <c r="H111" i="3" s="1"/>
  <c r="I111" i="3" s="1"/>
  <c r="J111" i="3" s="1"/>
  <c r="K111" i="3" s="1"/>
  <c r="L111" i="3" s="1"/>
  <c r="M111" i="3" s="1"/>
  <c r="N111" i="3" s="1"/>
  <c r="O111" i="3" s="1"/>
  <c r="P111" i="3" s="1"/>
  <c r="Q111" i="3" s="1"/>
  <c r="R111" i="3" s="1"/>
  <c r="S111" i="3" s="1"/>
  <c r="T111" i="3" s="1"/>
  <c r="U111" i="3" s="1"/>
  <c r="V111" i="3" s="1"/>
  <c r="W111" i="3" s="1"/>
  <c r="X111" i="3" s="1"/>
  <c r="Y111" i="3" s="1"/>
  <c r="Z111" i="3" s="1"/>
  <c r="AA111" i="3" s="1"/>
  <c r="AB111" i="3" s="1"/>
  <c r="AC111" i="3" s="1"/>
  <c r="AD111" i="3" s="1"/>
  <c r="AE111" i="3" s="1"/>
  <c r="AF111" i="3" s="1"/>
  <c r="B111" i="3" s="1"/>
  <c r="D111" i="3"/>
  <c r="G110" i="3"/>
  <c r="H110" i="3" s="1"/>
  <c r="I110" i="3" s="1"/>
  <c r="J110" i="3" s="1"/>
  <c r="K110" i="3" s="1"/>
  <c r="L110" i="3" s="1"/>
  <c r="M110" i="3" s="1"/>
  <c r="N110" i="3" s="1"/>
  <c r="O110" i="3" s="1"/>
  <c r="P110" i="3" s="1"/>
  <c r="Q110" i="3" s="1"/>
  <c r="R110" i="3" s="1"/>
  <c r="S110" i="3" s="1"/>
  <c r="T110" i="3" s="1"/>
  <c r="U110" i="3" s="1"/>
  <c r="V110" i="3" s="1"/>
  <c r="W110" i="3" s="1"/>
  <c r="X110" i="3" s="1"/>
  <c r="Y110" i="3" s="1"/>
  <c r="Z110" i="3" s="1"/>
  <c r="AA110" i="3" s="1"/>
  <c r="AB110" i="3" s="1"/>
  <c r="AC110" i="3" s="1"/>
  <c r="AD110" i="3" s="1"/>
  <c r="AE110" i="3" s="1"/>
  <c r="AF110" i="3" s="1"/>
  <c r="B110" i="3" s="1"/>
  <c r="E110" i="3"/>
  <c r="F110" i="3" s="1"/>
  <c r="D110" i="3"/>
  <c r="I108" i="3"/>
  <c r="J108" i="3" s="1"/>
  <c r="K108" i="3" s="1"/>
  <c r="L108" i="3" s="1"/>
  <c r="M108" i="3" s="1"/>
  <c r="N108" i="3" s="1"/>
  <c r="O108" i="3" s="1"/>
  <c r="P108" i="3" s="1"/>
  <c r="Q108" i="3" s="1"/>
  <c r="R108" i="3" s="1"/>
  <c r="S108" i="3" s="1"/>
  <c r="T108" i="3" s="1"/>
  <c r="U108" i="3" s="1"/>
  <c r="V108" i="3" s="1"/>
  <c r="W108" i="3" s="1"/>
  <c r="X108" i="3" s="1"/>
  <c r="Y108" i="3" s="1"/>
  <c r="Z108" i="3" s="1"/>
  <c r="AA108" i="3" s="1"/>
  <c r="AB108" i="3" s="1"/>
  <c r="AC108" i="3" s="1"/>
  <c r="AD108" i="3" s="1"/>
  <c r="AE108" i="3" s="1"/>
  <c r="AF108" i="3" s="1"/>
  <c r="B108" i="3" s="1"/>
  <c r="E108" i="3"/>
  <c r="F108" i="3" s="1"/>
  <c r="G108" i="3" s="1"/>
  <c r="H108" i="3" s="1"/>
  <c r="D108" i="3"/>
  <c r="E107" i="3"/>
  <c r="F107" i="3" s="1"/>
  <c r="G107" i="3" s="1"/>
  <c r="H107" i="3" s="1"/>
  <c r="I107" i="3" s="1"/>
  <c r="J107" i="3" s="1"/>
  <c r="K107" i="3" s="1"/>
  <c r="L107" i="3" s="1"/>
  <c r="M107" i="3" s="1"/>
  <c r="N107" i="3" s="1"/>
  <c r="O107" i="3" s="1"/>
  <c r="P107" i="3" s="1"/>
  <c r="Q107" i="3" s="1"/>
  <c r="R107" i="3" s="1"/>
  <c r="S107" i="3" s="1"/>
  <c r="T107" i="3" s="1"/>
  <c r="U107" i="3" s="1"/>
  <c r="V107" i="3" s="1"/>
  <c r="W107" i="3" s="1"/>
  <c r="X107" i="3" s="1"/>
  <c r="Y107" i="3" s="1"/>
  <c r="Z107" i="3" s="1"/>
  <c r="AA107" i="3" s="1"/>
  <c r="AB107" i="3" s="1"/>
  <c r="AC107" i="3" s="1"/>
  <c r="AD107" i="3" s="1"/>
  <c r="AE107" i="3" s="1"/>
  <c r="AF107" i="3" s="1"/>
  <c r="B107" i="3" s="1"/>
  <c r="D107" i="3"/>
  <c r="I106" i="3"/>
  <c r="J106" i="3" s="1"/>
  <c r="K106" i="3" s="1"/>
  <c r="L106" i="3" s="1"/>
  <c r="M106" i="3" s="1"/>
  <c r="N106" i="3" s="1"/>
  <c r="O106" i="3" s="1"/>
  <c r="P106" i="3" s="1"/>
  <c r="Q106" i="3" s="1"/>
  <c r="R106" i="3" s="1"/>
  <c r="S106" i="3" s="1"/>
  <c r="T106" i="3" s="1"/>
  <c r="U106" i="3" s="1"/>
  <c r="V106" i="3" s="1"/>
  <c r="W106" i="3" s="1"/>
  <c r="X106" i="3" s="1"/>
  <c r="Y106" i="3" s="1"/>
  <c r="Z106" i="3" s="1"/>
  <c r="AA106" i="3" s="1"/>
  <c r="AB106" i="3" s="1"/>
  <c r="AC106" i="3" s="1"/>
  <c r="AD106" i="3" s="1"/>
  <c r="AE106" i="3" s="1"/>
  <c r="AF106" i="3" s="1"/>
  <c r="B106" i="3" s="1"/>
  <c r="E106" i="3"/>
  <c r="F106" i="3" s="1"/>
  <c r="G106" i="3" s="1"/>
  <c r="H106" i="3" s="1"/>
  <c r="D106" i="3"/>
  <c r="E105" i="3"/>
  <c r="F105" i="3" s="1"/>
  <c r="G105" i="3" s="1"/>
  <c r="H105" i="3" s="1"/>
  <c r="I105" i="3" s="1"/>
  <c r="J105" i="3" s="1"/>
  <c r="K105" i="3" s="1"/>
  <c r="L105" i="3" s="1"/>
  <c r="M105" i="3" s="1"/>
  <c r="N105" i="3" s="1"/>
  <c r="O105" i="3" s="1"/>
  <c r="P105" i="3" s="1"/>
  <c r="Q105" i="3" s="1"/>
  <c r="R105" i="3" s="1"/>
  <c r="S105" i="3" s="1"/>
  <c r="T105" i="3" s="1"/>
  <c r="U105" i="3" s="1"/>
  <c r="V105" i="3" s="1"/>
  <c r="W105" i="3" s="1"/>
  <c r="X105" i="3" s="1"/>
  <c r="Y105" i="3" s="1"/>
  <c r="Z105" i="3" s="1"/>
  <c r="AA105" i="3" s="1"/>
  <c r="AB105" i="3" s="1"/>
  <c r="AC105" i="3" s="1"/>
  <c r="AD105" i="3" s="1"/>
  <c r="AE105" i="3" s="1"/>
  <c r="AF105" i="3" s="1"/>
  <c r="B105" i="3" s="1"/>
  <c r="D105" i="3"/>
  <c r="E104" i="3"/>
  <c r="F104" i="3" s="1"/>
  <c r="G104" i="3" s="1"/>
  <c r="D104" i="3"/>
  <c r="D93" i="3" s="1"/>
  <c r="E103" i="3"/>
  <c r="D103" i="3"/>
  <c r="AH100" i="3"/>
  <c r="AI100" i="3" s="1"/>
  <c r="AH99" i="3"/>
  <c r="AI99" i="3" s="1"/>
  <c r="AH98" i="3"/>
  <c r="AI98" i="3" s="1"/>
  <c r="AH97" i="3"/>
  <c r="AI97" i="3" s="1"/>
  <c r="AH96" i="3"/>
  <c r="AI96" i="3" s="1"/>
  <c r="AH95" i="3"/>
  <c r="AI95" i="3" s="1"/>
  <c r="C95" i="3"/>
  <c r="B95" i="3"/>
  <c r="AH94" i="3"/>
  <c r="AI94" i="3" s="1"/>
  <c r="C93" i="3"/>
  <c r="AI91" i="3"/>
  <c r="AH91" i="3"/>
  <c r="AI90" i="3"/>
  <c r="AH90" i="3"/>
  <c r="AI89" i="3"/>
  <c r="AH89" i="3"/>
  <c r="AI88" i="3"/>
  <c r="AH88" i="3"/>
  <c r="AI87" i="3"/>
  <c r="AH87" i="3"/>
  <c r="AI86" i="3"/>
  <c r="AH86" i="3"/>
  <c r="AI85" i="3"/>
  <c r="AH85" i="3"/>
  <c r="AI84" i="3"/>
  <c r="AH84" i="3"/>
  <c r="AI82" i="3"/>
  <c r="AH82" i="3"/>
  <c r="AG82" i="3"/>
  <c r="AI81" i="3"/>
  <c r="AH81" i="3"/>
  <c r="AI80" i="3"/>
  <c r="AH80" i="3"/>
  <c r="B80" i="3"/>
  <c r="B79" i="3"/>
  <c r="AI79" i="3" s="1"/>
  <c r="B78" i="3"/>
  <c r="AI78" i="3" s="1"/>
  <c r="B77" i="3"/>
  <c r="AH77" i="3" s="1"/>
  <c r="AI76" i="3"/>
  <c r="AH76" i="3"/>
  <c r="B76" i="3"/>
  <c r="AI74" i="3"/>
  <c r="AH74" i="3"/>
  <c r="AI73" i="3"/>
  <c r="AH73" i="3"/>
  <c r="AI72" i="3"/>
  <c r="AH72" i="3"/>
  <c r="AG72" i="3"/>
  <c r="AI71" i="3"/>
  <c r="AH71" i="3"/>
  <c r="AI70" i="3"/>
  <c r="AH70" i="3"/>
  <c r="AI69" i="3"/>
  <c r="AH69" i="3"/>
  <c r="AG68" i="3"/>
  <c r="AG73" i="3" s="1"/>
  <c r="R5" i="3"/>
  <c r="N5" i="3"/>
  <c r="J5" i="3"/>
  <c r="C5" i="3"/>
  <c r="C68" i="3"/>
  <c r="B5" i="3" s="1"/>
  <c r="B68" i="3"/>
  <c r="B75" i="3" s="1"/>
  <c r="AI67" i="3"/>
  <c r="AH67" i="3"/>
  <c r="AI66" i="3"/>
  <c r="AH66" i="3"/>
  <c r="AI65" i="3"/>
  <c r="AH65" i="3"/>
  <c r="AI64" i="3"/>
  <c r="AH64" i="3"/>
  <c r="AI63" i="3"/>
  <c r="AH63" i="3"/>
  <c r="AI62" i="3"/>
  <c r="AH62" i="3"/>
  <c r="AI61" i="3"/>
  <c r="AH61" i="3"/>
  <c r="AI60" i="3"/>
  <c r="AH60" i="3"/>
  <c r="AI59" i="3"/>
  <c r="AH59" i="3"/>
  <c r="AI58" i="3"/>
  <c r="AH58" i="3"/>
  <c r="AI57" i="3"/>
  <c r="AH57" i="3"/>
  <c r="AG56" i="3"/>
  <c r="AG4" i="3" s="1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E75" i="3" s="1"/>
  <c r="W215" i="3" s="1"/>
  <c r="D56" i="3"/>
  <c r="C56" i="3"/>
  <c r="B56" i="3"/>
  <c r="AI55" i="3"/>
  <c r="AH55" i="3"/>
  <c r="AI54" i="3"/>
  <c r="AH54" i="3"/>
  <c r="AI53" i="3"/>
  <c r="AH53" i="3"/>
  <c r="AG52" i="3"/>
  <c r="AG3" i="3" s="1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I51" i="3"/>
  <c r="AH51" i="3"/>
  <c r="AG51" i="3"/>
  <c r="AI50" i="3"/>
  <c r="AH50" i="3"/>
  <c r="AI49" i="3"/>
  <c r="AH49" i="3"/>
  <c r="AI48" i="3"/>
  <c r="AH48" i="3"/>
  <c r="AI47" i="3"/>
  <c r="AH47" i="3"/>
  <c r="AI46" i="3"/>
  <c r="AH46" i="3"/>
  <c r="AI45" i="3"/>
  <c r="AH45" i="3"/>
  <c r="AI44" i="3"/>
  <c r="AH44" i="3"/>
  <c r="AI43" i="3"/>
  <c r="AH43" i="3"/>
  <c r="AI42" i="3"/>
  <c r="AH42" i="3"/>
  <c r="AI41" i="3"/>
  <c r="AH41" i="3"/>
  <c r="AI40" i="3"/>
  <c r="AH40" i="3"/>
  <c r="AI39" i="3"/>
  <c r="AH39" i="3"/>
  <c r="AG38" i="3"/>
  <c r="AG2" i="3" s="1"/>
  <c r="AG6" i="3" s="1"/>
  <c r="AF38" i="3"/>
  <c r="AE38" i="3"/>
  <c r="AD38" i="3"/>
  <c r="AC38" i="3"/>
  <c r="AB38" i="3"/>
  <c r="AA38" i="3"/>
  <c r="AA75" i="3" s="1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C37" i="3"/>
  <c r="B37" i="3"/>
  <c r="AI37" i="3" s="1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AF5" i="3"/>
  <c r="AE5" i="3"/>
  <c r="AC5" i="3"/>
  <c r="AA5" i="3"/>
  <c r="W5" i="3"/>
  <c r="Q5" i="3"/>
  <c r="O5" i="3"/>
  <c r="D5" i="3"/>
  <c r="K4" i="3"/>
  <c r="B4" i="3"/>
  <c r="E4" i="3"/>
  <c r="AE75" i="3" l="1"/>
  <c r="AW215" i="3" s="1"/>
  <c r="AC75" i="3"/>
  <c r="AU215" i="3" s="1"/>
  <c r="Z75" i="3"/>
  <c r="AR215" i="3" s="1"/>
  <c r="Y75" i="3"/>
  <c r="Y7" i="3" s="1"/>
  <c r="W75" i="3"/>
  <c r="W7" i="3" s="1"/>
  <c r="U75" i="3"/>
  <c r="AM215" i="3" s="1"/>
  <c r="S75" i="3"/>
  <c r="S83" i="3" s="1"/>
  <c r="R75" i="3"/>
  <c r="Q75" i="3"/>
  <c r="Q7" i="3" s="1"/>
  <c r="M75" i="3"/>
  <c r="AE215" i="3" s="1"/>
  <c r="K75" i="3"/>
  <c r="AC215" i="3" s="1"/>
  <c r="J75" i="3"/>
  <c r="AB215" i="3" s="1"/>
  <c r="E7" i="3"/>
  <c r="E83" i="3"/>
  <c r="Y5" i="3"/>
  <c r="F75" i="3"/>
  <c r="X215" i="3" s="1"/>
  <c r="N75" i="3"/>
  <c r="AF215" i="3" s="1"/>
  <c r="V75" i="3"/>
  <c r="V7" i="3" s="1"/>
  <c r="AD75" i="3"/>
  <c r="AV215" i="3" s="1"/>
  <c r="AH56" i="3"/>
  <c r="AH52" i="3"/>
  <c r="AI38" i="3"/>
  <c r="AH38" i="3"/>
  <c r="H4" i="3"/>
  <c r="AK215" i="3"/>
  <c r="Z83" i="3"/>
  <c r="Z7" i="3"/>
  <c r="AS215" i="3"/>
  <c r="AA7" i="3"/>
  <c r="AA83" i="3"/>
  <c r="F7" i="3"/>
  <c r="H104" i="3"/>
  <c r="AO215" i="3"/>
  <c r="W83" i="3"/>
  <c r="T215" i="3"/>
  <c r="B83" i="3"/>
  <c r="B7" i="3"/>
  <c r="AJ215" i="3"/>
  <c r="R83" i="3"/>
  <c r="R7" i="3"/>
  <c r="AI215" i="3"/>
  <c r="Q83" i="3"/>
  <c r="AQ215" i="3"/>
  <c r="Y83" i="3"/>
  <c r="AG75" i="3"/>
  <c r="AG83" i="3" s="1"/>
  <c r="X5" i="3"/>
  <c r="AI52" i="3"/>
  <c r="AI56" i="3"/>
  <c r="P5" i="3"/>
  <c r="AI68" i="3"/>
  <c r="C75" i="3"/>
  <c r="Z5" i="3"/>
  <c r="D75" i="3"/>
  <c r="L75" i="3"/>
  <c r="T75" i="3"/>
  <c r="AB75" i="3"/>
  <c r="O75" i="3"/>
  <c r="AH79" i="3"/>
  <c r="M83" i="3"/>
  <c r="AH37" i="3"/>
  <c r="G75" i="3"/>
  <c r="S212" i="3"/>
  <c r="D212" i="3"/>
  <c r="I75" i="3"/>
  <c r="V5" i="3"/>
  <c r="AD5" i="3"/>
  <c r="H75" i="3"/>
  <c r="P75" i="3"/>
  <c r="X75" i="3"/>
  <c r="AF75" i="3"/>
  <c r="AI77" i="3"/>
  <c r="E193" i="3"/>
  <c r="F103" i="3"/>
  <c r="AH68" i="3"/>
  <c r="AH78" i="3"/>
  <c r="D193" i="3"/>
  <c r="E195" i="3"/>
  <c r="D201" i="3"/>
  <c r="G200" i="3"/>
  <c r="E236" i="3"/>
  <c r="C236" i="3"/>
  <c r="AE7" i="3" l="1"/>
  <c r="AE83" i="3"/>
  <c r="AC7" i="3"/>
  <c r="AC83" i="3"/>
  <c r="V83" i="3"/>
  <c r="AN215" i="3"/>
  <c r="U7" i="3"/>
  <c r="U83" i="3"/>
  <c r="S7" i="3"/>
  <c r="N83" i="3"/>
  <c r="N7" i="3"/>
  <c r="M7" i="3"/>
  <c r="K83" i="3"/>
  <c r="K7" i="3"/>
  <c r="J7" i="3"/>
  <c r="J83" i="3"/>
  <c r="F83" i="3"/>
  <c r="AD83" i="3"/>
  <c r="AD7" i="3"/>
  <c r="F236" i="3"/>
  <c r="H200" i="3"/>
  <c r="AA215" i="3"/>
  <c r="I83" i="3"/>
  <c r="I7" i="3"/>
  <c r="AX215" i="3"/>
  <c r="AF83" i="3"/>
  <c r="AF7" i="3"/>
  <c r="U215" i="3"/>
  <c r="C7" i="3"/>
  <c r="C83" i="3"/>
  <c r="E201" i="3"/>
  <c r="F195" i="3"/>
  <c r="E93" i="3"/>
  <c r="AP215" i="3"/>
  <c r="X7" i="3"/>
  <c r="X83" i="3"/>
  <c r="AH215" i="3"/>
  <c r="P83" i="3"/>
  <c r="P7" i="3"/>
  <c r="AG215" i="3"/>
  <c r="O83" i="3"/>
  <c r="O7" i="3"/>
  <c r="I104" i="3"/>
  <c r="V215" i="3"/>
  <c r="D83" i="3"/>
  <c r="D7" i="3"/>
  <c r="Z215" i="3"/>
  <c r="H7" i="3"/>
  <c r="H83" i="3"/>
  <c r="C210" i="3"/>
  <c r="Y215" i="3"/>
  <c r="B210" i="3"/>
  <c r="G83" i="3"/>
  <c r="G7" i="3"/>
  <c r="AT215" i="3"/>
  <c r="AB83" i="3"/>
  <c r="AB7" i="3"/>
  <c r="AI75" i="3"/>
  <c r="F193" i="3"/>
  <c r="G103" i="3"/>
  <c r="AL215" i="3"/>
  <c r="T83" i="3"/>
  <c r="T7" i="3"/>
  <c r="AD215" i="3"/>
  <c r="L83" i="3"/>
  <c r="L7" i="3"/>
  <c r="AH75" i="3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F76" i="1"/>
  <c r="AF82" i="1" s="1"/>
  <c r="AE76" i="1"/>
  <c r="AE82" i="1" s="1"/>
  <c r="AE83" i="1" s="1"/>
  <c r="AD76" i="1"/>
  <c r="AD82" i="1" s="1"/>
  <c r="AC76" i="1"/>
  <c r="AC82" i="1" s="1"/>
  <c r="AB76" i="1"/>
  <c r="AB82" i="1" s="1"/>
  <c r="AA76" i="1"/>
  <c r="AA82" i="1" s="1"/>
  <c r="Z76" i="1"/>
  <c r="Z82" i="1" s="1"/>
  <c r="Z83" i="1" s="1"/>
  <c r="Y76" i="1"/>
  <c r="Y82" i="1" s="1"/>
  <c r="X76" i="1"/>
  <c r="X82" i="1" s="1"/>
  <c r="W76" i="1"/>
  <c r="W82" i="1" s="1"/>
  <c r="W83" i="1" s="1"/>
  <c r="V76" i="1"/>
  <c r="V82" i="1" s="1"/>
  <c r="U76" i="1"/>
  <c r="U82" i="1" s="1"/>
  <c r="T76" i="1"/>
  <c r="T82" i="1" s="1"/>
  <c r="S76" i="1"/>
  <c r="S82" i="1" s="1"/>
  <c r="R76" i="1"/>
  <c r="R82" i="1" s="1"/>
  <c r="R83" i="1" s="1"/>
  <c r="Q76" i="1"/>
  <c r="Q82" i="1" s="1"/>
  <c r="P76" i="1"/>
  <c r="P82" i="1" s="1"/>
  <c r="O76" i="1"/>
  <c r="O82" i="1" s="1"/>
  <c r="O83" i="1" s="1"/>
  <c r="N76" i="1"/>
  <c r="N82" i="1" s="1"/>
  <c r="M76" i="1"/>
  <c r="M82" i="1" s="1"/>
  <c r="L76" i="1"/>
  <c r="L82" i="1" s="1"/>
  <c r="K76" i="1"/>
  <c r="K82" i="1" s="1"/>
  <c r="J76" i="1"/>
  <c r="J82" i="1" s="1"/>
  <c r="J83" i="1" s="1"/>
  <c r="I76" i="1"/>
  <c r="I82" i="1" s="1"/>
  <c r="H76" i="1"/>
  <c r="H82" i="1" s="1"/>
  <c r="G76" i="1"/>
  <c r="G82" i="1" s="1"/>
  <c r="G83" i="1" s="1"/>
  <c r="F76" i="1"/>
  <c r="F82" i="1" s="1"/>
  <c r="E76" i="1"/>
  <c r="E82" i="1" s="1"/>
  <c r="D76" i="1"/>
  <c r="D82" i="1" s="1"/>
  <c r="C76" i="1"/>
  <c r="C82" i="1" s="1"/>
  <c r="B76" i="1"/>
  <c r="B82" i="1" s="1"/>
  <c r="AF68" i="1"/>
  <c r="AE68" i="1"/>
  <c r="AD68" i="1"/>
  <c r="AD83" i="1" s="1"/>
  <c r="AC68" i="1"/>
  <c r="AC83" i="1" s="1"/>
  <c r="AB68" i="1"/>
  <c r="AA68" i="1"/>
  <c r="Z68" i="1"/>
  <c r="Y68" i="1"/>
  <c r="X68" i="1"/>
  <c r="W68" i="1"/>
  <c r="V68" i="1"/>
  <c r="U68" i="1"/>
  <c r="U83" i="1" s="1"/>
  <c r="T68" i="1"/>
  <c r="S68" i="1"/>
  <c r="R68" i="1"/>
  <c r="Q68" i="1"/>
  <c r="P68" i="1"/>
  <c r="O68" i="1"/>
  <c r="N68" i="1"/>
  <c r="M68" i="1"/>
  <c r="M83" i="1" s="1"/>
  <c r="L68" i="1"/>
  <c r="K68" i="1"/>
  <c r="J68" i="1"/>
  <c r="I68" i="1"/>
  <c r="H68" i="1"/>
  <c r="G68" i="1"/>
  <c r="F68" i="1"/>
  <c r="E68" i="1"/>
  <c r="E83" i="1" s="1"/>
  <c r="D68" i="1"/>
  <c r="C68" i="1"/>
  <c r="B68" i="1"/>
  <c r="Y83" i="1" l="1"/>
  <c r="P83" i="1"/>
  <c r="B83" i="1"/>
  <c r="AA83" i="1"/>
  <c r="H83" i="1"/>
  <c r="Q83" i="1"/>
  <c r="K83" i="1"/>
  <c r="T83" i="1"/>
  <c r="AB83" i="1"/>
  <c r="X83" i="1"/>
  <c r="I83" i="1"/>
  <c r="C83" i="1"/>
  <c r="S83" i="1"/>
  <c r="D83" i="1"/>
  <c r="AF83" i="1"/>
  <c r="L83" i="1"/>
  <c r="F83" i="1"/>
  <c r="N83" i="1"/>
  <c r="V83" i="1"/>
  <c r="A7" i="3"/>
  <c r="AH83" i="3"/>
  <c r="AI83" i="3"/>
  <c r="F201" i="3"/>
  <c r="G195" i="3"/>
  <c r="F93" i="3"/>
  <c r="G193" i="3"/>
  <c r="H103" i="3"/>
  <c r="K6" i="3"/>
  <c r="J104" i="3"/>
  <c r="G236" i="3"/>
  <c r="I200" i="3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B52" i="1"/>
  <c r="C38" i="1"/>
  <c r="D38" i="1"/>
  <c r="D73" i="1" s="1"/>
  <c r="D75" i="1" s="1"/>
  <c r="E38" i="1"/>
  <c r="E73" i="1" s="1"/>
  <c r="E75" i="1" s="1"/>
  <c r="F38" i="1"/>
  <c r="F73" i="1" s="1"/>
  <c r="F75" i="1" s="1"/>
  <c r="G38" i="1"/>
  <c r="G73" i="1" s="1"/>
  <c r="G75" i="1" s="1"/>
  <c r="H38" i="1"/>
  <c r="I38" i="1"/>
  <c r="J38" i="1"/>
  <c r="J73" i="1" s="1"/>
  <c r="J75" i="1" s="1"/>
  <c r="K38" i="1"/>
  <c r="L38" i="1"/>
  <c r="L73" i="1" s="1"/>
  <c r="L75" i="1" s="1"/>
  <c r="M73" i="1"/>
  <c r="M75" i="1" s="1"/>
  <c r="N73" i="1"/>
  <c r="N75" i="1" s="1"/>
  <c r="O73" i="1"/>
  <c r="O75" i="1" s="1"/>
  <c r="P73" i="1"/>
  <c r="P75" i="1" s="1"/>
  <c r="R73" i="1"/>
  <c r="R75" i="1" s="1"/>
  <c r="T38" i="1"/>
  <c r="T73" i="1" s="1"/>
  <c r="T75" i="1" s="1"/>
  <c r="U38" i="1"/>
  <c r="U73" i="1" s="1"/>
  <c r="U75" i="1" s="1"/>
  <c r="V38" i="1"/>
  <c r="V73" i="1" s="1"/>
  <c r="V75" i="1" s="1"/>
  <c r="W38" i="1"/>
  <c r="W73" i="1" s="1"/>
  <c r="W75" i="1" s="1"/>
  <c r="X38" i="1"/>
  <c r="X73" i="1" s="1"/>
  <c r="X75" i="1" s="1"/>
  <c r="Y38" i="1"/>
  <c r="Z38" i="1"/>
  <c r="Z73" i="1" s="1"/>
  <c r="Z75" i="1" s="1"/>
  <c r="AA38" i="1"/>
  <c r="AB38" i="1"/>
  <c r="AB73" i="1" s="1"/>
  <c r="AB75" i="1" s="1"/>
  <c r="AC38" i="1"/>
  <c r="AC73" i="1" s="1"/>
  <c r="AC75" i="1" s="1"/>
  <c r="AD38" i="1"/>
  <c r="AD73" i="1" s="1"/>
  <c r="AD75" i="1" s="1"/>
  <c r="AE38" i="1"/>
  <c r="AE73" i="1" s="1"/>
  <c r="AE75" i="1" s="1"/>
  <c r="AF38" i="1"/>
  <c r="AF73" i="1" s="1"/>
  <c r="AF75" i="1" s="1"/>
  <c r="B38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235" i="1"/>
  <c r="S210" i="1"/>
  <c r="AG200" i="1"/>
  <c r="AG51" i="1" s="1"/>
  <c r="AG52" i="1" s="1"/>
  <c r="AG3" i="1" s="1"/>
  <c r="C200" i="1"/>
  <c r="E199" i="1"/>
  <c r="D235" i="1" s="1"/>
  <c r="D199" i="1"/>
  <c r="C235" i="1" s="1"/>
  <c r="D198" i="1"/>
  <c r="E198" i="1" s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B198" i="1" s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B197" i="1" s="1"/>
  <c r="D196" i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B196" i="1" s="1"/>
  <c r="E195" i="1"/>
  <c r="F195" i="1" s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B195" i="1" s="1"/>
  <c r="D195" i="1"/>
  <c r="D194" i="1"/>
  <c r="D200" i="1" s="1"/>
  <c r="AG192" i="1"/>
  <c r="C192" i="1"/>
  <c r="D191" i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B191" i="1" s="1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B190" i="1" s="1"/>
  <c r="D190" i="1"/>
  <c r="D189" i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B189" i="1" s="1"/>
  <c r="D188" i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B188" i="1" s="1"/>
  <c r="D187" i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B187" i="1" s="1"/>
  <c r="E186" i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B186" i="1" s="1"/>
  <c r="D186" i="1"/>
  <c r="D185" i="1"/>
  <c r="E185" i="1" s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B185" i="1" s="1"/>
  <c r="D184" i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B184" i="1" s="1"/>
  <c r="D183" i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B183" i="1" s="1"/>
  <c r="D182" i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B182" i="1" s="1"/>
  <c r="D181" i="1"/>
  <c r="E181" i="1" s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B181" i="1" s="1"/>
  <c r="M180" i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B180" i="1" s="1"/>
  <c r="D180" i="1"/>
  <c r="E180" i="1" s="1"/>
  <c r="F180" i="1" s="1"/>
  <c r="G180" i="1" s="1"/>
  <c r="H180" i="1" s="1"/>
  <c r="I180" i="1" s="1"/>
  <c r="J180" i="1" s="1"/>
  <c r="K180" i="1" s="1"/>
  <c r="L180" i="1" s="1"/>
  <c r="D179" i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B179" i="1" s="1"/>
  <c r="D177" i="1"/>
  <c r="E177" i="1" s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B177" i="1" s="1"/>
  <c r="D176" i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B176" i="1" s="1"/>
  <c r="D175" i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B175" i="1" s="1"/>
  <c r="O174" i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B174" i="1" s="1"/>
  <c r="D174" i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D173" i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B173" i="1" s="1"/>
  <c r="L172" i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B172" i="1" s="1"/>
  <c r="D172" i="1"/>
  <c r="E172" i="1" s="1"/>
  <c r="F172" i="1" s="1"/>
  <c r="G172" i="1" s="1"/>
  <c r="H172" i="1" s="1"/>
  <c r="I172" i="1" s="1"/>
  <c r="J172" i="1" s="1"/>
  <c r="K172" i="1" s="1"/>
  <c r="D171" i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B171" i="1" s="1"/>
  <c r="G170" i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B170" i="1" s="1"/>
  <c r="D170" i="1"/>
  <c r="E170" i="1" s="1"/>
  <c r="F170" i="1" s="1"/>
  <c r="D168" i="1"/>
  <c r="E168" i="1" s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B168" i="1" s="1"/>
  <c r="Q167" i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B167" i="1" s="1"/>
  <c r="H167" i="1"/>
  <c r="I167" i="1" s="1"/>
  <c r="J167" i="1" s="1"/>
  <c r="K167" i="1" s="1"/>
  <c r="L167" i="1" s="1"/>
  <c r="M167" i="1" s="1"/>
  <c r="N167" i="1" s="1"/>
  <c r="O167" i="1" s="1"/>
  <c r="P167" i="1" s="1"/>
  <c r="D167" i="1"/>
  <c r="E167" i="1" s="1"/>
  <c r="F167" i="1" s="1"/>
  <c r="G167" i="1" s="1"/>
  <c r="D166" i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B166" i="1" s="1"/>
  <c r="F165" i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B165" i="1" s="1"/>
  <c r="E165" i="1"/>
  <c r="D165" i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B164" i="1" s="1"/>
  <c r="D163" i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B163" i="1" s="1"/>
  <c r="D162" i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B162" i="1" s="1"/>
  <c r="D161" i="1"/>
  <c r="E161" i="1" s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B161" i="1" s="1"/>
  <c r="D160" i="1"/>
  <c r="E160" i="1" s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B160" i="1" s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B159" i="1" s="1"/>
  <c r="D159" i="1"/>
  <c r="D158" i="1"/>
  <c r="E158" i="1" s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B158" i="1" s="1"/>
  <c r="D157" i="1"/>
  <c r="E157" i="1" s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B157" i="1" s="1"/>
  <c r="D156" i="1"/>
  <c r="E156" i="1" s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B156" i="1" s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B154" i="1" s="1"/>
  <c r="D154" i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B153" i="1" s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B152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B151" i="1" s="1"/>
  <c r="D151" i="1"/>
  <c r="D149" i="1"/>
  <c r="E149" i="1" s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B149" i="1" s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B148" i="1" s="1"/>
  <c r="D146" i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B146" i="1" s="1"/>
  <c r="D145" i="1"/>
  <c r="E145" i="1" s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B145" i="1" s="1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B144" i="1" s="1"/>
  <c r="D144" i="1"/>
  <c r="D143" i="1"/>
  <c r="E143" i="1" s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B143" i="1" s="1"/>
  <c r="D142" i="1"/>
  <c r="E142" i="1" s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B142" i="1" s="1"/>
  <c r="D141" i="1"/>
  <c r="E141" i="1" s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B141" i="1" s="1"/>
  <c r="F140" i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B140" i="1" s="1"/>
  <c r="D140" i="1"/>
  <c r="E140" i="1" s="1"/>
  <c r="F138" i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B138" i="1" s="1"/>
  <c r="D138" i="1"/>
  <c r="E138" i="1" s="1"/>
  <c r="L137" i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B137" i="1" s="1"/>
  <c r="D137" i="1"/>
  <c r="E137" i="1" s="1"/>
  <c r="F137" i="1" s="1"/>
  <c r="G137" i="1" s="1"/>
  <c r="H137" i="1" s="1"/>
  <c r="I137" i="1" s="1"/>
  <c r="J137" i="1" s="1"/>
  <c r="K137" i="1" s="1"/>
  <c r="F136" i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B136" i="1" s="1"/>
  <c r="D136" i="1"/>
  <c r="E136" i="1" s="1"/>
  <c r="D135" i="1"/>
  <c r="E135" i="1" s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B135" i="1" s="1"/>
  <c r="T134" i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B134" i="1" s="1"/>
  <c r="F134" i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D134" i="1"/>
  <c r="E134" i="1" s="1"/>
  <c r="D133" i="1"/>
  <c r="E133" i="1" s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B133" i="1" s="1"/>
  <c r="D132" i="1"/>
  <c r="E132" i="1" s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B132" i="1" s="1"/>
  <c r="D131" i="1"/>
  <c r="E131" i="1" s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B131" i="1" s="1"/>
  <c r="D129" i="1"/>
  <c r="E129" i="1" s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B129" i="1" s="1"/>
  <c r="D128" i="1"/>
  <c r="E128" i="1" s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B128" i="1" s="1"/>
  <c r="R127" i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B127" i="1" s="1"/>
  <c r="D127" i="1"/>
  <c r="E127" i="1" s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D126" i="1"/>
  <c r="E126" i="1" s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B126" i="1" s="1"/>
  <c r="J125" i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B125" i="1" s="1"/>
  <c r="D125" i="1"/>
  <c r="E125" i="1" s="1"/>
  <c r="F125" i="1" s="1"/>
  <c r="G125" i="1" s="1"/>
  <c r="H125" i="1" s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B124" i="1" s="1"/>
  <c r="D124" i="1"/>
  <c r="D123" i="1"/>
  <c r="E123" i="1" s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B123" i="1" s="1"/>
  <c r="D122" i="1"/>
  <c r="E122" i="1" s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B122" i="1" s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B121" i="1" s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B120" i="1" s="1"/>
  <c r="D119" i="1"/>
  <c r="E119" i="1" s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B119" i="1" s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B118" i="1" s="1"/>
  <c r="E117" i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B117" i="1" s="1"/>
  <c r="D117" i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B116" i="1" s="1"/>
  <c r="D115" i="1"/>
  <c r="E115" i="1" s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B115" i="1" s="1"/>
  <c r="K114" i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B114" i="1" s="1"/>
  <c r="D114" i="1"/>
  <c r="E114" i="1" s="1"/>
  <c r="F114" i="1" s="1"/>
  <c r="G114" i="1" s="1"/>
  <c r="H114" i="1" s="1"/>
  <c r="I114" i="1" s="1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B113" i="1" s="1"/>
  <c r="D113" i="1"/>
  <c r="D112" i="1"/>
  <c r="E112" i="1" s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B112" i="1" s="1"/>
  <c r="D110" i="1"/>
  <c r="E110" i="1" s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B110" i="1" s="1"/>
  <c r="E109" i="1"/>
  <c r="F109" i="1" s="1"/>
  <c r="D109" i="1"/>
  <c r="D107" i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B107" i="1" s="1"/>
  <c r="D106" i="1"/>
  <c r="E106" i="1" s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B106" i="1" s="1"/>
  <c r="D105" i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B105" i="1" s="1"/>
  <c r="D104" i="1"/>
  <c r="E104" i="1" s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B104" i="1" s="1"/>
  <c r="D103" i="1"/>
  <c r="E103" i="1" s="1"/>
  <c r="F103" i="1" s="1"/>
  <c r="G103" i="1" s="1"/>
  <c r="H103" i="1" s="1"/>
  <c r="I103" i="1" s="1"/>
  <c r="D102" i="1"/>
  <c r="AH100" i="1"/>
  <c r="AI100" i="1" s="1"/>
  <c r="AI99" i="1"/>
  <c r="AH99" i="1"/>
  <c r="AH98" i="1"/>
  <c r="AI98" i="1" s="1"/>
  <c r="AH97" i="1"/>
  <c r="AI97" i="1" s="1"/>
  <c r="AH96" i="1"/>
  <c r="AI96" i="1" s="1"/>
  <c r="AH95" i="1"/>
  <c r="AI95" i="1" s="1"/>
  <c r="AI94" i="1"/>
  <c r="AH94" i="1"/>
  <c r="C93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I82" i="1"/>
  <c r="AH82" i="1"/>
  <c r="AG82" i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4" i="1"/>
  <c r="AH74" i="1"/>
  <c r="AI72" i="1"/>
  <c r="AH72" i="1"/>
  <c r="AG72" i="1"/>
  <c r="AI71" i="1"/>
  <c r="AH71" i="1"/>
  <c r="AI70" i="1"/>
  <c r="AH70" i="1"/>
  <c r="AI69" i="1"/>
  <c r="AH69" i="1"/>
  <c r="AG68" i="1"/>
  <c r="AA5" i="1"/>
  <c r="S5" i="1"/>
  <c r="K5" i="1"/>
  <c r="C5" i="1"/>
  <c r="AI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G56" i="1"/>
  <c r="AG4" i="1" s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I55" i="1"/>
  <c r="AH55" i="1"/>
  <c r="AI54" i="1"/>
  <c r="AH54" i="1"/>
  <c r="AI53" i="1"/>
  <c r="AH53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G38" i="1"/>
  <c r="AG2" i="1" s="1"/>
  <c r="AI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F5" i="1"/>
  <c r="AE5" i="1"/>
  <c r="AD5" i="1"/>
  <c r="AC5" i="1"/>
  <c r="AB5" i="1"/>
  <c r="Z5" i="1"/>
  <c r="Y5" i="1"/>
  <c r="W5" i="1"/>
  <c r="V5" i="1"/>
  <c r="U5" i="1"/>
  <c r="T5" i="1"/>
  <c r="R5" i="1"/>
  <c r="Q5" i="1"/>
  <c r="O5" i="1"/>
  <c r="N5" i="1"/>
  <c r="M5" i="1"/>
  <c r="L5" i="1"/>
  <c r="J5" i="1"/>
  <c r="I5" i="1"/>
  <c r="G5" i="1"/>
  <c r="F5" i="1"/>
  <c r="E5" i="1"/>
  <c r="D5" i="1"/>
  <c r="B5" i="1"/>
  <c r="K4" i="1"/>
  <c r="B4" i="1"/>
  <c r="E4" i="1"/>
  <c r="D93" i="1" l="1"/>
  <c r="AA73" i="1"/>
  <c r="AA75" i="1" s="1"/>
  <c r="S73" i="1"/>
  <c r="S75" i="1" s="1"/>
  <c r="K73" i="1"/>
  <c r="K75" i="1" s="1"/>
  <c r="C73" i="1"/>
  <c r="C75" i="1" s="1"/>
  <c r="U214" i="1" s="1"/>
  <c r="AI52" i="1"/>
  <c r="E194" i="1"/>
  <c r="F194" i="1" s="1"/>
  <c r="G194" i="1" s="1"/>
  <c r="H194" i="1" s="1"/>
  <c r="AH38" i="1"/>
  <c r="AG73" i="1"/>
  <c r="B73" i="1"/>
  <c r="Y73" i="1"/>
  <c r="Y75" i="1" s="1"/>
  <c r="Q73" i="1"/>
  <c r="Q75" i="1" s="1"/>
  <c r="AI214" i="1" s="1"/>
  <c r="I73" i="1"/>
  <c r="I75" i="1" s="1"/>
  <c r="H73" i="1"/>
  <c r="H75" i="1" s="1"/>
  <c r="AI56" i="1"/>
  <c r="H193" i="3"/>
  <c r="I103" i="3"/>
  <c r="H236" i="3"/>
  <c r="J200" i="3"/>
  <c r="H195" i="3"/>
  <c r="G201" i="3"/>
  <c r="G93" i="3"/>
  <c r="K104" i="3"/>
  <c r="J7" i="1"/>
  <c r="AJ214" i="1"/>
  <c r="AR214" i="1"/>
  <c r="H4" i="1"/>
  <c r="AG6" i="1"/>
  <c r="AB214" i="1"/>
  <c r="R7" i="1"/>
  <c r="AA214" i="1"/>
  <c r="I7" i="1"/>
  <c r="G109" i="1"/>
  <c r="C7" i="1"/>
  <c r="AC214" i="1"/>
  <c r="K7" i="1"/>
  <c r="AK214" i="1"/>
  <c r="S7" i="1"/>
  <c r="AS214" i="1"/>
  <c r="AA7" i="1"/>
  <c r="W214" i="1"/>
  <c r="E7" i="1"/>
  <c r="AE214" i="1"/>
  <c r="M7" i="1"/>
  <c r="AM214" i="1"/>
  <c r="U7" i="1"/>
  <c r="AU214" i="1"/>
  <c r="AC7" i="1"/>
  <c r="J103" i="1"/>
  <c r="AQ214" i="1"/>
  <c r="Y7" i="1"/>
  <c r="X214" i="1"/>
  <c r="F7" i="1"/>
  <c r="AF214" i="1"/>
  <c r="N7" i="1"/>
  <c r="AN214" i="1"/>
  <c r="V7" i="1"/>
  <c r="AV214" i="1"/>
  <c r="AD7" i="1"/>
  <c r="Y214" i="1"/>
  <c r="G7" i="1"/>
  <c r="AG214" i="1"/>
  <c r="O7" i="1"/>
  <c r="AO214" i="1"/>
  <c r="W7" i="1"/>
  <c r="AW214" i="1"/>
  <c r="AE7" i="1"/>
  <c r="Z214" i="1"/>
  <c r="H7" i="1"/>
  <c r="AH214" i="1"/>
  <c r="P7" i="1"/>
  <c r="AP214" i="1"/>
  <c r="X7" i="1"/>
  <c r="AX214" i="1"/>
  <c r="AF7" i="1"/>
  <c r="AH52" i="1"/>
  <c r="AH56" i="1"/>
  <c r="AH68" i="1"/>
  <c r="AG75" i="1"/>
  <c r="AG83" i="1" s="1"/>
  <c r="H5" i="1"/>
  <c r="P5" i="1"/>
  <c r="X5" i="1"/>
  <c r="C209" i="1"/>
  <c r="S211" i="1"/>
  <c r="D211" i="1"/>
  <c r="E93" i="1"/>
  <c r="D192" i="1"/>
  <c r="E102" i="1"/>
  <c r="E200" i="1"/>
  <c r="F199" i="1"/>
  <c r="F93" i="1" s="1"/>
  <c r="Q7" i="1" l="1"/>
  <c r="B75" i="1"/>
  <c r="AI73" i="1"/>
  <c r="AH73" i="1"/>
  <c r="H201" i="3"/>
  <c r="I195" i="3"/>
  <c r="H93" i="3"/>
  <c r="I236" i="3"/>
  <c r="K200" i="3"/>
  <c r="L104" i="3"/>
  <c r="I193" i="3"/>
  <c r="J103" i="3"/>
  <c r="Z7" i="1"/>
  <c r="B209" i="1"/>
  <c r="K6" i="1" s="1"/>
  <c r="F200" i="1"/>
  <c r="E235" i="1"/>
  <c r="G199" i="1"/>
  <c r="G93" i="1" s="1"/>
  <c r="H109" i="1"/>
  <c r="AT214" i="1"/>
  <c r="AB7" i="1"/>
  <c r="I194" i="1"/>
  <c r="AL214" i="1"/>
  <c r="T7" i="1"/>
  <c r="T214" i="1"/>
  <c r="B7" i="1"/>
  <c r="AI75" i="1"/>
  <c r="AH75" i="1"/>
  <c r="K103" i="1"/>
  <c r="E192" i="1"/>
  <c r="F102" i="1"/>
  <c r="AD214" i="1"/>
  <c r="L7" i="1"/>
  <c r="V214" i="1"/>
  <c r="D7" i="1"/>
  <c r="M104" i="3" l="1"/>
  <c r="J236" i="3"/>
  <c r="L200" i="3"/>
  <c r="J195" i="3"/>
  <c r="I201" i="3"/>
  <c r="I93" i="3"/>
  <c r="J193" i="3"/>
  <c r="K103" i="3"/>
  <c r="F192" i="1"/>
  <c r="G102" i="1"/>
  <c r="L103" i="1"/>
  <c r="I109" i="1"/>
  <c r="H93" i="1"/>
  <c r="F235" i="1"/>
  <c r="H199" i="1"/>
  <c r="G200" i="1"/>
  <c r="J194" i="1"/>
  <c r="AI83" i="1"/>
  <c r="AH83" i="1"/>
  <c r="A7" i="1"/>
  <c r="J201" i="3" l="1"/>
  <c r="K195" i="3"/>
  <c r="J93" i="3"/>
  <c r="M200" i="3"/>
  <c r="K236" i="3"/>
  <c r="N104" i="3"/>
  <c r="K193" i="3"/>
  <c r="L103" i="3"/>
  <c r="J109" i="1"/>
  <c r="M103" i="1"/>
  <c r="K194" i="1"/>
  <c r="G192" i="1"/>
  <c r="H102" i="1"/>
  <c r="G235" i="1"/>
  <c r="I199" i="1"/>
  <c r="H200" i="1"/>
  <c r="O104" i="3" l="1"/>
  <c r="L236" i="3"/>
  <c r="N200" i="3"/>
  <c r="K201" i="3"/>
  <c r="L195" i="3"/>
  <c r="K93" i="3"/>
  <c r="L193" i="3"/>
  <c r="M103" i="3"/>
  <c r="L194" i="1"/>
  <c r="N103" i="1"/>
  <c r="H192" i="1"/>
  <c r="I102" i="1"/>
  <c r="H235" i="1"/>
  <c r="J199" i="1"/>
  <c r="I200" i="1"/>
  <c r="I93" i="1"/>
  <c r="K109" i="1"/>
  <c r="M195" i="3" l="1"/>
  <c r="L201" i="3"/>
  <c r="L93" i="3"/>
  <c r="O200" i="3"/>
  <c r="M236" i="3"/>
  <c r="P104" i="3"/>
  <c r="M193" i="3"/>
  <c r="N103" i="3"/>
  <c r="K199" i="1"/>
  <c r="I235" i="1"/>
  <c r="J200" i="1"/>
  <c r="I192" i="1"/>
  <c r="J102" i="1"/>
  <c r="J93" i="1"/>
  <c r="L109" i="1"/>
  <c r="K93" i="1"/>
  <c r="O103" i="1"/>
  <c r="M194" i="1"/>
  <c r="Q104" i="3" l="1"/>
  <c r="P200" i="3"/>
  <c r="N236" i="3"/>
  <c r="N193" i="3"/>
  <c r="O103" i="3"/>
  <c r="M201" i="3"/>
  <c r="N195" i="3"/>
  <c r="M93" i="3"/>
  <c r="M109" i="1"/>
  <c r="J192" i="1"/>
  <c r="K102" i="1"/>
  <c r="N194" i="1"/>
  <c r="P103" i="1"/>
  <c r="J235" i="1"/>
  <c r="L199" i="1"/>
  <c r="K200" i="1"/>
  <c r="N201" i="3" l="1"/>
  <c r="O195" i="3"/>
  <c r="N93" i="3"/>
  <c r="O193" i="3"/>
  <c r="P103" i="3"/>
  <c r="O236" i="3"/>
  <c r="Q200" i="3"/>
  <c r="R104" i="3"/>
  <c r="Q103" i="1"/>
  <c r="O194" i="1"/>
  <c r="K192" i="1"/>
  <c r="L102" i="1"/>
  <c r="K235" i="1"/>
  <c r="M199" i="1"/>
  <c r="L200" i="1"/>
  <c r="L93" i="1"/>
  <c r="N109" i="1"/>
  <c r="P236" i="3" l="1"/>
  <c r="R200" i="3"/>
  <c r="P195" i="3"/>
  <c r="O201" i="3"/>
  <c r="O93" i="3"/>
  <c r="S104" i="3"/>
  <c r="P193" i="3"/>
  <c r="Q103" i="3"/>
  <c r="L235" i="1"/>
  <c r="N199" i="1"/>
  <c r="M200" i="1"/>
  <c r="M93" i="1"/>
  <c r="L192" i="1"/>
  <c r="M102" i="1"/>
  <c r="O109" i="1"/>
  <c r="N93" i="1"/>
  <c r="P194" i="1"/>
  <c r="R103" i="1"/>
  <c r="T104" i="3" l="1"/>
  <c r="P201" i="3"/>
  <c r="Q195" i="3"/>
  <c r="P93" i="3"/>
  <c r="Q236" i="3"/>
  <c r="S200" i="3"/>
  <c r="Q193" i="3"/>
  <c r="R103" i="3"/>
  <c r="P109" i="1"/>
  <c r="M192" i="1"/>
  <c r="N102" i="1"/>
  <c r="S103" i="1"/>
  <c r="M235" i="1"/>
  <c r="O199" i="1"/>
  <c r="N200" i="1"/>
  <c r="Q194" i="1"/>
  <c r="R236" i="3" l="1"/>
  <c r="T200" i="3"/>
  <c r="Q201" i="3"/>
  <c r="R195" i="3"/>
  <c r="Q93" i="3"/>
  <c r="R193" i="3"/>
  <c r="S103" i="3"/>
  <c r="U104" i="3"/>
  <c r="T103" i="1"/>
  <c r="N235" i="1"/>
  <c r="P199" i="1"/>
  <c r="O200" i="1"/>
  <c r="N192" i="1"/>
  <c r="O102" i="1"/>
  <c r="O93" i="1"/>
  <c r="R194" i="1"/>
  <c r="Q109" i="1"/>
  <c r="P93" i="1"/>
  <c r="S193" i="3" l="1"/>
  <c r="T103" i="3"/>
  <c r="S195" i="3"/>
  <c r="R201" i="3"/>
  <c r="R93" i="3"/>
  <c r="U200" i="3"/>
  <c r="S236" i="3"/>
  <c r="V104" i="3"/>
  <c r="R109" i="1"/>
  <c r="O192" i="1"/>
  <c r="P102" i="1"/>
  <c r="S194" i="1"/>
  <c r="O235" i="1"/>
  <c r="Q199" i="1"/>
  <c r="P200" i="1"/>
  <c r="U103" i="1"/>
  <c r="W104" i="3" l="1"/>
  <c r="T236" i="3"/>
  <c r="V200" i="3"/>
  <c r="S201" i="3"/>
  <c r="T195" i="3"/>
  <c r="S93" i="3"/>
  <c r="T193" i="3"/>
  <c r="U103" i="3"/>
  <c r="P235" i="1"/>
  <c r="R199" i="1"/>
  <c r="Q200" i="1"/>
  <c r="T194" i="1"/>
  <c r="P192" i="1"/>
  <c r="Q102" i="1"/>
  <c r="V103" i="1"/>
  <c r="Q93" i="1"/>
  <c r="S109" i="1"/>
  <c r="R93" i="1"/>
  <c r="U195" i="3" l="1"/>
  <c r="T201" i="3"/>
  <c r="T93" i="3"/>
  <c r="W200" i="3"/>
  <c r="U236" i="3"/>
  <c r="U193" i="3"/>
  <c r="V103" i="3"/>
  <c r="X104" i="3"/>
  <c r="Q192" i="1"/>
  <c r="R102" i="1"/>
  <c r="U194" i="1"/>
  <c r="W103" i="1"/>
  <c r="T109" i="1"/>
  <c r="S93" i="1"/>
  <c r="S199" i="1"/>
  <c r="Q235" i="1"/>
  <c r="R200" i="1"/>
  <c r="V193" i="3" l="1"/>
  <c r="W103" i="3"/>
  <c r="Y104" i="3"/>
  <c r="V236" i="3"/>
  <c r="X200" i="3"/>
  <c r="U201" i="3"/>
  <c r="V195" i="3"/>
  <c r="U93" i="3"/>
  <c r="U109" i="1"/>
  <c r="T93" i="1"/>
  <c r="X103" i="1"/>
  <c r="V194" i="1"/>
  <c r="R192" i="1"/>
  <c r="S102" i="1"/>
  <c r="R235" i="1"/>
  <c r="T199" i="1"/>
  <c r="S200" i="1"/>
  <c r="V201" i="3" l="1"/>
  <c r="W195" i="3"/>
  <c r="V93" i="3"/>
  <c r="W236" i="3"/>
  <c r="Y200" i="3"/>
  <c r="Z104" i="3"/>
  <c r="W193" i="3"/>
  <c r="X103" i="3"/>
  <c r="W194" i="1"/>
  <c r="Y103" i="1"/>
  <c r="S192" i="1"/>
  <c r="T102" i="1"/>
  <c r="S235" i="1"/>
  <c r="U199" i="1"/>
  <c r="T200" i="1"/>
  <c r="V109" i="1"/>
  <c r="AA104" i="3" l="1"/>
  <c r="Z200" i="3"/>
  <c r="X236" i="3"/>
  <c r="W201" i="3"/>
  <c r="X195" i="3"/>
  <c r="W93" i="3"/>
  <c r="X193" i="3"/>
  <c r="Y103" i="3"/>
  <c r="T235" i="1"/>
  <c r="V199" i="1"/>
  <c r="U200" i="1"/>
  <c r="T192" i="1"/>
  <c r="U102" i="1"/>
  <c r="Z103" i="1"/>
  <c r="U93" i="1"/>
  <c r="W109" i="1"/>
  <c r="V93" i="1"/>
  <c r="X194" i="1"/>
  <c r="X201" i="3" l="1"/>
  <c r="Y195" i="3"/>
  <c r="X93" i="3"/>
  <c r="Y236" i="3"/>
  <c r="AA200" i="3"/>
  <c r="AB104" i="3"/>
  <c r="Y193" i="3"/>
  <c r="Z103" i="3"/>
  <c r="AA103" i="1"/>
  <c r="U192" i="1"/>
  <c r="V102" i="1"/>
  <c r="Y194" i="1"/>
  <c r="U235" i="1"/>
  <c r="W199" i="1"/>
  <c r="W93" i="1" s="1"/>
  <c r="V200" i="1"/>
  <c r="X109" i="1"/>
  <c r="AC104" i="3" l="1"/>
  <c r="Z236" i="3"/>
  <c r="AB200" i="3"/>
  <c r="Y201" i="3"/>
  <c r="Z195" i="3"/>
  <c r="Y93" i="3"/>
  <c r="Z193" i="3"/>
  <c r="AA103" i="3"/>
  <c r="Z194" i="1"/>
  <c r="V192" i="1"/>
  <c r="W102" i="1"/>
  <c r="V235" i="1"/>
  <c r="X199" i="1"/>
  <c r="W200" i="1"/>
  <c r="Y109" i="1"/>
  <c r="AB103" i="1"/>
  <c r="AC200" i="3" l="1"/>
  <c r="AA236" i="3"/>
  <c r="AD104" i="3"/>
  <c r="Z201" i="3"/>
  <c r="AA195" i="3"/>
  <c r="Z93" i="3"/>
  <c r="AA193" i="3"/>
  <c r="AB103" i="3"/>
  <c r="Z109" i="1"/>
  <c r="Y93" i="1"/>
  <c r="W235" i="1"/>
  <c r="Y199" i="1"/>
  <c r="X200" i="1"/>
  <c r="W192" i="1"/>
  <c r="X102" i="1"/>
  <c r="AC103" i="1"/>
  <c r="AA194" i="1"/>
  <c r="X93" i="1"/>
  <c r="AA201" i="3" l="1"/>
  <c r="AB195" i="3"/>
  <c r="AA93" i="3"/>
  <c r="AE104" i="3"/>
  <c r="AB193" i="3"/>
  <c r="AC103" i="3"/>
  <c r="AB236" i="3"/>
  <c r="AD200" i="3"/>
  <c r="X192" i="1"/>
  <c r="Y102" i="1"/>
  <c r="X235" i="1"/>
  <c r="Z199" i="1"/>
  <c r="Y200" i="1"/>
  <c r="AB194" i="1"/>
  <c r="AD103" i="1"/>
  <c r="AA109" i="1"/>
  <c r="Z93" i="1"/>
  <c r="AF104" i="3" l="1"/>
  <c r="AC195" i="3"/>
  <c r="AB201" i="3"/>
  <c r="AB93" i="3"/>
  <c r="AC193" i="3"/>
  <c r="AD103" i="3"/>
  <c r="AE200" i="3"/>
  <c r="AC236" i="3"/>
  <c r="AC194" i="1"/>
  <c r="AA199" i="1"/>
  <c r="Y235" i="1"/>
  <c r="Z200" i="1"/>
  <c r="AE103" i="1"/>
  <c r="AB109" i="1"/>
  <c r="AA93" i="1"/>
  <c r="Y192" i="1"/>
  <c r="Z102" i="1"/>
  <c r="AC201" i="3" l="1"/>
  <c r="AD195" i="3"/>
  <c r="AC93" i="3"/>
  <c r="B104" i="3"/>
  <c r="AD236" i="3"/>
  <c r="AF200" i="3"/>
  <c r="AD193" i="3"/>
  <c r="AE103" i="3"/>
  <c r="AF103" i="1"/>
  <c r="Z192" i="1"/>
  <c r="AA102" i="1"/>
  <c r="Z235" i="1"/>
  <c r="AB199" i="1"/>
  <c r="AB93" i="1" s="1"/>
  <c r="AA200" i="1"/>
  <c r="AD194" i="1"/>
  <c r="AC109" i="1"/>
  <c r="AE236" i="3" l="1"/>
  <c r="B200" i="3"/>
  <c r="AF236" i="3" s="1"/>
  <c r="AD201" i="3"/>
  <c r="AE195" i="3"/>
  <c r="AD93" i="3"/>
  <c r="AE193" i="3"/>
  <c r="AF103" i="3"/>
  <c r="AE194" i="1"/>
  <c r="AA235" i="1"/>
  <c r="AC199" i="1"/>
  <c r="AB200" i="1"/>
  <c r="AA192" i="1"/>
  <c r="AB102" i="1"/>
  <c r="AD109" i="1"/>
  <c r="B103" i="1"/>
  <c r="AF193" i="3" l="1"/>
  <c r="B103" i="3"/>
  <c r="B193" i="3" s="1"/>
  <c r="AE201" i="3"/>
  <c r="AF195" i="3"/>
  <c r="AE93" i="3"/>
  <c r="AE109" i="1"/>
  <c r="AB192" i="1"/>
  <c r="AC102" i="1"/>
  <c r="AB235" i="1"/>
  <c r="AD199" i="1"/>
  <c r="AC200" i="1"/>
  <c r="AC93" i="1"/>
  <c r="AF194" i="1"/>
  <c r="AF201" i="3" l="1"/>
  <c r="B195" i="3"/>
  <c r="B201" i="3" s="1"/>
  <c r="B93" i="3" s="1"/>
  <c r="AF93" i="3"/>
  <c r="AC192" i="1"/>
  <c r="AD102" i="1"/>
  <c r="AC235" i="1"/>
  <c r="AE199" i="1"/>
  <c r="AD200" i="1"/>
  <c r="AD93" i="1"/>
  <c r="B194" i="1"/>
  <c r="AF109" i="1"/>
  <c r="AI93" i="3" l="1"/>
  <c r="AH93" i="3"/>
  <c r="AD235" i="1"/>
  <c r="AF199" i="1"/>
  <c r="AE200" i="1"/>
  <c r="AE93" i="1"/>
  <c r="AD192" i="1"/>
  <c r="AE102" i="1"/>
  <c r="B109" i="1"/>
  <c r="AF93" i="1"/>
  <c r="B93" i="1" l="1"/>
  <c r="AE192" i="1"/>
  <c r="AF102" i="1"/>
  <c r="B199" i="1"/>
  <c r="AE235" i="1"/>
  <c r="AF200" i="1"/>
  <c r="AH93" i="1"/>
  <c r="AI93" i="1"/>
  <c r="AF235" i="1" l="1"/>
  <c r="B200" i="1"/>
  <c r="AF192" i="1"/>
  <c r="B102" i="1"/>
  <c r="B192" i="1" s="1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<sst xmlns="http://schemas.openxmlformats.org/spreadsheetml/2006/main" count="8029" uniqueCount="260">
  <si>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</si>
  <si>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</si>
  <si>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</si>
  <si>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</si>
  <si>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</si>
  <si>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</si>
  <si>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</si>
  <si>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</si>
  <si>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</si>
  <si>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</si>
  <si>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</si>
  <si>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</si>
  <si>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</si>
  <si>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</si>
  <si>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</si>
  <si>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</si>
  <si>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</si>
  <si>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</si>
  <si>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</si>
  <si>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</si>
  <si>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</si>
  <si>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Likhu IV (52.4)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</si>
  <si>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</si>
  <si>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</si>
  <si>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</si>
  <si>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</si>
  <si>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</si>
  <si>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</si>
  <si>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</si>
  <si>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</si>
  <si>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</si>
  <si>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</si>
  <si>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</si>
  <si>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</si>
  <si>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Lower Modi (20)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</si>
  <si>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</si>
  <si>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</si>
  <si>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</si>
  <si>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</si>
  <si>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</si>
  <si>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</si>
  <si>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Tallo Khare Khola(11)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</si>
  <si>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</si>
  <si>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</si>
  <si>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</si>
  <si>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</si>
  <si>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</si>
  <si>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</si>
  <si>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</si>
  <si>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</si>
  <si>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</si>
  <si>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</si>
  <si>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</si>
  <si>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</si>
  <si>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</si>
  <si>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</si>
  <si>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</si>
  <si>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</si>
  <si>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</si>
  <si>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</si>
  <si>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</si>
  <si>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</si>
  <si>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</si>
  <si>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</si>
  <si>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</si>
  <si>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</si>
  <si>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</si>
  <si>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</si>
  <si>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</si>
  <si>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</si>
  <si>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</si>
  <si>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</si>
  <si>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</si>
  <si>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</si>
  <si>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</si>
  <si>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</si>
  <si>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</si>
  <si>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</si>
  <si>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</si>
  <si>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</si>
  <si>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</si>
  <si>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</si>
  <si>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</si>
  <si>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</si>
  <si>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</si>
  <si>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</si>
  <si>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</si>
  <si>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</si>
  <si>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</si>
  <si>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</si>
  <si>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</si>
  <si>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</si>
  <si>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</si>
  <si>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</si>
  <si>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</si>
  <si>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</si>
  <si>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</si>
  <si>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</si>
  <si>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</si>
  <si>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</si>
  <si>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</si>
  <si>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</si>
  <si>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</si>
  <si>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BHARATPUR - KAWASOTI</t>
  </si>
  <si>
    <t>DHALKE-MIRCHYA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</si>
  <si>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</si>
  <si>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</si>
  <si>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</si>
  <si>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</si>
  <si>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</si>
  <si>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</si>
  <si>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</si>
  <si>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</si>
  <si>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</si>
  <si>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</si>
  <si>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</si>
  <si>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</si>
  <si>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</si>
  <si>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</si>
  <si>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</si>
  <si>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</si>
  <si>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</si>
  <si>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</si>
  <si>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</si>
  <si>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</si>
  <si>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</si>
  <si>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</si>
  <si>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</si>
  <si>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</si>
  <si>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</si>
  <si>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;/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</si>
  <si>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</si>
  <si>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</si>
  <si>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</si>
  <si>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</si>
  <si>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</si>
  <si>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</si>
  <si>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</si>
  <si>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</si>
  <si>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</si>
  <si>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</si>
  <si>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</si>
  <si>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</si>
  <si>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</si>
  <si>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</si>
  <si>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</si>
  <si>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</si>
  <si>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</si>
  <si>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</si>
  <si>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</si>
  <si>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</si>
  <si>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</si>
  <si>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</si>
  <si>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</si>
  <si>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</si>
  <si>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</si>
  <si>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</si>
  <si>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</si>
  <si>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</si>
  <si>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</si>
  <si>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</si>
  <si>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</si>
  <si>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</si>
  <si>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</si>
  <si>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</si>
  <si>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</si>
  <si>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</si>
  <si>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</si>
  <si>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</si>
  <si>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</si>
  <si>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</si>
  <si>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</si>
  <si>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</si>
  <si>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</si>
  <si>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</si>
  <si>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</si>
  <si>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</si>
  <si>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</si>
  <si>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</si>
  <si>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</si>
  <si>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</si>
  <si>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</si>
  <si>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</si>
  <si>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</si>
  <si>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</si>
  <si>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</si>
  <si>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</si>
  <si>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</si>
  <si>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</si>
  <si>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</si>
  <si>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</si>
  <si>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</si>
  <si>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</si>
  <si>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</si>
  <si>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</si>
  <si>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</si>
  <si>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</si>
  <si>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</si>
  <si>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</si>
  <si>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</si>
  <si>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</si>
  <si>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</si>
  <si>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</si>
  <si>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</si>
  <si>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</si>
  <si>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</si>
  <si>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</si>
  <si>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</si>
  <si>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</si>
  <si>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</si>
  <si>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</si>
  <si>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</si>
  <si>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</si>
  <si>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</si>
  <si>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</si>
  <si>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</si>
  <si>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</si>
  <si>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</si>
  <si>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</si>
  <si>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</si>
  <si>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 xml:space="preserve">                   </t>
  </si>
  <si>
    <t>HETAUDA - KAMANE</t>
  </si>
  <si>
    <t>s</t>
  </si>
  <si>
    <t>y</t>
  </si>
  <si>
    <t>d</t>
  </si>
  <si>
    <t>i</t>
  </si>
  <si>
    <t>t</t>
  </si>
  <si>
    <t>u</t>
  </si>
  <si>
    <t>r</t>
  </si>
  <si>
    <t>b</t>
  </si>
  <si>
    <t xml:space="preserve"> </t>
  </si>
  <si>
    <t>6.3.9</t>
  </si>
  <si>
    <t>System Disturb</t>
  </si>
  <si>
    <t>67.0.</t>
  </si>
  <si>
    <t>S</t>
  </si>
  <si>
    <t>T</t>
  </si>
  <si>
    <t>D</t>
  </si>
  <si>
    <t>I</t>
  </si>
  <si>
    <t>U</t>
  </si>
  <si>
    <t>R</t>
  </si>
  <si>
    <t>B</t>
  </si>
  <si>
    <t>HETAUDA-PATHLAIYA</t>
  </si>
  <si>
    <t xml:space="preserve">                                                                                                                                                                                </t>
  </si>
  <si>
    <t>e</t>
  </si>
  <si>
    <t>m</t>
  </si>
  <si>
    <t>p</t>
  </si>
  <si>
    <t>a</t>
  </si>
  <si>
    <t>l</t>
  </si>
  <si>
    <t>KAWASOTI-BARDGHAT</t>
  </si>
  <si>
    <t>c</t>
  </si>
  <si>
    <t>o</t>
  </si>
  <si>
    <t>note: nanpara taken because nepalgunj 1 circuit on fault.</t>
  </si>
  <si>
    <t>BARDGHAT-NBHARATPUR</t>
  </si>
  <si>
    <t>NBHARATPUR-BARDGHAT</t>
  </si>
  <si>
    <t>Hetauda-kamane</t>
  </si>
  <si>
    <t>Y</t>
  </si>
  <si>
    <t>E</t>
  </si>
  <si>
    <t>M</t>
  </si>
  <si>
    <t xml:space="preserve">                          </t>
  </si>
  <si>
    <t>DAMAK-DUHABI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</si>
</sst>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6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4" xfId="0" applyFont="1" applyBorder="1" applyAlignment="1">
      <alignment horizontal="right" vertical="center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167" fontId="12" fillId="0" borderId="25" xfId="0" applyNumberFormat="1" applyFont="1" applyBorder="1" applyAlignment="1" applyProtection="1">
      <alignment horizontal="center" vertical="center"/>
      <protection locked="0"/>
    </xf>
    <xf numFmtId="167" fontId="12" fillId="0" borderId="26" xfId="0" applyNumberFormat="1" applyFont="1" applyBorder="1" applyAlignment="1" applyProtection="1">
      <alignment horizontal="center" vertical="center"/>
      <protection locked="0"/>
    </xf>
    <xf numFmtId="167" fontId="12" fillId="9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Border="1" applyAlignment="1" applyProtection="1">
      <alignment horizontal="center" vertical="center"/>
      <protection locked="0"/>
    </xf>
    <xf numFmtId="2" fontId="12" fillId="0" borderId="26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28" xfId="0" applyFont="1" applyBorder="1" applyAlignment="1">
      <alignment horizontal="right" vertical="center"/>
    </xf>
    <xf numFmtId="2" fontId="12" fillId="0" borderId="27" xfId="0" applyNumberFormat="1" applyFont="1" applyBorder="1" applyAlignment="1" applyProtection="1">
      <alignment horizontal="center" vertical="center"/>
      <protection locked="0"/>
    </xf>
    <xf numFmtId="2" fontId="25" fillId="0" borderId="29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 vertical="center"/>
    </xf>
    <xf numFmtId="2" fontId="25" fillId="0" borderId="31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right" vertical="center"/>
    </xf>
    <xf numFmtId="167" fontId="12" fillId="9" borderId="6" xfId="0" applyNumberFormat="1" applyFont="1" applyFill="1" applyBorder="1" applyAlignment="1" applyProtection="1">
      <alignment horizontal="center" vertical="center"/>
      <protection locked="0"/>
    </xf>
    <xf numFmtId="0" fontId="16" fillId="0" borderId="28" xfId="0" applyFont="1" applyBorder="1" applyAlignment="1">
      <alignment horizontal="right" vertical="center"/>
    </xf>
    <xf numFmtId="167" fontId="12" fillId="10" borderId="26" xfId="0" applyNumberFormat="1" applyFont="1" applyFill="1" applyBorder="1" applyAlignment="1" applyProtection="1">
      <alignment horizontal="center" vertical="center"/>
      <protection locked="0"/>
    </xf>
    <xf numFmtId="0" fontId="16" fillId="0" borderId="32" xfId="0" applyFont="1" applyBorder="1" applyAlignment="1">
      <alignment horizontal="left" vertical="center"/>
    </xf>
    <xf numFmtId="167" fontId="16" fillId="0" borderId="33" xfId="0" applyNumberFormat="1" applyFont="1" applyBorder="1" applyAlignment="1">
      <alignment horizontal="center" vertical="center"/>
    </xf>
    <xf numFmtId="0" fontId="27" fillId="0" borderId="0" xfId="0" applyFont="1"/>
    <xf numFmtId="0" fontId="12" fillId="0" borderId="34" xfId="0" applyFont="1" applyBorder="1" applyAlignment="1">
      <alignment horizontal="right" vertical="center"/>
    </xf>
    <xf numFmtId="2" fontId="26" fillId="0" borderId="35" xfId="0" applyNumberFormat="1" applyFont="1" applyBorder="1" applyAlignment="1">
      <alignment horizontal="center" vertical="center"/>
    </xf>
    <xf numFmtId="2" fontId="16" fillId="0" borderId="36" xfId="0" applyNumberFormat="1" applyFont="1" applyBorder="1" applyAlignment="1">
      <alignment horizontal="center" vertical="center"/>
    </xf>
    <xf numFmtId="167" fontId="12" fillId="0" borderId="21" xfId="0" applyNumberFormat="1" applyFont="1" applyBorder="1" applyAlignment="1" applyProtection="1">
      <alignment horizontal="center" vertical="center"/>
      <protection locked="0"/>
    </xf>
    <xf numFmtId="2" fontId="25" fillId="0" borderId="23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167" fontId="12" fillId="0" borderId="26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right" vertical="center"/>
    </xf>
    <xf numFmtId="167" fontId="12" fillId="0" borderId="35" xfId="0" applyNumberFormat="1" applyFont="1" applyBorder="1" applyAlignment="1">
      <alignment horizontal="center" vertical="center"/>
    </xf>
    <xf numFmtId="2" fontId="12" fillId="0" borderId="38" xfId="0" applyNumberFormat="1" applyFont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1" fontId="16" fillId="0" borderId="33" xfId="0" applyNumberFormat="1" applyFont="1" applyBorder="1" applyAlignment="1">
      <alignment horizontal="center" vertical="center"/>
    </xf>
    <xf numFmtId="0" fontId="16" fillId="11" borderId="32" xfId="0" applyFont="1" applyFill="1" applyBorder="1" applyAlignment="1">
      <alignment vertical="center" wrapText="1"/>
    </xf>
    <xf numFmtId="167" fontId="12" fillId="0" borderId="33" xfId="0" applyNumberFormat="1" applyFont="1" applyBorder="1" applyAlignment="1" applyProtection="1">
      <alignment horizontal="center" vertical="center"/>
      <protection locked="0"/>
    </xf>
    <xf numFmtId="2" fontId="25" fillId="0" borderId="38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vertical="center"/>
    </xf>
    <xf numFmtId="2" fontId="12" fillId="0" borderId="42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167" fontId="12" fillId="0" borderId="6" xfId="0" applyNumberFormat="1" applyFont="1" applyBorder="1" applyAlignment="1" applyProtection="1">
      <alignment horizontal="center"/>
      <protection locked="0"/>
    </xf>
    <xf numFmtId="2" fontId="12" fillId="0" borderId="42" xfId="0" applyNumberFormat="1" applyFont="1" applyBorder="1" applyAlignment="1">
      <alignment horizontal="center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2" fontId="12" fillId="0" borderId="44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9" xfId="0" applyFont="1" applyBorder="1" applyAlignment="1">
      <alignment vertical="center"/>
    </xf>
    <xf numFmtId="167" fontId="12" fillId="0" borderId="45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1" xfId="0" applyFont="1" applyBorder="1" applyAlignment="1">
      <alignment vertical="center"/>
    </xf>
    <xf numFmtId="167" fontId="12" fillId="0" borderId="46" xfId="0" applyNumberFormat="1" applyFont="1" applyBorder="1" applyAlignment="1" applyProtection="1">
      <alignment horizontal="center" vertical="center"/>
      <protection locked="0"/>
    </xf>
    <xf numFmtId="0" fontId="12" fillId="0" borderId="47" xfId="0" applyFont="1" applyBorder="1" applyAlignment="1">
      <alignment vertical="center"/>
    </xf>
    <xf numFmtId="167" fontId="12" fillId="0" borderId="48" xfId="0" applyNumberFormat="1" applyFont="1" applyBorder="1" applyAlignment="1" applyProtection="1">
      <alignment horizontal="center"/>
      <protection locked="0"/>
    </xf>
    <xf numFmtId="2" fontId="0" fillId="0" borderId="3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2" fillId="0" borderId="6" xfId="0" applyFont="1" applyBorder="1" applyAlignment="1">
      <alignment vertical="center"/>
    </xf>
    <xf numFmtId="0" fontId="16" fillId="0" borderId="49" xfId="0" applyFont="1" applyBorder="1" applyAlignment="1">
      <alignment vertical="center"/>
    </xf>
    <xf numFmtId="0" fontId="0" fillId="0" borderId="50" xfId="0" applyBorder="1" applyAlignment="1">
      <alignment horizontal="center"/>
    </xf>
    <xf numFmtId="2" fontId="0" fillId="0" borderId="51" xfId="0" applyNumberFormat="1" applyBorder="1" applyAlignment="1">
      <alignment horizontal="center"/>
    </xf>
    <xf numFmtId="167" fontId="0" fillId="0" borderId="0" xfId="0" applyNumberFormat="1" applyBorder="1" applyAlignment="1" applyProtection="1">
      <alignment horizontal="center"/>
      <protection locked="0"/>
    </xf>
    <xf numFmtId="0" fontId="12" fillId="0" borderId="52" xfId="0" applyFont="1" applyBorder="1" applyAlignment="1">
      <alignment vertical="center"/>
    </xf>
    <xf numFmtId="2" fontId="12" fillId="0" borderId="26" xfId="0" applyNumberFormat="1" applyFont="1" applyBorder="1" applyAlignment="1">
      <alignment horizontal="center" vertical="center"/>
    </xf>
    <xf numFmtId="170" fontId="25" fillId="0" borderId="53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70" fontId="25" fillId="0" borderId="54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54" xfId="0" applyNumberFormat="1" applyFont="1" applyBorder="1" applyAlignment="1">
      <alignment horizontal="center" vertical="center"/>
    </xf>
    <xf numFmtId="2" fontId="12" fillId="0" borderId="35" xfId="0" applyNumberFormat="1" applyFont="1" applyBorder="1" applyAlignment="1">
      <alignment horizontal="center" vertical="center"/>
    </xf>
    <xf numFmtId="2" fontId="28" fillId="0" borderId="55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vertical="center"/>
    </xf>
    <xf numFmtId="2" fontId="12" fillId="0" borderId="33" xfId="0" applyNumberFormat="1" applyFon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vertical="center"/>
    </xf>
    <xf numFmtId="2" fontId="29" fillId="0" borderId="26" xfId="0" applyNumberFormat="1" applyFont="1" applyBorder="1" applyAlignment="1">
      <alignment horizontal="center" vertical="center"/>
    </xf>
    <xf numFmtId="2" fontId="29" fillId="0" borderId="53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54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4" borderId="0" xfId="0" applyFont="1" applyFill="1"/>
    <xf numFmtId="0" fontId="0" fillId="15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20" fontId="12" fillId="0" borderId="35" xfId="0" applyNumberFormat="1" applyFont="1" applyBorder="1" applyAlignment="1">
      <alignment vertical="center"/>
    </xf>
    <xf numFmtId="168" fontId="12" fillId="0" borderId="60" xfId="0" applyNumberFormat="1" applyFont="1" applyBorder="1" applyAlignment="1">
      <alignment vertical="center"/>
    </xf>
    <xf numFmtId="168" fontId="12" fillId="0" borderId="35" xfId="0" applyNumberFormat="1" applyFont="1" applyBorder="1" applyAlignment="1">
      <alignment vertical="center"/>
    </xf>
    <xf numFmtId="168" fontId="12" fillId="0" borderId="18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5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167" fontId="12" fillId="0" borderId="0" xfId="0" applyNumberFormat="1" applyFont="1" applyBorder="1" applyAlignment="1" applyProtection="1">
      <alignment horizontal="center"/>
      <protection locked="0"/>
    </xf>
    <xf numFmtId="167" fontId="12" fillId="16" borderId="26" xfId="0" applyNumberFormat="1" applyFont="1" applyFill="1" applyBorder="1" applyAlignment="1" applyProtection="1">
      <alignment horizontal="center" vertical="center"/>
      <protection locked="0"/>
    </xf>
    <xf numFmtId="167" fontId="12" fillId="16" borderId="6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Border="1" applyAlignment="1">
      <alignment vertical="center"/>
    </xf>
    <xf numFmtId="167" fontId="12" fillId="0" borderId="35" xfId="0" applyNumberFormat="1" applyFont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168" fontId="12" fillId="7" borderId="18" xfId="0" applyNumberFormat="1" applyFont="1" applyFill="1" applyBorder="1" applyAlignment="1">
      <alignment horizontal="center" vertical="center"/>
    </xf>
    <xf numFmtId="168" fontId="12" fillId="7" borderId="22" xfId="0" applyNumberFormat="1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20" fontId="12" fillId="0" borderId="18" xfId="0" applyNumberFormat="1" applyFont="1" applyBorder="1" applyAlignment="1">
      <alignment horizontal="center" vertical="center"/>
    </xf>
    <xf numFmtId="0" fontId="12" fillId="0" borderId="21" xfId="0" applyNumberFormat="1" applyFont="1" applyBorder="1" applyAlignment="1">
      <alignment horizontal="center" vertical="center"/>
    </xf>
    <xf numFmtId="168" fontId="12" fillId="0" borderId="18" xfId="0" applyNumberFormat="1" applyFont="1" applyBorder="1" applyAlignment="1">
      <alignment horizontal="center" vertical="center"/>
    </xf>
    <xf numFmtId="168" fontId="12" fillId="0" borderId="22" xfId="0" applyNumberFormat="1" applyFont="1" applyBorder="1" applyAlignment="1">
      <alignment horizontal="center" vertical="center"/>
    </xf>
    <xf numFmtId="169" fontId="24" fillId="8" borderId="19" xfId="0" applyNumberFormat="1" applyFont="1" applyFill="1" applyBorder="1" applyAlignment="1">
      <alignment horizontal="center" vertical="center" wrapText="1"/>
    </xf>
    <xf numFmtId="169" fontId="24" fillId="8" borderId="23" xfId="0" applyNumberFormat="1" applyFont="1" applyFill="1" applyBorder="1" applyAlignment="1">
      <alignment horizontal="center" vertical="center" wrapText="1"/>
    </xf>
    <xf numFmtId="168" fontId="12" fillId="0" borderId="21" xfId="0" applyNumberFormat="1" applyFont="1" applyBorder="1" applyAlignment="1">
      <alignment horizontal="center" vertical="center"/>
    </xf>
    <xf numFmtId="0" fontId="31" fillId="13" borderId="0" xfId="0" applyFont="1" applyFill="1" applyAlignment="1">
      <alignment horizontal="center"/>
    </xf>
    <xf numFmtId="167" fontId="12" fillId="0" borderId="18" xfId="0" applyNumberFormat="1" applyFont="1" applyBorder="1" applyAlignment="1" applyProtection="1">
      <alignment horizontal="center" vertical="center" textRotation="90" wrapText="1"/>
      <protection locked="0"/>
    </xf>
    <xf numFmtId="167" fontId="12" fillId="0" borderId="21" xfId="0" applyNumberFormat="1" applyFont="1" applyBorder="1" applyAlignment="1" applyProtection="1">
      <alignment horizontal="center" vertical="center" textRotation="90" wrapText="1"/>
      <protection locked="0"/>
    </xf>
    <xf numFmtId="167" fontId="12" fillId="0" borderId="9" xfId="0" applyNumberFormat="1" applyFont="1" applyBorder="1" applyAlignment="1" applyProtection="1">
      <alignment horizontal="center" vertical="center" textRotation="90" wrapText="1"/>
      <protection locked="0"/>
    </xf>
    <xf numFmtId="167" fontId="12" fillId="0" borderId="18" xfId="0" applyNumberFormat="1" applyFont="1" applyBorder="1" applyAlignment="1" applyProtection="1">
      <alignment horizontal="center" vertical="center" textRotation="90"/>
      <protection locked="0"/>
    </xf>
    <xf numFmtId="167" fontId="12" fillId="0" borderId="21" xfId="0" applyNumberFormat="1" applyFont="1" applyBorder="1" applyAlignment="1" applyProtection="1">
      <alignment horizontal="center" vertical="center" textRotation="90"/>
      <protection locked="0"/>
    </xf>
    <xf numFmtId="167" fontId="12" fillId="0" borderId="9" xfId="0" applyNumberFormat="1" applyFont="1" applyBorder="1" applyAlignment="1" applyProtection="1">
      <alignment horizontal="center" vertical="center" textRotation="90"/>
      <protection locked="0"/>
    </xf>
  </cellXfs>
  <cellStyles count="2">
    <cellStyle name="Comma" xfId="1" builtinId="3"/>
    <cellStyle name="Normal" xfId="0" builtinId="0"/>
  </cellStyles>
  <dxfs count="7050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'Sample (2)'!$A$212:$A$216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'Sample (2)'!$B$212:$B$216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'Sample (2)'!$S$214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'Sample (2)'!$T$212:$AX$212</c:f>
              <c:numCache>
                <c:formatCode>General</c:formatCode>
                <c:ptCount val="31"/>
              </c:numCache>
            </c:numRef>
          </c:cat>
          <c:val>
            <c:numRef>
              <c:f>'Sample (2)'!$U$213:$AX$213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40320"/>
        <c:axId val="393058176"/>
      </c:lineChart>
      <c:catAx>
        <c:axId val="392840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58176"/>
        <c:crosses val="autoZero"/>
        <c:auto val="1"/>
        <c:lblAlgn val="ctr"/>
        <c:lblOffset val="100"/>
        <c:noMultiLvlLbl val="0"/>
      </c:catAx>
      <c:valAx>
        <c:axId val="393058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'1'!$T$213:$AX$213</c:f>
              <c:numCache>
                <c:formatCode>General</c:formatCode>
                <c:ptCount val="31"/>
              </c:numCache>
            </c:numRef>
          </c:cat>
          <c:val>
            <c:numRef>
              <c:f>'1'!$U$214:$AX$214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345152"/>
        <c:axId val="407937792"/>
      </c:lineChart>
      <c:catAx>
        <c:axId val="397345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937792"/>
        <c:crosses val="autoZero"/>
        <c:auto val="1"/>
        <c:lblAlgn val="ctr"/>
        <c:lblOffset val="100"/>
        <c:noMultiLvlLbl val="0"/>
      </c:catAx>
      <c:valAx>
        <c:axId val="407937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4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'2'!$T$213:$AX$213</c:f>
              <c:numCache>
                <c:formatCode>General</c:formatCode>
                <c:ptCount val="31"/>
              </c:numCache>
            </c:numRef>
          </c:cat>
          <c:val>
            <c:numRef>
              <c:f>'2'!$U$214:$AX$214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385472"/>
        <c:axId val="460757632"/>
      </c:lineChart>
      <c:catAx>
        <c:axId val="459385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57632"/>
        <c:crosses val="autoZero"/>
        <c:auto val="1"/>
        <c:lblAlgn val="ctr"/>
        <c:lblOffset val="100"/>
        <c:noMultiLvlLbl val="0"/>
      </c:catAx>
      <c:valAx>
        <c:axId val="460757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8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'3'!$T$212:$AX$212</c:f>
              <c:numCache>
                <c:formatCode>General</c:formatCode>
                <c:ptCount val="31"/>
              </c:numCache>
            </c:numRef>
          </c:cat>
          <c:val>
            <c:numRef>
              <c:f>'3'!$U$213:$AX$213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691648"/>
        <c:axId val="513693568"/>
      </c:lineChart>
      <c:catAx>
        <c:axId val="513691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93568"/>
        <c:crosses val="autoZero"/>
        <c:auto val="1"/>
        <c:lblAlgn val="ctr"/>
        <c:lblOffset val="100"/>
        <c:noMultiLvlLbl val="0"/>
      </c:catAx>
      <c:valAx>
        <c:axId val="513693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9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'4'!$T$212:$AX$212</c:f>
              <c:numCache>
                <c:formatCode>General</c:formatCode>
                <c:ptCount val="31"/>
              </c:numCache>
            </c:numRef>
          </c:cat>
          <c:val>
            <c:numRef>
              <c:f>'4'!$U$213:$AX$213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599168"/>
        <c:axId val="514605440"/>
      </c:lineChart>
      <c:catAx>
        <c:axId val="514599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05440"/>
        <c:crosses val="autoZero"/>
        <c:auto val="1"/>
        <c:lblAlgn val="ctr"/>
        <c:lblOffset val="100"/>
        <c:noMultiLvlLbl val="0"/>
      </c:catAx>
      <c:valAx>
        <c:axId val="514605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'5'!$T$212:$AX$212</c:f>
              <c:numCache>
                <c:formatCode>General</c:formatCode>
                <c:ptCount val="31"/>
              </c:numCache>
            </c:numRef>
          </c:cat>
          <c:val>
            <c:numRef>
              <c:f>'5'!$U$213:$AX$213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184896"/>
        <c:axId val="515187072"/>
      </c:lineChart>
      <c:catAx>
        <c:axId val="515184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87072"/>
        <c:crosses val="autoZero"/>
        <c:auto val="1"/>
        <c:lblAlgn val="ctr"/>
        <c:lblOffset val="100"/>
        <c:noMultiLvlLbl val="0"/>
      </c:catAx>
      <c:valAx>
        <c:axId val="515187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'6'!$T$212:$AX$212</c:f>
              <c:numCache>
                <c:formatCode>General</c:formatCode>
                <c:ptCount val="31"/>
              </c:numCache>
            </c:numRef>
          </c:cat>
          <c:val>
            <c:numRef>
              <c:f>'6'!$U$213:$AX$213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852928"/>
        <c:axId val="515863296"/>
      </c:lineChart>
      <c:catAx>
        <c:axId val="515852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63296"/>
        <c:crosses val="autoZero"/>
        <c:auto val="1"/>
        <c:lblAlgn val="ctr"/>
        <c:lblOffset val="100"/>
        <c:noMultiLvlLbl val="0"/>
      </c:catAx>
      <c:valAx>
        <c:axId val="515863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5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'7'!$T$212:$AX$212</c:f>
              <c:numCache>
                <c:formatCode>General</c:formatCode>
                <c:ptCount val="31"/>
              </c:numCache>
            </c:numRef>
          </c:cat>
          <c:val>
            <c:numRef>
              <c:f>'7'!$U$213:$AX$213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539136"/>
        <c:axId val="516541056"/>
      </c:lineChart>
      <c:catAx>
        <c:axId val="516539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41056"/>
        <c:crosses val="autoZero"/>
        <c:auto val="1"/>
        <c:lblAlgn val="ctr"/>
        <c:lblOffset val="100"/>
        <c:noMultiLvlLbl val="0"/>
      </c:catAx>
      <c:valAx>
        <c:axId val="516541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3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'8'!$T$212:$AX$212</c:f>
              <c:numCache>
                <c:formatCode>General</c:formatCode>
                <c:ptCount val="31"/>
              </c:numCache>
            </c:numRef>
          </c:cat>
          <c:val>
            <c:numRef>
              <c:f>'8'!$U$213:$AX$213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226880"/>
        <c:axId val="517228800"/>
      </c:lineChart>
      <c:catAx>
        <c:axId val="517226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28800"/>
        <c:crosses val="autoZero"/>
        <c:auto val="1"/>
        <c:lblAlgn val="ctr"/>
        <c:lblOffset val="100"/>
        <c:noMultiLvlLbl val="0"/>
      </c:catAx>
      <c:valAx>
        <c:axId val="517228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2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'9'!$T$212:$AX$212</c:f>
              <c:numCache>
                <c:formatCode>General</c:formatCode>
                <c:ptCount val="31"/>
              </c:numCache>
            </c:numRef>
          </c:cat>
          <c:val>
            <c:numRef>
              <c:f>'9'!$U$213:$AX$213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181632"/>
        <c:axId val="518183552"/>
      </c:lineChart>
      <c:catAx>
        <c:axId val="5181816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83552"/>
        <c:crosses val="autoZero"/>
        <c:auto val="1"/>
        <c:lblAlgn val="ctr"/>
        <c:lblOffset val="100"/>
        <c:noMultiLvlLbl val="0"/>
      </c:catAx>
      <c:valAx>
        <c:axId val="518183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8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'10'!$T$212:$AX$212</c:f>
              <c:numCache>
                <c:formatCode>General</c:formatCode>
                <c:ptCount val="31"/>
              </c:numCache>
            </c:numRef>
          </c:cat>
          <c:val>
            <c:numRef>
              <c:f>'10'!$U$213:$AX$213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948736"/>
        <c:axId val="518959104"/>
      </c:lineChart>
      <c:catAx>
        <c:axId val="518948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59104"/>
        <c:crosses val="autoZero"/>
        <c:auto val="1"/>
        <c:lblAlgn val="ctr"/>
        <c:lblOffset val="100"/>
        <c:noMultiLvlLbl val="0"/>
      </c:catAx>
      <c:valAx>
        <c:axId val="518959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4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'11'!$T$212:$AX$212</c:f>
              <c:numCache>
                <c:formatCode>General</c:formatCode>
                <c:ptCount val="31"/>
              </c:numCache>
            </c:numRef>
          </c:cat>
          <c:val>
            <c:numRef>
              <c:f>'11'!$U$213:$AX$213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716224"/>
        <c:axId val="519742976"/>
      </c:lineChart>
      <c:catAx>
        <c:axId val="51971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42976"/>
        <c:crosses val="autoZero"/>
        <c:auto val="1"/>
        <c:lblAlgn val="ctr"/>
        <c:lblOffset val="100"/>
        <c:noMultiLvlLbl val="0"/>
      </c:catAx>
      <c:valAx>
        <c:axId val="519742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1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'12'!$T$212:$AX$212</c:f>
              <c:numCache>
                <c:formatCode>General</c:formatCode>
                <c:ptCount val="31"/>
              </c:numCache>
            </c:numRef>
          </c:cat>
          <c:val>
            <c:numRef>
              <c:f>'12'!$U$213:$AX$213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814592"/>
        <c:axId val="520816512"/>
      </c:lineChart>
      <c:catAx>
        <c:axId val="520814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16512"/>
        <c:crosses val="autoZero"/>
        <c:auto val="1"/>
        <c:lblAlgn val="ctr"/>
        <c:lblOffset val="100"/>
        <c:noMultiLvlLbl val="0"/>
      </c:catAx>
      <c:valAx>
        <c:axId val="520816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'13'!$T$212:$AX$212</c:f>
              <c:numCache>
                <c:formatCode>General</c:formatCode>
                <c:ptCount val="31"/>
              </c:numCache>
            </c:numRef>
          </c:cat>
          <c:val>
            <c:numRef>
              <c:f>'13'!$U$213:$AX$213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895808"/>
        <c:axId val="529897728"/>
      </c:lineChart>
      <c:catAx>
        <c:axId val="529895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97728"/>
        <c:crosses val="autoZero"/>
        <c:auto val="1"/>
        <c:lblAlgn val="ctr"/>
        <c:lblOffset val="100"/>
        <c:noMultiLvlLbl val="0"/>
      </c:catAx>
      <c:valAx>
        <c:axId val="529897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9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'14'!$T$212:$AX$212</c:f>
              <c:numCache>
                <c:formatCode>General</c:formatCode>
                <c:ptCount val="31"/>
              </c:numCache>
            </c:numRef>
          </c:cat>
          <c:val>
            <c:numRef>
              <c:f>'14'!$U$213:$AX$213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244160"/>
        <c:axId val="531246080"/>
      </c:lineChart>
      <c:catAx>
        <c:axId val="531244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46080"/>
        <c:crosses val="autoZero"/>
        <c:auto val="1"/>
        <c:lblAlgn val="ctr"/>
        <c:lblOffset val="100"/>
        <c:noMultiLvlLbl val="0"/>
      </c:catAx>
      <c:valAx>
        <c:axId val="531246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4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'15'!$T$212:$AX$212</c:f>
              <c:numCache>
                <c:formatCode>General</c:formatCode>
                <c:ptCount val="31"/>
              </c:numCache>
            </c:numRef>
          </c:cat>
          <c:val>
            <c:numRef>
              <c:f>'15'!$U$213:$AX$213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836928"/>
        <c:axId val="531838848"/>
      </c:lineChart>
      <c:catAx>
        <c:axId val="531836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38848"/>
        <c:crosses val="autoZero"/>
        <c:auto val="1"/>
        <c:lblAlgn val="ctr"/>
        <c:lblOffset val="100"/>
        <c:noMultiLvlLbl val="0"/>
      </c:catAx>
      <c:valAx>
        <c:axId val="531838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3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'16'!$T$212:$AX$212</c:f>
              <c:numCache>
                <c:formatCode>General</c:formatCode>
                <c:ptCount val="31"/>
              </c:numCache>
            </c:numRef>
          </c:cat>
          <c:val>
            <c:numRef>
              <c:f>'16'!$U$213:$AX$213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537344"/>
        <c:axId val="532539264"/>
      </c:lineChart>
      <c:catAx>
        <c:axId val="532537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39264"/>
        <c:crosses val="autoZero"/>
        <c:auto val="1"/>
        <c:lblAlgn val="ctr"/>
        <c:lblOffset val="100"/>
        <c:noMultiLvlLbl val="0"/>
      </c:catAx>
      <c:valAx>
        <c:axId val="532539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3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'17'!$T$213:$AX$213</c:f>
              <c:numCache>
                <c:formatCode>General</c:formatCode>
                <c:ptCount val="31"/>
              </c:numCache>
            </c:numRef>
          </c:cat>
          <c:val>
            <c:numRef>
              <c:f>'17'!$U$214:$AX$214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989632"/>
        <c:axId val="533991808"/>
      </c:lineChart>
      <c:catAx>
        <c:axId val="5339896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91808"/>
        <c:crosses val="autoZero"/>
        <c:auto val="1"/>
        <c:lblAlgn val="ctr"/>
        <c:lblOffset val="100"/>
        <c:noMultiLvlLbl val="0"/>
      </c:catAx>
      <c:valAx>
        <c:axId val="533991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8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'18'!$T$213:$AX$213</c:f>
              <c:numCache>
                <c:formatCode>General</c:formatCode>
                <c:ptCount val="31"/>
              </c:numCache>
            </c:numRef>
          </c:cat>
          <c:val>
            <c:numRef>
              <c:f>'18'!$U$214:$AX$214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676224"/>
        <c:axId val="556678144"/>
      </c:lineChart>
      <c:catAx>
        <c:axId val="55667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78144"/>
        <c:crosses val="autoZero"/>
        <c:auto val="1"/>
        <c:lblAlgn val="ctr"/>
        <c:lblOffset val="100"/>
        <c:noMultiLvlLbl val="0"/>
      </c:catAx>
      <c:valAx>
        <c:axId val="556678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7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'19'!$T$213:$AX$213</c:f>
              <c:numCache>
                <c:formatCode>General</c:formatCode>
                <c:ptCount val="31"/>
              </c:numCache>
            </c:numRef>
          </c:cat>
          <c:val>
            <c:numRef>
              <c:f>'19'!$U$214:$AX$214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716224"/>
        <c:axId val="557718144"/>
      </c:lineChart>
      <c:catAx>
        <c:axId val="55771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18144"/>
        <c:crosses val="autoZero"/>
        <c:auto val="1"/>
        <c:lblAlgn val="ctr"/>
        <c:lblOffset val="100"/>
        <c:noMultiLvlLbl val="0"/>
      </c:catAx>
      <c:valAx>
        <c:axId val="557718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1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'20'!$T$212:$AX$212</c:f>
              <c:numCache>
                <c:formatCode>General</c:formatCode>
                <c:ptCount val="31"/>
              </c:numCache>
            </c:numRef>
          </c:cat>
          <c:val>
            <c:numRef>
              <c:f>'20'!$U$213:$AX$213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751744"/>
        <c:axId val="558753664"/>
      </c:lineChart>
      <c:catAx>
        <c:axId val="558751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53664"/>
        <c:crosses val="autoZero"/>
        <c:auto val="1"/>
        <c:lblAlgn val="ctr"/>
        <c:lblOffset val="100"/>
        <c:noMultiLvlLbl val="0"/>
      </c:catAx>
      <c:valAx>
        <c:axId val="558753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5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'21'!$T$212:$AX$212</c:f>
              <c:numCache>
                <c:formatCode>General</c:formatCode>
                <c:ptCount val="31"/>
              </c:numCache>
            </c:numRef>
          </c:cat>
          <c:val>
            <c:numRef>
              <c:f>'21'!$U$213:$AX$213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567616"/>
        <c:axId val="559569536"/>
      </c:lineChart>
      <c:catAx>
        <c:axId val="559567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9536"/>
        <c:crosses val="autoZero"/>
        <c:auto val="1"/>
        <c:lblAlgn val="ctr"/>
        <c:lblOffset val="100"/>
        <c:noMultiLvlLbl val="0"/>
      </c:catAx>
      <c:valAx>
        <c:axId val="559569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'22'!$T$212:$AX$212</c:f>
              <c:numCache>
                <c:formatCode>General</c:formatCode>
                <c:ptCount val="31"/>
              </c:numCache>
            </c:numRef>
          </c:cat>
          <c:val>
            <c:numRef>
              <c:f>'22'!$U$213:$AX$213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159552"/>
        <c:axId val="561161728"/>
      </c:lineChart>
      <c:catAx>
        <c:axId val="561159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61728"/>
        <c:crosses val="autoZero"/>
        <c:auto val="1"/>
        <c:lblAlgn val="ctr"/>
        <c:lblOffset val="100"/>
        <c:noMultiLvlLbl val="0"/>
      </c:catAx>
      <c:valAx>
        <c:axId val="561161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5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'23'!$T$212:$AX$212</c:f>
              <c:numCache>
                <c:formatCode>General</c:formatCode>
                <c:ptCount val="31"/>
              </c:numCache>
            </c:numRef>
          </c:cat>
          <c:val>
            <c:numRef>
              <c:f>'23'!$U$213:$AX$213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419968"/>
        <c:axId val="563097984"/>
      </c:lineChart>
      <c:catAx>
        <c:axId val="562419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97984"/>
        <c:crosses val="autoZero"/>
        <c:auto val="1"/>
        <c:lblAlgn val="ctr"/>
        <c:lblOffset val="100"/>
        <c:noMultiLvlLbl val="0"/>
      </c:catAx>
      <c:valAx>
        <c:axId val="563097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1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'24'!$T$212:$AX$212</c:f>
              <c:numCache>
                <c:formatCode>General</c:formatCode>
                <c:ptCount val="31"/>
              </c:numCache>
            </c:numRef>
          </c:cat>
          <c:val>
            <c:numRef>
              <c:f>'24'!$U$213:$AX$213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821376"/>
        <c:axId val="436831744"/>
      </c:lineChart>
      <c:catAx>
        <c:axId val="436821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31744"/>
        <c:crosses val="autoZero"/>
        <c:auto val="1"/>
        <c:lblAlgn val="ctr"/>
        <c:lblOffset val="100"/>
        <c:noMultiLvlLbl val="0"/>
      </c:catAx>
      <c:valAx>
        <c:axId val="436831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2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'25'!$T$212:$AX$212</c:f>
              <c:numCache>
                <c:formatCode>General</c:formatCode>
                <c:ptCount val="31"/>
              </c:numCache>
            </c:numRef>
          </c:cat>
          <c:val>
            <c:numRef>
              <c:f>'25'!$U$213:$AX$213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705600"/>
        <c:axId val="446903808"/>
      </c:lineChart>
      <c:catAx>
        <c:axId val="445705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03808"/>
        <c:crosses val="autoZero"/>
        <c:auto val="1"/>
        <c:lblAlgn val="ctr"/>
        <c:lblOffset val="100"/>
        <c:noMultiLvlLbl val="0"/>
      </c:catAx>
      <c:valAx>
        <c:axId val="446903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0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'26'!$T$212:$AX$212</c:f>
              <c:numCache>
                <c:formatCode>General</c:formatCode>
                <c:ptCount val="31"/>
              </c:numCache>
            </c:numRef>
          </c:cat>
          <c:val>
            <c:numRef>
              <c:f>'26'!$U$213:$AX$213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236864"/>
        <c:axId val="459238784"/>
      </c:lineChart>
      <c:catAx>
        <c:axId val="459236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38784"/>
        <c:crosses val="autoZero"/>
        <c:auto val="1"/>
        <c:lblAlgn val="ctr"/>
        <c:lblOffset val="100"/>
        <c:noMultiLvlLbl val="0"/>
      </c:catAx>
      <c:valAx>
        <c:axId val="459238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3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'27'!$T$212:$AX$212</c:f>
              <c:numCache>
                <c:formatCode>General</c:formatCode>
                <c:ptCount val="31"/>
              </c:numCache>
            </c:numRef>
          </c:cat>
          <c:val>
            <c:numRef>
              <c:f>'27'!$U$213:$AX$213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38848"/>
        <c:axId val="495040768"/>
      </c:lineChart>
      <c:catAx>
        <c:axId val="495038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40768"/>
        <c:crosses val="autoZero"/>
        <c:auto val="1"/>
        <c:lblAlgn val="ctr"/>
        <c:lblOffset val="100"/>
        <c:noMultiLvlLbl val="0"/>
      </c:catAx>
      <c:valAx>
        <c:axId val="495040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3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'28'!$T$212:$AX$212</c:f>
              <c:numCache>
                <c:formatCode>General</c:formatCode>
                <c:ptCount val="31"/>
              </c:numCache>
            </c:numRef>
          </c:cat>
          <c:val>
            <c:numRef>
              <c:f>'28'!$U$213:$AX$213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229888"/>
        <c:axId val="504231808"/>
      </c:lineChart>
      <c:catAx>
        <c:axId val="504229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31808"/>
        <c:crosses val="autoZero"/>
        <c:auto val="1"/>
        <c:lblAlgn val="ctr"/>
        <c:lblOffset val="100"/>
        <c:noMultiLvlLbl val="0"/>
      </c:catAx>
      <c:valAx>
        <c:axId val="504231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2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'29'!$T$212:$AX$212</c:f>
              <c:numCache>
                <c:formatCode>General</c:formatCode>
                <c:ptCount val="31"/>
              </c:numCache>
            </c:numRef>
          </c:cat>
          <c:val>
            <c:numRef>
              <c:f>'29'!$U$213:$AX$213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88640"/>
        <c:axId val="508690816"/>
      </c:lineChart>
      <c:catAx>
        <c:axId val="5086886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90816"/>
        <c:crosses val="autoZero"/>
        <c:auto val="1"/>
        <c:lblAlgn val="ctr"/>
        <c:lblOffset val="100"/>
        <c:noMultiLvlLbl val="0"/>
      </c:catAx>
      <c:valAx>
        <c:axId val="508690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8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'30'!$T$212:$AX$212</c:f>
              <c:numCache>
                <c:formatCode>General</c:formatCode>
                <c:ptCount val="31"/>
              </c:numCache>
            </c:numRef>
          </c:cat>
          <c:val>
            <c:numRef>
              <c:f>'30'!$U$213:$AX$213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207104"/>
        <c:axId val="508209024"/>
      </c:lineChart>
      <c:catAx>
        <c:axId val="50820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09024"/>
        <c:crosses val="autoZero"/>
        <c:auto val="1"/>
        <c:lblAlgn val="ctr"/>
        <c:lblOffset val="100"/>
        <c:noMultiLvlLbl val="0"/>
      </c:catAx>
      <c:valAx>
        <c:axId val="508209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0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'31'!$T$212:$AX$212</c:f>
              <c:numCache>
                <c:formatCode>General</c:formatCode>
                <c:ptCount val="31"/>
              </c:numCache>
            </c:numRef>
          </c:cat>
          <c:val>
            <c:numRef>
              <c:f>'31'!$U$213:$AX$213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228288"/>
        <c:axId val="521230208"/>
      </c:lineChart>
      <c:catAx>
        <c:axId val="521228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30208"/>
        <c:crosses val="autoZero"/>
        <c:auto val="1"/>
        <c:lblAlgn val="ctr"/>
        <c:lblOffset val="100"/>
        <c:noMultiLvlLbl val="0"/>
      </c:catAx>
      <c:valAx>
        <c:axId val="521230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2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'32'!$T$212:$AX$212</c:f>
              <c:numCache>
                <c:formatCode>General</c:formatCode>
                <c:ptCount val="31"/>
              </c:numCache>
            </c:numRef>
          </c:cat>
          <c:val>
            <c:numRef>
              <c:f>'32'!$U$213:$AX$213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603264"/>
        <c:axId val="534605184"/>
      </c:lineChart>
      <c:catAx>
        <c:axId val="534603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05184"/>
        <c:crosses val="autoZero"/>
        <c:auto val="1"/>
        <c:lblAlgn val="ctr"/>
        <c:lblOffset val="100"/>
        <c:noMultiLvlLbl val="0"/>
      </c:catAx>
      <c:valAx>
        <c:axId val="534605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0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Sample!$T$212:$AX$212</c:f>
              <c:numCache>
                <c:formatCode>General</c:formatCode>
                <c:ptCount val="31"/>
              </c:numCache>
            </c:numRef>
          </c:cat>
          <c:val>
            <c:numRef>
              <c:f>Sample!$U$213:$AX$213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74080"/>
        <c:axId val="560976256"/>
      </c:lineChart>
      <c:catAx>
        <c:axId val="560974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76256"/>
        <c:crosses val="autoZero"/>
        <c:auto val="1"/>
        <c:lblAlgn val="ctr"/>
        <c:lblOffset val="100"/>
        <c:noMultiLvlLbl val="0"/>
      </c:catAx>
      <c:valAx>
        <c:axId val="560976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7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8-08-Mang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new_sample"/>
      <sheetName val="Sheet1"/>
      <sheetName val="Sheet2"/>
      <sheetName val="Sheet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11">
          <cell r="A211" t="str">
            <v>IPP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S40" sqref="S4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e">
        <f ca="1">"2079/"&amp;"02/"&amp;INT(MID(CELL("filename",D6),FIND("]",CELL("filename",D6))+1,200))</f>
        <v>#VALUE!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/>
      <c r="C11" s="50"/>
      <c r="D11" s="50"/>
      <c r="E11" s="51"/>
      <c r="F11" s="51"/>
      <c r="G11" s="51"/>
      <c r="H11" s="51"/>
      <c r="I11" s="51"/>
      <c r="J11" s="52"/>
      <c r="K11" s="52"/>
      <c r="L11" s="52"/>
      <c r="M11" s="51"/>
      <c r="N11" s="51"/>
      <c r="O11" s="51"/>
      <c r="P11" s="51"/>
      <c r="Q11" s="51"/>
      <c r="R11" s="51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4">
        <v>456</v>
      </c>
      <c r="AH11" s="55">
        <f>MAX(B11:AF11)</f>
        <v>0</v>
      </c>
      <c r="AI11" s="56">
        <f>MIN(B11:AF11)</f>
        <v>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9">
        <v>60</v>
      </c>
      <c r="AH12" s="55">
        <f t="shared" ref="AH12:AH75" si="2">MAX(B12:AF12)</f>
        <v>0</v>
      </c>
      <c r="AI12" s="56">
        <f t="shared" ref="AI12:AI75" si="3">MIN(B12:AF12)</f>
        <v>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9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9">
        <v>50</v>
      </c>
      <c r="AH14" s="55">
        <f t="shared" si="2"/>
        <v>0</v>
      </c>
      <c r="AI14" s="56">
        <f t="shared" si="3"/>
        <v>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60">
        <v>45</v>
      </c>
      <c r="AH15" s="55">
        <f t="shared" si="2"/>
        <v>0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9">
        <v>45</v>
      </c>
      <c r="AH16" s="55">
        <f t="shared" si="2"/>
        <v>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9">
        <v>36</v>
      </c>
      <c r="AH18" s="55">
        <f t="shared" si="2"/>
        <v>0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9">
        <v>30</v>
      </c>
      <c r="AH19" s="55">
        <f t="shared" si="2"/>
        <v>0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9">
        <v>27</v>
      </c>
      <c r="AH20" s="55">
        <f t="shared" si="2"/>
        <v>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9">
        <v>25</v>
      </c>
      <c r="AH21" s="55">
        <f t="shared" si="2"/>
        <v>0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9">
        <v>25</v>
      </c>
      <c r="AH22" s="55">
        <f t="shared" si="2"/>
        <v>0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9">
        <v>25</v>
      </c>
      <c r="AH23" s="55">
        <f t="shared" si="2"/>
        <v>0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9">
        <v>25</v>
      </c>
      <c r="AH24" s="55">
        <f t="shared" si="2"/>
        <v>0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9">
        <v>24.2</v>
      </c>
      <c r="AH25" s="55">
        <f t="shared" si="2"/>
        <v>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9">
        <v>20</v>
      </c>
      <c r="AH26" s="55">
        <f t="shared" si="2"/>
        <v>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9">
        <v>23.5</v>
      </c>
      <c r="AH27" s="55">
        <f t="shared" si="2"/>
        <v>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9">
        <v>22.2</v>
      </c>
      <c r="AH28" s="55">
        <f t="shared" si="2"/>
        <v>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9">
        <v>22.1</v>
      </c>
      <c r="AH30" s="55">
        <f t="shared" si="2"/>
        <v>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60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64">
        <v>22</v>
      </c>
      <c r="AH32" s="55">
        <f t="shared" si="2"/>
        <v>0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64">
        <v>11</v>
      </c>
      <c r="AH33" s="55">
        <f t="shared" si="2"/>
        <v>0</v>
      </c>
      <c r="AI33" s="56">
        <f t="shared" si="3"/>
        <v>0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64">
        <v>20</v>
      </c>
      <c r="AH34" s="55">
        <f t="shared" si="2"/>
        <v>0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4">
        <v>85</v>
      </c>
      <c r="AH36" s="55">
        <f t="shared" si="2"/>
        <v>0</v>
      </c>
      <c r="AI36" s="56">
        <f t="shared" si="3"/>
        <v>0</v>
      </c>
      <c r="AK36" s="57"/>
    </row>
    <row r="37" spans="1:88" ht="15.75" thickBot="1" x14ac:dyDescent="0.3">
      <c r="A37" s="67" t="s">
        <v>45</v>
      </c>
      <c r="B37" s="68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4">
        <v>240</v>
      </c>
      <c r="AH37" s="55">
        <f t="shared" si="2"/>
        <v>0</v>
      </c>
      <c r="AI37" s="56">
        <f t="shared" si="3"/>
        <v>0</v>
      </c>
      <c r="AK37" s="57"/>
    </row>
    <row r="38" spans="1:88" ht="15.75" thickBot="1" x14ac:dyDescent="0.3">
      <c r="A38" s="69" t="s">
        <v>46</v>
      </c>
      <c r="B38" s="70">
        <f t="shared" ref="B38:L38" si="4">SUM(B11:B36)</f>
        <v>0</v>
      </c>
      <c r="C38" s="70">
        <f t="shared" si="4"/>
        <v>0</v>
      </c>
      <c r="D38" s="70">
        <f t="shared" si="4"/>
        <v>0</v>
      </c>
      <c r="E38" s="70">
        <f t="shared" si="4"/>
        <v>0</v>
      </c>
      <c r="F38" s="70">
        <f t="shared" si="4"/>
        <v>0</v>
      </c>
      <c r="G38" s="70">
        <f t="shared" si="4"/>
        <v>0</v>
      </c>
      <c r="H38" s="70">
        <f t="shared" si="4"/>
        <v>0</v>
      </c>
      <c r="I38" s="70">
        <f t="shared" si="4"/>
        <v>0</v>
      </c>
      <c r="J38" s="70">
        <f t="shared" si="4"/>
        <v>0</v>
      </c>
      <c r="K38" s="70">
        <f t="shared" si="4"/>
        <v>0</v>
      </c>
      <c r="L38" s="70">
        <f t="shared" si="4"/>
        <v>0</v>
      </c>
      <c r="M38" s="70">
        <f t="shared" ref="M38:S38" si="5">SUM(M11:M36)</f>
        <v>0</v>
      </c>
      <c r="N38" s="70">
        <f t="shared" si="5"/>
        <v>0</v>
      </c>
      <c r="O38" s="70">
        <f t="shared" si="5"/>
        <v>0</v>
      </c>
      <c r="P38" s="70">
        <f t="shared" si="5"/>
        <v>0</v>
      </c>
      <c r="Q38" s="70">
        <f t="shared" si="5"/>
        <v>0</v>
      </c>
      <c r="R38" s="70">
        <f t="shared" si="5"/>
        <v>0</v>
      </c>
      <c r="S38" s="70">
        <f t="shared" si="5"/>
        <v>0</v>
      </c>
      <c r="T38" s="70">
        <f t="shared" ref="T38:AF38" si="6">SUM(T11:T36)</f>
        <v>0</v>
      </c>
      <c r="U38" s="70">
        <f t="shared" si="6"/>
        <v>0</v>
      </c>
      <c r="V38" s="70">
        <f t="shared" si="6"/>
        <v>0</v>
      </c>
      <c r="W38" s="70">
        <f t="shared" si="6"/>
        <v>0</v>
      </c>
      <c r="X38" s="70">
        <f t="shared" si="6"/>
        <v>0</v>
      </c>
      <c r="Y38" s="70">
        <f t="shared" si="6"/>
        <v>0</v>
      </c>
      <c r="Z38" s="70">
        <f t="shared" si="6"/>
        <v>0</v>
      </c>
      <c r="AA38" s="70">
        <f t="shared" si="6"/>
        <v>0</v>
      </c>
      <c r="AB38" s="70">
        <f t="shared" si="6"/>
        <v>0</v>
      </c>
      <c r="AC38" s="70">
        <f t="shared" si="6"/>
        <v>0</v>
      </c>
      <c r="AD38" s="70">
        <f t="shared" si="6"/>
        <v>0</v>
      </c>
      <c r="AE38" s="70">
        <f t="shared" si="6"/>
        <v>0</v>
      </c>
      <c r="AF38" s="70">
        <f t="shared" si="6"/>
        <v>0</v>
      </c>
      <c r="AG38" s="64">
        <f>SUM(AG11:AG37)</f>
        <v>1492.8299999999997</v>
      </c>
      <c r="AH38" s="55">
        <f t="shared" si="2"/>
        <v>0</v>
      </c>
      <c r="AI38" s="56">
        <f t="shared" si="3"/>
        <v>0</v>
      </c>
      <c r="AK38" s="57"/>
    </row>
    <row r="39" spans="1:88" x14ac:dyDescent="0.25">
      <c r="A39" s="58" t="s">
        <v>47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60">
        <v>144</v>
      </c>
      <c r="AH39" s="55">
        <f t="shared" si="2"/>
        <v>0</v>
      </c>
      <c r="AI39" s="56">
        <f t="shared" si="3"/>
        <v>0</v>
      </c>
      <c r="AK39" s="57"/>
    </row>
    <row r="40" spans="1:88" x14ac:dyDescent="0.25">
      <c r="A40" s="63" t="s">
        <v>48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51"/>
      <c r="N40" s="51"/>
      <c r="O40" s="51"/>
      <c r="P40" s="51"/>
      <c r="Q40" s="51"/>
      <c r="R40" s="51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64">
        <v>70</v>
      </c>
      <c r="AH40" s="55">
        <f t="shared" si="2"/>
        <v>0</v>
      </c>
      <c r="AI40" s="56">
        <f t="shared" si="3"/>
        <v>0</v>
      </c>
      <c r="AK40" s="57"/>
    </row>
    <row r="41" spans="1:88" x14ac:dyDescent="0.25">
      <c r="A41" s="63" t="s">
        <v>49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51"/>
      <c r="N41" s="51"/>
      <c r="O41" s="51"/>
      <c r="P41" s="51"/>
      <c r="Q41" s="51"/>
      <c r="R41" s="51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64">
        <v>69</v>
      </c>
      <c r="AH41" s="55">
        <f t="shared" si="2"/>
        <v>0</v>
      </c>
      <c r="AI41" s="56">
        <f t="shared" si="3"/>
        <v>0</v>
      </c>
      <c r="AK41" s="57"/>
    </row>
    <row r="42" spans="1:88" x14ac:dyDescent="0.25">
      <c r="A42" s="63" t="s">
        <v>50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51"/>
      <c r="N42" s="51"/>
      <c r="O42" s="51"/>
      <c r="P42" s="51"/>
      <c r="Q42" s="51"/>
      <c r="R42" s="51"/>
      <c r="S42" s="51"/>
      <c r="T42" s="51"/>
      <c r="U42" s="51"/>
      <c r="V42" s="49"/>
      <c r="W42" s="49"/>
      <c r="X42" s="49"/>
      <c r="Y42" s="49"/>
      <c r="Z42" s="49"/>
      <c r="AA42" s="49"/>
      <c r="AB42" s="66"/>
      <c r="AC42" s="66"/>
      <c r="AD42" s="66"/>
      <c r="AE42" s="66"/>
      <c r="AF42" s="66"/>
      <c r="AG42" s="64">
        <v>60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3" t="s">
        <v>51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51"/>
      <c r="N43" s="51"/>
      <c r="O43" s="51"/>
      <c r="P43" s="51"/>
      <c r="Q43" s="51"/>
      <c r="R43" s="51"/>
      <c r="S43" s="51"/>
      <c r="T43" s="51"/>
      <c r="U43" s="51"/>
      <c r="V43" s="49"/>
      <c r="W43" s="49"/>
      <c r="X43" s="49"/>
      <c r="Y43" s="49"/>
      <c r="Z43" s="49"/>
      <c r="AA43" s="49"/>
      <c r="AB43" s="66"/>
      <c r="AC43" s="66"/>
      <c r="AD43" s="66"/>
      <c r="AE43" s="66"/>
      <c r="AF43" s="66"/>
      <c r="AG43" s="64">
        <v>30</v>
      </c>
      <c r="AH43" s="55">
        <f t="shared" si="2"/>
        <v>0</v>
      </c>
      <c r="AI43" s="56">
        <f t="shared" si="3"/>
        <v>0</v>
      </c>
      <c r="AK43" s="57"/>
    </row>
    <row r="44" spans="1:88" x14ac:dyDescent="0.25">
      <c r="A44" s="63" t="s">
        <v>52</v>
      </c>
      <c r="B44" s="49"/>
      <c r="C44" s="49"/>
      <c r="D44" s="49"/>
      <c r="E44" s="49"/>
      <c r="F44" s="66"/>
      <c r="G44" s="66"/>
      <c r="H44" s="66"/>
      <c r="I44" s="66"/>
      <c r="J44" s="66"/>
      <c r="K44" s="66"/>
      <c r="L44" s="66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49"/>
      <c r="AC44" s="49"/>
      <c r="AD44" s="49"/>
      <c r="AE44" s="49"/>
      <c r="AF44" s="49"/>
      <c r="AG44" s="64">
        <v>25</v>
      </c>
      <c r="AH44" s="55">
        <f t="shared" si="2"/>
        <v>0</v>
      </c>
      <c r="AI44" s="56">
        <f t="shared" si="3"/>
        <v>0</v>
      </c>
      <c r="AK44" s="57"/>
    </row>
    <row r="45" spans="1:88" x14ac:dyDescent="0.25">
      <c r="A45" s="63" t="s">
        <v>53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49"/>
      <c r="AC45" s="49"/>
      <c r="AD45" s="49"/>
      <c r="AE45" s="49"/>
      <c r="AF45" s="49"/>
      <c r="AG45" s="64">
        <v>24</v>
      </c>
      <c r="AH45" s="55">
        <f t="shared" si="2"/>
        <v>0</v>
      </c>
      <c r="AI45" s="56">
        <f t="shared" si="3"/>
        <v>0</v>
      </c>
      <c r="AK45" s="57"/>
    </row>
    <row r="46" spans="1:88" x14ac:dyDescent="0.25">
      <c r="A46" s="63" t="s">
        <v>54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49"/>
      <c r="AC46" s="49"/>
      <c r="AD46" s="49"/>
      <c r="AE46" s="49"/>
      <c r="AF46" s="49"/>
      <c r="AG46" s="64">
        <v>15</v>
      </c>
      <c r="AH46" s="55">
        <f t="shared" si="2"/>
        <v>0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49"/>
      <c r="AC47" s="49"/>
      <c r="AD47" s="49"/>
      <c r="AE47" s="49"/>
      <c r="AF47" s="49"/>
      <c r="AG47" s="64">
        <v>14.1</v>
      </c>
      <c r="AH47" s="55">
        <f t="shared" si="2"/>
        <v>0</v>
      </c>
      <c r="AI47" s="56">
        <f t="shared" si="3"/>
        <v>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49"/>
      <c r="AC48" s="49"/>
      <c r="AD48" s="49"/>
      <c r="AE48" s="49"/>
      <c r="AF48" s="49"/>
      <c r="AG48" s="64">
        <v>14</v>
      </c>
      <c r="AH48" s="55">
        <f t="shared" si="2"/>
        <v>0</v>
      </c>
      <c r="AI48" s="56">
        <f t="shared" si="3"/>
        <v>0</v>
      </c>
      <c r="AK48" s="57"/>
    </row>
    <row r="49" spans="1:37" x14ac:dyDescent="0.25">
      <c r="A49" s="63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49"/>
      <c r="AC49" s="49"/>
      <c r="AD49" s="49"/>
      <c r="AE49" s="49"/>
      <c r="AF49" s="49"/>
      <c r="AG49" s="64">
        <v>10.050000000000001</v>
      </c>
      <c r="AH49" s="55">
        <f t="shared" si="2"/>
        <v>0</v>
      </c>
      <c r="AI49" s="56">
        <f t="shared" si="3"/>
        <v>0</v>
      </c>
      <c r="AK49" s="57"/>
    </row>
    <row r="50" spans="1:37" x14ac:dyDescent="0.25">
      <c r="A50" s="63" t="s">
        <v>58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49"/>
      <c r="AC50" s="49"/>
      <c r="AD50" s="49"/>
      <c r="AE50" s="49"/>
      <c r="AF50" s="49"/>
      <c r="AG50" s="64">
        <v>6.2</v>
      </c>
      <c r="AH50" s="55">
        <f t="shared" si="2"/>
        <v>0</v>
      </c>
      <c r="AI50" s="56">
        <f t="shared" si="3"/>
        <v>0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3.54</v>
      </c>
      <c r="C52" s="70">
        <f t="shared" ref="C52:AF52" si="8">SUM(C39:C51)</f>
        <v>3.54</v>
      </c>
      <c r="D52" s="70">
        <f t="shared" si="8"/>
        <v>3.54</v>
      </c>
      <c r="E52" s="70">
        <f t="shared" si="8"/>
        <v>3.54</v>
      </c>
      <c r="F52" s="70">
        <f t="shared" si="8"/>
        <v>3.54</v>
      </c>
      <c r="G52" s="70">
        <f t="shared" si="8"/>
        <v>3.54</v>
      </c>
      <c r="H52" s="70">
        <f t="shared" si="8"/>
        <v>3.54</v>
      </c>
      <c r="I52" s="70">
        <f t="shared" si="8"/>
        <v>3.54</v>
      </c>
      <c r="J52" s="70">
        <f t="shared" si="8"/>
        <v>3.54</v>
      </c>
      <c r="K52" s="70">
        <f t="shared" si="8"/>
        <v>3.54</v>
      </c>
      <c r="L52" s="70">
        <f t="shared" si="8"/>
        <v>3.54</v>
      </c>
      <c r="M52" s="70">
        <f t="shared" si="8"/>
        <v>3.54</v>
      </c>
      <c r="N52" s="70">
        <f t="shared" si="8"/>
        <v>3.54</v>
      </c>
      <c r="O52" s="70">
        <f t="shared" si="8"/>
        <v>3.54</v>
      </c>
      <c r="P52" s="70">
        <f t="shared" si="8"/>
        <v>3.54</v>
      </c>
      <c r="Q52" s="70">
        <f t="shared" si="8"/>
        <v>3.54</v>
      </c>
      <c r="R52" s="70">
        <f t="shared" si="8"/>
        <v>3.54</v>
      </c>
      <c r="S52" s="70">
        <f t="shared" si="8"/>
        <v>3.54</v>
      </c>
      <c r="T52" s="70">
        <f t="shared" si="8"/>
        <v>3.54</v>
      </c>
      <c r="U52" s="70">
        <f t="shared" si="8"/>
        <v>3.54</v>
      </c>
      <c r="V52" s="70">
        <f t="shared" si="8"/>
        <v>3.54</v>
      </c>
      <c r="W52" s="70">
        <f t="shared" si="8"/>
        <v>3.54</v>
      </c>
      <c r="X52" s="70">
        <f t="shared" si="8"/>
        <v>3.54</v>
      </c>
      <c r="Y52" s="70">
        <f t="shared" si="8"/>
        <v>3.54</v>
      </c>
      <c r="Z52" s="70">
        <f t="shared" si="8"/>
        <v>3.54</v>
      </c>
      <c r="AA52" s="70">
        <f t="shared" si="8"/>
        <v>3.54</v>
      </c>
      <c r="AB52" s="70">
        <f t="shared" si="8"/>
        <v>3.54</v>
      </c>
      <c r="AC52" s="70">
        <f t="shared" si="8"/>
        <v>3.54</v>
      </c>
      <c r="AD52" s="70">
        <f t="shared" si="8"/>
        <v>3.54</v>
      </c>
      <c r="AE52" s="70">
        <f t="shared" si="8"/>
        <v>3.54</v>
      </c>
      <c r="AF52" s="70">
        <f t="shared" si="8"/>
        <v>3.54</v>
      </c>
      <c r="AG52" s="74">
        <f>SUM(AG39:AG51)</f>
        <v>489.91</v>
      </c>
      <c r="AH52" s="55">
        <f t="shared" si="2"/>
        <v>3.54</v>
      </c>
      <c r="AI52" s="56">
        <f t="shared" si="3"/>
        <v>3.54</v>
      </c>
      <c r="AK52" s="57"/>
    </row>
    <row r="53" spans="1:37" x14ac:dyDescent="0.25">
      <c r="A53" s="58" t="s">
        <v>61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60">
        <v>60</v>
      </c>
      <c r="AH53" s="55">
        <f t="shared" si="2"/>
        <v>0</v>
      </c>
      <c r="AI53" s="56">
        <f t="shared" si="3"/>
        <v>0</v>
      </c>
      <c r="AK53" s="57"/>
    </row>
    <row r="54" spans="1:37" x14ac:dyDescent="0.25">
      <c r="A54" s="63" t="s">
        <v>62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64">
        <v>32</v>
      </c>
      <c r="AH54" s="55">
        <f t="shared" si="2"/>
        <v>0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6">
        <v>14</v>
      </c>
      <c r="AH55" s="55">
        <f t="shared" si="2"/>
        <v>0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0</v>
      </c>
      <c r="C56" s="70">
        <f t="shared" si="9"/>
        <v>0</v>
      </c>
      <c r="D56" s="70">
        <f t="shared" si="9"/>
        <v>0</v>
      </c>
      <c r="E56" s="70">
        <f t="shared" si="9"/>
        <v>0</v>
      </c>
      <c r="F56" s="70">
        <f t="shared" si="9"/>
        <v>0</v>
      </c>
      <c r="G56" s="70">
        <f t="shared" si="9"/>
        <v>0</v>
      </c>
      <c r="H56" s="70">
        <f t="shared" si="9"/>
        <v>0</v>
      </c>
      <c r="I56" s="70">
        <f t="shared" si="9"/>
        <v>0</v>
      </c>
      <c r="J56" s="70">
        <f t="shared" si="9"/>
        <v>0</v>
      </c>
      <c r="K56" s="70">
        <f t="shared" si="9"/>
        <v>0</v>
      </c>
      <c r="L56" s="70">
        <f t="shared" si="9"/>
        <v>0</v>
      </c>
      <c r="M56" s="70">
        <f t="shared" si="9"/>
        <v>0</v>
      </c>
      <c r="N56" s="70">
        <f t="shared" si="9"/>
        <v>0</v>
      </c>
      <c r="O56" s="70">
        <f t="shared" si="9"/>
        <v>0</v>
      </c>
      <c r="P56" s="70">
        <f t="shared" si="9"/>
        <v>0</v>
      </c>
      <c r="Q56" s="70">
        <f t="shared" si="9"/>
        <v>0</v>
      </c>
      <c r="R56" s="70">
        <f t="shared" si="9"/>
        <v>0</v>
      </c>
      <c r="S56" s="70">
        <f t="shared" si="9"/>
        <v>0</v>
      </c>
      <c r="T56" s="70">
        <f t="shared" si="9"/>
        <v>0</v>
      </c>
      <c r="U56" s="70">
        <f t="shared" si="9"/>
        <v>0</v>
      </c>
      <c r="V56" s="70">
        <f t="shared" si="9"/>
        <v>0</v>
      </c>
      <c r="W56" s="70">
        <f t="shared" si="9"/>
        <v>0</v>
      </c>
      <c r="X56" s="70">
        <f t="shared" si="9"/>
        <v>0</v>
      </c>
      <c r="Y56" s="70">
        <f t="shared" si="9"/>
        <v>0</v>
      </c>
      <c r="Z56" s="70">
        <f t="shared" si="9"/>
        <v>0</v>
      </c>
      <c r="AA56" s="70">
        <f t="shared" si="9"/>
        <v>0</v>
      </c>
      <c r="AB56" s="70">
        <f t="shared" si="9"/>
        <v>0</v>
      </c>
      <c r="AC56" s="70">
        <f t="shared" si="9"/>
        <v>0</v>
      </c>
      <c r="AD56" s="70">
        <f t="shared" si="9"/>
        <v>0</v>
      </c>
      <c r="AE56" s="70">
        <f t="shared" si="9"/>
        <v>0</v>
      </c>
      <c r="AF56" s="70">
        <f t="shared" si="9"/>
        <v>0</v>
      </c>
      <c r="AG56" s="74">
        <f>SUM(AG53:AG55)</f>
        <v>106</v>
      </c>
      <c r="AH56" s="55">
        <f t="shared" si="2"/>
        <v>0</v>
      </c>
      <c r="AI56" s="56">
        <f t="shared" si="3"/>
        <v>0</v>
      </c>
      <c r="AK56" s="57"/>
    </row>
    <row r="57" spans="1:37" x14ac:dyDescent="0.25">
      <c r="A57" s="58" t="s">
        <v>65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60"/>
      <c r="AH57" s="55">
        <f t="shared" si="2"/>
        <v>0</v>
      </c>
      <c r="AI57" s="56">
        <f t="shared" si="3"/>
        <v>0</v>
      </c>
      <c r="AK57" s="57"/>
    </row>
    <row r="58" spans="1:37" x14ac:dyDescent="0.25">
      <c r="A58" s="63" t="s">
        <v>66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77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3" t="s">
        <v>68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7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63" t="s">
        <v>71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0</v>
      </c>
      <c r="C68" s="70">
        <f t="shared" ref="C68:AF68" si="10">SUMIF(C57:C67,"&gt;0")</f>
        <v>0</v>
      </c>
      <c r="D68" s="70">
        <f t="shared" si="10"/>
        <v>0</v>
      </c>
      <c r="E68" s="70">
        <f t="shared" si="10"/>
        <v>0</v>
      </c>
      <c r="F68" s="70">
        <f t="shared" si="10"/>
        <v>0</v>
      </c>
      <c r="G68" s="70">
        <f t="shared" si="10"/>
        <v>0</v>
      </c>
      <c r="H68" s="70">
        <f t="shared" si="10"/>
        <v>0</v>
      </c>
      <c r="I68" s="70">
        <f t="shared" si="10"/>
        <v>0</v>
      </c>
      <c r="J68" s="70">
        <f t="shared" si="10"/>
        <v>0</v>
      </c>
      <c r="K68" s="70">
        <f t="shared" si="10"/>
        <v>0</v>
      </c>
      <c r="L68" s="70">
        <f t="shared" si="10"/>
        <v>0</v>
      </c>
      <c r="M68" s="70">
        <f t="shared" si="10"/>
        <v>0</v>
      </c>
      <c r="N68" s="70">
        <f t="shared" si="10"/>
        <v>0</v>
      </c>
      <c r="O68" s="70">
        <f t="shared" si="10"/>
        <v>0</v>
      </c>
      <c r="P68" s="70">
        <f t="shared" si="10"/>
        <v>0</v>
      </c>
      <c r="Q68" s="70">
        <f t="shared" si="10"/>
        <v>0</v>
      </c>
      <c r="R68" s="70">
        <f t="shared" si="10"/>
        <v>0</v>
      </c>
      <c r="S68" s="70">
        <f t="shared" si="10"/>
        <v>0</v>
      </c>
      <c r="T68" s="70">
        <f t="shared" si="10"/>
        <v>0</v>
      </c>
      <c r="U68" s="70">
        <f t="shared" si="10"/>
        <v>0</v>
      </c>
      <c r="V68" s="70">
        <f t="shared" si="10"/>
        <v>0</v>
      </c>
      <c r="W68" s="70">
        <f t="shared" si="10"/>
        <v>0</v>
      </c>
      <c r="X68" s="70">
        <f t="shared" si="10"/>
        <v>0</v>
      </c>
      <c r="Y68" s="70">
        <f t="shared" si="10"/>
        <v>0</v>
      </c>
      <c r="Z68" s="70">
        <f t="shared" si="10"/>
        <v>0</v>
      </c>
      <c r="AA68" s="70">
        <f t="shared" si="10"/>
        <v>0</v>
      </c>
      <c r="AB68" s="70">
        <f t="shared" si="10"/>
        <v>0</v>
      </c>
      <c r="AC68" s="70">
        <f t="shared" si="10"/>
        <v>0</v>
      </c>
      <c r="AD68" s="70">
        <f t="shared" si="10"/>
        <v>0</v>
      </c>
      <c r="AE68" s="70">
        <f t="shared" si="10"/>
        <v>0</v>
      </c>
      <c r="AF68" s="70">
        <f t="shared" si="10"/>
        <v>0</v>
      </c>
      <c r="AG68" s="74">
        <f>SUM(AG57:AG67)</f>
        <v>0</v>
      </c>
      <c r="AH68" s="55">
        <f t="shared" si="2"/>
        <v>0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3.54</v>
      </c>
      <c r="C73" s="84">
        <f t="shared" ref="C73:AF73" si="11">C38+C52+C68+C72</f>
        <v>3.54</v>
      </c>
      <c r="D73" s="84">
        <f t="shared" si="11"/>
        <v>3.54</v>
      </c>
      <c r="E73" s="84">
        <f t="shared" si="11"/>
        <v>3.54</v>
      </c>
      <c r="F73" s="84">
        <f t="shared" si="11"/>
        <v>3.54</v>
      </c>
      <c r="G73" s="84">
        <f t="shared" si="11"/>
        <v>3.54</v>
      </c>
      <c r="H73" s="84">
        <f t="shared" si="11"/>
        <v>3.54</v>
      </c>
      <c r="I73" s="84">
        <f t="shared" si="11"/>
        <v>3.54</v>
      </c>
      <c r="J73" s="84">
        <f t="shared" si="11"/>
        <v>3.54</v>
      </c>
      <c r="K73" s="84">
        <f t="shared" si="11"/>
        <v>3.54</v>
      </c>
      <c r="L73" s="84">
        <f t="shared" si="11"/>
        <v>3.54</v>
      </c>
      <c r="M73" s="84">
        <f t="shared" si="11"/>
        <v>3.54</v>
      </c>
      <c r="N73" s="84">
        <f t="shared" si="11"/>
        <v>3.54</v>
      </c>
      <c r="O73" s="84">
        <f t="shared" si="11"/>
        <v>3.54</v>
      </c>
      <c r="P73" s="84">
        <f t="shared" si="11"/>
        <v>3.54</v>
      </c>
      <c r="Q73" s="84">
        <f t="shared" si="11"/>
        <v>3.54</v>
      </c>
      <c r="R73" s="84">
        <f t="shared" si="11"/>
        <v>3.54</v>
      </c>
      <c r="S73" s="84">
        <f t="shared" si="11"/>
        <v>3.54</v>
      </c>
      <c r="T73" s="84">
        <f t="shared" si="11"/>
        <v>3.54</v>
      </c>
      <c r="U73" s="84">
        <f t="shared" si="11"/>
        <v>3.54</v>
      </c>
      <c r="V73" s="84">
        <f t="shared" si="11"/>
        <v>3.54</v>
      </c>
      <c r="W73" s="84">
        <f t="shared" si="11"/>
        <v>3.54</v>
      </c>
      <c r="X73" s="84">
        <f t="shared" si="11"/>
        <v>3.54</v>
      </c>
      <c r="Y73" s="84">
        <f t="shared" si="11"/>
        <v>3.54</v>
      </c>
      <c r="Z73" s="84">
        <f t="shared" si="11"/>
        <v>3.54</v>
      </c>
      <c r="AA73" s="84">
        <f t="shared" si="11"/>
        <v>3.54</v>
      </c>
      <c r="AB73" s="84">
        <f t="shared" si="11"/>
        <v>3.54</v>
      </c>
      <c r="AC73" s="84">
        <f t="shared" si="11"/>
        <v>3.54</v>
      </c>
      <c r="AD73" s="84">
        <f t="shared" si="11"/>
        <v>3.54</v>
      </c>
      <c r="AE73" s="84">
        <f t="shared" si="11"/>
        <v>3.54</v>
      </c>
      <c r="AF73" s="84">
        <f t="shared" si="11"/>
        <v>3.54</v>
      </c>
      <c r="AG73" s="84">
        <f t="shared" ref="AG73" si="12">AG68+AG56+AG52+AG38+AG72</f>
        <v>2144.14</v>
      </c>
      <c r="AH73" s="55">
        <f t="shared" si="2"/>
        <v>3.54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3.54</v>
      </c>
      <c r="C75" s="84">
        <f t="shared" ref="C75:AF75" si="13">C73+C74</f>
        <v>3.54</v>
      </c>
      <c r="D75" s="84">
        <f t="shared" si="13"/>
        <v>3.54</v>
      </c>
      <c r="E75" s="84">
        <f t="shared" si="13"/>
        <v>3.54</v>
      </c>
      <c r="F75" s="84">
        <f t="shared" si="13"/>
        <v>3.54</v>
      </c>
      <c r="G75" s="84">
        <f t="shared" si="13"/>
        <v>3.54</v>
      </c>
      <c r="H75" s="84">
        <f t="shared" si="13"/>
        <v>3.54</v>
      </c>
      <c r="I75" s="84">
        <f t="shared" si="13"/>
        <v>3.54</v>
      </c>
      <c r="J75" s="84">
        <f t="shared" si="13"/>
        <v>3.54</v>
      </c>
      <c r="K75" s="84">
        <f t="shared" si="13"/>
        <v>3.54</v>
      </c>
      <c r="L75" s="84">
        <f t="shared" si="13"/>
        <v>3.54</v>
      </c>
      <c r="M75" s="84">
        <f t="shared" si="13"/>
        <v>3.54</v>
      </c>
      <c r="N75" s="84">
        <f t="shared" si="13"/>
        <v>3.54</v>
      </c>
      <c r="O75" s="84">
        <f t="shared" si="13"/>
        <v>3.54</v>
      </c>
      <c r="P75" s="84">
        <f t="shared" si="13"/>
        <v>3.54</v>
      </c>
      <c r="Q75" s="84">
        <f t="shared" si="13"/>
        <v>3.54</v>
      </c>
      <c r="R75" s="84">
        <f t="shared" si="13"/>
        <v>3.54</v>
      </c>
      <c r="S75" s="84">
        <f t="shared" si="13"/>
        <v>3.54</v>
      </c>
      <c r="T75" s="84">
        <f t="shared" si="13"/>
        <v>3.54</v>
      </c>
      <c r="U75" s="84">
        <f t="shared" si="13"/>
        <v>3.54</v>
      </c>
      <c r="V75" s="84">
        <f t="shared" si="13"/>
        <v>3.54</v>
      </c>
      <c r="W75" s="84">
        <f t="shared" si="13"/>
        <v>3.54</v>
      </c>
      <c r="X75" s="84">
        <f t="shared" si="13"/>
        <v>3.54</v>
      </c>
      <c r="Y75" s="84">
        <f t="shared" si="13"/>
        <v>3.54</v>
      </c>
      <c r="Z75" s="84">
        <f t="shared" si="13"/>
        <v>3.54</v>
      </c>
      <c r="AA75" s="84">
        <f t="shared" si="13"/>
        <v>3.54</v>
      </c>
      <c r="AB75" s="84">
        <f t="shared" si="13"/>
        <v>3.54</v>
      </c>
      <c r="AC75" s="84">
        <f t="shared" si="13"/>
        <v>3.54</v>
      </c>
      <c r="AD75" s="84">
        <f t="shared" si="13"/>
        <v>3.54</v>
      </c>
      <c r="AE75" s="84">
        <f t="shared" si="13"/>
        <v>3.54</v>
      </c>
      <c r="AF75" s="84">
        <f t="shared" si="13"/>
        <v>3.54</v>
      </c>
      <c r="AG75" s="74">
        <f>AG72+AG68+AG56+AG52+AG38+AG74</f>
        <v>2144.14</v>
      </c>
      <c r="AH75" s="55">
        <f t="shared" si="2"/>
        <v>3.54</v>
      </c>
      <c r="AI75" s="56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0</v>
      </c>
      <c r="C79" s="78">
        <f t="shared" ref="C79:AF79" si="19">IF(C59&lt;0,C59*-1,0)</f>
        <v>0</v>
      </c>
      <c r="D79" s="78">
        <f t="shared" si="19"/>
        <v>0</v>
      </c>
      <c r="E79" s="78">
        <f t="shared" si="19"/>
        <v>0</v>
      </c>
      <c r="F79" s="78">
        <f t="shared" si="19"/>
        <v>0</v>
      </c>
      <c r="G79" s="78">
        <f t="shared" si="19"/>
        <v>0</v>
      </c>
      <c r="H79" s="78">
        <f t="shared" si="19"/>
        <v>0</v>
      </c>
      <c r="I79" s="78">
        <f t="shared" si="19"/>
        <v>0</v>
      </c>
      <c r="J79" s="78">
        <f t="shared" si="19"/>
        <v>0</v>
      </c>
      <c r="K79" s="78">
        <f t="shared" si="19"/>
        <v>0</v>
      </c>
      <c r="L79" s="78">
        <f t="shared" si="19"/>
        <v>0</v>
      </c>
      <c r="M79" s="78">
        <f t="shared" si="19"/>
        <v>0</v>
      </c>
      <c r="N79" s="78">
        <f t="shared" si="19"/>
        <v>0</v>
      </c>
      <c r="O79" s="78">
        <f t="shared" si="19"/>
        <v>0</v>
      </c>
      <c r="P79" s="78">
        <f t="shared" si="19"/>
        <v>0</v>
      </c>
      <c r="Q79" s="78">
        <f t="shared" si="19"/>
        <v>0</v>
      </c>
      <c r="R79" s="78">
        <f t="shared" si="19"/>
        <v>0</v>
      </c>
      <c r="S79" s="78">
        <f t="shared" si="19"/>
        <v>0</v>
      </c>
      <c r="T79" s="78">
        <f t="shared" si="19"/>
        <v>0</v>
      </c>
      <c r="U79" s="78">
        <f t="shared" si="19"/>
        <v>0</v>
      </c>
      <c r="V79" s="78">
        <f t="shared" si="19"/>
        <v>0</v>
      </c>
      <c r="W79" s="78">
        <f t="shared" si="19"/>
        <v>0</v>
      </c>
      <c r="X79" s="78">
        <f t="shared" si="19"/>
        <v>0</v>
      </c>
      <c r="Y79" s="78">
        <f t="shared" si="19"/>
        <v>0</v>
      </c>
      <c r="Z79" s="78">
        <f t="shared" si="19"/>
        <v>0</v>
      </c>
      <c r="AA79" s="78">
        <f t="shared" si="19"/>
        <v>0</v>
      </c>
      <c r="AB79" s="78">
        <f t="shared" si="19"/>
        <v>0</v>
      </c>
      <c r="AC79" s="78">
        <f t="shared" si="19"/>
        <v>0</v>
      </c>
      <c r="AD79" s="78">
        <f t="shared" si="19"/>
        <v>0</v>
      </c>
      <c r="AE79" s="78">
        <f t="shared" si="19"/>
        <v>0</v>
      </c>
      <c r="AF79" s="78">
        <f t="shared" si="19"/>
        <v>0</v>
      </c>
      <c r="AG79" s="87"/>
      <c r="AH79" s="55">
        <f t="shared" si="15"/>
        <v>0</v>
      </c>
      <c r="AI79" s="56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0</v>
      </c>
      <c r="C82" s="70">
        <f t="shared" ref="C82:AG82" si="21">SUM(C76:C81)</f>
        <v>0</v>
      </c>
      <c r="D82" s="70">
        <f t="shared" si="21"/>
        <v>0</v>
      </c>
      <c r="E82" s="70">
        <f t="shared" si="21"/>
        <v>0</v>
      </c>
      <c r="F82" s="70">
        <f t="shared" si="21"/>
        <v>0</v>
      </c>
      <c r="G82" s="70">
        <f t="shared" si="21"/>
        <v>0</v>
      </c>
      <c r="H82" s="70">
        <f t="shared" si="21"/>
        <v>0</v>
      </c>
      <c r="I82" s="70">
        <f t="shared" si="21"/>
        <v>0</v>
      </c>
      <c r="J82" s="70">
        <f t="shared" si="21"/>
        <v>0</v>
      </c>
      <c r="K82" s="70">
        <f t="shared" si="21"/>
        <v>0</v>
      </c>
      <c r="L82" s="70">
        <f t="shared" si="21"/>
        <v>0</v>
      </c>
      <c r="M82" s="70">
        <f t="shared" si="21"/>
        <v>0</v>
      </c>
      <c r="N82" s="70">
        <f t="shared" si="21"/>
        <v>0</v>
      </c>
      <c r="O82" s="70">
        <f t="shared" si="21"/>
        <v>0</v>
      </c>
      <c r="P82" s="70">
        <f t="shared" si="21"/>
        <v>0</v>
      </c>
      <c r="Q82" s="70">
        <f t="shared" si="21"/>
        <v>0</v>
      </c>
      <c r="R82" s="70">
        <f t="shared" si="21"/>
        <v>0</v>
      </c>
      <c r="S82" s="70">
        <f t="shared" si="21"/>
        <v>0</v>
      </c>
      <c r="T82" s="70">
        <f t="shared" si="21"/>
        <v>0</v>
      </c>
      <c r="U82" s="70">
        <f t="shared" si="21"/>
        <v>0</v>
      </c>
      <c r="V82" s="70">
        <f t="shared" si="21"/>
        <v>0</v>
      </c>
      <c r="W82" s="70">
        <f t="shared" si="21"/>
        <v>0</v>
      </c>
      <c r="X82" s="70">
        <f t="shared" si="21"/>
        <v>0</v>
      </c>
      <c r="Y82" s="70">
        <f t="shared" si="21"/>
        <v>0</v>
      </c>
      <c r="Z82" s="70">
        <f t="shared" si="21"/>
        <v>0</v>
      </c>
      <c r="AA82" s="70">
        <f t="shared" si="21"/>
        <v>0</v>
      </c>
      <c r="AB82" s="70">
        <f t="shared" si="21"/>
        <v>0</v>
      </c>
      <c r="AC82" s="70">
        <f t="shared" si="21"/>
        <v>0</v>
      </c>
      <c r="AD82" s="70">
        <f t="shared" si="21"/>
        <v>0</v>
      </c>
      <c r="AE82" s="70">
        <f t="shared" si="21"/>
        <v>0</v>
      </c>
      <c r="AF82" s="70">
        <f t="shared" si="21"/>
        <v>0</v>
      </c>
      <c r="AG82" s="74">
        <f t="shared" si="21"/>
        <v>0</v>
      </c>
      <c r="AH82" s="55">
        <f t="shared" si="15"/>
        <v>0</v>
      </c>
      <c r="AI82" s="56">
        <f t="shared" si="16"/>
        <v>0</v>
      </c>
      <c r="AK82" s="57"/>
    </row>
    <row r="83" spans="1:88" s="1" customFormat="1" ht="15.75" thickBot="1" x14ac:dyDescent="0.3">
      <c r="A83" s="69" t="s">
        <v>88</v>
      </c>
      <c r="B83" s="70">
        <f>B68-B82</f>
        <v>0</v>
      </c>
      <c r="C83" s="70">
        <f t="shared" ref="C83:AF83" si="22">C68-C82</f>
        <v>0</v>
      </c>
      <c r="D83" s="70">
        <f t="shared" si="22"/>
        <v>0</v>
      </c>
      <c r="E83" s="70">
        <f t="shared" si="22"/>
        <v>0</v>
      </c>
      <c r="F83" s="70">
        <f t="shared" si="22"/>
        <v>0</v>
      </c>
      <c r="G83" s="70">
        <f t="shared" si="22"/>
        <v>0</v>
      </c>
      <c r="H83" s="70">
        <f t="shared" si="22"/>
        <v>0</v>
      </c>
      <c r="I83" s="70">
        <f t="shared" si="22"/>
        <v>0</v>
      </c>
      <c r="J83" s="70">
        <f t="shared" si="22"/>
        <v>0</v>
      </c>
      <c r="K83" s="70">
        <f t="shared" si="22"/>
        <v>0</v>
      </c>
      <c r="L83" s="70">
        <f t="shared" si="22"/>
        <v>0</v>
      </c>
      <c r="M83" s="70">
        <f t="shared" si="22"/>
        <v>0</v>
      </c>
      <c r="N83" s="70">
        <f t="shared" si="22"/>
        <v>0</v>
      </c>
      <c r="O83" s="70">
        <f t="shared" si="22"/>
        <v>0</v>
      </c>
      <c r="P83" s="70">
        <f t="shared" si="22"/>
        <v>0</v>
      </c>
      <c r="Q83" s="70">
        <f t="shared" si="22"/>
        <v>0</v>
      </c>
      <c r="R83" s="70">
        <f t="shared" si="22"/>
        <v>0</v>
      </c>
      <c r="S83" s="70">
        <f t="shared" si="22"/>
        <v>0</v>
      </c>
      <c r="T83" s="70">
        <f t="shared" si="22"/>
        <v>0</v>
      </c>
      <c r="U83" s="70">
        <f t="shared" si="22"/>
        <v>0</v>
      </c>
      <c r="V83" s="70">
        <f t="shared" si="22"/>
        <v>0</v>
      </c>
      <c r="W83" s="70">
        <f t="shared" si="22"/>
        <v>0</v>
      </c>
      <c r="X83" s="70">
        <f t="shared" si="22"/>
        <v>0</v>
      </c>
      <c r="Y83" s="70">
        <f t="shared" si="22"/>
        <v>0</v>
      </c>
      <c r="Z83" s="70">
        <f t="shared" si="22"/>
        <v>0</v>
      </c>
      <c r="AA83" s="70">
        <f t="shared" si="22"/>
        <v>0</v>
      </c>
      <c r="AB83" s="70">
        <f t="shared" si="22"/>
        <v>0</v>
      </c>
      <c r="AC83" s="70">
        <f t="shared" si="22"/>
        <v>0</v>
      </c>
      <c r="AD83" s="70">
        <f t="shared" si="22"/>
        <v>0</v>
      </c>
      <c r="AE83" s="70">
        <f t="shared" si="22"/>
        <v>0</v>
      </c>
      <c r="AF83" s="70">
        <f t="shared" si="22"/>
        <v>0</v>
      </c>
      <c r="AG83" s="74">
        <f t="shared" ref="AG83" si="23">SUM(AG70:AG82)</f>
        <v>4360.08</v>
      </c>
      <c r="AH83" s="55">
        <f t="shared" si="15"/>
        <v>0</v>
      </c>
      <c r="AI83" s="56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1"/>
      <c r="AH84" s="55">
        <f t="shared" si="15"/>
        <v>0</v>
      </c>
      <c r="AI84" s="56">
        <f t="shared" si="16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93"/>
      <c r="AH85" s="55">
        <f t="shared" si="15"/>
        <v>0</v>
      </c>
      <c r="AI85" s="56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93"/>
      <c r="AH86" s="55">
        <f t="shared" si="15"/>
        <v>0</v>
      </c>
      <c r="AI86" s="56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93"/>
      <c r="AH87" s="55">
        <f t="shared" si="15"/>
        <v>0</v>
      </c>
      <c r="AI87" s="56">
        <f t="shared" si="16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5"/>
        <v>0</v>
      </c>
      <c r="AI88" s="56">
        <f t="shared" si="16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6"/>
      <c r="AH89" s="55">
        <f t="shared" si="15"/>
        <v>0</v>
      </c>
      <c r="AI89" s="56">
        <f t="shared" si="16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93"/>
      <c r="AH90" s="55">
        <f t="shared" si="15"/>
        <v>0</v>
      </c>
      <c r="AI90" s="56">
        <f t="shared" si="16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8"/>
      <c r="AH91" s="55">
        <f t="shared" si="15"/>
        <v>0</v>
      </c>
      <c r="AI91" s="56">
        <f t="shared" si="16"/>
        <v>0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SUM(B15,B18,B21:B22,B42,B44:B45,B47,B49,B94:B97,B103,B109,B115,B124,B126,B138,B145,B148:B149,B156,B158,B160,B164:B166,B168:B170,B175,B181:B182,B184:B186,B194,B199)</f>
        <v>34.840000000000003</v>
      </c>
      <c r="C93" s="103">
        <f t="shared" si="24"/>
        <v>34.840000000000003</v>
      </c>
      <c r="D93" s="103">
        <f t="shared" si="24"/>
        <v>34.840000000000003</v>
      </c>
      <c r="E93" s="103">
        <f t="shared" si="24"/>
        <v>34.840000000000003</v>
      </c>
      <c r="F93" s="103">
        <f t="shared" si="24"/>
        <v>34.840000000000003</v>
      </c>
      <c r="G93" s="103">
        <f t="shared" si="24"/>
        <v>34.840000000000003</v>
      </c>
      <c r="H93" s="103">
        <f t="shared" si="24"/>
        <v>34.840000000000003</v>
      </c>
      <c r="I93" s="103">
        <f t="shared" si="24"/>
        <v>34.840000000000003</v>
      </c>
      <c r="J93" s="103">
        <f t="shared" si="24"/>
        <v>34.840000000000003</v>
      </c>
      <c r="K93" s="103">
        <f t="shared" si="24"/>
        <v>34.840000000000003</v>
      </c>
      <c r="L93" s="103">
        <f t="shared" si="24"/>
        <v>34.840000000000003</v>
      </c>
      <c r="M93" s="103">
        <f t="shared" si="24"/>
        <v>34.840000000000003</v>
      </c>
      <c r="N93" s="103">
        <f t="shared" si="24"/>
        <v>34.840000000000003</v>
      </c>
      <c r="O93" s="103">
        <f t="shared" si="24"/>
        <v>34.840000000000003</v>
      </c>
      <c r="P93" s="103">
        <f t="shared" si="24"/>
        <v>34.840000000000003</v>
      </c>
      <c r="Q93" s="103">
        <f t="shared" si="24"/>
        <v>34.840000000000003</v>
      </c>
      <c r="R93" s="103">
        <f t="shared" si="24"/>
        <v>34.840000000000003</v>
      </c>
      <c r="S93" s="103">
        <f t="shared" si="24"/>
        <v>34.840000000000003</v>
      </c>
      <c r="T93" s="103">
        <f t="shared" si="24"/>
        <v>34.840000000000003</v>
      </c>
      <c r="U93" s="103">
        <f t="shared" si="24"/>
        <v>34.840000000000003</v>
      </c>
      <c r="V93" s="103">
        <f t="shared" si="24"/>
        <v>34.840000000000003</v>
      </c>
      <c r="W93" s="103">
        <f t="shared" si="24"/>
        <v>34.840000000000003</v>
      </c>
      <c r="X93" s="103">
        <f t="shared" si="24"/>
        <v>34.840000000000003</v>
      </c>
      <c r="Y93" s="103">
        <f t="shared" si="24"/>
        <v>34.840000000000003</v>
      </c>
      <c r="Z93" s="103">
        <f t="shared" si="24"/>
        <v>34.840000000000003</v>
      </c>
      <c r="AA93" s="103">
        <f t="shared" si="24"/>
        <v>34.840000000000003</v>
      </c>
      <c r="AB93" s="103">
        <f t="shared" si="24"/>
        <v>34.840000000000003</v>
      </c>
      <c r="AC93" s="103">
        <f t="shared" si="24"/>
        <v>34.840000000000003</v>
      </c>
      <c r="AD93" s="103">
        <f t="shared" si="24"/>
        <v>34.840000000000003</v>
      </c>
      <c r="AE93" s="103">
        <f t="shared" si="24"/>
        <v>34.840000000000003</v>
      </c>
      <c r="AF93" s="103">
        <f t="shared" si="24"/>
        <v>34.840000000000003</v>
      </c>
      <c r="AG93" s="104"/>
      <c r="AH93" s="55">
        <f>MAX(C93:AF93)</f>
        <v>34.840000000000003</v>
      </c>
      <c r="AI93" s="56">
        <f>MIN(C93:AF93)</f>
        <v>34.840000000000003</v>
      </c>
    </row>
    <row r="94" spans="1:88" x14ac:dyDescent="0.25">
      <c r="A94" s="105" t="s">
        <v>98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7">
        <v>75</v>
      </c>
      <c r="AH94" s="55">
        <f t="shared" ref="AH94:AH100" si="25">IF(ABS(MAX(C94:AF94))&gt;ABS(MIN(C94:AF94)),MAX(C94:AF94),MIN(C94:AF94))</f>
        <v>0</v>
      </c>
      <c r="AI94" s="108" t="e">
        <f t="shared" ref="AI94:AI100" si="26">INDEX($C$9:$AF$9,1,MATCH(AH94,C94:AF94,0))</f>
        <v>#N/A</v>
      </c>
    </row>
    <row r="95" spans="1:88" x14ac:dyDescent="0.25">
      <c r="A95" s="109" t="s">
        <v>99</v>
      </c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5">
        <f t="shared" si="25"/>
        <v>0</v>
      </c>
      <c r="AI95" s="108" t="e">
        <f t="shared" si="26"/>
        <v>#N/A</v>
      </c>
    </row>
    <row r="96" spans="1:88" x14ac:dyDescent="0.25">
      <c r="A96" s="109" t="s">
        <v>100</v>
      </c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07">
        <v>60</v>
      </c>
      <c r="AH96" s="55">
        <f t="shared" si="25"/>
        <v>0</v>
      </c>
      <c r="AI96" s="108" t="e">
        <f t="shared" si="26"/>
        <v>#N/A</v>
      </c>
    </row>
    <row r="97" spans="1:37" x14ac:dyDescent="0.25">
      <c r="A97" s="111" t="s">
        <v>101</v>
      </c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3">
        <v>120</v>
      </c>
      <c r="AH97" s="55">
        <f t="shared" si="25"/>
        <v>0</v>
      </c>
      <c r="AI97" s="108" t="e">
        <f t="shared" si="26"/>
        <v>#N/A</v>
      </c>
    </row>
    <row r="98" spans="1:37" x14ac:dyDescent="0.25">
      <c r="A98" s="111" t="s">
        <v>102</v>
      </c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3"/>
      <c r="AH98" s="55">
        <f t="shared" si="25"/>
        <v>0</v>
      </c>
      <c r="AI98" s="108" t="e">
        <f t="shared" si="26"/>
        <v>#N/A</v>
      </c>
    </row>
    <row r="99" spans="1:37" x14ac:dyDescent="0.25">
      <c r="A99" s="111" t="s">
        <v>253</v>
      </c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4"/>
      <c r="AH99" s="55">
        <f t="shared" si="25"/>
        <v>0</v>
      </c>
      <c r="AI99" s="108" t="e">
        <f t="shared" si="26"/>
        <v>#N/A</v>
      </c>
    </row>
    <row r="100" spans="1:37" ht="15.75" thickBot="1" x14ac:dyDescent="0.3">
      <c r="A100" s="115" t="s">
        <v>104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114"/>
      <c r="AH100" s="55">
        <f t="shared" si="25"/>
        <v>0</v>
      </c>
      <c r="AI100" s="108" t="e">
        <f t="shared" si="26"/>
        <v>#N/A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7">AF102</f>
        <v>9.9</v>
      </c>
      <c r="C102" s="54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130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3"/>
        <v>0.04</v>
      </c>
      <c r="C190" s="54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3"/>
        <v>2.3E-2</v>
      </c>
      <c r="C191" s="54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3.54</v>
      </c>
      <c r="C209" s="151">
        <f>INDEX(G9:N9,1,MATCH(MAX(G75:N75),G75:N75,0))</f>
        <v>0.20833333333333301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Sample (2)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e">
        <f ca="1">"Pie Chart of Daily Peak Demand(Inclusive of Export) of Nepal ("&amp;A4&amp;" "&amp;B4&amp;")"</f>
        <v>#VALUE!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e">
        <f ca="1">"Daily Load Curve(Excluding of Export) of Nepal ("&amp;A4&amp;" "&amp;B4&amp;")"</f>
        <v>#VALUE!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3">B75</f>
        <v>3.54</v>
      </c>
      <c r="U214" s="161">
        <f t="shared" si="63"/>
        <v>3.54</v>
      </c>
      <c r="V214" s="161">
        <f t="shared" si="63"/>
        <v>3.54</v>
      </c>
      <c r="W214" s="161">
        <f t="shared" si="63"/>
        <v>3.54</v>
      </c>
      <c r="X214" s="161">
        <f t="shared" si="63"/>
        <v>3.54</v>
      </c>
      <c r="Y214" s="161">
        <f t="shared" si="63"/>
        <v>3.54</v>
      </c>
      <c r="Z214" s="161">
        <f t="shared" si="63"/>
        <v>3.54</v>
      </c>
      <c r="AA214" s="161">
        <f t="shared" si="63"/>
        <v>3.54</v>
      </c>
      <c r="AB214" s="161">
        <f t="shared" si="63"/>
        <v>3.54</v>
      </c>
      <c r="AC214" s="161">
        <f t="shared" si="63"/>
        <v>3.54</v>
      </c>
      <c r="AD214" s="161">
        <f t="shared" si="63"/>
        <v>3.54</v>
      </c>
      <c r="AE214" s="161">
        <f t="shared" si="63"/>
        <v>3.54</v>
      </c>
      <c r="AF214" s="161">
        <f t="shared" si="63"/>
        <v>3.54</v>
      </c>
      <c r="AG214" s="161">
        <f t="shared" si="63"/>
        <v>3.54</v>
      </c>
      <c r="AH214" s="161">
        <f t="shared" si="63"/>
        <v>3.54</v>
      </c>
      <c r="AI214" s="161">
        <f t="shared" si="63"/>
        <v>3.54</v>
      </c>
      <c r="AJ214" s="161">
        <f t="shared" si="63"/>
        <v>3.54</v>
      </c>
      <c r="AK214" s="161">
        <f t="shared" si="63"/>
        <v>3.54</v>
      </c>
      <c r="AL214" s="161">
        <f t="shared" si="63"/>
        <v>3.54</v>
      </c>
      <c r="AM214" s="161">
        <f t="shared" si="63"/>
        <v>3.54</v>
      </c>
      <c r="AN214" s="161">
        <f t="shared" si="63"/>
        <v>3.54</v>
      </c>
      <c r="AO214" s="161">
        <f t="shared" si="63"/>
        <v>3.54</v>
      </c>
      <c r="AP214" s="161">
        <f t="shared" si="63"/>
        <v>3.54</v>
      </c>
      <c r="AQ214" s="161">
        <f t="shared" si="63"/>
        <v>3.54</v>
      </c>
      <c r="AR214" s="161">
        <f t="shared" si="63"/>
        <v>3.54</v>
      </c>
      <c r="AS214" s="161">
        <f t="shared" si="63"/>
        <v>3.54</v>
      </c>
      <c r="AT214" s="161">
        <f t="shared" si="63"/>
        <v>3.54</v>
      </c>
      <c r="AU214" s="161">
        <f t="shared" si="63"/>
        <v>3.54</v>
      </c>
      <c r="AV214" s="161">
        <f t="shared" si="63"/>
        <v>3.54</v>
      </c>
      <c r="AW214" s="161">
        <f t="shared" si="63"/>
        <v>3.54</v>
      </c>
      <c r="AX214" s="161">
        <f t="shared" si="63"/>
        <v>3.54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T11:AF11">
    <cfRule type="expression" dxfId="7049" priority="210">
      <formula>B$9&gt;=20/24</formula>
    </cfRule>
    <cfRule type="expression" dxfId="7048" priority="211">
      <formula>AND(B$9&gt;=14/24,B$9&lt;20/24)</formula>
    </cfRule>
    <cfRule type="expression" dxfId="7047" priority="212">
      <formula>AND(B$9&gt;=8/24,B$9&lt;14/24)</formula>
    </cfRule>
    <cfRule type="expression" dxfId="7046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7045" priority="205">
      <formula>S$9&gt;=20/24</formula>
    </cfRule>
    <cfRule type="expression" dxfId="7044" priority="206">
      <formula>AND(S$9&gt;=14/24,S$9&lt;20/24)</formula>
    </cfRule>
    <cfRule type="expression" dxfId="7043" priority="207">
      <formula>AND(S$9&gt;=8/24,S$9&lt;14/24)</formula>
    </cfRule>
    <cfRule type="expression" dxfId="7042" priority="208">
      <formula>S$9&lt;8/24</formula>
    </cfRule>
  </conditionalFormatting>
  <conditionalFormatting sqref="AG51 S37:AF37 J11:AF11 O12:AF16 C11:D16 E16:N16 B12:B16">
    <cfRule type="expression" dxfId="7041" priority="204">
      <formula>B11&gt;$AG11</formula>
    </cfRule>
  </conditionalFormatting>
  <conditionalFormatting sqref="A101:A157 A84:A97 A11:A14 A45:A72 A80:A82 A74:A78 A35:A43 A170:A200 A16:A32">
    <cfRule type="expression" dxfId="7040" priority="203">
      <formula>$AH11=0</formula>
    </cfRule>
  </conditionalFormatting>
  <conditionalFormatting sqref="A98">
    <cfRule type="expression" dxfId="7039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7038" priority="200">
      <formula>$AH34=0</formula>
    </cfRule>
  </conditionalFormatting>
  <conditionalFormatting sqref="A83">
    <cfRule type="expression" dxfId="7037" priority="199">
      <formula>$AH83=0</formula>
    </cfRule>
  </conditionalFormatting>
  <conditionalFormatting sqref="A15">
    <cfRule type="expression" dxfId="7036" priority="198">
      <formula>$AH15=0</formula>
    </cfRule>
  </conditionalFormatting>
  <conditionalFormatting sqref="A164:A169">
    <cfRule type="expression" dxfId="7035" priority="197">
      <formula>$AH164=0</formula>
    </cfRule>
  </conditionalFormatting>
  <conditionalFormatting sqref="A158:A163">
    <cfRule type="expression" dxfId="7034" priority="196">
      <formula>$AH158=0</formula>
    </cfRule>
  </conditionalFormatting>
  <conditionalFormatting sqref="A44">
    <cfRule type="expression" dxfId="7033" priority="195">
      <formula>$AH44=0</formula>
    </cfRule>
  </conditionalFormatting>
  <conditionalFormatting sqref="A79">
    <cfRule type="expression" dxfId="7032" priority="194">
      <formula>$AH79=0</formula>
    </cfRule>
  </conditionalFormatting>
  <conditionalFormatting sqref="A73">
    <cfRule type="expression" dxfId="7031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7030" priority="189">
      <formula>C$9&gt;=20/24</formula>
    </cfRule>
    <cfRule type="expression" dxfId="7029" priority="190">
      <formula>AND(C$9&gt;=14/24,C$9&lt;20/24)</formula>
    </cfRule>
    <cfRule type="expression" dxfId="7028" priority="191">
      <formula>AND(C$9&gt;=8/24,C$9&lt;14/24)</formula>
    </cfRule>
    <cfRule type="expression" dxfId="7027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026" priority="217">
      <formula>C$9&gt;=20/24</formula>
    </cfRule>
    <cfRule type="expression" dxfId="7025" priority="218">
      <formula>AND(C$9&gt;=14/24,C$9&lt;20/24)</formula>
    </cfRule>
    <cfRule type="expression" dxfId="7024" priority="219">
      <formula>AND(C$9&gt;=8/24,C$9&lt;14/24)</formula>
    </cfRule>
    <cfRule type="expression" dxfId="7023" priority="220">
      <formula>C$9&lt;8/24</formula>
    </cfRule>
  </conditionalFormatting>
  <conditionalFormatting sqref="A201">
    <cfRule type="expression" dxfId="7022" priority="221">
      <formula>$AH201=0</formula>
    </cfRule>
  </conditionalFormatting>
  <conditionalFormatting sqref="AG213">
    <cfRule type="expression" dxfId="7021" priority="222">
      <formula>B$9&gt;=20/24</formula>
    </cfRule>
    <cfRule type="expression" dxfId="7020" priority="223">
      <formula>AND(B$9&gt;=14/24,B$9&lt;20/24)</formula>
    </cfRule>
    <cfRule type="expression" dxfId="7019" priority="224">
      <formula>AND(B$9&gt;=8/24,B$9&lt;14/24)</formula>
    </cfRule>
    <cfRule type="expression" dxfId="7018" priority="225">
      <formula>B$9&lt;8/24</formula>
    </cfRule>
  </conditionalFormatting>
  <conditionalFormatting sqref="S8">
    <cfRule type="expression" dxfId="7017" priority="184">
      <formula>U$9&gt;=20/24</formula>
    </cfRule>
    <cfRule type="expression" dxfId="7016" priority="185">
      <formula>AND(U$9&gt;=14/24,U$9&lt;20/24)</formula>
    </cfRule>
    <cfRule type="expression" dxfId="7015" priority="186">
      <formula>AND(U$9&gt;=8/24,U$9&lt;14/24)</formula>
    </cfRule>
    <cfRule type="expression" dxfId="7014" priority="187">
      <formula>U$9&lt;8/24</formula>
    </cfRule>
  </conditionalFormatting>
  <conditionalFormatting sqref="AB8">
    <cfRule type="expression" dxfId="7013" priority="180">
      <formula>AD$9&gt;=20/24</formula>
    </cfRule>
    <cfRule type="expression" dxfId="7012" priority="181">
      <formula>AND(AD$9&gt;=14/24,AD$9&lt;20/24)</formula>
    </cfRule>
    <cfRule type="expression" dxfId="7011" priority="182">
      <formula>AND(AD$9&gt;=8/24,AD$9&lt;14/24)</formula>
    </cfRule>
    <cfRule type="expression" dxfId="7010" priority="183">
      <formula>AD$9&lt;8/24</formula>
    </cfRule>
  </conditionalFormatting>
  <conditionalFormatting sqref="AH213:AX213">
    <cfRule type="expression" dxfId="7009" priority="226">
      <formula>AG$9&gt;=20/24</formula>
    </cfRule>
    <cfRule type="expression" dxfId="7008" priority="227">
      <formula>AND(AG$9&gt;=14/24,AG$9&lt;20/24)</formula>
    </cfRule>
    <cfRule type="expression" dxfId="7007" priority="228">
      <formula>AND(AG$9&gt;=8/24,AG$9&lt;14/24)</formula>
    </cfRule>
    <cfRule type="expression" dxfId="7006" priority="229">
      <formula>AG$9&lt;8/24</formula>
    </cfRule>
  </conditionalFormatting>
  <conditionalFormatting sqref="T213">
    <cfRule type="expression" dxfId="7005" priority="230">
      <formula>AX$9&gt;=20/24</formula>
    </cfRule>
    <cfRule type="expression" dxfId="7004" priority="231">
      <formula>AND(AX$9&gt;=14/24,AX$9&lt;20/24)</formula>
    </cfRule>
    <cfRule type="expression" dxfId="7003" priority="232">
      <formula>AND(AX$9&gt;=8/24,AX$9&lt;14/24)</formula>
    </cfRule>
    <cfRule type="expression" dxfId="7002" priority="233">
      <formula>AX$9&lt;8/24</formula>
    </cfRule>
  </conditionalFormatting>
  <conditionalFormatting sqref="A99:A100">
    <cfRule type="expression" dxfId="7001" priority="179">
      <formula>$AH99=0</formula>
    </cfRule>
  </conditionalFormatting>
  <conditionalFormatting sqref="E11:I11 E40:L41 S40:W41 Y40:AF41 Z36:AF36 C57:AF57">
    <cfRule type="expression" dxfId="7000" priority="175">
      <formula>C$9&gt;=20/24</formula>
    </cfRule>
    <cfRule type="expression" dxfId="6999" priority="176">
      <formula>AND(C$9&gt;=14/24,C$9&lt;20/24)</formula>
    </cfRule>
    <cfRule type="expression" dxfId="6998" priority="177">
      <formula>AND(C$9&gt;=8/24,C$9&lt;14/24)</formula>
    </cfRule>
    <cfRule type="expression" dxfId="6997" priority="178">
      <formula>C$9&lt;8/24</formula>
    </cfRule>
  </conditionalFormatting>
  <conditionalFormatting sqref="E39:L39 S39:W39 Y39:AF39">
    <cfRule type="expression" dxfId="6996" priority="171">
      <formula>E$9&gt;=20/24</formula>
    </cfRule>
    <cfRule type="expression" dxfId="6995" priority="172">
      <formula>AND(E$9&gt;=14/24,E$9&lt;20/24)</formula>
    </cfRule>
    <cfRule type="expression" dxfId="6994" priority="173">
      <formula>AND(E$9&gt;=8/24,E$9&lt;14/24)</formula>
    </cfRule>
    <cfRule type="expression" dxfId="6993" priority="174">
      <formula>E$9&lt;8/24</formula>
    </cfRule>
  </conditionalFormatting>
  <conditionalFormatting sqref="E11:I11 E39:L41 S39:W41 Y39:AF41 Z36:AF36">
    <cfRule type="expression" dxfId="6992" priority="170">
      <formula>E11&gt;$AG11</formula>
    </cfRule>
  </conditionalFormatting>
  <conditionalFormatting sqref="M11:R11 C36:Y36 C81:AF81 C58:AE59 C69:AF72 M64:M66 C67:M67 C62:M63 N62:O67 C61:O61 P61:W67 C60:W60 C85:AF91 X60:AE67 E12:AF14 M16:AF16 M28:AF31 M18:AF22 M24:AF26 C53:AF56 AF58:AF67 M37:R37">
    <cfRule type="expression" dxfId="6991" priority="166">
      <formula>C$9&gt;=20/24</formula>
    </cfRule>
    <cfRule type="expression" dxfId="6990" priority="167">
      <formula>AND(C$9&gt;=14/24,C$9&lt;20/24)</formula>
    </cfRule>
    <cfRule type="expression" dxfId="6989" priority="168">
      <formula>AND(C$9&gt;=8/24,C$9&lt;14/24)</formula>
    </cfRule>
    <cfRule type="expression" dxfId="6988" priority="169">
      <formula>C$9&lt;8/24</formula>
    </cfRule>
  </conditionalFormatting>
  <conditionalFormatting sqref="M32:AF32">
    <cfRule type="expression" dxfId="6987" priority="162">
      <formula>M$9&gt;=20/24</formula>
    </cfRule>
    <cfRule type="expression" dxfId="6986" priority="163">
      <formula>AND(M$9&gt;=14/24,M$9&lt;20/24)</formula>
    </cfRule>
    <cfRule type="expression" dxfId="6985" priority="164">
      <formula>AND(M$9&gt;=8/24,M$9&lt;14/24)</formula>
    </cfRule>
    <cfRule type="expression" dxfId="6984" priority="165">
      <formula>M$9&lt;8/24</formula>
    </cfRule>
  </conditionalFormatting>
  <conditionalFormatting sqref="M35:AF35">
    <cfRule type="expression" dxfId="6983" priority="158">
      <formula>M$9&gt;=20/24</formula>
    </cfRule>
    <cfRule type="expression" dxfId="6982" priority="159">
      <formula>AND(M$9&gt;=14/24,M$9&lt;20/24)</formula>
    </cfRule>
    <cfRule type="expression" dxfId="6981" priority="160">
      <formula>AND(M$9&gt;=8/24,M$9&lt;14/24)</formula>
    </cfRule>
    <cfRule type="expression" dxfId="6980" priority="161">
      <formula>M$9&lt;8/24</formula>
    </cfRule>
  </conditionalFormatting>
  <conditionalFormatting sqref="E42:G43 M11:R11 C36:Y36 F44:G44 E12:N15 H42:L44 AB42:AF43 M34:AF35 M18:AF22 M24:AF32 C51:AF51 C53:AF56 C37:R37">
    <cfRule type="expression" dxfId="6979" priority="157">
      <formula>C11&gt;$AG11</formula>
    </cfRule>
  </conditionalFormatting>
  <conditionalFormatting sqref="M34:AF34">
    <cfRule type="expression" dxfId="6978" priority="153">
      <formula>M$9&gt;=20/24</formula>
    </cfRule>
    <cfRule type="expression" dxfId="6977" priority="154">
      <formula>AND(M$9&gt;=14/24,M$9&lt;20/24)</formula>
    </cfRule>
    <cfRule type="expression" dxfId="6976" priority="155">
      <formula>AND(M$9&gt;=8/24,M$9&lt;14/24)</formula>
    </cfRule>
    <cfRule type="expression" dxfId="6975" priority="156">
      <formula>M$9&lt;8/24</formula>
    </cfRule>
  </conditionalFormatting>
  <conditionalFormatting sqref="E15:AF15">
    <cfRule type="expression" dxfId="6974" priority="149">
      <formula>E$9&gt;=20/24</formula>
    </cfRule>
    <cfRule type="expression" dxfId="6973" priority="150">
      <formula>AND(E$9&gt;=14/24,E$9&lt;20/24)</formula>
    </cfRule>
    <cfRule type="expression" dxfId="6972" priority="151">
      <formula>AND(E$9&gt;=8/24,E$9&lt;14/24)</formula>
    </cfRule>
    <cfRule type="expression" dxfId="6971" priority="152">
      <formula>E$9&lt;8/24</formula>
    </cfRule>
  </conditionalFormatting>
  <conditionalFormatting sqref="M33:AF33">
    <cfRule type="expression" dxfId="6970" priority="145">
      <formula>M$9&gt;=20/24</formula>
    </cfRule>
    <cfRule type="expression" dxfId="6969" priority="146">
      <formula>AND(M$9&gt;=14/24,M$9&lt;20/24)</formula>
    </cfRule>
    <cfRule type="expression" dxfId="6968" priority="147">
      <formula>AND(M$9&gt;=8/24,M$9&lt;14/24)</formula>
    </cfRule>
    <cfRule type="expression" dxfId="6967" priority="148">
      <formula>M$9&lt;8/24</formula>
    </cfRule>
  </conditionalFormatting>
  <conditionalFormatting sqref="M33:AF33">
    <cfRule type="expression" dxfId="6966" priority="144">
      <formula>M33&gt;$AG33</formula>
    </cfRule>
  </conditionalFormatting>
  <conditionalFormatting sqref="S11">
    <cfRule type="expression" dxfId="6965" priority="140">
      <formula>S$9&gt;=20/24</formula>
    </cfRule>
    <cfRule type="expression" dxfId="6964" priority="141">
      <formula>AND(S$9&gt;=14/24,S$9&lt;20/24)</formula>
    </cfRule>
    <cfRule type="expression" dxfId="6963" priority="142">
      <formula>AND(S$9&gt;=8/24,S$9&lt;14/24)</formula>
    </cfRule>
    <cfRule type="expression" dxfId="6962" priority="143">
      <formula>S$9&lt;8/24</formula>
    </cfRule>
  </conditionalFormatting>
  <conditionalFormatting sqref="V42:AA43 AB44:AF50">
    <cfRule type="expression" dxfId="6961" priority="136">
      <formula>V$9&gt;=20/24</formula>
    </cfRule>
    <cfRule type="expression" dxfId="6960" priority="137">
      <formula>AND(V$9&gt;=14/24,V$9&lt;20/24)</formula>
    </cfRule>
    <cfRule type="expression" dxfId="6959" priority="138">
      <formula>AND(V$9&gt;=8/24,V$9&lt;14/24)</formula>
    </cfRule>
    <cfRule type="expression" dxfId="6958" priority="139">
      <formula>V$9&lt;8/24</formula>
    </cfRule>
  </conditionalFormatting>
  <conditionalFormatting sqref="V42:AA43 AB44:AF50">
    <cfRule type="expression" dxfId="6957" priority="135">
      <formula>V42&gt;$AG42</formula>
    </cfRule>
  </conditionalFormatting>
  <conditionalFormatting sqref="M39:R50 S42:U50 V44:AA50">
    <cfRule type="expression" dxfId="6956" priority="131">
      <formula>M$9&gt;=20/24</formula>
    </cfRule>
    <cfRule type="expression" dxfId="6955" priority="132">
      <formula>AND(M$9&gt;=14/24,M$9&lt;20/24)</formula>
    </cfRule>
    <cfRule type="expression" dxfId="6954" priority="133">
      <formula>AND(M$9&gt;=8/24,M$9&lt;14/24)</formula>
    </cfRule>
    <cfRule type="expression" dxfId="6953" priority="134">
      <formula>M$9&lt;8/24</formula>
    </cfRule>
  </conditionalFormatting>
  <conditionalFormatting sqref="M39:R50 S42:U50 V44:AA50">
    <cfRule type="expression" dxfId="6952" priority="130">
      <formula>M39&gt;$AG39</formula>
    </cfRule>
  </conditionalFormatting>
  <conditionalFormatting sqref="M27:AF27">
    <cfRule type="expression" dxfId="6951" priority="126">
      <formula>M$9&gt;=20/24</formula>
    </cfRule>
    <cfRule type="expression" dxfId="6950" priority="127">
      <formula>AND(M$9&gt;=14/24,M$9&lt;20/24)</formula>
    </cfRule>
    <cfRule type="expression" dxfId="6949" priority="128">
      <formula>AND(M$9&gt;=8/24,M$9&lt;14/24)</formula>
    </cfRule>
    <cfRule type="expression" dxfId="6948" priority="129">
      <formula>M$9&lt;8/24</formula>
    </cfRule>
  </conditionalFormatting>
  <conditionalFormatting sqref="C11:D14 C16:L16 C18:L22 C24:L31 C17:AF17 C23:AF23">
    <cfRule type="expression" dxfId="6947" priority="122">
      <formula>C$9&gt;=20/24</formula>
    </cfRule>
    <cfRule type="expression" dxfId="6946" priority="123">
      <formula>AND(C$9&gt;=14/24,C$9&lt;20/24)</formula>
    </cfRule>
    <cfRule type="expression" dxfId="6945" priority="124">
      <formula>AND(C$9&gt;=8/24,C$9&lt;14/24)</formula>
    </cfRule>
    <cfRule type="expression" dxfId="6944" priority="125">
      <formula>C$9&lt;8/24</formula>
    </cfRule>
  </conditionalFormatting>
  <conditionalFormatting sqref="C32:L32">
    <cfRule type="expression" dxfId="6943" priority="118">
      <formula>C$9&gt;=20/24</formula>
    </cfRule>
    <cfRule type="expression" dxfId="6942" priority="119">
      <formula>AND(C$9&gt;=14/24,C$9&lt;20/24)</formula>
    </cfRule>
    <cfRule type="expression" dxfId="6941" priority="120">
      <formula>AND(C$9&gt;=8/24,C$9&lt;14/24)</formula>
    </cfRule>
    <cfRule type="expression" dxfId="6940" priority="121">
      <formula>C$9&lt;8/24</formula>
    </cfRule>
  </conditionalFormatting>
  <conditionalFormatting sqref="C35:L35">
    <cfRule type="expression" dxfId="6939" priority="114">
      <formula>C$9&gt;=20/24</formula>
    </cfRule>
    <cfRule type="expression" dxfId="6938" priority="115">
      <formula>AND(C$9&gt;=14/24,C$9&lt;20/24)</formula>
    </cfRule>
    <cfRule type="expression" dxfId="6937" priority="116">
      <formula>AND(C$9&gt;=8/24,C$9&lt;14/24)</formula>
    </cfRule>
    <cfRule type="expression" dxfId="6936" priority="117">
      <formula>C$9&lt;8/24</formula>
    </cfRule>
  </conditionalFormatting>
  <conditionalFormatting sqref="C34:L35 C18:L22 C24:L32 C17:AF17 C23:AF23">
    <cfRule type="expression" dxfId="6935" priority="113">
      <formula>C17&gt;$AG17</formula>
    </cfRule>
  </conditionalFormatting>
  <conditionalFormatting sqref="C34:L34">
    <cfRule type="expression" dxfId="6934" priority="109">
      <formula>C$9&gt;=20/24</formula>
    </cfRule>
    <cfRule type="expression" dxfId="6933" priority="110">
      <formula>AND(C$9&gt;=14/24,C$9&lt;20/24)</formula>
    </cfRule>
    <cfRule type="expression" dxfId="6932" priority="111">
      <formula>AND(C$9&gt;=8/24,C$9&lt;14/24)</formula>
    </cfRule>
    <cfRule type="expression" dxfId="6931" priority="112">
      <formula>C$9&lt;8/24</formula>
    </cfRule>
  </conditionalFormatting>
  <conditionalFormatting sqref="C15:D15">
    <cfRule type="expression" dxfId="6930" priority="105">
      <formula>C$9&gt;=20/24</formula>
    </cfRule>
    <cfRule type="expression" dxfId="6929" priority="106">
      <formula>AND(C$9&gt;=14/24,C$9&lt;20/24)</formula>
    </cfRule>
    <cfRule type="expression" dxfId="6928" priority="107">
      <formula>AND(C$9&gt;=8/24,C$9&lt;14/24)</formula>
    </cfRule>
    <cfRule type="expression" dxfId="6927" priority="108">
      <formula>C$9&lt;8/24</formula>
    </cfRule>
  </conditionalFormatting>
  <conditionalFormatting sqref="C33:L33">
    <cfRule type="expression" dxfId="6926" priority="101">
      <formula>C$9&gt;=20/24</formula>
    </cfRule>
    <cfRule type="expression" dxfId="6925" priority="102">
      <formula>AND(C$9&gt;=14/24,C$9&lt;20/24)</formula>
    </cfRule>
    <cfRule type="expression" dxfId="6924" priority="103">
      <formula>AND(C$9&gt;=8/24,C$9&lt;14/24)</formula>
    </cfRule>
    <cfRule type="expression" dxfId="6923" priority="104">
      <formula>C$9&lt;8/24</formula>
    </cfRule>
  </conditionalFormatting>
  <conditionalFormatting sqref="C33:L33">
    <cfRule type="expression" dxfId="6922" priority="100">
      <formula>C33&gt;$AG33</formula>
    </cfRule>
  </conditionalFormatting>
  <conditionalFormatting sqref="C40:D41">
    <cfRule type="expression" dxfId="6921" priority="96">
      <formula>C$9&gt;=20/24</formula>
    </cfRule>
    <cfRule type="expression" dxfId="6920" priority="97">
      <formula>AND(C$9&gt;=14/24,C$9&lt;20/24)</formula>
    </cfRule>
    <cfRule type="expression" dxfId="6919" priority="98">
      <formula>AND(C$9&gt;=8/24,C$9&lt;14/24)</formula>
    </cfRule>
    <cfRule type="expression" dxfId="6918" priority="99">
      <formula>C$9&lt;8/24</formula>
    </cfRule>
  </conditionalFormatting>
  <conditionalFormatting sqref="C39:D39">
    <cfRule type="expression" dxfId="6917" priority="92">
      <formula>C$9&gt;=20/24</formula>
    </cfRule>
    <cfRule type="expression" dxfId="6916" priority="93">
      <formula>AND(C$9&gt;=14/24,C$9&lt;20/24)</formula>
    </cfRule>
    <cfRule type="expression" dxfId="6915" priority="94">
      <formula>AND(C$9&gt;=8/24,C$9&lt;14/24)</formula>
    </cfRule>
    <cfRule type="expression" dxfId="6914" priority="95">
      <formula>C$9&lt;8/24</formula>
    </cfRule>
  </conditionalFormatting>
  <conditionalFormatting sqref="C39:D41">
    <cfRule type="expression" dxfId="6913" priority="91">
      <formula>C39&gt;$AG39</formula>
    </cfRule>
  </conditionalFormatting>
  <conditionalFormatting sqref="C64:L66">
    <cfRule type="expression" dxfId="6912" priority="87">
      <formula>C$9&gt;=20/24</formula>
    </cfRule>
    <cfRule type="expression" dxfId="6911" priority="88">
      <formula>AND(C$9&gt;=14/24,C$9&lt;20/24)</formula>
    </cfRule>
    <cfRule type="expression" dxfId="6910" priority="89">
      <formula>AND(C$9&gt;=8/24,C$9&lt;14/24)</formula>
    </cfRule>
    <cfRule type="expression" dxfId="6909" priority="90">
      <formula>C$9&lt;8/24</formula>
    </cfRule>
  </conditionalFormatting>
  <conditionalFormatting sqref="C42:D43">
    <cfRule type="expression" dxfId="6908" priority="86">
      <formula>C42&gt;$AG42</formula>
    </cfRule>
  </conditionalFormatting>
  <conditionalFormatting sqref="C44:E50 F45:L50">
    <cfRule type="expression" dxfId="6907" priority="82">
      <formula>C$9&gt;=20/24</formula>
    </cfRule>
    <cfRule type="expression" dxfId="6906" priority="83">
      <formula>AND(C$9&gt;=14/24,C$9&lt;20/24)</formula>
    </cfRule>
    <cfRule type="expression" dxfId="6905" priority="84">
      <formula>AND(C$9&gt;=8/24,C$9&lt;14/24)</formula>
    </cfRule>
    <cfRule type="expression" dxfId="6904" priority="85">
      <formula>C$9&lt;8/24</formula>
    </cfRule>
  </conditionalFormatting>
  <conditionalFormatting sqref="C44:E50 F45:L50">
    <cfRule type="expression" dxfId="6903" priority="81">
      <formula>C44&gt;$AG44</formula>
    </cfRule>
  </conditionalFormatting>
  <conditionalFormatting sqref="X40:X41">
    <cfRule type="expression" dxfId="6902" priority="77">
      <formula>X$9&gt;=20/24</formula>
    </cfRule>
    <cfRule type="expression" dxfId="6901" priority="78">
      <formula>AND(X$9&gt;=14/24,X$9&lt;20/24)</formula>
    </cfRule>
    <cfRule type="expression" dxfId="6900" priority="79">
      <formula>AND(X$9&gt;=8/24,X$9&lt;14/24)</formula>
    </cfRule>
    <cfRule type="expression" dxfId="6899" priority="80">
      <formula>X$9&lt;8/24</formula>
    </cfRule>
  </conditionalFormatting>
  <conditionalFormatting sqref="X39">
    <cfRule type="expression" dxfId="6898" priority="73">
      <formula>X$9&gt;=20/24</formula>
    </cfRule>
    <cfRule type="expression" dxfId="6897" priority="74">
      <formula>AND(X$9&gt;=14/24,X$9&lt;20/24)</formula>
    </cfRule>
    <cfRule type="expression" dxfId="6896" priority="75">
      <formula>AND(X$9&gt;=8/24,X$9&lt;14/24)</formula>
    </cfRule>
    <cfRule type="expression" dxfId="6895" priority="76">
      <formula>X$9&lt;8/24</formula>
    </cfRule>
  </conditionalFormatting>
  <conditionalFormatting sqref="X39:X41">
    <cfRule type="expression" dxfId="6894" priority="72">
      <formula>X39&gt;$AG39</formula>
    </cfRule>
  </conditionalFormatting>
  <conditionalFormatting sqref="B94:B100 B11 B74:AF74 B82:AF82">
    <cfRule type="expression" dxfId="6893" priority="68">
      <formula>B$9&gt;=20/24</formula>
    </cfRule>
    <cfRule type="expression" dxfId="6892" priority="69">
      <formula>AND(B$9&gt;=14/24,B$9&lt;20/24)</formula>
    </cfRule>
    <cfRule type="expression" dxfId="6891" priority="70">
      <formula>AND(B$9&gt;=8/24,B$9&lt;14/24)</formula>
    </cfRule>
    <cfRule type="expression" dxfId="6890" priority="71">
      <formula>B$9&lt;8/24</formula>
    </cfRule>
  </conditionalFormatting>
  <conditionalFormatting sqref="B37">
    <cfRule type="expression" dxfId="6889" priority="64">
      <formula>B$9&gt;=20/24</formula>
    </cfRule>
    <cfRule type="expression" dxfId="6888" priority="65">
      <formula>AND(B$9&gt;=14/24,B$9&lt;20/24)</formula>
    </cfRule>
    <cfRule type="expression" dxfId="6887" priority="66">
      <formula>AND(B$9&gt;=8/24,B$9&lt;14/24)</formula>
    </cfRule>
    <cfRule type="expression" dxfId="6886" priority="67">
      <formula>B$9&lt;8/24</formula>
    </cfRule>
  </conditionalFormatting>
  <conditionalFormatting sqref="B37 B11">
    <cfRule type="expression" dxfId="6885" priority="63">
      <formula>B11&gt;$AG11</formula>
    </cfRule>
  </conditionalFormatting>
  <conditionalFormatting sqref="B84">
    <cfRule type="expression" dxfId="6884" priority="59">
      <formula>B$9&gt;=20/24</formula>
    </cfRule>
    <cfRule type="expression" dxfId="6883" priority="60">
      <formula>AND(B$9&gt;=14/24,B$9&lt;20/24)</formula>
    </cfRule>
    <cfRule type="expression" dxfId="6882" priority="61">
      <formula>AND(B$9&gt;=8/24,B$9&lt;14/24)</formula>
    </cfRule>
    <cfRule type="expression" dxfId="6881" priority="62">
      <formula>B$9&lt;8/24</formula>
    </cfRule>
  </conditionalFormatting>
  <conditionalFormatting sqref="B40:B41 B36 B57">
    <cfRule type="expression" dxfId="6880" priority="55">
      <formula>B$9&gt;=20/24</formula>
    </cfRule>
    <cfRule type="expression" dxfId="6879" priority="56">
      <formula>AND(B$9&gt;=14/24,B$9&lt;20/24)</formula>
    </cfRule>
    <cfRule type="expression" dxfId="6878" priority="57">
      <formula>AND(B$9&gt;=8/24,B$9&lt;14/24)</formula>
    </cfRule>
    <cfRule type="expression" dxfId="6877" priority="58">
      <formula>B$9&lt;8/24</formula>
    </cfRule>
  </conditionalFormatting>
  <conditionalFormatting sqref="B39">
    <cfRule type="expression" dxfId="6876" priority="51">
      <formula>B$9&gt;=20/24</formula>
    </cfRule>
    <cfRule type="expression" dxfId="6875" priority="52">
      <formula>AND(B$9&gt;=14/24,B$9&lt;20/24)</formula>
    </cfRule>
    <cfRule type="expression" dxfId="6874" priority="53">
      <formula>AND(B$9&gt;=8/24,B$9&lt;14/24)</formula>
    </cfRule>
    <cfRule type="expression" dxfId="6873" priority="54">
      <formula>B$9&lt;8/24</formula>
    </cfRule>
  </conditionalFormatting>
  <conditionalFormatting sqref="B39:B41 B36">
    <cfRule type="expression" dxfId="6872" priority="50">
      <formula>B36&gt;$AG36</formula>
    </cfRule>
  </conditionalFormatting>
  <conditionalFormatting sqref="B85:B91 B12:B14 B16 B28:B31 B18:B22 B24:B26 B53:B56 B58:B67 B69:B73 B75:AF75 C73:AF73 B81 B83:AF83">
    <cfRule type="expression" dxfId="6871" priority="46">
      <formula>B$9&gt;=20/24</formula>
    </cfRule>
    <cfRule type="expression" dxfId="6870" priority="47">
      <formula>AND(B$9&gt;=14/24,B$9&lt;20/24)</formula>
    </cfRule>
    <cfRule type="expression" dxfId="6869" priority="48">
      <formula>AND(B$9&gt;=8/24,B$9&lt;14/24)</formula>
    </cfRule>
    <cfRule type="expression" dxfId="6868" priority="49">
      <formula>B$9&lt;8/24</formula>
    </cfRule>
  </conditionalFormatting>
  <conditionalFormatting sqref="B32">
    <cfRule type="expression" dxfId="6867" priority="42">
      <formula>B$9&gt;=20/24</formula>
    </cfRule>
    <cfRule type="expression" dxfId="6866" priority="43">
      <formula>AND(B$9&gt;=14/24,B$9&lt;20/24)</formula>
    </cfRule>
    <cfRule type="expression" dxfId="6865" priority="44">
      <formula>AND(B$9&gt;=8/24,B$9&lt;14/24)</formula>
    </cfRule>
    <cfRule type="expression" dxfId="6864" priority="45">
      <formula>B$9&lt;8/24</formula>
    </cfRule>
  </conditionalFormatting>
  <conditionalFormatting sqref="B35">
    <cfRule type="expression" dxfId="6863" priority="38">
      <formula>B$9&gt;=20/24</formula>
    </cfRule>
    <cfRule type="expression" dxfId="6862" priority="39">
      <formula>AND(B$9&gt;=14/24,B$9&lt;20/24)</formula>
    </cfRule>
    <cfRule type="expression" dxfId="6861" priority="40">
      <formula>AND(B$9&gt;=8/24,B$9&lt;14/24)</formula>
    </cfRule>
    <cfRule type="expression" dxfId="6860" priority="41">
      <formula>B$9&lt;8/24</formula>
    </cfRule>
  </conditionalFormatting>
  <conditionalFormatting sqref="B42:B43 B34:B35 B18:B22 B24:B32 B51:B56 C52:AF52 B38:AF38">
    <cfRule type="expression" dxfId="6859" priority="37">
      <formula>B18&gt;$AG18</formula>
    </cfRule>
  </conditionalFormatting>
  <conditionalFormatting sqref="B34">
    <cfRule type="expression" dxfId="6858" priority="33">
      <formula>B$9&gt;=20/24</formula>
    </cfRule>
    <cfRule type="expression" dxfId="6857" priority="34">
      <formula>AND(B$9&gt;=14/24,B$9&lt;20/24)</formula>
    </cfRule>
    <cfRule type="expression" dxfId="6856" priority="35">
      <formula>AND(B$9&gt;=8/24,B$9&lt;14/24)</formula>
    </cfRule>
    <cfRule type="expression" dxfId="6855" priority="36">
      <formula>B$9&lt;8/24</formula>
    </cfRule>
  </conditionalFormatting>
  <conditionalFormatting sqref="B15">
    <cfRule type="expression" dxfId="6854" priority="29">
      <formula>B$9&gt;=20/24</formula>
    </cfRule>
    <cfRule type="expression" dxfId="6853" priority="30">
      <formula>AND(B$9&gt;=14/24,B$9&lt;20/24)</formula>
    </cfRule>
    <cfRule type="expression" dxfId="6852" priority="31">
      <formula>AND(B$9&gt;=8/24,B$9&lt;14/24)</formula>
    </cfRule>
    <cfRule type="expression" dxfId="6851" priority="32">
      <formula>B$9&lt;8/24</formula>
    </cfRule>
  </conditionalFormatting>
  <conditionalFormatting sqref="B33">
    <cfRule type="expression" dxfId="6850" priority="25">
      <formula>B$9&gt;=20/24</formula>
    </cfRule>
    <cfRule type="expression" dxfId="6849" priority="26">
      <formula>AND(B$9&gt;=14/24,B$9&lt;20/24)</formula>
    </cfRule>
    <cfRule type="expression" dxfId="6848" priority="27">
      <formula>AND(B$9&gt;=8/24,B$9&lt;14/24)</formula>
    </cfRule>
    <cfRule type="expression" dxfId="6847" priority="28">
      <formula>B$9&lt;8/24</formula>
    </cfRule>
  </conditionalFormatting>
  <conditionalFormatting sqref="B33">
    <cfRule type="expression" dxfId="6846" priority="24">
      <formula>B33&gt;$AG33</formula>
    </cfRule>
  </conditionalFormatting>
  <conditionalFormatting sqref="B44:B50">
    <cfRule type="expression" dxfId="6845" priority="20">
      <formula>B$9&gt;=20/24</formula>
    </cfRule>
    <cfRule type="expression" dxfId="6844" priority="21">
      <formula>AND(B$9&gt;=14/24,B$9&lt;20/24)</formula>
    </cfRule>
    <cfRule type="expression" dxfId="6843" priority="22">
      <formula>AND(B$9&gt;=8/24,B$9&lt;14/24)</formula>
    </cfRule>
    <cfRule type="expression" dxfId="6842" priority="23">
      <formula>B$9&lt;8/24</formula>
    </cfRule>
  </conditionalFormatting>
  <conditionalFormatting sqref="B44:B50">
    <cfRule type="expression" dxfId="6841" priority="19">
      <formula>B44&gt;$AG44</formula>
    </cfRule>
  </conditionalFormatting>
  <conditionalFormatting sqref="B27">
    <cfRule type="expression" dxfId="6840" priority="15">
      <formula>B$9&gt;=20/24</formula>
    </cfRule>
    <cfRule type="expression" dxfId="6839" priority="16">
      <formula>AND(B$9&gt;=14/24,B$9&lt;20/24)</formula>
    </cfRule>
    <cfRule type="expression" dxfId="6838" priority="17">
      <formula>AND(B$9&gt;=8/24,B$9&lt;14/24)</formula>
    </cfRule>
    <cfRule type="expression" dxfId="6837" priority="18">
      <formula>B$9&lt;8/24</formula>
    </cfRule>
  </conditionalFormatting>
  <conditionalFormatting sqref="B17 B23">
    <cfRule type="expression" dxfId="6836" priority="11">
      <formula>B$9&gt;=20/24</formula>
    </cfRule>
    <cfRule type="expression" dxfId="6835" priority="12">
      <formula>AND(B$9&gt;=14/24,B$9&lt;20/24)</formula>
    </cfRule>
    <cfRule type="expression" dxfId="6834" priority="13">
      <formula>AND(B$9&gt;=8/24,B$9&lt;14/24)</formula>
    </cfRule>
    <cfRule type="expression" dxfId="6833" priority="14">
      <formula>B$9&lt;8/24</formula>
    </cfRule>
  </conditionalFormatting>
  <conditionalFormatting sqref="B17 B23">
    <cfRule type="expression" dxfId="6832" priority="10">
      <formula>B17&gt;$AG17</formula>
    </cfRule>
  </conditionalFormatting>
  <conditionalFormatting sqref="A33">
    <cfRule type="expression" dxfId="6831" priority="9">
      <formula>$AH33=0</formula>
    </cfRule>
  </conditionalFormatting>
  <conditionalFormatting sqref="B68:AF68">
    <cfRule type="expression" dxfId="6830" priority="5">
      <formula>B$9&gt;=20/24</formula>
    </cfRule>
    <cfRule type="expression" dxfId="6829" priority="6">
      <formula>AND(B$9&gt;=14/24,B$9&lt;20/24)</formula>
    </cfRule>
    <cfRule type="expression" dxfId="6828" priority="7">
      <formula>AND(B$9&gt;=8/24,B$9&lt;14/24)</formula>
    </cfRule>
    <cfRule type="expression" dxfId="6827" priority="8">
      <formula>B$9&lt;8/24</formula>
    </cfRule>
  </conditionalFormatting>
  <conditionalFormatting sqref="B76:AF80">
    <cfRule type="expression" dxfId="6826" priority="1">
      <formula>B$9&gt;=20/24</formula>
    </cfRule>
    <cfRule type="expression" dxfId="6825" priority="2">
      <formula>AND(B$9&gt;=14/24,B$9&lt;20/24)</formula>
    </cfRule>
    <cfRule type="expression" dxfId="6824" priority="3">
      <formula>AND(B$9&gt;=8/24,B$9&lt;14/24)</formula>
    </cfRule>
    <cfRule type="expression" dxfId="6823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3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B59" sqref="B59:AF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79.7</v>
      </c>
      <c r="C5" s="32">
        <f t="shared" si="0"/>
        <v>68.5</v>
      </c>
      <c r="D5" s="32">
        <f t="shared" si="0"/>
        <v>65.5</v>
      </c>
      <c r="E5" s="32">
        <f t="shared" si="0"/>
        <v>65.5</v>
      </c>
      <c r="F5" s="32">
        <f t="shared" si="0"/>
        <v>68.5</v>
      </c>
      <c r="G5" s="32">
        <f t="shared" si="0"/>
        <v>67.5</v>
      </c>
      <c r="H5" s="32">
        <f t="shared" si="0"/>
        <v>63.5</v>
      </c>
      <c r="I5" s="32">
        <f t="shared" si="0"/>
        <v>62.5</v>
      </c>
      <c r="J5" s="32">
        <f t="shared" si="0"/>
        <v>71.5</v>
      </c>
      <c r="K5" s="32">
        <f t="shared" si="0"/>
        <v>79.5</v>
      </c>
      <c r="L5" s="32">
        <f t="shared" si="0"/>
        <v>80.3</v>
      </c>
      <c r="M5" s="32">
        <f t="shared" si="0"/>
        <v>82.7</v>
      </c>
      <c r="N5" s="32">
        <f t="shared" si="0"/>
        <v>110.19999999999999</v>
      </c>
      <c r="O5" s="32">
        <f t="shared" si="0"/>
        <v>101</v>
      </c>
      <c r="P5" s="32">
        <f t="shared" si="0"/>
        <v>110.4</v>
      </c>
      <c r="Q5" s="32">
        <f t="shared" si="0"/>
        <v>109.6</v>
      </c>
      <c r="R5" s="32">
        <f t="shared" si="0"/>
        <v>93.3</v>
      </c>
      <c r="S5" s="32">
        <f t="shared" si="0"/>
        <v>106.5</v>
      </c>
      <c r="T5" s="32">
        <f t="shared" si="0"/>
        <v>106</v>
      </c>
      <c r="U5" s="32">
        <f t="shared" si="0"/>
        <v>101</v>
      </c>
      <c r="V5" s="32">
        <f t="shared" si="0"/>
        <v>101</v>
      </c>
      <c r="W5" s="32">
        <f t="shared" si="0"/>
        <v>94.2</v>
      </c>
      <c r="X5" s="32">
        <f t="shared" si="0"/>
        <v>94.9</v>
      </c>
      <c r="Y5" s="32">
        <f t="shared" si="0"/>
        <v>79.699999999999989</v>
      </c>
      <c r="Z5" s="32">
        <f t="shared" si="0"/>
        <v>91.699999999999989</v>
      </c>
      <c r="AA5" s="32">
        <f t="shared" si="0"/>
        <v>86</v>
      </c>
      <c r="AB5" s="32">
        <f t="shared" si="0"/>
        <v>81.400000000000006</v>
      </c>
      <c r="AC5" s="32">
        <f t="shared" si="0"/>
        <v>88</v>
      </c>
      <c r="AD5" s="32">
        <f t="shared" si="0"/>
        <v>95.6</v>
      </c>
      <c r="AE5" s="32">
        <f t="shared" si="0"/>
        <v>87.199999999999989</v>
      </c>
      <c r="AF5" s="32">
        <f>B68</f>
        <v>77.400000000000006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1685MW at 7:00hr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Load=1553</v>
      </c>
      <c r="B7" s="37">
        <f>B75</f>
        <v>1787.44</v>
      </c>
      <c r="C7" s="37">
        <f t="shared" ref="C7:AF7" si="1">C75</f>
        <v>1774.2400000000002</v>
      </c>
      <c r="D7" s="37">
        <f t="shared" si="1"/>
        <v>1763.14</v>
      </c>
      <c r="E7" s="37">
        <f t="shared" si="1"/>
        <v>1712.04</v>
      </c>
      <c r="F7" s="37">
        <f t="shared" si="1"/>
        <v>1673.7399999999998</v>
      </c>
      <c r="G7" s="37">
        <f t="shared" si="1"/>
        <v>1683.54</v>
      </c>
      <c r="H7" s="37">
        <f t="shared" si="1"/>
        <v>1577.04</v>
      </c>
      <c r="I7" s="37">
        <f t="shared" si="1"/>
        <v>1576.04</v>
      </c>
      <c r="J7" s="37">
        <f t="shared" si="1"/>
        <v>1601.8400000000001</v>
      </c>
      <c r="K7" s="37">
        <f t="shared" si="1"/>
        <v>1684.7399999999998</v>
      </c>
      <c r="L7" s="37">
        <f t="shared" si="1"/>
        <v>1658.2399999999998</v>
      </c>
      <c r="M7" s="37">
        <f t="shared" si="1"/>
        <v>1627.64</v>
      </c>
      <c r="N7" s="37">
        <f t="shared" si="1"/>
        <v>1653.54</v>
      </c>
      <c r="O7" s="37">
        <f t="shared" si="1"/>
        <v>1680.3400000000001</v>
      </c>
      <c r="P7" s="37">
        <f t="shared" si="1"/>
        <v>1645.14</v>
      </c>
      <c r="Q7" s="37">
        <f t="shared" si="1"/>
        <v>1699.5400000000002</v>
      </c>
      <c r="R7" s="37">
        <f t="shared" si="1"/>
        <v>1704.2400000000002</v>
      </c>
      <c r="S7" s="37">
        <f t="shared" si="1"/>
        <v>1718.8400000000001</v>
      </c>
      <c r="T7" s="37">
        <f t="shared" si="1"/>
        <v>1717.64</v>
      </c>
      <c r="U7" s="37">
        <f t="shared" si="1"/>
        <v>1552.7400000000002</v>
      </c>
      <c r="V7" s="37">
        <f t="shared" si="1"/>
        <v>1640.5400000000002</v>
      </c>
      <c r="W7" s="37">
        <f t="shared" si="1"/>
        <v>1580.54</v>
      </c>
      <c r="X7" s="37">
        <f t="shared" si="1"/>
        <v>1573.3400000000001</v>
      </c>
      <c r="Y7" s="37">
        <f t="shared" si="1"/>
        <v>1625.0400000000002</v>
      </c>
      <c r="Z7" s="37">
        <f t="shared" si="1"/>
        <v>1705.3400000000001</v>
      </c>
      <c r="AA7" s="37">
        <f t="shared" si="1"/>
        <v>1766.7400000000002</v>
      </c>
      <c r="AB7" s="37">
        <f t="shared" si="1"/>
        <v>1732.3400000000001</v>
      </c>
      <c r="AC7" s="37">
        <f t="shared" si="1"/>
        <v>1679.14</v>
      </c>
      <c r="AD7" s="37">
        <f t="shared" si="1"/>
        <v>1667.5400000000002</v>
      </c>
      <c r="AE7" s="37">
        <f t="shared" si="1"/>
        <v>1638.8400000000001</v>
      </c>
      <c r="AF7" s="37">
        <f t="shared" si="1"/>
        <v>1584.0400000000002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3">
        <v>456</v>
      </c>
      <c r="C11" s="53">
        <v>456</v>
      </c>
      <c r="D11" s="53">
        <v>456</v>
      </c>
      <c r="E11" s="51">
        <v>436</v>
      </c>
      <c r="F11" s="51">
        <v>416</v>
      </c>
      <c r="G11" s="51">
        <v>416</v>
      </c>
      <c r="H11" s="51">
        <v>380</v>
      </c>
      <c r="I11" s="51">
        <v>380</v>
      </c>
      <c r="J11" s="52">
        <v>400</v>
      </c>
      <c r="K11" s="52">
        <v>410</v>
      </c>
      <c r="L11" s="52">
        <v>410</v>
      </c>
      <c r="M11" s="51">
        <v>365</v>
      </c>
      <c r="N11" s="51">
        <v>400</v>
      </c>
      <c r="O11" s="51">
        <v>400</v>
      </c>
      <c r="P11" s="51">
        <v>420</v>
      </c>
      <c r="Q11" s="51">
        <v>440</v>
      </c>
      <c r="R11" s="51">
        <v>435</v>
      </c>
      <c r="S11" s="51">
        <v>425</v>
      </c>
      <c r="T11" s="51">
        <v>430</v>
      </c>
      <c r="U11" s="51">
        <v>400</v>
      </c>
      <c r="V11" s="53">
        <v>370</v>
      </c>
      <c r="W11" s="53">
        <v>310</v>
      </c>
      <c r="X11" s="53">
        <v>300</v>
      </c>
      <c r="Y11" s="53">
        <v>330</v>
      </c>
      <c r="Z11" s="53">
        <v>400</v>
      </c>
      <c r="AA11" s="53">
        <v>456</v>
      </c>
      <c r="AB11" s="53">
        <v>456</v>
      </c>
      <c r="AC11" s="53">
        <v>456</v>
      </c>
      <c r="AD11" s="53">
        <v>456</v>
      </c>
      <c r="AE11" s="53">
        <v>420</v>
      </c>
      <c r="AF11" s="53">
        <v>400</v>
      </c>
      <c r="AG11" s="54">
        <v>456</v>
      </c>
      <c r="AH11" s="55">
        <f>MAX(B11:AF11)</f>
        <v>456</v>
      </c>
      <c r="AI11" s="56">
        <f>MIN(B11:AF11)</f>
        <v>300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36</v>
      </c>
      <c r="C13" s="51">
        <v>40.799999999999997</v>
      </c>
      <c r="D13" s="51">
        <v>41.2</v>
      </c>
      <c r="E13" s="51">
        <v>41.2</v>
      </c>
      <c r="F13" s="51">
        <v>41.2</v>
      </c>
      <c r="G13" s="51">
        <v>41.2</v>
      </c>
      <c r="H13" s="51">
        <v>0</v>
      </c>
      <c r="I13" s="51">
        <v>27.3</v>
      </c>
      <c r="J13" s="51">
        <v>27.3</v>
      </c>
      <c r="K13" s="51">
        <v>52.8</v>
      </c>
      <c r="L13" s="51">
        <v>52.8</v>
      </c>
      <c r="M13" s="51">
        <v>52.9</v>
      </c>
      <c r="N13" s="51">
        <v>52.9</v>
      </c>
      <c r="O13" s="51">
        <v>52.9</v>
      </c>
      <c r="P13" s="51">
        <v>52.8</v>
      </c>
      <c r="Q13" s="51">
        <v>52.8</v>
      </c>
      <c r="R13" s="51">
        <v>52.8</v>
      </c>
      <c r="S13" s="51">
        <v>52.8</v>
      </c>
      <c r="T13" s="51">
        <v>52.8</v>
      </c>
      <c r="U13" s="51">
        <v>52.8</v>
      </c>
      <c r="V13" s="51">
        <v>39.5</v>
      </c>
      <c r="W13" s="51">
        <v>39.5</v>
      </c>
      <c r="X13" s="51">
        <v>42</v>
      </c>
      <c r="Y13" s="51">
        <v>42</v>
      </c>
      <c r="Z13" s="51">
        <v>45</v>
      </c>
      <c r="AA13" s="51">
        <v>25</v>
      </c>
      <c r="AB13" s="51">
        <v>25</v>
      </c>
      <c r="AC13" s="51">
        <v>25</v>
      </c>
      <c r="AD13" s="51">
        <v>25</v>
      </c>
      <c r="AE13" s="51">
        <v>25</v>
      </c>
      <c r="AF13" s="51">
        <v>25</v>
      </c>
      <c r="AG13" s="59">
        <v>52.4</v>
      </c>
      <c r="AH13" s="55">
        <f t="shared" si="2"/>
        <v>52.9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50.2</v>
      </c>
      <c r="C14" s="51">
        <v>50.6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50.6</v>
      </c>
      <c r="N14" s="51">
        <v>50.6</v>
      </c>
      <c r="O14" s="51">
        <v>50.6</v>
      </c>
      <c r="P14" s="51">
        <v>50.6</v>
      </c>
      <c r="Q14" s="51">
        <v>50.6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50.6</v>
      </c>
      <c r="AD14" s="51">
        <v>50.6</v>
      </c>
      <c r="AE14" s="51">
        <v>50.6</v>
      </c>
      <c r="AF14" s="51">
        <v>50.6</v>
      </c>
      <c r="AG14" s="59">
        <v>50</v>
      </c>
      <c r="AH14" s="55">
        <f t="shared" si="2"/>
        <v>50.6</v>
      </c>
      <c r="AI14" s="56">
        <f t="shared" si="3"/>
        <v>50.2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45.6</v>
      </c>
      <c r="N15" s="51">
        <v>45.6</v>
      </c>
      <c r="O15" s="51">
        <v>45.6</v>
      </c>
      <c r="P15" s="51">
        <v>45.6</v>
      </c>
      <c r="Q15" s="51">
        <v>45.7</v>
      </c>
      <c r="R15" s="51">
        <v>45.7</v>
      </c>
      <c r="S15" s="51">
        <v>45.7</v>
      </c>
      <c r="T15" s="51">
        <v>45.7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60">
        <v>45</v>
      </c>
      <c r="AH15" s="55">
        <f t="shared" si="2"/>
        <v>45.8</v>
      </c>
      <c r="AI15" s="56">
        <f t="shared" si="3"/>
        <v>45.6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35</v>
      </c>
      <c r="C16" s="51">
        <v>40</v>
      </c>
      <c r="D16" s="51">
        <v>40</v>
      </c>
      <c r="E16" s="51">
        <v>40</v>
      </c>
      <c r="F16" s="51">
        <v>40</v>
      </c>
      <c r="G16" s="51">
        <v>40</v>
      </c>
      <c r="H16" s="51">
        <v>40</v>
      </c>
      <c r="I16" s="51">
        <v>40</v>
      </c>
      <c r="J16" s="51">
        <v>40</v>
      </c>
      <c r="K16" s="51">
        <v>40</v>
      </c>
      <c r="L16" s="51">
        <v>40</v>
      </c>
      <c r="M16" s="51">
        <v>36</v>
      </c>
      <c r="N16" s="51">
        <v>36</v>
      </c>
      <c r="O16" s="51">
        <v>34</v>
      </c>
      <c r="P16" s="51">
        <v>34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34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0</v>
      </c>
      <c r="D17" s="51">
        <v>0</v>
      </c>
      <c r="E17" s="51">
        <v>0</v>
      </c>
      <c r="F17" s="51">
        <v>0</v>
      </c>
      <c r="G17" s="51">
        <v>25</v>
      </c>
      <c r="H17" s="51">
        <v>25</v>
      </c>
      <c r="I17" s="51">
        <v>0</v>
      </c>
      <c r="J17" s="51">
        <v>0</v>
      </c>
      <c r="K17" s="51">
        <v>0</v>
      </c>
      <c r="L17" s="51">
        <v>0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9">
        <v>36</v>
      </c>
      <c r="AH18" s="55">
        <f t="shared" si="2"/>
        <v>25</v>
      </c>
      <c r="AI18" s="56">
        <f t="shared" si="3"/>
        <v>16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26.2</v>
      </c>
      <c r="D19" s="51">
        <v>26.2</v>
      </c>
      <c r="E19" s="51">
        <v>26.2</v>
      </c>
      <c r="F19" s="51">
        <v>26.2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26.2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11</v>
      </c>
      <c r="C20" s="51">
        <v>11</v>
      </c>
      <c r="D20" s="51">
        <v>11</v>
      </c>
      <c r="E20" s="51">
        <v>11</v>
      </c>
      <c r="F20" s="51">
        <v>11</v>
      </c>
      <c r="G20" s="51">
        <v>11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9">
        <v>27</v>
      </c>
      <c r="AH20" s="55">
        <f t="shared" si="2"/>
        <v>11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9">
        <v>25</v>
      </c>
      <c r="AH21" s="55">
        <f t="shared" si="2"/>
        <v>4</v>
      </c>
      <c r="AI21" s="56">
        <f t="shared" si="3"/>
        <v>4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24.6</v>
      </c>
      <c r="C22" s="51">
        <v>24.6</v>
      </c>
      <c r="D22" s="51">
        <v>24.6</v>
      </c>
      <c r="E22" s="51">
        <v>24.6</v>
      </c>
      <c r="F22" s="51">
        <v>24.6</v>
      </c>
      <c r="G22" s="51">
        <v>24.6</v>
      </c>
      <c r="H22" s="51">
        <v>24.6</v>
      </c>
      <c r="I22" s="51">
        <v>24.6</v>
      </c>
      <c r="J22" s="51">
        <v>24.6</v>
      </c>
      <c r="K22" s="51">
        <v>24.6</v>
      </c>
      <c r="L22" s="51">
        <v>24.6</v>
      </c>
      <c r="M22" s="51">
        <v>24.6</v>
      </c>
      <c r="N22" s="51">
        <v>24.6</v>
      </c>
      <c r="O22" s="51">
        <v>24.6</v>
      </c>
      <c r="P22" s="51">
        <v>24.1</v>
      </c>
      <c r="Q22" s="51">
        <v>24.1</v>
      </c>
      <c r="R22" s="51">
        <v>24.1</v>
      </c>
      <c r="S22" s="51">
        <v>24.1</v>
      </c>
      <c r="T22" s="51">
        <v>24.1</v>
      </c>
      <c r="U22" s="51">
        <v>24.1</v>
      </c>
      <c r="V22" s="51">
        <v>24.1</v>
      </c>
      <c r="W22" s="51">
        <v>24.1</v>
      </c>
      <c r="X22" s="51">
        <v>24.1</v>
      </c>
      <c r="Y22" s="51">
        <v>24.1</v>
      </c>
      <c r="Z22" s="51">
        <v>24.1</v>
      </c>
      <c r="AA22" s="51">
        <v>24.1</v>
      </c>
      <c r="AB22" s="51">
        <v>24.1</v>
      </c>
      <c r="AC22" s="51">
        <v>24.1</v>
      </c>
      <c r="AD22" s="51">
        <v>24.1</v>
      </c>
      <c r="AE22" s="51">
        <v>24.1</v>
      </c>
      <c r="AF22" s="51">
        <v>24.1</v>
      </c>
      <c r="AG22" s="59">
        <v>25</v>
      </c>
      <c r="AH22" s="55">
        <f t="shared" si="2"/>
        <v>24.6</v>
      </c>
      <c r="AI22" s="56">
        <f t="shared" si="3"/>
        <v>24.1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9">
        <v>25</v>
      </c>
      <c r="AH23" s="55">
        <f t="shared" si="2"/>
        <v>10</v>
      </c>
      <c r="AI23" s="56">
        <f t="shared" si="3"/>
        <v>10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21.9</v>
      </c>
      <c r="C24" s="51">
        <v>21.9</v>
      </c>
      <c r="D24" s="51">
        <v>20.7</v>
      </c>
      <c r="E24" s="51">
        <v>8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9">
        <v>25</v>
      </c>
      <c r="AH24" s="55">
        <f t="shared" si="2"/>
        <v>21.9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10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9">
        <v>23.5</v>
      </c>
      <c r="AH27" s="55">
        <f t="shared" si="2"/>
        <v>8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5</v>
      </c>
      <c r="Y29" s="51">
        <v>5</v>
      </c>
      <c r="Z29" s="51">
        <v>5</v>
      </c>
      <c r="AA29" s="51">
        <v>5</v>
      </c>
      <c r="AB29" s="51">
        <v>5</v>
      </c>
      <c r="AC29" s="51">
        <v>5</v>
      </c>
      <c r="AD29" s="51">
        <v>5</v>
      </c>
      <c r="AE29" s="51">
        <v>5</v>
      </c>
      <c r="AF29" s="51">
        <v>5</v>
      </c>
      <c r="AG29" s="59">
        <v>22.1</v>
      </c>
      <c r="AH29" s="55">
        <f t="shared" si="2"/>
        <v>7</v>
      </c>
      <c r="AI29" s="56">
        <f t="shared" si="3"/>
        <v>5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0</v>
      </c>
      <c r="AC30" s="51">
        <v>0</v>
      </c>
      <c r="AD30" s="51">
        <v>0</v>
      </c>
      <c r="AE30" s="51">
        <v>8</v>
      </c>
      <c r="AF30" s="51">
        <v>8</v>
      </c>
      <c r="AG30" s="59">
        <v>22.1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0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4">
        <v>22</v>
      </c>
      <c r="AH32" s="55">
        <f t="shared" si="2"/>
        <v>7</v>
      </c>
      <c r="AI32" s="56">
        <f t="shared" si="3"/>
        <v>7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</v>
      </c>
      <c r="C34" s="51">
        <v>8</v>
      </c>
      <c r="D34" s="51">
        <v>8</v>
      </c>
      <c r="E34" s="51">
        <v>8</v>
      </c>
      <c r="F34" s="51">
        <v>8</v>
      </c>
      <c r="G34" s="51">
        <v>8</v>
      </c>
      <c r="H34" s="51">
        <v>8</v>
      </c>
      <c r="I34" s="51">
        <v>8</v>
      </c>
      <c r="J34" s="51">
        <v>8</v>
      </c>
      <c r="K34" s="51">
        <v>8</v>
      </c>
      <c r="L34" s="51">
        <v>8</v>
      </c>
      <c r="M34" s="51">
        <v>8</v>
      </c>
      <c r="N34" s="51">
        <v>8</v>
      </c>
      <c r="O34" s="51">
        <v>8</v>
      </c>
      <c r="P34" s="51">
        <v>8</v>
      </c>
      <c r="Q34" s="51">
        <v>6.2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4">
        <v>20</v>
      </c>
      <c r="AH34" s="55">
        <f t="shared" si="2"/>
        <v>9</v>
      </c>
      <c r="AI34" s="56">
        <f t="shared" si="3"/>
        <v>6.2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63+90.9</f>
        <v>153.9</v>
      </c>
      <c r="C37" s="68">
        <f>90.5+49.7</f>
        <v>140.19999999999999</v>
      </c>
      <c r="D37" s="68">
        <f>37.8+90.4</f>
        <v>128.19999999999999</v>
      </c>
      <c r="E37" s="68">
        <v>146</v>
      </c>
      <c r="F37" s="68">
        <v>146</v>
      </c>
      <c r="G37" s="68">
        <v>144</v>
      </c>
      <c r="H37" s="68">
        <f>91+48</f>
        <v>139</v>
      </c>
      <c r="I37" s="68">
        <f>91+48</f>
        <v>139</v>
      </c>
      <c r="J37" s="68">
        <f>91+48</f>
        <v>139</v>
      </c>
      <c r="K37" s="68">
        <v>117</v>
      </c>
      <c r="L37" s="68">
        <v>117</v>
      </c>
      <c r="M37" s="66">
        <f>89.3+69.2</f>
        <v>158.5</v>
      </c>
      <c r="N37" s="66">
        <f>90.9+66.3</f>
        <v>157.19999999999999</v>
      </c>
      <c r="O37" s="66">
        <f>84.7+57.5</f>
        <v>142.19999999999999</v>
      </c>
      <c r="P37" s="66">
        <f>71.6+77.8</f>
        <v>149.39999999999998</v>
      </c>
      <c r="Q37" s="66">
        <f>80.9+77.6</f>
        <v>158.5</v>
      </c>
      <c r="R37" s="66">
        <f>90.9+74.2</f>
        <v>165.10000000000002</v>
      </c>
      <c r="S37" s="66">
        <f>90.9+74.2</f>
        <v>165.10000000000002</v>
      </c>
      <c r="T37" s="66">
        <f>70+80.2</f>
        <v>150.19999999999999</v>
      </c>
      <c r="U37" s="66">
        <f>70+80.2</f>
        <v>150.19999999999999</v>
      </c>
      <c r="V37" s="66">
        <v>158</v>
      </c>
      <c r="W37" s="66">
        <v>158</v>
      </c>
      <c r="X37" s="66">
        <v>158</v>
      </c>
      <c r="Y37" s="66">
        <f>64.6+87</f>
        <v>151.6</v>
      </c>
      <c r="Z37" s="66">
        <f>24+89.7</f>
        <v>113.7</v>
      </c>
      <c r="AA37" s="66">
        <f>24+89.7</f>
        <v>113.7</v>
      </c>
      <c r="AB37" s="68">
        <f>25+90</f>
        <v>115</v>
      </c>
      <c r="AC37" s="68">
        <f>25+90</f>
        <v>115</v>
      </c>
      <c r="AD37" s="68">
        <f>25.1+90.5</f>
        <v>115.6</v>
      </c>
      <c r="AE37" s="68">
        <f>25.1+91.6</f>
        <v>116.69999999999999</v>
      </c>
      <c r="AF37" s="68">
        <f>25.1+91.6</f>
        <v>116.69999999999999</v>
      </c>
      <c r="AG37" s="64">
        <v>240</v>
      </c>
      <c r="AH37" s="55">
        <f t="shared" si="2"/>
        <v>165.10000000000002</v>
      </c>
      <c r="AI37" s="56">
        <f t="shared" si="3"/>
        <v>113.7</v>
      </c>
      <c r="AK37" s="57"/>
    </row>
    <row r="38" spans="1:88" ht="15.75" thickBot="1" x14ac:dyDescent="0.3">
      <c r="A38" s="69" t="s">
        <v>46</v>
      </c>
      <c r="B38" s="70">
        <f t="shared" ref="B38" si="4">SUM(B11:B36)</f>
        <v>1212.1000000000001</v>
      </c>
      <c r="C38" s="70">
        <f t="shared" ref="C38:AF38" si="5">SUM(C11:C36)</f>
        <v>1197.3000000000002</v>
      </c>
      <c r="D38" s="70">
        <f t="shared" si="5"/>
        <v>1196.3000000000002</v>
      </c>
      <c r="E38" s="70">
        <f t="shared" si="5"/>
        <v>1163.5999999999999</v>
      </c>
      <c r="F38" s="70">
        <f t="shared" si="5"/>
        <v>1135.5999999999999</v>
      </c>
      <c r="G38" s="70">
        <f t="shared" si="5"/>
        <v>1160.5999999999999</v>
      </c>
      <c r="H38" s="70">
        <f t="shared" si="5"/>
        <v>1072.4000000000001</v>
      </c>
      <c r="I38" s="70">
        <f t="shared" si="5"/>
        <v>1074.7</v>
      </c>
      <c r="J38" s="70">
        <f t="shared" si="5"/>
        <v>1094.7</v>
      </c>
      <c r="K38" s="70">
        <f t="shared" si="5"/>
        <v>1130.1999999999998</v>
      </c>
      <c r="L38" s="70">
        <f t="shared" si="5"/>
        <v>1130.1999999999998</v>
      </c>
      <c r="M38" s="70">
        <f t="shared" si="5"/>
        <v>1101.4000000000001</v>
      </c>
      <c r="N38" s="70">
        <f t="shared" si="5"/>
        <v>1136.4000000000001</v>
      </c>
      <c r="O38" s="70">
        <f t="shared" si="5"/>
        <v>1134.4000000000001</v>
      </c>
      <c r="P38" s="70">
        <f t="shared" si="5"/>
        <v>1153.8000000000002</v>
      </c>
      <c r="Q38" s="70">
        <f t="shared" si="5"/>
        <v>1178.1000000000001</v>
      </c>
      <c r="R38" s="70">
        <f t="shared" si="5"/>
        <v>1167.9000000000001</v>
      </c>
      <c r="S38" s="70">
        <f t="shared" si="5"/>
        <v>1157.9000000000001</v>
      </c>
      <c r="T38" s="70">
        <f t="shared" si="5"/>
        <v>1162.9000000000001</v>
      </c>
      <c r="U38" s="70">
        <f t="shared" si="5"/>
        <v>1132.9000000000001</v>
      </c>
      <c r="V38" s="70">
        <f t="shared" si="5"/>
        <v>1089.6000000000001</v>
      </c>
      <c r="W38" s="70">
        <f t="shared" si="5"/>
        <v>1029.5999999999999</v>
      </c>
      <c r="X38" s="70">
        <f t="shared" si="5"/>
        <v>1020.1</v>
      </c>
      <c r="Y38" s="70">
        <f t="shared" si="5"/>
        <v>1050.1000000000001</v>
      </c>
      <c r="Z38" s="70">
        <f t="shared" si="5"/>
        <v>1098.1000000000001</v>
      </c>
      <c r="AA38" s="70">
        <f t="shared" si="5"/>
        <v>1134.1000000000001</v>
      </c>
      <c r="AB38" s="70">
        <f t="shared" si="5"/>
        <v>1122.1000000000001</v>
      </c>
      <c r="AC38" s="70">
        <f t="shared" si="5"/>
        <v>1122.1000000000001</v>
      </c>
      <c r="AD38" s="70">
        <f t="shared" si="5"/>
        <v>1122.1000000000001</v>
      </c>
      <c r="AE38" s="70">
        <f t="shared" si="5"/>
        <v>1094.1000000000001</v>
      </c>
      <c r="AF38" s="70">
        <f t="shared" si="5"/>
        <v>1074.1000000000001</v>
      </c>
      <c r="AG38" s="64">
        <f>SUM(AG11:AG37)</f>
        <v>1492.8299999999997</v>
      </c>
      <c r="AH38" s="55">
        <f t="shared" si="2"/>
        <v>1212.1000000000001</v>
      </c>
      <c r="AI38" s="56">
        <f t="shared" si="3"/>
        <v>1020.1</v>
      </c>
      <c r="AK38" s="57"/>
    </row>
    <row r="39" spans="1:88" x14ac:dyDescent="0.25">
      <c r="A39" s="58" t="s">
        <v>47</v>
      </c>
      <c r="B39" s="51">
        <v>144.19999999999999</v>
      </c>
      <c r="C39" s="51">
        <v>144.19999999999999</v>
      </c>
      <c r="D39" s="51">
        <v>143.9</v>
      </c>
      <c r="E39" s="51">
        <v>143.9</v>
      </c>
      <c r="F39" s="51">
        <v>143.9</v>
      </c>
      <c r="G39" s="51">
        <v>143.9</v>
      </c>
      <c r="H39" s="51">
        <v>143.9</v>
      </c>
      <c r="I39" s="51">
        <v>143.9</v>
      </c>
      <c r="J39" s="51">
        <v>143.9</v>
      </c>
      <c r="K39" s="51">
        <v>143.9</v>
      </c>
      <c r="L39" s="51">
        <v>143.9</v>
      </c>
      <c r="M39" s="51">
        <v>145.30000000000001</v>
      </c>
      <c r="N39" s="51">
        <v>145.4</v>
      </c>
      <c r="O39" s="51">
        <v>143</v>
      </c>
      <c r="P39" s="51">
        <v>0</v>
      </c>
      <c r="Q39" s="51">
        <v>145.1</v>
      </c>
      <c r="R39" s="51">
        <v>145.1</v>
      </c>
      <c r="S39" s="51">
        <v>145.1</v>
      </c>
      <c r="T39" s="51">
        <v>144.5</v>
      </c>
      <c r="U39" s="51">
        <v>0</v>
      </c>
      <c r="V39" s="51">
        <v>145</v>
      </c>
      <c r="W39" s="51">
        <v>145</v>
      </c>
      <c r="X39" s="51">
        <v>145</v>
      </c>
      <c r="Y39" s="51">
        <v>145</v>
      </c>
      <c r="Z39" s="51">
        <v>143.5</v>
      </c>
      <c r="AA39" s="51">
        <v>143.5</v>
      </c>
      <c r="AB39" s="51">
        <v>143.5</v>
      </c>
      <c r="AC39" s="51">
        <v>143.5</v>
      </c>
      <c r="AD39" s="51">
        <v>143.5</v>
      </c>
      <c r="AE39" s="51">
        <v>143.5</v>
      </c>
      <c r="AF39" s="51">
        <v>143.5</v>
      </c>
      <c r="AG39" s="60">
        <v>144</v>
      </c>
      <c r="AH39" s="55">
        <f t="shared" si="2"/>
        <v>145.4</v>
      </c>
      <c r="AI39" s="56">
        <f t="shared" si="3"/>
        <v>0</v>
      </c>
      <c r="AK39" s="57"/>
    </row>
    <row r="40" spans="1:88" x14ac:dyDescent="0.25">
      <c r="A40" s="63" t="s">
        <v>48</v>
      </c>
      <c r="B40" s="49">
        <v>65.8</v>
      </c>
      <c r="C40" s="49">
        <v>65</v>
      </c>
      <c r="D40" s="49">
        <v>70.2</v>
      </c>
      <c r="E40" s="49">
        <v>70.2</v>
      </c>
      <c r="F40" s="49">
        <v>70.2</v>
      </c>
      <c r="G40" s="49">
        <v>70.2</v>
      </c>
      <c r="H40" s="49">
        <v>70.2</v>
      </c>
      <c r="I40" s="49">
        <v>70.2</v>
      </c>
      <c r="J40" s="49">
        <v>70.2</v>
      </c>
      <c r="K40" s="49">
        <v>70.2</v>
      </c>
      <c r="L40" s="49">
        <v>70.2</v>
      </c>
      <c r="M40" s="51">
        <v>71.099999999999994</v>
      </c>
      <c r="N40" s="51">
        <v>70.7</v>
      </c>
      <c r="O40" s="51">
        <v>70.599999999999994</v>
      </c>
      <c r="P40" s="51">
        <v>20.399999999999999</v>
      </c>
      <c r="Q40" s="51">
        <v>20</v>
      </c>
      <c r="R40" s="51">
        <v>21.5</v>
      </c>
      <c r="S40" s="51">
        <v>21.5</v>
      </c>
      <c r="T40" s="49">
        <v>19</v>
      </c>
      <c r="U40" s="49">
        <v>19</v>
      </c>
      <c r="V40" s="49">
        <v>70</v>
      </c>
      <c r="W40" s="49">
        <v>70</v>
      </c>
      <c r="X40" s="49">
        <v>70</v>
      </c>
      <c r="Y40" s="49">
        <v>70</v>
      </c>
      <c r="Z40" s="49">
        <v>70</v>
      </c>
      <c r="AA40" s="49">
        <v>70</v>
      </c>
      <c r="AB40" s="49">
        <v>70</v>
      </c>
      <c r="AC40" s="49">
        <v>70</v>
      </c>
      <c r="AD40" s="49">
        <v>70</v>
      </c>
      <c r="AE40" s="49">
        <v>70</v>
      </c>
      <c r="AF40" s="49">
        <v>70</v>
      </c>
      <c r="AG40" s="64">
        <v>70</v>
      </c>
      <c r="AH40" s="55">
        <f t="shared" si="2"/>
        <v>71.099999999999994</v>
      </c>
      <c r="AI40" s="56">
        <f t="shared" si="3"/>
        <v>19</v>
      </c>
      <c r="AK40" s="57"/>
    </row>
    <row r="41" spans="1:88" x14ac:dyDescent="0.25">
      <c r="A41" s="63" t="s">
        <v>49</v>
      </c>
      <c r="B41" s="49">
        <v>64.2</v>
      </c>
      <c r="C41" s="49">
        <v>64.900000000000006</v>
      </c>
      <c r="D41" s="49">
        <v>65.7</v>
      </c>
      <c r="E41" s="49">
        <v>65.7</v>
      </c>
      <c r="F41" s="49">
        <v>65.7</v>
      </c>
      <c r="G41" s="49">
        <v>65.7</v>
      </c>
      <c r="H41" s="49">
        <v>65.7</v>
      </c>
      <c r="I41" s="49">
        <v>65.7</v>
      </c>
      <c r="J41" s="49">
        <v>65.7</v>
      </c>
      <c r="K41" s="49">
        <v>65.7</v>
      </c>
      <c r="L41" s="49">
        <v>65.7</v>
      </c>
      <c r="M41" s="51">
        <v>61.8</v>
      </c>
      <c r="N41" s="51">
        <v>61.7</v>
      </c>
      <c r="O41" s="51">
        <v>61.6</v>
      </c>
      <c r="P41" s="51">
        <v>29.5</v>
      </c>
      <c r="Q41" s="51">
        <v>33.700000000000003</v>
      </c>
      <c r="R41" s="51">
        <v>33</v>
      </c>
      <c r="S41" s="51">
        <v>33</v>
      </c>
      <c r="T41" s="49">
        <v>36</v>
      </c>
      <c r="U41" s="49">
        <v>45</v>
      </c>
      <c r="V41" s="49">
        <v>62.8</v>
      </c>
      <c r="W41" s="49">
        <v>62.8</v>
      </c>
      <c r="X41" s="49">
        <v>62.8</v>
      </c>
      <c r="Y41" s="49">
        <v>62.8</v>
      </c>
      <c r="Z41" s="49">
        <v>63.9</v>
      </c>
      <c r="AA41" s="49">
        <v>63.9</v>
      </c>
      <c r="AB41" s="49">
        <v>59.8</v>
      </c>
      <c r="AC41" s="49">
        <v>59.8</v>
      </c>
      <c r="AD41" s="49">
        <v>59.8</v>
      </c>
      <c r="AE41" s="49">
        <v>59.8</v>
      </c>
      <c r="AF41" s="49">
        <v>59.8</v>
      </c>
      <c r="AG41" s="64">
        <v>69</v>
      </c>
      <c r="AH41" s="55">
        <f t="shared" si="2"/>
        <v>65.7</v>
      </c>
      <c r="AI41" s="56">
        <f t="shared" si="3"/>
        <v>29.5</v>
      </c>
      <c r="AK41" s="57"/>
    </row>
    <row r="42" spans="1:88" x14ac:dyDescent="0.25">
      <c r="A42" s="63" t="s">
        <v>50</v>
      </c>
      <c r="B42" s="66">
        <v>60.9</v>
      </c>
      <c r="C42" s="66">
        <v>60.9</v>
      </c>
      <c r="D42" s="66">
        <v>60.9</v>
      </c>
      <c r="E42" s="66">
        <v>60.9</v>
      </c>
      <c r="F42" s="66">
        <v>60.9</v>
      </c>
      <c r="G42" s="66">
        <v>60.9</v>
      </c>
      <c r="H42" s="66">
        <v>60.9</v>
      </c>
      <c r="I42" s="66">
        <v>60.9</v>
      </c>
      <c r="J42" s="66">
        <v>60.9</v>
      </c>
      <c r="K42" s="66">
        <v>60.9</v>
      </c>
      <c r="L42" s="66">
        <v>60.9</v>
      </c>
      <c r="M42" s="51">
        <v>60.9</v>
      </c>
      <c r="N42" s="51">
        <v>60.7</v>
      </c>
      <c r="O42" s="51">
        <v>58.4</v>
      </c>
      <c r="P42" s="51">
        <v>0</v>
      </c>
      <c r="Q42" s="51">
        <v>60.4</v>
      </c>
      <c r="R42" s="51">
        <v>60</v>
      </c>
      <c r="S42" s="51">
        <v>60</v>
      </c>
      <c r="T42" s="51">
        <v>60.2</v>
      </c>
      <c r="U42" s="51">
        <v>60.2</v>
      </c>
      <c r="V42" s="51">
        <v>60.2</v>
      </c>
      <c r="W42" s="51">
        <v>60.2</v>
      </c>
      <c r="X42" s="51">
        <v>60.2</v>
      </c>
      <c r="Y42" s="51">
        <v>60.2</v>
      </c>
      <c r="Z42" s="49">
        <v>60.4</v>
      </c>
      <c r="AA42" s="49">
        <v>60.4</v>
      </c>
      <c r="AB42" s="49">
        <v>60.4</v>
      </c>
      <c r="AC42" s="49">
        <v>60.4</v>
      </c>
      <c r="AD42" s="49">
        <v>60.4</v>
      </c>
      <c r="AE42" s="49">
        <v>60.4</v>
      </c>
      <c r="AF42" s="49">
        <v>60.4</v>
      </c>
      <c r="AG42" s="64">
        <v>60</v>
      </c>
      <c r="AH42" s="55">
        <f t="shared" si="2"/>
        <v>60.9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20</v>
      </c>
      <c r="C43" s="66">
        <v>19.100000000000001</v>
      </c>
      <c r="D43" s="66">
        <v>29.5</v>
      </c>
      <c r="E43" s="66">
        <v>29.5</v>
      </c>
      <c r="F43" s="66">
        <v>29.5</v>
      </c>
      <c r="G43" s="66">
        <v>29.5</v>
      </c>
      <c r="H43" s="66">
        <v>20.5</v>
      </c>
      <c r="I43" s="66">
        <v>20.5</v>
      </c>
      <c r="J43" s="66">
        <v>20.5</v>
      </c>
      <c r="K43" s="66">
        <v>30</v>
      </c>
      <c r="L43" s="66">
        <v>20</v>
      </c>
      <c r="M43" s="51">
        <v>30</v>
      </c>
      <c r="N43" s="51">
        <v>20</v>
      </c>
      <c r="O43" s="51">
        <v>20</v>
      </c>
      <c r="P43" s="51">
        <v>30</v>
      </c>
      <c r="Q43" s="51">
        <v>0</v>
      </c>
      <c r="R43" s="51">
        <v>30</v>
      </c>
      <c r="S43" s="51">
        <v>30</v>
      </c>
      <c r="T43" s="51">
        <v>29.1</v>
      </c>
      <c r="U43" s="51">
        <v>29.1</v>
      </c>
      <c r="V43" s="51">
        <v>29.1</v>
      </c>
      <c r="W43" s="51">
        <v>29.1</v>
      </c>
      <c r="X43" s="51">
        <v>6</v>
      </c>
      <c r="Y43" s="51">
        <v>6</v>
      </c>
      <c r="Z43" s="51">
        <v>22.6</v>
      </c>
      <c r="AA43" s="51">
        <v>22.6</v>
      </c>
      <c r="AB43" s="51">
        <v>30</v>
      </c>
      <c r="AC43" s="51">
        <v>30</v>
      </c>
      <c r="AD43" s="51">
        <v>30</v>
      </c>
      <c r="AE43" s="51">
        <v>30</v>
      </c>
      <c r="AF43" s="51">
        <v>30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14.8</v>
      </c>
      <c r="C45" s="49">
        <v>14.8</v>
      </c>
      <c r="D45" s="49">
        <v>14.7</v>
      </c>
      <c r="E45" s="49">
        <v>14.7</v>
      </c>
      <c r="F45" s="49">
        <v>14.7</v>
      </c>
      <c r="G45" s="49">
        <v>14.7</v>
      </c>
      <c r="H45" s="49">
        <v>14.7</v>
      </c>
      <c r="I45" s="49">
        <v>14.7</v>
      </c>
      <c r="J45" s="49">
        <v>14.7</v>
      </c>
      <c r="K45" s="49">
        <v>14.7</v>
      </c>
      <c r="L45" s="49">
        <v>14.7</v>
      </c>
      <c r="M45" s="51">
        <v>14.8</v>
      </c>
      <c r="N45" s="51">
        <v>14.8</v>
      </c>
      <c r="O45" s="51">
        <v>14.8</v>
      </c>
      <c r="P45" s="51">
        <v>14.8</v>
      </c>
      <c r="Q45" s="51">
        <v>14.8</v>
      </c>
      <c r="R45" s="51">
        <v>14.8</v>
      </c>
      <c r="S45" s="51">
        <v>14.8</v>
      </c>
      <c r="T45" s="51">
        <v>14.8</v>
      </c>
      <c r="U45" s="51">
        <v>14.8</v>
      </c>
      <c r="V45" s="51">
        <v>14.8</v>
      </c>
      <c r="W45" s="51">
        <v>14.8</v>
      </c>
      <c r="X45" s="51">
        <v>14.8</v>
      </c>
      <c r="Y45" s="51">
        <v>14.8</v>
      </c>
      <c r="Z45" s="51">
        <v>14.8</v>
      </c>
      <c r="AA45" s="51">
        <v>14.8</v>
      </c>
      <c r="AB45" s="51">
        <v>14.8</v>
      </c>
      <c r="AC45" s="51">
        <v>14.8</v>
      </c>
      <c r="AD45" s="51">
        <v>14.8</v>
      </c>
      <c r="AE45" s="51">
        <v>14.8</v>
      </c>
      <c r="AF45" s="51">
        <v>14.8</v>
      </c>
      <c r="AG45" s="64">
        <v>24</v>
      </c>
      <c r="AH45" s="55">
        <f t="shared" si="2"/>
        <v>14.8</v>
      </c>
      <c r="AI45" s="56">
        <f t="shared" si="3"/>
        <v>14.7</v>
      </c>
      <c r="AK45" s="57"/>
    </row>
    <row r="46" spans="1:88" x14ac:dyDescent="0.25">
      <c r="A46" s="63" t="s">
        <v>54</v>
      </c>
      <c r="B46" s="49">
        <v>3.6</v>
      </c>
      <c r="C46" s="49">
        <v>3.6</v>
      </c>
      <c r="D46" s="49">
        <v>3.6</v>
      </c>
      <c r="E46" s="49">
        <v>3.6</v>
      </c>
      <c r="F46" s="49">
        <v>3.6</v>
      </c>
      <c r="G46" s="49">
        <v>3.6</v>
      </c>
      <c r="H46" s="49">
        <v>3.6</v>
      </c>
      <c r="I46" s="49">
        <v>3.6</v>
      </c>
      <c r="J46" s="49">
        <v>3.6</v>
      </c>
      <c r="K46" s="49">
        <v>3.6</v>
      </c>
      <c r="L46" s="49">
        <v>3.6</v>
      </c>
      <c r="M46" s="51">
        <v>3.6</v>
      </c>
      <c r="N46" s="51">
        <v>3.6</v>
      </c>
      <c r="O46" s="51">
        <v>3.6</v>
      </c>
      <c r="P46" s="51">
        <v>3.6</v>
      </c>
      <c r="Q46" s="51">
        <v>3.6</v>
      </c>
      <c r="R46" s="51">
        <v>3.6</v>
      </c>
      <c r="S46" s="51">
        <v>3.6</v>
      </c>
      <c r="T46" s="51">
        <v>3.6</v>
      </c>
      <c r="U46" s="51">
        <v>3.6</v>
      </c>
      <c r="V46" s="51">
        <v>3.6</v>
      </c>
      <c r="W46" s="51">
        <v>3.6</v>
      </c>
      <c r="X46" s="51">
        <v>3.6</v>
      </c>
      <c r="Y46" s="51">
        <v>3.6</v>
      </c>
      <c r="Z46" s="51">
        <v>3.6</v>
      </c>
      <c r="AA46" s="51">
        <v>3.6</v>
      </c>
      <c r="AB46" s="51">
        <v>3.6</v>
      </c>
      <c r="AC46" s="51">
        <v>3.6</v>
      </c>
      <c r="AD46" s="51">
        <v>3.6</v>
      </c>
      <c r="AE46" s="51">
        <v>3.6</v>
      </c>
      <c r="AF46" s="51">
        <v>3.6</v>
      </c>
      <c r="AG46" s="64">
        <v>15</v>
      </c>
      <c r="AH46" s="55">
        <f t="shared" si="2"/>
        <v>3.6</v>
      </c>
      <c r="AI46" s="56">
        <f t="shared" si="3"/>
        <v>3.6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12.5</v>
      </c>
      <c r="C47" s="49">
        <v>12.5</v>
      </c>
      <c r="D47" s="49">
        <v>12.4</v>
      </c>
      <c r="E47" s="49">
        <v>12.4</v>
      </c>
      <c r="F47" s="49">
        <v>12.4</v>
      </c>
      <c r="G47" s="49">
        <v>12.4</v>
      </c>
      <c r="H47" s="49">
        <v>12.4</v>
      </c>
      <c r="I47" s="49">
        <v>12.4</v>
      </c>
      <c r="J47" s="49">
        <v>12.4</v>
      </c>
      <c r="K47" s="49">
        <v>12.4</v>
      </c>
      <c r="L47" s="49">
        <v>12.4</v>
      </c>
      <c r="M47" s="51">
        <v>10.9</v>
      </c>
      <c r="N47" s="51">
        <v>10.9</v>
      </c>
      <c r="O47" s="51">
        <v>10.9</v>
      </c>
      <c r="P47" s="51">
        <v>10.9</v>
      </c>
      <c r="Q47" s="51">
        <v>10.9</v>
      </c>
      <c r="R47" s="51">
        <v>10.9</v>
      </c>
      <c r="S47" s="51">
        <v>10.9</v>
      </c>
      <c r="T47" s="51">
        <v>10.9</v>
      </c>
      <c r="U47" s="51">
        <v>10.9</v>
      </c>
      <c r="V47" s="51">
        <v>10.9</v>
      </c>
      <c r="W47" s="51">
        <v>10.9</v>
      </c>
      <c r="X47" s="51">
        <v>10.9</v>
      </c>
      <c r="Y47" s="51">
        <v>10.9</v>
      </c>
      <c r="Z47" s="51">
        <v>10.9</v>
      </c>
      <c r="AA47" s="51">
        <v>10.9</v>
      </c>
      <c r="AB47" s="51">
        <v>10.9</v>
      </c>
      <c r="AC47" s="51">
        <v>10.9</v>
      </c>
      <c r="AD47" s="51">
        <v>10.9</v>
      </c>
      <c r="AE47" s="51">
        <v>10.9</v>
      </c>
      <c r="AF47" s="51">
        <v>10.9</v>
      </c>
      <c r="AG47" s="64">
        <v>14.1</v>
      </c>
      <c r="AH47" s="55">
        <f t="shared" si="2"/>
        <v>12.5</v>
      </c>
      <c r="AI47" s="56">
        <f t="shared" si="3"/>
        <v>10.9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13.5</v>
      </c>
      <c r="C48" s="49">
        <v>13.4</v>
      </c>
      <c r="D48" s="49">
        <v>13.4</v>
      </c>
      <c r="E48" s="49">
        <v>13.4</v>
      </c>
      <c r="F48" s="49">
        <v>13.4</v>
      </c>
      <c r="G48" s="49">
        <v>13.4</v>
      </c>
      <c r="H48" s="49">
        <v>13.4</v>
      </c>
      <c r="I48" s="49">
        <v>13.4</v>
      </c>
      <c r="J48" s="49">
        <v>13.4</v>
      </c>
      <c r="K48" s="49">
        <v>13.4</v>
      </c>
      <c r="L48" s="49">
        <v>13.4</v>
      </c>
      <c r="M48" s="51">
        <v>13.4</v>
      </c>
      <c r="N48" s="51">
        <v>13.4</v>
      </c>
      <c r="O48" s="51">
        <v>13.4</v>
      </c>
      <c r="P48" s="51">
        <v>13.4</v>
      </c>
      <c r="Q48" s="51">
        <v>13.4</v>
      </c>
      <c r="R48" s="51">
        <v>13.4</v>
      </c>
      <c r="S48" s="51">
        <v>13.4</v>
      </c>
      <c r="T48" s="51">
        <v>13.4</v>
      </c>
      <c r="U48" s="51">
        <v>13.4</v>
      </c>
      <c r="V48" s="51">
        <v>13.4</v>
      </c>
      <c r="W48" s="51">
        <v>13.4</v>
      </c>
      <c r="X48" s="51">
        <v>13.4</v>
      </c>
      <c r="Y48" s="51">
        <v>13.4</v>
      </c>
      <c r="Z48" s="51">
        <v>13.4</v>
      </c>
      <c r="AA48" s="51">
        <v>13.4</v>
      </c>
      <c r="AB48" s="51">
        <v>13.4</v>
      </c>
      <c r="AC48" s="51">
        <v>13.4</v>
      </c>
      <c r="AD48" s="51">
        <v>13.4</v>
      </c>
      <c r="AE48" s="51">
        <v>13.4</v>
      </c>
      <c r="AF48" s="51">
        <v>13.4</v>
      </c>
      <c r="AG48" s="64">
        <v>14</v>
      </c>
      <c r="AH48" s="55">
        <f t="shared" si="2"/>
        <v>13.5</v>
      </c>
      <c r="AI48" s="56">
        <f t="shared" si="3"/>
        <v>13.4</v>
      </c>
      <c r="AK48" s="57"/>
    </row>
    <row r="49" spans="1:37" x14ac:dyDescent="0.25">
      <c r="A49" s="63" t="s">
        <v>57</v>
      </c>
      <c r="B49" s="49">
        <v>9.6</v>
      </c>
      <c r="C49" s="49">
        <v>9.6</v>
      </c>
      <c r="D49" s="49">
        <v>9.6</v>
      </c>
      <c r="E49" s="49">
        <v>9.6</v>
      </c>
      <c r="F49" s="49">
        <v>9.6</v>
      </c>
      <c r="G49" s="49">
        <v>9.6</v>
      </c>
      <c r="H49" s="49">
        <v>9.6</v>
      </c>
      <c r="I49" s="49">
        <v>9.6</v>
      </c>
      <c r="J49" s="49">
        <v>9.6</v>
      </c>
      <c r="K49" s="49">
        <v>9.6</v>
      </c>
      <c r="L49" s="49">
        <v>9.6</v>
      </c>
      <c r="M49" s="51">
        <v>9.6</v>
      </c>
      <c r="N49" s="51">
        <v>9.6</v>
      </c>
      <c r="O49" s="51">
        <v>9.6</v>
      </c>
      <c r="P49" s="51">
        <v>9.6</v>
      </c>
      <c r="Q49" s="51">
        <v>9.6</v>
      </c>
      <c r="R49" s="51">
        <v>9.6</v>
      </c>
      <c r="S49" s="51">
        <v>9.6</v>
      </c>
      <c r="T49" s="51">
        <v>9.6</v>
      </c>
      <c r="U49" s="51">
        <v>9.6</v>
      </c>
      <c r="V49" s="51">
        <v>9.6</v>
      </c>
      <c r="W49" s="51">
        <v>9.6</v>
      </c>
      <c r="X49" s="51">
        <v>9.6</v>
      </c>
      <c r="Y49" s="51">
        <v>9.6</v>
      </c>
      <c r="Z49" s="51">
        <v>9.6</v>
      </c>
      <c r="AA49" s="51">
        <v>9.6</v>
      </c>
      <c r="AB49" s="51">
        <v>9.6</v>
      </c>
      <c r="AC49" s="51">
        <v>9.6</v>
      </c>
      <c r="AD49" s="51">
        <v>9.6</v>
      </c>
      <c r="AE49" s="51">
        <v>9.6</v>
      </c>
      <c r="AF49" s="51">
        <v>9.6</v>
      </c>
      <c r="AG49" s="64">
        <v>10.050000000000001</v>
      </c>
      <c r="AH49" s="55">
        <f t="shared" si="2"/>
        <v>9.6</v>
      </c>
      <c r="AI49" s="56">
        <f t="shared" si="3"/>
        <v>9.6</v>
      </c>
      <c r="AK49" s="57"/>
    </row>
    <row r="50" spans="1:37" x14ac:dyDescent="0.25">
      <c r="A50" s="63" t="s">
        <v>58</v>
      </c>
      <c r="B50" s="49">
        <v>3.2</v>
      </c>
      <c r="C50" s="49">
        <v>3.2</v>
      </c>
      <c r="D50" s="49">
        <v>3.2</v>
      </c>
      <c r="E50" s="49">
        <v>3.2</v>
      </c>
      <c r="F50" s="49">
        <v>3.2</v>
      </c>
      <c r="G50" s="49">
        <v>3.2</v>
      </c>
      <c r="H50" s="49">
        <v>3.2</v>
      </c>
      <c r="I50" s="49">
        <v>3.2</v>
      </c>
      <c r="J50" s="49">
        <v>3.2</v>
      </c>
      <c r="K50" s="49">
        <v>3.2</v>
      </c>
      <c r="L50" s="49">
        <v>3.2</v>
      </c>
      <c r="M50" s="51">
        <v>3.2</v>
      </c>
      <c r="N50" s="51">
        <v>3.2</v>
      </c>
      <c r="O50" s="51">
        <v>3.2</v>
      </c>
      <c r="P50" s="51">
        <v>3.2</v>
      </c>
      <c r="Q50" s="51">
        <v>3.2</v>
      </c>
      <c r="R50" s="51">
        <v>3.2</v>
      </c>
      <c r="S50" s="51">
        <v>3.2</v>
      </c>
      <c r="T50" s="51">
        <v>3.2</v>
      </c>
      <c r="U50" s="51">
        <v>3.2</v>
      </c>
      <c r="V50" s="51">
        <v>3.2</v>
      </c>
      <c r="W50" s="51">
        <v>3.2</v>
      </c>
      <c r="X50" s="51">
        <v>3.2</v>
      </c>
      <c r="Y50" s="51">
        <v>3.2</v>
      </c>
      <c r="Z50" s="51">
        <v>3.2</v>
      </c>
      <c r="AA50" s="51">
        <v>3.2</v>
      </c>
      <c r="AB50" s="51">
        <v>3.2</v>
      </c>
      <c r="AC50" s="51">
        <v>3.2</v>
      </c>
      <c r="AD50" s="51">
        <v>3.2</v>
      </c>
      <c r="AE50" s="51">
        <v>3.2</v>
      </c>
      <c r="AF50" s="51">
        <v>3.2</v>
      </c>
      <c r="AG50" s="64">
        <v>6.2</v>
      </c>
      <c r="AH50" s="55">
        <f t="shared" si="2"/>
        <v>3.2</v>
      </c>
      <c r="AI50" s="56">
        <f t="shared" si="3"/>
        <v>3.2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AG201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7">SUM(B39:B51)</f>
        <v>415.84000000000003</v>
      </c>
      <c r="C52" s="70">
        <f t="shared" ref="C52:AF52" si="8">SUM(C39:C51)</f>
        <v>414.74000000000007</v>
      </c>
      <c r="D52" s="70">
        <f t="shared" si="8"/>
        <v>430.64</v>
      </c>
      <c r="E52" s="70">
        <f t="shared" si="8"/>
        <v>430.64</v>
      </c>
      <c r="F52" s="70">
        <f t="shared" si="8"/>
        <v>430.64</v>
      </c>
      <c r="G52" s="70">
        <f t="shared" si="8"/>
        <v>430.64</v>
      </c>
      <c r="H52" s="70">
        <f t="shared" si="8"/>
        <v>421.64</v>
      </c>
      <c r="I52" s="70">
        <f t="shared" si="8"/>
        <v>421.64</v>
      </c>
      <c r="J52" s="70">
        <f t="shared" si="8"/>
        <v>421.64</v>
      </c>
      <c r="K52" s="70">
        <f t="shared" si="8"/>
        <v>431.14</v>
      </c>
      <c r="L52" s="70">
        <f t="shared" si="8"/>
        <v>421.14</v>
      </c>
      <c r="M52" s="70">
        <f t="shared" si="8"/>
        <v>428.14</v>
      </c>
      <c r="N52" s="70">
        <f t="shared" si="8"/>
        <v>417.54</v>
      </c>
      <c r="O52" s="70">
        <f t="shared" si="8"/>
        <v>412.64</v>
      </c>
      <c r="P52" s="70">
        <f t="shared" si="8"/>
        <v>138.94</v>
      </c>
      <c r="Q52" s="70">
        <f t="shared" si="8"/>
        <v>318.24</v>
      </c>
      <c r="R52" s="70">
        <f t="shared" si="8"/>
        <v>348.64000000000004</v>
      </c>
      <c r="S52" s="70">
        <f t="shared" si="8"/>
        <v>348.64000000000004</v>
      </c>
      <c r="T52" s="70">
        <f t="shared" si="8"/>
        <v>347.84000000000003</v>
      </c>
      <c r="U52" s="70">
        <f t="shared" si="8"/>
        <v>212.34</v>
      </c>
      <c r="V52" s="70">
        <f t="shared" si="8"/>
        <v>426.14000000000004</v>
      </c>
      <c r="W52" s="70">
        <f t="shared" si="8"/>
        <v>426.14000000000004</v>
      </c>
      <c r="X52" s="70">
        <f>SUM(X39:X51)</f>
        <v>403.04</v>
      </c>
      <c r="Y52" s="70">
        <f t="shared" si="8"/>
        <v>403.04</v>
      </c>
      <c r="Z52" s="70">
        <f t="shared" si="8"/>
        <v>419.44</v>
      </c>
      <c r="AA52" s="70">
        <f t="shared" si="8"/>
        <v>419.44</v>
      </c>
      <c r="AB52" s="70">
        <f t="shared" si="8"/>
        <v>422.74</v>
      </c>
      <c r="AC52" s="70">
        <f t="shared" si="8"/>
        <v>422.74</v>
      </c>
      <c r="AD52" s="70">
        <f t="shared" si="8"/>
        <v>422.74</v>
      </c>
      <c r="AE52" s="70">
        <f t="shared" si="8"/>
        <v>422.74</v>
      </c>
      <c r="AF52" s="70">
        <f t="shared" si="8"/>
        <v>422.74</v>
      </c>
      <c r="AG52" s="74">
        <f>SUM(AG39:AG51)</f>
        <v>489.91</v>
      </c>
      <c r="AH52" s="55">
        <f t="shared" si="2"/>
        <v>431.14</v>
      </c>
      <c r="AI52" s="56">
        <f t="shared" si="3"/>
        <v>138.94</v>
      </c>
      <c r="AK52" s="57"/>
    </row>
    <row r="53" spans="1:37" x14ac:dyDescent="0.25">
      <c r="A53" s="58" t="s">
        <v>61</v>
      </c>
      <c r="B53" s="51">
        <v>49.1</v>
      </c>
      <c r="C53" s="51">
        <v>49.3</v>
      </c>
      <c r="D53" s="51">
        <v>40</v>
      </c>
      <c r="E53" s="51">
        <v>30</v>
      </c>
      <c r="F53" s="51">
        <v>25</v>
      </c>
      <c r="G53" s="51">
        <v>14</v>
      </c>
      <c r="H53" s="51">
        <v>10</v>
      </c>
      <c r="I53" s="51">
        <v>10</v>
      </c>
      <c r="J53" s="51">
        <v>14</v>
      </c>
      <c r="K53" s="51">
        <v>30</v>
      </c>
      <c r="L53" s="51">
        <v>14</v>
      </c>
      <c r="M53" s="51">
        <v>11</v>
      </c>
      <c r="N53" s="51">
        <v>11</v>
      </c>
      <c r="O53" s="51">
        <v>14</v>
      </c>
      <c r="P53" s="51">
        <v>60</v>
      </c>
      <c r="Q53" s="51">
        <v>40</v>
      </c>
      <c r="R53" s="51">
        <v>20</v>
      </c>
      <c r="S53" s="51">
        <v>45</v>
      </c>
      <c r="T53" s="51">
        <v>60</v>
      </c>
      <c r="U53" s="51">
        <v>59.5</v>
      </c>
      <c r="V53" s="51">
        <v>10</v>
      </c>
      <c r="W53" s="51">
        <v>10</v>
      </c>
      <c r="X53" s="51">
        <v>35</v>
      </c>
      <c r="Y53" s="51">
        <v>45</v>
      </c>
      <c r="Z53" s="51">
        <v>55</v>
      </c>
      <c r="AA53" s="51">
        <v>60</v>
      </c>
      <c r="AB53" s="51">
        <v>60</v>
      </c>
      <c r="AC53" s="51">
        <v>31</v>
      </c>
      <c r="AD53" s="51">
        <v>19.7</v>
      </c>
      <c r="AE53" s="51">
        <v>13.3</v>
      </c>
      <c r="AF53" s="51">
        <v>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24.2</v>
      </c>
      <c r="C54" s="49">
        <v>24.3</v>
      </c>
      <c r="D54" s="49">
        <v>20.3</v>
      </c>
      <c r="E54" s="49">
        <v>15.3</v>
      </c>
      <c r="F54" s="49">
        <v>12</v>
      </c>
      <c r="G54" s="49">
        <v>6.8</v>
      </c>
      <c r="H54" s="49">
        <v>4</v>
      </c>
      <c r="I54" s="49">
        <v>4.2</v>
      </c>
      <c r="J54" s="49">
        <v>6</v>
      </c>
      <c r="K54" s="49">
        <v>15.9</v>
      </c>
      <c r="L54" s="49">
        <v>9.4</v>
      </c>
      <c r="M54" s="49">
        <v>5</v>
      </c>
      <c r="N54" s="49">
        <v>4.3</v>
      </c>
      <c r="O54" s="49">
        <v>6.7</v>
      </c>
      <c r="P54" s="49">
        <v>30.3</v>
      </c>
      <c r="Q54" s="49">
        <v>20.399999999999999</v>
      </c>
      <c r="R54" s="49">
        <v>9.6</v>
      </c>
      <c r="S54" s="49">
        <v>21.3</v>
      </c>
      <c r="T54" s="49">
        <v>29.6</v>
      </c>
      <c r="U54" s="49">
        <v>30.8</v>
      </c>
      <c r="V54" s="49">
        <v>10</v>
      </c>
      <c r="W54" s="49">
        <v>10</v>
      </c>
      <c r="X54" s="49">
        <v>15.4</v>
      </c>
      <c r="Y54" s="49">
        <v>23.4</v>
      </c>
      <c r="Z54" s="49">
        <v>20.6</v>
      </c>
      <c r="AA54" s="49">
        <v>30.4</v>
      </c>
      <c r="AB54" s="49">
        <v>30.4</v>
      </c>
      <c r="AC54" s="49">
        <v>16</v>
      </c>
      <c r="AD54" s="49">
        <v>11</v>
      </c>
      <c r="AE54" s="49">
        <v>9.6</v>
      </c>
      <c r="AF54" s="49">
        <v>0</v>
      </c>
      <c r="AG54" s="64">
        <v>32</v>
      </c>
      <c r="AH54" s="55">
        <f t="shared" si="2"/>
        <v>30.8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8.8000000000000007</v>
      </c>
      <c r="C55" s="75">
        <v>8.9</v>
      </c>
      <c r="D55" s="75">
        <v>7.4</v>
      </c>
      <c r="E55" s="75">
        <v>7</v>
      </c>
      <c r="F55" s="75">
        <v>5</v>
      </c>
      <c r="G55" s="75">
        <v>3</v>
      </c>
      <c r="H55" s="75">
        <v>1.5</v>
      </c>
      <c r="I55" s="75">
        <v>2</v>
      </c>
      <c r="J55" s="75">
        <v>3</v>
      </c>
      <c r="K55" s="75">
        <v>6</v>
      </c>
      <c r="L55" s="75">
        <v>4</v>
      </c>
      <c r="M55" s="75">
        <v>1.8</v>
      </c>
      <c r="N55" s="75">
        <v>1.6</v>
      </c>
      <c r="O55" s="75">
        <v>2.4</v>
      </c>
      <c r="P55" s="75">
        <v>11.1</v>
      </c>
      <c r="Q55" s="75">
        <v>7.4</v>
      </c>
      <c r="R55" s="75">
        <v>3.5</v>
      </c>
      <c r="S55" s="75">
        <v>7.7</v>
      </c>
      <c r="T55" s="75">
        <v>10.8</v>
      </c>
      <c r="U55" s="75">
        <v>11.2</v>
      </c>
      <c r="V55" s="75">
        <v>3.8</v>
      </c>
      <c r="W55" s="75">
        <v>3.8</v>
      </c>
      <c r="X55" s="75">
        <v>5.6</v>
      </c>
      <c r="Y55" s="75">
        <v>8.6</v>
      </c>
      <c r="Z55" s="75">
        <v>7.5</v>
      </c>
      <c r="AA55" s="75">
        <v>11.1</v>
      </c>
      <c r="AB55" s="75">
        <v>11.1</v>
      </c>
      <c r="AC55" s="75">
        <v>5.9</v>
      </c>
      <c r="AD55" s="75">
        <v>4</v>
      </c>
      <c r="AE55" s="75">
        <v>3.5</v>
      </c>
      <c r="AF55" s="75">
        <v>0</v>
      </c>
      <c r="AG55" s="76">
        <v>14</v>
      </c>
      <c r="AH55" s="55">
        <f t="shared" si="2"/>
        <v>11.2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9">SUM(B53:B55)</f>
        <v>82.1</v>
      </c>
      <c r="C56" s="70">
        <f t="shared" ref="C56:AF56" si="10">SUM(C53:C55)</f>
        <v>82.5</v>
      </c>
      <c r="D56" s="70">
        <f t="shared" si="10"/>
        <v>67.7</v>
      </c>
      <c r="E56" s="70">
        <f t="shared" si="10"/>
        <v>52.3</v>
      </c>
      <c r="F56" s="70">
        <f t="shared" si="10"/>
        <v>42</v>
      </c>
      <c r="G56" s="70">
        <f t="shared" si="10"/>
        <v>23.8</v>
      </c>
      <c r="H56" s="70">
        <f t="shared" si="10"/>
        <v>15.5</v>
      </c>
      <c r="I56" s="70">
        <f t="shared" si="10"/>
        <v>16.2</v>
      </c>
      <c r="J56" s="70">
        <f t="shared" si="10"/>
        <v>23</v>
      </c>
      <c r="K56" s="70">
        <f t="shared" si="10"/>
        <v>51.9</v>
      </c>
      <c r="L56" s="70">
        <f t="shared" si="10"/>
        <v>27.4</v>
      </c>
      <c r="M56" s="70">
        <f t="shared" si="10"/>
        <v>17.8</v>
      </c>
      <c r="N56" s="70">
        <f t="shared" si="10"/>
        <v>16.900000000000002</v>
      </c>
      <c r="O56" s="70">
        <f t="shared" si="10"/>
        <v>23.099999999999998</v>
      </c>
      <c r="P56" s="70">
        <f t="shared" si="10"/>
        <v>101.39999999999999</v>
      </c>
      <c r="Q56" s="70">
        <f t="shared" si="10"/>
        <v>67.8</v>
      </c>
      <c r="R56" s="70">
        <f t="shared" si="10"/>
        <v>33.1</v>
      </c>
      <c r="S56" s="70">
        <f t="shared" si="10"/>
        <v>74</v>
      </c>
      <c r="T56" s="70">
        <f t="shared" si="10"/>
        <v>100.39999999999999</v>
      </c>
      <c r="U56" s="70">
        <f t="shared" si="10"/>
        <v>101.5</v>
      </c>
      <c r="V56" s="70">
        <f t="shared" si="10"/>
        <v>23.8</v>
      </c>
      <c r="W56" s="70">
        <f t="shared" si="10"/>
        <v>23.8</v>
      </c>
      <c r="X56" s="70">
        <f t="shared" si="10"/>
        <v>56</v>
      </c>
      <c r="Y56" s="70">
        <f t="shared" si="10"/>
        <v>77</v>
      </c>
      <c r="Z56" s="70">
        <f t="shared" si="10"/>
        <v>83.1</v>
      </c>
      <c r="AA56" s="70">
        <f t="shared" si="10"/>
        <v>101.5</v>
      </c>
      <c r="AB56" s="70">
        <f t="shared" si="10"/>
        <v>101.5</v>
      </c>
      <c r="AC56" s="70">
        <f t="shared" si="10"/>
        <v>52.9</v>
      </c>
      <c r="AD56" s="70">
        <f t="shared" si="10"/>
        <v>34.700000000000003</v>
      </c>
      <c r="AE56" s="70">
        <f t="shared" si="10"/>
        <v>26.4</v>
      </c>
      <c r="AF56" s="70">
        <f t="shared" si="10"/>
        <v>0</v>
      </c>
      <c r="AG56" s="74">
        <f>SUM(AG53:AG55)</f>
        <v>106</v>
      </c>
      <c r="AH56" s="55">
        <f t="shared" si="2"/>
        <v>101.5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57.9</v>
      </c>
      <c r="C57" s="51">
        <v>60.2</v>
      </c>
      <c r="D57" s="51">
        <v>49</v>
      </c>
      <c r="E57" s="51">
        <v>46</v>
      </c>
      <c r="F57" s="51">
        <v>46</v>
      </c>
      <c r="G57" s="51">
        <v>49</v>
      </c>
      <c r="H57" s="51">
        <v>48</v>
      </c>
      <c r="I57" s="51">
        <v>44</v>
      </c>
      <c r="J57" s="51">
        <v>43</v>
      </c>
      <c r="K57" s="51">
        <v>52</v>
      </c>
      <c r="L57" s="51">
        <v>60</v>
      </c>
      <c r="M57" s="51">
        <v>60.8</v>
      </c>
      <c r="N57" s="51">
        <v>56.7</v>
      </c>
      <c r="O57" s="51">
        <v>69.599999999999994</v>
      </c>
      <c r="P57" s="51">
        <v>60.5</v>
      </c>
      <c r="Q57" s="51">
        <v>72.900000000000006</v>
      </c>
      <c r="R57" s="51">
        <v>73.099999999999994</v>
      </c>
      <c r="S57" s="51">
        <v>60</v>
      </c>
      <c r="T57" s="51">
        <v>73.5</v>
      </c>
      <c r="U57" s="51">
        <v>74.099999999999994</v>
      </c>
      <c r="V57" s="51">
        <v>72</v>
      </c>
      <c r="W57" s="51">
        <v>72</v>
      </c>
      <c r="X57" s="51">
        <v>62.7</v>
      </c>
      <c r="Y57" s="51">
        <v>72</v>
      </c>
      <c r="Z57" s="51">
        <v>55.3</v>
      </c>
      <c r="AA57" s="51">
        <v>67.3</v>
      </c>
      <c r="AB57" s="51">
        <v>59.6</v>
      </c>
      <c r="AC57" s="51">
        <v>55.4</v>
      </c>
      <c r="AD57" s="51">
        <v>60.5</v>
      </c>
      <c r="AE57" s="51">
        <v>64.599999999999994</v>
      </c>
      <c r="AF57" s="51">
        <v>60.3</v>
      </c>
      <c r="AG57" s="60"/>
      <c r="AH57" s="55">
        <f t="shared" si="2"/>
        <v>74.099999999999994</v>
      </c>
      <c r="AI57" s="56">
        <f t="shared" si="3"/>
        <v>43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-368</v>
      </c>
      <c r="C59" s="49">
        <v>-370</v>
      </c>
      <c r="D59" s="49">
        <v>-368</v>
      </c>
      <c r="E59" s="49">
        <v>-385</v>
      </c>
      <c r="F59" s="49">
        <v>-365</v>
      </c>
      <c r="G59" s="49">
        <v>-372</v>
      </c>
      <c r="H59" s="49">
        <v>-270</v>
      </c>
      <c r="I59" s="49">
        <v>-265</v>
      </c>
      <c r="J59" s="49">
        <v>-263</v>
      </c>
      <c r="K59" s="49">
        <v>-251</v>
      </c>
      <c r="L59" s="49">
        <v>-203</v>
      </c>
      <c r="M59" s="49">
        <v>-212</v>
      </c>
      <c r="N59" s="49">
        <v>-220.2</v>
      </c>
      <c r="O59" s="49">
        <v>-217.8</v>
      </c>
      <c r="P59" s="49">
        <v>-219.7</v>
      </c>
      <c r="Q59" s="49">
        <v>-245.2</v>
      </c>
      <c r="R59" s="49">
        <v>-225.3</v>
      </c>
      <c r="S59" s="49">
        <v>-206</v>
      </c>
      <c r="T59" s="49">
        <v>-202.6</v>
      </c>
      <c r="U59" s="49">
        <v>-182</v>
      </c>
      <c r="V59" s="49">
        <v>-220</v>
      </c>
      <c r="W59" s="49">
        <v>-210</v>
      </c>
      <c r="X59" s="49">
        <v>-195</v>
      </c>
      <c r="Y59" s="49">
        <v>-200</v>
      </c>
      <c r="Z59" s="49">
        <v>-192</v>
      </c>
      <c r="AA59" s="49">
        <v>-202</v>
      </c>
      <c r="AB59" s="49">
        <v>-172.3</v>
      </c>
      <c r="AC59" s="49">
        <v>-189</v>
      </c>
      <c r="AD59" s="49">
        <v>-204</v>
      </c>
      <c r="AE59" s="49">
        <v>-257</v>
      </c>
      <c r="AF59" s="49">
        <v>-300</v>
      </c>
      <c r="AG59" s="77"/>
      <c r="AH59" s="55">
        <f t="shared" si="2"/>
        <v>-172.3</v>
      </c>
      <c r="AI59" s="56">
        <f t="shared" si="3"/>
        <v>-385</v>
      </c>
      <c r="AK59" s="57"/>
    </row>
    <row r="60" spans="1:37" x14ac:dyDescent="0.25">
      <c r="A60" s="63" t="s">
        <v>68</v>
      </c>
      <c r="B60" s="78">
        <v>14</v>
      </c>
      <c r="C60" s="78">
        <v>14</v>
      </c>
      <c r="D60" s="78">
        <v>14</v>
      </c>
      <c r="E60" s="78">
        <v>14</v>
      </c>
      <c r="F60" s="78">
        <v>14</v>
      </c>
      <c r="G60" s="78">
        <v>14</v>
      </c>
      <c r="H60" s="78">
        <v>14</v>
      </c>
      <c r="I60" s="78">
        <v>14</v>
      </c>
      <c r="J60" s="78">
        <v>14</v>
      </c>
      <c r="K60" s="78">
        <v>14</v>
      </c>
      <c r="L60" s="78">
        <v>14</v>
      </c>
      <c r="M60" s="78">
        <v>14</v>
      </c>
      <c r="N60" s="78">
        <v>20.5</v>
      </c>
      <c r="O60" s="78">
        <v>35.1</v>
      </c>
      <c r="P60" s="78">
        <v>35</v>
      </c>
      <c r="Q60" s="78">
        <v>32</v>
      </c>
      <c r="R60" s="78">
        <v>31</v>
      </c>
      <c r="S60" s="78">
        <v>27.8</v>
      </c>
      <c r="T60" s="78">
        <v>27.5</v>
      </c>
      <c r="U60" s="78">
        <v>26.9</v>
      </c>
      <c r="V60" s="78">
        <v>24</v>
      </c>
      <c r="W60" s="78">
        <v>24</v>
      </c>
      <c r="X60" s="78">
        <v>26.5</v>
      </c>
      <c r="Y60" s="78">
        <v>17.899999999999999</v>
      </c>
      <c r="Z60" s="78">
        <v>19.399999999999999</v>
      </c>
      <c r="AA60" s="78">
        <v>19.399999999999999</v>
      </c>
      <c r="AB60" s="78">
        <v>21.4</v>
      </c>
      <c r="AC60" s="78">
        <v>21</v>
      </c>
      <c r="AD60" s="78">
        <v>22.5</v>
      </c>
      <c r="AE60" s="78">
        <v>26</v>
      </c>
      <c r="AF60" s="78">
        <v>21.9</v>
      </c>
      <c r="AG60" s="77"/>
      <c r="AH60" s="55">
        <f t="shared" si="2"/>
        <v>35.1</v>
      </c>
      <c r="AI60" s="56">
        <f t="shared" si="3"/>
        <v>14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5.5</v>
      </c>
      <c r="C62" s="79">
        <v>5.5</v>
      </c>
      <c r="D62" s="79">
        <v>5.5</v>
      </c>
      <c r="E62" s="79">
        <v>5.5</v>
      </c>
      <c r="F62" s="79">
        <v>5.5</v>
      </c>
      <c r="G62" s="79">
        <v>5.5</v>
      </c>
      <c r="H62" s="79">
        <v>5.5</v>
      </c>
      <c r="I62" s="79">
        <v>5.5</v>
      </c>
      <c r="J62" s="79">
        <v>5.5</v>
      </c>
      <c r="K62" s="79">
        <v>5.5</v>
      </c>
      <c r="L62" s="79">
        <v>5.5</v>
      </c>
      <c r="M62" s="79">
        <v>5.5</v>
      </c>
      <c r="N62" s="79">
        <v>5.5</v>
      </c>
      <c r="O62" s="79">
        <v>5.5</v>
      </c>
      <c r="P62" s="79">
        <v>5.5</v>
      </c>
      <c r="Q62" s="79">
        <v>5.5</v>
      </c>
      <c r="R62" s="79">
        <v>5.5</v>
      </c>
      <c r="S62" s="79">
        <v>5.5</v>
      </c>
      <c r="T62" s="79">
        <v>5.5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5.5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9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9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79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79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:AF68" si="11">SUMIF(B57:B67,"&gt;0")</f>
        <v>77.400000000000006</v>
      </c>
      <c r="C68" s="70">
        <f t="shared" si="11"/>
        <v>79.7</v>
      </c>
      <c r="D68" s="70">
        <f t="shared" si="11"/>
        <v>68.5</v>
      </c>
      <c r="E68" s="70">
        <f t="shared" si="11"/>
        <v>65.5</v>
      </c>
      <c r="F68" s="70">
        <f t="shared" si="11"/>
        <v>65.5</v>
      </c>
      <c r="G68" s="70">
        <f t="shared" si="11"/>
        <v>68.5</v>
      </c>
      <c r="H68" s="70">
        <f t="shared" si="11"/>
        <v>67.5</v>
      </c>
      <c r="I68" s="70">
        <f t="shared" si="11"/>
        <v>63.5</v>
      </c>
      <c r="J68" s="70">
        <f t="shared" si="11"/>
        <v>62.5</v>
      </c>
      <c r="K68" s="70">
        <f t="shared" si="11"/>
        <v>71.5</v>
      </c>
      <c r="L68" s="70">
        <f t="shared" si="11"/>
        <v>79.5</v>
      </c>
      <c r="M68" s="70">
        <f t="shared" si="11"/>
        <v>80.3</v>
      </c>
      <c r="N68" s="70">
        <f t="shared" si="11"/>
        <v>82.7</v>
      </c>
      <c r="O68" s="70">
        <f t="shared" si="11"/>
        <v>110.19999999999999</v>
      </c>
      <c r="P68" s="70">
        <f t="shared" si="11"/>
        <v>101</v>
      </c>
      <c r="Q68" s="70">
        <f t="shared" si="11"/>
        <v>110.4</v>
      </c>
      <c r="R68" s="70">
        <f t="shared" si="11"/>
        <v>109.6</v>
      </c>
      <c r="S68" s="70">
        <f t="shared" si="11"/>
        <v>93.3</v>
      </c>
      <c r="T68" s="70">
        <f t="shared" si="11"/>
        <v>106.5</v>
      </c>
      <c r="U68" s="70">
        <f t="shared" si="11"/>
        <v>106</v>
      </c>
      <c r="V68" s="70">
        <f t="shared" si="11"/>
        <v>101</v>
      </c>
      <c r="W68" s="70">
        <f t="shared" si="11"/>
        <v>101</v>
      </c>
      <c r="X68" s="70">
        <f t="shared" si="11"/>
        <v>94.2</v>
      </c>
      <c r="Y68" s="70">
        <f t="shared" si="11"/>
        <v>94.9</v>
      </c>
      <c r="Z68" s="70">
        <f t="shared" si="11"/>
        <v>79.699999999999989</v>
      </c>
      <c r="AA68" s="70">
        <f t="shared" si="11"/>
        <v>91.699999999999989</v>
      </c>
      <c r="AB68" s="70">
        <f t="shared" si="11"/>
        <v>86</v>
      </c>
      <c r="AC68" s="70">
        <f t="shared" si="11"/>
        <v>81.400000000000006</v>
      </c>
      <c r="AD68" s="70">
        <f t="shared" si="11"/>
        <v>88</v>
      </c>
      <c r="AE68" s="70">
        <f t="shared" si="11"/>
        <v>95.6</v>
      </c>
      <c r="AF68" s="70">
        <f t="shared" si="11"/>
        <v>87.199999999999989</v>
      </c>
      <c r="AG68" s="74">
        <f>SUM(AG57:AG67)</f>
        <v>0</v>
      </c>
      <c r="AH68" s="55">
        <f t="shared" si="2"/>
        <v>110.4</v>
      </c>
      <c r="AI68" s="56">
        <f t="shared" si="3"/>
        <v>62.5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2">AG68+AG56+AG52+AG38+AG72</f>
        <v>2144.14</v>
      </c>
      <c r="AH73" s="55">
        <f t="shared" si="2"/>
        <v>1201.8899999999999</v>
      </c>
      <c r="AI73" s="56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>
        <v>150</v>
      </c>
      <c r="Q74" s="86">
        <v>25</v>
      </c>
      <c r="R74" s="86">
        <v>45</v>
      </c>
      <c r="S74" s="86">
        <v>45</v>
      </c>
      <c r="T74" s="86"/>
      <c r="U74" s="86"/>
      <c r="V74" s="86"/>
      <c r="W74" s="86"/>
      <c r="X74" s="86"/>
      <c r="Y74" s="86"/>
      <c r="Z74" s="86">
        <v>25</v>
      </c>
      <c r="AA74" s="86">
        <v>20</v>
      </c>
      <c r="AB74" s="86"/>
      <c r="AC74" s="86"/>
      <c r="AD74" s="86"/>
      <c r="AE74" s="86"/>
      <c r="AF74" s="86"/>
      <c r="AG74" s="74"/>
      <c r="AH74" s="55">
        <f t="shared" si="2"/>
        <v>150</v>
      </c>
      <c r="AI74" s="56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:AF75" si="13">B72+B68+B56+B52+B38+B74</f>
        <v>1787.44</v>
      </c>
      <c r="C75" s="84">
        <f t="shared" si="13"/>
        <v>1774.2400000000002</v>
      </c>
      <c r="D75" s="84">
        <f t="shared" si="13"/>
        <v>1763.14</v>
      </c>
      <c r="E75" s="84">
        <f t="shared" si="13"/>
        <v>1712.04</v>
      </c>
      <c r="F75" s="84">
        <f t="shared" si="13"/>
        <v>1673.7399999999998</v>
      </c>
      <c r="G75" s="84">
        <f t="shared" si="13"/>
        <v>1683.54</v>
      </c>
      <c r="H75" s="84">
        <f t="shared" si="13"/>
        <v>1577.04</v>
      </c>
      <c r="I75" s="84">
        <f t="shared" si="13"/>
        <v>1576.04</v>
      </c>
      <c r="J75" s="84">
        <f t="shared" si="13"/>
        <v>1601.8400000000001</v>
      </c>
      <c r="K75" s="84">
        <f t="shared" si="13"/>
        <v>1684.7399999999998</v>
      </c>
      <c r="L75" s="84">
        <f t="shared" si="13"/>
        <v>1658.2399999999998</v>
      </c>
      <c r="M75" s="84">
        <f t="shared" si="13"/>
        <v>1627.64</v>
      </c>
      <c r="N75" s="84">
        <f t="shared" si="13"/>
        <v>1653.54</v>
      </c>
      <c r="O75" s="84">
        <f t="shared" si="13"/>
        <v>1680.3400000000001</v>
      </c>
      <c r="P75" s="84">
        <f t="shared" si="13"/>
        <v>1645.14</v>
      </c>
      <c r="Q75" s="84">
        <f t="shared" si="13"/>
        <v>1699.5400000000002</v>
      </c>
      <c r="R75" s="84">
        <f t="shared" si="13"/>
        <v>1704.2400000000002</v>
      </c>
      <c r="S75" s="84">
        <f t="shared" si="13"/>
        <v>1718.8400000000001</v>
      </c>
      <c r="T75" s="84">
        <f t="shared" si="13"/>
        <v>1717.64</v>
      </c>
      <c r="U75" s="84">
        <f t="shared" si="13"/>
        <v>1552.7400000000002</v>
      </c>
      <c r="V75" s="84">
        <f t="shared" si="13"/>
        <v>1640.5400000000002</v>
      </c>
      <c r="W75" s="84">
        <f t="shared" si="13"/>
        <v>1580.54</v>
      </c>
      <c r="X75" s="84">
        <f t="shared" si="13"/>
        <v>1573.3400000000001</v>
      </c>
      <c r="Y75" s="84">
        <f t="shared" si="13"/>
        <v>1625.0400000000002</v>
      </c>
      <c r="Z75" s="84">
        <f t="shared" si="13"/>
        <v>1705.3400000000001</v>
      </c>
      <c r="AA75" s="84">
        <f t="shared" si="13"/>
        <v>1766.7400000000002</v>
      </c>
      <c r="AB75" s="84">
        <f t="shared" si="13"/>
        <v>1732.3400000000001</v>
      </c>
      <c r="AC75" s="84">
        <f t="shared" si="13"/>
        <v>1679.14</v>
      </c>
      <c r="AD75" s="84">
        <f t="shared" si="13"/>
        <v>1667.5400000000002</v>
      </c>
      <c r="AE75" s="84">
        <f t="shared" si="13"/>
        <v>1638.8400000000001</v>
      </c>
      <c r="AF75" s="84">
        <f t="shared" si="13"/>
        <v>1584.0400000000002</v>
      </c>
      <c r="AG75" s="74">
        <f>AG72+AG68+AG56+AG52+AG38+AG74</f>
        <v>2144.14</v>
      </c>
      <c r="AH75" s="55">
        <f t="shared" si="2"/>
        <v>1787.44</v>
      </c>
      <c r="AI75" s="56">
        <f t="shared" si="3"/>
        <v>1552.7400000000002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14">IF(B60&lt;0,B60*-1,0)</f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17">IF(B58&lt;0,B58*-1,0)</f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18">IF(B61&lt;0,B61*-1,0)</f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220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19">IF(B59&lt;0,B59*-1,0)</f>
        <v>368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5">
        <f t="shared" si="15"/>
        <v>368</v>
      </c>
      <c r="AI79" s="56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20">IF(B57&lt;0,B57*-1,0)</f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>
        <v>0</v>
      </c>
      <c r="AA82" s="70">
        <v>0</v>
      </c>
      <c r="AB82" s="70"/>
      <c r="AC82" s="70"/>
      <c r="AD82" s="70"/>
      <c r="AE82" s="70"/>
      <c r="AF82" s="70"/>
      <c r="AG82" s="74">
        <f t="shared" ref="AG82" si="21">SUM(AG76:AG81)</f>
        <v>0</v>
      </c>
      <c r="AH82" s="55">
        <f t="shared" si="15"/>
        <v>0</v>
      </c>
      <c r="AI82" s="56">
        <f t="shared" si="16"/>
        <v>0</v>
      </c>
      <c r="AK82" s="57"/>
    </row>
    <row r="83" spans="1:88" s="1" customFormat="1" ht="15.75" thickBot="1" x14ac:dyDescent="0.3">
      <c r="A83" s="69" t="s">
        <v>88</v>
      </c>
      <c r="B83" s="70">
        <f t="shared" ref="B83" si="22">SUM(B70:B82)</f>
        <v>3357.33</v>
      </c>
      <c r="C83" s="70">
        <f t="shared" ref="C83:AG83" si="23">SUM(C70:C82)</f>
        <v>2976.13</v>
      </c>
      <c r="D83" s="70">
        <f t="shared" si="23"/>
        <v>2965.0299999999997</v>
      </c>
      <c r="E83" s="70">
        <f t="shared" si="23"/>
        <v>2913.93</v>
      </c>
      <c r="F83" s="70">
        <f t="shared" si="23"/>
        <v>2875.6299999999997</v>
      </c>
      <c r="G83" s="70">
        <f t="shared" si="23"/>
        <v>2885.43</v>
      </c>
      <c r="H83" s="70">
        <f t="shared" si="23"/>
        <v>2778.93</v>
      </c>
      <c r="I83" s="70">
        <f t="shared" si="23"/>
        <v>2777.93</v>
      </c>
      <c r="J83" s="70">
        <f t="shared" si="23"/>
        <v>2803.73</v>
      </c>
      <c r="K83" s="70">
        <f t="shared" si="23"/>
        <v>2886.6299999999997</v>
      </c>
      <c r="L83" s="70">
        <f t="shared" si="23"/>
        <v>2860.1299999999997</v>
      </c>
      <c r="M83" s="70">
        <f t="shared" si="23"/>
        <v>2829.5299999999997</v>
      </c>
      <c r="N83" s="70">
        <f t="shared" si="23"/>
        <v>2855.43</v>
      </c>
      <c r="O83" s="70">
        <f t="shared" si="23"/>
        <v>2882.23</v>
      </c>
      <c r="P83" s="70">
        <f t="shared" si="23"/>
        <v>2997.0299999999997</v>
      </c>
      <c r="Q83" s="70">
        <f t="shared" si="23"/>
        <v>2926.4300000000003</v>
      </c>
      <c r="R83" s="70">
        <f t="shared" si="23"/>
        <v>2951.13</v>
      </c>
      <c r="S83" s="70">
        <f t="shared" si="23"/>
        <v>2965.73</v>
      </c>
      <c r="T83" s="70">
        <f t="shared" si="23"/>
        <v>2919.5299999999997</v>
      </c>
      <c r="U83" s="70">
        <f t="shared" si="23"/>
        <v>2754.63</v>
      </c>
      <c r="V83" s="70">
        <f t="shared" si="23"/>
        <v>2842.4300000000003</v>
      </c>
      <c r="W83" s="70">
        <f t="shared" si="23"/>
        <v>2782.43</v>
      </c>
      <c r="X83" s="70">
        <f t="shared" si="23"/>
        <v>2775.23</v>
      </c>
      <c r="Y83" s="70">
        <f t="shared" si="23"/>
        <v>2826.9300000000003</v>
      </c>
      <c r="Z83" s="70">
        <f t="shared" si="23"/>
        <v>2932.23</v>
      </c>
      <c r="AA83" s="70">
        <f t="shared" si="23"/>
        <v>2988.63</v>
      </c>
      <c r="AB83" s="70">
        <f t="shared" si="23"/>
        <v>2934.23</v>
      </c>
      <c r="AC83" s="70">
        <f t="shared" si="23"/>
        <v>2881.0299999999997</v>
      </c>
      <c r="AD83" s="70">
        <f t="shared" si="23"/>
        <v>2869.4300000000003</v>
      </c>
      <c r="AE83" s="70">
        <f t="shared" si="23"/>
        <v>2840.73</v>
      </c>
      <c r="AF83" s="70">
        <f t="shared" si="23"/>
        <v>2785.9300000000003</v>
      </c>
      <c r="AG83" s="74">
        <f t="shared" si="23"/>
        <v>4360.08</v>
      </c>
      <c r="AH83" s="55">
        <f t="shared" si="15"/>
        <v>3357.33</v>
      </c>
      <c r="AI83" s="56">
        <f t="shared" si="16"/>
        <v>2754.63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49.98</v>
      </c>
      <c r="C84" s="90">
        <v>50.05</v>
      </c>
      <c r="D84" s="90">
        <v>49.98</v>
      </c>
      <c r="E84" s="90">
        <v>50.026000000000003</v>
      </c>
      <c r="F84" s="90">
        <v>50.026000000000003</v>
      </c>
      <c r="G84" s="90">
        <v>50.069000000000003</v>
      </c>
      <c r="H84" s="90">
        <v>50.082000000000001</v>
      </c>
      <c r="I84" s="90">
        <v>49.997999999999998</v>
      </c>
      <c r="J84" s="90">
        <v>50</v>
      </c>
      <c r="K84" s="90">
        <v>50</v>
      </c>
      <c r="L84" s="90">
        <v>50</v>
      </c>
      <c r="M84" s="90">
        <v>50.069000000000003</v>
      </c>
      <c r="N84" s="90">
        <v>50.082999999999998</v>
      </c>
      <c r="O84" s="90">
        <v>50.075000000000003</v>
      </c>
      <c r="P84" s="90">
        <v>49.994999999999997</v>
      </c>
      <c r="Q84" s="90">
        <v>50.02</v>
      </c>
      <c r="R84" s="90">
        <v>49.94</v>
      </c>
      <c r="S84" s="90">
        <v>50.06</v>
      </c>
      <c r="T84" s="90">
        <v>50.08</v>
      </c>
      <c r="U84" s="90">
        <v>50.08</v>
      </c>
      <c r="V84" s="90">
        <v>50.024999999999999</v>
      </c>
      <c r="W84" s="90">
        <v>50.024999999999999</v>
      </c>
      <c r="X84" s="90">
        <v>50</v>
      </c>
      <c r="Y84" s="90">
        <v>49.95</v>
      </c>
      <c r="Z84" s="90">
        <v>50.01</v>
      </c>
      <c r="AA84" s="90">
        <v>49.85</v>
      </c>
      <c r="AB84" s="90">
        <v>50.027000000000001</v>
      </c>
      <c r="AC84" s="90">
        <v>50.052</v>
      </c>
      <c r="AD84" s="90">
        <v>50.027999999999999</v>
      </c>
      <c r="AE84" s="90">
        <v>49.960999999999999</v>
      </c>
      <c r="AF84" s="90">
        <v>50.048999999999999</v>
      </c>
      <c r="AG84" s="91"/>
      <c r="AH84" s="55">
        <f t="shared" si="15"/>
        <v>50.082999999999998</v>
      </c>
      <c r="AI84" s="56">
        <f t="shared" si="16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123.6</v>
      </c>
      <c r="C85" s="49">
        <v>124.7</v>
      </c>
      <c r="D85" s="49">
        <v>125</v>
      </c>
      <c r="E85" s="49">
        <v>125</v>
      </c>
      <c r="F85" s="49">
        <v>125</v>
      </c>
      <c r="G85" s="49">
        <v>124</v>
      </c>
      <c r="H85" s="49">
        <v>126</v>
      </c>
      <c r="I85" s="49">
        <v>124</v>
      </c>
      <c r="J85" s="49">
        <v>124</v>
      </c>
      <c r="K85" s="49">
        <v>124</v>
      </c>
      <c r="L85" s="49">
        <v>124</v>
      </c>
      <c r="M85" s="49">
        <v>123.5</v>
      </c>
      <c r="N85" s="49">
        <v>121.8</v>
      </c>
      <c r="O85" s="49">
        <v>120.7</v>
      </c>
      <c r="P85" s="49">
        <v>123.6</v>
      </c>
      <c r="Q85" s="49">
        <v>122.1</v>
      </c>
      <c r="R85" s="49">
        <v>119.3</v>
      </c>
      <c r="S85" s="49">
        <v>121.3</v>
      </c>
      <c r="T85" s="49">
        <v>122.4</v>
      </c>
      <c r="U85" s="49">
        <v>122.9</v>
      </c>
      <c r="V85" s="49">
        <v>123</v>
      </c>
      <c r="W85" s="49">
        <v>123</v>
      </c>
      <c r="X85" s="49">
        <v>124.9</v>
      </c>
      <c r="Y85" s="49">
        <v>125.3</v>
      </c>
      <c r="Z85" s="49">
        <v>125</v>
      </c>
      <c r="AA85" s="49">
        <v>124.7</v>
      </c>
      <c r="AB85" s="49">
        <v>125.3</v>
      </c>
      <c r="AC85" s="49">
        <v>125.4</v>
      </c>
      <c r="AD85" s="49">
        <v>123.6</v>
      </c>
      <c r="AE85" s="49">
        <v>123.8</v>
      </c>
      <c r="AF85" s="49">
        <v>123</v>
      </c>
      <c r="AG85" s="93"/>
      <c r="AH85" s="55">
        <f t="shared" si="15"/>
        <v>126</v>
      </c>
      <c r="AI85" s="56">
        <f t="shared" si="16"/>
        <v>119.3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128.80000000000001</v>
      </c>
      <c r="C86" s="49">
        <v>129.5</v>
      </c>
      <c r="D86" s="49">
        <v>130</v>
      </c>
      <c r="E86" s="49">
        <v>130</v>
      </c>
      <c r="F86" s="49">
        <v>130</v>
      </c>
      <c r="G86" s="49">
        <v>128</v>
      </c>
      <c r="H86" s="49">
        <v>130</v>
      </c>
      <c r="I86" s="49">
        <v>128</v>
      </c>
      <c r="J86" s="49">
        <v>128</v>
      </c>
      <c r="K86" s="49">
        <v>128</v>
      </c>
      <c r="L86" s="49">
        <v>128</v>
      </c>
      <c r="M86" s="49">
        <v>126.5</v>
      </c>
      <c r="N86" s="49">
        <v>125.6</v>
      </c>
      <c r="O86" s="49">
        <v>124.1</v>
      </c>
      <c r="P86" s="49">
        <v>126.6</v>
      </c>
      <c r="Q86" s="49">
        <v>125.7</v>
      </c>
      <c r="R86" s="49">
        <v>123.8</v>
      </c>
      <c r="S86" s="49">
        <v>126.1</v>
      </c>
      <c r="T86" s="49">
        <v>126.8</v>
      </c>
      <c r="U86" s="49">
        <v>126.6</v>
      </c>
      <c r="V86" s="49">
        <v>127</v>
      </c>
      <c r="W86" s="49">
        <v>127</v>
      </c>
      <c r="X86" s="49">
        <v>128.6</v>
      </c>
      <c r="Y86" s="49">
        <v>128.80000000000001</v>
      </c>
      <c r="Z86" s="49">
        <v>128.6</v>
      </c>
      <c r="AA86" s="49">
        <v>128.5</v>
      </c>
      <c r="AB86" s="49">
        <v>-129</v>
      </c>
      <c r="AC86" s="49">
        <v>129.5</v>
      </c>
      <c r="AD86" s="49">
        <v>128.1</v>
      </c>
      <c r="AE86" s="49">
        <v>128.19999999999999</v>
      </c>
      <c r="AF86" s="49">
        <v>127.4</v>
      </c>
      <c r="AG86" s="93"/>
      <c r="AH86" s="55">
        <f t="shared" si="15"/>
        <v>130</v>
      </c>
      <c r="AI86" s="56">
        <f t="shared" si="16"/>
        <v>-129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126.1</v>
      </c>
      <c r="C87" s="49">
        <v>123.2</v>
      </c>
      <c r="D87" s="49">
        <v>129.19999999999999</v>
      </c>
      <c r="E87" s="49">
        <v>130</v>
      </c>
      <c r="F87" s="49">
        <v>130</v>
      </c>
      <c r="G87" s="49">
        <v>12</v>
      </c>
      <c r="H87" s="49">
        <v>128</v>
      </c>
      <c r="I87" s="49">
        <v>129</v>
      </c>
      <c r="J87" s="49">
        <v>129</v>
      </c>
      <c r="K87" s="49">
        <v>129</v>
      </c>
      <c r="L87" s="49">
        <v>129</v>
      </c>
      <c r="M87" s="49">
        <v>128.4</v>
      </c>
      <c r="N87" s="49">
        <v>124.4</v>
      </c>
      <c r="O87" s="49">
        <v>124.9</v>
      </c>
      <c r="P87" s="49">
        <v>125.5</v>
      </c>
      <c r="Q87" s="49">
        <v>124.9</v>
      </c>
      <c r="R87" s="49">
        <v>125.6</v>
      </c>
      <c r="S87" s="49">
        <v>125.9</v>
      </c>
      <c r="T87" s="49">
        <v>124.7</v>
      </c>
      <c r="U87" s="49">
        <v>127.1</v>
      </c>
      <c r="V87" s="49">
        <v>130</v>
      </c>
      <c r="W87" s="49">
        <v>130</v>
      </c>
      <c r="X87" s="49">
        <v>127.6</v>
      </c>
      <c r="Y87" s="49">
        <v>127.3</v>
      </c>
      <c r="Z87" s="49">
        <v>123.5</v>
      </c>
      <c r="AA87" s="49">
        <v>127.3</v>
      </c>
      <c r="AB87" s="49">
        <v>127.3</v>
      </c>
      <c r="AC87" s="49">
        <v>126.1</v>
      </c>
      <c r="AD87" s="49">
        <v>127.5</v>
      </c>
      <c r="AE87" s="49">
        <v>128.19999999999999</v>
      </c>
      <c r="AF87" s="49">
        <v>125.5</v>
      </c>
      <c r="AG87" s="93"/>
      <c r="AH87" s="55">
        <f t="shared" si="15"/>
        <v>130</v>
      </c>
      <c r="AI87" s="56">
        <f t="shared" si="16"/>
        <v>12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130.1</v>
      </c>
      <c r="C88" s="49">
        <v>128.1</v>
      </c>
      <c r="D88" s="49">
        <v>133.19999999999999</v>
      </c>
      <c r="E88" s="49">
        <v>133</v>
      </c>
      <c r="F88" s="49">
        <v>133</v>
      </c>
      <c r="G88" s="49">
        <v>134</v>
      </c>
      <c r="H88" s="49">
        <v>133</v>
      </c>
      <c r="I88" s="49">
        <v>132</v>
      </c>
      <c r="J88" s="49">
        <v>132</v>
      </c>
      <c r="K88" s="49">
        <v>132</v>
      </c>
      <c r="L88" s="49">
        <v>132</v>
      </c>
      <c r="M88" s="49">
        <v>132.4</v>
      </c>
      <c r="N88" s="49">
        <v>127.6</v>
      </c>
      <c r="O88" s="49">
        <v>127.9</v>
      </c>
      <c r="P88" s="49">
        <v>128.1</v>
      </c>
      <c r="Q88" s="49">
        <v>127.9</v>
      </c>
      <c r="R88" s="49">
        <v>129.5</v>
      </c>
      <c r="S88" s="49">
        <v>129.4</v>
      </c>
      <c r="T88" s="49">
        <v>127.9</v>
      </c>
      <c r="U88" s="49">
        <v>130</v>
      </c>
      <c r="V88" s="49">
        <v>133</v>
      </c>
      <c r="W88" s="49">
        <v>133</v>
      </c>
      <c r="X88" s="49">
        <v>131.19999999999999</v>
      </c>
      <c r="Y88" s="49">
        <v>130.9</v>
      </c>
      <c r="Z88" s="49">
        <v>127.7</v>
      </c>
      <c r="AA88" s="49">
        <v>130</v>
      </c>
      <c r="AB88" s="49">
        <v>131.6</v>
      </c>
      <c r="AC88" s="49">
        <v>131.1</v>
      </c>
      <c r="AD88" s="49">
        <v>132.30000000000001</v>
      </c>
      <c r="AE88" s="49">
        <v>132.6</v>
      </c>
      <c r="AF88" s="49">
        <v>131.30000000000001</v>
      </c>
      <c r="AG88" s="93"/>
      <c r="AH88" s="55">
        <f t="shared" si="15"/>
        <v>134</v>
      </c>
      <c r="AI88" s="56">
        <f t="shared" si="16"/>
        <v>127.6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130.9</v>
      </c>
      <c r="C89" s="95">
        <v>127</v>
      </c>
      <c r="D89" s="95">
        <v>129.69999999999999</v>
      </c>
      <c r="E89" s="95">
        <v>130</v>
      </c>
      <c r="F89" s="95">
        <v>131</v>
      </c>
      <c r="G89" s="95">
        <v>132</v>
      </c>
      <c r="H89" s="95">
        <v>135</v>
      </c>
      <c r="I89" s="95">
        <v>134</v>
      </c>
      <c r="J89" s="95">
        <v>134</v>
      </c>
      <c r="K89" s="95">
        <v>134</v>
      </c>
      <c r="L89" s="95">
        <v>134</v>
      </c>
      <c r="M89" s="95">
        <v>130.19999999999999</v>
      </c>
      <c r="N89" s="95">
        <v>131.69999999999999</v>
      </c>
      <c r="O89" s="95">
        <v>131.19999999999999</v>
      </c>
      <c r="P89" s="95">
        <v>129.5</v>
      </c>
      <c r="Q89" s="95">
        <v>130.5</v>
      </c>
      <c r="R89" s="95">
        <v>126.5</v>
      </c>
      <c r="S89" s="95">
        <v>129.30000000000001</v>
      </c>
      <c r="T89" s="95">
        <v>132.5</v>
      </c>
      <c r="U89" s="95">
        <v>127.7</v>
      </c>
      <c r="V89" s="95">
        <v>129</v>
      </c>
      <c r="W89" s="95">
        <v>129</v>
      </c>
      <c r="X89" s="95">
        <v>134.69999999999999</v>
      </c>
      <c r="Y89" s="95">
        <v>133.9</v>
      </c>
      <c r="Z89" s="95">
        <v>135</v>
      </c>
      <c r="AA89" s="95">
        <v>130.9</v>
      </c>
      <c r="AB89" s="95">
        <v>130.69999999999999</v>
      </c>
      <c r="AC89" s="95">
        <v>133</v>
      </c>
      <c r="AD89" s="95">
        <v>132.5</v>
      </c>
      <c r="AE89" s="95">
        <v>129.5</v>
      </c>
      <c r="AF89" s="95">
        <v>133.5</v>
      </c>
      <c r="AG89" s="96"/>
      <c r="AH89" s="55">
        <f t="shared" si="15"/>
        <v>135</v>
      </c>
      <c r="AI89" s="56">
        <f t="shared" si="16"/>
        <v>126.5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123.6</v>
      </c>
      <c r="C90" s="49">
        <v>116.2</v>
      </c>
      <c r="D90" s="49">
        <v>121.1</v>
      </c>
      <c r="E90" s="49">
        <v>121</v>
      </c>
      <c r="F90" s="49">
        <v>122</v>
      </c>
      <c r="G90" s="49">
        <v>123</v>
      </c>
      <c r="H90" s="49">
        <v>131</v>
      </c>
      <c r="I90" s="49">
        <v>130</v>
      </c>
      <c r="J90" s="49">
        <v>130</v>
      </c>
      <c r="K90" s="49">
        <v>133</v>
      </c>
      <c r="L90" s="49">
        <v>133</v>
      </c>
      <c r="M90" s="49">
        <v>130.1</v>
      </c>
      <c r="N90" s="49">
        <v>122.3</v>
      </c>
      <c r="O90" s="49">
        <v>115.5</v>
      </c>
      <c r="P90" s="49">
        <v>124.5</v>
      </c>
      <c r="Q90" s="49">
        <v>128.5</v>
      </c>
      <c r="R90" s="49">
        <v>124</v>
      </c>
      <c r="S90" s="49">
        <v>128.5</v>
      </c>
      <c r="T90" s="49">
        <v>130.19999999999999</v>
      </c>
      <c r="U90" s="49">
        <v>120.8</v>
      </c>
      <c r="V90" s="49">
        <v>119.7</v>
      </c>
      <c r="W90" s="49">
        <v>119.7</v>
      </c>
      <c r="X90" s="49">
        <v>125.8</v>
      </c>
      <c r="Y90" s="49">
        <v>126.7</v>
      </c>
      <c r="Z90" s="49">
        <v>130.69999999999999</v>
      </c>
      <c r="AA90" s="49">
        <v>122.3</v>
      </c>
      <c r="AB90" s="49">
        <v>120</v>
      </c>
      <c r="AC90" s="49">
        <v>124</v>
      </c>
      <c r="AD90" s="49">
        <v>124.4</v>
      </c>
      <c r="AE90" s="49">
        <v>120.5</v>
      </c>
      <c r="AF90" s="49">
        <v>124.9</v>
      </c>
      <c r="AG90" s="93"/>
      <c r="AH90" s="55">
        <f t="shared" si="15"/>
        <v>133</v>
      </c>
      <c r="AI90" s="56">
        <f t="shared" si="16"/>
        <v>115.5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65.599999999999994</v>
      </c>
      <c r="C91" s="97">
        <v>66.2</v>
      </c>
      <c r="D91" s="97">
        <v>66.3</v>
      </c>
      <c r="E91" s="97">
        <v>66.400000000000006</v>
      </c>
      <c r="F91" s="97">
        <v>66</v>
      </c>
      <c r="G91" s="97">
        <v>65.5</v>
      </c>
      <c r="H91" s="97">
        <v>65</v>
      </c>
      <c r="I91" s="97">
        <v>65</v>
      </c>
      <c r="J91" s="97">
        <v>65</v>
      </c>
      <c r="K91" s="97">
        <v>65</v>
      </c>
      <c r="L91" s="97">
        <v>65</v>
      </c>
      <c r="M91" s="97">
        <v>63.9</v>
      </c>
      <c r="N91" s="97">
        <v>63.7</v>
      </c>
      <c r="O91" s="97">
        <v>62.7</v>
      </c>
      <c r="P91" s="97">
        <v>64</v>
      </c>
      <c r="Q91" s="97">
        <v>63.8</v>
      </c>
      <c r="R91" s="97">
        <v>62.7</v>
      </c>
      <c r="S91" s="97">
        <v>63.8</v>
      </c>
      <c r="T91" s="97">
        <v>64.2</v>
      </c>
      <c r="U91" s="97">
        <v>64.099999999999994</v>
      </c>
      <c r="V91" s="97">
        <v>64.400000000000006</v>
      </c>
      <c r="W91" s="97">
        <v>64.400000000000006</v>
      </c>
      <c r="X91" s="97">
        <v>65</v>
      </c>
      <c r="Y91" s="97">
        <v>65</v>
      </c>
      <c r="Z91" s="97">
        <v>64.8</v>
      </c>
      <c r="AA91" s="97">
        <v>64.599999999999994</v>
      </c>
      <c r="AB91" s="97">
        <v>65.2</v>
      </c>
      <c r="AC91" s="97">
        <v>65.599999999999994</v>
      </c>
      <c r="AD91" s="97">
        <v>65.2</v>
      </c>
      <c r="AE91" s="97">
        <v>65.099999999999994</v>
      </c>
      <c r="AF91" s="97">
        <v>64.3</v>
      </c>
      <c r="AG91" s="98"/>
      <c r="AH91" s="55">
        <f t="shared" si="15"/>
        <v>66.400000000000006</v>
      </c>
      <c r="AI91" s="56">
        <f t="shared" si="16"/>
        <v>62.7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" si="24">SUM(B15,B18,B21:B22,B42,B44:B45,B47,B49,B94:B97,B105,B111,B117,B126,B128,B140,B147,B150:B151,B158,B160,B162,B166:B168,B170:B172,B177,B183:B184,B186:B188,B196,B201)</f>
        <v>172.02000000000004</v>
      </c>
      <c r="C93" s="103">
        <f t="shared" ref="C93:AF93" si="25">SUM(C15,C18,C21:C22,C42,C44:C45,C47,C49,C94:C97,C104,C110,C116,C125,C127,C139,C146,C149:C150,C157,C159,C161,C165:C167,C169:C171,C176,C182:C183,C185:C187,C195,C200)</f>
        <v>147.73999999999998</v>
      </c>
      <c r="D93" s="103">
        <f t="shared" si="25"/>
        <v>150.63999999999999</v>
      </c>
      <c r="E93" s="103">
        <f t="shared" si="25"/>
        <v>165.83999999999997</v>
      </c>
      <c r="F93" s="103">
        <f t="shared" si="25"/>
        <v>156.83999999999997</v>
      </c>
      <c r="G93" s="103">
        <f t="shared" si="25"/>
        <v>166.83999999999997</v>
      </c>
      <c r="H93" s="103">
        <f t="shared" si="25"/>
        <v>184.83999999999997</v>
      </c>
      <c r="I93" s="103">
        <f t="shared" si="25"/>
        <v>210.83999999999997</v>
      </c>
      <c r="J93" s="103">
        <f t="shared" si="25"/>
        <v>247.14</v>
      </c>
      <c r="K93" s="103">
        <f t="shared" si="25"/>
        <v>286.34000000000003</v>
      </c>
      <c r="L93" s="103">
        <f t="shared" si="25"/>
        <v>320.84000000000003</v>
      </c>
      <c r="M93" s="103">
        <f t="shared" si="25"/>
        <v>299.04000000000008</v>
      </c>
      <c r="N93" s="103">
        <f t="shared" si="25"/>
        <v>295.34000000000003</v>
      </c>
      <c r="O93" s="103">
        <f t="shared" si="25"/>
        <v>302.04000000000008</v>
      </c>
      <c r="P93" s="103">
        <f t="shared" si="25"/>
        <v>253.73999999999998</v>
      </c>
      <c r="Q93" s="103">
        <f t="shared" si="25"/>
        <v>301.1400000000001</v>
      </c>
      <c r="R93" s="103">
        <f t="shared" si="25"/>
        <v>295.64000000000004</v>
      </c>
      <c r="S93" s="103">
        <f t="shared" si="25"/>
        <v>302.94000000000005</v>
      </c>
      <c r="T93" s="103">
        <f t="shared" si="25"/>
        <v>310.74</v>
      </c>
      <c r="U93" s="103">
        <f t="shared" si="25"/>
        <v>307.34000000000003</v>
      </c>
      <c r="V93" s="103">
        <f t="shared" si="25"/>
        <v>306.04000000000002</v>
      </c>
      <c r="W93" s="103">
        <f t="shared" si="25"/>
        <v>306.04000000000002</v>
      </c>
      <c r="X93" s="103">
        <f t="shared" si="25"/>
        <v>306.94000000000005</v>
      </c>
      <c r="Y93" s="103">
        <f t="shared" si="25"/>
        <v>306.74000000000007</v>
      </c>
      <c r="Z93" s="103">
        <f t="shared" si="25"/>
        <v>328.94000000000005</v>
      </c>
      <c r="AA93" s="103">
        <f t="shared" si="25"/>
        <v>350.54000000000008</v>
      </c>
      <c r="AB93" s="103">
        <f t="shared" si="25"/>
        <v>313.1400000000001</v>
      </c>
      <c r="AC93" s="103">
        <f t="shared" si="25"/>
        <v>286.64000000000004</v>
      </c>
      <c r="AD93" s="103">
        <f t="shared" si="25"/>
        <v>278.34000000000003</v>
      </c>
      <c r="AE93" s="103">
        <f t="shared" si="25"/>
        <v>220.14000000000001</v>
      </c>
      <c r="AF93" s="103">
        <f t="shared" si="25"/>
        <v>162.44</v>
      </c>
      <c r="AG93" s="104"/>
      <c r="AH93" s="55">
        <f>MAX(C93:AF93)</f>
        <v>350.54000000000008</v>
      </c>
      <c r="AI93" s="56">
        <f>MIN(C93:AF93)</f>
        <v>147.73999999999998</v>
      </c>
    </row>
    <row r="94" spans="1:88" x14ac:dyDescent="0.25">
      <c r="A94" s="105" t="s">
        <v>98</v>
      </c>
      <c r="B94" s="106">
        <v>21.1</v>
      </c>
      <c r="C94" s="106">
        <v>23.2</v>
      </c>
      <c r="D94" s="106">
        <v>24.7</v>
      </c>
      <c r="E94" s="106">
        <v>32</v>
      </c>
      <c r="F94" s="106">
        <v>33</v>
      </c>
      <c r="G94" s="106">
        <v>37</v>
      </c>
      <c r="H94" s="106">
        <v>38</v>
      </c>
      <c r="I94" s="106">
        <v>36</v>
      </c>
      <c r="J94" s="106">
        <v>37</v>
      </c>
      <c r="K94" s="106">
        <v>41</v>
      </c>
      <c r="L94" s="106">
        <v>37</v>
      </c>
      <c r="M94" s="106">
        <v>51.2</v>
      </c>
      <c r="N94" s="106">
        <v>35.299999999999997</v>
      </c>
      <c r="O94" s="106">
        <v>46.4</v>
      </c>
      <c r="P94" s="106">
        <v>15.5</v>
      </c>
      <c r="Q94" s="106">
        <v>36.200000000000003</v>
      </c>
      <c r="R94" s="106">
        <v>36</v>
      </c>
      <c r="S94" s="106">
        <v>34.200000000000003</v>
      </c>
      <c r="T94" s="106">
        <v>38.5</v>
      </c>
      <c r="U94" s="106">
        <v>10.1</v>
      </c>
      <c r="V94" s="106">
        <v>66.5</v>
      </c>
      <c r="W94" s="106">
        <v>66.5</v>
      </c>
      <c r="X94" s="106">
        <v>65</v>
      </c>
      <c r="Y94" s="106">
        <v>51.1</v>
      </c>
      <c r="Z94" s="106">
        <v>56.6</v>
      </c>
      <c r="AA94" s="106">
        <v>47.3</v>
      </c>
      <c r="AB94" s="106">
        <v>49.2</v>
      </c>
      <c r="AC94" s="106">
        <v>47.9</v>
      </c>
      <c r="AD94" s="106">
        <v>50.3</v>
      </c>
      <c r="AE94" s="106">
        <v>53.2</v>
      </c>
      <c r="AF94" s="106">
        <v>47.5</v>
      </c>
      <c r="AG94" s="107">
        <v>75</v>
      </c>
      <c r="AH94" s="55">
        <f t="shared" ref="AH94:AH101" si="26">IF(ABS(MAX(C94:AF94))&gt;ABS(MIN(C94:AF94)),MAX(C94:AF94),MIN(C94:AF94))</f>
        <v>66.5</v>
      </c>
      <c r="AI94" s="108">
        <f t="shared" ref="AI94:AI101" si="27">INDEX($C$9:$AF$9,1,MATCH(AH94,C94:AF94,0))</f>
        <v>0.70833333333333304</v>
      </c>
    </row>
    <row r="95" spans="1:88" x14ac:dyDescent="0.25">
      <c r="A95" s="109" t="s">
        <v>99</v>
      </c>
      <c r="B95" s="110">
        <f>-49.5-62.8</f>
        <v>-112.3</v>
      </c>
      <c r="C95" s="110">
        <f>-57.9-72.4</f>
        <v>-130.30000000000001</v>
      </c>
      <c r="D95" s="110">
        <f>-57.1-70.6</f>
        <v>-127.69999999999999</v>
      </c>
      <c r="E95" s="110">
        <v>-107</v>
      </c>
      <c r="F95" s="110">
        <v>-110</v>
      </c>
      <c r="G95" s="110">
        <v>-102</v>
      </c>
      <c r="H95" s="110">
        <v>-85</v>
      </c>
      <c r="I95" s="110">
        <v>-100</v>
      </c>
      <c r="J95" s="110">
        <v>-81</v>
      </c>
      <c r="K95" s="110">
        <v>-69</v>
      </c>
      <c r="L95" s="110">
        <v>-35</v>
      </c>
      <c r="M95" s="110">
        <v>-54</v>
      </c>
      <c r="N95" s="110">
        <v>-55</v>
      </c>
      <c r="O95" s="110">
        <v>-58.7</v>
      </c>
      <c r="P95" s="110">
        <v>-56.3</v>
      </c>
      <c r="Q95" s="110">
        <v>-72.5</v>
      </c>
      <c r="R95" s="110">
        <v>-75.5</v>
      </c>
      <c r="S95" s="110">
        <f>-29-40.4</f>
        <v>-69.400000000000006</v>
      </c>
      <c r="T95" s="110">
        <f>-26.7-39.2</f>
        <v>-65.900000000000006</v>
      </c>
      <c r="U95" s="110">
        <f>-19.8-32.5</f>
        <v>-52.3</v>
      </c>
      <c r="V95" s="110">
        <v>-57</v>
      </c>
      <c r="W95" s="110">
        <v>-57</v>
      </c>
      <c r="X95" s="110">
        <f>-21.7-32.8</f>
        <v>-54.5</v>
      </c>
      <c r="Y95" s="110">
        <f>-20-31.1</f>
        <v>-51.1</v>
      </c>
      <c r="Z95" s="110">
        <f>-16.2-24.7</f>
        <v>-40.9</v>
      </c>
      <c r="AA95" s="110">
        <f>-8.6-20.1</f>
        <v>-28.700000000000003</v>
      </c>
      <c r="AB95" s="110">
        <f>-15-26</f>
        <v>-41</v>
      </c>
      <c r="AC95" s="110">
        <f>-14.3-22</f>
        <v>-36.299999999999997</v>
      </c>
      <c r="AD95" s="110">
        <f>-16.4-24</f>
        <v>-40.4</v>
      </c>
      <c r="AE95" s="110">
        <v>-68</v>
      </c>
      <c r="AF95" s="110">
        <f>-54.5-61</f>
        <v>-115.5</v>
      </c>
      <c r="AG95" s="107">
        <v>240</v>
      </c>
      <c r="AH95" s="55">
        <f t="shared" si="26"/>
        <v>-130.30000000000001</v>
      </c>
      <c r="AI95" s="108">
        <f t="shared" si="27"/>
        <v>4.1666666666666664E-2</v>
      </c>
    </row>
    <row r="96" spans="1:88" x14ac:dyDescent="0.25">
      <c r="A96" s="109" t="s">
        <v>100</v>
      </c>
      <c r="B96" s="110">
        <v>30.3</v>
      </c>
      <c r="C96" s="110">
        <v>22.9</v>
      </c>
      <c r="D96" s="110">
        <v>21.8</v>
      </c>
      <c r="E96" s="110">
        <v>9</v>
      </c>
      <c r="F96" s="110">
        <v>2</v>
      </c>
      <c r="G96" s="110">
        <v>0</v>
      </c>
      <c r="H96" s="110">
        <v>0</v>
      </c>
      <c r="I96" s="110">
        <v>0</v>
      </c>
      <c r="J96" s="110">
        <v>5.3</v>
      </c>
      <c r="K96" s="110">
        <v>16.5</v>
      </c>
      <c r="L96" s="110">
        <v>7</v>
      </c>
      <c r="M96" s="110">
        <v>6.8</v>
      </c>
      <c r="N96" s="110">
        <v>6.7</v>
      </c>
      <c r="O96" s="110">
        <v>10.5</v>
      </c>
      <c r="P96" s="110">
        <v>38.1</v>
      </c>
      <c r="Q96" s="110">
        <v>35.6</v>
      </c>
      <c r="R96" s="110">
        <v>24.7</v>
      </c>
      <c r="S96" s="110">
        <v>41.5</v>
      </c>
      <c r="T96" s="110">
        <v>47.6</v>
      </c>
      <c r="U96" s="110">
        <v>50.9</v>
      </c>
      <c r="V96" s="110">
        <v>22.7</v>
      </c>
      <c r="W96" s="110">
        <v>22.7</v>
      </c>
      <c r="X96" s="110">
        <v>43</v>
      </c>
      <c r="Y96" s="110">
        <v>40.299999999999997</v>
      </c>
      <c r="Z96" s="110">
        <v>53</v>
      </c>
      <c r="AA96" s="110">
        <v>55.3</v>
      </c>
      <c r="AB96" s="110">
        <v>53.5</v>
      </c>
      <c r="AC96" s="110">
        <v>36.200000000000003</v>
      </c>
      <c r="AD96" s="110">
        <v>28</v>
      </c>
      <c r="AE96" s="110">
        <v>26.2</v>
      </c>
      <c r="AF96" s="110">
        <v>10.1</v>
      </c>
      <c r="AG96" s="107">
        <v>60</v>
      </c>
      <c r="AH96" s="55">
        <f t="shared" si="26"/>
        <v>55.3</v>
      </c>
      <c r="AI96" s="108">
        <f t="shared" si="27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43</v>
      </c>
      <c r="J97" s="112">
        <v>54</v>
      </c>
      <c r="K97" s="112">
        <v>66</v>
      </c>
      <c r="L97" s="112">
        <v>80</v>
      </c>
      <c r="M97" s="112">
        <v>73.8</v>
      </c>
      <c r="N97" s="112">
        <v>87.3</v>
      </c>
      <c r="O97" s="112">
        <v>85.1</v>
      </c>
      <c r="P97" s="112">
        <v>96.6</v>
      </c>
      <c r="Q97" s="112">
        <v>81.5</v>
      </c>
      <c r="R97" s="112">
        <v>90.5</v>
      </c>
      <c r="S97" s="112">
        <v>76.7</v>
      </c>
      <c r="T97" s="112">
        <v>70.400000000000006</v>
      </c>
      <c r="U97" s="112">
        <v>78.5</v>
      </c>
      <c r="V97" s="112">
        <v>53.7</v>
      </c>
      <c r="W97" s="112">
        <v>53.7</v>
      </c>
      <c r="X97" s="112">
        <v>33.299999999999997</v>
      </c>
      <c r="Y97" s="112">
        <v>46.3</v>
      </c>
      <c r="Z97" s="112">
        <v>39.9</v>
      </c>
      <c r="AA97" s="112">
        <v>56.3</v>
      </c>
      <c r="AB97" s="112">
        <v>31.1</v>
      </c>
      <c r="AC97" s="112">
        <v>18.5</v>
      </c>
      <c r="AD97" s="112">
        <v>20.100000000000001</v>
      </c>
      <c r="AE97" s="112">
        <v>-11.6</v>
      </c>
      <c r="AF97" s="112">
        <v>0</v>
      </c>
      <c r="AG97" s="113">
        <v>120</v>
      </c>
      <c r="AH97" s="55">
        <f t="shared" si="26"/>
        <v>96.6</v>
      </c>
      <c r="AI97" s="108">
        <f t="shared" si="27"/>
        <v>0.45833333333333298</v>
      </c>
    </row>
    <row r="98" spans="1:37" x14ac:dyDescent="0.25">
      <c r="A98" s="111" t="s">
        <v>102</v>
      </c>
      <c r="B98" s="112">
        <v>44.2</v>
      </c>
      <c r="C98" s="112">
        <v>23.1</v>
      </c>
      <c r="D98" s="112">
        <v>24.3</v>
      </c>
      <c r="E98" s="112">
        <v>36</v>
      </c>
      <c r="F98" s="112">
        <v>46</v>
      </c>
      <c r="G98" s="112"/>
      <c r="H98" s="112">
        <v>50</v>
      </c>
      <c r="I98" s="112">
        <v>46</v>
      </c>
      <c r="J98" s="112">
        <v>48</v>
      </c>
      <c r="K98" s="112">
        <v>56</v>
      </c>
      <c r="L98" s="112">
        <v>75</v>
      </c>
      <c r="M98" s="112">
        <v>59</v>
      </c>
      <c r="N98" s="112">
        <v>76</v>
      </c>
      <c r="O98" s="112">
        <v>77.3</v>
      </c>
      <c r="P98" s="112">
        <v>84.6</v>
      </c>
      <c r="Q98" s="112">
        <v>72.599999999999994</v>
      </c>
      <c r="R98" s="112">
        <v>89.5</v>
      </c>
      <c r="S98" s="112">
        <v>77</v>
      </c>
      <c r="T98" s="112">
        <v>71.8</v>
      </c>
      <c r="U98" s="112">
        <v>50.2</v>
      </c>
      <c r="V98" s="112">
        <v>49.6</v>
      </c>
      <c r="W98" s="112">
        <v>49.6</v>
      </c>
      <c r="X98" s="112">
        <v>37.200000000000003</v>
      </c>
      <c r="Y98" s="112">
        <v>40.299999999999997</v>
      </c>
      <c r="Z98" s="112">
        <v>64.2</v>
      </c>
      <c r="AA98" s="112">
        <v>62.6</v>
      </c>
      <c r="AB98" s="112">
        <v>58</v>
      </c>
      <c r="AC98" s="112">
        <v>74</v>
      </c>
      <c r="AD98" s="112">
        <v>82</v>
      </c>
      <c r="AE98" s="112">
        <v>51.8</v>
      </c>
      <c r="AF98" s="112">
        <v>28.6</v>
      </c>
      <c r="AG98" s="113"/>
      <c r="AH98" s="55">
        <f t="shared" si="26"/>
        <v>89.5</v>
      </c>
      <c r="AI98" s="108">
        <f t="shared" si="27"/>
        <v>0.54166666666666696</v>
      </c>
    </row>
    <row r="99" spans="1:37" x14ac:dyDescent="0.25">
      <c r="A99" s="111" t="s">
        <v>103</v>
      </c>
      <c r="B99" s="112">
        <v>67.2</v>
      </c>
      <c r="C99" s="112">
        <v>71.900000000000006</v>
      </c>
      <c r="D99" s="112">
        <v>67.7</v>
      </c>
      <c r="E99" s="112">
        <v>65</v>
      </c>
      <c r="F99" s="112"/>
      <c r="G99" s="112"/>
      <c r="H99" s="112">
        <v>55</v>
      </c>
      <c r="I99" s="112">
        <v>63</v>
      </c>
      <c r="J99" s="112">
        <v>62</v>
      </c>
      <c r="K99" s="112">
        <v>45</v>
      </c>
      <c r="L99" s="112">
        <v>50</v>
      </c>
      <c r="M99" s="112">
        <v>18</v>
      </c>
      <c r="N99" s="112">
        <v>48.1</v>
      </c>
      <c r="O99" s="112">
        <v>35.6</v>
      </c>
      <c r="P99" s="112">
        <v>42.8</v>
      </c>
      <c r="Q99" s="112">
        <v>8</v>
      </c>
      <c r="R99" s="112">
        <v>6.3</v>
      </c>
      <c r="S99" s="112">
        <v>3.6</v>
      </c>
      <c r="T99" s="112">
        <v>-12.1</v>
      </c>
      <c r="U99" s="112">
        <v>19.5</v>
      </c>
      <c r="V99" s="112">
        <v>-1.1000000000000001</v>
      </c>
      <c r="W99" s="112">
        <v>-1.1000000000000001</v>
      </c>
      <c r="X99" s="112">
        <v>-1.1000000000000001</v>
      </c>
      <c r="Y99" s="112">
        <v>41.6</v>
      </c>
      <c r="Z99" s="112">
        <v>37.700000000000003</v>
      </c>
      <c r="AA99" s="112">
        <v>61</v>
      </c>
      <c r="AB99" s="112">
        <v>57</v>
      </c>
      <c r="AC99" s="112">
        <v>55</v>
      </c>
      <c r="AD99" s="112">
        <v>55.2</v>
      </c>
      <c r="AE99" s="112">
        <v>39.299999999999997</v>
      </c>
      <c r="AF99" s="112">
        <v>33.200000000000003</v>
      </c>
      <c r="AG99" s="114"/>
      <c r="AH99" s="55">
        <f t="shared" si="26"/>
        <v>71.900000000000006</v>
      </c>
      <c r="AI99" s="108">
        <f t="shared" si="27"/>
        <v>4.1666666666666664E-2</v>
      </c>
    </row>
    <row r="100" spans="1:37" x14ac:dyDescent="0.25">
      <c r="A100" s="115" t="s">
        <v>104</v>
      </c>
      <c r="B100" s="95">
        <v>32.1</v>
      </c>
      <c r="C100" s="95">
        <v>31.7</v>
      </c>
      <c r="D100" s="95">
        <v>30.9</v>
      </c>
      <c r="E100" s="95">
        <v>7</v>
      </c>
      <c r="F100" s="95"/>
      <c r="G100" s="95"/>
      <c r="H100" s="95">
        <v>14</v>
      </c>
      <c r="I100" s="95">
        <v>23</v>
      </c>
      <c r="J100" s="95">
        <v>21</v>
      </c>
      <c r="K100" s="95">
        <v>34</v>
      </c>
      <c r="L100" s="95">
        <v>31</v>
      </c>
      <c r="M100" s="95">
        <v>28</v>
      </c>
      <c r="N100" s="95">
        <v>30.3</v>
      </c>
      <c r="O100" s="95">
        <v>31.3</v>
      </c>
      <c r="P100" s="95">
        <v>36.5</v>
      </c>
      <c r="Q100" s="95">
        <v>27.8</v>
      </c>
      <c r="R100" s="95">
        <v>20.7</v>
      </c>
      <c r="S100" s="95">
        <v>20</v>
      </c>
      <c r="T100" s="95">
        <v>19.8</v>
      </c>
      <c r="U100" s="95">
        <v>19.399999999999999</v>
      </c>
      <c r="V100" s="95">
        <v>27.3</v>
      </c>
      <c r="W100" s="95">
        <v>27.3</v>
      </c>
      <c r="X100" s="95">
        <v>24.2</v>
      </c>
      <c r="Y100" s="95">
        <v>40.5</v>
      </c>
      <c r="Z100" s="95">
        <v>64.3</v>
      </c>
      <c r="AA100" s="95">
        <v>66.8</v>
      </c>
      <c r="AB100" s="95">
        <v>70</v>
      </c>
      <c r="AC100" s="95">
        <v>64.099999999999994</v>
      </c>
      <c r="AD100" s="95">
        <v>54</v>
      </c>
      <c r="AE100" s="95">
        <v>41</v>
      </c>
      <c r="AF100" s="95">
        <v>38.5</v>
      </c>
      <c r="AG100" s="114"/>
      <c r="AH100" s="55">
        <f t="shared" si="26"/>
        <v>70</v>
      </c>
      <c r="AI100" s="108">
        <f t="shared" si="27"/>
        <v>0.83333333333333337</v>
      </c>
    </row>
    <row r="101" spans="1:37" ht="15.75" thickBot="1" x14ac:dyDescent="0.3">
      <c r="A101" s="115" t="s">
        <v>221</v>
      </c>
      <c r="B101" s="95">
        <v>95</v>
      </c>
      <c r="C101" s="165">
        <v>107.6</v>
      </c>
      <c r="D101" s="165">
        <v>105.9</v>
      </c>
      <c r="E101" s="165">
        <v>84</v>
      </c>
      <c r="F101" s="165"/>
      <c r="G101" s="165"/>
      <c r="H101" s="165">
        <v>64</v>
      </c>
      <c r="I101" s="165">
        <v>71</v>
      </c>
      <c r="J101" s="165">
        <v>58</v>
      </c>
      <c r="K101" s="165">
        <v>65</v>
      </c>
      <c r="L101" s="165">
        <v>51</v>
      </c>
      <c r="M101" s="165">
        <v>48</v>
      </c>
      <c r="N101" s="165">
        <v>46.6</v>
      </c>
      <c r="O101" s="165">
        <v>49.8</v>
      </c>
      <c r="P101" s="165">
        <v>40.200000000000003</v>
      </c>
      <c r="Q101" s="165">
        <v>52.5</v>
      </c>
      <c r="R101" s="165">
        <v>43.3</v>
      </c>
      <c r="S101" s="165">
        <v>57.1</v>
      </c>
      <c r="T101" s="165">
        <v>63.7</v>
      </c>
      <c r="U101" s="165">
        <v>59.9</v>
      </c>
      <c r="V101" s="165">
        <v>63.3</v>
      </c>
      <c r="W101" s="165">
        <v>70.599999999999994</v>
      </c>
      <c r="X101" s="165">
        <v>33.4</v>
      </c>
      <c r="Y101" s="165">
        <v>65.7</v>
      </c>
      <c r="Z101" s="165">
        <v>61</v>
      </c>
      <c r="AA101" s="165">
        <v>51.1</v>
      </c>
      <c r="AB101" s="165">
        <v>68</v>
      </c>
      <c r="AC101" s="165">
        <v>51.2</v>
      </c>
      <c r="AD101" s="165">
        <v>45.9</v>
      </c>
      <c r="AE101" s="165">
        <v>72.7</v>
      </c>
      <c r="AF101" s="165">
        <v>94.1</v>
      </c>
      <c r="AG101" s="114"/>
      <c r="AH101" s="55">
        <f t="shared" si="26"/>
        <v>107.6</v>
      </c>
      <c r="AI101" s="108">
        <f t="shared" si="27"/>
        <v>4.1666666666666664E-2</v>
      </c>
    </row>
    <row r="102" spans="1:37" ht="15.75" thickBot="1" x14ac:dyDescent="0.3">
      <c r="A102" s="116" t="s">
        <v>105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9"/>
      <c r="AI102" s="56"/>
      <c r="AK102" s="57"/>
    </row>
    <row r="103" spans="1:37" x14ac:dyDescent="0.25">
      <c r="A103" s="120" t="s">
        <v>106</v>
      </c>
      <c r="B103" s="121">
        <f t="shared" ref="B103:B108" si="28">AF103</f>
        <v>9.9</v>
      </c>
      <c r="C103" s="54">
        <v>9.9</v>
      </c>
      <c r="D103" s="121">
        <f t="shared" ref="D103:S108" si="29">C103</f>
        <v>9.9</v>
      </c>
      <c r="E103" s="121">
        <f t="shared" si="29"/>
        <v>9.9</v>
      </c>
      <c r="F103" s="121">
        <f t="shared" si="29"/>
        <v>9.9</v>
      </c>
      <c r="G103" s="121">
        <f t="shared" si="29"/>
        <v>9.9</v>
      </c>
      <c r="H103" s="121">
        <f t="shared" si="29"/>
        <v>9.9</v>
      </c>
      <c r="I103" s="121">
        <f t="shared" si="29"/>
        <v>9.9</v>
      </c>
      <c r="J103" s="121">
        <f t="shared" si="29"/>
        <v>9.9</v>
      </c>
      <c r="K103" s="121">
        <f t="shared" si="29"/>
        <v>9.9</v>
      </c>
      <c r="L103" s="121">
        <f t="shared" si="29"/>
        <v>9.9</v>
      </c>
      <c r="M103" s="121">
        <f t="shared" si="29"/>
        <v>9.9</v>
      </c>
      <c r="N103" s="121">
        <f t="shared" si="29"/>
        <v>9.9</v>
      </c>
      <c r="O103" s="121">
        <f t="shared" si="29"/>
        <v>9.9</v>
      </c>
      <c r="P103" s="121">
        <f t="shared" si="29"/>
        <v>9.9</v>
      </c>
      <c r="Q103" s="121">
        <f t="shared" si="29"/>
        <v>9.9</v>
      </c>
      <c r="R103" s="121">
        <f t="shared" si="29"/>
        <v>9.9</v>
      </c>
      <c r="S103" s="121">
        <f t="shared" si="29"/>
        <v>9.9</v>
      </c>
      <c r="T103" s="121">
        <f t="shared" ref="T103:AF108" si="30">S103</f>
        <v>9.9</v>
      </c>
      <c r="U103" s="121">
        <f t="shared" si="30"/>
        <v>9.9</v>
      </c>
      <c r="V103" s="121">
        <f t="shared" si="30"/>
        <v>9.9</v>
      </c>
      <c r="W103" s="121">
        <f t="shared" si="30"/>
        <v>9.9</v>
      </c>
      <c r="X103" s="121">
        <f t="shared" si="30"/>
        <v>9.9</v>
      </c>
      <c r="Y103" s="121">
        <f t="shared" si="30"/>
        <v>9.9</v>
      </c>
      <c r="Z103" s="121">
        <f t="shared" si="30"/>
        <v>9.9</v>
      </c>
      <c r="AA103" s="121">
        <f t="shared" si="30"/>
        <v>9.9</v>
      </c>
      <c r="AB103" s="121">
        <f t="shared" si="30"/>
        <v>9.9</v>
      </c>
      <c r="AC103" s="121">
        <f t="shared" si="30"/>
        <v>9.9</v>
      </c>
      <c r="AD103" s="121">
        <f t="shared" si="30"/>
        <v>9.9</v>
      </c>
      <c r="AE103" s="121">
        <f t="shared" si="30"/>
        <v>9.9</v>
      </c>
      <c r="AF103" s="121">
        <f t="shared" si="30"/>
        <v>9.9</v>
      </c>
      <c r="AG103" s="122">
        <v>9.94</v>
      </c>
      <c r="AH103" s="55"/>
      <c r="AI103" s="56"/>
      <c r="AK103" s="57"/>
    </row>
    <row r="104" spans="1:37" x14ac:dyDescent="0.25">
      <c r="A104" s="109" t="s">
        <v>107</v>
      </c>
      <c r="B104" s="123">
        <f t="shared" si="28"/>
        <v>9.6</v>
      </c>
      <c r="C104" s="124">
        <v>9.6</v>
      </c>
      <c r="D104" s="123">
        <f t="shared" si="29"/>
        <v>9.6</v>
      </c>
      <c r="E104" s="123">
        <f t="shared" si="29"/>
        <v>9.6</v>
      </c>
      <c r="F104" s="123">
        <f t="shared" si="29"/>
        <v>9.6</v>
      </c>
      <c r="G104" s="123">
        <f t="shared" si="29"/>
        <v>9.6</v>
      </c>
      <c r="H104" s="123">
        <f t="shared" si="29"/>
        <v>9.6</v>
      </c>
      <c r="I104" s="123">
        <f t="shared" si="29"/>
        <v>9.6</v>
      </c>
      <c r="J104" s="123">
        <f t="shared" si="29"/>
        <v>9.6</v>
      </c>
      <c r="K104" s="123">
        <f t="shared" si="29"/>
        <v>9.6</v>
      </c>
      <c r="L104" s="123">
        <f t="shared" si="29"/>
        <v>9.6</v>
      </c>
      <c r="M104" s="123">
        <f t="shared" si="29"/>
        <v>9.6</v>
      </c>
      <c r="N104" s="123">
        <f t="shared" si="29"/>
        <v>9.6</v>
      </c>
      <c r="O104" s="123">
        <f t="shared" si="29"/>
        <v>9.6</v>
      </c>
      <c r="P104" s="123">
        <f t="shared" si="29"/>
        <v>9.6</v>
      </c>
      <c r="Q104" s="123">
        <f t="shared" si="29"/>
        <v>9.6</v>
      </c>
      <c r="R104" s="123">
        <f t="shared" si="29"/>
        <v>9.6</v>
      </c>
      <c r="S104" s="123">
        <f t="shared" si="29"/>
        <v>9.6</v>
      </c>
      <c r="T104" s="123">
        <f t="shared" si="30"/>
        <v>9.6</v>
      </c>
      <c r="U104" s="123">
        <f t="shared" si="30"/>
        <v>9.6</v>
      </c>
      <c r="V104" s="123">
        <f t="shared" si="30"/>
        <v>9.6</v>
      </c>
      <c r="W104" s="123">
        <f t="shared" si="30"/>
        <v>9.6</v>
      </c>
      <c r="X104" s="123">
        <f t="shared" si="30"/>
        <v>9.6</v>
      </c>
      <c r="Y104" s="123">
        <f t="shared" si="30"/>
        <v>9.6</v>
      </c>
      <c r="Z104" s="123">
        <f t="shared" si="30"/>
        <v>9.6</v>
      </c>
      <c r="AA104" s="123">
        <f t="shared" si="30"/>
        <v>9.6</v>
      </c>
      <c r="AB104" s="123">
        <f t="shared" si="30"/>
        <v>9.6</v>
      </c>
      <c r="AC104" s="123">
        <f t="shared" si="30"/>
        <v>9.6</v>
      </c>
      <c r="AD104" s="123">
        <f t="shared" si="30"/>
        <v>9.6</v>
      </c>
      <c r="AE104" s="123">
        <f t="shared" si="30"/>
        <v>9.6</v>
      </c>
      <c r="AF104" s="123">
        <f t="shared" si="30"/>
        <v>9.6</v>
      </c>
      <c r="AG104" s="125">
        <v>9.9</v>
      </c>
      <c r="AH104" s="55"/>
      <c r="AI104" s="56"/>
      <c r="AK104" s="57"/>
    </row>
    <row r="105" spans="1:37" x14ac:dyDescent="0.25">
      <c r="A105" s="111" t="s">
        <v>108</v>
      </c>
      <c r="B105" s="123">
        <f t="shared" si="28"/>
        <v>9.98</v>
      </c>
      <c r="C105" s="124">
        <v>9.98</v>
      </c>
      <c r="D105" s="123">
        <f t="shared" si="29"/>
        <v>9.98</v>
      </c>
      <c r="E105" s="123">
        <f t="shared" si="29"/>
        <v>9.98</v>
      </c>
      <c r="F105" s="123">
        <f t="shared" si="29"/>
        <v>9.98</v>
      </c>
      <c r="G105" s="123">
        <f t="shared" si="29"/>
        <v>9.98</v>
      </c>
      <c r="H105" s="123">
        <f t="shared" si="29"/>
        <v>9.98</v>
      </c>
      <c r="I105" s="123">
        <f t="shared" si="29"/>
        <v>9.98</v>
      </c>
      <c r="J105" s="123">
        <f t="shared" si="29"/>
        <v>9.98</v>
      </c>
      <c r="K105" s="123">
        <f t="shared" si="29"/>
        <v>9.98</v>
      </c>
      <c r="L105" s="123">
        <f t="shared" si="29"/>
        <v>9.98</v>
      </c>
      <c r="M105" s="123">
        <f t="shared" si="29"/>
        <v>9.98</v>
      </c>
      <c r="N105" s="123">
        <f t="shared" si="29"/>
        <v>9.98</v>
      </c>
      <c r="O105" s="123">
        <f t="shared" si="29"/>
        <v>9.98</v>
      </c>
      <c r="P105" s="123">
        <f t="shared" si="29"/>
        <v>9.98</v>
      </c>
      <c r="Q105" s="123">
        <f t="shared" si="29"/>
        <v>9.98</v>
      </c>
      <c r="R105" s="123">
        <f t="shared" si="29"/>
        <v>9.98</v>
      </c>
      <c r="S105" s="123">
        <f t="shared" si="29"/>
        <v>9.98</v>
      </c>
      <c r="T105" s="123">
        <f t="shared" si="30"/>
        <v>9.98</v>
      </c>
      <c r="U105" s="123">
        <f t="shared" si="30"/>
        <v>9.98</v>
      </c>
      <c r="V105" s="123">
        <f t="shared" si="30"/>
        <v>9.98</v>
      </c>
      <c r="W105" s="123">
        <f t="shared" si="30"/>
        <v>9.98</v>
      </c>
      <c r="X105" s="123">
        <f t="shared" si="30"/>
        <v>9.98</v>
      </c>
      <c r="Y105" s="123">
        <f t="shared" si="30"/>
        <v>9.98</v>
      </c>
      <c r="Z105" s="123">
        <f t="shared" si="30"/>
        <v>9.98</v>
      </c>
      <c r="AA105" s="123">
        <f t="shared" si="30"/>
        <v>9.98</v>
      </c>
      <c r="AB105" s="123">
        <f t="shared" si="30"/>
        <v>9.98</v>
      </c>
      <c r="AC105" s="123">
        <f t="shared" si="30"/>
        <v>9.98</v>
      </c>
      <c r="AD105" s="123">
        <f t="shared" si="30"/>
        <v>9.98</v>
      </c>
      <c r="AE105" s="123">
        <f t="shared" si="30"/>
        <v>9.98</v>
      </c>
      <c r="AF105" s="123">
        <f t="shared" si="30"/>
        <v>9.98</v>
      </c>
      <c r="AG105" s="126">
        <v>9.6579999999999995</v>
      </c>
      <c r="AH105" s="55"/>
      <c r="AI105" s="56"/>
      <c r="AK105" s="57"/>
    </row>
    <row r="106" spans="1:37" x14ac:dyDescent="0.25">
      <c r="A106" s="111" t="s">
        <v>109</v>
      </c>
      <c r="B106" s="123">
        <f t="shared" si="28"/>
        <v>9.1</v>
      </c>
      <c r="C106" s="124">
        <v>9.1</v>
      </c>
      <c r="D106" s="123">
        <f t="shared" si="29"/>
        <v>9.1</v>
      </c>
      <c r="E106" s="123">
        <f t="shared" si="29"/>
        <v>9.1</v>
      </c>
      <c r="F106" s="123">
        <f t="shared" si="29"/>
        <v>9.1</v>
      </c>
      <c r="G106" s="123">
        <f t="shared" si="29"/>
        <v>9.1</v>
      </c>
      <c r="H106" s="123">
        <f t="shared" si="29"/>
        <v>9.1</v>
      </c>
      <c r="I106" s="123">
        <f t="shared" si="29"/>
        <v>9.1</v>
      </c>
      <c r="J106" s="123">
        <f t="shared" si="29"/>
        <v>9.1</v>
      </c>
      <c r="K106" s="123">
        <f t="shared" si="29"/>
        <v>9.1</v>
      </c>
      <c r="L106" s="123">
        <f t="shared" si="29"/>
        <v>9.1</v>
      </c>
      <c r="M106" s="123">
        <f t="shared" si="29"/>
        <v>9.1</v>
      </c>
      <c r="N106" s="123">
        <f t="shared" si="29"/>
        <v>9.1</v>
      </c>
      <c r="O106" s="123">
        <f t="shared" si="29"/>
        <v>9.1</v>
      </c>
      <c r="P106" s="123">
        <f t="shared" si="29"/>
        <v>9.1</v>
      </c>
      <c r="Q106" s="123">
        <f t="shared" si="29"/>
        <v>9.1</v>
      </c>
      <c r="R106" s="123">
        <f t="shared" si="29"/>
        <v>9.1</v>
      </c>
      <c r="S106" s="123">
        <f t="shared" si="29"/>
        <v>9.1</v>
      </c>
      <c r="T106" s="123">
        <f t="shared" si="30"/>
        <v>9.1</v>
      </c>
      <c r="U106" s="123">
        <f t="shared" si="30"/>
        <v>9.1</v>
      </c>
      <c r="V106" s="123">
        <f t="shared" si="30"/>
        <v>9.1</v>
      </c>
      <c r="W106" s="123">
        <f t="shared" si="30"/>
        <v>9.1</v>
      </c>
      <c r="X106" s="123">
        <f t="shared" si="30"/>
        <v>9.1</v>
      </c>
      <c r="Y106" s="123">
        <f t="shared" si="30"/>
        <v>9.1</v>
      </c>
      <c r="Z106" s="123">
        <f t="shared" si="30"/>
        <v>9.1</v>
      </c>
      <c r="AA106" s="123">
        <f t="shared" si="30"/>
        <v>9.1</v>
      </c>
      <c r="AB106" s="123">
        <f t="shared" si="30"/>
        <v>9.1</v>
      </c>
      <c r="AC106" s="123">
        <f t="shared" si="30"/>
        <v>9.1</v>
      </c>
      <c r="AD106" s="123">
        <f t="shared" si="30"/>
        <v>9.1</v>
      </c>
      <c r="AE106" s="123">
        <f t="shared" si="30"/>
        <v>9.1</v>
      </c>
      <c r="AF106" s="123">
        <f t="shared" si="30"/>
        <v>9.1</v>
      </c>
      <c r="AG106" s="126">
        <v>9.6</v>
      </c>
      <c r="AH106" s="55"/>
      <c r="AI106" s="56"/>
      <c r="AK106" s="57"/>
    </row>
    <row r="107" spans="1:37" x14ac:dyDescent="0.25">
      <c r="A107" s="111" t="s">
        <v>110</v>
      </c>
      <c r="B107" s="123">
        <f t="shared" si="28"/>
        <v>9.18</v>
      </c>
      <c r="C107" s="124">
        <v>9.18</v>
      </c>
      <c r="D107" s="123">
        <f t="shared" si="29"/>
        <v>9.18</v>
      </c>
      <c r="E107" s="123">
        <f t="shared" si="29"/>
        <v>9.18</v>
      </c>
      <c r="F107" s="123">
        <f t="shared" si="29"/>
        <v>9.18</v>
      </c>
      <c r="G107" s="123">
        <f t="shared" si="29"/>
        <v>9.18</v>
      </c>
      <c r="H107" s="123">
        <f t="shared" si="29"/>
        <v>9.18</v>
      </c>
      <c r="I107" s="123">
        <f t="shared" si="29"/>
        <v>9.18</v>
      </c>
      <c r="J107" s="123">
        <f t="shared" si="29"/>
        <v>9.18</v>
      </c>
      <c r="K107" s="123">
        <f t="shared" si="29"/>
        <v>9.18</v>
      </c>
      <c r="L107" s="123">
        <f t="shared" si="29"/>
        <v>9.18</v>
      </c>
      <c r="M107" s="123">
        <f t="shared" si="29"/>
        <v>9.18</v>
      </c>
      <c r="N107" s="123">
        <f t="shared" si="29"/>
        <v>9.18</v>
      </c>
      <c r="O107" s="123">
        <f t="shared" si="29"/>
        <v>9.18</v>
      </c>
      <c r="P107" s="123">
        <f t="shared" si="29"/>
        <v>9.18</v>
      </c>
      <c r="Q107" s="123">
        <f t="shared" si="29"/>
        <v>9.18</v>
      </c>
      <c r="R107" s="123">
        <f t="shared" si="29"/>
        <v>9.18</v>
      </c>
      <c r="S107" s="123">
        <f t="shared" si="29"/>
        <v>9.18</v>
      </c>
      <c r="T107" s="123">
        <f t="shared" si="30"/>
        <v>9.18</v>
      </c>
      <c r="U107" s="123">
        <f t="shared" si="30"/>
        <v>9.18</v>
      </c>
      <c r="V107" s="123">
        <f t="shared" si="30"/>
        <v>9.18</v>
      </c>
      <c r="W107" s="123">
        <f t="shared" si="30"/>
        <v>9.18</v>
      </c>
      <c r="X107" s="123">
        <f t="shared" si="30"/>
        <v>9.18</v>
      </c>
      <c r="Y107" s="123">
        <f t="shared" si="30"/>
        <v>9.18</v>
      </c>
      <c r="Z107" s="123">
        <f t="shared" si="30"/>
        <v>9.18</v>
      </c>
      <c r="AA107" s="123">
        <f t="shared" si="30"/>
        <v>9.18</v>
      </c>
      <c r="AB107" s="123">
        <f t="shared" si="30"/>
        <v>9.18</v>
      </c>
      <c r="AC107" s="123">
        <f t="shared" si="30"/>
        <v>9.18</v>
      </c>
      <c r="AD107" s="123">
        <f t="shared" si="30"/>
        <v>9.18</v>
      </c>
      <c r="AE107" s="123">
        <f t="shared" si="30"/>
        <v>9.18</v>
      </c>
      <c r="AF107" s="123">
        <f t="shared" si="30"/>
        <v>9.18</v>
      </c>
      <c r="AG107" s="126">
        <v>9.51</v>
      </c>
      <c r="AH107" s="55"/>
      <c r="AI107" s="56"/>
      <c r="AK107" s="57"/>
    </row>
    <row r="108" spans="1:37" x14ac:dyDescent="0.25">
      <c r="A108" s="111" t="s">
        <v>111</v>
      </c>
      <c r="B108" s="123">
        <f t="shared" si="28"/>
        <v>7</v>
      </c>
      <c r="C108" s="124">
        <v>7</v>
      </c>
      <c r="D108" s="123">
        <f t="shared" si="29"/>
        <v>7</v>
      </c>
      <c r="E108" s="123">
        <f t="shared" si="29"/>
        <v>7</v>
      </c>
      <c r="F108" s="123">
        <f t="shared" si="29"/>
        <v>7</v>
      </c>
      <c r="G108" s="123">
        <f t="shared" si="29"/>
        <v>7</v>
      </c>
      <c r="H108" s="123">
        <f t="shared" si="29"/>
        <v>7</v>
      </c>
      <c r="I108" s="123">
        <f t="shared" si="29"/>
        <v>7</v>
      </c>
      <c r="J108" s="123">
        <f t="shared" si="29"/>
        <v>7</v>
      </c>
      <c r="K108" s="123">
        <f t="shared" si="29"/>
        <v>7</v>
      </c>
      <c r="L108" s="123">
        <f t="shared" si="29"/>
        <v>7</v>
      </c>
      <c r="M108" s="123">
        <f t="shared" si="29"/>
        <v>7</v>
      </c>
      <c r="N108" s="123">
        <f t="shared" si="29"/>
        <v>7</v>
      </c>
      <c r="O108" s="123">
        <f t="shared" si="29"/>
        <v>7</v>
      </c>
      <c r="P108" s="123">
        <f t="shared" si="29"/>
        <v>7</v>
      </c>
      <c r="Q108" s="123">
        <f t="shared" si="29"/>
        <v>7</v>
      </c>
      <c r="R108" s="123">
        <f t="shared" si="29"/>
        <v>7</v>
      </c>
      <c r="S108" s="123">
        <f t="shared" si="29"/>
        <v>7</v>
      </c>
      <c r="T108" s="123">
        <f t="shared" si="30"/>
        <v>7</v>
      </c>
      <c r="U108" s="123">
        <f t="shared" si="30"/>
        <v>7</v>
      </c>
      <c r="V108" s="123">
        <f t="shared" si="30"/>
        <v>7</v>
      </c>
      <c r="W108" s="123">
        <f t="shared" si="30"/>
        <v>7</v>
      </c>
      <c r="X108" s="123">
        <f t="shared" si="30"/>
        <v>7</v>
      </c>
      <c r="Y108" s="123">
        <f t="shared" si="30"/>
        <v>7</v>
      </c>
      <c r="Z108" s="123">
        <f t="shared" si="30"/>
        <v>7</v>
      </c>
      <c r="AA108" s="123">
        <f t="shared" si="30"/>
        <v>7</v>
      </c>
      <c r="AB108" s="123">
        <f t="shared" si="30"/>
        <v>7</v>
      </c>
      <c r="AC108" s="123">
        <f t="shared" si="30"/>
        <v>7</v>
      </c>
      <c r="AD108" s="123">
        <f t="shared" si="30"/>
        <v>7</v>
      </c>
      <c r="AE108" s="123">
        <f t="shared" si="30"/>
        <v>7</v>
      </c>
      <c r="AF108" s="123">
        <f t="shared" si="30"/>
        <v>7</v>
      </c>
      <c r="AG108" s="126">
        <v>9.4</v>
      </c>
      <c r="AH108" s="55"/>
      <c r="AI108" s="56"/>
      <c r="AK108" s="57"/>
    </row>
    <row r="109" spans="1:37" x14ac:dyDescent="0.25">
      <c r="A109" s="111" t="s">
        <v>112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5"/>
      <c r="AI109" s="56"/>
      <c r="AK109" s="57"/>
    </row>
    <row r="110" spans="1:37" x14ac:dyDescent="0.25">
      <c r="A110" s="111" t="s">
        <v>113</v>
      </c>
      <c r="B110" s="123">
        <f>AF110</f>
        <v>2.25</v>
      </c>
      <c r="C110" s="124">
        <v>2.25</v>
      </c>
      <c r="D110" s="123">
        <f t="shared" ref="D110:S111" si="31">C110</f>
        <v>2.25</v>
      </c>
      <c r="E110" s="123">
        <f t="shared" si="31"/>
        <v>2.25</v>
      </c>
      <c r="F110" s="123">
        <f t="shared" si="31"/>
        <v>2.25</v>
      </c>
      <c r="G110" s="123">
        <f t="shared" si="31"/>
        <v>2.25</v>
      </c>
      <c r="H110" s="123">
        <f t="shared" si="31"/>
        <v>2.25</v>
      </c>
      <c r="I110" s="123">
        <f t="shared" si="31"/>
        <v>2.25</v>
      </c>
      <c r="J110" s="123">
        <f t="shared" si="31"/>
        <v>2.25</v>
      </c>
      <c r="K110" s="123">
        <f t="shared" si="31"/>
        <v>2.25</v>
      </c>
      <c r="L110" s="123">
        <f t="shared" si="31"/>
        <v>2.25</v>
      </c>
      <c r="M110" s="123">
        <f t="shared" si="31"/>
        <v>2.25</v>
      </c>
      <c r="N110" s="123">
        <f t="shared" si="31"/>
        <v>2.25</v>
      </c>
      <c r="O110" s="123">
        <f t="shared" si="31"/>
        <v>2.25</v>
      </c>
      <c r="P110" s="123">
        <f t="shared" si="31"/>
        <v>2.25</v>
      </c>
      <c r="Q110" s="123">
        <f t="shared" si="31"/>
        <v>2.25</v>
      </c>
      <c r="R110" s="123">
        <f t="shared" si="31"/>
        <v>2.25</v>
      </c>
      <c r="S110" s="123">
        <f t="shared" si="31"/>
        <v>2.25</v>
      </c>
      <c r="T110" s="123">
        <f t="shared" ref="T110:AF111" si="32">S110</f>
        <v>2.25</v>
      </c>
      <c r="U110" s="123">
        <f t="shared" si="32"/>
        <v>2.25</v>
      </c>
      <c r="V110" s="123">
        <f t="shared" si="32"/>
        <v>2.25</v>
      </c>
      <c r="W110" s="123">
        <f t="shared" si="32"/>
        <v>2.25</v>
      </c>
      <c r="X110" s="123">
        <f t="shared" si="32"/>
        <v>2.25</v>
      </c>
      <c r="Y110" s="123">
        <f t="shared" si="32"/>
        <v>2.25</v>
      </c>
      <c r="Z110" s="123">
        <f t="shared" si="32"/>
        <v>2.25</v>
      </c>
      <c r="AA110" s="123">
        <f t="shared" si="32"/>
        <v>2.25</v>
      </c>
      <c r="AB110" s="123">
        <f t="shared" si="32"/>
        <v>2.25</v>
      </c>
      <c r="AC110" s="123">
        <f t="shared" si="32"/>
        <v>2.25</v>
      </c>
      <c r="AD110" s="123">
        <f t="shared" si="32"/>
        <v>2.25</v>
      </c>
      <c r="AE110" s="123">
        <f t="shared" si="32"/>
        <v>2.25</v>
      </c>
      <c r="AF110" s="123">
        <f t="shared" si="32"/>
        <v>2.25</v>
      </c>
      <c r="AG110" s="126">
        <v>8.5</v>
      </c>
      <c r="AH110" s="55"/>
      <c r="AI110" s="56"/>
      <c r="AK110" s="57"/>
    </row>
    <row r="111" spans="1:37" x14ac:dyDescent="0.25">
      <c r="A111" s="111" t="s">
        <v>114</v>
      </c>
      <c r="B111" s="123">
        <f>AF111</f>
        <v>1.64</v>
      </c>
      <c r="C111" s="124">
        <v>1.64</v>
      </c>
      <c r="D111" s="123">
        <f t="shared" si="31"/>
        <v>1.64</v>
      </c>
      <c r="E111" s="123">
        <f t="shared" si="31"/>
        <v>1.64</v>
      </c>
      <c r="F111" s="123">
        <f t="shared" si="31"/>
        <v>1.64</v>
      </c>
      <c r="G111" s="123">
        <f t="shared" si="31"/>
        <v>1.64</v>
      </c>
      <c r="H111" s="123">
        <f t="shared" si="31"/>
        <v>1.64</v>
      </c>
      <c r="I111" s="123">
        <f t="shared" si="31"/>
        <v>1.64</v>
      </c>
      <c r="J111" s="123">
        <f t="shared" si="31"/>
        <v>1.64</v>
      </c>
      <c r="K111" s="123">
        <f t="shared" si="31"/>
        <v>1.64</v>
      </c>
      <c r="L111" s="123">
        <f t="shared" si="31"/>
        <v>1.64</v>
      </c>
      <c r="M111" s="123">
        <f t="shared" si="31"/>
        <v>1.64</v>
      </c>
      <c r="N111" s="123">
        <f t="shared" si="31"/>
        <v>1.64</v>
      </c>
      <c r="O111" s="123">
        <f t="shared" si="31"/>
        <v>1.64</v>
      </c>
      <c r="P111" s="123">
        <f t="shared" si="31"/>
        <v>1.64</v>
      </c>
      <c r="Q111" s="123">
        <f t="shared" si="31"/>
        <v>1.64</v>
      </c>
      <c r="R111" s="123">
        <f t="shared" si="31"/>
        <v>1.64</v>
      </c>
      <c r="S111" s="123">
        <f t="shared" si="31"/>
        <v>1.64</v>
      </c>
      <c r="T111" s="123">
        <f t="shared" si="32"/>
        <v>1.64</v>
      </c>
      <c r="U111" s="123">
        <f t="shared" si="32"/>
        <v>1.64</v>
      </c>
      <c r="V111" s="123">
        <f t="shared" si="32"/>
        <v>1.64</v>
      </c>
      <c r="W111" s="123">
        <f t="shared" si="32"/>
        <v>1.64</v>
      </c>
      <c r="X111" s="123">
        <f t="shared" si="32"/>
        <v>1.64</v>
      </c>
      <c r="Y111" s="123">
        <f t="shared" si="32"/>
        <v>1.64</v>
      </c>
      <c r="Z111" s="123">
        <f t="shared" si="32"/>
        <v>1.64</v>
      </c>
      <c r="AA111" s="123">
        <f t="shared" si="32"/>
        <v>1.64</v>
      </c>
      <c r="AB111" s="123">
        <f t="shared" si="32"/>
        <v>1.64</v>
      </c>
      <c r="AC111" s="123">
        <f t="shared" si="32"/>
        <v>1.64</v>
      </c>
      <c r="AD111" s="123">
        <f t="shared" si="32"/>
        <v>1.64</v>
      </c>
      <c r="AE111" s="123">
        <f t="shared" si="32"/>
        <v>1.64</v>
      </c>
      <c r="AF111" s="123">
        <f t="shared" si="32"/>
        <v>1.64</v>
      </c>
      <c r="AG111" s="126">
        <v>8.5</v>
      </c>
      <c r="AH111" s="55"/>
      <c r="AI111" s="56"/>
      <c r="AK111" s="57"/>
    </row>
    <row r="112" spans="1:37" x14ac:dyDescent="0.25">
      <c r="A112" s="111" t="s">
        <v>115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5"/>
      <c r="AI112" s="56"/>
      <c r="AK112" s="57"/>
    </row>
    <row r="113" spans="1:37" ht="13.5" customHeight="1" x14ac:dyDescent="0.25">
      <c r="A113" s="111" t="s">
        <v>116</v>
      </c>
      <c r="B113" s="123">
        <f t="shared" ref="B113:B130" si="33">AF113</f>
        <v>1.62</v>
      </c>
      <c r="C113" s="124">
        <v>1.62</v>
      </c>
      <c r="D113" s="123">
        <f t="shared" ref="D113:S120" si="34">C113</f>
        <v>1.62</v>
      </c>
      <c r="E113" s="123">
        <f t="shared" si="34"/>
        <v>1.62</v>
      </c>
      <c r="F113" s="123">
        <f t="shared" si="34"/>
        <v>1.62</v>
      </c>
      <c r="G113" s="123">
        <f t="shared" si="34"/>
        <v>1.62</v>
      </c>
      <c r="H113" s="123">
        <f t="shared" si="34"/>
        <v>1.62</v>
      </c>
      <c r="I113" s="123">
        <f t="shared" si="34"/>
        <v>1.62</v>
      </c>
      <c r="J113" s="123">
        <f t="shared" si="34"/>
        <v>1.62</v>
      </c>
      <c r="K113" s="123">
        <f t="shared" si="34"/>
        <v>1.62</v>
      </c>
      <c r="L113" s="123">
        <f t="shared" si="34"/>
        <v>1.62</v>
      </c>
      <c r="M113" s="123">
        <f t="shared" si="34"/>
        <v>1.62</v>
      </c>
      <c r="N113" s="123">
        <f t="shared" si="34"/>
        <v>1.62</v>
      </c>
      <c r="O113" s="123">
        <f t="shared" si="34"/>
        <v>1.62</v>
      </c>
      <c r="P113" s="123">
        <f t="shared" si="34"/>
        <v>1.62</v>
      </c>
      <c r="Q113" s="123">
        <f t="shared" si="34"/>
        <v>1.62</v>
      </c>
      <c r="R113" s="123">
        <f t="shared" si="34"/>
        <v>1.62</v>
      </c>
      <c r="S113" s="123">
        <f t="shared" si="34"/>
        <v>1.62</v>
      </c>
      <c r="T113" s="123">
        <f t="shared" ref="T113:AF128" si="35">S113</f>
        <v>1.62</v>
      </c>
      <c r="U113" s="123">
        <f t="shared" si="35"/>
        <v>1.62</v>
      </c>
      <c r="V113" s="123">
        <f t="shared" si="35"/>
        <v>1.62</v>
      </c>
      <c r="W113" s="123">
        <f t="shared" si="35"/>
        <v>1.62</v>
      </c>
      <c r="X113" s="123">
        <f t="shared" si="35"/>
        <v>1.62</v>
      </c>
      <c r="Y113" s="123">
        <f t="shared" si="35"/>
        <v>1.62</v>
      </c>
      <c r="Z113" s="123">
        <f t="shared" si="35"/>
        <v>1.62</v>
      </c>
      <c r="AA113" s="123">
        <f t="shared" si="35"/>
        <v>1.62</v>
      </c>
      <c r="AB113" s="123">
        <f t="shared" si="35"/>
        <v>1.62</v>
      </c>
      <c r="AC113" s="123">
        <f t="shared" si="35"/>
        <v>1.62</v>
      </c>
      <c r="AD113" s="123">
        <f t="shared" si="35"/>
        <v>1.62</v>
      </c>
      <c r="AE113" s="123">
        <f t="shared" si="35"/>
        <v>1.62</v>
      </c>
      <c r="AF113" s="123">
        <f t="shared" si="35"/>
        <v>1.62</v>
      </c>
      <c r="AG113" s="126">
        <v>8</v>
      </c>
      <c r="AH113" s="55"/>
      <c r="AI113" s="56"/>
      <c r="AK113" s="57"/>
    </row>
    <row r="114" spans="1:37" x14ac:dyDescent="0.25">
      <c r="A114" s="111" t="s">
        <v>117</v>
      </c>
      <c r="B114" s="123">
        <f t="shared" si="33"/>
        <v>8.36</v>
      </c>
      <c r="C114" s="124">
        <v>8.36</v>
      </c>
      <c r="D114" s="123">
        <f t="shared" si="34"/>
        <v>8.36</v>
      </c>
      <c r="E114" s="123">
        <f t="shared" si="34"/>
        <v>8.36</v>
      </c>
      <c r="F114" s="123">
        <f t="shared" si="34"/>
        <v>8.36</v>
      </c>
      <c r="G114" s="123">
        <f t="shared" si="34"/>
        <v>8.36</v>
      </c>
      <c r="H114" s="123">
        <f t="shared" si="34"/>
        <v>8.36</v>
      </c>
      <c r="I114" s="123">
        <f t="shared" si="34"/>
        <v>8.36</v>
      </c>
      <c r="J114" s="123">
        <f t="shared" si="34"/>
        <v>8.36</v>
      </c>
      <c r="K114" s="123">
        <f t="shared" si="34"/>
        <v>8.36</v>
      </c>
      <c r="L114" s="123">
        <f t="shared" si="34"/>
        <v>8.36</v>
      </c>
      <c r="M114" s="123">
        <f t="shared" si="34"/>
        <v>8.36</v>
      </c>
      <c r="N114" s="123">
        <f t="shared" si="34"/>
        <v>8.36</v>
      </c>
      <c r="O114" s="123">
        <f t="shared" si="34"/>
        <v>8.36</v>
      </c>
      <c r="P114" s="123">
        <f t="shared" si="34"/>
        <v>8.36</v>
      </c>
      <c r="Q114" s="123">
        <f t="shared" si="34"/>
        <v>8.36</v>
      </c>
      <c r="R114" s="123">
        <f t="shared" si="34"/>
        <v>8.36</v>
      </c>
      <c r="S114" s="123">
        <f t="shared" si="34"/>
        <v>8.36</v>
      </c>
      <c r="T114" s="123">
        <f t="shared" si="35"/>
        <v>8.36</v>
      </c>
      <c r="U114" s="123">
        <f t="shared" si="35"/>
        <v>8.36</v>
      </c>
      <c r="V114" s="123">
        <f t="shared" si="35"/>
        <v>8.36</v>
      </c>
      <c r="W114" s="123">
        <f t="shared" si="35"/>
        <v>8.36</v>
      </c>
      <c r="X114" s="123">
        <f t="shared" si="35"/>
        <v>8.36</v>
      </c>
      <c r="Y114" s="123">
        <f t="shared" si="35"/>
        <v>8.36</v>
      </c>
      <c r="Z114" s="123">
        <f t="shared" si="35"/>
        <v>8.36</v>
      </c>
      <c r="AA114" s="123">
        <f t="shared" si="35"/>
        <v>8.36</v>
      </c>
      <c r="AB114" s="123">
        <f t="shared" si="35"/>
        <v>8.36</v>
      </c>
      <c r="AC114" s="123">
        <f t="shared" si="35"/>
        <v>8.36</v>
      </c>
      <c r="AD114" s="123">
        <f t="shared" si="35"/>
        <v>8.36</v>
      </c>
      <c r="AE114" s="123">
        <f t="shared" si="35"/>
        <v>8.36</v>
      </c>
      <c r="AF114" s="123">
        <f t="shared" si="35"/>
        <v>8.36</v>
      </c>
      <c r="AG114" s="126">
        <v>8</v>
      </c>
      <c r="AH114" s="55"/>
      <c r="AI114" s="56"/>
      <c r="AK114" s="57"/>
    </row>
    <row r="115" spans="1:37" x14ac:dyDescent="0.25">
      <c r="A115" s="111" t="s">
        <v>118</v>
      </c>
      <c r="B115" s="123">
        <f t="shared" si="33"/>
        <v>5.4</v>
      </c>
      <c r="C115" s="124">
        <v>8</v>
      </c>
      <c r="D115" s="123">
        <f t="shared" si="34"/>
        <v>8</v>
      </c>
      <c r="E115" s="123">
        <f t="shared" si="34"/>
        <v>8</v>
      </c>
      <c r="F115" s="123">
        <f t="shared" si="34"/>
        <v>8</v>
      </c>
      <c r="G115" s="123">
        <f t="shared" si="34"/>
        <v>8</v>
      </c>
      <c r="H115" s="123">
        <f t="shared" si="34"/>
        <v>8</v>
      </c>
      <c r="I115" s="123">
        <f t="shared" si="34"/>
        <v>8</v>
      </c>
      <c r="J115" s="123">
        <v>5.4</v>
      </c>
      <c r="K115" s="123">
        <f t="shared" si="34"/>
        <v>5.4</v>
      </c>
      <c r="L115" s="123">
        <f t="shared" si="34"/>
        <v>5.4</v>
      </c>
      <c r="M115" s="123">
        <f t="shared" si="34"/>
        <v>5.4</v>
      </c>
      <c r="N115" s="123">
        <f t="shared" si="34"/>
        <v>5.4</v>
      </c>
      <c r="O115" s="123">
        <f t="shared" si="34"/>
        <v>5.4</v>
      </c>
      <c r="P115" s="123">
        <f t="shared" si="34"/>
        <v>5.4</v>
      </c>
      <c r="Q115" s="123">
        <f t="shared" si="34"/>
        <v>5.4</v>
      </c>
      <c r="R115" s="123">
        <f t="shared" si="34"/>
        <v>5.4</v>
      </c>
      <c r="S115" s="123">
        <f t="shared" si="34"/>
        <v>5.4</v>
      </c>
      <c r="T115" s="123">
        <f t="shared" si="35"/>
        <v>5.4</v>
      </c>
      <c r="U115" s="123">
        <f t="shared" si="35"/>
        <v>5.4</v>
      </c>
      <c r="V115" s="123">
        <f t="shared" si="35"/>
        <v>5.4</v>
      </c>
      <c r="W115" s="123">
        <f t="shared" si="35"/>
        <v>5.4</v>
      </c>
      <c r="X115" s="123">
        <f t="shared" si="35"/>
        <v>5.4</v>
      </c>
      <c r="Y115" s="123">
        <f t="shared" si="35"/>
        <v>5.4</v>
      </c>
      <c r="Z115" s="123">
        <f t="shared" si="35"/>
        <v>5.4</v>
      </c>
      <c r="AA115" s="123">
        <f t="shared" si="35"/>
        <v>5.4</v>
      </c>
      <c r="AB115" s="123">
        <f t="shared" si="35"/>
        <v>5.4</v>
      </c>
      <c r="AC115" s="123">
        <f t="shared" si="35"/>
        <v>5.4</v>
      </c>
      <c r="AD115" s="123">
        <f t="shared" si="35"/>
        <v>5.4</v>
      </c>
      <c r="AE115" s="123">
        <f t="shared" si="35"/>
        <v>5.4</v>
      </c>
      <c r="AF115" s="123">
        <f t="shared" si="35"/>
        <v>5.4</v>
      </c>
      <c r="AG115" s="126">
        <v>8</v>
      </c>
      <c r="AH115" s="55"/>
      <c r="AI115" s="56"/>
      <c r="AK115" s="57"/>
    </row>
    <row r="116" spans="1:37" x14ac:dyDescent="0.25">
      <c r="A116" s="111" t="s">
        <v>119</v>
      </c>
      <c r="B116" s="123">
        <f t="shared" si="33"/>
        <v>6.57</v>
      </c>
      <c r="C116" s="124">
        <v>6.57</v>
      </c>
      <c r="D116" s="123">
        <f t="shared" si="34"/>
        <v>6.57</v>
      </c>
      <c r="E116" s="123">
        <f t="shared" si="34"/>
        <v>6.57</v>
      </c>
      <c r="F116" s="123">
        <f t="shared" si="34"/>
        <v>6.57</v>
      </c>
      <c r="G116" s="123">
        <f t="shared" si="34"/>
        <v>6.57</v>
      </c>
      <c r="H116" s="123">
        <f t="shared" si="34"/>
        <v>6.57</v>
      </c>
      <c r="I116" s="123">
        <f t="shared" si="34"/>
        <v>6.57</v>
      </c>
      <c r="J116" s="123">
        <f t="shared" si="34"/>
        <v>6.57</v>
      </c>
      <c r="K116" s="123">
        <f t="shared" si="34"/>
        <v>6.57</v>
      </c>
      <c r="L116" s="123">
        <f t="shared" si="34"/>
        <v>6.57</v>
      </c>
      <c r="M116" s="123">
        <f t="shared" si="34"/>
        <v>6.57</v>
      </c>
      <c r="N116" s="123">
        <f t="shared" si="34"/>
        <v>6.57</v>
      </c>
      <c r="O116" s="123">
        <f t="shared" si="34"/>
        <v>6.57</v>
      </c>
      <c r="P116" s="123">
        <f t="shared" si="34"/>
        <v>6.57</v>
      </c>
      <c r="Q116" s="123">
        <f t="shared" si="34"/>
        <v>6.57</v>
      </c>
      <c r="R116" s="123">
        <f t="shared" si="34"/>
        <v>6.57</v>
      </c>
      <c r="S116" s="123">
        <f t="shared" si="34"/>
        <v>6.57</v>
      </c>
      <c r="T116" s="123">
        <f t="shared" si="35"/>
        <v>6.57</v>
      </c>
      <c r="U116" s="123">
        <f t="shared" si="35"/>
        <v>6.57</v>
      </c>
      <c r="V116" s="123">
        <f t="shared" si="35"/>
        <v>6.57</v>
      </c>
      <c r="W116" s="123">
        <f t="shared" si="35"/>
        <v>6.57</v>
      </c>
      <c r="X116" s="123">
        <f t="shared" si="35"/>
        <v>6.57</v>
      </c>
      <c r="Y116" s="123">
        <f t="shared" si="35"/>
        <v>6.57</v>
      </c>
      <c r="Z116" s="123">
        <f t="shared" si="35"/>
        <v>6.57</v>
      </c>
      <c r="AA116" s="123">
        <f t="shared" si="35"/>
        <v>6.57</v>
      </c>
      <c r="AB116" s="123">
        <f t="shared" si="35"/>
        <v>6.57</v>
      </c>
      <c r="AC116" s="123">
        <f t="shared" si="35"/>
        <v>6.57</v>
      </c>
      <c r="AD116" s="123">
        <f t="shared" si="35"/>
        <v>6.57</v>
      </c>
      <c r="AE116" s="123">
        <f t="shared" si="35"/>
        <v>6.57</v>
      </c>
      <c r="AF116" s="123">
        <f t="shared" si="35"/>
        <v>6.57</v>
      </c>
      <c r="AG116" s="126">
        <v>7.8</v>
      </c>
      <c r="AH116" s="55"/>
      <c r="AI116" s="56"/>
      <c r="AK116" s="57"/>
    </row>
    <row r="117" spans="1:37" x14ac:dyDescent="0.25">
      <c r="A117" s="111" t="s">
        <v>120</v>
      </c>
      <c r="B117" s="123">
        <f t="shared" si="33"/>
        <v>3.43</v>
      </c>
      <c r="C117" s="124">
        <v>3.43</v>
      </c>
      <c r="D117" s="123">
        <f t="shared" si="34"/>
        <v>3.43</v>
      </c>
      <c r="E117" s="123">
        <f t="shared" si="34"/>
        <v>3.43</v>
      </c>
      <c r="F117" s="123">
        <f t="shared" si="34"/>
        <v>3.43</v>
      </c>
      <c r="G117" s="123">
        <f t="shared" si="34"/>
        <v>3.43</v>
      </c>
      <c r="H117" s="123">
        <f t="shared" si="34"/>
        <v>3.43</v>
      </c>
      <c r="I117" s="123">
        <f t="shared" si="34"/>
        <v>3.43</v>
      </c>
      <c r="J117" s="123">
        <f t="shared" si="34"/>
        <v>3.43</v>
      </c>
      <c r="K117" s="123">
        <f t="shared" si="34"/>
        <v>3.43</v>
      </c>
      <c r="L117" s="123">
        <f t="shared" si="34"/>
        <v>3.43</v>
      </c>
      <c r="M117" s="123">
        <f t="shared" si="34"/>
        <v>3.43</v>
      </c>
      <c r="N117" s="123">
        <f t="shared" si="34"/>
        <v>3.43</v>
      </c>
      <c r="O117" s="123">
        <f t="shared" si="34"/>
        <v>3.43</v>
      </c>
      <c r="P117" s="123">
        <f t="shared" si="34"/>
        <v>3.43</v>
      </c>
      <c r="Q117" s="123">
        <f t="shared" si="34"/>
        <v>3.43</v>
      </c>
      <c r="R117" s="123">
        <f t="shared" si="34"/>
        <v>3.43</v>
      </c>
      <c r="S117" s="123">
        <f t="shared" si="34"/>
        <v>3.43</v>
      </c>
      <c r="T117" s="123">
        <f t="shared" si="35"/>
        <v>3.43</v>
      </c>
      <c r="U117" s="123">
        <f t="shared" si="35"/>
        <v>3.43</v>
      </c>
      <c r="V117" s="123">
        <f t="shared" si="35"/>
        <v>3.43</v>
      </c>
      <c r="W117" s="123">
        <f t="shared" si="35"/>
        <v>3.43</v>
      </c>
      <c r="X117" s="123">
        <f t="shared" si="35"/>
        <v>3.43</v>
      </c>
      <c r="Y117" s="123">
        <f t="shared" si="35"/>
        <v>3.43</v>
      </c>
      <c r="Z117" s="123">
        <f t="shared" si="35"/>
        <v>3.43</v>
      </c>
      <c r="AA117" s="123">
        <f t="shared" si="35"/>
        <v>3.43</v>
      </c>
      <c r="AB117" s="123">
        <f t="shared" si="35"/>
        <v>3.43</v>
      </c>
      <c r="AC117" s="123">
        <f t="shared" si="35"/>
        <v>3.43</v>
      </c>
      <c r="AD117" s="123">
        <f t="shared" si="35"/>
        <v>3.43</v>
      </c>
      <c r="AE117" s="123">
        <f t="shared" si="35"/>
        <v>3.43</v>
      </c>
      <c r="AF117" s="123">
        <f t="shared" si="35"/>
        <v>3.43</v>
      </c>
      <c r="AG117" s="126">
        <v>7.6</v>
      </c>
      <c r="AH117" s="55"/>
      <c r="AI117" s="56"/>
      <c r="AK117" s="57"/>
    </row>
    <row r="118" spans="1:37" x14ac:dyDescent="0.25">
      <c r="A118" s="111" t="s">
        <v>121</v>
      </c>
      <c r="B118" s="123">
        <f t="shared" si="33"/>
        <v>2.96</v>
      </c>
      <c r="C118" s="124">
        <v>2.96</v>
      </c>
      <c r="D118" s="123">
        <f t="shared" si="34"/>
        <v>2.96</v>
      </c>
      <c r="E118" s="123">
        <f t="shared" si="34"/>
        <v>2.96</v>
      </c>
      <c r="F118" s="123">
        <f t="shared" si="34"/>
        <v>2.96</v>
      </c>
      <c r="G118" s="123">
        <f t="shared" si="34"/>
        <v>2.96</v>
      </c>
      <c r="H118" s="123">
        <f t="shared" si="34"/>
        <v>2.96</v>
      </c>
      <c r="I118" s="123">
        <f t="shared" si="34"/>
        <v>2.96</v>
      </c>
      <c r="J118" s="123">
        <f t="shared" si="34"/>
        <v>2.96</v>
      </c>
      <c r="K118" s="123">
        <f t="shared" si="34"/>
        <v>2.96</v>
      </c>
      <c r="L118" s="123">
        <f t="shared" si="34"/>
        <v>2.96</v>
      </c>
      <c r="M118" s="123">
        <f t="shared" si="34"/>
        <v>2.96</v>
      </c>
      <c r="N118" s="123">
        <f t="shared" si="34"/>
        <v>2.96</v>
      </c>
      <c r="O118" s="123">
        <f t="shared" si="34"/>
        <v>2.96</v>
      </c>
      <c r="P118" s="123">
        <f t="shared" si="34"/>
        <v>2.96</v>
      </c>
      <c r="Q118" s="123">
        <f t="shared" si="34"/>
        <v>2.96</v>
      </c>
      <c r="R118" s="123">
        <f t="shared" si="34"/>
        <v>2.96</v>
      </c>
      <c r="S118" s="123">
        <f t="shared" si="34"/>
        <v>2.96</v>
      </c>
      <c r="T118" s="123">
        <f t="shared" si="35"/>
        <v>2.96</v>
      </c>
      <c r="U118" s="123">
        <f t="shared" si="35"/>
        <v>2.96</v>
      </c>
      <c r="V118" s="123">
        <f t="shared" si="35"/>
        <v>2.96</v>
      </c>
      <c r="W118" s="123">
        <f t="shared" si="35"/>
        <v>2.96</v>
      </c>
      <c r="X118" s="123">
        <f t="shared" si="35"/>
        <v>2.96</v>
      </c>
      <c r="Y118" s="123">
        <f t="shared" si="35"/>
        <v>2.96</v>
      </c>
      <c r="Z118" s="123">
        <f t="shared" si="35"/>
        <v>2.96</v>
      </c>
      <c r="AA118" s="123">
        <f t="shared" si="35"/>
        <v>2.96</v>
      </c>
      <c r="AB118" s="123">
        <f t="shared" si="35"/>
        <v>2.96</v>
      </c>
      <c r="AC118" s="123">
        <f t="shared" si="35"/>
        <v>2.96</v>
      </c>
      <c r="AD118" s="123">
        <f t="shared" si="35"/>
        <v>2.96</v>
      </c>
      <c r="AE118" s="123">
        <f t="shared" si="35"/>
        <v>2.96</v>
      </c>
      <c r="AF118" s="123">
        <f t="shared" si="35"/>
        <v>2.96</v>
      </c>
      <c r="AG118" s="126">
        <v>7.5</v>
      </c>
      <c r="AH118" s="55"/>
      <c r="AI118" s="56"/>
      <c r="AK118" s="57"/>
    </row>
    <row r="119" spans="1:37" x14ac:dyDescent="0.25">
      <c r="A119" s="111" t="s">
        <v>122</v>
      </c>
      <c r="B119" s="123">
        <f t="shared" si="33"/>
        <v>8</v>
      </c>
      <c r="C119" s="124">
        <v>8</v>
      </c>
      <c r="D119" s="123">
        <f t="shared" si="34"/>
        <v>8</v>
      </c>
      <c r="E119" s="123">
        <f t="shared" si="34"/>
        <v>8</v>
      </c>
      <c r="F119" s="123">
        <f t="shared" si="34"/>
        <v>8</v>
      </c>
      <c r="G119" s="123">
        <f t="shared" si="34"/>
        <v>8</v>
      </c>
      <c r="H119" s="123">
        <f t="shared" si="34"/>
        <v>8</v>
      </c>
      <c r="I119" s="123">
        <f t="shared" si="34"/>
        <v>8</v>
      </c>
      <c r="J119" s="123">
        <f t="shared" si="34"/>
        <v>8</v>
      </c>
      <c r="K119" s="123">
        <f t="shared" si="34"/>
        <v>8</v>
      </c>
      <c r="L119" s="123">
        <f t="shared" si="34"/>
        <v>8</v>
      </c>
      <c r="M119" s="123">
        <f t="shared" si="34"/>
        <v>8</v>
      </c>
      <c r="N119" s="123">
        <f t="shared" si="34"/>
        <v>8</v>
      </c>
      <c r="O119" s="123">
        <f t="shared" si="34"/>
        <v>8</v>
      </c>
      <c r="P119" s="123">
        <f t="shared" si="34"/>
        <v>8</v>
      </c>
      <c r="Q119" s="123">
        <f t="shared" si="34"/>
        <v>8</v>
      </c>
      <c r="R119" s="123">
        <f t="shared" si="34"/>
        <v>8</v>
      </c>
      <c r="S119" s="123">
        <f t="shared" si="34"/>
        <v>8</v>
      </c>
      <c r="T119" s="123">
        <f t="shared" si="35"/>
        <v>8</v>
      </c>
      <c r="U119" s="123">
        <f t="shared" si="35"/>
        <v>8</v>
      </c>
      <c r="V119" s="123">
        <f t="shared" si="35"/>
        <v>8</v>
      </c>
      <c r="W119" s="123">
        <f t="shared" si="35"/>
        <v>8</v>
      </c>
      <c r="X119" s="123">
        <f t="shared" si="35"/>
        <v>8</v>
      </c>
      <c r="Y119" s="123">
        <f t="shared" si="35"/>
        <v>8</v>
      </c>
      <c r="Z119" s="123">
        <f t="shared" si="35"/>
        <v>8</v>
      </c>
      <c r="AA119" s="123">
        <f t="shared" si="35"/>
        <v>8</v>
      </c>
      <c r="AB119" s="123">
        <f t="shared" si="35"/>
        <v>8</v>
      </c>
      <c r="AC119" s="123">
        <f t="shared" si="35"/>
        <v>8</v>
      </c>
      <c r="AD119" s="123">
        <f t="shared" si="35"/>
        <v>8</v>
      </c>
      <c r="AE119" s="123">
        <f t="shared" si="35"/>
        <v>8</v>
      </c>
      <c r="AF119" s="123">
        <f t="shared" si="35"/>
        <v>8</v>
      </c>
      <c r="AG119" s="126">
        <v>7.5</v>
      </c>
      <c r="AH119" s="55"/>
      <c r="AI119" s="56"/>
      <c r="AK119" s="57"/>
    </row>
    <row r="120" spans="1:37" x14ac:dyDescent="0.25">
      <c r="A120" s="111" t="s">
        <v>123</v>
      </c>
      <c r="B120" s="123">
        <f t="shared" si="33"/>
        <v>7</v>
      </c>
      <c r="C120" s="124">
        <v>7</v>
      </c>
      <c r="D120" s="123">
        <f>C120</f>
        <v>7</v>
      </c>
      <c r="E120" s="123">
        <f t="shared" si="34"/>
        <v>7</v>
      </c>
      <c r="F120" s="123">
        <f t="shared" si="34"/>
        <v>7</v>
      </c>
      <c r="G120" s="123">
        <f t="shared" si="34"/>
        <v>7</v>
      </c>
      <c r="H120" s="123">
        <f t="shared" si="34"/>
        <v>7</v>
      </c>
      <c r="I120" s="123">
        <f t="shared" si="34"/>
        <v>7</v>
      </c>
      <c r="J120" s="123">
        <f t="shared" si="34"/>
        <v>7</v>
      </c>
      <c r="K120" s="123">
        <f t="shared" si="34"/>
        <v>7</v>
      </c>
      <c r="L120" s="123">
        <f t="shared" si="34"/>
        <v>7</v>
      </c>
      <c r="M120" s="123">
        <f t="shared" si="34"/>
        <v>7</v>
      </c>
      <c r="N120" s="123">
        <f t="shared" si="34"/>
        <v>7</v>
      </c>
      <c r="O120" s="123">
        <f t="shared" si="34"/>
        <v>7</v>
      </c>
      <c r="P120" s="123">
        <f t="shared" si="34"/>
        <v>7</v>
      </c>
      <c r="Q120" s="123">
        <f t="shared" si="34"/>
        <v>7</v>
      </c>
      <c r="R120" s="123">
        <f t="shared" si="34"/>
        <v>7</v>
      </c>
      <c r="S120" s="123">
        <f t="shared" si="34"/>
        <v>7</v>
      </c>
      <c r="T120" s="123">
        <f t="shared" si="35"/>
        <v>7</v>
      </c>
      <c r="U120" s="123">
        <f t="shared" si="35"/>
        <v>7</v>
      </c>
      <c r="V120" s="123">
        <f t="shared" si="35"/>
        <v>7</v>
      </c>
      <c r="W120" s="123">
        <f t="shared" si="35"/>
        <v>7</v>
      </c>
      <c r="X120" s="123">
        <f t="shared" si="35"/>
        <v>7</v>
      </c>
      <c r="Y120" s="123">
        <f t="shared" si="35"/>
        <v>7</v>
      </c>
      <c r="Z120" s="123">
        <f t="shared" si="35"/>
        <v>7</v>
      </c>
      <c r="AA120" s="123">
        <f t="shared" si="35"/>
        <v>7</v>
      </c>
      <c r="AB120" s="123">
        <f t="shared" si="35"/>
        <v>7</v>
      </c>
      <c r="AC120" s="123">
        <f t="shared" si="35"/>
        <v>7</v>
      </c>
      <c r="AD120" s="123">
        <f t="shared" si="35"/>
        <v>7</v>
      </c>
      <c r="AE120" s="123">
        <f t="shared" si="35"/>
        <v>7</v>
      </c>
      <c r="AF120" s="123">
        <f t="shared" si="35"/>
        <v>7</v>
      </c>
      <c r="AG120" s="126">
        <v>7</v>
      </c>
      <c r="AH120" s="55"/>
      <c r="AI120" s="56"/>
      <c r="AK120" s="57"/>
    </row>
    <row r="121" spans="1:37" x14ac:dyDescent="0.25">
      <c r="A121" s="111" t="s">
        <v>124</v>
      </c>
      <c r="B121" s="123">
        <f t="shared" si="33"/>
        <v>3.47</v>
      </c>
      <c r="C121" s="124">
        <v>3.47</v>
      </c>
      <c r="D121" s="123">
        <f t="shared" ref="D121:S130" si="36">C121</f>
        <v>3.47</v>
      </c>
      <c r="E121" s="123">
        <f t="shared" si="36"/>
        <v>3.47</v>
      </c>
      <c r="F121" s="123">
        <f t="shared" si="36"/>
        <v>3.47</v>
      </c>
      <c r="G121" s="123">
        <f t="shared" si="36"/>
        <v>3.47</v>
      </c>
      <c r="H121" s="123">
        <f t="shared" si="36"/>
        <v>3.47</v>
      </c>
      <c r="I121" s="123">
        <f t="shared" si="36"/>
        <v>3.47</v>
      </c>
      <c r="J121" s="123">
        <f t="shared" si="36"/>
        <v>3.47</v>
      </c>
      <c r="K121" s="123">
        <f t="shared" si="36"/>
        <v>3.47</v>
      </c>
      <c r="L121" s="123">
        <f t="shared" si="36"/>
        <v>3.47</v>
      </c>
      <c r="M121" s="123">
        <f t="shared" si="36"/>
        <v>3.47</v>
      </c>
      <c r="N121" s="123">
        <f t="shared" si="36"/>
        <v>3.47</v>
      </c>
      <c r="O121" s="123">
        <f t="shared" si="36"/>
        <v>3.47</v>
      </c>
      <c r="P121" s="123">
        <f t="shared" si="36"/>
        <v>3.47</v>
      </c>
      <c r="Q121" s="123">
        <f t="shared" si="36"/>
        <v>3.47</v>
      </c>
      <c r="R121" s="123">
        <f t="shared" si="36"/>
        <v>3.47</v>
      </c>
      <c r="S121" s="123">
        <f t="shared" si="36"/>
        <v>3.47</v>
      </c>
      <c r="T121" s="123">
        <f t="shared" si="35"/>
        <v>3.47</v>
      </c>
      <c r="U121" s="123">
        <f t="shared" si="35"/>
        <v>3.47</v>
      </c>
      <c r="V121" s="123">
        <f t="shared" si="35"/>
        <v>3.47</v>
      </c>
      <c r="W121" s="123">
        <f t="shared" si="35"/>
        <v>3.47</v>
      </c>
      <c r="X121" s="123">
        <f t="shared" si="35"/>
        <v>3.47</v>
      </c>
      <c r="Y121" s="123">
        <f t="shared" si="35"/>
        <v>3.47</v>
      </c>
      <c r="Z121" s="123">
        <f t="shared" si="35"/>
        <v>3.47</v>
      </c>
      <c r="AA121" s="123">
        <f t="shared" si="35"/>
        <v>3.47</v>
      </c>
      <c r="AB121" s="123">
        <f t="shared" si="35"/>
        <v>3.47</v>
      </c>
      <c r="AC121" s="123">
        <f t="shared" si="35"/>
        <v>3.47</v>
      </c>
      <c r="AD121" s="123">
        <f t="shared" si="35"/>
        <v>3.47</v>
      </c>
      <c r="AE121" s="123">
        <f t="shared" si="35"/>
        <v>3.47</v>
      </c>
      <c r="AF121" s="123">
        <f t="shared" si="35"/>
        <v>3.47</v>
      </c>
      <c r="AG121" s="126">
        <v>7</v>
      </c>
      <c r="AH121" s="55"/>
      <c r="AI121" s="56"/>
      <c r="AK121" s="57"/>
    </row>
    <row r="122" spans="1:37" x14ac:dyDescent="0.25">
      <c r="A122" s="111" t="s">
        <v>125</v>
      </c>
      <c r="B122" s="123">
        <f t="shared" si="33"/>
        <v>2.1</v>
      </c>
      <c r="C122" s="124">
        <v>2.1</v>
      </c>
      <c r="D122" s="123">
        <f t="shared" si="36"/>
        <v>2.1</v>
      </c>
      <c r="E122" s="123">
        <f t="shared" si="36"/>
        <v>2.1</v>
      </c>
      <c r="F122" s="123">
        <f t="shared" si="36"/>
        <v>2.1</v>
      </c>
      <c r="G122" s="123">
        <f t="shared" si="36"/>
        <v>2.1</v>
      </c>
      <c r="H122" s="123">
        <f t="shared" si="36"/>
        <v>2.1</v>
      </c>
      <c r="I122" s="123">
        <f t="shared" si="36"/>
        <v>2.1</v>
      </c>
      <c r="J122" s="123">
        <f t="shared" si="36"/>
        <v>2.1</v>
      </c>
      <c r="K122" s="123">
        <f t="shared" si="36"/>
        <v>2.1</v>
      </c>
      <c r="L122" s="123">
        <f t="shared" si="36"/>
        <v>2.1</v>
      </c>
      <c r="M122" s="123">
        <f t="shared" si="36"/>
        <v>2.1</v>
      </c>
      <c r="N122" s="123">
        <f t="shared" si="36"/>
        <v>2.1</v>
      </c>
      <c r="O122" s="123">
        <f t="shared" si="36"/>
        <v>2.1</v>
      </c>
      <c r="P122" s="123">
        <f t="shared" si="36"/>
        <v>2.1</v>
      </c>
      <c r="Q122" s="123">
        <f t="shared" si="36"/>
        <v>2.1</v>
      </c>
      <c r="R122" s="123">
        <f t="shared" si="36"/>
        <v>2.1</v>
      </c>
      <c r="S122" s="123">
        <f t="shared" si="36"/>
        <v>2.1</v>
      </c>
      <c r="T122" s="123">
        <f t="shared" si="35"/>
        <v>2.1</v>
      </c>
      <c r="U122" s="123">
        <f t="shared" si="35"/>
        <v>2.1</v>
      </c>
      <c r="V122" s="123">
        <f t="shared" si="35"/>
        <v>2.1</v>
      </c>
      <c r="W122" s="123">
        <f t="shared" si="35"/>
        <v>2.1</v>
      </c>
      <c r="X122" s="123">
        <f t="shared" si="35"/>
        <v>2.1</v>
      </c>
      <c r="Y122" s="123">
        <f t="shared" si="35"/>
        <v>2.1</v>
      </c>
      <c r="Z122" s="123">
        <f t="shared" si="35"/>
        <v>2.1</v>
      </c>
      <c r="AA122" s="123">
        <f t="shared" si="35"/>
        <v>2.1</v>
      </c>
      <c r="AB122" s="123">
        <f t="shared" si="35"/>
        <v>2.1</v>
      </c>
      <c r="AC122" s="123">
        <f t="shared" si="35"/>
        <v>2.1</v>
      </c>
      <c r="AD122" s="123">
        <f t="shared" si="35"/>
        <v>2.1</v>
      </c>
      <c r="AE122" s="123">
        <f t="shared" si="35"/>
        <v>2.1</v>
      </c>
      <c r="AF122" s="123">
        <f t="shared" si="35"/>
        <v>2.1</v>
      </c>
      <c r="AG122" s="126">
        <v>7</v>
      </c>
      <c r="AH122" s="55"/>
      <c r="AI122" s="56"/>
      <c r="AK122" s="57"/>
    </row>
    <row r="123" spans="1:37" x14ac:dyDescent="0.25">
      <c r="A123" s="111" t="s">
        <v>126</v>
      </c>
      <c r="B123" s="123">
        <f t="shared" si="33"/>
        <v>9.3000000000000007</v>
      </c>
      <c r="C123" s="124">
        <v>9.3000000000000007</v>
      </c>
      <c r="D123" s="123">
        <f t="shared" si="36"/>
        <v>9.3000000000000007</v>
      </c>
      <c r="E123" s="123">
        <f t="shared" si="36"/>
        <v>9.3000000000000007</v>
      </c>
      <c r="F123" s="123">
        <f t="shared" si="36"/>
        <v>9.3000000000000007</v>
      </c>
      <c r="G123" s="123">
        <f t="shared" si="36"/>
        <v>9.3000000000000007</v>
      </c>
      <c r="H123" s="123">
        <f t="shared" si="36"/>
        <v>9.3000000000000007</v>
      </c>
      <c r="I123" s="123">
        <f t="shared" si="36"/>
        <v>9.3000000000000007</v>
      </c>
      <c r="J123" s="123">
        <f t="shared" si="36"/>
        <v>9.3000000000000007</v>
      </c>
      <c r="K123" s="123">
        <f t="shared" si="36"/>
        <v>9.3000000000000007</v>
      </c>
      <c r="L123" s="123">
        <f t="shared" si="36"/>
        <v>9.3000000000000007</v>
      </c>
      <c r="M123" s="123">
        <f t="shared" si="36"/>
        <v>9.3000000000000007</v>
      </c>
      <c r="N123" s="123">
        <f t="shared" si="36"/>
        <v>9.3000000000000007</v>
      </c>
      <c r="O123" s="123">
        <f t="shared" si="36"/>
        <v>9.3000000000000007</v>
      </c>
      <c r="P123" s="123">
        <f t="shared" si="36"/>
        <v>9.3000000000000007</v>
      </c>
      <c r="Q123" s="123">
        <f t="shared" si="36"/>
        <v>9.3000000000000007</v>
      </c>
      <c r="R123" s="123">
        <f t="shared" si="36"/>
        <v>9.3000000000000007</v>
      </c>
      <c r="S123" s="123">
        <f t="shared" si="36"/>
        <v>9.3000000000000007</v>
      </c>
      <c r="T123" s="123">
        <f t="shared" si="35"/>
        <v>9.3000000000000007</v>
      </c>
      <c r="U123" s="123">
        <f t="shared" si="35"/>
        <v>9.3000000000000007</v>
      </c>
      <c r="V123" s="123">
        <f t="shared" si="35"/>
        <v>9.3000000000000007</v>
      </c>
      <c r="W123" s="123">
        <f t="shared" si="35"/>
        <v>9.3000000000000007</v>
      </c>
      <c r="X123" s="123">
        <f t="shared" si="35"/>
        <v>9.3000000000000007</v>
      </c>
      <c r="Y123" s="123">
        <f t="shared" si="35"/>
        <v>9.3000000000000007</v>
      </c>
      <c r="Z123" s="123">
        <f t="shared" si="35"/>
        <v>9.3000000000000007</v>
      </c>
      <c r="AA123" s="123">
        <f t="shared" si="35"/>
        <v>9.3000000000000007</v>
      </c>
      <c r="AB123" s="123">
        <f t="shared" si="35"/>
        <v>9.3000000000000007</v>
      </c>
      <c r="AC123" s="123">
        <f t="shared" si="35"/>
        <v>9.3000000000000007</v>
      </c>
      <c r="AD123" s="123">
        <f t="shared" si="35"/>
        <v>9.3000000000000007</v>
      </c>
      <c r="AE123" s="123">
        <f t="shared" si="35"/>
        <v>9.3000000000000007</v>
      </c>
      <c r="AF123" s="123">
        <f t="shared" si="35"/>
        <v>9.3000000000000007</v>
      </c>
      <c r="AG123" s="126">
        <v>7</v>
      </c>
      <c r="AH123" s="55"/>
      <c r="AI123" s="56"/>
      <c r="AK123" s="57"/>
    </row>
    <row r="124" spans="1:37" x14ac:dyDescent="0.25">
      <c r="A124" s="111" t="s">
        <v>127</v>
      </c>
      <c r="B124" s="123">
        <f t="shared" si="33"/>
        <v>0</v>
      </c>
      <c r="C124" s="124">
        <v>0</v>
      </c>
      <c r="D124" s="123">
        <f t="shared" si="36"/>
        <v>0</v>
      </c>
      <c r="E124" s="123">
        <f t="shared" si="36"/>
        <v>0</v>
      </c>
      <c r="F124" s="123">
        <f t="shared" si="36"/>
        <v>0</v>
      </c>
      <c r="G124" s="123">
        <f t="shared" si="36"/>
        <v>0</v>
      </c>
      <c r="H124" s="123">
        <f t="shared" si="36"/>
        <v>0</v>
      </c>
      <c r="I124" s="123">
        <f t="shared" si="36"/>
        <v>0</v>
      </c>
      <c r="J124" s="123">
        <f t="shared" si="36"/>
        <v>0</v>
      </c>
      <c r="K124" s="123">
        <f t="shared" si="36"/>
        <v>0</v>
      </c>
      <c r="L124" s="123">
        <f t="shared" si="36"/>
        <v>0</v>
      </c>
      <c r="M124" s="123">
        <f t="shared" si="36"/>
        <v>0</v>
      </c>
      <c r="N124" s="123">
        <f t="shared" si="36"/>
        <v>0</v>
      </c>
      <c r="O124" s="123">
        <f t="shared" si="36"/>
        <v>0</v>
      </c>
      <c r="P124" s="123">
        <f t="shared" si="36"/>
        <v>0</v>
      </c>
      <c r="Q124" s="123">
        <f t="shared" si="36"/>
        <v>0</v>
      </c>
      <c r="R124" s="123">
        <f t="shared" si="36"/>
        <v>0</v>
      </c>
      <c r="S124" s="123">
        <f t="shared" si="36"/>
        <v>0</v>
      </c>
      <c r="T124" s="123">
        <f t="shared" si="35"/>
        <v>0</v>
      </c>
      <c r="U124" s="123">
        <f t="shared" si="35"/>
        <v>0</v>
      </c>
      <c r="V124" s="123">
        <f t="shared" si="35"/>
        <v>0</v>
      </c>
      <c r="W124" s="123">
        <f t="shared" si="35"/>
        <v>0</v>
      </c>
      <c r="X124" s="123">
        <f t="shared" si="35"/>
        <v>0</v>
      </c>
      <c r="Y124" s="123">
        <f t="shared" si="35"/>
        <v>0</v>
      </c>
      <c r="Z124" s="123">
        <f t="shared" si="35"/>
        <v>0</v>
      </c>
      <c r="AA124" s="123">
        <f t="shared" si="35"/>
        <v>0</v>
      </c>
      <c r="AB124" s="123">
        <f t="shared" si="35"/>
        <v>0</v>
      </c>
      <c r="AC124" s="123">
        <f t="shared" si="35"/>
        <v>0</v>
      </c>
      <c r="AD124" s="123">
        <f t="shared" si="35"/>
        <v>0</v>
      </c>
      <c r="AE124" s="123">
        <f t="shared" si="35"/>
        <v>0</v>
      </c>
      <c r="AF124" s="123">
        <f t="shared" si="35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128</v>
      </c>
      <c r="B125" s="123">
        <f t="shared" si="33"/>
        <v>0</v>
      </c>
      <c r="C125" s="124">
        <v>0</v>
      </c>
      <c r="D125" s="123">
        <f t="shared" si="36"/>
        <v>0</v>
      </c>
      <c r="E125" s="123">
        <f t="shared" si="36"/>
        <v>0</v>
      </c>
      <c r="F125" s="123">
        <f t="shared" si="36"/>
        <v>0</v>
      </c>
      <c r="G125" s="123">
        <f t="shared" si="36"/>
        <v>0</v>
      </c>
      <c r="H125" s="123">
        <f t="shared" si="36"/>
        <v>0</v>
      </c>
      <c r="I125" s="123">
        <f t="shared" si="36"/>
        <v>0</v>
      </c>
      <c r="J125" s="123">
        <f t="shared" si="36"/>
        <v>0</v>
      </c>
      <c r="K125" s="123">
        <f t="shared" si="36"/>
        <v>0</v>
      </c>
      <c r="L125" s="123">
        <f t="shared" si="36"/>
        <v>0</v>
      </c>
      <c r="M125" s="123">
        <f t="shared" si="36"/>
        <v>0</v>
      </c>
      <c r="N125" s="123">
        <f t="shared" si="36"/>
        <v>0</v>
      </c>
      <c r="O125" s="123">
        <f t="shared" si="36"/>
        <v>0</v>
      </c>
      <c r="P125" s="123">
        <f t="shared" si="36"/>
        <v>0</v>
      </c>
      <c r="Q125" s="123">
        <f t="shared" si="36"/>
        <v>0</v>
      </c>
      <c r="R125" s="123">
        <f t="shared" si="36"/>
        <v>0</v>
      </c>
      <c r="S125" s="123">
        <f t="shared" si="36"/>
        <v>0</v>
      </c>
      <c r="T125" s="123">
        <f t="shared" si="35"/>
        <v>0</v>
      </c>
      <c r="U125" s="123">
        <f t="shared" si="35"/>
        <v>0</v>
      </c>
      <c r="V125" s="123">
        <f t="shared" si="35"/>
        <v>0</v>
      </c>
      <c r="W125" s="123">
        <f t="shared" si="35"/>
        <v>0</v>
      </c>
      <c r="X125" s="123">
        <f t="shared" si="35"/>
        <v>0</v>
      </c>
      <c r="Y125" s="123">
        <f t="shared" si="35"/>
        <v>0</v>
      </c>
      <c r="Z125" s="123">
        <f t="shared" si="35"/>
        <v>0</v>
      </c>
      <c r="AA125" s="123">
        <f t="shared" si="35"/>
        <v>0</v>
      </c>
      <c r="AB125" s="123">
        <f t="shared" si="35"/>
        <v>0</v>
      </c>
      <c r="AC125" s="123">
        <f t="shared" si="35"/>
        <v>0</v>
      </c>
      <c r="AD125" s="123">
        <f t="shared" si="35"/>
        <v>0</v>
      </c>
      <c r="AE125" s="123">
        <f t="shared" si="35"/>
        <v>0</v>
      </c>
      <c r="AF125" s="123">
        <f t="shared" si="35"/>
        <v>0</v>
      </c>
      <c r="AG125" s="126">
        <v>6.6</v>
      </c>
      <c r="AH125" s="55"/>
      <c r="AI125" s="56"/>
      <c r="AK125" s="57"/>
    </row>
    <row r="126" spans="1:37" x14ac:dyDescent="0.25">
      <c r="A126" s="111" t="s">
        <v>129</v>
      </c>
      <c r="B126" s="123" t="str">
        <f t="shared" si="33"/>
        <v>;/</v>
      </c>
      <c r="C126" s="124">
        <v>5</v>
      </c>
      <c r="D126" s="123">
        <f t="shared" si="36"/>
        <v>5</v>
      </c>
      <c r="E126" s="123">
        <f t="shared" si="36"/>
        <v>5</v>
      </c>
      <c r="F126" s="123">
        <f t="shared" si="36"/>
        <v>5</v>
      </c>
      <c r="G126" s="123">
        <f t="shared" si="36"/>
        <v>5</v>
      </c>
      <c r="H126" s="123">
        <f t="shared" si="36"/>
        <v>5</v>
      </c>
      <c r="I126" s="123" t="s">
        <v>130</v>
      </c>
      <c r="J126" s="123" t="str">
        <f t="shared" si="36"/>
        <v>;/</v>
      </c>
      <c r="K126" s="123" t="str">
        <f t="shared" si="36"/>
        <v>;/</v>
      </c>
      <c r="L126" s="123" t="str">
        <f t="shared" si="36"/>
        <v>;/</v>
      </c>
      <c r="M126" s="123" t="str">
        <f t="shared" si="36"/>
        <v>;/</v>
      </c>
      <c r="N126" s="123" t="str">
        <f t="shared" si="36"/>
        <v>;/</v>
      </c>
      <c r="O126" s="123" t="str">
        <f t="shared" si="36"/>
        <v>;/</v>
      </c>
      <c r="P126" s="123" t="str">
        <f t="shared" si="36"/>
        <v>;/</v>
      </c>
      <c r="Q126" s="123" t="str">
        <f t="shared" si="36"/>
        <v>;/</v>
      </c>
      <c r="R126" s="123" t="str">
        <f t="shared" si="36"/>
        <v>;/</v>
      </c>
      <c r="S126" s="123" t="str">
        <f t="shared" si="36"/>
        <v>;/</v>
      </c>
      <c r="T126" s="123" t="str">
        <f t="shared" si="35"/>
        <v>;/</v>
      </c>
      <c r="U126" s="123" t="str">
        <f t="shared" si="35"/>
        <v>;/</v>
      </c>
      <c r="V126" s="123" t="str">
        <f t="shared" si="35"/>
        <v>;/</v>
      </c>
      <c r="W126" s="123" t="str">
        <f t="shared" si="35"/>
        <v>;/</v>
      </c>
      <c r="X126" s="123" t="str">
        <f t="shared" si="35"/>
        <v>;/</v>
      </c>
      <c r="Y126" s="123" t="str">
        <f t="shared" si="35"/>
        <v>;/</v>
      </c>
      <c r="Z126" s="123" t="str">
        <f t="shared" si="35"/>
        <v>;/</v>
      </c>
      <c r="AA126" s="123" t="str">
        <f t="shared" si="35"/>
        <v>;/</v>
      </c>
      <c r="AB126" s="123" t="str">
        <f t="shared" si="35"/>
        <v>;/</v>
      </c>
      <c r="AC126" s="123" t="str">
        <f t="shared" si="35"/>
        <v>;/</v>
      </c>
      <c r="AD126" s="123" t="str">
        <f t="shared" si="35"/>
        <v>;/</v>
      </c>
      <c r="AE126" s="123" t="str">
        <f t="shared" si="35"/>
        <v>;/</v>
      </c>
      <c r="AF126" s="123" t="str">
        <f t="shared" si="35"/>
        <v>;/</v>
      </c>
      <c r="AG126" s="126">
        <v>6.4</v>
      </c>
      <c r="AH126" s="55"/>
      <c r="AI126" s="56"/>
      <c r="AK126" s="57"/>
    </row>
    <row r="127" spans="1:37" x14ac:dyDescent="0.25">
      <c r="A127" s="111" t="s">
        <v>131</v>
      </c>
      <c r="B127" s="123">
        <f t="shared" si="33"/>
        <v>1</v>
      </c>
      <c r="C127" s="124">
        <v>1</v>
      </c>
      <c r="D127" s="123">
        <f t="shared" si="36"/>
        <v>1</v>
      </c>
      <c r="E127" s="123">
        <f t="shared" si="36"/>
        <v>1</v>
      </c>
      <c r="F127" s="123">
        <f t="shared" si="36"/>
        <v>1</v>
      </c>
      <c r="G127" s="123">
        <f t="shared" si="36"/>
        <v>1</v>
      </c>
      <c r="H127" s="123">
        <f t="shared" si="36"/>
        <v>1</v>
      </c>
      <c r="I127" s="123">
        <f t="shared" si="36"/>
        <v>1</v>
      </c>
      <c r="J127" s="123">
        <f t="shared" si="36"/>
        <v>1</v>
      </c>
      <c r="K127" s="123">
        <f t="shared" si="36"/>
        <v>1</v>
      </c>
      <c r="L127" s="123">
        <f t="shared" si="36"/>
        <v>1</v>
      </c>
      <c r="M127" s="123">
        <f t="shared" si="36"/>
        <v>1</v>
      </c>
      <c r="N127" s="123">
        <f t="shared" si="36"/>
        <v>1</v>
      </c>
      <c r="O127" s="123">
        <f t="shared" si="36"/>
        <v>1</v>
      </c>
      <c r="P127" s="123">
        <f t="shared" si="36"/>
        <v>1</v>
      </c>
      <c r="Q127" s="123">
        <f t="shared" si="36"/>
        <v>1</v>
      </c>
      <c r="R127" s="123">
        <f t="shared" si="36"/>
        <v>1</v>
      </c>
      <c r="S127" s="123">
        <f t="shared" si="36"/>
        <v>1</v>
      </c>
      <c r="T127" s="123">
        <f t="shared" si="35"/>
        <v>1</v>
      </c>
      <c r="U127" s="123">
        <f t="shared" si="35"/>
        <v>1</v>
      </c>
      <c r="V127" s="123">
        <f t="shared" si="35"/>
        <v>1</v>
      </c>
      <c r="W127" s="123">
        <f t="shared" si="35"/>
        <v>1</v>
      </c>
      <c r="X127" s="123">
        <f t="shared" si="35"/>
        <v>1</v>
      </c>
      <c r="Y127" s="123">
        <f t="shared" si="35"/>
        <v>1</v>
      </c>
      <c r="Z127" s="123">
        <f t="shared" si="35"/>
        <v>1</v>
      </c>
      <c r="AA127" s="123">
        <f t="shared" si="35"/>
        <v>1</v>
      </c>
      <c r="AB127" s="123">
        <f t="shared" si="35"/>
        <v>1</v>
      </c>
      <c r="AC127" s="123">
        <f t="shared" si="35"/>
        <v>1</v>
      </c>
      <c r="AD127" s="123">
        <f t="shared" si="35"/>
        <v>1</v>
      </c>
      <c r="AE127" s="123">
        <f t="shared" si="35"/>
        <v>1</v>
      </c>
      <c r="AF127" s="123">
        <f t="shared" si="35"/>
        <v>1</v>
      </c>
      <c r="AG127" s="126">
        <v>6</v>
      </c>
      <c r="AH127" s="55"/>
      <c r="AI127" s="56"/>
      <c r="AK127" s="57"/>
    </row>
    <row r="128" spans="1:37" x14ac:dyDescent="0.25">
      <c r="A128" s="111" t="s">
        <v>132</v>
      </c>
      <c r="B128" s="123">
        <f t="shared" si="33"/>
        <v>1.58</v>
      </c>
      <c r="C128" s="124">
        <v>1.58</v>
      </c>
      <c r="D128" s="123">
        <f t="shared" si="36"/>
        <v>1.58</v>
      </c>
      <c r="E128" s="123">
        <f t="shared" si="36"/>
        <v>1.58</v>
      </c>
      <c r="F128" s="123">
        <f t="shared" si="36"/>
        <v>1.58</v>
      </c>
      <c r="G128" s="123">
        <f t="shared" si="36"/>
        <v>1.58</v>
      </c>
      <c r="H128" s="123">
        <f t="shared" si="36"/>
        <v>1.58</v>
      </c>
      <c r="I128" s="123">
        <f t="shared" si="36"/>
        <v>1.58</v>
      </c>
      <c r="J128" s="123">
        <f t="shared" si="36"/>
        <v>1.58</v>
      </c>
      <c r="K128" s="123">
        <f t="shared" si="36"/>
        <v>1.58</v>
      </c>
      <c r="L128" s="123">
        <f t="shared" si="36"/>
        <v>1.58</v>
      </c>
      <c r="M128" s="123">
        <f t="shared" si="36"/>
        <v>1.58</v>
      </c>
      <c r="N128" s="123">
        <f t="shared" si="36"/>
        <v>1.58</v>
      </c>
      <c r="O128" s="123">
        <f t="shared" si="36"/>
        <v>1.58</v>
      </c>
      <c r="P128" s="123">
        <f t="shared" si="36"/>
        <v>1.58</v>
      </c>
      <c r="Q128" s="123">
        <f t="shared" si="36"/>
        <v>1.58</v>
      </c>
      <c r="R128" s="123">
        <f t="shared" si="36"/>
        <v>1.58</v>
      </c>
      <c r="S128" s="123">
        <f t="shared" si="36"/>
        <v>1.58</v>
      </c>
      <c r="T128" s="123">
        <f t="shared" si="35"/>
        <v>1.58</v>
      </c>
      <c r="U128" s="123">
        <f t="shared" si="35"/>
        <v>1.58</v>
      </c>
      <c r="V128" s="123">
        <f t="shared" si="35"/>
        <v>1.58</v>
      </c>
      <c r="W128" s="123">
        <f t="shared" si="35"/>
        <v>1.58</v>
      </c>
      <c r="X128" s="123">
        <f t="shared" si="35"/>
        <v>1.58</v>
      </c>
      <c r="Y128" s="123">
        <f t="shared" si="35"/>
        <v>1.58</v>
      </c>
      <c r="Z128" s="123">
        <f t="shared" si="35"/>
        <v>1.58</v>
      </c>
      <c r="AA128" s="123">
        <f t="shared" si="35"/>
        <v>1.58</v>
      </c>
      <c r="AB128" s="123">
        <f t="shared" si="35"/>
        <v>1.58</v>
      </c>
      <c r="AC128" s="123">
        <f t="shared" si="35"/>
        <v>1.58</v>
      </c>
      <c r="AD128" s="123">
        <f t="shared" si="35"/>
        <v>1.58</v>
      </c>
      <c r="AE128" s="123">
        <f t="shared" si="35"/>
        <v>1.58</v>
      </c>
      <c r="AF128" s="123">
        <f t="shared" si="35"/>
        <v>1.58</v>
      </c>
      <c r="AG128" s="126">
        <v>5.0999999999999996</v>
      </c>
      <c r="AH128" s="55"/>
      <c r="AI128" s="56"/>
      <c r="AK128" s="57"/>
    </row>
    <row r="129" spans="1:37" x14ac:dyDescent="0.25">
      <c r="A129" s="111" t="s">
        <v>133</v>
      </c>
      <c r="B129" s="123">
        <f t="shared" si="33"/>
        <v>1.46</v>
      </c>
      <c r="C129" s="124">
        <v>1.46</v>
      </c>
      <c r="D129" s="123">
        <f t="shared" si="36"/>
        <v>1.46</v>
      </c>
      <c r="E129" s="123">
        <f t="shared" si="36"/>
        <v>1.46</v>
      </c>
      <c r="F129" s="123">
        <f t="shared" si="36"/>
        <v>1.46</v>
      </c>
      <c r="G129" s="123">
        <f t="shared" si="36"/>
        <v>1.46</v>
      </c>
      <c r="H129" s="123">
        <f t="shared" si="36"/>
        <v>1.46</v>
      </c>
      <c r="I129" s="123">
        <f t="shared" si="36"/>
        <v>1.46</v>
      </c>
      <c r="J129" s="123">
        <f t="shared" si="36"/>
        <v>1.46</v>
      </c>
      <c r="K129" s="123">
        <f t="shared" si="36"/>
        <v>1.46</v>
      </c>
      <c r="L129" s="123">
        <f t="shared" si="36"/>
        <v>1.46</v>
      </c>
      <c r="M129" s="123">
        <f t="shared" si="36"/>
        <v>1.46</v>
      </c>
      <c r="N129" s="123">
        <f t="shared" si="36"/>
        <v>1.46</v>
      </c>
      <c r="O129" s="123">
        <f t="shared" si="36"/>
        <v>1.46</v>
      </c>
      <c r="P129" s="123">
        <f t="shared" si="36"/>
        <v>1.46</v>
      </c>
      <c r="Q129" s="123">
        <f t="shared" si="36"/>
        <v>1.46</v>
      </c>
      <c r="R129" s="123">
        <f t="shared" si="36"/>
        <v>1.46</v>
      </c>
      <c r="S129" s="123">
        <f t="shared" si="36"/>
        <v>1.46</v>
      </c>
      <c r="T129" s="123">
        <f t="shared" ref="T129:AF130" si="37">S129</f>
        <v>1.46</v>
      </c>
      <c r="U129" s="123">
        <f t="shared" si="37"/>
        <v>1.46</v>
      </c>
      <c r="V129" s="123">
        <f t="shared" si="37"/>
        <v>1.46</v>
      </c>
      <c r="W129" s="123">
        <f t="shared" si="37"/>
        <v>1.46</v>
      </c>
      <c r="X129" s="123">
        <f t="shared" si="37"/>
        <v>1.46</v>
      </c>
      <c r="Y129" s="123">
        <f t="shared" si="37"/>
        <v>1.46</v>
      </c>
      <c r="Z129" s="123">
        <f t="shared" si="37"/>
        <v>1.46</v>
      </c>
      <c r="AA129" s="123">
        <f t="shared" si="37"/>
        <v>1.46</v>
      </c>
      <c r="AB129" s="123">
        <f t="shared" si="37"/>
        <v>1.46</v>
      </c>
      <c r="AC129" s="123">
        <f t="shared" si="37"/>
        <v>1.46</v>
      </c>
      <c r="AD129" s="123">
        <f t="shared" si="37"/>
        <v>1.46</v>
      </c>
      <c r="AE129" s="123">
        <f t="shared" si="37"/>
        <v>1.46</v>
      </c>
      <c r="AF129" s="123">
        <f t="shared" si="37"/>
        <v>1.46</v>
      </c>
      <c r="AG129" s="126">
        <v>5</v>
      </c>
      <c r="AH129" s="55"/>
      <c r="AI129" s="56"/>
      <c r="AK129" s="57"/>
    </row>
    <row r="130" spans="1:37" x14ac:dyDescent="0.25">
      <c r="A130" s="109" t="s">
        <v>134</v>
      </c>
      <c r="B130" s="123">
        <f t="shared" si="33"/>
        <v>1.48</v>
      </c>
      <c r="C130" s="124">
        <v>1.48</v>
      </c>
      <c r="D130" s="123">
        <f t="shared" si="36"/>
        <v>1.48</v>
      </c>
      <c r="E130" s="123">
        <f t="shared" si="36"/>
        <v>1.48</v>
      </c>
      <c r="F130" s="123">
        <f t="shared" si="36"/>
        <v>1.48</v>
      </c>
      <c r="G130" s="123">
        <f t="shared" si="36"/>
        <v>1.48</v>
      </c>
      <c r="H130" s="123">
        <f t="shared" si="36"/>
        <v>1.48</v>
      </c>
      <c r="I130" s="123">
        <f t="shared" si="36"/>
        <v>1.48</v>
      </c>
      <c r="J130" s="123">
        <f t="shared" si="36"/>
        <v>1.48</v>
      </c>
      <c r="K130" s="123">
        <f t="shared" si="36"/>
        <v>1.48</v>
      </c>
      <c r="L130" s="123">
        <f t="shared" si="36"/>
        <v>1.48</v>
      </c>
      <c r="M130" s="123">
        <f t="shared" si="36"/>
        <v>1.48</v>
      </c>
      <c r="N130" s="123">
        <f t="shared" si="36"/>
        <v>1.48</v>
      </c>
      <c r="O130" s="123">
        <f t="shared" si="36"/>
        <v>1.48</v>
      </c>
      <c r="P130" s="123">
        <f t="shared" si="36"/>
        <v>1.48</v>
      </c>
      <c r="Q130" s="123">
        <f t="shared" si="36"/>
        <v>1.48</v>
      </c>
      <c r="R130" s="123">
        <f t="shared" si="36"/>
        <v>1.48</v>
      </c>
      <c r="S130" s="123">
        <f t="shared" si="36"/>
        <v>1.48</v>
      </c>
      <c r="T130" s="123">
        <f t="shared" si="37"/>
        <v>1.48</v>
      </c>
      <c r="U130" s="123">
        <f t="shared" si="37"/>
        <v>1.48</v>
      </c>
      <c r="V130" s="123">
        <f t="shared" si="37"/>
        <v>1.48</v>
      </c>
      <c r="W130" s="123">
        <f t="shared" si="37"/>
        <v>1.48</v>
      </c>
      <c r="X130" s="123">
        <f t="shared" si="37"/>
        <v>1.48</v>
      </c>
      <c r="Y130" s="123">
        <f t="shared" si="37"/>
        <v>1.48</v>
      </c>
      <c r="Z130" s="123">
        <f t="shared" si="37"/>
        <v>1.48</v>
      </c>
      <c r="AA130" s="123">
        <f t="shared" si="37"/>
        <v>1.48</v>
      </c>
      <c r="AB130" s="123">
        <f t="shared" si="37"/>
        <v>1.48</v>
      </c>
      <c r="AC130" s="123">
        <f t="shared" si="37"/>
        <v>1.48</v>
      </c>
      <c r="AD130" s="123">
        <f t="shared" si="37"/>
        <v>1.48</v>
      </c>
      <c r="AE130" s="123">
        <f t="shared" si="37"/>
        <v>1.48</v>
      </c>
      <c r="AF130" s="123">
        <f t="shared" si="37"/>
        <v>1.48</v>
      </c>
      <c r="AG130" s="125">
        <v>5</v>
      </c>
      <c r="AH130" s="55"/>
      <c r="AI130" s="56"/>
      <c r="AK130" s="57"/>
    </row>
    <row r="131" spans="1:37" x14ac:dyDescent="0.25">
      <c r="A131" s="111" t="s">
        <v>135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5"/>
      <c r="AI131" s="56"/>
      <c r="AK131" s="57"/>
    </row>
    <row r="132" spans="1:37" x14ac:dyDescent="0.25">
      <c r="A132" s="111" t="s">
        <v>136</v>
      </c>
      <c r="B132" s="123">
        <f t="shared" ref="B132:B139" si="38">AF132</f>
        <v>2.2000000000000002</v>
      </c>
      <c r="C132" s="124">
        <v>2.2000000000000002</v>
      </c>
      <c r="D132" s="123">
        <f t="shared" ref="D132:S139" si="39">C132</f>
        <v>2.2000000000000002</v>
      </c>
      <c r="E132" s="123">
        <f t="shared" si="39"/>
        <v>2.2000000000000002</v>
      </c>
      <c r="F132" s="123">
        <f t="shared" si="39"/>
        <v>2.2000000000000002</v>
      </c>
      <c r="G132" s="123">
        <f t="shared" si="39"/>
        <v>2.2000000000000002</v>
      </c>
      <c r="H132" s="123">
        <f t="shared" si="39"/>
        <v>2.2000000000000002</v>
      </c>
      <c r="I132" s="123">
        <f t="shared" si="39"/>
        <v>2.2000000000000002</v>
      </c>
      <c r="J132" s="123">
        <f t="shared" si="39"/>
        <v>2.2000000000000002</v>
      </c>
      <c r="K132" s="123">
        <f t="shared" si="39"/>
        <v>2.2000000000000002</v>
      </c>
      <c r="L132" s="123">
        <f t="shared" si="39"/>
        <v>2.2000000000000002</v>
      </c>
      <c r="M132" s="123">
        <f t="shared" si="39"/>
        <v>2.2000000000000002</v>
      </c>
      <c r="N132" s="123">
        <f t="shared" si="39"/>
        <v>2.2000000000000002</v>
      </c>
      <c r="O132" s="123">
        <f t="shared" si="39"/>
        <v>2.2000000000000002</v>
      </c>
      <c r="P132" s="123">
        <f t="shared" si="39"/>
        <v>2.2000000000000002</v>
      </c>
      <c r="Q132" s="123">
        <f t="shared" si="39"/>
        <v>2.2000000000000002</v>
      </c>
      <c r="R132" s="123">
        <f t="shared" si="39"/>
        <v>2.2000000000000002</v>
      </c>
      <c r="S132" s="123">
        <f t="shared" si="39"/>
        <v>2.2000000000000002</v>
      </c>
      <c r="T132" s="123">
        <f t="shared" ref="T132:AF139" si="40">S132</f>
        <v>2.2000000000000002</v>
      </c>
      <c r="U132" s="123">
        <f t="shared" si="40"/>
        <v>2.2000000000000002</v>
      </c>
      <c r="V132" s="123">
        <f t="shared" si="40"/>
        <v>2.2000000000000002</v>
      </c>
      <c r="W132" s="123">
        <f t="shared" si="40"/>
        <v>2.2000000000000002</v>
      </c>
      <c r="X132" s="123">
        <f t="shared" si="40"/>
        <v>2.2000000000000002</v>
      </c>
      <c r="Y132" s="123">
        <f t="shared" si="40"/>
        <v>2.2000000000000002</v>
      </c>
      <c r="Z132" s="123">
        <f t="shared" si="40"/>
        <v>2.2000000000000002</v>
      </c>
      <c r="AA132" s="123">
        <f t="shared" si="40"/>
        <v>2.2000000000000002</v>
      </c>
      <c r="AB132" s="123">
        <f t="shared" si="40"/>
        <v>2.2000000000000002</v>
      </c>
      <c r="AC132" s="123">
        <f t="shared" si="40"/>
        <v>2.2000000000000002</v>
      </c>
      <c r="AD132" s="123">
        <f t="shared" si="40"/>
        <v>2.2000000000000002</v>
      </c>
      <c r="AE132" s="123">
        <f t="shared" si="40"/>
        <v>2.2000000000000002</v>
      </c>
      <c r="AF132" s="123">
        <f t="shared" si="40"/>
        <v>2.2000000000000002</v>
      </c>
      <c r="AG132" s="126">
        <v>5</v>
      </c>
      <c r="AH132" s="55"/>
      <c r="AI132" s="56"/>
      <c r="AK132" s="57"/>
    </row>
    <row r="133" spans="1:37" x14ac:dyDescent="0.25">
      <c r="A133" s="111" t="s">
        <v>137</v>
      </c>
      <c r="B133" s="123">
        <f t="shared" si="38"/>
        <v>2</v>
      </c>
      <c r="C133" s="124">
        <v>2</v>
      </c>
      <c r="D133" s="123">
        <f t="shared" si="39"/>
        <v>2</v>
      </c>
      <c r="E133" s="123">
        <f t="shared" si="39"/>
        <v>2</v>
      </c>
      <c r="F133" s="123">
        <f t="shared" si="39"/>
        <v>2</v>
      </c>
      <c r="G133" s="123">
        <f t="shared" si="39"/>
        <v>2</v>
      </c>
      <c r="H133" s="123">
        <f t="shared" si="39"/>
        <v>2</v>
      </c>
      <c r="I133" s="123">
        <f t="shared" si="39"/>
        <v>2</v>
      </c>
      <c r="J133" s="123">
        <f t="shared" si="39"/>
        <v>2</v>
      </c>
      <c r="K133" s="123">
        <f t="shared" si="39"/>
        <v>2</v>
      </c>
      <c r="L133" s="123">
        <f t="shared" si="39"/>
        <v>2</v>
      </c>
      <c r="M133" s="123">
        <f t="shared" si="39"/>
        <v>2</v>
      </c>
      <c r="N133" s="123">
        <f t="shared" si="39"/>
        <v>2</v>
      </c>
      <c r="O133" s="123">
        <f t="shared" si="39"/>
        <v>2</v>
      </c>
      <c r="P133" s="123">
        <f t="shared" si="39"/>
        <v>2</v>
      </c>
      <c r="Q133" s="123">
        <f t="shared" si="39"/>
        <v>2</v>
      </c>
      <c r="R133" s="123">
        <f t="shared" si="39"/>
        <v>2</v>
      </c>
      <c r="S133" s="123">
        <f t="shared" si="39"/>
        <v>2</v>
      </c>
      <c r="T133" s="123">
        <f t="shared" si="40"/>
        <v>2</v>
      </c>
      <c r="U133" s="123">
        <f t="shared" si="40"/>
        <v>2</v>
      </c>
      <c r="V133" s="123">
        <f t="shared" si="40"/>
        <v>2</v>
      </c>
      <c r="W133" s="123">
        <f t="shared" si="40"/>
        <v>2</v>
      </c>
      <c r="X133" s="123">
        <f t="shared" si="40"/>
        <v>2</v>
      </c>
      <c r="Y133" s="123">
        <f t="shared" si="40"/>
        <v>2</v>
      </c>
      <c r="Z133" s="123">
        <f t="shared" si="40"/>
        <v>2</v>
      </c>
      <c r="AA133" s="123">
        <f t="shared" si="40"/>
        <v>2</v>
      </c>
      <c r="AB133" s="123">
        <f t="shared" si="40"/>
        <v>2</v>
      </c>
      <c r="AC133" s="123">
        <f t="shared" si="40"/>
        <v>2</v>
      </c>
      <c r="AD133" s="123">
        <f t="shared" si="40"/>
        <v>2</v>
      </c>
      <c r="AE133" s="123">
        <f t="shared" si="40"/>
        <v>2</v>
      </c>
      <c r="AF133" s="123">
        <f t="shared" si="40"/>
        <v>2</v>
      </c>
      <c r="AG133" s="126">
        <v>5</v>
      </c>
      <c r="AH133" s="55"/>
      <c r="AI133" s="56"/>
      <c r="AK133" s="57"/>
    </row>
    <row r="134" spans="1:37" x14ac:dyDescent="0.25">
      <c r="A134" s="111" t="s">
        <v>138</v>
      </c>
      <c r="B134" s="123">
        <f t="shared" si="38"/>
        <v>1.25</v>
      </c>
      <c r="C134" s="124">
        <v>1.25</v>
      </c>
      <c r="D134" s="123">
        <f t="shared" si="39"/>
        <v>1.25</v>
      </c>
      <c r="E134" s="123">
        <f t="shared" si="39"/>
        <v>1.25</v>
      </c>
      <c r="F134" s="123">
        <f t="shared" si="39"/>
        <v>1.25</v>
      </c>
      <c r="G134" s="123">
        <f t="shared" si="39"/>
        <v>1.25</v>
      </c>
      <c r="H134" s="123">
        <f t="shared" si="39"/>
        <v>1.25</v>
      </c>
      <c r="I134" s="123">
        <f t="shared" si="39"/>
        <v>1.25</v>
      </c>
      <c r="J134" s="123">
        <f t="shared" si="39"/>
        <v>1.25</v>
      </c>
      <c r="K134" s="123">
        <f t="shared" si="39"/>
        <v>1.25</v>
      </c>
      <c r="L134" s="123">
        <f t="shared" si="39"/>
        <v>1.25</v>
      </c>
      <c r="M134" s="123">
        <f t="shared" si="39"/>
        <v>1.25</v>
      </c>
      <c r="N134" s="123">
        <f t="shared" si="39"/>
        <v>1.25</v>
      </c>
      <c r="O134" s="123">
        <f t="shared" si="39"/>
        <v>1.25</v>
      </c>
      <c r="P134" s="123">
        <f t="shared" si="39"/>
        <v>1.25</v>
      </c>
      <c r="Q134" s="123">
        <f t="shared" si="39"/>
        <v>1.25</v>
      </c>
      <c r="R134" s="123">
        <f t="shared" si="39"/>
        <v>1.25</v>
      </c>
      <c r="S134" s="123">
        <f t="shared" si="39"/>
        <v>1.25</v>
      </c>
      <c r="T134" s="123">
        <f t="shared" si="40"/>
        <v>1.25</v>
      </c>
      <c r="U134" s="123">
        <f t="shared" si="40"/>
        <v>1.25</v>
      </c>
      <c r="V134" s="123">
        <f t="shared" si="40"/>
        <v>1.25</v>
      </c>
      <c r="W134" s="123">
        <f t="shared" si="40"/>
        <v>1.25</v>
      </c>
      <c r="X134" s="123">
        <f t="shared" si="40"/>
        <v>1.25</v>
      </c>
      <c r="Y134" s="123">
        <f t="shared" si="40"/>
        <v>1.25</v>
      </c>
      <c r="Z134" s="123">
        <f t="shared" si="40"/>
        <v>1.25</v>
      </c>
      <c r="AA134" s="123">
        <f t="shared" si="40"/>
        <v>1.25</v>
      </c>
      <c r="AB134" s="123">
        <f t="shared" si="40"/>
        <v>1.25</v>
      </c>
      <c r="AC134" s="123">
        <f t="shared" si="40"/>
        <v>1.25</v>
      </c>
      <c r="AD134" s="123">
        <f t="shared" si="40"/>
        <v>1.25</v>
      </c>
      <c r="AE134" s="123">
        <f t="shared" si="40"/>
        <v>1.25</v>
      </c>
      <c r="AF134" s="123">
        <f t="shared" si="40"/>
        <v>1.25</v>
      </c>
      <c r="AG134" s="126">
        <v>5</v>
      </c>
      <c r="AH134" s="55"/>
      <c r="AI134" s="56"/>
      <c r="AK134" s="57"/>
    </row>
    <row r="135" spans="1:37" x14ac:dyDescent="0.25">
      <c r="A135" s="111" t="s">
        <v>139</v>
      </c>
      <c r="B135" s="123">
        <f t="shared" si="38"/>
        <v>1.1499999999999999</v>
      </c>
      <c r="C135" s="124">
        <v>1.1499999999999999</v>
      </c>
      <c r="D135" s="123">
        <f t="shared" si="39"/>
        <v>1.1499999999999999</v>
      </c>
      <c r="E135" s="123">
        <f t="shared" si="39"/>
        <v>1.1499999999999999</v>
      </c>
      <c r="F135" s="123">
        <f t="shared" si="39"/>
        <v>1.1499999999999999</v>
      </c>
      <c r="G135" s="123">
        <f t="shared" si="39"/>
        <v>1.1499999999999999</v>
      </c>
      <c r="H135" s="123">
        <f t="shared" si="39"/>
        <v>1.1499999999999999</v>
      </c>
      <c r="I135" s="123">
        <f t="shared" si="39"/>
        <v>1.1499999999999999</v>
      </c>
      <c r="J135" s="123">
        <f t="shared" si="39"/>
        <v>1.1499999999999999</v>
      </c>
      <c r="K135" s="123">
        <f t="shared" si="39"/>
        <v>1.1499999999999999</v>
      </c>
      <c r="L135" s="123">
        <f t="shared" si="39"/>
        <v>1.1499999999999999</v>
      </c>
      <c r="M135" s="123">
        <f t="shared" si="39"/>
        <v>1.1499999999999999</v>
      </c>
      <c r="N135" s="123">
        <f t="shared" si="39"/>
        <v>1.1499999999999999</v>
      </c>
      <c r="O135" s="123">
        <f t="shared" si="39"/>
        <v>1.1499999999999999</v>
      </c>
      <c r="P135" s="123">
        <f t="shared" si="39"/>
        <v>1.1499999999999999</v>
      </c>
      <c r="Q135" s="123">
        <f t="shared" si="39"/>
        <v>1.1499999999999999</v>
      </c>
      <c r="R135" s="123">
        <f t="shared" si="39"/>
        <v>1.1499999999999999</v>
      </c>
      <c r="S135" s="123">
        <f t="shared" si="39"/>
        <v>1.1499999999999999</v>
      </c>
      <c r="T135" s="123">
        <f t="shared" si="40"/>
        <v>1.1499999999999999</v>
      </c>
      <c r="U135" s="123">
        <f t="shared" si="40"/>
        <v>1.1499999999999999</v>
      </c>
      <c r="V135" s="123">
        <f t="shared" si="40"/>
        <v>1.1499999999999999</v>
      </c>
      <c r="W135" s="123">
        <f t="shared" si="40"/>
        <v>1.1499999999999999</v>
      </c>
      <c r="X135" s="123">
        <f t="shared" si="40"/>
        <v>1.1499999999999999</v>
      </c>
      <c r="Y135" s="123">
        <f t="shared" si="40"/>
        <v>1.1499999999999999</v>
      </c>
      <c r="Z135" s="123">
        <f t="shared" si="40"/>
        <v>1.1499999999999999</v>
      </c>
      <c r="AA135" s="123">
        <f t="shared" si="40"/>
        <v>1.1499999999999999</v>
      </c>
      <c r="AB135" s="123">
        <f t="shared" si="40"/>
        <v>1.1499999999999999</v>
      </c>
      <c r="AC135" s="123">
        <f t="shared" si="40"/>
        <v>1.1499999999999999</v>
      </c>
      <c r="AD135" s="123">
        <f t="shared" si="40"/>
        <v>1.1499999999999999</v>
      </c>
      <c r="AE135" s="123">
        <f t="shared" si="40"/>
        <v>1.1499999999999999</v>
      </c>
      <c r="AF135" s="123">
        <f t="shared" si="40"/>
        <v>1.1499999999999999</v>
      </c>
      <c r="AG135" s="126">
        <v>5</v>
      </c>
      <c r="AH135" s="55"/>
      <c r="AI135" s="56"/>
      <c r="AK135" s="57"/>
    </row>
    <row r="136" spans="1:37" x14ac:dyDescent="0.25">
      <c r="A136" s="111" t="s">
        <v>140</v>
      </c>
      <c r="B136" s="123">
        <f t="shared" si="38"/>
        <v>2.133</v>
      </c>
      <c r="C136" s="124">
        <v>2.133</v>
      </c>
      <c r="D136" s="123">
        <f t="shared" si="39"/>
        <v>2.133</v>
      </c>
      <c r="E136" s="123">
        <f t="shared" si="39"/>
        <v>2.133</v>
      </c>
      <c r="F136" s="123">
        <f t="shared" si="39"/>
        <v>2.133</v>
      </c>
      <c r="G136" s="123">
        <f t="shared" si="39"/>
        <v>2.133</v>
      </c>
      <c r="H136" s="123">
        <f t="shared" si="39"/>
        <v>2.133</v>
      </c>
      <c r="I136" s="123">
        <f t="shared" si="39"/>
        <v>2.133</v>
      </c>
      <c r="J136" s="123">
        <f t="shared" si="39"/>
        <v>2.133</v>
      </c>
      <c r="K136" s="123">
        <f t="shared" si="39"/>
        <v>2.133</v>
      </c>
      <c r="L136" s="123">
        <f t="shared" si="39"/>
        <v>2.133</v>
      </c>
      <c r="M136" s="123">
        <f t="shared" si="39"/>
        <v>2.133</v>
      </c>
      <c r="N136" s="123">
        <f t="shared" si="39"/>
        <v>2.133</v>
      </c>
      <c r="O136" s="123">
        <f t="shared" si="39"/>
        <v>2.133</v>
      </c>
      <c r="P136" s="123">
        <f t="shared" si="39"/>
        <v>2.133</v>
      </c>
      <c r="Q136" s="123">
        <f t="shared" si="39"/>
        <v>2.133</v>
      </c>
      <c r="R136" s="123">
        <f t="shared" si="39"/>
        <v>2.133</v>
      </c>
      <c r="S136" s="123">
        <f t="shared" si="39"/>
        <v>2.133</v>
      </c>
      <c r="T136" s="123">
        <f t="shared" si="40"/>
        <v>2.133</v>
      </c>
      <c r="U136" s="123">
        <f t="shared" si="40"/>
        <v>2.133</v>
      </c>
      <c r="V136" s="123">
        <f t="shared" si="40"/>
        <v>2.133</v>
      </c>
      <c r="W136" s="123">
        <f t="shared" si="40"/>
        <v>2.133</v>
      </c>
      <c r="X136" s="123">
        <f t="shared" si="40"/>
        <v>2.133</v>
      </c>
      <c r="Y136" s="123">
        <f t="shared" si="40"/>
        <v>2.133</v>
      </c>
      <c r="Z136" s="123">
        <f t="shared" si="40"/>
        <v>2.133</v>
      </c>
      <c r="AA136" s="123">
        <f t="shared" si="40"/>
        <v>2.133</v>
      </c>
      <c r="AB136" s="123">
        <f t="shared" si="40"/>
        <v>2.133</v>
      </c>
      <c r="AC136" s="123">
        <f t="shared" si="40"/>
        <v>2.133</v>
      </c>
      <c r="AD136" s="123">
        <f t="shared" si="40"/>
        <v>2.133</v>
      </c>
      <c r="AE136" s="123">
        <f t="shared" si="40"/>
        <v>2.133</v>
      </c>
      <c r="AF136" s="123">
        <f t="shared" si="40"/>
        <v>2.133</v>
      </c>
      <c r="AG136" s="126">
        <v>4.9930000000000003</v>
      </c>
      <c r="AH136" s="55"/>
      <c r="AI136" s="56"/>
      <c r="AK136" s="57"/>
    </row>
    <row r="137" spans="1:37" x14ac:dyDescent="0.25">
      <c r="A137" s="111" t="s">
        <v>141</v>
      </c>
      <c r="B137" s="123">
        <f t="shared" si="38"/>
        <v>2.09</v>
      </c>
      <c r="C137" s="124">
        <v>2.09</v>
      </c>
      <c r="D137" s="123">
        <f t="shared" si="39"/>
        <v>2.09</v>
      </c>
      <c r="E137" s="123">
        <f t="shared" si="39"/>
        <v>2.09</v>
      </c>
      <c r="F137" s="123">
        <f t="shared" si="39"/>
        <v>2.09</v>
      </c>
      <c r="G137" s="123">
        <f t="shared" si="39"/>
        <v>2.09</v>
      </c>
      <c r="H137" s="123">
        <f t="shared" si="39"/>
        <v>2.09</v>
      </c>
      <c r="I137" s="123">
        <f t="shared" si="39"/>
        <v>2.09</v>
      </c>
      <c r="J137" s="123">
        <f t="shared" si="39"/>
        <v>2.09</v>
      </c>
      <c r="K137" s="123">
        <f t="shared" si="39"/>
        <v>2.09</v>
      </c>
      <c r="L137" s="123">
        <f t="shared" si="39"/>
        <v>2.09</v>
      </c>
      <c r="M137" s="123">
        <f t="shared" si="39"/>
        <v>2.09</v>
      </c>
      <c r="N137" s="123">
        <f t="shared" si="39"/>
        <v>2.09</v>
      </c>
      <c r="O137" s="123">
        <f t="shared" si="39"/>
        <v>2.09</v>
      </c>
      <c r="P137" s="123">
        <f t="shared" si="39"/>
        <v>2.09</v>
      </c>
      <c r="Q137" s="123">
        <f t="shared" si="39"/>
        <v>2.09</v>
      </c>
      <c r="R137" s="123">
        <f t="shared" si="39"/>
        <v>2.09</v>
      </c>
      <c r="S137" s="123">
        <f t="shared" si="39"/>
        <v>2.09</v>
      </c>
      <c r="T137" s="123">
        <f t="shared" si="40"/>
        <v>2.09</v>
      </c>
      <c r="U137" s="123">
        <f t="shared" si="40"/>
        <v>2.09</v>
      </c>
      <c r="V137" s="123">
        <f t="shared" si="40"/>
        <v>2.09</v>
      </c>
      <c r="W137" s="123">
        <f t="shared" si="40"/>
        <v>2.09</v>
      </c>
      <c r="X137" s="123">
        <f t="shared" si="40"/>
        <v>2.09</v>
      </c>
      <c r="Y137" s="123">
        <f t="shared" si="40"/>
        <v>2.09</v>
      </c>
      <c r="Z137" s="123">
        <f t="shared" si="40"/>
        <v>2.09</v>
      </c>
      <c r="AA137" s="123">
        <f t="shared" si="40"/>
        <v>2.09</v>
      </c>
      <c r="AB137" s="123">
        <f t="shared" si="40"/>
        <v>2.09</v>
      </c>
      <c r="AC137" s="123">
        <f t="shared" si="40"/>
        <v>2.09</v>
      </c>
      <c r="AD137" s="123">
        <f t="shared" si="40"/>
        <v>2.09</v>
      </c>
      <c r="AE137" s="123">
        <f t="shared" si="40"/>
        <v>2.09</v>
      </c>
      <c r="AF137" s="123">
        <f t="shared" si="40"/>
        <v>2.09</v>
      </c>
      <c r="AG137" s="126">
        <v>4.9800000000000004</v>
      </c>
      <c r="AH137" s="55"/>
      <c r="AI137" s="56"/>
      <c r="AK137" s="57"/>
    </row>
    <row r="138" spans="1:37" x14ac:dyDescent="0.25">
      <c r="A138" s="111" t="s">
        <v>142</v>
      </c>
      <c r="B138" s="123">
        <f t="shared" si="38"/>
        <v>1.1399999999999999</v>
      </c>
      <c r="C138" s="124">
        <v>1.1399999999999999</v>
      </c>
      <c r="D138" s="123">
        <f t="shared" si="39"/>
        <v>1.1399999999999999</v>
      </c>
      <c r="E138" s="123">
        <f t="shared" si="39"/>
        <v>1.1399999999999999</v>
      </c>
      <c r="F138" s="123">
        <f t="shared" si="39"/>
        <v>1.1399999999999999</v>
      </c>
      <c r="G138" s="123">
        <f t="shared" si="39"/>
        <v>1.1399999999999999</v>
      </c>
      <c r="H138" s="123">
        <f t="shared" si="39"/>
        <v>1.1399999999999999</v>
      </c>
      <c r="I138" s="123">
        <f t="shared" si="39"/>
        <v>1.1399999999999999</v>
      </c>
      <c r="J138" s="123">
        <f t="shared" si="39"/>
        <v>1.1399999999999999</v>
      </c>
      <c r="K138" s="123">
        <f t="shared" si="39"/>
        <v>1.1399999999999999</v>
      </c>
      <c r="L138" s="123">
        <f t="shared" si="39"/>
        <v>1.1399999999999999</v>
      </c>
      <c r="M138" s="123">
        <f t="shared" si="39"/>
        <v>1.1399999999999999</v>
      </c>
      <c r="N138" s="123">
        <f t="shared" si="39"/>
        <v>1.1399999999999999</v>
      </c>
      <c r="O138" s="123">
        <f t="shared" si="39"/>
        <v>1.1399999999999999</v>
      </c>
      <c r="P138" s="123">
        <f t="shared" si="39"/>
        <v>1.1399999999999999</v>
      </c>
      <c r="Q138" s="123">
        <f t="shared" si="39"/>
        <v>1.1399999999999999</v>
      </c>
      <c r="R138" s="123">
        <f t="shared" si="39"/>
        <v>1.1399999999999999</v>
      </c>
      <c r="S138" s="123">
        <f t="shared" si="39"/>
        <v>1.1399999999999999</v>
      </c>
      <c r="T138" s="123">
        <f t="shared" si="40"/>
        <v>1.1399999999999999</v>
      </c>
      <c r="U138" s="123">
        <f t="shared" si="40"/>
        <v>1.1399999999999999</v>
      </c>
      <c r="V138" s="123">
        <f t="shared" si="40"/>
        <v>1.1399999999999999</v>
      </c>
      <c r="W138" s="123">
        <f t="shared" si="40"/>
        <v>1.1399999999999999</v>
      </c>
      <c r="X138" s="123">
        <f t="shared" si="40"/>
        <v>1.1399999999999999</v>
      </c>
      <c r="Y138" s="123">
        <f t="shared" si="40"/>
        <v>1.1399999999999999</v>
      </c>
      <c r="Z138" s="123">
        <f t="shared" si="40"/>
        <v>1.1399999999999999</v>
      </c>
      <c r="AA138" s="123">
        <f t="shared" si="40"/>
        <v>1.1399999999999999</v>
      </c>
      <c r="AB138" s="123">
        <f t="shared" si="40"/>
        <v>1.1399999999999999</v>
      </c>
      <c r="AC138" s="123">
        <f t="shared" si="40"/>
        <v>1.1399999999999999</v>
      </c>
      <c r="AD138" s="123">
        <f t="shared" si="40"/>
        <v>1.1399999999999999</v>
      </c>
      <c r="AE138" s="123">
        <f t="shared" si="40"/>
        <v>1.1399999999999999</v>
      </c>
      <c r="AF138" s="123">
        <f t="shared" si="40"/>
        <v>1.1399999999999999</v>
      </c>
      <c r="AG138" s="126">
        <v>4.95</v>
      </c>
      <c r="AH138" s="55"/>
      <c r="AI138" s="56"/>
      <c r="AK138" s="57"/>
    </row>
    <row r="139" spans="1:37" x14ac:dyDescent="0.25">
      <c r="A139" s="111" t="s">
        <v>143</v>
      </c>
      <c r="B139" s="123">
        <f t="shared" si="38"/>
        <v>0.82</v>
      </c>
      <c r="C139" s="124">
        <v>0.82</v>
      </c>
      <c r="D139" s="123">
        <f t="shared" si="39"/>
        <v>0.82</v>
      </c>
      <c r="E139" s="123">
        <f t="shared" si="39"/>
        <v>0.82</v>
      </c>
      <c r="F139" s="123">
        <f t="shared" si="39"/>
        <v>0.82</v>
      </c>
      <c r="G139" s="123">
        <f t="shared" si="39"/>
        <v>0.82</v>
      </c>
      <c r="H139" s="123">
        <f t="shared" si="39"/>
        <v>0.82</v>
      </c>
      <c r="I139" s="123">
        <f t="shared" si="39"/>
        <v>0.82</v>
      </c>
      <c r="J139" s="123">
        <f t="shared" si="39"/>
        <v>0.82</v>
      </c>
      <c r="K139" s="123">
        <f t="shared" si="39"/>
        <v>0.82</v>
      </c>
      <c r="L139" s="123">
        <f t="shared" si="39"/>
        <v>0.82</v>
      </c>
      <c r="M139" s="123">
        <f t="shared" si="39"/>
        <v>0.82</v>
      </c>
      <c r="N139" s="123">
        <f t="shared" si="39"/>
        <v>0.82</v>
      </c>
      <c r="O139" s="123">
        <f t="shared" si="39"/>
        <v>0.82</v>
      </c>
      <c r="P139" s="123">
        <f t="shared" si="39"/>
        <v>0.82</v>
      </c>
      <c r="Q139" s="123">
        <f t="shared" si="39"/>
        <v>0.82</v>
      </c>
      <c r="R139" s="123">
        <f t="shared" si="39"/>
        <v>0.82</v>
      </c>
      <c r="S139" s="123">
        <f t="shared" si="39"/>
        <v>0.82</v>
      </c>
      <c r="T139" s="123">
        <f t="shared" si="40"/>
        <v>0.82</v>
      </c>
      <c r="U139" s="123">
        <f t="shared" si="40"/>
        <v>0.82</v>
      </c>
      <c r="V139" s="123">
        <f t="shared" si="40"/>
        <v>0.82</v>
      </c>
      <c r="W139" s="123">
        <f t="shared" si="40"/>
        <v>0.82</v>
      </c>
      <c r="X139" s="123">
        <f t="shared" si="40"/>
        <v>0.82</v>
      </c>
      <c r="Y139" s="123">
        <f t="shared" si="40"/>
        <v>0.82</v>
      </c>
      <c r="Z139" s="123">
        <f t="shared" si="40"/>
        <v>0.82</v>
      </c>
      <c r="AA139" s="123">
        <f t="shared" si="40"/>
        <v>0.82</v>
      </c>
      <c r="AB139" s="123">
        <f t="shared" si="40"/>
        <v>0.82</v>
      </c>
      <c r="AC139" s="123">
        <f t="shared" si="40"/>
        <v>0.82</v>
      </c>
      <c r="AD139" s="123">
        <f t="shared" si="40"/>
        <v>0.82</v>
      </c>
      <c r="AE139" s="123">
        <f t="shared" si="40"/>
        <v>0.82</v>
      </c>
      <c r="AF139" s="123">
        <f t="shared" si="40"/>
        <v>0.82</v>
      </c>
      <c r="AG139" s="126">
        <v>4.95</v>
      </c>
      <c r="AH139" s="55"/>
      <c r="AI139" s="56"/>
      <c r="AK139" s="57"/>
    </row>
    <row r="140" spans="1:37" x14ac:dyDescent="0.25">
      <c r="A140" s="111" t="s">
        <v>144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5"/>
      <c r="AI140" s="56"/>
      <c r="AK140" s="57"/>
    </row>
    <row r="141" spans="1:37" x14ac:dyDescent="0.25">
      <c r="A141" s="111" t="s">
        <v>145</v>
      </c>
      <c r="B141" s="123">
        <f t="shared" ref="B141:B147" si="41">AF141</f>
        <v>2</v>
      </c>
      <c r="C141" s="124">
        <v>2</v>
      </c>
      <c r="D141" s="123">
        <f t="shared" ref="D141:S147" si="42">C141</f>
        <v>2</v>
      </c>
      <c r="E141" s="123">
        <f t="shared" si="42"/>
        <v>2</v>
      </c>
      <c r="F141" s="123">
        <f t="shared" si="42"/>
        <v>2</v>
      </c>
      <c r="G141" s="123">
        <f t="shared" si="42"/>
        <v>2</v>
      </c>
      <c r="H141" s="123">
        <f t="shared" si="42"/>
        <v>2</v>
      </c>
      <c r="I141" s="123">
        <f t="shared" si="42"/>
        <v>2</v>
      </c>
      <c r="J141" s="123">
        <f t="shared" si="42"/>
        <v>2</v>
      </c>
      <c r="K141" s="123">
        <f t="shared" si="42"/>
        <v>2</v>
      </c>
      <c r="L141" s="123">
        <f t="shared" si="42"/>
        <v>2</v>
      </c>
      <c r="M141" s="123">
        <f t="shared" si="42"/>
        <v>2</v>
      </c>
      <c r="N141" s="123">
        <f t="shared" si="42"/>
        <v>2</v>
      </c>
      <c r="O141" s="123">
        <f t="shared" si="42"/>
        <v>2</v>
      </c>
      <c r="P141" s="123">
        <f t="shared" si="42"/>
        <v>2</v>
      </c>
      <c r="Q141" s="123">
        <f t="shared" si="42"/>
        <v>2</v>
      </c>
      <c r="R141" s="123">
        <f t="shared" si="42"/>
        <v>2</v>
      </c>
      <c r="S141" s="123">
        <f t="shared" si="42"/>
        <v>2</v>
      </c>
      <c r="T141" s="123">
        <f t="shared" ref="T141:AF147" si="43">S141</f>
        <v>2</v>
      </c>
      <c r="U141" s="123">
        <f t="shared" si="43"/>
        <v>2</v>
      </c>
      <c r="V141" s="123">
        <f t="shared" si="43"/>
        <v>2</v>
      </c>
      <c r="W141" s="123">
        <f t="shared" si="43"/>
        <v>2</v>
      </c>
      <c r="X141" s="123">
        <f t="shared" si="43"/>
        <v>2</v>
      </c>
      <c r="Y141" s="123">
        <f t="shared" si="43"/>
        <v>2</v>
      </c>
      <c r="Z141" s="123">
        <f t="shared" si="43"/>
        <v>2</v>
      </c>
      <c r="AA141" s="123">
        <f t="shared" si="43"/>
        <v>2</v>
      </c>
      <c r="AB141" s="123">
        <f t="shared" si="43"/>
        <v>2</v>
      </c>
      <c r="AC141" s="123">
        <f t="shared" si="43"/>
        <v>2</v>
      </c>
      <c r="AD141" s="123">
        <f t="shared" si="43"/>
        <v>2</v>
      </c>
      <c r="AE141" s="123">
        <f t="shared" si="43"/>
        <v>2</v>
      </c>
      <c r="AF141" s="123">
        <f t="shared" si="43"/>
        <v>2</v>
      </c>
      <c r="AG141" s="126">
        <v>4.8</v>
      </c>
      <c r="AH141" s="55"/>
      <c r="AI141" s="56"/>
      <c r="AK141" s="57"/>
    </row>
    <row r="142" spans="1:37" x14ac:dyDescent="0.25">
      <c r="A142" s="111" t="s">
        <v>146</v>
      </c>
      <c r="B142" s="123">
        <f t="shared" si="41"/>
        <v>5.61</v>
      </c>
      <c r="C142" s="124">
        <v>5.61</v>
      </c>
      <c r="D142" s="123">
        <f t="shared" si="42"/>
        <v>5.61</v>
      </c>
      <c r="E142" s="123">
        <f t="shared" si="42"/>
        <v>5.61</v>
      </c>
      <c r="F142" s="123">
        <f t="shared" si="42"/>
        <v>5.61</v>
      </c>
      <c r="G142" s="123">
        <f t="shared" si="42"/>
        <v>5.61</v>
      </c>
      <c r="H142" s="123">
        <f t="shared" si="42"/>
        <v>5.61</v>
      </c>
      <c r="I142" s="123">
        <f t="shared" si="42"/>
        <v>5.61</v>
      </c>
      <c r="J142" s="123">
        <f t="shared" si="42"/>
        <v>5.61</v>
      </c>
      <c r="K142" s="123">
        <f t="shared" si="42"/>
        <v>5.61</v>
      </c>
      <c r="L142" s="123">
        <f t="shared" si="42"/>
        <v>5.61</v>
      </c>
      <c r="M142" s="123">
        <f t="shared" si="42"/>
        <v>5.61</v>
      </c>
      <c r="N142" s="123">
        <f t="shared" si="42"/>
        <v>5.61</v>
      </c>
      <c r="O142" s="123">
        <f t="shared" si="42"/>
        <v>5.61</v>
      </c>
      <c r="P142" s="123">
        <f t="shared" si="42"/>
        <v>5.61</v>
      </c>
      <c r="Q142" s="123">
        <f t="shared" si="42"/>
        <v>5.61</v>
      </c>
      <c r="R142" s="123">
        <f t="shared" si="42"/>
        <v>5.61</v>
      </c>
      <c r="S142" s="123">
        <f t="shared" si="42"/>
        <v>5.61</v>
      </c>
      <c r="T142" s="123">
        <f t="shared" si="43"/>
        <v>5.61</v>
      </c>
      <c r="U142" s="123">
        <f t="shared" si="43"/>
        <v>5.61</v>
      </c>
      <c r="V142" s="123">
        <f t="shared" si="43"/>
        <v>5.61</v>
      </c>
      <c r="W142" s="123">
        <f t="shared" si="43"/>
        <v>5.61</v>
      </c>
      <c r="X142" s="123">
        <f t="shared" si="43"/>
        <v>5.61</v>
      </c>
      <c r="Y142" s="123">
        <f t="shared" si="43"/>
        <v>5.61</v>
      </c>
      <c r="Z142" s="123">
        <f t="shared" si="43"/>
        <v>5.61</v>
      </c>
      <c r="AA142" s="123">
        <f t="shared" si="43"/>
        <v>5.61</v>
      </c>
      <c r="AB142" s="123">
        <f t="shared" si="43"/>
        <v>5.61</v>
      </c>
      <c r="AC142" s="123">
        <f t="shared" si="43"/>
        <v>5.61</v>
      </c>
      <c r="AD142" s="123">
        <f t="shared" si="43"/>
        <v>5.61</v>
      </c>
      <c r="AE142" s="123">
        <f t="shared" si="43"/>
        <v>5.61</v>
      </c>
      <c r="AF142" s="123">
        <f t="shared" si="43"/>
        <v>5.61</v>
      </c>
      <c r="AG142" s="126">
        <v>4.8</v>
      </c>
      <c r="AH142" s="55"/>
      <c r="AI142" s="56"/>
      <c r="AK142" s="57"/>
    </row>
    <row r="143" spans="1:37" x14ac:dyDescent="0.25">
      <c r="A143" s="111" t="s">
        <v>147</v>
      </c>
      <c r="B143" s="123">
        <f t="shared" si="41"/>
        <v>1.25</v>
      </c>
      <c r="C143" s="124">
        <v>1.25</v>
      </c>
      <c r="D143" s="123">
        <f t="shared" si="42"/>
        <v>1.25</v>
      </c>
      <c r="E143" s="123">
        <f t="shared" si="42"/>
        <v>1.25</v>
      </c>
      <c r="F143" s="123">
        <f t="shared" si="42"/>
        <v>1.25</v>
      </c>
      <c r="G143" s="123">
        <f t="shared" si="42"/>
        <v>1.25</v>
      </c>
      <c r="H143" s="123">
        <f t="shared" si="42"/>
        <v>1.25</v>
      </c>
      <c r="I143" s="123">
        <f t="shared" si="42"/>
        <v>1.25</v>
      </c>
      <c r="J143" s="123">
        <f t="shared" si="42"/>
        <v>1.25</v>
      </c>
      <c r="K143" s="123">
        <f t="shared" si="42"/>
        <v>1.25</v>
      </c>
      <c r="L143" s="123">
        <f t="shared" si="42"/>
        <v>1.25</v>
      </c>
      <c r="M143" s="123">
        <f t="shared" si="42"/>
        <v>1.25</v>
      </c>
      <c r="N143" s="123">
        <f t="shared" si="42"/>
        <v>1.25</v>
      </c>
      <c r="O143" s="123">
        <f t="shared" si="42"/>
        <v>1.25</v>
      </c>
      <c r="P143" s="123">
        <f t="shared" si="42"/>
        <v>1.25</v>
      </c>
      <c r="Q143" s="123">
        <f t="shared" si="42"/>
        <v>1.25</v>
      </c>
      <c r="R143" s="123">
        <f t="shared" si="42"/>
        <v>1.25</v>
      </c>
      <c r="S143" s="123">
        <f t="shared" si="42"/>
        <v>1.25</v>
      </c>
      <c r="T143" s="123">
        <f t="shared" si="43"/>
        <v>1.25</v>
      </c>
      <c r="U143" s="123">
        <f t="shared" si="43"/>
        <v>1.25</v>
      </c>
      <c r="V143" s="123">
        <f t="shared" si="43"/>
        <v>1.25</v>
      </c>
      <c r="W143" s="123">
        <f t="shared" si="43"/>
        <v>1.25</v>
      </c>
      <c r="X143" s="123">
        <f t="shared" si="43"/>
        <v>1.25</v>
      </c>
      <c r="Y143" s="123">
        <f t="shared" si="43"/>
        <v>1.25</v>
      </c>
      <c r="Z143" s="123">
        <f t="shared" si="43"/>
        <v>1.25</v>
      </c>
      <c r="AA143" s="123">
        <f t="shared" si="43"/>
        <v>1.25</v>
      </c>
      <c r="AB143" s="123">
        <f t="shared" si="43"/>
        <v>1.25</v>
      </c>
      <c r="AC143" s="123">
        <f t="shared" si="43"/>
        <v>1.25</v>
      </c>
      <c r="AD143" s="123">
        <f t="shared" si="43"/>
        <v>1.25</v>
      </c>
      <c r="AE143" s="123">
        <f t="shared" si="43"/>
        <v>1.25</v>
      </c>
      <c r="AF143" s="123">
        <f t="shared" si="43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148</v>
      </c>
      <c r="B144" s="123">
        <f t="shared" si="41"/>
        <v>1.25</v>
      </c>
      <c r="C144" s="124">
        <v>1.25</v>
      </c>
      <c r="D144" s="123">
        <f t="shared" si="42"/>
        <v>1.25</v>
      </c>
      <c r="E144" s="123">
        <f t="shared" si="42"/>
        <v>1.25</v>
      </c>
      <c r="F144" s="123">
        <f t="shared" si="42"/>
        <v>1.25</v>
      </c>
      <c r="G144" s="123">
        <f t="shared" si="42"/>
        <v>1.25</v>
      </c>
      <c r="H144" s="123">
        <f t="shared" si="42"/>
        <v>1.25</v>
      </c>
      <c r="I144" s="123">
        <f t="shared" si="42"/>
        <v>1.25</v>
      </c>
      <c r="J144" s="123">
        <f t="shared" si="42"/>
        <v>1.25</v>
      </c>
      <c r="K144" s="123">
        <f t="shared" si="42"/>
        <v>1.25</v>
      </c>
      <c r="L144" s="123">
        <f t="shared" si="42"/>
        <v>1.25</v>
      </c>
      <c r="M144" s="123">
        <f t="shared" si="42"/>
        <v>1.25</v>
      </c>
      <c r="N144" s="123">
        <f t="shared" si="42"/>
        <v>1.25</v>
      </c>
      <c r="O144" s="123">
        <f t="shared" si="42"/>
        <v>1.25</v>
      </c>
      <c r="P144" s="123">
        <f t="shared" si="42"/>
        <v>1.25</v>
      </c>
      <c r="Q144" s="123">
        <f t="shared" si="42"/>
        <v>1.25</v>
      </c>
      <c r="R144" s="123">
        <f t="shared" si="42"/>
        <v>1.25</v>
      </c>
      <c r="S144" s="123">
        <f t="shared" si="42"/>
        <v>1.25</v>
      </c>
      <c r="T144" s="123">
        <f t="shared" si="43"/>
        <v>1.25</v>
      </c>
      <c r="U144" s="123">
        <f t="shared" si="43"/>
        <v>1.25</v>
      </c>
      <c r="V144" s="123">
        <f t="shared" si="43"/>
        <v>1.25</v>
      </c>
      <c r="W144" s="123">
        <f t="shared" si="43"/>
        <v>1.25</v>
      </c>
      <c r="X144" s="123">
        <f t="shared" si="43"/>
        <v>1.25</v>
      </c>
      <c r="Y144" s="123">
        <f t="shared" si="43"/>
        <v>1.25</v>
      </c>
      <c r="Z144" s="123">
        <f t="shared" si="43"/>
        <v>1.25</v>
      </c>
      <c r="AA144" s="123">
        <f t="shared" si="43"/>
        <v>1.25</v>
      </c>
      <c r="AB144" s="123">
        <f t="shared" si="43"/>
        <v>1.25</v>
      </c>
      <c r="AC144" s="123">
        <f t="shared" si="43"/>
        <v>1.25</v>
      </c>
      <c r="AD144" s="123">
        <f t="shared" si="43"/>
        <v>1.25</v>
      </c>
      <c r="AE144" s="123">
        <f t="shared" si="43"/>
        <v>1.25</v>
      </c>
      <c r="AF144" s="123">
        <f t="shared" si="43"/>
        <v>1.25</v>
      </c>
      <c r="AG144" s="126">
        <v>4.5</v>
      </c>
      <c r="AH144" s="55"/>
      <c r="AI144" s="56"/>
      <c r="AK144" s="57"/>
    </row>
    <row r="145" spans="1:37" x14ac:dyDescent="0.25">
      <c r="A145" s="111" t="s">
        <v>149</v>
      </c>
      <c r="B145" s="123">
        <f t="shared" si="41"/>
        <v>1.46</v>
      </c>
      <c r="C145" s="124">
        <v>1.46</v>
      </c>
      <c r="D145" s="123">
        <f t="shared" si="42"/>
        <v>1.46</v>
      </c>
      <c r="E145" s="123">
        <f t="shared" si="42"/>
        <v>1.46</v>
      </c>
      <c r="F145" s="123">
        <f t="shared" si="42"/>
        <v>1.46</v>
      </c>
      <c r="G145" s="123">
        <f t="shared" si="42"/>
        <v>1.46</v>
      </c>
      <c r="H145" s="123">
        <f t="shared" si="42"/>
        <v>1.46</v>
      </c>
      <c r="I145" s="123">
        <f t="shared" si="42"/>
        <v>1.46</v>
      </c>
      <c r="J145" s="123">
        <f t="shared" si="42"/>
        <v>1.46</v>
      </c>
      <c r="K145" s="123">
        <f t="shared" si="42"/>
        <v>1.46</v>
      </c>
      <c r="L145" s="123">
        <f t="shared" si="42"/>
        <v>1.46</v>
      </c>
      <c r="M145" s="123">
        <f t="shared" si="42"/>
        <v>1.46</v>
      </c>
      <c r="N145" s="123">
        <f t="shared" si="42"/>
        <v>1.46</v>
      </c>
      <c r="O145" s="123">
        <f t="shared" si="42"/>
        <v>1.46</v>
      </c>
      <c r="P145" s="123">
        <f t="shared" si="42"/>
        <v>1.46</v>
      </c>
      <c r="Q145" s="123">
        <f t="shared" si="42"/>
        <v>1.46</v>
      </c>
      <c r="R145" s="123">
        <f t="shared" si="42"/>
        <v>1.46</v>
      </c>
      <c r="S145" s="123">
        <f t="shared" si="42"/>
        <v>1.46</v>
      </c>
      <c r="T145" s="123">
        <f t="shared" si="43"/>
        <v>1.46</v>
      </c>
      <c r="U145" s="123">
        <f t="shared" si="43"/>
        <v>1.46</v>
      </c>
      <c r="V145" s="123">
        <f t="shared" si="43"/>
        <v>1.46</v>
      </c>
      <c r="W145" s="123">
        <f t="shared" si="43"/>
        <v>1.46</v>
      </c>
      <c r="X145" s="123">
        <f t="shared" si="43"/>
        <v>1.46</v>
      </c>
      <c r="Y145" s="123">
        <f t="shared" si="43"/>
        <v>1.46</v>
      </c>
      <c r="Z145" s="123">
        <f t="shared" si="43"/>
        <v>1.46</v>
      </c>
      <c r="AA145" s="123">
        <f t="shared" si="43"/>
        <v>1.46</v>
      </c>
      <c r="AB145" s="123">
        <f t="shared" si="43"/>
        <v>1.46</v>
      </c>
      <c r="AC145" s="123">
        <f t="shared" si="43"/>
        <v>1.46</v>
      </c>
      <c r="AD145" s="123">
        <f t="shared" si="43"/>
        <v>1.46</v>
      </c>
      <c r="AE145" s="123">
        <f t="shared" si="43"/>
        <v>1.46</v>
      </c>
      <c r="AF145" s="123">
        <f t="shared" si="43"/>
        <v>1.46</v>
      </c>
      <c r="AG145" s="126">
        <v>4.4550000000000001</v>
      </c>
      <c r="AH145" s="55"/>
      <c r="AI145" s="56"/>
      <c r="AK145" s="57"/>
    </row>
    <row r="146" spans="1:37" x14ac:dyDescent="0.25">
      <c r="A146" s="111" t="s">
        <v>150</v>
      </c>
      <c r="B146" s="123">
        <f t="shared" si="41"/>
        <v>3</v>
      </c>
      <c r="C146" s="124">
        <v>3</v>
      </c>
      <c r="D146" s="123">
        <f t="shared" si="42"/>
        <v>3</v>
      </c>
      <c r="E146" s="123">
        <f t="shared" si="42"/>
        <v>3</v>
      </c>
      <c r="F146" s="123">
        <f t="shared" si="42"/>
        <v>3</v>
      </c>
      <c r="G146" s="123">
        <f t="shared" si="42"/>
        <v>3</v>
      </c>
      <c r="H146" s="123">
        <f t="shared" si="42"/>
        <v>3</v>
      </c>
      <c r="I146" s="123">
        <f t="shared" si="42"/>
        <v>3</v>
      </c>
      <c r="J146" s="123">
        <f t="shared" si="42"/>
        <v>3</v>
      </c>
      <c r="K146" s="123">
        <f t="shared" si="42"/>
        <v>3</v>
      </c>
      <c r="L146" s="123">
        <f t="shared" si="42"/>
        <v>3</v>
      </c>
      <c r="M146" s="123">
        <f t="shared" si="42"/>
        <v>3</v>
      </c>
      <c r="N146" s="123">
        <f t="shared" si="42"/>
        <v>3</v>
      </c>
      <c r="O146" s="123">
        <f t="shared" si="42"/>
        <v>3</v>
      </c>
      <c r="P146" s="123">
        <f t="shared" si="42"/>
        <v>3</v>
      </c>
      <c r="Q146" s="123">
        <f t="shared" si="42"/>
        <v>3</v>
      </c>
      <c r="R146" s="123">
        <f t="shared" si="42"/>
        <v>3</v>
      </c>
      <c r="S146" s="123">
        <f t="shared" si="42"/>
        <v>3</v>
      </c>
      <c r="T146" s="123">
        <f t="shared" si="43"/>
        <v>3</v>
      </c>
      <c r="U146" s="123">
        <f t="shared" si="43"/>
        <v>3</v>
      </c>
      <c r="V146" s="123">
        <f t="shared" si="43"/>
        <v>3</v>
      </c>
      <c r="W146" s="123">
        <f t="shared" si="43"/>
        <v>3</v>
      </c>
      <c r="X146" s="123">
        <f t="shared" si="43"/>
        <v>3</v>
      </c>
      <c r="Y146" s="123">
        <f t="shared" si="43"/>
        <v>3</v>
      </c>
      <c r="Z146" s="123">
        <f t="shared" si="43"/>
        <v>3</v>
      </c>
      <c r="AA146" s="123">
        <f t="shared" si="43"/>
        <v>3</v>
      </c>
      <c r="AB146" s="123">
        <f t="shared" si="43"/>
        <v>3</v>
      </c>
      <c r="AC146" s="123">
        <f t="shared" si="43"/>
        <v>3</v>
      </c>
      <c r="AD146" s="123">
        <f t="shared" si="43"/>
        <v>3</v>
      </c>
      <c r="AE146" s="123">
        <f t="shared" si="43"/>
        <v>3</v>
      </c>
      <c r="AF146" s="123">
        <f t="shared" si="43"/>
        <v>3</v>
      </c>
      <c r="AG146" s="126">
        <v>4.41</v>
      </c>
      <c r="AH146" s="55"/>
      <c r="AI146" s="56"/>
      <c r="AK146" s="57"/>
    </row>
    <row r="147" spans="1:37" x14ac:dyDescent="0.25">
      <c r="A147" s="111" t="s">
        <v>151</v>
      </c>
      <c r="B147" s="123">
        <f t="shared" si="41"/>
        <v>3.3</v>
      </c>
      <c r="C147" s="124">
        <v>3.3</v>
      </c>
      <c r="D147" s="123">
        <f t="shared" si="42"/>
        <v>3.3</v>
      </c>
      <c r="E147" s="123">
        <f t="shared" si="42"/>
        <v>3.3</v>
      </c>
      <c r="F147" s="123">
        <f t="shared" si="42"/>
        <v>3.3</v>
      </c>
      <c r="G147" s="123">
        <f t="shared" si="42"/>
        <v>3.3</v>
      </c>
      <c r="H147" s="123">
        <f t="shared" si="42"/>
        <v>3.3</v>
      </c>
      <c r="I147" s="123">
        <f t="shared" si="42"/>
        <v>3.3</v>
      </c>
      <c r="J147" s="123">
        <f t="shared" si="42"/>
        <v>3.3</v>
      </c>
      <c r="K147" s="123">
        <f t="shared" si="42"/>
        <v>3.3</v>
      </c>
      <c r="L147" s="123">
        <f t="shared" si="42"/>
        <v>3.3</v>
      </c>
      <c r="M147" s="123">
        <f t="shared" si="42"/>
        <v>3.3</v>
      </c>
      <c r="N147" s="123">
        <f t="shared" si="42"/>
        <v>3.3</v>
      </c>
      <c r="O147" s="123">
        <f t="shared" si="42"/>
        <v>3.3</v>
      </c>
      <c r="P147" s="123">
        <f t="shared" si="42"/>
        <v>3.3</v>
      </c>
      <c r="Q147" s="123">
        <f t="shared" si="42"/>
        <v>3.3</v>
      </c>
      <c r="R147" s="123">
        <f t="shared" si="42"/>
        <v>3.3</v>
      </c>
      <c r="S147" s="123">
        <f t="shared" si="42"/>
        <v>3.3</v>
      </c>
      <c r="T147" s="123">
        <f t="shared" si="43"/>
        <v>3.3</v>
      </c>
      <c r="U147" s="123">
        <f t="shared" si="43"/>
        <v>3.3</v>
      </c>
      <c r="V147" s="123">
        <f t="shared" si="43"/>
        <v>3.3</v>
      </c>
      <c r="W147" s="123">
        <f t="shared" si="43"/>
        <v>3.3</v>
      </c>
      <c r="X147" s="123">
        <f t="shared" si="43"/>
        <v>3.3</v>
      </c>
      <c r="Y147" s="123">
        <f t="shared" si="43"/>
        <v>3.3</v>
      </c>
      <c r="Z147" s="123">
        <f t="shared" si="43"/>
        <v>3.3</v>
      </c>
      <c r="AA147" s="123">
        <f t="shared" si="43"/>
        <v>3.3</v>
      </c>
      <c r="AB147" s="123">
        <f t="shared" si="43"/>
        <v>3.3</v>
      </c>
      <c r="AC147" s="123">
        <f t="shared" si="43"/>
        <v>3.3</v>
      </c>
      <c r="AD147" s="123">
        <f t="shared" si="43"/>
        <v>3.3</v>
      </c>
      <c r="AE147" s="123">
        <f t="shared" si="43"/>
        <v>3.3</v>
      </c>
      <c r="AF147" s="123">
        <f t="shared" si="43"/>
        <v>3.3</v>
      </c>
      <c r="AG147" s="126">
        <v>4.4000000000000004</v>
      </c>
      <c r="AH147" s="55"/>
      <c r="AI147" s="56"/>
      <c r="AK147" s="57"/>
    </row>
    <row r="148" spans="1:37" x14ac:dyDescent="0.25">
      <c r="A148" s="111" t="s">
        <v>152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5"/>
      <c r="AI148" s="56"/>
      <c r="AK148" s="57"/>
    </row>
    <row r="149" spans="1:37" x14ac:dyDescent="0.25">
      <c r="A149" s="111" t="s">
        <v>153</v>
      </c>
      <c r="B149" s="123">
        <f>AF149</f>
        <v>1.76</v>
      </c>
      <c r="C149" s="124">
        <v>1.76</v>
      </c>
      <c r="D149" s="123">
        <f t="shared" ref="D149:S150" si="44">C149</f>
        <v>1.76</v>
      </c>
      <c r="E149" s="123">
        <f t="shared" si="44"/>
        <v>1.76</v>
      </c>
      <c r="F149" s="123">
        <f t="shared" si="44"/>
        <v>1.76</v>
      </c>
      <c r="G149" s="123">
        <f t="shared" si="44"/>
        <v>1.76</v>
      </c>
      <c r="H149" s="123">
        <f t="shared" si="44"/>
        <v>1.76</v>
      </c>
      <c r="I149" s="123">
        <f t="shared" si="44"/>
        <v>1.76</v>
      </c>
      <c r="J149" s="123">
        <f t="shared" si="44"/>
        <v>1.76</v>
      </c>
      <c r="K149" s="123">
        <f t="shared" si="44"/>
        <v>1.76</v>
      </c>
      <c r="L149" s="123">
        <f t="shared" si="44"/>
        <v>1.76</v>
      </c>
      <c r="M149" s="123">
        <f t="shared" si="44"/>
        <v>1.76</v>
      </c>
      <c r="N149" s="123">
        <f t="shared" si="44"/>
        <v>1.76</v>
      </c>
      <c r="O149" s="123">
        <f t="shared" si="44"/>
        <v>1.76</v>
      </c>
      <c r="P149" s="123">
        <f t="shared" si="44"/>
        <v>1.76</v>
      </c>
      <c r="Q149" s="123">
        <f t="shared" si="44"/>
        <v>1.76</v>
      </c>
      <c r="R149" s="123">
        <f t="shared" si="44"/>
        <v>1.76</v>
      </c>
      <c r="S149" s="123">
        <f t="shared" si="44"/>
        <v>1.76</v>
      </c>
      <c r="T149" s="123">
        <f t="shared" ref="T149:AF150" si="45">S149</f>
        <v>1.76</v>
      </c>
      <c r="U149" s="123">
        <f t="shared" si="45"/>
        <v>1.76</v>
      </c>
      <c r="V149" s="123">
        <f t="shared" si="45"/>
        <v>1.76</v>
      </c>
      <c r="W149" s="123">
        <f t="shared" si="45"/>
        <v>1.76</v>
      </c>
      <c r="X149" s="123">
        <f t="shared" si="45"/>
        <v>1.76</v>
      </c>
      <c r="Y149" s="123">
        <f t="shared" si="45"/>
        <v>1.76</v>
      </c>
      <c r="Z149" s="123">
        <f t="shared" si="45"/>
        <v>1.76</v>
      </c>
      <c r="AA149" s="123">
        <f t="shared" si="45"/>
        <v>1.76</v>
      </c>
      <c r="AB149" s="123">
        <f t="shared" si="45"/>
        <v>1.76</v>
      </c>
      <c r="AC149" s="123">
        <f t="shared" si="45"/>
        <v>1.76</v>
      </c>
      <c r="AD149" s="123">
        <f t="shared" si="45"/>
        <v>1.76</v>
      </c>
      <c r="AE149" s="123">
        <f t="shared" si="45"/>
        <v>1.76</v>
      </c>
      <c r="AF149" s="123">
        <f t="shared" si="45"/>
        <v>1.76</v>
      </c>
      <c r="AG149" s="126">
        <v>4.2</v>
      </c>
      <c r="AH149" s="55"/>
      <c r="AI149" s="56"/>
      <c r="AK149" s="57"/>
    </row>
    <row r="150" spans="1:37" x14ac:dyDescent="0.25">
      <c r="A150" s="111" t="s">
        <v>154</v>
      </c>
      <c r="B150" s="123">
        <f>AF150</f>
        <v>0</v>
      </c>
      <c r="C150" s="124">
        <v>0</v>
      </c>
      <c r="D150" s="123">
        <f t="shared" si="44"/>
        <v>0</v>
      </c>
      <c r="E150" s="123">
        <f t="shared" si="44"/>
        <v>0</v>
      </c>
      <c r="F150" s="123">
        <f t="shared" si="44"/>
        <v>0</v>
      </c>
      <c r="G150" s="123">
        <f t="shared" si="44"/>
        <v>0</v>
      </c>
      <c r="H150" s="123">
        <f t="shared" si="44"/>
        <v>0</v>
      </c>
      <c r="I150" s="123">
        <f t="shared" si="44"/>
        <v>0</v>
      </c>
      <c r="J150" s="123">
        <f t="shared" si="44"/>
        <v>0</v>
      </c>
      <c r="K150" s="123">
        <f t="shared" si="44"/>
        <v>0</v>
      </c>
      <c r="L150" s="123">
        <f t="shared" si="44"/>
        <v>0</v>
      </c>
      <c r="M150" s="123">
        <f t="shared" si="44"/>
        <v>0</v>
      </c>
      <c r="N150" s="123">
        <f t="shared" si="44"/>
        <v>0</v>
      </c>
      <c r="O150" s="123">
        <f t="shared" si="44"/>
        <v>0</v>
      </c>
      <c r="P150" s="123">
        <f t="shared" si="44"/>
        <v>0</v>
      </c>
      <c r="Q150" s="123">
        <f t="shared" si="44"/>
        <v>0</v>
      </c>
      <c r="R150" s="123">
        <f t="shared" si="44"/>
        <v>0</v>
      </c>
      <c r="S150" s="123">
        <f t="shared" si="44"/>
        <v>0</v>
      </c>
      <c r="T150" s="123">
        <f t="shared" si="45"/>
        <v>0</v>
      </c>
      <c r="U150" s="123">
        <f t="shared" si="45"/>
        <v>0</v>
      </c>
      <c r="V150" s="123">
        <f t="shared" si="45"/>
        <v>0</v>
      </c>
      <c r="W150" s="123">
        <f t="shared" si="45"/>
        <v>0</v>
      </c>
      <c r="X150" s="123">
        <f t="shared" si="45"/>
        <v>0</v>
      </c>
      <c r="Y150" s="123">
        <f t="shared" si="45"/>
        <v>0</v>
      </c>
      <c r="Z150" s="123">
        <f t="shared" si="45"/>
        <v>0</v>
      </c>
      <c r="AA150" s="123">
        <f t="shared" si="45"/>
        <v>0</v>
      </c>
      <c r="AB150" s="123">
        <f t="shared" si="45"/>
        <v>0</v>
      </c>
      <c r="AC150" s="123">
        <f t="shared" si="45"/>
        <v>0</v>
      </c>
      <c r="AD150" s="123">
        <f t="shared" si="45"/>
        <v>0</v>
      </c>
      <c r="AE150" s="123">
        <f t="shared" si="45"/>
        <v>0</v>
      </c>
      <c r="AF150" s="123">
        <f t="shared" si="45"/>
        <v>0</v>
      </c>
      <c r="AG150" s="126">
        <v>4</v>
      </c>
      <c r="AH150" s="55"/>
      <c r="AI150" s="56"/>
      <c r="AK150" s="57"/>
    </row>
    <row r="151" spans="1:37" x14ac:dyDescent="0.25">
      <c r="A151" s="111" t="s">
        <v>155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5"/>
      <c r="AI151" s="56"/>
      <c r="AK151" s="57"/>
    </row>
    <row r="152" spans="1:37" x14ac:dyDescent="0.25">
      <c r="A152" s="111" t="s">
        <v>156</v>
      </c>
      <c r="B152" s="123">
        <f>AF152</f>
        <v>0.1</v>
      </c>
      <c r="C152" s="124">
        <v>0.1</v>
      </c>
      <c r="D152" s="123">
        <f t="shared" ref="D152:S155" si="46">C152</f>
        <v>0.1</v>
      </c>
      <c r="E152" s="123">
        <f t="shared" si="46"/>
        <v>0.1</v>
      </c>
      <c r="F152" s="123">
        <f t="shared" si="46"/>
        <v>0.1</v>
      </c>
      <c r="G152" s="123">
        <f t="shared" si="46"/>
        <v>0.1</v>
      </c>
      <c r="H152" s="123">
        <f t="shared" si="46"/>
        <v>0.1</v>
      </c>
      <c r="I152" s="123">
        <f t="shared" si="46"/>
        <v>0.1</v>
      </c>
      <c r="J152" s="123">
        <f t="shared" si="46"/>
        <v>0.1</v>
      </c>
      <c r="K152" s="123">
        <f t="shared" si="46"/>
        <v>0.1</v>
      </c>
      <c r="L152" s="123">
        <f t="shared" si="46"/>
        <v>0.1</v>
      </c>
      <c r="M152" s="123">
        <f t="shared" si="46"/>
        <v>0.1</v>
      </c>
      <c r="N152" s="123">
        <f t="shared" si="46"/>
        <v>0.1</v>
      </c>
      <c r="O152" s="123">
        <f t="shared" si="46"/>
        <v>0.1</v>
      </c>
      <c r="P152" s="123">
        <f t="shared" si="46"/>
        <v>0.1</v>
      </c>
      <c r="Q152" s="123">
        <f t="shared" si="46"/>
        <v>0.1</v>
      </c>
      <c r="R152" s="123">
        <f t="shared" si="46"/>
        <v>0.1</v>
      </c>
      <c r="S152" s="123">
        <f t="shared" si="46"/>
        <v>0.1</v>
      </c>
      <c r="T152" s="123">
        <f t="shared" ref="T152:AF155" si="47">S152</f>
        <v>0.1</v>
      </c>
      <c r="U152" s="123">
        <f t="shared" si="47"/>
        <v>0.1</v>
      </c>
      <c r="V152" s="123">
        <f t="shared" si="47"/>
        <v>0.1</v>
      </c>
      <c r="W152" s="123">
        <f t="shared" si="47"/>
        <v>0.1</v>
      </c>
      <c r="X152" s="123">
        <f t="shared" si="47"/>
        <v>0.1</v>
      </c>
      <c r="Y152" s="123">
        <f t="shared" si="47"/>
        <v>0.1</v>
      </c>
      <c r="Z152" s="123">
        <f t="shared" si="47"/>
        <v>0.1</v>
      </c>
      <c r="AA152" s="123">
        <f t="shared" si="47"/>
        <v>0.1</v>
      </c>
      <c r="AB152" s="123">
        <f t="shared" si="47"/>
        <v>0.1</v>
      </c>
      <c r="AC152" s="123">
        <f t="shared" si="47"/>
        <v>0.1</v>
      </c>
      <c r="AD152" s="123">
        <f t="shared" si="47"/>
        <v>0.1</v>
      </c>
      <c r="AE152" s="123">
        <f t="shared" si="47"/>
        <v>0.1</v>
      </c>
      <c r="AF152" s="123">
        <f t="shared" si="47"/>
        <v>0.1</v>
      </c>
      <c r="AG152" s="126">
        <v>4</v>
      </c>
      <c r="AH152" s="55"/>
      <c r="AI152" s="56"/>
      <c r="AK152" s="57"/>
    </row>
    <row r="153" spans="1:37" x14ac:dyDescent="0.25">
      <c r="A153" s="111" t="s">
        <v>157</v>
      </c>
      <c r="B153" s="123">
        <f>AF153</f>
        <v>2.0499999999999998</v>
      </c>
      <c r="C153" s="124">
        <v>2.0499999999999998</v>
      </c>
      <c r="D153" s="123">
        <f t="shared" si="46"/>
        <v>2.0499999999999998</v>
      </c>
      <c r="E153" s="123">
        <f t="shared" si="46"/>
        <v>2.0499999999999998</v>
      </c>
      <c r="F153" s="123">
        <f t="shared" si="46"/>
        <v>2.0499999999999998</v>
      </c>
      <c r="G153" s="123">
        <f t="shared" si="46"/>
        <v>2.0499999999999998</v>
      </c>
      <c r="H153" s="123">
        <f t="shared" si="46"/>
        <v>2.0499999999999998</v>
      </c>
      <c r="I153" s="123">
        <f t="shared" si="46"/>
        <v>2.0499999999999998</v>
      </c>
      <c r="J153" s="123">
        <f t="shared" si="46"/>
        <v>2.0499999999999998</v>
      </c>
      <c r="K153" s="123">
        <f t="shared" si="46"/>
        <v>2.0499999999999998</v>
      </c>
      <c r="L153" s="123">
        <f t="shared" si="46"/>
        <v>2.0499999999999998</v>
      </c>
      <c r="M153" s="123">
        <f t="shared" si="46"/>
        <v>2.0499999999999998</v>
      </c>
      <c r="N153" s="123">
        <f t="shared" si="46"/>
        <v>2.0499999999999998</v>
      </c>
      <c r="O153" s="123">
        <f t="shared" si="46"/>
        <v>2.0499999999999998</v>
      </c>
      <c r="P153" s="123">
        <f t="shared" si="46"/>
        <v>2.0499999999999998</v>
      </c>
      <c r="Q153" s="123">
        <f t="shared" si="46"/>
        <v>2.0499999999999998</v>
      </c>
      <c r="R153" s="123">
        <f t="shared" si="46"/>
        <v>2.0499999999999998</v>
      </c>
      <c r="S153" s="123">
        <f t="shared" si="46"/>
        <v>2.0499999999999998</v>
      </c>
      <c r="T153" s="123">
        <f t="shared" si="47"/>
        <v>2.0499999999999998</v>
      </c>
      <c r="U153" s="123">
        <f t="shared" si="47"/>
        <v>2.0499999999999998</v>
      </c>
      <c r="V153" s="123">
        <f t="shared" si="47"/>
        <v>2.0499999999999998</v>
      </c>
      <c r="W153" s="123">
        <f t="shared" si="47"/>
        <v>2.0499999999999998</v>
      </c>
      <c r="X153" s="123">
        <f t="shared" si="47"/>
        <v>2.0499999999999998</v>
      </c>
      <c r="Y153" s="123">
        <f t="shared" si="47"/>
        <v>2.0499999999999998</v>
      </c>
      <c r="Z153" s="123">
        <f t="shared" si="47"/>
        <v>2.0499999999999998</v>
      </c>
      <c r="AA153" s="123">
        <f t="shared" si="47"/>
        <v>2.0499999999999998</v>
      </c>
      <c r="AB153" s="123">
        <f t="shared" si="47"/>
        <v>2.0499999999999998</v>
      </c>
      <c r="AC153" s="123">
        <f t="shared" si="47"/>
        <v>2.0499999999999998</v>
      </c>
      <c r="AD153" s="123">
        <f t="shared" si="47"/>
        <v>2.0499999999999998</v>
      </c>
      <c r="AE153" s="123">
        <f t="shared" si="47"/>
        <v>2.0499999999999998</v>
      </c>
      <c r="AF153" s="123">
        <f t="shared" si="47"/>
        <v>2.0499999999999998</v>
      </c>
      <c r="AG153" s="126">
        <v>4</v>
      </c>
      <c r="AH153" s="55"/>
      <c r="AI153" s="56"/>
      <c r="AK153" s="57"/>
    </row>
    <row r="154" spans="1:37" x14ac:dyDescent="0.25">
      <c r="A154" s="111" t="s">
        <v>158</v>
      </c>
      <c r="B154" s="123">
        <f>AF154</f>
        <v>2.7</v>
      </c>
      <c r="C154" s="124">
        <v>2.7</v>
      </c>
      <c r="D154" s="123">
        <f t="shared" si="46"/>
        <v>2.7</v>
      </c>
      <c r="E154" s="123">
        <f t="shared" si="46"/>
        <v>2.7</v>
      </c>
      <c r="F154" s="123">
        <f t="shared" si="46"/>
        <v>2.7</v>
      </c>
      <c r="G154" s="123">
        <f t="shared" si="46"/>
        <v>2.7</v>
      </c>
      <c r="H154" s="123">
        <f t="shared" si="46"/>
        <v>2.7</v>
      </c>
      <c r="I154" s="123">
        <f t="shared" si="46"/>
        <v>2.7</v>
      </c>
      <c r="J154" s="123">
        <f t="shared" si="46"/>
        <v>2.7</v>
      </c>
      <c r="K154" s="123">
        <f t="shared" si="46"/>
        <v>2.7</v>
      </c>
      <c r="L154" s="123">
        <f t="shared" si="46"/>
        <v>2.7</v>
      </c>
      <c r="M154" s="123">
        <f t="shared" si="46"/>
        <v>2.7</v>
      </c>
      <c r="N154" s="123">
        <f t="shared" si="46"/>
        <v>2.7</v>
      </c>
      <c r="O154" s="123">
        <f t="shared" si="46"/>
        <v>2.7</v>
      </c>
      <c r="P154" s="123">
        <f t="shared" si="46"/>
        <v>2.7</v>
      </c>
      <c r="Q154" s="123">
        <f t="shared" si="46"/>
        <v>2.7</v>
      </c>
      <c r="R154" s="123">
        <f t="shared" si="46"/>
        <v>2.7</v>
      </c>
      <c r="S154" s="123">
        <f t="shared" si="46"/>
        <v>2.7</v>
      </c>
      <c r="T154" s="123">
        <f t="shared" si="47"/>
        <v>2.7</v>
      </c>
      <c r="U154" s="123">
        <f t="shared" si="47"/>
        <v>2.7</v>
      </c>
      <c r="V154" s="123">
        <f t="shared" si="47"/>
        <v>2.7</v>
      </c>
      <c r="W154" s="123">
        <f t="shared" si="47"/>
        <v>2.7</v>
      </c>
      <c r="X154" s="123">
        <f t="shared" si="47"/>
        <v>2.7</v>
      </c>
      <c r="Y154" s="123">
        <f t="shared" si="47"/>
        <v>2.7</v>
      </c>
      <c r="Z154" s="123">
        <f t="shared" si="47"/>
        <v>2.7</v>
      </c>
      <c r="AA154" s="123">
        <f t="shared" si="47"/>
        <v>2.7</v>
      </c>
      <c r="AB154" s="123">
        <f t="shared" si="47"/>
        <v>2.7</v>
      </c>
      <c r="AC154" s="123">
        <f t="shared" si="47"/>
        <v>2.7</v>
      </c>
      <c r="AD154" s="123">
        <f t="shared" si="47"/>
        <v>2.7</v>
      </c>
      <c r="AE154" s="123">
        <f t="shared" si="47"/>
        <v>2.7</v>
      </c>
      <c r="AF154" s="123">
        <f t="shared" si="47"/>
        <v>2.7</v>
      </c>
      <c r="AG154" s="126">
        <v>4</v>
      </c>
      <c r="AH154" s="55"/>
      <c r="AI154" s="56"/>
      <c r="AK154" s="57"/>
    </row>
    <row r="155" spans="1:37" x14ac:dyDescent="0.25">
      <c r="A155" s="111" t="s">
        <v>159</v>
      </c>
      <c r="B155" s="123">
        <f>AF155</f>
        <v>2.15</v>
      </c>
      <c r="C155" s="124">
        <v>2.15</v>
      </c>
      <c r="D155" s="123">
        <f t="shared" si="46"/>
        <v>2.15</v>
      </c>
      <c r="E155" s="123">
        <f t="shared" si="46"/>
        <v>2.15</v>
      </c>
      <c r="F155" s="123">
        <f t="shared" si="46"/>
        <v>2.15</v>
      </c>
      <c r="G155" s="123">
        <f t="shared" si="46"/>
        <v>2.15</v>
      </c>
      <c r="H155" s="123">
        <f t="shared" si="46"/>
        <v>2.15</v>
      </c>
      <c r="I155" s="123">
        <f t="shared" si="46"/>
        <v>2.15</v>
      </c>
      <c r="J155" s="123">
        <f t="shared" si="46"/>
        <v>2.15</v>
      </c>
      <c r="K155" s="123">
        <f t="shared" si="46"/>
        <v>2.15</v>
      </c>
      <c r="L155" s="123">
        <f t="shared" si="46"/>
        <v>2.15</v>
      </c>
      <c r="M155" s="123">
        <f t="shared" si="46"/>
        <v>2.15</v>
      </c>
      <c r="N155" s="123">
        <f t="shared" si="46"/>
        <v>2.15</v>
      </c>
      <c r="O155" s="123">
        <f t="shared" si="46"/>
        <v>2.15</v>
      </c>
      <c r="P155" s="123">
        <f t="shared" si="46"/>
        <v>2.15</v>
      </c>
      <c r="Q155" s="123">
        <f t="shared" si="46"/>
        <v>2.15</v>
      </c>
      <c r="R155" s="123">
        <f t="shared" si="46"/>
        <v>2.15</v>
      </c>
      <c r="S155" s="123">
        <f t="shared" si="46"/>
        <v>2.15</v>
      </c>
      <c r="T155" s="123">
        <f t="shared" si="47"/>
        <v>2.15</v>
      </c>
      <c r="U155" s="123">
        <f t="shared" si="47"/>
        <v>2.15</v>
      </c>
      <c r="V155" s="123">
        <f t="shared" si="47"/>
        <v>2.15</v>
      </c>
      <c r="W155" s="123">
        <f t="shared" si="47"/>
        <v>2.15</v>
      </c>
      <c r="X155" s="123">
        <f t="shared" si="47"/>
        <v>2.15</v>
      </c>
      <c r="Y155" s="123">
        <f t="shared" si="47"/>
        <v>2.15</v>
      </c>
      <c r="Z155" s="123">
        <f t="shared" si="47"/>
        <v>2.15</v>
      </c>
      <c r="AA155" s="123">
        <f t="shared" si="47"/>
        <v>2.15</v>
      </c>
      <c r="AB155" s="123">
        <f t="shared" si="47"/>
        <v>2.15</v>
      </c>
      <c r="AC155" s="123">
        <f t="shared" si="47"/>
        <v>2.15</v>
      </c>
      <c r="AD155" s="123">
        <f t="shared" si="47"/>
        <v>2.15</v>
      </c>
      <c r="AE155" s="123">
        <f t="shared" si="47"/>
        <v>2.15</v>
      </c>
      <c r="AF155" s="123">
        <f t="shared" si="47"/>
        <v>2.15</v>
      </c>
      <c r="AG155" s="126">
        <v>4</v>
      </c>
      <c r="AH155" s="55"/>
      <c r="AI155" s="56"/>
      <c r="AK155" s="57"/>
    </row>
    <row r="156" spans="1:37" x14ac:dyDescent="0.25">
      <c r="A156" s="111" t="s">
        <v>160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5"/>
      <c r="AI156" s="56"/>
      <c r="AK156" s="57"/>
    </row>
    <row r="157" spans="1:37" x14ac:dyDescent="0.25">
      <c r="A157" s="111" t="s">
        <v>161</v>
      </c>
      <c r="B157" s="123">
        <f t="shared" ref="B157:B169" si="48">AF157</f>
        <v>0.9</v>
      </c>
      <c r="C157" s="124">
        <v>0.9</v>
      </c>
      <c r="D157" s="123">
        <f t="shared" ref="D157:S169" si="49">C157</f>
        <v>0.9</v>
      </c>
      <c r="E157" s="123">
        <f t="shared" si="49"/>
        <v>0.9</v>
      </c>
      <c r="F157" s="123">
        <f t="shared" si="49"/>
        <v>0.9</v>
      </c>
      <c r="G157" s="123">
        <f t="shared" si="49"/>
        <v>0.9</v>
      </c>
      <c r="H157" s="123">
        <f t="shared" si="49"/>
        <v>0.9</v>
      </c>
      <c r="I157" s="123">
        <f t="shared" si="49"/>
        <v>0.9</v>
      </c>
      <c r="J157" s="123">
        <f t="shared" si="49"/>
        <v>0.9</v>
      </c>
      <c r="K157" s="123">
        <f t="shared" si="49"/>
        <v>0.9</v>
      </c>
      <c r="L157" s="123">
        <f t="shared" si="49"/>
        <v>0.9</v>
      </c>
      <c r="M157" s="123">
        <f t="shared" si="49"/>
        <v>0.9</v>
      </c>
      <c r="N157" s="123">
        <f t="shared" si="49"/>
        <v>0.9</v>
      </c>
      <c r="O157" s="123">
        <f t="shared" si="49"/>
        <v>0.9</v>
      </c>
      <c r="P157" s="123">
        <f t="shared" si="49"/>
        <v>0.9</v>
      </c>
      <c r="Q157" s="123">
        <f t="shared" si="49"/>
        <v>0.9</v>
      </c>
      <c r="R157" s="123">
        <f t="shared" si="49"/>
        <v>0.9</v>
      </c>
      <c r="S157" s="123">
        <f t="shared" si="49"/>
        <v>0.9</v>
      </c>
      <c r="T157" s="123">
        <f t="shared" ref="S157:AF169" si="50">S157</f>
        <v>0.9</v>
      </c>
      <c r="U157" s="123">
        <f t="shared" si="50"/>
        <v>0.9</v>
      </c>
      <c r="V157" s="123">
        <f t="shared" si="50"/>
        <v>0.9</v>
      </c>
      <c r="W157" s="123">
        <f t="shared" si="50"/>
        <v>0.9</v>
      </c>
      <c r="X157" s="123">
        <f t="shared" si="50"/>
        <v>0.9</v>
      </c>
      <c r="Y157" s="123">
        <f t="shared" si="50"/>
        <v>0.9</v>
      </c>
      <c r="Z157" s="123">
        <f t="shared" si="50"/>
        <v>0.9</v>
      </c>
      <c r="AA157" s="123">
        <f t="shared" si="50"/>
        <v>0.9</v>
      </c>
      <c r="AB157" s="123">
        <f t="shared" si="50"/>
        <v>0.9</v>
      </c>
      <c r="AC157" s="123">
        <f t="shared" si="50"/>
        <v>0.9</v>
      </c>
      <c r="AD157" s="123">
        <f t="shared" si="50"/>
        <v>0.9</v>
      </c>
      <c r="AE157" s="123">
        <f t="shared" si="50"/>
        <v>0.9</v>
      </c>
      <c r="AF157" s="123">
        <f t="shared" si="50"/>
        <v>0.9</v>
      </c>
      <c r="AG157" s="126">
        <v>4</v>
      </c>
      <c r="AH157" s="55"/>
      <c r="AI157" s="56"/>
      <c r="AK157" s="57"/>
    </row>
    <row r="158" spans="1:37" x14ac:dyDescent="0.25">
      <c r="A158" s="111" t="s">
        <v>162</v>
      </c>
      <c r="B158" s="123">
        <f t="shared" si="48"/>
        <v>1.08</v>
      </c>
      <c r="C158" s="124">
        <v>1.08</v>
      </c>
      <c r="D158" s="123">
        <f t="shared" si="49"/>
        <v>1.08</v>
      </c>
      <c r="E158" s="123">
        <f t="shared" si="49"/>
        <v>1.08</v>
      </c>
      <c r="F158" s="123">
        <f t="shared" si="49"/>
        <v>1.08</v>
      </c>
      <c r="G158" s="123">
        <f t="shared" si="49"/>
        <v>1.08</v>
      </c>
      <c r="H158" s="123">
        <f t="shared" si="49"/>
        <v>1.08</v>
      </c>
      <c r="I158" s="123">
        <f t="shared" si="49"/>
        <v>1.08</v>
      </c>
      <c r="J158" s="123">
        <f t="shared" si="49"/>
        <v>1.08</v>
      </c>
      <c r="K158" s="123">
        <f t="shared" si="49"/>
        <v>1.08</v>
      </c>
      <c r="L158" s="123">
        <f t="shared" si="49"/>
        <v>1.08</v>
      </c>
      <c r="M158" s="123">
        <f t="shared" si="49"/>
        <v>1.08</v>
      </c>
      <c r="N158" s="123">
        <f t="shared" si="49"/>
        <v>1.08</v>
      </c>
      <c r="O158" s="123">
        <f t="shared" si="49"/>
        <v>1.08</v>
      </c>
      <c r="P158" s="123">
        <f t="shared" si="49"/>
        <v>1.08</v>
      </c>
      <c r="Q158" s="123">
        <f t="shared" si="49"/>
        <v>1.08</v>
      </c>
      <c r="R158" s="123">
        <f t="shared" si="49"/>
        <v>1.08</v>
      </c>
      <c r="S158" s="123">
        <f t="shared" si="49"/>
        <v>1.08</v>
      </c>
      <c r="T158" s="123">
        <f t="shared" si="50"/>
        <v>1.08</v>
      </c>
      <c r="U158" s="123">
        <f t="shared" si="50"/>
        <v>1.08</v>
      </c>
      <c r="V158" s="123">
        <f t="shared" si="50"/>
        <v>1.08</v>
      </c>
      <c r="W158" s="123">
        <f t="shared" si="50"/>
        <v>1.08</v>
      </c>
      <c r="X158" s="123">
        <f t="shared" si="50"/>
        <v>1.08</v>
      </c>
      <c r="Y158" s="123">
        <f t="shared" si="50"/>
        <v>1.08</v>
      </c>
      <c r="Z158" s="123">
        <f t="shared" si="50"/>
        <v>1.08</v>
      </c>
      <c r="AA158" s="123">
        <f t="shared" si="50"/>
        <v>1.08</v>
      </c>
      <c r="AB158" s="123">
        <f t="shared" si="50"/>
        <v>1.08</v>
      </c>
      <c r="AC158" s="123">
        <f t="shared" si="50"/>
        <v>1.08</v>
      </c>
      <c r="AD158" s="123">
        <f t="shared" si="50"/>
        <v>1.08</v>
      </c>
      <c r="AE158" s="123">
        <f t="shared" si="50"/>
        <v>1.08</v>
      </c>
      <c r="AF158" s="123">
        <f t="shared" si="50"/>
        <v>1.08</v>
      </c>
      <c r="AG158" s="126">
        <v>3.75</v>
      </c>
      <c r="AH158" s="55"/>
      <c r="AI158" s="56"/>
      <c r="AK158" s="57"/>
    </row>
    <row r="159" spans="1:37" x14ac:dyDescent="0.25">
      <c r="A159" s="111" t="s">
        <v>163</v>
      </c>
      <c r="B159" s="123">
        <f t="shared" si="48"/>
        <v>2.37</v>
      </c>
      <c r="C159" s="124">
        <v>2.37</v>
      </c>
      <c r="D159" s="123">
        <f t="shared" si="49"/>
        <v>2.37</v>
      </c>
      <c r="E159" s="123">
        <f t="shared" si="49"/>
        <v>2.37</v>
      </c>
      <c r="F159" s="123">
        <f t="shared" si="49"/>
        <v>2.37</v>
      </c>
      <c r="G159" s="123">
        <f t="shared" si="49"/>
        <v>2.37</v>
      </c>
      <c r="H159" s="123">
        <f t="shared" si="49"/>
        <v>2.37</v>
      </c>
      <c r="I159" s="123">
        <f t="shared" si="49"/>
        <v>2.37</v>
      </c>
      <c r="J159" s="123">
        <f t="shared" si="49"/>
        <v>2.37</v>
      </c>
      <c r="K159" s="123">
        <f t="shared" si="49"/>
        <v>2.37</v>
      </c>
      <c r="L159" s="123">
        <f t="shared" si="49"/>
        <v>2.37</v>
      </c>
      <c r="M159" s="123">
        <f t="shared" si="49"/>
        <v>2.37</v>
      </c>
      <c r="N159" s="123">
        <f t="shared" si="49"/>
        <v>2.37</v>
      </c>
      <c r="O159" s="123">
        <f t="shared" si="49"/>
        <v>2.37</v>
      </c>
      <c r="P159" s="123">
        <f t="shared" si="49"/>
        <v>2.37</v>
      </c>
      <c r="Q159" s="123">
        <f t="shared" si="49"/>
        <v>2.37</v>
      </c>
      <c r="R159" s="123">
        <f t="shared" si="49"/>
        <v>2.37</v>
      </c>
      <c r="S159" s="123">
        <f t="shared" si="49"/>
        <v>2.37</v>
      </c>
      <c r="T159" s="123">
        <f t="shared" si="50"/>
        <v>2.37</v>
      </c>
      <c r="U159" s="123">
        <f t="shared" si="50"/>
        <v>2.37</v>
      </c>
      <c r="V159" s="123">
        <f t="shared" si="50"/>
        <v>2.37</v>
      </c>
      <c r="W159" s="123">
        <f t="shared" si="50"/>
        <v>2.37</v>
      </c>
      <c r="X159" s="123">
        <f t="shared" si="50"/>
        <v>2.37</v>
      </c>
      <c r="Y159" s="123">
        <f t="shared" si="50"/>
        <v>2.37</v>
      </c>
      <c r="Z159" s="123">
        <f t="shared" si="50"/>
        <v>2.37</v>
      </c>
      <c r="AA159" s="123">
        <f t="shared" si="50"/>
        <v>2.37</v>
      </c>
      <c r="AB159" s="123">
        <f t="shared" si="50"/>
        <v>2.37</v>
      </c>
      <c r="AC159" s="123">
        <f t="shared" si="50"/>
        <v>2.37</v>
      </c>
      <c r="AD159" s="123">
        <f t="shared" si="50"/>
        <v>2.37</v>
      </c>
      <c r="AE159" s="123">
        <f t="shared" si="50"/>
        <v>2.37</v>
      </c>
      <c r="AF159" s="123">
        <f t="shared" si="50"/>
        <v>2.37</v>
      </c>
      <c r="AG159" s="126">
        <v>3.52</v>
      </c>
      <c r="AH159" s="55"/>
      <c r="AI159" s="56"/>
      <c r="AK159" s="57"/>
    </row>
    <row r="160" spans="1:37" x14ac:dyDescent="0.25">
      <c r="A160" s="111" t="s">
        <v>164</v>
      </c>
      <c r="B160" s="123">
        <f t="shared" si="48"/>
        <v>1.81</v>
      </c>
      <c r="C160" s="124">
        <v>1.81</v>
      </c>
      <c r="D160" s="123">
        <f t="shared" si="49"/>
        <v>1.81</v>
      </c>
      <c r="E160" s="123">
        <f t="shared" si="49"/>
        <v>1.81</v>
      </c>
      <c r="F160" s="123">
        <f t="shared" si="49"/>
        <v>1.81</v>
      </c>
      <c r="G160" s="123">
        <f t="shared" si="49"/>
        <v>1.81</v>
      </c>
      <c r="H160" s="123">
        <f t="shared" si="49"/>
        <v>1.81</v>
      </c>
      <c r="I160" s="123">
        <f t="shared" si="49"/>
        <v>1.81</v>
      </c>
      <c r="J160" s="123">
        <f t="shared" si="49"/>
        <v>1.81</v>
      </c>
      <c r="K160" s="123">
        <f t="shared" si="49"/>
        <v>1.81</v>
      </c>
      <c r="L160" s="123">
        <f t="shared" si="49"/>
        <v>1.81</v>
      </c>
      <c r="M160" s="123">
        <f t="shared" si="49"/>
        <v>1.81</v>
      </c>
      <c r="N160" s="123">
        <f t="shared" si="49"/>
        <v>1.81</v>
      </c>
      <c r="O160" s="123">
        <f t="shared" si="49"/>
        <v>1.81</v>
      </c>
      <c r="P160" s="123">
        <f t="shared" si="49"/>
        <v>1.81</v>
      </c>
      <c r="Q160" s="123">
        <f t="shared" si="49"/>
        <v>1.81</v>
      </c>
      <c r="R160" s="123">
        <f t="shared" si="49"/>
        <v>1.81</v>
      </c>
      <c r="S160" s="123">
        <f t="shared" si="49"/>
        <v>1.81</v>
      </c>
      <c r="T160" s="123">
        <f t="shared" si="50"/>
        <v>1.81</v>
      </c>
      <c r="U160" s="123">
        <f t="shared" si="50"/>
        <v>1.81</v>
      </c>
      <c r="V160" s="123">
        <f t="shared" si="50"/>
        <v>1.81</v>
      </c>
      <c r="W160" s="123">
        <f t="shared" si="50"/>
        <v>1.81</v>
      </c>
      <c r="X160" s="123">
        <f t="shared" si="50"/>
        <v>1.81</v>
      </c>
      <c r="Y160" s="123">
        <f t="shared" si="50"/>
        <v>1.81</v>
      </c>
      <c r="Z160" s="123">
        <f t="shared" si="50"/>
        <v>1.81</v>
      </c>
      <c r="AA160" s="123">
        <f t="shared" si="50"/>
        <v>1.81</v>
      </c>
      <c r="AB160" s="123">
        <f t="shared" si="50"/>
        <v>1.81</v>
      </c>
      <c r="AC160" s="123">
        <f t="shared" si="50"/>
        <v>1.81</v>
      </c>
      <c r="AD160" s="123">
        <f t="shared" si="50"/>
        <v>1.81</v>
      </c>
      <c r="AE160" s="123">
        <f t="shared" si="50"/>
        <v>1.81</v>
      </c>
      <c r="AF160" s="123">
        <f t="shared" si="50"/>
        <v>1.81</v>
      </c>
      <c r="AG160" s="126">
        <v>3.33</v>
      </c>
      <c r="AH160" s="55"/>
      <c r="AI160" s="56"/>
      <c r="AK160" s="57"/>
    </row>
    <row r="161" spans="1:37" x14ac:dyDescent="0.25">
      <c r="A161" s="111" t="s">
        <v>165</v>
      </c>
      <c r="B161" s="123">
        <f t="shared" si="48"/>
        <v>1.0900000000000001</v>
      </c>
      <c r="C161" s="124">
        <v>1.0900000000000001</v>
      </c>
      <c r="D161" s="123">
        <f t="shared" si="49"/>
        <v>1.0900000000000001</v>
      </c>
      <c r="E161" s="123">
        <f t="shared" si="49"/>
        <v>1.0900000000000001</v>
      </c>
      <c r="F161" s="123">
        <f t="shared" si="49"/>
        <v>1.0900000000000001</v>
      </c>
      <c r="G161" s="123">
        <f t="shared" si="49"/>
        <v>1.0900000000000001</v>
      </c>
      <c r="H161" s="123">
        <f t="shared" si="49"/>
        <v>1.0900000000000001</v>
      </c>
      <c r="I161" s="123">
        <f t="shared" si="49"/>
        <v>1.0900000000000001</v>
      </c>
      <c r="J161" s="123">
        <f t="shared" si="49"/>
        <v>1.0900000000000001</v>
      </c>
      <c r="K161" s="123">
        <f t="shared" si="49"/>
        <v>1.0900000000000001</v>
      </c>
      <c r="L161" s="123">
        <f t="shared" si="49"/>
        <v>1.0900000000000001</v>
      </c>
      <c r="M161" s="123">
        <f t="shared" si="49"/>
        <v>1.0900000000000001</v>
      </c>
      <c r="N161" s="123">
        <f t="shared" si="49"/>
        <v>1.0900000000000001</v>
      </c>
      <c r="O161" s="123">
        <f t="shared" si="49"/>
        <v>1.0900000000000001</v>
      </c>
      <c r="P161" s="123">
        <f t="shared" si="49"/>
        <v>1.0900000000000001</v>
      </c>
      <c r="Q161" s="123">
        <f t="shared" si="49"/>
        <v>1.0900000000000001</v>
      </c>
      <c r="R161" s="123">
        <f t="shared" si="49"/>
        <v>1.0900000000000001</v>
      </c>
      <c r="S161" s="123">
        <f t="shared" si="49"/>
        <v>1.0900000000000001</v>
      </c>
      <c r="T161" s="123">
        <f t="shared" si="50"/>
        <v>1.0900000000000001</v>
      </c>
      <c r="U161" s="123">
        <f t="shared" si="50"/>
        <v>1.0900000000000001</v>
      </c>
      <c r="V161" s="123">
        <f t="shared" si="50"/>
        <v>1.0900000000000001</v>
      </c>
      <c r="W161" s="123">
        <f t="shared" si="50"/>
        <v>1.0900000000000001</v>
      </c>
      <c r="X161" s="123">
        <f t="shared" si="50"/>
        <v>1.0900000000000001</v>
      </c>
      <c r="Y161" s="123">
        <f t="shared" si="50"/>
        <v>1.0900000000000001</v>
      </c>
      <c r="Z161" s="123">
        <f t="shared" si="50"/>
        <v>1.0900000000000001</v>
      </c>
      <c r="AA161" s="123">
        <f t="shared" si="50"/>
        <v>1.0900000000000001</v>
      </c>
      <c r="AB161" s="123">
        <f t="shared" si="50"/>
        <v>1.0900000000000001</v>
      </c>
      <c r="AC161" s="123">
        <f t="shared" si="50"/>
        <v>1.0900000000000001</v>
      </c>
      <c r="AD161" s="123">
        <f t="shared" si="50"/>
        <v>1.0900000000000001</v>
      </c>
      <c r="AE161" s="123">
        <f t="shared" si="50"/>
        <v>1.0900000000000001</v>
      </c>
      <c r="AF161" s="123">
        <f t="shared" si="50"/>
        <v>1.0900000000000001</v>
      </c>
      <c r="AG161" s="126">
        <v>3.2</v>
      </c>
      <c r="AH161" s="55"/>
      <c r="AI161" s="56"/>
      <c r="AK161" s="57"/>
    </row>
    <row r="162" spans="1:37" x14ac:dyDescent="0.25">
      <c r="A162" s="111" t="s">
        <v>166</v>
      </c>
      <c r="B162" s="123">
        <f t="shared" si="48"/>
        <v>1.58</v>
      </c>
      <c r="C162" s="124">
        <v>1.58</v>
      </c>
      <c r="D162" s="123">
        <f t="shared" si="49"/>
        <v>1.58</v>
      </c>
      <c r="E162" s="123">
        <f t="shared" si="49"/>
        <v>1.58</v>
      </c>
      <c r="F162" s="123">
        <f t="shared" si="49"/>
        <v>1.58</v>
      </c>
      <c r="G162" s="123">
        <f t="shared" si="49"/>
        <v>1.58</v>
      </c>
      <c r="H162" s="123">
        <f t="shared" si="49"/>
        <v>1.58</v>
      </c>
      <c r="I162" s="123">
        <f t="shared" si="49"/>
        <v>1.58</v>
      </c>
      <c r="J162" s="123">
        <f t="shared" si="49"/>
        <v>1.58</v>
      </c>
      <c r="K162" s="123">
        <f t="shared" si="49"/>
        <v>1.58</v>
      </c>
      <c r="L162" s="123">
        <f t="shared" si="49"/>
        <v>1.58</v>
      </c>
      <c r="M162" s="123">
        <f t="shared" si="49"/>
        <v>1.58</v>
      </c>
      <c r="N162" s="123">
        <f t="shared" si="49"/>
        <v>1.58</v>
      </c>
      <c r="O162" s="123">
        <f t="shared" si="49"/>
        <v>1.58</v>
      </c>
      <c r="P162" s="123">
        <f t="shared" si="49"/>
        <v>1.58</v>
      </c>
      <c r="Q162" s="123">
        <f t="shared" si="49"/>
        <v>1.58</v>
      </c>
      <c r="R162" s="123">
        <f t="shared" si="49"/>
        <v>1.58</v>
      </c>
      <c r="S162" s="123">
        <f t="shared" si="49"/>
        <v>1.58</v>
      </c>
      <c r="T162" s="123">
        <f t="shared" si="50"/>
        <v>1.58</v>
      </c>
      <c r="U162" s="123">
        <f t="shared" si="50"/>
        <v>1.58</v>
      </c>
      <c r="V162" s="123">
        <f t="shared" si="50"/>
        <v>1.58</v>
      </c>
      <c r="W162" s="123">
        <f t="shared" si="50"/>
        <v>1.58</v>
      </c>
      <c r="X162" s="123">
        <f t="shared" si="50"/>
        <v>1.58</v>
      </c>
      <c r="Y162" s="123">
        <f t="shared" si="50"/>
        <v>1.58</v>
      </c>
      <c r="Z162" s="123">
        <f t="shared" si="50"/>
        <v>1.58</v>
      </c>
      <c r="AA162" s="123">
        <f t="shared" si="50"/>
        <v>1.58</v>
      </c>
      <c r="AB162" s="123">
        <f t="shared" si="50"/>
        <v>1.58</v>
      </c>
      <c r="AC162" s="123">
        <f t="shared" si="50"/>
        <v>1.58</v>
      </c>
      <c r="AD162" s="123">
        <f t="shared" si="50"/>
        <v>1.58</v>
      </c>
      <c r="AE162" s="123">
        <f t="shared" si="50"/>
        <v>1.58</v>
      </c>
      <c r="AF162" s="123">
        <f t="shared" si="50"/>
        <v>1.58</v>
      </c>
      <c r="AG162" s="126">
        <v>3</v>
      </c>
      <c r="AH162" s="55"/>
      <c r="AI162" s="56"/>
      <c r="AK162" s="57"/>
    </row>
    <row r="163" spans="1:37" x14ac:dyDescent="0.25">
      <c r="A163" s="111" t="s">
        <v>167</v>
      </c>
      <c r="B163" s="123">
        <f t="shared" si="48"/>
        <v>2</v>
      </c>
      <c r="C163" s="124">
        <v>2</v>
      </c>
      <c r="D163" s="123">
        <f t="shared" si="49"/>
        <v>2</v>
      </c>
      <c r="E163" s="123">
        <f t="shared" si="49"/>
        <v>2</v>
      </c>
      <c r="F163" s="123">
        <f t="shared" si="49"/>
        <v>2</v>
      </c>
      <c r="G163" s="123">
        <f t="shared" si="49"/>
        <v>2</v>
      </c>
      <c r="H163" s="123">
        <f t="shared" si="49"/>
        <v>2</v>
      </c>
      <c r="I163" s="123">
        <f t="shared" si="49"/>
        <v>2</v>
      </c>
      <c r="J163" s="123">
        <f t="shared" si="49"/>
        <v>2</v>
      </c>
      <c r="K163" s="123">
        <f t="shared" si="49"/>
        <v>2</v>
      </c>
      <c r="L163" s="123">
        <f t="shared" si="49"/>
        <v>2</v>
      </c>
      <c r="M163" s="123">
        <f t="shared" si="49"/>
        <v>2</v>
      </c>
      <c r="N163" s="123">
        <f t="shared" si="49"/>
        <v>2</v>
      </c>
      <c r="O163" s="123">
        <f t="shared" si="49"/>
        <v>2</v>
      </c>
      <c r="P163" s="123">
        <f t="shared" si="49"/>
        <v>2</v>
      </c>
      <c r="Q163" s="123">
        <f t="shared" si="49"/>
        <v>2</v>
      </c>
      <c r="R163" s="123">
        <f t="shared" si="49"/>
        <v>2</v>
      </c>
      <c r="S163" s="123">
        <f t="shared" si="49"/>
        <v>2</v>
      </c>
      <c r="T163" s="123">
        <f t="shared" si="50"/>
        <v>2</v>
      </c>
      <c r="U163" s="123">
        <f t="shared" si="50"/>
        <v>2</v>
      </c>
      <c r="V163" s="123">
        <f t="shared" si="50"/>
        <v>2</v>
      </c>
      <c r="W163" s="123">
        <f t="shared" si="50"/>
        <v>2</v>
      </c>
      <c r="X163" s="123">
        <f t="shared" si="50"/>
        <v>2</v>
      </c>
      <c r="Y163" s="123">
        <f t="shared" si="50"/>
        <v>2</v>
      </c>
      <c r="Z163" s="123">
        <f t="shared" si="50"/>
        <v>2</v>
      </c>
      <c r="AA163" s="123">
        <f t="shared" si="50"/>
        <v>2</v>
      </c>
      <c r="AB163" s="123">
        <f t="shared" si="50"/>
        <v>2</v>
      </c>
      <c r="AC163" s="123">
        <f t="shared" si="50"/>
        <v>2</v>
      </c>
      <c r="AD163" s="123">
        <f t="shared" si="50"/>
        <v>2</v>
      </c>
      <c r="AE163" s="123">
        <f t="shared" si="50"/>
        <v>2</v>
      </c>
      <c r="AF163" s="123">
        <f t="shared" si="50"/>
        <v>2</v>
      </c>
      <c r="AG163" s="126">
        <v>3</v>
      </c>
      <c r="AH163" s="55"/>
      <c r="AI163" s="56"/>
      <c r="AK163" s="57"/>
    </row>
    <row r="164" spans="1:37" x14ac:dyDescent="0.25">
      <c r="A164" s="111" t="s">
        <v>168</v>
      </c>
      <c r="B164" s="123">
        <f t="shared" si="48"/>
        <v>0.47</v>
      </c>
      <c r="C164" s="124">
        <v>0.47</v>
      </c>
      <c r="D164" s="123">
        <f t="shared" si="49"/>
        <v>0.47</v>
      </c>
      <c r="E164" s="123">
        <f t="shared" si="49"/>
        <v>0.47</v>
      </c>
      <c r="F164" s="123">
        <f t="shared" si="49"/>
        <v>0.47</v>
      </c>
      <c r="G164" s="123">
        <f t="shared" si="49"/>
        <v>0.47</v>
      </c>
      <c r="H164" s="123">
        <f t="shared" si="49"/>
        <v>0.47</v>
      </c>
      <c r="I164" s="123">
        <f t="shared" si="49"/>
        <v>0.47</v>
      </c>
      <c r="J164" s="123">
        <f t="shared" si="49"/>
        <v>0.47</v>
      </c>
      <c r="K164" s="123">
        <f t="shared" si="49"/>
        <v>0.47</v>
      </c>
      <c r="L164" s="123">
        <f t="shared" si="49"/>
        <v>0.47</v>
      </c>
      <c r="M164" s="123">
        <f t="shared" si="49"/>
        <v>0.47</v>
      </c>
      <c r="N164" s="123">
        <f t="shared" si="49"/>
        <v>0.47</v>
      </c>
      <c r="O164" s="123">
        <f t="shared" si="49"/>
        <v>0.47</v>
      </c>
      <c r="P164" s="123">
        <f t="shared" si="49"/>
        <v>0.47</v>
      </c>
      <c r="Q164" s="123">
        <f t="shared" si="49"/>
        <v>0.47</v>
      </c>
      <c r="R164" s="123">
        <f t="shared" si="49"/>
        <v>0.47</v>
      </c>
      <c r="S164" s="123">
        <f t="shared" si="49"/>
        <v>0.47</v>
      </c>
      <c r="T164" s="123">
        <f t="shared" si="50"/>
        <v>0.47</v>
      </c>
      <c r="U164" s="123">
        <f t="shared" si="50"/>
        <v>0.47</v>
      </c>
      <c r="V164" s="123">
        <f t="shared" si="50"/>
        <v>0.47</v>
      </c>
      <c r="W164" s="123">
        <f t="shared" si="50"/>
        <v>0.47</v>
      </c>
      <c r="X164" s="123">
        <f t="shared" si="50"/>
        <v>0.47</v>
      </c>
      <c r="Y164" s="123">
        <f t="shared" si="50"/>
        <v>0.47</v>
      </c>
      <c r="Z164" s="123">
        <f t="shared" si="50"/>
        <v>0.47</v>
      </c>
      <c r="AA164" s="123">
        <f t="shared" si="50"/>
        <v>0.47</v>
      </c>
      <c r="AB164" s="123">
        <f t="shared" si="50"/>
        <v>0.47</v>
      </c>
      <c r="AC164" s="123">
        <f t="shared" si="50"/>
        <v>0.47</v>
      </c>
      <c r="AD164" s="123">
        <f t="shared" si="50"/>
        <v>0.47</v>
      </c>
      <c r="AE164" s="123">
        <f t="shared" si="50"/>
        <v>0.47</v>
      </c>
      <c r="AF164" s="123">
        <f t="shared" si="50"/>
        <v>0.47</v>
      </c>
      <c r="AG164" s="126">
        <v>3</v>
      </c>
      <c r="AH164" s="55"/>
      <c r="AI164" s="56"/>
      <c r="AK164" s="57"/>
    </row>
    <row r="165" spans="1:37" x14ac:dyDescent="0.25">
      <c r="A165" s="111" t="s">
        <v>169</v>
      </c>
      <c r="B165" s="123">
        <f t="shared" si="48"/>
        <v>0</v>
      </c>
      <c r="C165" s="124">
        <v>0</v>
      </c>
      <c r="D165" s="123">
        <f t="shared" si="49"/>
        <v>0</v>
      </c>
      <c r="E165" s="123">
        <f t="shared" si="49"/>
        <v>0</v>
      </c>
      <c r="F165" s="123">
        <f t="shared" si="49"/>
        <v>0</v>
      </c>
      <c r="G165" s="123">
        <f t="shared" si="49"/>
        <v>0</v>
      </c>
      <c r="H165" s="123">
        <f t="shared" si="49"/>
        <v>0</v>
      </c>
      <c r="I165" s="123">
        <f t="shared" si="49"/>
        <v>0</v>
      </c>
      <c r="J165" s="123">
        <f t="shared" si="49"/>
        <v>0</v>
      </c>
      <c r="K165" s="123">
        <f t="shared" si="49"/>
        <v>0</v>
      </c>
      <c r="L165" s="123">
        <f t="shared" si="49"/>
        <v>0</v>
      </c>
      <c r="M165" s="123">
        <f t="shared" si="49"/>
        <v>0</v>
      </c>
      <c r="N165" s="123">
        <f t="shared" si="49"/>
        <v>0</v>
      </c>
      <c r="O165" s="123">
        <f t="shared" si="49"/>
        <v>0</v>
      </c>
      <c r="P165" s="123">
        <f t="shared" si="49"/>
        <v>0</v>
      </c>
      <c r="Q165" s="123">
        <f t="shared" si="49"/>
        <v>0</v>
      </c>
      <c r="R165" s="123">
        <f t="shared" si="49"/>
        <v>0</v>
      </c>
      <c r="S165" s="123">
        <f t="shared" si="49"/>
        <v>0</v>
      </c>
      <c r="T165" s="123">
        <f t="shared" si="50"/>
        <v>0</v>
      </c>
      <c r="U165" s="123">
        <f t="shared" si="50"/>
        <v>0</v>
      </c>
      <c r="V165" s="123">
        <f t="shared" si="50"/>
        <v>0</v>
      </c>
      <c r="W165" s="123">
        <f t="shared" si="50"/>
        <v>0</v>
      </c>
      <c r="X165" s="123">
        <f t="shared" si="50"/>
        <v>0</v>
      </c>
      <c r="Y165" s="123">
        <f t="shared" si="50"/>
        <v>0</v>
      </c>
      <c r="Z165" s="123">
        <f t="shared" si="50"/>
        <v>0</v>
      </c>
      <c r="AA165" s="123">
        <f t="shared" si="50"/>
        <v>0</v>
      </c>
      <c r="AB165" s="123">
        <f t="shared" si="50"/>
        <v>0</v>
      </c>
      <c r="AC165" s="123">
        <f t="shared" si="50"/>
        <v>0</v>
      </c>
      <c r="AD165" s="123">
        <f t="shared" si="50"/>
        <v>0</v>
      </c>
      <c r="AE165" s="123">
        <f t="shared" si="50"/>
        <v>0</v>
      </c>
      <c r="AF165" s="123">
        <f t="shared" si="50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170</v>
      </c>
      <c r="B166" s="123">
        <f t="shared" si="48"/>
        <v>0</v>
      </c>
      <c r="C166" s="124">
        <v>0</v>
      </c>
      <c r="D166" s="123">
        <f t="shared" si="49"/>
        <v>0</v>
      </c>
      <c r="E166" s="123">
        <f t="shared" si="49"/>
        <v>0</v>
      </c>
      <c r="F166" s="123">
        <f t="shared" si="49"/>
        <v>0</v>
      </c>
      <c r="G166" s="123">
        <f t="shared" si="49"/>
        <v>0</v>
      </c>
      <c r="H166" s="123">
        <f t="shared" si="49"/>
        <v>0</v>
      </c>
      <c r="I166" s="123">
        <f t="shared" si="49"/>
        <v>0</v>
      </c>
      <c r="J166" s="123">
        <f t="shared" si="49"/>
        <v>0</v>
      </c>
      <c r="K166" s="123">
        <f t="shared" si="49"/>
        <v>0</v>
      </c>
      <c r="L166" s="123">
        <f t="shared" si="49"/>
        <v>0</v>
      </c>
      <c r="M166" s="123">
        <f t="shared" si="49"/>
        <v>0</v>
      </c>
      <c r="N166" s="123">
        <f t="shared" si="49"/>
        <v>0</v>
      </c>
      <c r="O166" s="123">
        <f t="shared" si="49"/>
        <v>0</v>
      </c>
      <c r="P166" s="123">
        <f t="shared" si="49"/>
        <v>0</v>
      </c>
      <c r="Q166" s="123">
        <f t="shared" si="49"/>
        <v>0</v>
      </c>
      <c r="R166" s="123">
        <f t="shared" si="49"/>
        <v>0</v>
      </c>
      <c r="S166" s="123">
        <f t="shared" si="50"/>
        <v>0</v>
      </c>
      <c r="T166" s="123">
        <f t="shared" si="50"/>
        <v>0</v>
      </c>
      <c r="U166" s="123">
        <f t="shared" si="50"/>
        <v>0</v>
      </c>
      <c r="V166" s="123">
        <f t="shared" si="50"/>
        <v>0</v>
      </c>
      <c r="W166" s="123">
        <f t="shared" si="50"/>
        <v>0</v>
      </c>
      <c r="X166" s="123">
        <f t="shared" si="50"/>
        <v>0</v>
      </c>
      <c r="Y166" s="123">
        <f t="shared" si="50"/>
        <v>0</v>
      </c>
      <c r="Z166" s="123">
        <f t="shared" si="50"/>
        <v>0</v>
      </c>
      <c r="AA166" s="123">
        <f t="shared" si="50"/>
        <v>0</v>
      </c>
      <c r="AB166" s="123">
        <f t="shared" si="50"/>
        <v>0</v>
      </c>
      <c r="AC166" s="123">
        <f t="shared" si="50"/>
        <v>0</v>
      </c>
      <c r="AD166" s="123">
        <f t="shared" si="50"/>
        <v>0</v>
      </c>
      <c r="AE166" s="123">
        <f t="shared" si="50"/>
        <v>0</v>
      </c>
      <c r="AF166" s="123">
        <f t="shared" si="50"/>
        <v>0</v>
      </c>
      <c r="AG166" s="126">
        <v>3</v>
      </c>
      <c r="AH166" s="55"/>
      <c r="AI166" s="56"/>
      <c r="AK166" s="57"/>
    </row>
    <row r="167" spans="1:37" x14ac:dyDescent="0.25">
      <c r="A167" s="111" t="s">
        <v>171</v>
      </c>
      <c r="B167" s="123">
        <f t="shared" si="48"/>
        <v>0.8</v>
      </c>
      <c r="C167" s="124">
        <v>0.8</v>
      </c>
      <c r="D167" s="123">
        <f t="shared" si="49"/>
        <v>0.8</v>
      </c>
      <c r="E167" s="123">
        <f t="shared" si="49"/>
        <v>0.8</v>
      </c>
      <c r="F167" s="123">
        <f t="shared" si="49"/>
        <v>0.8</v>
      </c>
      <c r="G167" s="123">
        <f t="shared" si="49"/>
        <v>0.8</v>
      </c>
      <c r="H167" s="123">
        <f t="shared" si="49"/>
        <v>0.8</v>
      </c>
      <c r="I167" s="123">
        <f t="shared" si="49"/>
        <v>0.8</v>
      </c>
      <c r="J167" s="123">
        <f t="shared" si="49"/>
        <v>0.8</v>
      </c>
      <c r="K167" s="123">
        <f t="shared" si="49"/>
        <v>0.8</v>
      </c>
      <c r="L167" s="123">
        <f t="shared" si="49"/>
        <v>0.8</v>
      </c>
      <c r="M167" s="123">
        <f t="shared" si="49"/>
        <v>0.8</v>
      </c>
      <c r="N167" s="123">
        <f t="shared" si="49"/>
        <v>0.8</v>
      </c>
      <c r="O167" s="123">
        <f t="shared" si="49"/>
        <v>0.8</v>
      </c>
      <c r="P167" s="123">
        <f t="shared" si="49"/>
        <v>0.8</v>
      </c>
      <c r="Q167" s="123">
        <f t="shared" si="49"/>
        <v>0.8</v>
      </c>
      <c r="R167" s="123">
        <f t="shared" si="49"/>
        <v>0.8</v>
      </c>
      <c r="S167" s="123">
        <f t="shared" si="50"/>
        <v>0.8</v>
      </c>
      <c r="T167" s="123">
        <f t="shared" si="50"/>
        <v>0.8</v>
      </c>
      <c r="U167" s="123">
        <f t="shared" si="50"/>
        <v>0.8</v>
      </c>
      <c r="V167" s="123">
        <f t="shared" si="50"/>
        <v>0.8</v>
      </c>
      <c r="W167" s="123">
        <f t="shared" si="50"/>
        <v>0.8</v>
      </c>
      <c r="X167" s="123">
        <f t="shared" si="50"/>
        <v>0.8</v>
      </c>
      <c r="Y167" s="123">
        <f t="shared" si="50"/>
        <v>0.8</v>
      </c>
      <c r="Z167" s="123">
        <f t="shared" si="50"/>
        <v>0.8</v>
      </c>
      <c r="AA167" s="123">
        <f t="shared" si="50"/>
        <v>0.8</v>
      </c>
      <c r="AB167" s="123">
        <f t="shared" si="50"/>
        <v>0.8</v>
      </c>
      <c r="AC167" s="123">
        <f t="shared" si="50"/>
        <v>0.8</v>
      </c>
      <c r="AD167" s="123">
        <f t="shared" si="50"/>
        <v>0.8</v>
      </c>
      <c r="AE167" s="123">
        <f t="shared" si="50"/>
        <v>0.8</v>
      </c>
      <c r="AF167" s="123">
        <f t="shared" si="50"/>
        <v>0.8</v>
      </c>
      <c r="AG167" s="126">
        <v>3</v>
      </c>
      <c r="AH167" s="55"/>
      <c r="AI167" s="56"/>
      <c r="AK167" s="57"/>
    </row>
    <row r="168" spans="1:37" x14ac:dyDescent="0.25">
      <c r="A168" s="111" t="s">
        <v>172</v>
      </c>
      <c r="B168" s="123">
        <f t="shared" si="48"/>
        <v>1.5</v>
      </c>
      <c r="C168" s="124">
        <v>1.5</v>
      </c>
      <c r="D168" s="123">
        <f t="shared" si="49"/>
        <v>1.5</v>
      </c>
      <c r="E168" s="123">
        <f t="shared" si="49"/>
        <v>1.5</v>
      </c>
      <c r="F168" s="123">
        <f t="shared" si="49"/>
        <v>1.5</v>
      </c>
      <c r="G168" s="123">
        <f t="shared" si="49"/>
        <v>1.5</v>
      </c>
      <c r="H168" s="123">
        <f t="shared" si="49"/>
        <v>1.5</v>
      </c>
      <c r="I168" s="123">
        <f t="shared" si="49"/>
        <v>1.5</v>
      </c>
      <c r="J168" s="123">
        <f t="shared" si="49"/>
        <v>1.5</v>
      </c>
      <c r="K168" s="123">
        <f t="shared" si="49"/>
        <v>1.5</v>
      </c>
      <c r="L168" s="123">
        <f t="shared" si="49"/>
        <v>1.5</v>
      </c>
      <c r="M168" s="123">
        <f t="shared" si="49"/>
        <v>1.5</v>
      </c>
      <c r="N168" s="123">
        <f t="shared" si="49"/>
        <v>1.5</v>
      </c>
      <c r="O168" s="123">
        <f t="shared" si="49"/>
        <v>1.5</v>
      </c>
      <c r="P168" s="123">
        <f t="shared" si="49"/>
        <v>1.5</v>
      </c>
      <c r="Q168" s="123">
        <f t="shared" si="49"/>
        <v>1.5</v>
      </c>
      <c r="R168" s="123">
        <f t="shared" si="49"/>
        <v>1.5</v>
      </c>
      <c r="S168" s="123">
        <f t="shared" si="50"/>
        <v>1.5</v>
      </c>
      <c r="T168" s="123">
        <f t="shared" si="50"/>
        <v>1.5</v>
      </c>
      <c r="U168" s="123">
        <f t="shared" si="50"/>
        <v>1.5</v>
      </c>
      <c r="V168" s="123">
        <f t="shared" si="50"/>
        <v>1.5</v>
      </c>
      <c r="W168" s="123">
        <f t="shared" si="50"/>
        <v>1.5</v>
      </c>
      <c r="X168" s="123">
        <f t="shared" si="50"/>
        <v>1.5</v>
      </c>
      <c r="Y168" s="123">
        <f t="shared" si="50"/>
        <v>1.5</v>
      </c>
      <c r="Z168" s="123">
        <f t="shared" si="50"/>
        <v>1.5</v>
      </c>
      <c r="AA168" s="123">
        <f t="shared" si="50"/>
        <v>1.5</v>
      </c>
      <c r="AB168" s="123">
        <f t="shared" si="50"/>
        <v>1.5</v>
      </c>
      <c r="AC168" s="123">
        <f t="shared" si="50"/>
        <v>1.5</v>
      </c>
      <c r="AD168" s="123">
        <f t="shared" si="50"/>
        <v>1.5</v>
      </c>
      <c r="AE168" s="123">
        <f t="shared" si="50"/>
        <v>1.5</v>
      </c>
      <c r="AF168" s="123">
        <f t="shared" si="50"/>
        <v>1.5</v>
      </c>
      <c r="AG168" s="126">
        <v>3</v>
      </c>
      <c r="AH168" s="55"/>
      <c r="AI168" s="56"/>
      <c r="AK168" s="57"/>
    </row>
    <row r="169" spans="1:37" x14ac:dyDescent="0.25">
      <c r="A169" s="111" t="s">
        <v>173</v>
      </c>
      <c r="B169" s="123">
        <f t="shared" si="48"/>
        <v>1</v>
      </c>
      <c r="C169" s="124">
        <v>1</v>
      </c>
      <c r="D169" s="123">
        <f t="shared" si="49"/>
        <v>1</v>
      </c>
      <c r="E169" s="123">
        <f t="shared" si="49"/>
        <v>1</v>
      </c>
      <c r="F169" s="123">
        <f t="shared" si="49"/>
        <v>1</v>
      </c>
      <c r="G169" s="123">
        <f t="shared" si="49"/>
        <v>1</v>
      </c>
      <c r="H169" s="123">
        <f t="shared" si="49"/>
        <v>1</v>
      </c>
      <c r="I169" s="123">
        <f t="shared" si="49"/>
        <v>1</v>
      </c>
      <c r="J169" s="123">
        <f t="shared" si="49"/>
        <v>1</v>
      </c>
      <c r="K169" s="123">
        <f t="shared" si="49"/>
        <v>1</v>
      </c>
      <c r="L169" s="123">
        <f t="shared" si="49"/>
        <v>1</v>
      </c>
      <c r="M169" s="123">
        <f t="shared" si="49"/>
        <v>1</v>
      </c>
      <c r="N169" s="123">
        <f t="shared" si="49"/>
        <v>1</v>
      </c>
      <c r="O169" s="123">
        <f t="shared" si="49"/>
        <v>1</v>
      </c>
      <c r="P169" s="123">
        <f t="shared" si="49"/>
        <v>1</v>
      </c>
      <c r="Q169" s="123">
        <f t="shared" si="49"/>
        <v>1</v>
      </c>
      <c r="R169" s="123">
        <f t="shared" si="49"/>
        <v>1</v>
      </c>
      <c r="S169" s="123">
        <f t="shared" si="50"/>
        <v>1</v>
      </c>
      <c r="T169" s="123">
        <f t="shared" si="50"/>
        <v>1</v>
      </c>
      <c r="U169" s="123">
        <f t="shared" si="50"/>
        <v>1</v>
      </c>
      <c r="V169" s="123">
        <f t="shared" si="50"/>
        <v>1</v>
      </c>
      <c r="W169" s="123">
        <f t="shared" si="50"/>
        <v>1</v>
      </c>
      <c r="X169" s="123">
        <f t="shared" si="50"/>
        <v>1</v>
      </c>
      <c r="Y169" s="123">
        <f t="shared" si="50"/>
        <v>1</v>
      </c>
      <c r="Z169" s="123">
        <f t="shared" si="50"/>
        <v>1</v>
      </c>
      <c r="AA169" s="123">
        <f t="shared" si="50"/>
        <v>1</v>
      </c>
      <c r="AB169" s="123">
        <f t="shared" si="50"/>
        <v>1</v>
      </c>
      <c r="AC169" s="123">
        <f t="shared" si="50"/>
        <v>1</v>
      </c>
      <c r="AD169" s="123">
        <f t="shared" si="50"/>
        <v>1</v>
      </c>
      <c r="AE169" s="123">
        <f t="shared" si="50"/>
        <v>1</v>
      </c>
      <c r="AF169" s="123">
        <f t="shared" si="50"/>
        <v>1</v>
      </c>
      <c r="AG169" s="126">
        <v>3</v>
      </c>
      <c r="AH169" s="55"/>
      <c r="AI169" s="56"/>
      <c r="AK169" s="57"/>
    </row>
    <row r="170" spans="1:37" x14ac:dyDescent="0.25">
      <c r="A170" s="111" t="s">
        <v>174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5"/>
      <c r="AI170" s="56"/>
      <c r="AK170" s="57"/>
    </row>
    <row r="171" spans="1:37" x14ac:dyDescent="0.25">
      <c r="A171" s="111" t="s">
        <v>175</v>
      </c>
      <c r="B171" s="123">
        <f t="shared" ref="B171:B178" si="51">AF171</f>
        <v>1</v>
      </c>
      <c r="C171" s="124">
        <v>1</v>
      </c>
      <c r="D171" s="123">
        <f t="shared" ref="D171:S178" si="52">C171</f>
        <v>1</v>
      </c>
      <c r="E171" s="123">
        <f t="shared" si="52"/>
        <v>1</v>
      </c>
      <c r="F171" s="123">
        <f t="shared" si="52"/>
        <v>1</v>
      </c>
      <c r="G171" s="123">
        <f t="shared" si="52"/>
        <v>1</v>
      </c>
      <c r="H171" s="123">
        <f t="shared" si="52"/>
        <v>1</v>
      </c>
      <c r="I171" s="123">
        <f t="shared" si="52"/>
        <v>1</v>
      </c>
      <c r="J171" s="123">
        <f t="shared" si="52"/>
        <v>1</v>
      </c>
      <c r="K171" s="123">
        <f t="shared" si="52"/>
        <v>1</v>
      </c>
      <c r="L171" s="123">
        <f t="shared" si="52"/>
        <v>1</v>
      </c>
      <c r="M171" s="123">
        <f t="shared" si="52"/>
        <v>1</v>
      </c>
      <c r="N171" s="123">
        <f t="shared" si="52"/>
        <v>1</v>
      </c>
      <c r="O171" s="123">
        <f t="shared" si="52"/>
        <v>1</v>
      </c>
      <c r="P171" s="123">
        <f t="shared" si="52"/>
        <v>1</v>
      </c>
      <c r="Q171" s="123">
        <f t="shared" si="52"/>
        <v>1</v>
      </c>
      <c r="R171" s="123">
        <f t="shared" si="52"/>
        <v>1</v>
      </c>
      <c r="S171" s="123">
        <f t="shared" si="52"/>
        <v>1</v>
      </c>
      <c r="T171" s="123">
        <f t="shared" ref="S171:AF178" si="53">S171</f>
        <v>1</v>
      </c>
      <c r="U171" s="123">
        <f t="shared" si="53"/>
        <v>1</v>
      </c>
      <c r="V171" s="123">
        <f t="shared" si="53"/>
        <v>1</v>
      </c>
      <c r="W171" s="123">
        <f t="shared" si="53"/>
        <v>1</v>
      </c>
      <c r="X171" s="123">
        <f t="shared" si="53"/>
        <v>1</v>
      </c>
      <c r="Y171" s="123">
        <f t="shared" si="53"/>
        <v>1</v>
      </c>
      <c r="Z171" s="123">
        <f t="shared" si="53"/>
        <v>1</v>
      </c>
      <c r="AA171" s="123">
        <f t="shared" si="53"/>
        <v>1</v>
      </c>
      <c r="AB171" s="123">
        <f t="shared" si="53"/>
        <v>1</v>
      </c>
      <c r="AC171" s="123">
        <f t="shared" si="53"/>
        <v>1</v>
      </c>
      <c r="AD171" s="123">
        <f t="shared" si="53"/>
        <v>1</v>
      </c>
      <c r="AE171" s="123">
        <f t="shared" si="53"/>
        <v>1</v>
      </c>
      <c r="AF171" s="123">
        <f t="shared" si="53"/>
        <v>1</v>
      </c>
      <c r="AG171" s="126">
        <v>2.5</v>
      </c>
      <c r="AH171" s="55"/>
      <c r="AI171" s="56"/>
      <c r="AK171" s="57"/>
    </row>
    <row r="172" spans="1:37" x14ac:dyDescent="0.25">
      <c r="A172" s="111" t="s">
        <v>176</v>
      </c>
      <c r="B172" s="123">
        <f t="shared" si="51"/>
        <v>0.42</v>
      </c>
      <c r="C172" s="124">
        <v>0.42</v>
      </c>
      <c r="D172" s="123">
        <f t="shared" si="52"/>
        <v>0.42</v>
      </c>
      <c r="E172" s="123">
        <f t="shared" si="52"/>
        <v>0.42</v>
      </c>
      <c r="F172" s="123">
        <f t="shared" si="52"/>
        <v>0.42</v>
      </c>
      <c r="G172" s="123">
        <f t="shared" si="52"/>
        <v>0.42</v>
      </c>
      <c r="H172" s="123">
        <f t="shared" si="52"/>
        <v>0.42</v>
      </c>
      <c r="I172" s="123">
        <f t="shared" si="52"/>
        <v>0.42</v>
      </c>
      <c r="J172" s="123">
        <f t="shared" si="52"/>
        <v>0.42</v>
      </c>
      <c r="K172" s="123">
        <f t="shared" si="52"/>
        <v>0.42</v>
      </c>
      <c r="L172" s="123">
        <f t="shared" si="52"/>
        <v>0.42</v>
      </c>
      <c r="M172" s="123">
        <f t="shared" si="52"/>
        <v>0.42</v>
      </c>
      <c r="N172" s="123">
        <f t="shared" si="52"/>
        <v>0.42</v>
      </c>
      <c r="O172" s="123">
        <f t="shared" si="52"/>
        <v>0.42</v>
      </c>
      <c r="P172" s="123">
        <f t="shared" si="52"/>
        <v>0.42</v>
      </c>
      <c r="Q172" s="123">
        <f t="shared" si="52"/>
        <v>0.42</v>
      </c>
      <c r="R172" s="123">
        <f t="shared" si="52"/>
        <v>0.42</v>
      </c>
      <c r="S172" s="123">
        <f t="shared" si="53"/>
        <v>0.42</v>
      </c>
      <c r="T172" s="123">
        <f t="shared" si="53"/>
        <v>0.42</v>
      </c>
      <c r="U172" s="123">
        <f t="shared" si="53"/>
        <v>0.42</v>
      </c>
      <c r="V172" s="123">
        <f t="shared" si="53"/>
        <v>0.42</v>
      </c>
      <c r="W172" s="123">
        <f t="shared" si="53"/>
        <v>0.42</v>
      </c>
      <c r="X172" s="123">
        <f t="shared" si="53"/>
        <v>0.42</v>
      </c>
      <c r="Y172" s="123">
        <f t="shared" si="53"/>
        <v>0.42</v>
      </c>
      <c r="Z172" s="123">
        <f t="shared" si="53"/>
        <v>0.42</v>
      </c>
      <c r="AA172" s="123">
        <f t="shared" si="53"/>
        <v>0.42</v>
      </c>
      <c r="AB172" s="123">
        <f t="shared" si="53"/>
        <v>0.42</v>
      </c>
      <c r="AC172" s="123">
        <f t="shared" si="53"/>
        <v>0.42</v>
      </c>
      <c r="AD172" s="123">
        <f t="shared" si="53"/>
        <v>0.42</v>
      </c>
      <c r="AE172" s="123">
        <f t="shared" si="53"/>
        <v>0.42</v>
      </c>
      <c r="AF172" s="123">
        <f t="shared" si="53"/>
        <v>0.42</v>
      </c>
      <c r="AG172" s="126">
        <v>2.5</v>
      </c>
      <c r="AH172" s="55"/>
      <c r="AI172" s="56"/>
      <c r="AK172" s="57"/>
    </row>
    <row r="173" spans="1:37" x14ac:dyDescent="0.25">
      <c r="A173" s="111" t="s">
        <v>177</v>
      </c>
      <c r="B173" s="123">
        <f t="shared" si="51"/>
        <v>0.46</v>
      </c>
      <c r="C173" s="124">
        <v>0.46</v>
      </c>
      <c r="D173" s="123">
        <f t="shared" si="52"/>
        <v>0.46</v>
      </c>
      <c r="E173" s="123">
        <f t="shared" si="52"/>
        <v>0.46</v>
      </c>
      <c r="F173" s="123">
        <f t="shared" si="52"/>
        <v>0.46</v>
      </c>
      <c r="G173" s="123">
        <f t="shared" si="52"/>
        <v>0.46</v>
      </c>
      <c r="H173" s="123">
        <f t="shared" si="52"/>
        <v>0.46</v>
      </c>
      <c r="I173" s="123">
        <f t="shared" si="52"/>
        <v>0.46</v>
      </c>
      <c r="J173" s="123">
        <f t="shared" si="52"/>
        <v>0.46</v>
      </c>
      <c r="K173" s="123">
        <f t="shared" si="52"/>
        <v>0.46</v>
      </c>
      <c r="L173" s="123">
        <f t="shared" si="52"/>
        <v>0.46</v>
      </c>
      <c r="M173" s="123">
        <f t="shared" si="52"/>
        <v>0.46</v>
      </c>
      <c r="N173" s="123">
        <f t="shared" si="52"/>
        <v>0.46</v>
      </c>
      <c r="O173" s="123">
        <f t="shared" si="52"/>
        <v>0.46</v>
      </c>
      <c r="P173" s="123">
        <f t="shared" si="52"/>
        <v>0.46</v>
      </c>
      <c r="Q173" s="123">
        <f t="shared" si="52"/>
        <v>0.46</v>
      </c>
      <c r="R173" s="123">
        <f t="shared" si="52"/>
        <v>0.46</v>
      </c>
      <c r="S173" s="123">
        <f t="shared" si="53"/>
        <v>0.46</v>
      </c>
      <c r="T173" s="123">
        <f t="shared" si="53"/>
        <v>0.46</v>
      </c>
      <c r="U173" s="123">
        <f t="shared" si="53"/>
        <v>0.46</v>
      </c>
      <c r="V173" s="123">
        <f t="shared" si="53"/>
        <v>0.46</v>
      </c>
      <c r="W173" s="123">
        <f t="shared" si="53"/>
        <v>0.46</v>
      </c>
      <c r="X173" s="123">
        <f t="shared" si="53"/>
        <v>0.46</v>
      </c>
      <c r="Y173" s="123">
        <f t="shared" si="53"/>
        <v>0.46</v>
      </c>
      <c r="Z173" s="123">
        <f t="shared" si="53"/>
        <v>0.46</v>
      </c>
      <c r="AA173" s="123">
        <f t="shared" si="53"/>
        <v>0.46</v>
      </c>
      <c r="AB173" s="123">
        <f t="shared" si="53"/>
        <v>0.46</v>
      </c>
      <c r="AC173" s="123">
        <f t="shared" si="53"/>
        <v>0.46</v>
      </c>
      <c r="AD173" s="123">
        <f t="shared" si="53"/>
        <v>0.46</v>
      </c>
      <c r="AE173" s="123">
        <f t="shared" si="53"/>
        <v>0.46</v>
      </c>
      <c r="AF173" s="123">
        <f t="shared" si="53"/>
        <v>0.46</v>
      </c>
      <c r="AG173" s="126">
        <v>2.4</v>
      </c>
      <c r="AH173" s="55"/>
      <c r="AI173" s="56"/>
      <c r="AK173" s="57"/>
    </row>
    <row r="174" spans="1:37" x14ac:dyDescent="0.25">
      <c r="A174" s="111" t="s">
        <v>178</v>
      </c>
      <c r="B174" s="123">
        <f t="shared" si="51"/>
        <v>0.85</v>
      </c>
      <c r="C174" s="124">
        <v>0.85</v>
      </c>
      <c r="D174" s="123">
        <f t="shared" si="52"/>
        <v>0.85</v>
      </c>
      <c r="E174" s="123">
        <f t="shared" si="52"/>
        <v>0.85</v>
      </c>
      <c r="F174" s="123">
        <f t="shared" si="52"/>
        <v>0.85</v>
      </c>
      <c r="G174" s="123">
        <f t="shared" si="52"/>
        <v>0.85</v>
      </c>
      <c r="H174" s="123">
        <f t="shared" si="52"/>
        <v>0.85</v>
      </c>
      <c r="I174" s="123">
        <f t="shared" si="52"/>
        <v>0.85</v>
      </c>
      <c r="J174" s="123">
        <f t="shared" si="52"/>
        <v>0.85</v>
      </c>
      <c r="K174" s="123">
        <f t="shared" si="52"/>
        <v>0.85</v>
      </c>
      <c r="L174" s="123">
        <f t="shared" si="52"/>
        <v>0.85</v>
      </c>
      <c r="M174" s="123">
        <f t="shared" si="52"/>
        <v>0.85</v>
      </c>
      <c r="N174" s="123">
        <f t="shared" si="52"/>
        <v>0.85</v>
      </c>
      <c r="O174" s="123">
        <f t="shared" si="52"/>
        <v>0.85</v>
      </c>
      <c r="P174" s="123">
        <f t="shared" si="52"/>
        <v>0.85</v>
      </c>
      <c r="Q174" s="123">
        <f t="shared" si="52"/>
        <v>0.85</v>
      </c>
      <c r="R174" s="123">
        <f t="shared" si="52"/>
        <v>0.85</v>
      </c>
      <c r="S174" s="123">
        <f t="shared" si="53"/>
        <v>0.85</v>
      </c>
      <c r="T174" s="123">
        <f t="shared" si="53"/>
        <v>0.85</v>
      </c>
      <c r="U174" s="123">
        <f t="shared" si="53"/>
        <v>0.85</v>
      </c>
      <c r="V174" s="123">
        <f t="shared" si="53"/>
        <v>0.85</v>
      </c>
      <c r="W174" s="123">
        <f t="shared" si="53"/>
        <v>0.85</v>
      </c>
      <c r="X174" s="123">
        <f t="shared" si="53"/>
        <v>0.85</v>
      </c>
      <c r="Y174" s="123">
        <f t="shared" si="53"/>
        <v>0.85</v>
      </c>
      <c r="Z174" s="123">
        <f t="shared" si="53"/>
        <v>0.85</v>
      </c>
      <c r="AA174" s="123">
        <f t="shared" si="53"/>
        <v>0.85</v>
      </c>
      <c r="AB174" s="123">
        <f t="shared" si="53"/>
        <v>0.85</v>
      </c>
      <c r="AC174" s="123">
        <f t="shared" si="53"/>
        <v>0.85</v>
      </c>
      <c r="AD174" s="123">
        <f t="shared" si="53"/>
        <v>0.85</v>
      </c>
      <c r="AE174" s="123">
        <f t="shared" si="53"/>
        <v>0.85</v>
      </c>
      <c r="AF174" s="123">
        <f t="shared" si="53"/>
        <v>0.85</v>
      </c>
      <c r="AG174" s="126">
        <v>2.4</v>
      </c>
      <c r="AH174" s="55"/>
      <c r="AI174" s="56"/>
      <c r="AK174" s="57"/>
    </row>
    <row r="175" spans="1:37" x14ac:dyDescent="0.25">
      <c r="A175" s="111" t="s">
        <v>179</v>
      </c>
      <c r="B175" s="123">
        <f t="shared" si="51"/>
        <v>0.9</v>
      </c>
      <c r="C175" s="124">
        <v>0.9</v>
      </c>
      <c r="D175" s="123">
        <f t="shared" si="52"/>
        <v>0.9</v>
      </c>
      <c r="E175" s="123">
        <f t="shared" si="52"/>
        <v>0.9</v>
      </c>
      <c r="F175" s="123">
        <f t="shared" si="52"/>
        <v>0.9</v>
      </c>
      <c r="G175" s="123">
        <f t="shared" si="52"/>
        <v>0.9</v>
      </c>
      <c r="H175" s="123">
        <f t="shared" si="52"/>
        <v>0.9</v>
      </c>
      <c r="I175" s="123">
        <f t="shared" si="52"/>
        <v>0.9</v>
      </c>
      <c r="J175" s="123">
        <f t="shared" si="52"/>
        <v>0.9</v>
      </c>
      <c r="K175" s="123">
        <f t="shared" si="52"/>
        <v>0.9</v>
      </c>
      <c r="L175" s="123">
        <f t="shared" si="52"/>
        <v>0.9</v>
      </c>
      <c r="M175" s="123">
        <f t="shared" si="52"/>
        <v>0.9</v>
      </c>
      <c r="N175" s="123">
        <f t="shared" si="52"/>
        <v>0.9</v>
      </c>
      <c r="O175" s="123">
        <f t="shared" si="52"/>
        <v>0.9</v>
      </c>
      <c r="P175" s="123">
        <f t="shared" si="52"/>
        <v>0.9</v>
      </c>
      <c r="Q175" s="123">
        <f t="shared" si="52"/>
        <v>0.9</v>
      </c>
      <c r="R175" s="123">
        <f t="shared" si="52"/>
        <v>0.9</v>
      </c>
      <c r="S175" s="123">
        <f t="shared" si="53"/>
        <v>0.9</v>
      </c>
      <c r="T175" s="123">
        <f t="shared" si="53"/>
        <v>0.9</v>
      </c>
      <c r="U175" s="123">
        <f t="shared" si="53"/>
        <v>0.9</v>
      </c>
      <c r="V175" s="123">
        <f t="shared" si="53"/>
        <v>0.9</v>
      </c>
      <c r="W175" s="123">
        <f t="shared" si="53"/>
        <v>0.9</v>
      </c>
      <c r="X175" s="123">
        <f t="shared" si="53"/>
        <v>0.9</v>
      </c>
      <c r="Y175" s="123">
        <f t="shared" si="53"/>
        <v>0.9</v>
      </c>
      <c r="Z175" s="123">
        <f t="shared" si="53"/>
        <v>0.9</v>
      </c>
      <c r="AA175" s="123">
        <f t="shared" si="53"/>
        <v>0.9</v>
      </c>
      <c r="AB175" s="123">
        <f t="shared" si="53"/>
        <v>0.9</v>
      </c>
      <c r="AC175" s="123">
        <f t="shared" si="53"/>
        <v>0.9</v>
      </c>
      <c r="AD175" s="123">
        <f t="shared" si="53"/>
        <v>0.9</v>
      </c>
      <c r="AE175" s="123">
        <f t="shared" si="53"/>
        <v>0.9</v>
      </c>
      <c r="AF175" s="123">
        <f t="shared" si="53"/>
        <v>0.9</v>
      </c>
      <c r="AG175" s="126">
        <v>2.2000000000000002</v>
      </c>
      <c r="AH175" s="55"/>
      <c r="AI175" s="56"/>
      <c r="AK175" s="57"/>
    </row>
    <row r="176" spans="1:37" x14ac:dyDescent="0.25">
      <c r="A176" s="111" t="s">
        <v>180</v>
      </c>
      <c r="B176" s="123">
        <f t="shared" si="51"/>
        <v>0.44</v>
      </c>
      <c r="C176" s="124">
        <v>0.44</v>
      </c>
      <c r="D176" s="123">
        <f t="shared" si="52"/>
        <v>0.44</v>
      </c>
      <c r="E176" s="123">
        <f t="shared" si="52"/>
        <v>0.44</v>
      </c>
      <c r="F176" s="123">
        <f t="shared" si="52"/>
        <v>0.44</v>
      </c>
      <c r="G176" s="123">
        <f t="shared" si="52"/>
        <v>0.44</v>
      </c>
      <c r="H176" s="123">
        <f t="shared" si="52"/>
        <v>0.44</v>
      </c>
      <c r="I176" s="123">
        <f t="shared" si="52"/>
        <v>0.44</v>
      </c>
      <c r="J176" s="123">
        <f t="shared" si="52"/>
        <v>0.44</v>
      </c>
      <c r="K176" s="123">
        <f t="shared" si="52"/>
        <v>0.44</v>
      </c>
      <c r="L176" s="123">
        <f t="shared" si="52"/>
        <v>0.44</v>
      </c>
      <c r="M176" s="123">
        <f t="shared" si="52"/>
        <v>0.44</v>
      </c>
      <c r="N176" s="123">
        <f t="shared" si="52"/>
        <v>0.44</v>
      </c>
      <c r="O176" s="123">
        <f t="shared" si="52"/>
        <v>0.44</v>
      </c>
      <c r="P176" s="123">
        <f t="shared" si="52"/>
        <v>0.44</v>
      </c>
      <c r="Q176" s="123">
        <f t="shared" si="52"/>
        <v>0.44</v>
      </c>
      <c r="R176" s="123">
        <f t="shared" si="52"/>
        <v>0.44</v>
      </c>
      <c r="S176" s="123">
        <f t="shared" si="53"/>
        <v>0.44</v>
      </c>
      <c r="T176" s="123">
        <f t="shared" si="53"/>
        <v>0.44</v>
      </c>
      <c r="U176" s="123">
        <f t="shared" si="53"/>
        <v>0.44</v>
      </c>
      <c r="V176" s="123">
        <f t="shared" si="53"/>
        <v>0.44</v>
      </c>
      <c r="W176" s="123">
        <f t="shared" si="53"/>
        <v>0.44</v>
      </c>
      <c r="X176" s="123">
        <f t="shared" si="53"/>
        <v>0.44</v>
      </c>
      <c r="Y176" s="123">
        <f t="shared" si="53"/>
        <v>0.44</v>
      </c>
      <c r="Z176" s="123">
        <f t="shared" si="53"/>
        <v>0.44</v>
      </c>
      <c r="AA176" s="123">
        <f t="shared" si="53"/>
        <v>0.44</v>
      </c>
      <c r="AB176" s="123">
        <f t="shared" si="53"/>
        <v>0.44</v>
      </c>
      <c r="AC176" s="123">
        <f t="shared" si="53"/>
        <v>0.44</v>
      </c>
      <c r="AD176" s="123">
        <f t="shared" si="53"/>
        <v>0.44</v>
      </c>
      <c r="AE176" s="123">
        <f t="shared" si="53"/>
        <v>0.44</v>
      </c>
      <c r="AF176" s="123">
        <f t="shared" si="53"/>
        <v>0.44</v>
      </c>
      <c r="AG176" s="126">
        <v>2</v>
      </c>
      <c r="AH176" s="55"/>
      <c r="AI176" s="56"/>
      <c r="AK176" s="57"/>
    </row>
    <row r="177" spans="1:37" x14ac:dyDescent="0.25">
      <c r="A177" s="111" t="s">
        <v>181</v>
      </c>
      <c r="B177" s="123">
        <f t="shared" si="51"/>
        <v>2.1</v>
      </c>
      <c r="C177" s="124">
        <v>2.1</v>
      </c>
      <c r="D177" s="123">
        <f t="shared" si="52"/>
        <v>2.1</v>
      </c>
      <c r="E177" s="123">
        <f t="shared" si="52"/>
        <v>2.1</v>
      </c>
      <c r="F177" s="123">
        <f t="shared" si="52"/>
        <v>2.1</v>
      </c>
      <c r="G177" s="123">
        <f t="shared" si="52"/>
        <v>2.1</v>
      </c>
      <c r="H177" s="123">
        <f t="shared" si="52"/>
        <v>2.1</v>
      </c>
      <c r="I177" s="123">
        <f t="shared" si="52"/>
        <v>2.1</v>
      </c>
      <c r="J177" s="123">
        <f t="shared" si="52"/>
        <v>2.1</v>
      </c>
      <c r="K177" s="123">
        <f t="shared" si="52"/>
        <v>2.1</v>
      </c>
      <c r="L177" s="123">
        <f t="shared" si="52"/>
        <v>2.1</v>
      </c>
      <c r="M177" s="123">
        <f t="shared" si="52"/>
        <v>2.1</v>
      </c>
      <c r="N177" s="123">
        <f t="shared" si="52"/>
        <v>2.1</v>
      </c>
      <c r="O177" s="123">
        <f t="shared" si="52"/>
        <v>2.1</v>
      </c>
      <c r="P177" s="123">
        <f t="shared" si="52"/>
        <v>2.1</v>
      </c>
      <c r="Q177" s="123">
        <f t="shared" si="52"/>
        <v>2.1</v>
      </c>
      <c r="R177" s="123">
        <f t="shared" si="52"/>
        <v>2.1</v>
      </c>
      <c r="S177" s="123">
        <f t="shared" si="53"/>
        <v>2.1</v>
      </c>
      <c r="T177" s="123">
        <f t="shared" si="53"/>
        <v>2.1</v>
      </c>
      <c r="U177" s="123">
        <f t="shared" si="53"/>
        <v>2.1</v>
      </c>
      <c r="V177" s="123">
        <f t="shared" si="53"/>
        <v>2.1</v>
      </c>
      <c r="W177" s="123">
        <f t="shared" si="53"/>
        <v>2.1</v>
      </c>
      <c r="X177" s="123">
        <f t="shared" si="53"/>
        <v>2.1</v>
      </c>
      <c r="Y177" s="123">
        <f t="shared" si="53"/>
        <v>2.1</v>
      </c>
      <c r="Z177" s="123">
        <f t="shared" si="53"/>
        <v>2.1</v>
      </c>
      <c r="AA177" s="123">
        <f t="shared" si="53"/>
        <v>2.1</v>
      </c>
      <c r="AB177" s="123">
        <f t="shared" si="53"/>
        <v>2.1</v>
      </c>
      <c r="AC177" s="123">
        <f t="shared" si="53"/>
        <v>2.1</v>
      </c>
      <c r="AD177" s="123">
        <f t="shared" si="53"/>
        <v>2.1</v>
      </c>
      <c r="AE177" s="123">
        <f t="shared" si="53"/>
        <v>2.1</v>
      </c>
      <c r="AF177" s="123">
        <f t="shared" si="53"/>
        <v>2.1</v>
      </c>
      <c r="AG177" s="126">
        <v>2</v>
      </c>
      <c r="AH177" s="55"/>
      <c r="AI177" s="56"/>
      <c r="AK177" s="57"/>
    </row>
    <row r="178" spans="1:37" x14ac:dyDescent="0.25">
      <c r="A178" s="111" t="s">
        <v>182</v>
      </c>
      <c r="B178" s="123">
        <f t="shared" si="51"/>
        <v>0.9</v>
      </c>
      <c r="C178" s="124">
        <v>0.9</v>
      </c>
      <c r="D178" s="123">
        <f t="shared" si="52"/>
        <v>0.9</v>
      </c>
      <c r="E178" s="123">
        <f t="shared" si="52"/>
        <v>0.9</v>
      </c>
      <c r="F178" s="123">
        <f t="shared" si="52"/>
        <v>0.9</v>
      </c>
      <c r="G178" s="123">
        <f t="shared" si="52"/>
        <v>0.9</v>
      </c>
      <c r="H178" s="123">
        <f t="shared" si="52"/>
        <v>0.9</v>
      </c>
      <c r="I178" s="123">
        <f t="shared" si="52"/>
        <v>0.9</v>
      </c>
      <c r="J178" s="123">
        <f t="shared" si="52"/>
        <v>0.9</v>
      </c>
      <c r="K178" s="123">
        <f t="shared" si="52"/>
        <v>0.9</v>
      </c>
      <c r="L178" s="123">
        <f t="shared" si="52"/>
        <v>0.9</v>
      </c>
      <c r="M178" s="123">
        <f t="shared" si="52"/>
        <v>0.9</v>
      </c>
      <c r="N178" s="123">
        <f t="shared" si="52"/>
        <v>0.9</v>
      </c>
      <c r="O178" s="123">
        <f t="shared" si="52"/>
        <v>0.9</v>
      </c>
      <c r="P178" s="123">
        <f t="shared" si="52"/>
        <v>0.9</v>
      </c>
      <c r="Q178" s="123">
        <f t="shared" si="52"/>
        <v>0.9</v>
      </c>
      <c r="R178" s="123">
        <f t="shared" si="52"/>
        <v>0.9</v>
      </c>
      <c r="S178" s="123">
        <f t="shared" si="53"/>
        <v>0.9</v>
      </c>
      <c r="T178" s="123">
        <f t="shared" si="53"/>
        <v>0.9</v>
      </c>
      <c r="U178" s="123">
        <f t="shared" si="53"/>
        <v>0.9</v>
      </c>
      <c r="V178" s="123">
        <f t="shared" si="53"/>
        <v>0.9</v>
      </c>
      <c r="W178" s="123">
        <f t="shared" si="53"/>
        <v>0.9</v>
      </c>
      <c r="X178" s="123">
        <f t="shared" si="53"/>
        <v>0.9</v>
      </c>
      <c r="Y178" s="123">
        <f t="shared" si="53"/>
        <v>0.9</v>
      </c>
      <c r="Z178" s="123">
        <f t="shared" si="53"/>
        <v>0.9</v>
      </c>
      <c r="AA178" s="123">
        <f t="shared" si="53"/>
        <v>0.9</v>
      </c>
      <c r="AB178" s="123">
        <f t="shared" si="53"/>
        <v>0.9</v>
      </c>
      <c r="AC178" s="123">
        <f t="shared" si="53"/>
        <v>0.9</v>
      </c>
      <c r="AD178" s="123">
        <f t="shared" si="53"/>
        <v>0.9</v>
      </c>
      <c r="AE178" s="123">
        <f t="shared" si="53"/>
        <v>0.9</v>
      </c>
      <c r="AF178" s="123">
        <f t="shared" si="53"/>
        <v>0.9</v>
      </c>
      <c r="AG178" s="126">
        <v>2</v>
      </c>
      <c r="AH178" s="55"/>
      <c r="AI178" s="56"/>
      <c r="AK178" s="57"/>
    </row>
    <row r="179" spans="1:37" x14ac:dyDescent="0.25">
      <c r="A179" s="111" t="s">
        <v>183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5"/>
      <c r="AI179" s="56"/>
      <c r="AK179" s="57"/>
    </row>
    <row r="180" spans="1:37" x14ac:dyDescent="0.25">
      <c r="A180" s="111" t="s">
        <v>184</v>
      </c>
      <c r="B180" s="123">
        <f t="shared" ref="B180:B192" si="54">AF180</f>
        <v>0.57999999999999996</v>
      </c>
      <c r="C180" s="124">
        <v>0.57999999999999996</v>
      </c>
      <c r="D180" s="123">
        <f t="shared" ref="D180:S192" si="55">C180</f>
        <v>0.57999999999999996</v>
      </c>
      <c r="E180" s="123">
        <f t="shared" si="55"/>
        <v>0.57999999999999996</v>
      </c>
      <c r="F180" s="123">
        <f t="shared" si="55"/>
        <v>0.57999999999999996</v>
      </c>
      <c r="G180" s="123">
        <f t="shared" si="55"/>
        <v>0.57999999999999996</v>
      </c>
      <c r="H180" s="123">
        <f t="shared" si="55"/>
        <v>0.57999999999999996</v>
      </c>
      <c r="I180" s="123">
        <f t="shared" si="55"/>
        <v>0.57999999999999996</v>
      </c>
      <c r="J180" s="123">
        <f t="shared" si="55"/>
        <v>0.57999999999999996</v>
      </c>
      <c r="K180" s="123">
        <f t="shared" si="55"/>
        <v>0.57999999999999996</v>
      </c>
      <c r="L180" s="123">
        <f t="shared" si="55"/>
        <v>0.57999999999999996</v>
      </c>
      <c r="M180" s="123">
        <f t="shared" si="55"/>
        <v>0.57999999999999996</v>
      </c>
      <c r="N180" s="123">
        <f t="shared" si="55"/>
        <v>0.57999999999999996</v>
      </c>
      <c r="O180" s="123">
        <f t="shared" si="55"/>
        <v>0.57999999999999996</v>
      </c>
      <c r="P180" s="123">
        <f t="shared" si="55"/>
        <v>0.57999999999999996</v>
      </c>
      <c r="Q180" s="123">
        <f t="shared" si="55"/>
        <v>0.57999999999999996</v>
      </c>
      <c r="R180" s="123">
        <f t="shared" si="55"/>
        <v>0.57999999999999996</v>
      </c>
      <c r="S180" s="123">
        <f t="shared" si="55"/>
        <v>0.57999999999999996</v>
      </c>
      <c r="T180" s="123">
        <f t="shared" ref="S180:AF192" si="56">S180</f>
        <v>0.57999999999999996</v>
      </c>
      <c r="U180" s="123">
        <f t="shared" si="56"/>
        <v>0.57999999999999996</v>
      </c>
      <c r="V180" s="123">
        <f t="shared" si="56"/>
        <v>0.57999999999999996</v>
      </c>
      <c r="W180" s="123">
        <f t="shared" si="56"/>
        <v>0.57999999999999996</v>
      </c>
      <c r="X180" s="123">
        <f t="shared" si="56"/>
        <v>0.57999999999999996</v>
      </c>
      <c r="Y180" s="123">
        <f t="shared" si="56"/>
        <v>0.57999999999999996</v>
      </c>
      <c r="Z180" s="123">
        <f t="shared" si="56"/>
        <v>0.57999999999999996</v>
      </c>
      <c r="AA180" s="123">
        <f t="shared" si="56"/>
        <v>0.57999999999999996</v>
      </c>
      <c r="AB180" s="123">
        <f t="shared" si="56"/>
        <v>0.57999999999999996</v>
      </c>
      <c r="AC180" s="123">
        <f t="shared" si="56"/>
        <v>0.57999999999999996</v>
      </c>
      <c r="AD180" s="123">
        <f t="shared" si="56"/>
        <v>0.57999999999999996</v>
      </c>
      <c r="AE180" s="123">
        <f t="shared" si="56"/>
        <v>0.57999999999999996</v>
      </c>
      <c r="AF180" s="123">
        <f t="shared" si="56"/>
        <v>0.57999999999999996</v>
      </c>
      <c r="AG180" s="126">
        <v>1.8</v>
      </c>
      <c r="AH180" s="55"/>
      <c r="AI180" s="56"/>
      <c r="AK180" s="57"/>
    </row>
    <row r="181" spans="1:37" x14ac:dyDescent="0.25">
      <c r="A181" s="111" t="s">
        <v>185</v>
      </c>
      <c r="B181" s="123">
        <f t="shared" si="54"/>
        <v>0.8</v>
      </c>
      <c r="C181" s="124">
        <v>0.8</v>
      </c>
      <c r="D181" s="123">
        <f t="shared" si="55"/>
        <v>0.8</v>
      </c>
      <c r="E181" s="123">
        <f t="shared" si="55"/>
        <v>0.8</v>
      </c>
      <c r="F181" s="123">
        <f t="shared" si="55"/>
        <v>0.8</v>
      </c>
      <c r="G181" s="123">
        <f t="shared" si="55"/>
        <v>0.8</v>
      </c>
      <c r="H181" s="123">
        <f t="shared" si="55"/>
        <v>0.8</v>
      </c>
      <c r="I181" s="123">
        <f t="shared" si="55"/>
        <v>0.8</v>
      </c>
      <c r="J181" s="123">
        <f t="shared" si="55"/>
        <v>0.8</v>
      </c>
      <c r="K181" s="123">
        <f t="shared" si="55"/>
        <v>0.8</v>
      </c>
      <c r="L181" s="123">
        <f t="shared" si="55"/>
        <v>0.8</v>
      </c>
      <c r="M181" s="123">
        <f t="shared" si="55"/>
        <v>0.8</v>
      </c>
      <c r="N181" s="123">
        <f t="shared" si="55"/>
        <v>0.8</v>
      </c>
      <c r="O181" s="123">
        <f t="shared" si="55"/>
        <v>0.8</v>
      </c>
      <c r="P181" s="123">
        <f t="shared" si="55"/>
        <v>0.8</v>
      </c>
      <c r="Q181" s="123">
        <f t="shared" si="55"/>
        <v>0.8</v>
      </c>
      <c r="R181" s="123">
        <f t="shared" si="55"/>
        <v>0.8</v>
      </c>
      <c r="S181" s="123">
        <f t="shared" si="55"/>
        <v>0.8</v>
      </c>
      <c r="T181" s="123">
        <f t="shared" si="56"/>
        <v>0.8</v>
      </c>
      <c r="U181" s="123">
        <f t="shared" si="56"/>
        <v>0.8</v>
      </c>
      <c r="V181" s="123">
        <f t="shared" si="56"/>
        <v>0.8</v>
      </c>
      <c r="W181" s="123">
        <f t="shared" si="56"/>
        <v>0.8</v>
      </c>
      <c r="X181" s="123">
        <f t="shared" si="56"/>
        <v>0.8</v>
      </c>
      <c r="Y181" s="123">
        <f t="shared" si="56"/>
        <v>0.8</v>
      </c>
      <c r="Z181" s="123">
        <f t="shared" si="56"/>
        <v>0.8</v>
      </c>
      <c r="AA181" s="123">
        <f t="shared" si="56"/>
        <v>0.8</v>
      </c>
      <c r="AB181" s="123">
        <f t="shared" si="56"/>
        <v>0.8</v>
      </c>
      <c r="AC181" s="123">
        <f t="shared" si="56"/>
        <v>0.8</v>
      </c>
      <c r="AD181" s="123">
        <f t="shared" si="56"/>
        <v>0.8</v>
      </c>
      <c r="AE181" s="123">
        <f t="shared" si="56"/>
        <v>0.8</v>
      </c>
      <c r="AF181" s="123">
        <f t="shared" si="56"/>
        <v>0.8</v>
      </c>
      <c r="AG181" s="126">
        <v>1.65</v>
      </c>
      <c r="AH181" s="55"/>
      <c r="AI181" s="56"/>
      <c r="AK181" s="57"/>
    </row>
    <row r="182" spans="1:37" x14ac:dyDescent="0.25">
      <c r="A182" s="111" t="s">
        <v>186</v>
      </c>
      <c r="B182" s="123">
        <f t="shared" si="54"/>
        <v>0</v>
      </c>
      <c r="C182" s="124">
        <v>0</v>
      </c>
      <c r="D182" s="123">
        <f t="shared" si="55"/>
        <v>0</v>
      </c>
      <c r="E182" s="123">
        <f t="shared" si="55"/>
        <v>0</v>
      </c>
      <c r="F182" s="123">
        <f t="shared" si="55"/>
        <v>0</v>
      </c>
      <c r="G182" s="123">
        <f t="shared" si="55"/>
        <v>0</v>
      </c>
      <c r="H182" s="123">
        <f t="shared" si="55"/>
        <v>0</v>
      </c>
      <c r="I182" s="123">
        <f t="shared" si="55"/>
        <v>0</v>
      </c>
      <c r="J182" s="123">
        <f t="shared" si="55"/>
        <v>0</v>
      </c>
      <c r="K182" s="123">
        <f t="shared" si="55"/>
        <v>0</v>
      </c>
      <c r="L182" s="123">
        <f t="shared" si="55"/>
        <v>0</v>
      </c>
      <c r="M182" s="123">
        <f t="shared" si="55"/>
        <v>0</v>
      </c>
      <c r="N182" s="123">
        <f t="shared" si="55"/>
        <v>0</v>
      </c>
      <c r="O182" s="123">
        <f t="shared" si="55"/>
        <v>0</v>
      </c>
      <c r="P182" s="123">
        <f t="shared" si="55"/>
        <v>0</v>
      </c>
      <c r="Q182" s="123">
        <f t="shared" si="55"/>
        <v>0</v>
      </c>
      <c r="R182" s="123">
        <f t="shared" si="55"/>
        <v>0</v>
      </c>
      <c r="S182" s="123">
        <f t="shared" si="55"/>
        <v>0</v>
      </c>
      <c r="T182" s="123">
        <f t="shared" si="56"/>
        <v>0</v>
      </c>
      <c r="U182" s="123">
        <f t="shared" si="56"/>
        <v>0</v>
      </c>
      <c r="V182" s="123">
        <f t="shared" si="56"/>
        <v>0</v>
      </c>
      <c r="W182" s="123">
        <f t="shared" si="56"/>
        <v>0</v>
      </c>
      <c r="X182" s="123">
        <f t="shared" si="56"/>
        <v>0</v>
      </c>
      <c r="Y182" s="123">
        <f t="shared" si="56"/>
        <v>0</v>
      </c>
      <c r="Z182" s="123">
        <f t="shared" si="56"/>
        <v>0</v>
      </c>
      <c r="AA182" s="123">
        <f t="shared" si="56"/>
        <v>0</v>
      </c>
      <c r="AB182" s="123">
        <f t="shared" si="56"/>
        <v>0</v>
      </c>
      <c r="AC182" s="123">
        <f t="shared" si="56"/>
        <v>0</v>
      </c>
      <c r="AD182" s="123">
        <f t="shared" si="56"/>
        <v>0</v>
      </c>
      <c r="AE182" s="123">
        <f t="shared" si="56"/>
        <v>0</v>
      </c>
      <c r="AF182" s="123">
        <f t="shared" si="56"/>
        <v>0</v>
      </c>
      <c r="AG182" s="126">
        <v>1.5</v>
      </c>
      <c r="AH182" s="55"/>
      <c r="AI182" s="56"/>
      <c r="AK182" s="57"/>
    </row>
    <row r="183" spans="1:37" x14ac:dyDescent="0.25">
      <c r="A183" s="111" t="s">
        <v>187</v>
      </c>
      <c r="B183" s="123">
        <f t="shared" si="54"/>
        <v>0.6</v>
      </c>
      <c r="C183" s="124">
        <v>0.6</v>
      </c>
      <c r="D183" s="123">
        <f t="shared" si="55"/>
        <v>0.6</v>
      </c>
      <c r="E183" s="123">
        <f t="shared" si="55"/>
        <v>0.6</v>
      </c>
      <c r="F183" s="123">
        <f t="shared" si="55"/>
        <v>0.6</v>
      </c>
      <c r="G183" s="123">
        <f t="shared" si="55"/>
        <v>0.6</v>
      </c>
      <c r="H183" s="123">
        <f t="shared" si="55"/>
        <v>0.6</v>
      </c>
      <c r="I183" s="123">
        <f t="shared" si="55"/>
        <v>0.6</v>
      </c>
      <c r="J183" s="123">
        <f t="shared" si="55"/>
        <v>0.6</v>
      </c>
      <c r="K183" s="123">
        <f t="shared" si="55"/>
        <v>0.6</v>
      </c>
      <c r="L183" s="123">
        <f t="shared" si="55"/>
        <v>0.6</v>
      </c>
      <c r="M183" s="123">
        <f t="shared" si="55"/>
        <v>0.6</v>
      </c>
      <c r="N183" s="123">
        <f t="shared" si="55"/>
        <v>0.6</v>
      </c>
      <c r="O183" s="123">
        <f t="shared" si="55"/>
        <v>0.6</v>
      </c>
      <c r="P183" s="123">
        <f t="shared" si="55"/>
        <v>0.6</v>
      </c>
      <c r="Q183" s="123">
        <f t="shared" si="55"/>
        <v>0.6</v>
      </c>
      <c r="R183" s="123">
        <f t="shared" si="55"/>
        <v>0.6</v>
      </c>
      <c r="S183" s="123">
        <f t="shared" si="55"/>
        <v>0.6</v>
      </c>
      <c r="T183" s="123">
        <f t="shared" si="56"/>
        <v>0.6</v>
      </c>
      <c r="U183" s="123">
        <f t="shared" si="56"/>
        <v>0.6</v>
      </c>
      <c r="V183" s="123">
        <f t="shared" si="56"/>
        <v>0.6</v>
      </c>
      <c r="W183" s="123">
        <f t="shared" si="56"/>
        <v>0.6</v>
      </c>
      <c r="X183" s="123">
        <f t="shared" si="56"/>
        <v>0.6</v>
      </c>
      <c r="Y183" s="123">
        <f t="shared" si="56"/>
        <v>0.6</v>
      </c>
      <c r="Z183" s="123">
        <f t="shared" si="56"/>
        <v>0.6</v>
      </c>
      <c r="AA183" s="123">
        <f t="shared" si="56"/>
        <v>0.6</v>
      </c>
      <c r="AB183" s="123">
        <f t="shared" si="56"/>
        <v>0.6</v>
      </c>
      <c r="AC183" s="123">
        <f t="shared" si="56"/>
        <v>0.6</v>
      </c>
      <c r="AD183" s="123">
        <f t="shared" si="56"/>
        <v>0.6</v>
      </c>
      <c r="AE183" s="123">
        <f t="shared" si="56"/>
        <v>0.6</v>
      </c>
      <c r="AF183" s="123">
        <f t="shared" si="56"/>
        <v>0.6</v>
      </c>
      <c r="AG183" s="126">
        <v>0.998</v>
      </c>
      <c r="AH183" s="55"/>
      <c r="AI183" s="56"/>
      <c r="AK183" s="57"/>
    </row>
    <row r="184" spans="1:37" x14ac:dyDescent="0.25">
      <c r="A184" s="111" t="s">
        <v>188</v>
      </c>
      <c r="B184" s="123">
        <f t="shared" si="54"/>
        <v>0.6</v>
      </c>
      <c r="C184" s="124">
        <v>0.6</v>
      </c>
      <c r="D184" s="123">
        <f t="shared" si="55"/>
        <v>0.6</v>
      </c>
      <c r="E184" s="123">
        <f t="shared" si="55"/>
        <v>0.6</v>
      </c>
      <c r="F184" s="123">
        <f t="shared" si="55"/>
        <v>0.6</v>
      </c>
      <c r="G184" s="123">
        <f t="shared" si="55"/>
        <v>0.6</v>
      </c>
      <c r="H184" s="123">
        <f t="shared" si="55"/>
        <v>0.6</v>
      </c>
      <c r="I184" s="123">
        <f t="shared" si="55"/>
        <v>0.6</v>
      </c>
      <c r="J184" s="123">
        <f t="shared" si="55"/>
        <v>0.6</v>
      </c>
      <c r="K184" s="123">
        <f t="shared" si="55"/>
        <v>0.6</v>
      </c>
      <c r="L184" s="123">
        <f t="shared" si="55"/>
        <v>0.6</v>
      </c>
      <c r="M184" s="123">
        <f t="shared" si="55"/>
        <v>0.6</v>
      </c>
      <c r="N184" s="123">
        <f t="shared" si="55"/>
        <v>0.6</v>
      </c>
      <c r="O184" s="123">
        <f t="shared" si="55"/>
        <v>0.6</v>
      </c>
      <c r="P184" s="123">
        <f t="shared" si="55"/>
        <v>0.6</v>
      </c>
      <c r="Q184" s="123">
        <f t="shared" si="55"/>
        <v>0.6</v>
      </c>
      <c r="R184" s="123">
        <f t="shared" si="55"/>
        <v>0.6</v>
      </c>
      <c r="S184" s="123">
        <f t="shared" si="55"/>
        <v>0.6</v>
      </c>
      <c r="T184" s="123">
        <f t="shared" si="56"/>
        <v>0.6</v>
      </c>
      <c r="U184" s="123">
        <f t="shared" si="56"/>
        <v>0.6</v>
      </c>
      <c r="V184" s="123">
        <f t="shared" si="56"/>
        <v>0.6</v>
      </c>
      <c r="W184" s="123">
        <f t="shared" si="56"/>
        <v>0.6</v>
      </c>
      <c r="X184" s="123">
        <f t="shared" si="56"/>
        <v>0.6</v>
      </c>
      <c r="Y184" s="123">
        <f t="shared" si="56"/>
        <v>0.6</v>
      </c>
      <c r="Z184" s="123">
        <f t="shared" si="56"/>
        <v>0.6</v>
      </c>
      <c r="AA184" s="123">
        <f t="shared" si="56"/>
        <v>0.6</v>
      </c>
      <c r="AB184" s="123">
        <f t="shared" si="56"/>
        <v>0.6</v>
      </c>
      <c r="AC184" s="123">
        <f t="shared" si="56"/>
        <v>0.6</v>
      </c>
      <c r="AD184" s="123">
        <f t="shared" si="56"/>
        <v>0.6</v>
      </c>
      <c r="AE184" s="123">
        <f t="shared" si="56"/>
        <v>0.6</v>
      </c>
      <c r="AF184" s="123">
        <f t="shared" si="56"/>
        <v>0.6</v>
      </c>
      <c r="AG184" s="126">
        <v>0.997</v>
      </c>
      <c r="AH184" s="55"/>
      <c r="AI184" s="56"/>
      <c r="AK184" s="57"/>
    </row>
    <row r="185" spans="1:37" x14ac:dyDescent="0.25">
      <c r="A185" s="111" t="s">
        <v>189</v>
      </c>
      <c r="B185" s="123">
        <f t="shared" si="54"/>
        <v>0.35</v>
      </c>
      <c r="C185" s="124">
        <v>0.35</v>
      </c>
      <c r="D185" s="123">
        <f t="shared" si="55"/>
        <v>0.35</v>
      </c>
      <c r="E185" s="123">
        <f t="shared" si="55"/>
        <v>0.35</v>
      </c>
      <c r="F185" s="123">
        <f t="shared" si="55"/>
        <v>0.35</v>
      </c>
      <c r="G185" s="123">
        <f t="shared" si="55"/>
        <v>0.35</v>
      </c>
      <c r="H185" s="123">
        <f t="shared" si="55"/>
        <v>0.35</v>
      </c>
      <c r="I185" s="123">
        <f t="shared" si="55"/>
        <v>0.35</v>
      </c>
      <c r="J185" s="123">
        <f t="shared" si="55"/>
        <v>0.35</v>
      </c>
      <c r="K185" s="123">
        <f t="shared" si="55"/>
        <v>0.35</v>
      </c>
      <c r="L185" s="123">
        <f t="shared" si="55"/>
        <v>0.35</v>
      </c>
      <c r="M185" s="123">
        <f t="shared" si="55"/>
        <v>0.35</v>
      </c>
      <c r="N185" s="123">
        <f t="shared" si="55"/>
        <v>0.35</v>
      </c>
      <c r="O185" s="123">
        <f t="shared" si="55"/>
        <v>0.35</v>
      </c>
      <c r="P185" s="123">
        <f t="shared" si="55"/>
        <v>0.35</v>
      </c>
      <c r="Q185" s="123">
        <f t="shared" si="55"/>
        <v>0.35</v>
      </c>
      <c r="R185" s="123">
        <f t="shared" si="55"/>
        <v>0.35</v>
      </c>
      <c r="S185" s="123">
        <f t="shared" si="55"/>
        <v>0.35</v>
      </c>
      <c r="T185" s="123">
        <f t="shared" si="56"/>
        <v>0.35</v>
      </c>
      <c r="U185" s="123">
        <f t="shared" si="56"/>
        <v>0.35</v>
      </c>
      <c r="V185" s="123">
        <f t="shared" si="56"/>
        <v>0.35</v>
      </c>
      <c r="W185" s="123">
        <f t="shared" si="56"/>
        <v>0.35</v>
      </c>
      <c r="X185" s="123">
        <f t="shared" si="56"/>
        <v>0.35</v>
      </c>
      <c r="Y185" s="123">
        <f t="shared" si="56"/>
        <v>0.35</v>
      </c>
      <c r="Z185" s="123">
        <f t="shared" si="56"/>
        <v>0.35</v>
      </c>
      <c r="AA185" s="123">
        <f t="shared" si="56"/>
        <v>0.35</v>
      </c>
      <c r="AB185" s="123">
        <f t="shared" si="56"/>
        <v>0.35</v>
      </c>
      <c r="AC185" s="123">
        <f t="shared" si="56"/>
        <v>0.35</v>
      </c>
      <c r="AD185" s="123">
        <f t="shared" si="56"/>
        <v>0.35</v>
      </c>
      <c r="AE185" s="123">
        <f t="shared" si="56"/>
        <v>0.35</v>
      </c>
      <c r="AF185" s="123">
        <f t="shared" si="56"/>
        <v>0.35</v>
      </c>
      <c r="AG185" s="126">
        <v>0.997</v>
      </c>
      <c r="AH185" s="55"/>
      <c r="AI185" s="56"/>
      <c r="AK185" s="57"/>
    </row>
    <row r="186" spans="1:37" x14ac:dyDescent="0.25">
      <c r="A186" s="111" t="s">
        <v>190</v>
      </c>
      <c r="B186" s="123">
        <f t="shared" si="54"/>
        <v>0.28999999999999998</v>
      </c>
      <c r="C186" s="124">
        <v>0.28999999999999998</v>
      </c>
      <c r="D186" s="123">
        <f t="shared" si="55"/>
        <v>0.28999999999999998</v>
      </c>
      <c r="E186" s="123">
        <f t="shared" si="55"/>
        <v>0.28999999999999998</v>
      </c>
      <c r="F186" s="123">
        <f t="shared" si="55"/>
        <v>0.28999999999999998</v>
      </c>
      <c r="G186" s="123">
        <f t="shared" si="55"/>
        <v>0.28999999999999998</v>
      </c>
      <c r="H186" s="123">
        <f t="shared" si="55"/>
        <v>0.28999999999999998</v>
      </c>
      <c r="I186" s="123">
        <f t="shared" si="55"/>
        <v>0.28999999999999998</v>
      </c>
      <c r="J186" s="123">
        <f t="shared" si="55"/>
        <v>0.28999999999999998</v>
      </c>
      <c r="K186" s="123">
        <f t="shared" si="55"/>
        <v>0.28999999999999998</v>
      </c>
      <c r="L186" s="123">
        <f t="shared" si="55"/>
        <v>0.28999999999999998</v>
      </c>
      <c r="M186" s="123">
        <f t="shared" si="55"/>
        <v>0.28999999999999998</v>
      </c>
      <c r="N186" s="123">
        <f t="shared" si="55"/>
        <v>0.28999999999999998</v>
      </c>
      <c r="O186" s="123">
        <f t="shared" si="55"/>
        <v>0.28999999999999998</v>
      </c>
      <c r="P186" s="123">
        <f t="shared" si="55"/>
        <v>0.28999999999999998</v>
      </c>
      <c r="Q186" s="123">
        <f t="shared" si="55"/>
        <v>0.28999999999999998</v>
      </c>
      <c r="R186" s="123">
        <f t="shared" si="55"/>
        <v>0.28999999999999998</v>
      </c>
      <c r="S186" s="123">
        <f t="shared" si="55"/>
        <v>0.28999999999999998</v>
      </c>
      <c r="T186" s="123">
        <f t="shared" si="56"/>
        <v>0.28999999999999998</v>
      </c>
      <c r="U186" s="123">
        <f t="shared" si="56"/>
        <v>0.28999999999999998</v>
      </c>
      <c r="V186" s="123">
        <f t="shared" si="56"/>
        <v>0.28999999999999998</v>
      </c>
      <c r="W186" s="123">
        <f t="shared" si="56"/>
        <v>0.28999999999999998</v>
      </c>
      <c r="X186" s="123">
        <f t="shared" si="56"/>
        <v>0.28999999999999998</v>
      </c>
      <c r="Y186" s="123">
        <f t="shared" si="56"/>
        <v>0.28999999999999998</v>
      </c>
      <c r="Z186" s="123">
        <f t="shared" si="56"/>
        <v>0.28999999999999998</v>
      </c>
      <c r="AA186" s="123">
        <f t="shared" si="56"/>
        <v>0.28999999999999998</v>
      </c>
      <c r="AB186" s="123">
        <f t="shared" si="56"/>
        <v>0.28999999999999998</v>
      </c>
      <c r="AC186" s="123">
        <f t="shared" si="56"/>
        <v>0.28999999999999998</v>
      </c>
      <c r="AD186" s="123">
        <f t="shared" si="56"/>
        <v>0.28999999999999998</v>
      </c>
      <c r="AE186" s="123">
        <f t="shared" si="56"/>
        <v>0.28999999999999998</v>
      </c>
      <c r="AF186" s="123">
        <f t="shared" si="56"/>
        <v>0.28999999999999998</v>
      </c>
      <c r="AG186" s="126">
        <v>0.996</v>
      </c>
      <c r="AH186" s="55"/>
      <c r="AI186" s="56"/>
      <c r="AK186" s="57"/>
    </row>
    <row r="187" spans="1:37" x14ac:dyDescent="0.25">
      <c r="A187" s="111" t="s">
        <v>191</v>
      </c>
      <c r="B187" s="123">
        <f t="shared" si="54"/>
        <v>0.06</v>
      </c>
      <c r="C187" s="124">
        <v>0.06</v>
      </c>
      <c r="D187" s="123">
        <f t="shared" si="55"/>
        <v>0.06</v>
      </c>
      <c r="E187" s="123">
        <f t="shared" si="55"/>
        <v>0.06</v>
      </c>
      <c r="F187" s="123">
        <f t="shared" si="55"/>
        <v>0.06</v>
      </c>
      <c r="G187" s="123">
        <f t="shared" si="55"/>
        <v>0.06</v>
      </c>
      <c r="H187" s="123">
        <f t="shared" si="55"/>
        <v>0.06</v>
      </c>
      <c r="I187" s="123">
        <f t="shared" si="55"/>
        <v>0.06</v>
      </c>
      <c r="J187" s="123">
        <f t="shared" si="55"/>
        <v>0.06</v>
      </c>
      <c r="K187" s="123">
        <f t="shared" si="55"/>
        <v>0.06</v>
      </c>
      <c r="L187" s="123">
        <f t="shared" si="55"/>
        <v>0.06</v>
      </c>
      <c r="M187" s="123">
        <f t="shared" si="55"/>
        <v>0.06</v>
      </c>
      <c r="N187" s="123">
        <f t="shared" si="55"/>
        <v>0.06</v>
      </c>
      <c r="O187" s="123">
        <f t="shared" si="55"/>
        <v>0.06</v>
      </c>
      <c r="P187" s="123">
        <f t="shared" si="55"/>
        <v>0.06</v>
      </c>
      <c r="Q187" s="123">
        <f t="shared" si="55"/>
        <v>0.06</v>
      </c>
      <c r="R187" s="123">
        <f t="shared" si="55"/>
        <v>0.06</v>
      </c>
      <c r="S187" s="123">
        <f t="shared" si="55"/>
        <v>0.06</v>
      </c>
      <c r="T187" s="123">
        <f t="shared" si="56"/>
        <v>0.06</v>
      </c>
      <c r="U187" s="123">
        <f t="shared" si="56"/>
        <v>0.06</v>
      </c>
      <c r="V187" s="123">
        <f t="shared" si="56"/>
        <v>0.06</v>
      </c>
      <c r="W187" s="123">
        <f t="shared" si="56"/>
        <v>0.06</v>
      </c>
      <c r="X187" s="123">
        <f t="shared" si="56"/>
        <v>0.06</v>
      </c>
      <c r="Y187" s="123">
        <f t="shared" si="56"/>
        <v>0.06</v>
      </c>
      <c r="Z187" s="123">
        <f t="shared" si="56"/>
        <v>0.06</v>
      </c>
      <c r="AA187" s="123">
        <f t="shared" si="56"/>
        <v>0.06</v>
      </c>
      <c r="AB187" s="123">
        <f t="shared" si="56"/>
        <v>0.06</v>
      </c>
      <c r="AC187" s="123">
        <f t="shared" si="56"/>
        <v>0.06</v>
      </c>
      <c r="AD187" s="123">
        <f t="shared" si="56"/>
        <v>0.06</v>
      </c>
      <c r="AE187" s="123">
        <f t="shared" si="56"/>
        <v>0.06</v>
      </c>
      <c r="AF187" s="123">
        <f t="shared" si="56"/>
        <v>0.06</v>
      </c>
      <c r="AG187" s="126">
        <v>0.996</v>
      </c>
      <c r="AH187" s="55"/>
      <c r="AI187" s="56"/>
      <c r="AK187" s="57"/>
    </row>
    <row r="188" spans="1:37" x14ac:dyDescent="0.25">
      <c r="A188" s="111" t="s">
        <v>192</v>
      </c>
      <c r="B188" s="123">
        <f t="shared" si="54"/>
        <v>0.11</v>
      </c>
      <c r="C188" s="124">
        <v>0.11</v>
      </c>
      <c r="D188" s="123">
        <f t="shared" si="55"/>
        <v>0.11</v>
      </c>
      <c r="E188" s="123">
        <f t="shared" si="55"/>
        <v>0.11</v>
      </c>
      <c r="F188" s="123">
        <f t="shared" si="55"/>
        <v>0.11</v>
      </c>
      <c r="G188" s="123">
        <f t="shared" si="55"/>
        <v>0.11</v>
      </c>
      <c r="H188" s="123">
        <f t="shared" si="55"/>
        <v>0.11</v>
      </c>
      <c r="I188" s="123">
        <f t="shared" si="55"/>
        <v>0.11</v>
      </c>
      <c r="J188" s="123">
        <f t="shared" si="55"/>
        <v>0.11</v>
      </c>
      <c r="K188" s="123">
        <f t="shared" si="55"/>
        <v>0.11</v>
      </c>
      <c r="L188" s="123">
        <f t="shared" si="55"/>
        <v>0.11</v>
      </c>
      <c r="M188" s="123">
        <f t="shared" si="55"/>
        <v>0.11</v>
      </c>
      <c r="N188" s="123">
        <f t="shared" si="55"/>
        <v>0.11</v>
      </c>
      <c r="O188" s="123">
        <f t="shared" si="55"/>
        <v>0.11</v>
      </c>
      <c r="P188" s="123">
        <f t="shared" si="55"/>
        <v>0.11</v>
      </c>
      <c r="Q188" s="123">
        <f t="shared" si="55"/>
        <v>0.11</v>
      </c>
      <c r="R188" s="123">
        <f t="shared" si="55"/>
        <v>0.11</v>
      </c>
      <c r="S188" s="123">
        <f t="shared" si="55"/>
        <v>0.11</v>
      </c>
      <c r="T188" s="123">
        <f t="shared" si="56"/>
        <v>0.11</v>
      </c>
      <c r="U188" s="123">
        <f t="shared" si="56"/>
        <v>0.11</v>
      </c>
      <c r="V188" s="123">
        <f t="shared" si="56"/>
        <v>0.11</v>
      </c>
      <c r="W188" s="123">
        <f t="shared" si="56"/>
        <v>0.11</v>
      </c>
      <c r="X188" s="123">
        <f t="shared" si="56"/>
        <v>0.11</v>
      </c>
      <c r="Y188" s="123">
        <f t="shared" si="56"/>
        <v>0.11</v>
      </c>
      <c r="Z188" s="123">
        <f t="shared" si="56"/>
        <v>0.11</v>
      </c>
      <c r="AA188" s="123">
        <f t="shared" si="56"/>
        <v>0.11</v>
      </c>
      <c r="AB188" s="123">
        <f t="shared" si="56"/>
        <v>0.11</v>
      </c>
      <c r="AC188" s="123">
        <f t="shared" si="56"/>
        <v>0.11</v>
      </c>
      <c r="AD188" s="123">
        <f t="shared" si="56"/>
        <v>0.11</v>
      </c>
      <c r="AE188" s="123">
        <f t="shared" si="56"/>
        <v>0.11</v>
      </c>
      <c r="AF188" s="123">
        <f t="shared" si="56"/>
        <v>0.11</v>
      </c>
      <c r="AG188" s="126">
        <v>0.996</v>
      </c>
      <c r="AH188" s="55"/>
      <c r="AI188" s="56"/>
      <c r="AK188" s="57"/>
    </row>
    <row r="189" spans="1:37" x14ac:dyDescent="0.25">
      <c r="A189" s="111" t="s">
        <v>193</v>
      </c>
      <c r="B189" s="123">
        <f t="shared" si="54"/>
        <v>0.1</v>
      </c>
      <c r="C189" s="124">
        <v>0.1</v>
      </c>
      <c r="D189" s="123">
        <f t="shared" si="55"/>
        <v>0.1</v>
      </c>
      <c r="E189" s="123">
        <f t="shared" si="55"/>
        <v>0.1</v>
      </c>
      <c r="F189" s="123">
        <f t="shared" si="55"/>
        <v>0.1</v>
      </c>
      <c r="G189" s="123">
        <f t="shared" si="55"/>
        <v>0.1</v>
      </c>
      <c r="H189" s="123">
        <f t="shared" si="55"/>
        <v>0.1</v>
      </c>
      <c r="I189" s="123">
        <f t="shared" si="55"/>
        <v>0.1</v>
      </c>
      <c r="J189" s="123">
        <f t="shared" si="55"/>
        <v>0.1</v>
      </c>
      <c r="K189" s="123">
        <f t="shared" si="55"/>
        <v>0.1</v>
      </c>
      <c r="L189" s="123">
        <f t="shared" si="55"/>
        <v>0.1</v>
      </c>
      <c r="M189" s="123">
        <f t="shared" si="55"/>
        <v>0.1</v>
      </c>
      <c r="N189" s="123">
        <f t="shared" si="55"/>
        <v>0.1</v>
      </c>
      <c r="O189" s="123">
        <f t="shared" si="55"/>
        <v>0.1</v>
      </c>
      <c r="P189" s="123">
        <f t="shared" si="55"/>
        <v>0.1</v>
      </c>
      <c r="Q189" s="123">
        <f t="shared" si="55"/>
        <v>0.1</v>
      </c>
      <c r="R189" s="123">
        <f t="shared" si="55"/>
        <v>0.1</v>
      </c>
      <c r="S189" s="123">
        <f t="shared" si="56"/>
        <v>0.1</v>
      </c>
      <c r="T189" s="123">
        <f t="shared" si="56"/>
        <v>0.1</v>
      </c>
      <c r="U189" s="123">
        <f t="shared" si="56"/>
        <v>0.1</v>
      </c>
      <c r="V189" s="123">
        <f t="shared" si="56"/>
        <v>0.1</v>
      </c>
      <c r="W189" s="123">
        <f t="shared" si="56"/>
        <v>0.1</v>
      </c>
      <c r="X189" s="123">
        <f t="shared" si="56"/>
        <v>0.1</v>
      </c>
      <c r="Y189" s="123">
        <f t="shared" si="56"/>
        <v>0.1</v>
      </c>
      <c r="Z189" s="123">
        <f t="shared" si="56"/>
        <v>0.1</v>
      </c>
      <c r="AA189" s="123">
        <f t="shared" si="56"/>
        <v>0.1</v>
      </c>
      <c r="AB189" s="123">
        <f t="shared" si="56"/>
        <v>0.1</v>
      </c>
      <c r="AC189" s="123">
        <f t="shared" si="56"/>
        <v>0.1</v>
      </c>
      <c r="AD189" s="123">
        <f t="shared" si="56"/>
        <v>0.1</v>
      </c>
      <c r="AE189" s="123">
        <f t="shared" si="56"/>
        <v>0.1</v>
      </c>
      <c r="AF189" s="123">
        <f t="shared" si="56"/>
        <v>0.1</v>
      </c>
      <c r="AG189" s="126">
        <v>0.995</v>
      </c>
      <c r="AH189" s="55"/>
      <c r="AI189" s="56"/>
      <c r="AK189" s="57"/>
    </row>
    <row r="190" spans="1:37" x14ac:dyDescent="0.25">
      <c r="A190" s="111" t="s">
        <v>194</v>
      </c>
      <c r="B190" s="123">
        <f t="shared" si="54"/>
        <v>0.09</v>
      </c>
      <c r="C190" s="124">
        <v>0.09</v>
      </c>
      <c r="D190" s="123">
        <f t="shared" si="55"/>
        <v>0.09</v>
      </c>
      <c r="E190" s="123">
        <f t="shared" si="55"/>
        <v>0.09</v>
      </c>
      <c r="F190" s="123">
        <f t="shared" si="55"/>
        <v>0.09</v>
      </c>
      <c r="G190" s="123">
        <f t="shared" si="55"/>
        <v>0.09</v>
      </c>
      <c r="H190" s="123">
        <f t="shared" si="55"/>
        <v>0.09</v>
      </c>
      <c r="I190" s="123">
        <f t="shared" si="55"/>
        <v>0.09</v>
      </c>
      <c r="J190" s="123">
        <f t="shared" si="55"/>
        <v>0.09</v>
      </c>
      <c r="K190" s="123">
        <f t="shared" si="55"/>
        <v>0.09</v>
      </c>
      <c r="L190" s="123">
        <f t="shared" si="55"/>
        <v>0.09</v>
      </c>
      <c r="M190" s="123">
        <f t="shared" si="55"/>
        <v>0.09</v>
      </c>
      <c r="N190" s="123">
        <f t="shared" si="55"/>
        <v>0.09</v>
      </c>
      <c r="O190" s="123">
        <f t="shared" si="55"/>
        <v>0.09</v>
      </c>
      <c r="P190" s="123">
        <f t="shared" si="55"/>
        <v>0.09</v>
      </c>
      <c r="Q190" s="123">
        <f t="shared" si="55"/>
        <v>0.09</v>
      </c>
      <c r="R190" s="123">
        <f t="shared" si="55"/>
        <v>0.09</v>
      </c>
      <c r="S190" s="123">
        <f t="shared" si="56"/>
        <v>0.09</v>
      </c>
      <c r="T190" s="123">
        <f t="shared" si="56"/>
        <v>0.09</v>
      </c>
      <c r="U190" s="123">
        <f t="shared" si="56"/>
        <v>0.09</v>
      </c>
      <c r="V190" s="123">
        <f t="shared" si="56"/>
        <v>0.09</v>
      </c>
      <c r="W190" s="123">
        <f t="shared" si="56"/>
        <v>0.09</v>
      </c>
      <c r="X190" s="123">
        <f t="shared" si="56"/>
        <v>0.09</v>
      </c>
      <c r="Y190" s="123">
        <f t="shared" si="56"/>
        <v>0.09</v>
      </c>
      <c r="Z190" s="123">
        <f t="shared" si="56"/>
        <v>0.09</v>
      </c>
      <c r="AA190" s="123">
        <f t="shared" si="56"/>
        <v>0.09</v>
      </c>
      <c r="AB190" s="123">
        <f t="shared" si="56"/>
        <v>0.09</v>
      </c>
      <c r="AC190" s="123">
        <f t="shared" si="56"/>
        <v>0.09</v>
      </c>
      <c r="AD190" s="123">
        <f t="shared" si="56"/>
        <v>0.09</v>
      </c>
      <c r="AE190" s="123">
        <f t="shared" si="56"/>
        <v>0.09</v>
      </c>
      <c r="AF190" s="123">
        <f t="shared" si="56"/>
        <v>0.09</v>
      </c>
      <c r="AG190" s="126">
        <v>0.99299999999999999</v>
      </c>
      <c r="AH190" s="55"/>
      <c r="AI190" s="56"/>
      <c r="AK190" s="57"/>
    </row>
    <row r="191" spans="1:37" x14ac:dyDescent="0.25">
      <c r="A191" s="111" t="s">
        <v>195</v>
      </c>
      <c r="B191" s="123">
        <f t="shared" si="54"/>
        <v>0.04</v>
      </c>
      <c r="C191" s="54">
        <v>0.04</v>
      </c>
      <c r="D191" s="123">
        <f t="shared" si="55"/>
        <v>0.04</v>
      </c>
      <c r="E191" s="123">
        <f t="shared" si="55"/>
        <v>0.04</v>
      </c>
      <c r="F191" s="123">
        <f t="shared" si="55"/>
        <v>0.04</v>
      </c>
      <c r="G191" s="123">
        <f t="shared" si="55"/>
        <v>0.04</v>
      </c>
      <c r="H191" s="123">
        <f t="shared" si="55"/>
        <v>0.04</v>
      </c>
      <c r="I191" s="123">
        <f t="shared" si="55"/>
        <v>0.04</v>
      </c>
      <c r="J191" s="123">
        <f t="shared" si="55"/>
        <v>0.04</v>
      </c>
      <c r="K191" s="123">
        <f t="shared" si="55"/>
        <v>0.04</v>
      </c>
      <c r="L191" s="123">
        <f t="shared" si="55"/>
        <v>0.04</v>
      </c>
      <c r="M191" s="123">
        <f t="shared" si="55"/>
        <v>0.04</v>
      </c>
      <c r="N191" s="123">
        <f t="shared" si="55"/>
        <v>0.04</v>
      </c>
      <c r="O191" s="123">
        <f t="shared" si="55"/>
        <v>0.04</v>
      </c>
      <c r="P191" s="123">
        <f t="shared" si="55"/>
        <v>0.04</v>
      </c>
      <c r="Q191" s="123">
        <f t="shared" si="55"/>
        <v>0.04</v>
      </c>
      <c r="R191" s="123">
        <f t="shared" si="55"/>
        <v>0.04</v>
      </c>
      <c r="S191" s="123">
        <f t="shared" si="56"/>
        <v>0.04</v>
      </c>
      <c r="T191" s="123">
        <f t="shared" si="56"/>
        <v>0.04</v>
      </c>
      <c r="U191" s="123">
        <f t="shared" si="56"/>
        <v>0.04</v>
      </c>
      <c r="V191" s="123">
        <f t="shared" si="56"/>
        <v>0.04</v>
      </c>
      <c r="W191" s="123">
        <f t="shared" si="56"/>
        <v>0.04</v>
      </c>
      <c r="X191" s="123">
        <f t="shared" si="56"/>
        <v>0.04</v>
      </c>
      <c r="Y191" s="123">
        <f t="shared" si="56"/>
        <v>0.04</v>
      </c>
      <c r="Z191" s="123">
        <f t="shared" si="56"/>
        <v>0.04</v>
      </c>
      <c r="AA191" s="123">
        <f t="shared" si="56"/>
        <v>0.04</v>
      </c>
      <c r="AB191" s="123">
        <f t="shared" si="56"/>
        <v>0.04</v>
      </c>
      <c r="AC191" s="123">
        <f t="shared" si="56"/>
        <v>0.04</v>
      </c>
      <c r="AD191" s="123">
        <f t="shared" si="56"/>
        <v>0.04</v>
      </c>
      <c r="AE191" s="123">
        <f t="shared" si="56"/>
        <v>0.04</v>
      </c>
      <c r="AF191" s="123">
        <f t="shared" si="56"/>
        <v>0.04</v>
      </c>
      <c r="AG191" s="126">
        <v>0.99</v>
      </c>
      <c r="AH191" s="55"/>
      <c r="AI191" s="56"/>
      <c r="AK191" s="57"/>
    </row>
    <row r="192" spans="1:37" x14ac:dyDescent="0.25">
      <c r="A192" s="111" t="s">
        <v>196</v>
      </c>
      <c r="B192" s="123">
        <f t="shared" si="54"/>
        <v>2.3E-2</v>
      </c>
      <c r="C192" s="54">
        <v>2.3E-2</v>
      </c>
      <c r="D192" s="123">
        <f>C192</f>
        <v>2.3E-2</v>
      </c>
      <c r="E192" s="123">
        <f t="shared" si="55"/>
        <v>2.3E-2</v>
      </c>
      <c r="F192" s="123">
        <f t="shared" si="55"/>
        <v>2.3E-2</v>
      </c>
      <c r="G192" s="123">
        <f t="shared" si="55"/>
        <v>2.3E-2</v>
      </c>
      <c r="H192" s="123">
        <f t="shared" si="55"/>
        <v>2.3E-2</v>
      </c>
      <c r="I192" s="123">
        <f t="shared" si="55"/>
        <v>2.3E-2</v>
      </c>
      <c r="J192" s="123">
        <f t="shared" si="55"/>
        <v>2.3E-2</v>
      </c>
      <c r="K192" s="123">
        <f t="shared" si="55"/>
        <v>2.3E-2</v>
      </c>
      <c r="L192" s="123">
        <f t="shared" si="55"/>
        <v>2.3E-2</v>
      </c>
      <c r="M192" s="123">
        <f t="shared" si="55"/>
        <v>2.3E-2</v>
      </c>
      <c r="N192" s="123">
        <f t="shared" si="55"/>
        <v>2.3E-2</v>
      </c>
      <c r="O192" s="123">
        <f t="shared" si="55"/>
        <v>2.3E-2</v>
      </c>
      <c r="P192" s="123">
        <f t="shared" si="55"/>
        <v>2.3E-2</v>
      </c>
      <c r="Q192" s="123">
        <f t="shared" si="55"/>
        <v>2.3E-2</v>
      </c>
      <c r="R192" s="123">
        <f t="shared" si="55"/>
        <v>2.3E-2</v>
      </c>
      <c r="S192" s="123">
        <f t="shared" si="56"/>
        <v>2.3E-2</v>
      </c>
      <c r="T192" s="123">
        <f t="shared" si="56"/>
        <v>2.3E-2</v>
      </c>
      <c r="U192" s="123">
        <f t="shared" si="56"/>
        <v>2.3E-2</v>
      </c>
      <c r="V192" s="123">
        <f t="shared" si="56"/>
        <v>2.3E-2</v>
      </c>
      <c r="W192" s="123">
        <f t="shared" si="56"/>
        <v>2.3E-2</v>
      </c>
      <c r="X192" s="123">
        <f t="shared" si="56"/>
        <v>2.3E-2</v>
      </c>
      <c r="Y192" s="123">
        <f t="shared" si="56"/>
        <v>2.3E-2</v>
      </c>
      <c r="Z192" s="123">
        <f t="shared" si="56"/>
        <v>2.3E-2</v>
      </c>
      <c r="AA192" s="123">
        <f t="shared" si="56"/>
        <v>2.3E-2</v>
      </c>
      <c r="AB192" s="123">
        <f t="shared" si="56"/>
        <v>2.3E-2</v>
      </c>
      <c r="AC192" s="123">
        <f t="shared" si="56"/>
        <v>2.3E-2</v>
      </c>
      <c r="AD192" s="123">
        <f t="shared" si="56"/>
        <v>2.3E-2</v>
      </c>
      <c r="AE192" s="123">
        <f t="shared" si="56"/>
        <v>2.3E-2</v>
      </c>
      <c r="AF192" s="123">
        <f t="shared" si="56"/>
        <v>2.3E-2</v>
      </c>
      <c r="AG192" s="126">
        <v>0.97899999999999998</v>
      </c>
      <c r="AH192" s="55"/>
      <c r="AI192" s="56"/>
      <c r="AK192" s="57"/>
    </row>
    <row r="193" spans="1:37" ht="15.75" thickBot="1" x14ac:dyDescent="0.3">
      <c r="A193" s="127" t="s">
        <v>197</v>
      </c>
      <c r="B193" s="128">
        <f>SUM(B103:B192)</f>
        <v>187.10600000000005</v>
      </c>
      <c r="C193" s="128">
        <f t="shared" ref="C193:AG193" si="57">SUM(C103:C192)</f>
        <v>194.70600000000002</v>
      </c>
      <c r="D193" s="128">
        <f t="shared" si="57"/>
        <v>194.70600000000002</v>
      </c>
      <c r="E193" s="128">
        <f t="shared" si="57"/>
        <v>194.70600000000002</v>
      </c>
      <c r="F193" s="128">
        <f t="shared" si="57"/>
        <v>194.70600000000002</v>
      </c>
      <c r="G193" s="128">
        <f t="shared" si="57"/>
        <v>194.70600000000002</v>
      </c>
      <c r="H193" s="128">
        <f t="shared" si="57"/>
        <v>194.70600000000002</v>
      </c>
      <c r="I193" s="128">
        <f t="shared" si="57"/>
        <v>189.70600000000005</v>
      </c>
      <c r="J193" s="128">
        <f t="shared" si="57"/>
        <v>187.10600000000005</v>
      </c>
      <c r="K193" s="128">
        <f t="shared" si="57"/>
        <v>187.10600000000005</v>
      </c>
      <c r="L193" s="128">
        <f t="shared" si="57"/>
        <v>187.10600000000005</v>
      </c>
      <c r="M193" s="128">
        <f t="shared" si="57"/>
        <v>187.10600000000005</v>
      </c>
      <c r="N193" s="128">
        <f t="shared" si="57"/>
        <v>187.10600000000005</v>
      </c>
      <c r="O193" s="128">
        <f t="shared" si="57"/>
        <v>187.10600000000005</v>
      </c>
      <c r="P193" s="128">
        <f t="shared" si="57"/>
        <v>187.10600000000005</v>
      </c>
      <c r="Q193" s="128">
        <f t="shared" si="57"/>
        <v>187.10600000000005</v>
      </c>
      <c r="R193" s="128">
        <f t="shared" si="57"/>
        <v>187.10600000000005</v>
      </c>
      <c r="S193" s="128">
        <f t="shared" si="57"/>
        <v>187.10600000000005</v>
      </c>
      <c r="T193" s="128">
        <f t="shared" si="57"/>
        <v>187.10600000000005</v>
      </c>
      <c r="U193" s="128">
        <f t="shared" si="57"/>
        <v>187.10600000000005</v>
      </c>
      <c r="V193" s="128">
        <f t="shared" si="57"/>
        <v>187.10600000000005</v>
      </c>
      <c r="W193" s="128">
        <f t="shared" si="57"/>
        <v>187.10600000000005</v>
      </c>
      <c r="X193" s="128">
        <f t="shared" si="57"/>
        <v>187.10600000000005</v>
      </c>
      <c r="Y193" s="128">
        <f t="shared" si="57"/>
        <v>187.10600000000005</v>
      </c>
      <c r="Z193" s="128">
        <f t="shared" si="57"/>
        <v>187.10600000000005</v>
      </c>
      <c r="AA193" s="128">
        <f t="shared" si="57"/>
        <v>187.10600000000005</v>
      </c>
      <c r="AB193" s="128">
        <f t="shared" si="57"/>
        <v>187.10600000000005</v>
      </c>
      <c r="AC193" s="128">
        <f t="shared" si="57"/>
        <v>187.10600000000005</v>
      </c>
      <c r="AD193" s="128">
        <f t="shared" si="57"/>
        <v>187.10600000000005</v>
      </c>
      <c r="AE193" s="128">
        <f t="shared" si="57"/>
        <v>187.10600000000005</v>
      </c>
      <c r="AF193" s="128">
        <f t="shared" si="57"/>
        <v>187.10600000000005</v>
      </c>
      <c r="AG193" s="129">
        <f t="shared" si="57"/>
        <v>412.72299999999984</v>
      </c>
      <c r="AH193" s="55"/>
      <c r="AI193" s="56"/>
      <c r="AK193" s="57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5"/>
      <c r="AI194" s="56"/>
      <c r="AK194" s="57"/>
    </row>
    <row r="195" spans="1:37" x14ac:dyDescent="0.25">
      <c r="A195" s="105" t="s">
        <v>198</v>
      </c>
      <c r="B195" s="130">
        <f t="shared" ref="B195:B200" si="58">AF195</f>
        <v>0.3</v>
      </c>
      <c r="C195" s="130">
        <v>0.3</v>
      </c>
      <c r="D195" s="130">
        <f t="shared" ref="D195:S200" si="59">C195</f>
        <v>0.3</v>
      </c>
      <c r="E195" s="130">
        <f t="shared" si="59"/>
        <v>0.3</v>
      </c>
      <c r="F195" s="130">
        <f t="shared" si="59"/>
        <v>0.3</v>
      </c>
      <c r="G195" s="130">
        <f t="shared" si="59"/>
        <v>0.3</v>
      </c>
      <c r="H195" s="130">
        <f t="shared" si="59"/>
        <v>0.3</v>
      </c>
      <c r="I195" s="130">
        <f t="shared" si="59"/>
        <v>0.3</v>
      </c>
      <c r="J195" s="130">
        <f t="shared" si="59"/>
        <v>0.3</v>
      </c>
      <c r="K195" s="130">
        <f t="shared" si="59"/>
        <v>0.3</v>
      </c>
      <c r="L195" s="130">
        <f t="shared" si="59"/>
        <v>0.3</v>
      </c>
      <c r="M195" s="130">
        <f t="shared" si="59"/>
        <v>0.3</v>
      </c>
      <c r="N195" s="130">
        <f t="shared" si="59"/>
        <v>0.3</v>
      </c>
      <c r="O195" s="130">
        <f t="shared" si="59"/>
        <v>0.3</v>
      </c>
      <c r="P195" s="130">
        <f t="shared" si="59"/>
        <v>0.3</v>
      </c>
      <c r="Q195" s="130">
        <f t="shared" si="59"/>
        <v>0.3</v>
      </c>
      <c r="R195" s="130">
        <f t="shared" si="59"/>
        <v>0.3</v>
      </c>
      <c r="S195" s="130">
        <f t="shared" si="59"/>
        <v>0.3</v>
      </c>
      <c r="T195" s="130">
        <f t="shared" ref="T195:AF200" si="60">S195</f>
        <v>0.3</v>
      </c>
      <c r="U195" s="130">
        <f t="shared" si="60"/>
        <v>0.3</v>
      </c>
      <c r="V195" s="130">
        <f t="shared" si="60"/>
        <v>0.3</v>
      </c>
      <c r="W195" s="130">
        <f t="shared" si="60"/>
        <v>0.3</v>
      </c>
      <c r="X195" s="130">
        <f t="shared" si="60"/>
        <v>0.3</v>
      </c>
      <c r="Y195" s="130">
        <f t="shared" si="60"/>
        <v>0.3</v>
      </c>
      <c r="Z195" s="130">
        <f t="shared" si="60"/>
        <v>0.3</v>
      </c>
      <c r="AA195" s="130">
        <f t="shared" si="60"/>
        <v>0.3</v>
      </c>
      <c r="AB195" s="130">
        <f t="shared" si="60"/>
        <v>0.3</v>
      </c>
      <c r="AC195" s="130">
        <f t="shared" si="60"/>
        <v>0.3</v>
      </c>
      <c r="AD195" s="130">
        <f t="shared" si="60"/>
        <v>0.3</v>
      </c>
      <c r="AE195" s="130">
        <f t="shared" si="60"/>
        <v>0.3</v>
      </c>
      <c r="AF195" s="130">
        <f t="shared" si="60"/>
        <v>0.3</v>
      </c>
      <c r="AG195" s="131">
        <v>2.4</v>
      </c>
      <c r="AH195" s="55"/>
      <c r="AI195" s="56"/>
      <c r="AK195" s="57"/>
    </row>
    <row r="196" spans="1:37" x14ac:dyDescent="0.25">
      <c r="A196" s="109" t="s">
        <v>199</v>
      </c>
      <c r="B196" s="123">
        <f t="shared" si="58"/>
        <v>0.4</v>
      </c>
      <c r="C196" s="123">
        <v>0.4</v>
      </c>
      <c r="D196" s="123">
        <f t="shared" si="59"/>
        <v>0.4</v>
      </c>
      <c r="E196" s="123">
        <f t="shared" si="59"/>
        <v>0.4</v>
      </c>
      <c r="F196" s="123">
        <f t="shared" si="59"/>
        <v>0.4</v>
      </c>
      <c r="G196" s="123">
        <f t="shared" si="59"/>
        <v>0.4</v>
      </c>
      <c r="H196" s="123">
        <f t="shared" si="59"/>
        <v>0.4</v>
      </c>
      <c r="I196" s="123">
        <f t="shared" si="59"/>
        <v>0.4</v>
      </c>
      <c r="J196" s="123">
        <f t="shared" si="59"/>
        <v>0.4</v>
      </c>
      <c r="K196" s="123">
        <f t="shared" si="59"/>
        <v>0.4</v>
      </c>
      <c r="L196" s="123">
        <f t="shared" si="59"/>
        <v>0.4</v>
      </c>
      <c r="M196" s="123">
        <f t="shared" si="59"/>
        <v>0.4</v>
      </c>
      <c r="N196" s="123">
        <f t="shared" si="59"/>
        <v>0.4</v>
      </c>
      <c r="O196" s="123">
        <f t="shared" si="59"/>
        <v>0.4</v>
      </c>
      <c r="P196" s="123">
        <f t="shared" si="59"/>
        <v>0.4</v>
      </c>
      <c r="Q196" s="123">
        <f t="shared" si="59"/>
        <v>0.4</v>
      </c>
      <c r="R196" s="123">
        <f t="shared" si="59"/>
        <v>0.4</v>
      </c>
      <c r="S196" s="123">
        <f t="shared" si="59"/>
        <v>0.4</v>
      </c>
      <c r="T196" s="123">
        <f t="shared" si="60"/>
        <v>0.4</v>
      </c>
      <c r="U196" s="123">
        <f t="shared" si="60"/>
        <v>0.4</v>
      </c>
      <c r="V196" s="123">
        <f t="shared" si="60"/>
        <v>0.4</v>
      </c>
      <c r="W196" s="123">
        <f>V196</f>
        <v>0.4</v>
      </c>
      <c r="X196" s="123">
        <f>W196</f>
        <v>0.4</v>
      </c>
      <c r="Y196" s="123">
        <f t="shared" si="60"/>
        <v>0.4</v>
      </c>
      <c r="Z196" s="123">
        <f t="shared" si="60"/>
        <v>0.4</v>
      </c>
      <c r="AA196" s="123">
        <f t="shared" si="60"/>
        <v>0.4</v>
      </c>
      <c r="AB196" s="123">
        <f t="shared" si="60"/>
        <v>0.4</v>
      </c>
      <c r="AC196" s="123">
        <f t="shared" si="60"/>
        <v>0.4</v>
      </c>
      <c r="AD196" s="123">
        <f t="shared" si="60"/>
        <v>0.4</v>
      </c>
      <c r="AE196" s="123">
        <f t="shared" si="60"/>
        <v>0.4</v>
      </c>
      <c r="AF196" s="123">
        <f t="shared" si="60"/>
        <v>0.4</v>
      </c>
      <c r="AG196" s="132">
        <v>2</v>
      </c>
      <c r="AH196" s="55"/>
      <c r="AI196" s="56"/>
      <c r="AK196" s="57"/>
    </row>
    <row r="197" spans="1:37" x14ac:dyDescent="0.25">
      <c r="A197" s="109" t="s">
        <v>200</v>
      </c>
      <c r="B197" s="123">
        <f t="shared" si="58"/>
        <v>1.5</v>
      </c>
      <c r="C197" s="123">
        <v>1.5</v>
      </c>
      <c r="D197" s="123">
        <f t="shared" si="59"/>
        <v>1.5</v>
      </c>
      <c r="E197" s="123">
        <f t="shared" si="59"/>
        <v>1.5</v>
      </c>
      <c r="F197" s="123">
        <f t="shared" si="59"/>
        <v>1.5</v>
      </c>
      <c r="G197" s="123">
        <f t="shared" si="59"/>
        <v>1.5</v>
      </c>
      <c r="H197" s="123">
        <f t="shared" si="59"/>
        <v>1.5</v>
      </c>
      <c r="I197" s="123">
        <f t="shared" si="59"/>
        <v>1.5</v>
      </c>
      <c r="J197" s="123">
        <f t="shared" si="59"/>
        <v>1.5</v>
      </c>
      <c r="K197" s="123">
        <f t="shared" si="59"/>
        <v>1.5</v>
      </c>
      <c r="L197" s="123">
        <f t="shared" si="59"/>
        <v>1.5</v>
      </c>
      <c r="M197" s="123">
        <f t="shared" si="59"/>
        <v>1.5</v>
      </c>
      <c r="N197" s="123">
        <f t="shared" si="59"/>
        <v>1.5</v>
      </c>
      <c r="O197" s="123">
        <f t="shared" si="59"/>
        <v>1.5</v>
      </c>
      <c r="P197" s="123">
        <f t="shared" si="59"/>
        <v>1.5</v>
      </c>
      <c r="Q197" s="123">
        <f t="shared" si="59"/>
        <v>1.5</v>
      </c>
      <c r="R197" s="123">
        <f t="shared" si="59"/>
        <v>1.5</v>
      </c>
      <c r="S197" s="123">
        <f t="shared" si="59"/>
        <v>1.5</v>
      </c>
      <c r="T197" s="123">
        <f t="shared" si="60"/>
        <v>1.5</v>
      </c>
      <c r="U197" s="123">
        <f t="shared" si="60"/>
        <v>1.5</v>
      </c>
      <c r="V197" s="123">
        <f t="shared" si="60"/>
        <v>1.5</v>
      </c>
      <c r="W197" s="123">
        <f t="shared" si="60"/>
        <v>1.5</v>
      </c>
      <c r="X197" s="123">
        <f t="shared" si="60"/>
        <v>1.5</v>
      </c>
      <c r="Y197" s="123">
        <f t="shared" si="60"/>
        <v>1.5</v>
      </c>
      <c r="Z197" s="123">
        <f t="shared" si="60"/>
        <v>1.5</v>
      </c>
      <c r="AA197" s="123">
        <f t="shared" si="60"/>
        <v>1.5</v>
      </c>
      <c r="AB197" s="123">
        <f t="shared" si="60"/>
        <v>1.5</v>
      </c>
      <c r="AC197" s="123">
        <f t="shared" si="60"/>
        <v>1.5</v>
      </c>
      <c r="AD197" s="123">
        <f t="shared" si="60"/>
        <v>1.5</v>
      </c>
      <c r="AE197" s="123">
        <f t="shared" si="60"/>
        <v>1.5</v>
      </c>
      <c r="AF197" s="123">
        <f t="shared" si="60"/>
        <v>1.5</v>
      </c>
      <c r="AG197" s="132">
        <v>1.5</v>
      </c>
      <c r="AH197" s="55"/>
      <c r="AI197" s="56"/>
      <c r="AK197" s="57"/>
    </row>
    <row r="198" spans="1:37" x14ac:dyDescent="0.25">
      <c r="A198" s="109" t="s">
        <v>201</v>
      </c>
      <c r="B198" s="123">
        <f t="shared" si="58"/>
        <v>0.3</v>
      </c>
      <c r="C198" s="123">
        <v>0.3</v>
      </c>
      <c r="D198" s="123">
        <f t="shared" si="59"/>
        <v>0.3</v>
      </c>
      <c r="E198" s="123">
        <f t="shared" si="59"/>
        <v>0.3</v>
      </c>
      <c r="F198" s="123">
        <f t="shared" si="59"/>
        <v>0.3</v>
      </c>
      <c r="G198" s="123">
        <f t="shared" si="59"/>
        <v>0.3</v>
      </c>
      <c r="H198" s="123">
        <f t="shared" si="59"/>
        <v>0.3</v>
      </c>
      <c r="I198" s="123">
        <f t="shared" si="59"/>
        <v>0.3</v>
      </c>
      <c r="J198" s="123">
        <f t="shared" si="59"/>
        <v>0.3</v>
      </c>
      <c r="K198" s="123">
        <f t="shared" si="59"/>
        <v>0.3</v>
      </c>
      <c r="L198" s="123">
        <f t="shared" si="59"/>
        <v>0.3</v>
      </c>
      <c r="M198" s="123">
        <f t="shared" si="59"/>
        <v>0.3</v>
      </c>
      <c r="N198" s="123">
        <f t="shared" si="59"/>
        <v>0.3</v>
      </c>
      <c r="O198" s="123">
        <f t="shared" si="59"/>
        <v>0.3</v>
      </c>
      <c r="P198" s="123">
        <f t="shared" si="59"/>
        <v>0.3</v>
      </c>
      <c r="Q198" s="123">
        <f t="shared" si="59"/>
        <v>0.3</v>
      </c>
      <c r="R198" s="123">
        <f t="shared" si="59"/>
        <v>0.3</v>
      </c>
      <c r="S198" s="123">
        <f t="shared" si="59"/>
        <v>0.3</v>
      </c>
      <c r="T198" s="123">
        <f t="shared" si="60"/>
        <v>0.3</v>
      </c>
      <c r="U198" s="123">
        <f t="shared" si="60"/>
        <v>0.3</v>
      </c>
      <c r="V198" s="123">
        <f t="shared" si="60"/>
        <v>0.3</v>
      </c>
      <c r="W198" s="123">
        <f t="shared" si="60"/>
        <v>0.3</v>
      </c>
      <c r="X198" s="123">
        <f t="shared" si="60"/>
        <v>0.3</v>
      </c>
      <c r="Y198" s="123">
        <f t="shared" si="60"/>
        <v>0.3</v>
      </c>
      <c r="Z198" s="123">
        <f t="shared" si="60"/>
        <v>0.3</v>
      </c>
      <c r="AA198" s="123">
        <f t="shared" si="60"/>
        <v>0.3</v>
      </c>
      <c r="AB198" s="123">
        <f t="shared" si="60"/>
        <v>0.3</v>
      </c>
      <c r="AC198" s="123">
        <f t="shared" si="60"/>
        <v>0.3</v>
      </c>
      <c r="AD198" s="123">
        <f t="shared" si="60"/>
        <v>0.3</v>
      </c>
      <c r="AE198" s="123">
        <f t="shared" si="60"/>
        <v>0.3</v>
      </c>
      <c r="AF198" s="123">
        <f t="shared" si="60"/>
        <v>0.3</v>
      </c>
      <c r="AG198" s="132">
        <v>1</v>
      </c>
      <c r="AH198" s="55"/>
      <c r="AI198" s="56"/>
      <c r="AK198" s="57"/>
    </row>
    <row r="199" spans="1:37" x14ac:dyDescent="0.25">
      <c r="A199" s="109" t="s">
        <v>202</v>
      </c>
      <c r="B199" s="123">
        <f t="shared" si="58"/>
        <v>0.4</v>
      </c>
      <c r="C199" s="123">
        <v>0.4</v>
      </c>
      <c r="D199" s="123">
        <f t="shared" si="59"/>
        <v>0.4</v>
      </c>
      <c r="E199" s="123">
        <f t="shared" si="59"/>
        <v>0.4</v>
      </c>
      <c r="F199" s="123">
        <f t="shared" si="59"/>
        <v>0.4</v>
      </c>
      <c r="G199" s="123">
        <f t="shared" si="59"/>
        <v>0.4</v>
      </c>
      <c r="H199" s="123">
        <f t="shared" si="59"/>
        <v>0.4</v>
      </c>
      <c r="I199" s="123">
        <f t="shared" si="59"/>
        <v>0.4</v>
      </c>
      <c r="J199" s="123">
        <f t="shared" si="59"/>
        <v>0.4</v>
      </c>
      <c r="K199" s="123">
        <f t="shared" si="59"/>
        <v>0.4</v>
      </c>
      <c r="L199" s="123">
        <f t="shared" si="59"/>
        <v>0.4</v>
      </c>
      <c r="M199" s="123">
        <f t="shared" si="59"/>
        <v>0.4</v>
      </c>
      <c r="N199" s="123">
        <f t="shared" si="59"/>
        <v>0.4</v>
      </c>
      <c r="O199" s="123">
        <f t="shared" si="59"/>
        <v>0.4</v>
      </c>
      <c r="P199" s="123">
        <f t="shared" si="59"/>
        <v>0.4</v>
      </c>
      <c r="Q199" s="123">
        <f t="shared" si="59"/>
        <v>0.4</v>
      </c>
      <c r="R199" s="123">
        <f t="shared" si="59"/>
        <v>0.4</v>
      </c>
      <c r="S199" s="123">
        <f t="shared" si="59"/>
        <v>0.4</v>
      </c>
      <c r="T199" s="123">
        <f t="shared" si="60"/>
        <v>0.4</v>
      </c>
      <c r="U199" s="123">
        <f t="shared" si="60"/>
        <v>0.4</v>
      </c>
      <c r="V199" s="123">
        <f t="shared" si="60"/>
        <v>0.4</v>
      </c>
      <c r="W199" s="123">
        <f t="shared" si="60"/>
        <v>0.4</v>
      </c>
      <c r="X199" s="123">
        <f t="shared" si="60"/>
        <v>0.4</v>
      </c>
      <c r="Y199" s="123">
        <f t="shared" si="60"/>
        <v>0.4</v>
      </c>
      <c r="Z199" s="123">
        <f t="shared" si="60"/>
        <v>0.4</v>
      </c>
      <c r="AA199" s="123">
        <f t="shared" si="60"/>
        <v>0.4</v>
      </c>
      <c r="AB199" s="123">
        <f t="shared" si="60"/>
        <v>0.4</v>
      </c>
      <c r="AC199" s="123">
        <f t="shared" si="60"/>
        <v>0.4</v>
      </c>
      <c r="AD199" s="123">
        <f t="shared" si="60"/>
        <v>0.4</v>
      </c>
      <c r="AE199" s="123">
        <f t="shared" si="60"/>
        <v>0.4</v>
      </c>
      <c r="AF199" s="123">
        <f t="shared" si="60"/>
        <v>0.4</v>
      </c>
      <c r="AG199" s="132">
        <v>1</v>
      </c>
      <c r="AH199" s="55"/>
      <c r="AI199" s="56"/>
      <c r="AK199" s="57"/>
    </row>
    <row r="200" spans="1:37" ht="15.75" thickBot="1" x14ac:dyDescent="0.3">
      <c r="A200" s="111" t="s">
        <v>203</v>
      </c>
      <c r="B200" s="133">
        <f t="shared" si="58"/>
        <v>0.64</v>
      </c>
      <c r="C200" s="133">
        <v>0.64</v>
      </c>
      <c r="D200" s="133">
        <f t="shared" si="59"/>
        <v>0.64</v>
      </c>
      <c r="E200" s="133">
        <f t="shared" si="59"/>
        <v>0.64</v>
      </c>
      <c r="F200" s="133">
        <f t="shared" si="59"/>
        <v>0.64</v>
      </c>
      <c r="G200" s="133">
        <f t="shared" si="59"/>
        <v>0.64</v>
      </c>
      <c r="H200" s="133">
        <f t="shared" si="59"/>
        <v>0.64</v>
      </c>
      <c r="I200" s="133">
        <f t="shared" si="59"/>
        <v>0.64</v>
      </c>
      <c r="J200" s="133">
        <f t="shared" si="59"/>
        <v>0.64</v>
      </c>
      <c r="K200" s="133">
        <f t="shared" si="59"/>
        <v>0.64</v>
      </c>
      <c r="L200" s="133">
        <f t="shared" si="59"/>
        <v>0.64</v>
      </c>
      <c r="M200" s="133">
        <f t="shared" si="59"/>
        <v>0.64</v>
      </c>
      <c r="N200" s="133">
        <f t="shared" si="59"/>
        <v>0.64</v>
      </c>
      <c r="O200" s="133">
        <f t="shared" si="59"/>
        <v>0.64</v>
      </c>
      <c r="P200" s="133">
        <f t="shared" si="59"/>
        <v>0.64</v>
      </c>
      <c r="Q200" s="133">
        <f t="shared" si="59"/>
        <v>0.64</v>
      </c>
      <c r="R200" s="133">
        <f t="shared" si="59"/>
        <v>0.64</v>
      </c>
      <c r="S200" s="133">
        <f t="shared" si="59"/>
        <v>0.64</v>
      </c>
      <c r="T200" s="133">
        <f t="shared" si="60"/>
        <v>0.64</v>
      </c>
      <c r="U200" s="133">
        <f t="shared" si="60"/>
        <v>0.64</v>
      </c>
      <c r="V200" s="133">
        <f t="shared" si="60"/>
        <v>0.64</v>
      </c>
      <c r="W200" s="133">
        <f t="shared" si="60"/>
        <v>0.64</v>
      </c>
      <c r="X200" s="133">
        <f t="shared" si="60"/>
        <v>0.64</v>
      </c>
      <c r="Y200" s="133">
        <f t="shared" si="60"/>
        <v>0.64</v>
      </c>
      <c r="Z200" s="133">
        <f t="shared" si="60"/>
        <v>0.64</v>
      </c>
      <c r="AA200" s="133">
        <f t="shared" si="60"/>
        <v>0.64</v>
      </c>
      <c r="AB200" s="133">
        <f t="shared" si="60"/>
        <v>0.64</v>
      </c>
      <c r="AC200" s="133">
        <f t="shared" si="60"/>
        <v>0.64</v>
      </c>
      <c r="AD200" s="133">
        <f t="shared" si="60"/>
        <v>0.64</v>
      </c>
      <c r="AE200" s="133">
        <f t="shared" si="60"/>
        <v>0.64</v>
      </c>
      <c r="AF200" s="133">
        <f t="shared" si="60"/>
        <v>0.64</v>
      </c>
      <c r="AG200" s="134">
        <v>0.66</v>
      </c>
      <c r="AH200" s="55"/>
      <c r="AI200" s="56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61">SUM(D195:D200)</f>
        <v>3.54</v>
      </c>
      <c r="E201" s="136">
        <f t="shared" si="61"/>
        <v>3.54</v>
      </c>
      <c r="F201" s="136">
        <f t="shared" si="61"/>
        <v>3.54</v>
      </c>
      <c r="G201" s="136">
        <f t="shared" si="61"/>
        <v>3.54</v>
      </c>
      <c r="H201" s="136">
        <f t="shared" si="61"/>
        <v>3.54</v>
      </c>
      <c r="I201" s="136">
        <f t="shared" si="61"/>
        <v>3.54</v>
      </c>
      <c r="J201" s="136">
        <f t="shared" si="61"/>
        <v>3.54</v>
      </c>
      <c r="K201" s="136">
        <f t="shared" si="61"/>
        <v>3.54</v>
      </c>
      <c r="L201" s="136">
        <f t="shared" si="61"/>
        <v>3.54</v>
      </c>
      <c r="M201" s="136">
        <f>SUM(M195:M200)</f>
        <v>3.54</v>
      </c>
      <c r="N201" s="136">
        <f t="shared" ref="N201:S201" si="62">SUM(N195:N200)</f>
        <v>3.54</v>
      </c>
      <c r="O201" s="136">
        <f t="shared" si="62"/>
        <v>3.54</v>
      </c>
      <c r="P201" s="136">
        <f t="shared" si="62"/>
        <v>3.54</v>
      </c>
      <c r="Q201" s="136">
        <f t="shared" si="62"/>
        <v>3.54</v>
      </c>
      <c r="R201" s="136">
        <f t="shared" si="62"/>
        <v>3.54</v>
      </c>
      <c r="S201" s="136">
        <f t="shared" si="62"/>
        <v>3.54</v>
      </c>
      <c r="T201" s="136">
        <f>SUM(T195:T200)</f>
        <v>3.54</v>
      </c>
      <c r="U201" s="136">
        <f t="shared" ref="U201:AG201" si="63">SUM(U195:U200)</f>
        <v>3.54</v>
      </c>
      <c r="V201" s="136">
        <f t="shared" si="63"/>
        <v>3.54</v>
      </c>
      <c r="W201" s="136">
        <f t="shared" si="63"/>
        <v>3.54</v>
      </c>
      <c r="X201" s="136">
        <f t="shared" si="63"/>
        <v>3.54</v>
      </c>
      <c r="Y201" s="136">
        <f t="shared" si="63"/>
        <v>3.54</v>
      </c>
      <c r="Z201" s="136">
        <f t="shared" si="63"/>
        <v>3.54</v>
      </c>
      <c r="AA201" s="136">
        <f t="shared" si="63"/>
        <v>3.54</v>
      </c>
      <c r="AB201" s="136">
        <f t="shared" si="63"/>
        <v>3.54</v>
      </c>
      <c r="AC201" s="136">
        <f t="shared" si="63"/>
        <v>3.54</v>
      </c>
      <c r="AD201" s="136">
        <f t="shared" si="63"/>
        <v>3.54</v>
      </c>
      <c r="AE201" s="136">
        <f t="shared" si="63"/>
        <v>3.54</v>
      </c>
      <c r="AF201" s="136">
        <f t="shared" si="63"/>
        <v>3.54</v>
      </c>
      <c r="AG201" s="137">
        <f t="shared" si="63"/>
        <v>8.56</v>
      </c>
      <c r="AH201" s="55"/>
      <c r="AI201" s="56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204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5"/>
      <c r="AI203" s="56"/>
    </row>
    <row r="204" spans="1:37" x14ac:dyDescent="0.25">
      <c r="A204" s="140" t="s">
        <v>205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5"/>
      <c r="AI204" s="56"/>
    </row>
    <row r="205" spans="1:37" x14ac:dyDescent="0.25">
      <c r="A205" s="92" t="s">
        <v>206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x14ac:dyDescent="0.25">
      <c r="A206" s="92" t="s">
        <v>207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5"/>
      <c r="AI206" s="56"/>
    </row>
    <row r="207" spans="1:37" ht="15.75" thickBot="1" x14ac:dyDescent="0.3">
      <c r="A207" s="146" t="s">
        <v>208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5"/>
      <c r="AI207" s="56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209</v>
      </c>
      <c r="B210" s="150">
        <f>MAX(G75:N75)</f>
        <v>1684.7399999999998</v>
      </c>
      <c r="C210" s="151">
        <f>INDEX(G9:N9,1,MATCH(MAX(G75:N75),G75:N75,0))</f>
        <v>0.29166666666666669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1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8" t="s">
        <v>210</v>
      </c>
      <c r="B212" s="198"/>
      <c r="C212" s="47"/>
      <c r="D212" s="152" t="str">
        <f ca="1">"Pie Chart of Daily Peak Demand(Inclusive of Export) of Nepal ("&amp;A4&amp;" "&amp;B4&amp;")"</f>
        <v>Pie Chart of Daily Peak Demand(Inclusive of Export) of Nepal (Nepali Date: 2079/02/1)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2079/02/1)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211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212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213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214</v>
      </c>
      <c r="T215" s="161">
        <f t="shared" ref="T215:AX215" si="64">B75</f>
        <v>1787.44</v>
      </c>
      <c r="U215" s="161">
        <f t="shared" si="64"/>
        <v>1774.2400000000002</v>
      </c>
      <c r="V215" s="161">
        <f t="shared" si="64"/>
        <v>1763.14</v>
      </c>
      <c r="W215" s="161">
        <f t="shared" si="64"/>
        <v>1712.04</v>
      </c>
      <c r="X215" s="161">
        <f t="shared" si="64"/>
        <v>1673.7399999999998</v>
      </c>
      <c r="Y215" s="161">
        <f t="shared" si="64"/>
        <v>1683.54</v>
      </c>
      <c r="Z215" s="161">
        <f t="shared" si="64"/>
        <v>1577.04</v>
      </c>
      <c r="AA215" s="161">
        <f t="shared" si="64"/>
        <v>1576.04</v>
      </c>
      <c r="AB215" s="161">
        <f t="shared" si="64"/>
        <v>1601.8400000000001</v>
      </c>
      <c r="AC215" s="161">
        <f t="shared" si="64"/>
        <v>1684.7399999999998</v>
      </c>
      <c r="AD215" s="161">
        <f t="shared" si="64"/>
        <v>1658.2399999999998</v>
      </c>
      <c r="AE215" s="161">
        <f t="shared" si="64"/>
        <v>1627.64</v>
      </c>
      <c r="AF215" s="161">
        <f t="shared" si="64"/>
        <v>1653.54</v>
      </c>
      <c r="AG215" s="161">
        <f t="shared" si="64"/>
        <v>1680.3400000000001</v>
      </c>
      <c r="AH215" s="161">
        <f t="shared" si="64"/>
        <v>1645.14</v>
      </c>
      <c r="AI215" s="161">
        <f t="shared" si="64"/>
        <v>1699.5400000000002</v>
      </c>
      <c r="AJ215" s="161">
        <f t="shared" si="64"/>
        <v>1704.2400000000002</v>
      </c>
      <c r="AK215" s="161">
        <f t="shared" si="64"/>
        <v>1718.8400000000001</v>
      </c>
      <c r="AL215" s="161">
        <f t="shared" si="64"/>
        <v>1717.64</v>
      </c>
      <c r="AM215" s="161">
        <f t="shared" si="64"/>
        <v>1552.7400000000002</v>
      </c>
      <c r="AN215" s="161">
        <f t="shared" si="64"/>
        <v>1640.5400000000002</v>
      </c>
      <c r="AO215" s="161">
        <f t="shared" si="64"/>
        <v>1580.54</v>
      </c>
      <c r="AP215" s="161">
        <f t="shared" si="64"/>
        <v>1573.3400000000001</v>
      </c>
      <c r="AQ215" s="161">
        <f t="shared" si="64"/>
        <v>1625.0400000000002</v>
      </c>
      <c r="AR215" s="161">
        <f t="shared" si="64"/>
        <v>1705.3400000000001</v>
      </c>
      <c r="AS215" s="161">
        <f t="shared" si="64"/>
        <v>1766.7400000000002</v>
      </c>
      <c r="AT215" s="161">
        <f t="shared" si="64"/>
        <v>1732.3400000000001</v>
      </c>
      <c r="AU215" s="161">
        <f t="shared" si="64"/>
        <v>1679.14</v>
      </c>
      <c r="AV215" s="161">
        <f t="shared" si="64"/>
        <v>1667.5400000000002</v>
      </c>
      <c r="AW215" s="161">
        <f t="shared" si="64"/>
        <v>1638.8400000000001</v>
      </c>
      <c r="AX215" s="161">
        <f t="shared" si="64"/>
        <v>1584.0400000000002</v>
      </c>
    </row>
    <row r="216" spans="1:50" x14ac:dyDescent="0.25">
      <c r="A216" s="153" t="s">
        <v>215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216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217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218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219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204</v>
      </c>
      <c r="B236" s="164">
        <f t="shared" ref="B236:AE236" si="65">C200</f>
        <v>0.64</v>
      </c>
      <c r="C236" s="164">
        <f t="shared" si="65"/>
        <v>0.64</v>
      </c>
      <c r="D236" s="164">
        <f t="shared" si="65"/>
        <v>0.64</v>
      </c>
      <c r="E236" s="164">
        <f t="shared" si="65"/>
        <v>0.64</v>
      </c>
      <c r="F236" s="164">
        <f t="shared" si="65"/>
        <v>0.64</v>
      </c>
      <c r="G236" s="164">
        <f t="shared" si="65"/>
        <v>0.64</v>
      </c>
      <c r="H236" s="164">
        <f t="shared" si="65"/>
        <v>0.64</v>
      </c>
      <c r="I236" s="164">
        <f t="shared" si="65"/>
        <v>0.64</v>
      </c>
      <c r="J236" s="164">
        <f t="shared" si="65"/>
        <v>0.64</v>
      </c>
      <c r="K236" s="164">
        <f t="shared" si="65"/>
        <v>0.64</v>
      </c>
      <c r="L236" s="164">
        <f t="shared" si="65"/>
        <v>0.64</v>
      </c>
      <c r="M236" s="164">
        <f t="shared" si="65"/>
        <v>0.64</v>
      </c>
      <c r="N236" s="164">
        <f t="shared" si="65"/>
        <v>0.64</v>
      </c>
      <c r="O236" s="164">
        <f t="shared" si="65"/>
        <v>0.64</v>
      </c>
      <c r="P236" s="164">
        <f t="shared" si="65"/>
        <v>0.64</v>
      </c>
      <c r="Q236" s="164">
        <f t="shared" si="65"/>
        <v>0.64</v>
      </c>
      <c r="R236" s="164">
        <f t="shared" si="65"/>
        <v>0.64</v>
      </c>
      <c r="S236" s="164">
        <f t="shared" si="65"/>
        <v>0.64</v>
      </c>
      <c r="T236" s="164">
        <f t="shared" si="65"/>
        <v>0.64</v>
      </c>
      <c r="U236" s="164">
        <f t="shared" si="65"/>
        <v>0.64</v>
      </c>
      <c r="V236" s="164">
        <f t="shared" si="65"/>
        <v>0.64</v>
      </c>
      <c r="W236" s="164">
        <f t="shared" si="65"/>
        <v>0.64</v>
      </c>
      <c r="X236" s="164">
        <f t="shared" si="65"/>
        <v>0.64</v>
      </c>
      <c r="Y236" s="164">
        <f t="shared" si="65"/>
        <v>0.64</v>
      </c>
      <c r="Z236" s="164">
        <f t="shared" si="65"/>
        <v>0.64</v>
      </c>
      <c r="AA236" s="164">
        <f t="shared" si="65"/>
        <v>0.64</v>
      </c>
      <c r="AB236" s="164">
        <f t="shared" si="65"/>
        <v>0.64</v>
      </c>
      <c r="AC236" s="164">
        <f t="shared" si="65"/>
        <v>0.64</v>
      </c>
      <c r="AD236" s="164">
        <f t="shared" si="65"/>
        <v>0.64</v>
      </c>
      <c r="AE236" s="164">
        <f t="shared" si="65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66">IF(C204&lt;100,"",C204-520)</f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67">IF(B205&lt;100,"",B205-620)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68">IF(B206&lt;100,"",B206-330)</f>
        <v/>
      </c>
      <c r="C239" s="107" t="str">
        <f t="shared" si="68"/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69">IF(C207&lt;100,"",C207-1500)</f>
        <v/>
      </c>
      <c r="D240" s="107" t="str">
        <f t="shared" si="69"/>
        <v/>
      </c>
      <c r="E240" s="107" t="str">
        <f t="shared" si="69"/>
        <v/>
      </c>
      <c r="F240" s="107" t="str">
        <f t="shared" si="69"/>
        <v/>
      </c>
      <c r="G240" s="107" t="str">
        <f t="shared" si="69"/>
        <v/>
      </c>
      <c r="H240" s="107" t="str">
        <f t="shared" si="69"/>
        <v/>
      </c>
      <c r="I240" s="107" t="str">
        <f t="shared" si="69"/>
        <v/>
      </c>
      <c r="J240" s="107" t="str">
        <f t="shared" si="69"/>
        <v/>
      </c>
      <c r="K240" s="107" t="str">
        <f t="shared" si="69"/>
        <v/>
      </c>
      <c r="L240" s="107" t="str">
        <f t="shared" si="69"/>
        <v/>
      </c>
      <c r="M240" s="107" t="str">
        <f t="shared" si="69"/>
        <v/>
      </c>
      <c r="N240" s="107" t="str">
        <f t="shared" si="69"/>
        <v/>
      </c>
      <c r="O240" s="107" t="str">
        <f t="shared" si="69"/>
        <v/>
      </c>
      <c r="P240" s="107" t="str">
        <f t="shared" si="69"/>
        <v/>
      </c>
      <c r="Q240" s="107" t="str">
        <f t="shared" si="69"/>
        <v/>
      </c>
      <c r="R240" s="107" t="str">
        <f t="shared" si="69"/>
        <v/>
      </c>
      <c r="S240" s="107" t="str">
        <f t="shared" si="69"/>
        <v/>
      </c>
      <c r="T240" s="107" t="str">
        <f t="shared" si="69"/>
        <v/>
      </c>
      <c r="U240" s="107" t="str">
        <f t="shared" si="69"/>
        <v/>
      </c>
      <c r="V240" s="107" t="str">
        <f t="shared" si="69"/>
        <v/>
      </c>
      <c r="W240" s="107" t="str">
        <f t="shared" si="69"/>
        <v/>
      </c>
      <c r="X240" s="107" t="str">
        <f t="shared" si="69"/>
        <v/>
      </c>
      <c r="Y240" s="107" t="str">
        <f t="shared" si="69"/>
        <v/>
      </c>
      <c r="Z240" s="107" t="str">
        <f t="shared" si="69"/>
        <v/>
      </c>
      <c r="AA240" s="107" t="str">
        <f t="shared" si="69"/>
        <v/>
      </c>
      <c r="AB240" s="107" t="str">
        <f t="shared" si="69"/>
        <v/>
      </c>
      <c r="AC240" s="107" t="str">
        <f t="shared" si="69"/>
        <v/>
      </c>
      <c r="AD240" s="107" t="str">
        <f t="shared" si="69"/>
        <v/>
      </c>
      <c r="AE240" s="107" t="str">
        <f t="shared" si="69"/>
        <v/>
      </c>
      <c r="AF240" s="107" t="str">
        <f t="shared" si="69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C82:AF82 J74:AF74 V11:W11 C94:AF101 Y11:AF11">
    <cfRule type="expression" dxfId="6822" priority="275">
      <formula>B$9&gt;=20/24</formula>
    </cfRule>
    <cfRule type="expression" dxfId="6821" priority="276">
      <formula>AND(B$9&gt;=14/24,B$9&lt;20/24)</formula>
    </cfRule>
    <cfRule type="expression" dxfId="6820" priority="277">
      <formula>AND(B$9&gt;=8/24,B$9&lt;14/24)</formula>
    </cfRule>
    <cfRule type="expression" dxfId="6819" priority="278">
      <formula>B$9&lt;8/24</formula>
    </cfRule>
  </conditionalFormatting>
  <conditionalFormatting sqref="AL4:AL6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6818" priority="270">
      <formula>AB$9&gt;=20/24</formula>
    </cfRule>
    <cfRule type="expression" dxfId="6817" priority="271">
      <formula>AND(AB$9&gt;=14/24,AB$9&lt;20/24)</formula>
    </cfRule>
    <cfRule type="expression" dxfId="6816" priority="272">
      <formula>AND(AB$9&gt;=8/24,AB$9&lt;14/24)</formula>
    </cfRule>
    <cfRule type="expression" dxfId="6815" priority="273">
      <formula>AB$9&lt;8/24</formula>
    </cfRule>
  </conditionalFormatting>
  <conditionalFormatting sqref="AG51 J11:W11 Y11:AF11 AB37:AF37">
    <cfRule type="expression" dxfId="6814" priority="269">
      <formula>J11&gt;$AG11</formula>
    </cfRule>
  </conditionalFormatting>
  <conditionalFormatting sqref="A102:A158 A84:A97 A11:A14 A16:A32 A45:A72 A80:A82 A74:A78 A35:A43 A171:A201">
    <cfRule type="expression" dxfId="6813" priority="268">
      <formula>$AH11=0</formula>
    </cfRule>
  </conditionalFormatting>
  <conditionalFormatting sqref="A98">
    <cfRule type="expression" dxfId="6812" priority="267">
      <formula>$AH98=0</formula>
    </cfRule>
  </conditionalFormatting>
  <conditionalFormatting sqref="AL32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811" priority="265">
      <formula>$AH34=0</formula>
    </cfRule>
  </conditionalFormatting>
  <conditionalFormatting sqref="A83">
    <cfRule type="expression" dxfId="6810" priority="264">
      <formula>$AH83=0</formula>
    </cfRule>
  </conditionalFormatting>
  <conditionalFormatting sqref="A15">
    <cfRule type="expression" dxfId="6809" priority="263">
      <formula>$AH15=0</formula>
    </cfRule>
  </conditionalFormatting>
  <conditionalFormatting sqref="A165:A170">
    <cfRule type="expression" dxfId="6808" priority="262">
      <formula>$AH165=0</formula>
    </cfRule>
  </conditionalFormatting>
  <conditionalFormatting sqref="A159:A164">
    <cfRule type="expression" dxfId="6807" priority="261">
      <formula>$AH159=0</formula>
    </cfRule>
  </conditionalFormatting>
  <conditionalFormatting sqref="A44">
    <cfRule type="expression" dxfId="6806" priority="260">
      <formula>$AH44=0</formula>
    </cfRule>
  </conditionalFormatting>
  <conditionalFormatting sqref="A79">
    <cfRule type="expression" dxfId="6805" priority="259">
      <formula>$AH79=0</formula>
    </cfRule>
  </conditionalFormatting>
  <conditionalFormatting sqref="A73">
    <cfRule type="expression" dxfId="6804" priority="258">
      <formula>$AH73=0</formula>
    </cfRule>
  </conditionalFormatting>
  <conditionalFormatting sqref="AL34:AL35 AL7:AL31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6803" priority="254">
      <formula>C$9&gt;=20/24</formula>
    </cfRule>
    <cfRule type="expression" dxfId="6802" priority="255">
      <formula>AND(C$9&gt;=14/24,C$9&lt;20/24)</formula>
    </cfRule>
    <cfRule type="expression" dxfId="6801" priority="256">
      <formula>AND(C$9&gt;=8/24,C$9&lt;14/24)</formula>
    </cfRule>
    <cfRule type="expression" dxfId="6800" priority="257">
      <formula>C$9&lt;8/24</formula>
    </cfRule>
  </conditionalFormatting>
  <conditionalFormatting sqref="AL33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99" priority="282">
      <formula>C$9&gt;=20/24</formula>
    </cfRule>
    <cfRule type="expression" dxfId="6798" priority="283">
      <formula>AND(C$9&gt;=14/24,C$9&lt;20/24)</formula>
    </cfRule>
    <cfRule type="expression" dxfId="6797" priority="284">
      <formula>AND(C$9&gt;=8/24,C$9&lt;14/24)</formula>
    </cfRule>
    <cfRule type="expression" dxfId="6796" priority="285">
      <formula>C$9&lt;8/24</formula>
    </cfRule>
  </conditionalFormatting>
  <conditionalFormatting sqref="A202">
    <cfRule type="expression" dxfId="6795" priority="286">
      <formula>$AH202=0</formula>
    </cfRule>
  </conditionalFormatting>
  <conditionalFormatting sqref="AG214">
    <cfRule type="expression" dxfId="6794" priority="287">
      <formula>B$9&gt;=20/24</formula>
    </cfRule>
    <cfRule type="expression" dxfId="6793" priority="288">
      <formula>AND(B$9&gt;=14/24,B$9&lt;20/24)</formula>
    </cfRule>
    <cfRule type="expression" dxfId="6792" priority="289">
      <formula>AND(B$9&gt;=8/24,B$9&lt;14/24)</formula>
    </cfRule>
    <cfRule type="expression" dxfId="6791" priority="290">
      <formula>B$9&lt;8/24</formula>
    </cfRule>
  </conditionalFormatting>
  <conditionalFormatting sqref="S8">
    <cfRule type="expression" dxfId="6790" priority="248">
      <formula>U$9&gt;=20/24</formula>
    </cfRule>
    <cfRule type="expression" dxfId="6789" priority="249">
      <formula>AND(U$9&gt;=14/24,U$9&lt;20/24)</formula>
    </cfRule>
    <cfRule type="expression" dxfId="6788" priority="250">
      <formula>AND(U$9&gt;=8/24,U$9&lt;14/24)</formula>
    </cfRule>
    <cfRule type="expression" dxfId="6787" priority="251">
      <formula>U$9&lt;8/24</formula>
    </cfRule>
  </conditionalFormatting>
  <conditionalFormatting sqref="AB8">
    <cfRule type="expression" dxfId="6786" priority="244">
      <formula>AD$9&gt;=20/24</formula>
    </cfRule>
    <cfRule type="expression" dxfId="6785" priority="245">
      <formula>AND(AD$9&gt;=14/24,AD$9&lt;20/24)</formula>
    </cfRule>
    <cfRule type="expression" dxfId="6784" priority="246">
      <formula>AND(AD$9&gt;=8/24,AD$9&lt;14/24)</formula>
    </cfRule>
    <cfRule type="expression" dxfId="6783" priority="247">
      <formula>AD$9&lt;8/24</formula>
    </cfRule>
  </conditionalFormatting>
  <conditionalFormatting sqref="AH214:AX214">
    <cfRule type="expression" dxfId="6782" priority="291">
      <formula>AG$9&gt;=20/24</formula>
    </cfRule>
    <cfRule type="expression" dxfId="6781" priority="292">
      <formula>AND(AG$9&gt;=14/24,AG$9&lt;20/24)</formula>
    </cfRule>
    <cfRule type="expression" dxfId="6780" priority="293">
      <formula>AND(AG$9&gt;=8/24,AG$9&lt;14/24)</formula>
    </cfRule>
    <cfRule type="expression" dxfId="6779" priority="294">
      <formula>AG$9&lt;8/24</formula>
    </cfRule>
  </conditionalFormatting>
  <conditionalFormatting sqref="T214">
    <cfRule type="expression" dxfId="6778" priority="295">
      <formula>AX$9&gt;=20/24</formula>
    </cfRule>
    <cfRule type="expression" dxfId="6777" priority="296">
      <formula>AND(AX$9&gt;=14/24,AX$9&lt;20/24)</formula>
    </cfRule>
    <cfRule type="expression" dxfId="6776" priority="297">
      <formula>AND(AX$9&gt;=8/24,AX$9&lt;14/24)</formula>
    </cfRule>
    <cfRule type="expression" dxfId="6775" priority="298">
      <formula>AX$9&lt;8/24</formula>
    </cfRule>
  </conditionalFormatting>
  <conditionalFormatting sqref="A99:A100">
    <cfRule type="expression" dxfId="6774" priority="243">
      <formula>$AH99=0</formula>
    </cfRule>
  </conditionalFormatting>
  <conditionalFormatting sqref="E11:I11 T40:W41 C57:W57 Z40:AF41 Z57:AF57">
    <cfRule type="expression" dxfId="6773" priority="239">
      <formula>C$9&gt;=20/24</formula>
    </cfRule>
    <cfRule type="expression" dxfId="6772" priority="240">
      <formula>AND(C$9&gt;=14/24,C$9&lt;20/24)</formula>
    </cfRule>
    <cfRule type="expression" dxfId="6771" priority="241">
      <formula>AND(C$9&gt;=8/24,C$9&lt;14/24)</formula>
    </cfRule>
    <cfRule type="expression" dxfId="6770" priority="242">
      <formula>C$9&lt;8/24</formula>
    </cfRule>
  </conditionalFormatting>
  <conditionalFormatting sqref="T39:W39 Z39:AF39">
    <cfRule type="expression" dxfId="6769" priority="235">
      <formula>T$9&gt;=20/24</formula>
    </cfRule>
    <cfRule type="expression" dxfId="6768" priority="236">
      <formula>AND(T$9&gt;=14/24,T$9&lt;20/24)</formula>
    </cfRule>
    <cfRule type="expression" dxfId="6767" priority="237">
      <formula>AND(T$9&gt;=8/24,T$9&lt;14/24)</formula>
    </cfRule>
    <cfRule type="expression" dxfId="6766" priority="238">
      <formula>T$9&lt;8/24</formula>
    </cfRule>
  </conditionalFormatting>
  <conditionalFormatting sqref="E11:I11 T39:W41 Z39:AF41">
    <cfRule type="expression" dxfId="6765" priority="234">
      <formula>E11&gt;$AG11</formula>
    </cfRule>
  </conditionalFormatting>
  <conditionalFormatting sqref="C83:AF83 C75:AF81 C58:R59 C69:AF73 H12:L13 C67:L67 C60:L63 M60:R67 M11:U14 V12:W14 M16:W16 M28:W31 M24:W26 M18:W22 M36:W36 S58:W67 C85:AF91 AE30:AF30 C53:AF56 Z58:AF67">
    <cfRule type="expression" dxfId="6764" priority="230">
      <formula>C$9&gt;=20/24</formula>
    </cfRule>
    <cfRule type="expression" dxfId="6763" priority="231">
      <formula>AND(C$9&gt;=14/24,C$9&lt;20/24)</formula>
    </cfRule>
    <cfRule type="expression" dxfId="6762" priority="232">
      <formula>AND(C$9&gt;=8/24,C$9&lt;14/24)</formula>
    </cfRule>
    <cfRule type="expression" dxfId="6761" priority="233">
      <formula>C$9&lt;8/24</formula>
    </cfRule>
  </conditionalFormatting>
  <conditionalFormatting sqref="M32:W32">
    <cfRule type="expression" dxfId="6760" priority="226">
      <formula>M$9&gt;=20/24</formula>
    </cfRule>
    <cfRule type="expression" dxfId="6759" priority="227">
      <formula>AND(M$9&gt;=14/24,M$9&lt;20/24)</formula>
    </cfRule>
    <cfRule type="expression" dxfId="6758" priority="228">
      <formula>AND(M$9&gt;=8/24,M$9&lt;14/24)</formula>
    </cfRule>
    <cfRule type="expression" dxfId="6757" priority="229">
      <formula>M$9&lt;8/24</formula>
    </cfRule>
  </conditionalFormatting>
  <conditionalFormatting sqref="M35:W35">
    <cfRule type="expression" dxfId="6756" priority="222">
      <formula>M$9&gt;=20/24</formula>
    </cfRule>
    <cfRule type="expression" dxfId="6755" priority="223">
      <formula>AND(M$9&gt;=14/24,M$9&lt;20/24)</formula>
    </cfRule>
    <cfRule type="expression" dxfId="6754" priority="224">
      <formula>AND(M$9&gt;=8/24,M$9&lt;14/24)</formula>
    </cfRule>
    <cfRule type="expression" dxfId="6753" priority="225">
      <formula>M$9&lt;8/24</formula>
    </cfRule>
  </conditionalFormatting>
  <conditionalFormatting sqref="C38:AF38 H12:L13 M11:U16 V12:W16 M24:W32 M18:W22 M34:W37 AE30:AF30 C51:AF56">
    <cfRule type="expression" dxfId="6752" priority="221">
      <formula>C11&gt;$AG11</formula>
    </cfRule>
  </conditionalFormatting>
  <conditionalFormatting sqref="M34:W34">
    <cfRule type="expression" dxfId="6751" priority="217">
      <formula>M$9&gt;=20/24</formula>
    </cfRule>
    <cfRule type="expression" dxfId="6750" priority="218">
      <formula>AND(M$9&gt;=14/24,M$9&lt;20/24)</formula>
    </cfRule>
    <cfRule type="expression" dxfId="6749" priority="219">
      <formula>AND(M$9&gt;=8/24,M$9&lt;14/24)</formula>
    </cfRule>
    <cfRule type="expression" dxfId="6748" priority="220">
      <formula>M$9&lt;8/24</formula>
    </cfRule>
  </conditionalFormatting>
  <conditionalFormatting sqref="M15:W15">
    <cfRule type="expression" dxfId="6747" priority="213">
      <formula>M$9&gt;=20/24</formula>
    </cfRule>
    <cfRule type="expression" dxfId="6746" priority="214">
      <formula>AND(M$9&gt;=14/24,M$9&lt;20/24)</formula>
    </cfRule>
    <cfRule type="expression" dxfId="6745" priority="215">
      <formula>AND(M$9&gt;=8/24,M$9&lt;14/24)</formula>
    </cfRule>
    <cfRule type="expression" dxfId="6744" priority="216">
      <formula>M$9&lt;8/24</formula>
    </cfRule>
  </conditionalFormatting>
  <conditionalFormatting sqref="M33:W33">
    <cfRule type="expression" dxfId="6743" priority="209">
      <formula>M$9&gt;=20/24</formula>
    </cfRule>
    <cfRule type="expression" dxfId="6742" priority="210">
      <formula>AND(M$9&gt;=14/24,M$9&lt;20/24)</formula>
    </cfRule>
    <cfRule type="expression" dxfId="6741" priority="211">
      <formula>AND(M$9&gt;=8/24,M$9&lt;14/24)</formula>
    </cfRule>
    <cfRule type="expression" dxfId="6740" priority="212">
      <formula>M$9&lt;8/24</formula>
    </cfRule>
  </conditionalFormatting>
  <conditionalFormatting sqref="M33:W33">
    <cfRule type="expression" dxfId="6739" priority="208">
      <formula>M33&gt;$AG33</formula>
    </cfRule>
  </conditionalFormatting>
  <conditionalFormatting sqref="Z42:AF42">
    <cfRule type="expression" dxfId="6738" priority="200">
      <formula>Z$9&gt;=20/24</formula>
    </cfRule>
    <cfRule type="expression" dxfId="6737" priority="201">
      <formula>AND(Z$9&gt;=14/24,Z$9&lt;20/24)</formula>
    </cfRule>
    <cfRule type="expression" dxfId="6736" priority="202">
      <formula>AND(Z$9&gt;=8/24,Z$9&lt;14/24)</formula>
    </cfRule>
    <cfRule type="expression" dxfId="6735" priority="203">
      <formula>Z$9&lt;8/24</formula>
    </cfRule>
  </conditionalFormatting>
  <conditionalFormatting sqref="Z42:AF42">
    <cfRule type="expression" dxfId="6734" priority="199">
      <formula>Z42&gt;$AG42</formula>
    </cfRule>
  </conditionalFormatting>
  <conditionalFormatting sqref="M39:S50 T42:W50">
    <cfRule type="expression" dxfId="6733" priority="195">
      <formula>M$9&gt;=20/24</formula>
    </cfRule>
    <cfRule type="expression" dxfId="6732" priority="196">
      <formula>AND(M$9&gt;=14/24,M$9&lt;20/24)</formula>
    </cfRule>
    <cfRule type="expression" dxfId="6731" priority="197">
      <formula>AND(M$9&gt;=8/24,M$9&lt;14/24)</formula>
    </cfRule>
    <cfRule type="expression" dxfId="6730" priority="198">
      <formula>M$9&lt;8/24</formula>
    </cfRule>
  </conditionalFormatting>
  <conditionalFormatting sqref="M39:S50 T42:W50">
    <cfRule type="expression" dxfId="6729" priority="194">
      <formula>M39&gt;$AG39</formula>
    </cfRule>
  </conditionalFormatting>
  <conditionalFormatting sqref="M27:W27">
    <cfRule type="expression" dxfId="6728" priority="190">
      <formula>M$9&gt;=20/24</formula>
    </cfRule>
    <cfRule type="expression" dxfId="6727" priority="191">
      <formula>AND(M$9&gt;=14/24,M$9&lt;20/24)</formula>
    </cfRule>
    <cfRule type="expression" dxfId="6726" priority="192">
      <formula>AND(M$9&gt;=8/24,M$9&lt;14/24)</formula>
    </cfRule>
    <cfRule type="expression" dxfId="6725" priority="193">
      <formula>M$9&lt;8/24</formula>
    </cfRule>
  </conditionalFormatting>
  <conditionalFormatting sqref="C74:I74 M17:W17 M23:W23">
    <cfRule type="expression" dxfId="6724" priority="186">
      <formula>C$9&gt;=20/24</formula>
    </cfRule>
    <cfRule type="expression" dxfId="6723" priority="187">
      <formula>AND(C$9&gt;=14/24,C$9&lt;20/24)</formula>
    </cfRule>
    <cfRule type="expression" dxfId="6722" priority="188">
      <formula>AND(C$9&gt;=8/24,C$9&lt;14/24)</formula>
    </cfRule>
    <cfRule type="expression" dxfId="6721" priority="189">
      <formula>C$9&lt;8/24</formula>
    </cfRule>
  </conditionalFormatting>
  <conditionalFormatting sqref="M17:W17 M23:W23">
    <cfRule type="expression" dxfId="6720" priority="177">
      <formula>M17&gt;$AG17</formula>
    </cfRule>
  </conditionalFormatting>
  <conditionalFormatting sqref="C40:L41">
    <cfRule type="expression" dxfId="6719" priority="164">
      <formula>C$9&gt;=20/24</formula>
    </cfRule>
    <cfRule type="expression" dxfId="6718" priority="165">
      <formula>AND(C$9&gt;=14/24,C$9&lt;20/24)</formula>
    </cfRule>
    <cfRule type="expression" dxfId="6717" priority="166">
      <formula>AND(C$9&gt;=8/24,C$9&lt;14/24)</formula>
    </cfRule>
    <cfRule type="expression" dxfId="6716" priority="167">
      <formula>C$9&lt;8/24</formula>
    </cfRule>
  </conditionalFormatting>
  <conditionalFormatting sqref="C39:L39">
    <cfRule type="expression" dxfId="6715" priority="160">
      <formula>C$9&gt;=20/24</formula>
    </cfRule>
    <cfRule type="expression" dxfId="6714" priority="161">
      <formula>AND(C$9&gt;=14/24,C$9&lt;20/24)</formula>
    </cfRule>
    <cfRule type="expression" dxfId="6713" priority="162">
      <formula>AND(C$9&gt;=8/24,C$9&lt;14/24)</formula>
    </cfRule>
    <cfRule type="expression" dxfId="6712" priority="163">
      <formula>C$9&lt;8/24</formula>
    </cfRule>
  </conditionalFormatting>
  <conditionalFormatting sqref="C39:L41">
    <cfRule type="expression" dxfId="6711" priority="159">
      <formula>C39&gt;$AG39</formula>
    </cfRule>
  </conditionalFormatting>
  <conditionalFormatting sqref="C64:L66">
    <cfRule type="expression" dxfId="6710" priority="155">
      <formula>C$9&gt;=20/24</formula>
    </cfRule>
    <cfRule type="expression" dxfId="6709" priority="156">
      <formula>AND(C$9&gt;=14/24,C$9&lt;20/24)</formula>
    </cfRule>
    <cfRule type="expression" dxfId="6708" priority="157">
      <formula>AND(C$9&gt;=8/24,C$9&lt;14/24)</formula>
    </cfRule>
    <cfRule type="expression" dxfId="6707" priority="158">
      <formula>C$9&lt;8/24</formula>
    </cfRule>
  </conditionalFormatting>
  <conditionalFormatting sqref="C42:L43">
    <cfRule type="expression" dxfId="6706" priority="154">
      <formula>C42&gt;$AG42</formula>
    </cfRule>
  </conditionalFormatting>
  <conditionalFormatting sqref="C44:L50">
    <cfRule type="expression" dxfId="6705" priority="150">
      <formula>C$9&gt;=20/24</formula>
    </cfRule>
    <cfRule type="expression" dxfId="6704" priority="151">
      <formula>AND(C$9&gt;=14/24,C$9&lt;20/24)</formula>
    </cfRule>
    <cfRule type="expression" dxfId="6703" priority="152">
      <formula>AND(C$9&gt;=8/24,C$9&lt;14/24)</formula>
    </cfRule>
    <cfRule type="expression" dxfId="6702" priority="153">
      <formula>C$9&lt;8/24</formula>
    </cfRule>
  </conditionalFormatting>
  <conditionalFormatting sqref="C44:L50">
    <cfRule type="expression" dxfId="6701" priority="149">
      <formula>C44&gt;$AG44</formula>
    </cfRule>
  </conditionalFormatting>
  <conditionalFormatting sqref="B40:B41 B57">
    <cfRule type="expression" dxfId="6700" priority="123">
      <formula>B$9&gt;=20/24</formula>
    </cfRule>
    <cfRule type="expression" dxfId="6699" priority="124">
      <formula>AND(B$9&gt;=14/24,B$9&lt;20/24)</formula>
    </cfRule>
    <cfRule type="expression" dxfId="6698" priority="125">
      <formula>AND(B$9&gt;=8/24,B$9&lt;14/24)</formula>
    </cfRule>
    <cfRule type="expression" dxfId="6697" priority="126">
      <formula>B$9&lt;8/24</formula>
    </cfRule>
  </conditionalFormatting>
  <conditionalFormatting sqref="B39">
    <cfRule type="expression" dxfId="6696" priority="119">
      <formula>B$9&gt;=20/24</formula>
    </cfRule>
    <cfRule type="expression" dxfId="6695" priority="120">
      <formula>AND(B$9&gt;=14/24,B$9&lt;20/24)</formula>
    </cfRule>
    <cfRule type="expression" dxfId="6694" priority="121">
      <formula>AND(B$9&gt;=8/24,B$9&lt;14/24)</formula>
    </cfRule>
    <cfRule type="expression" dxfId="6693" priority="122">
      <formula>B$9&lt;8/24</formula>
    </cfRule>
  </conditionalFormatting>
  <conditionalFormatting sqref="B39:B41">
    <cfRule type="expression" dxfId="6692" priority="118">
      <formula>B39&gt;$AG39</formula>
    </cfRule>
  </conditionalFormatting>
  <conditionalFormatting sqref="B83 B75 B69:B73 B81 B53:B56 B85:B91 B58:B67 B16:L16">
    <cfRule type="expression" dxfId="6691" priority="114">
      <formula>B$9&gt;=20/24</formula>
    </cfRule>
    <cfRule type="expression" dxfId="6690" priority="115">
      <formula>AND(B$9&gt;=14/24,B$9&lt;20/24)</formula>
    </cfRule>
    <cfRule type="expression" dxfId="6689" priority="116">
      <formula>AND(B$9&gt;=8/24,B$9&lt;14/24)</formula>
    </cfRule>
    <cfRule type="expression" dxfId="6688" priority="117">
      <formula>B$9&lt;8/24</formula>
    </cfRule>
  </conditionalFormatting>
  <conditionalFormatting sqref="B38 B42:B43 B51:B56 B16:L16">
    <cfRule type="expression" dxfId="6687" priority="113">
      <formula>B16&gt;$AG16</formula>
    </cfRule>
  </conditionalFormatting>
  <conditionalFormatting sqref="B44:B50">
    <cfRule type="expression" dxfId="6686" priority="109">
      <formula>B$9&gt;=20/24</formula>
    </cfRule>
    <cfRule type="expression" dxfId="6685" priority="110">
      <formula>AND(B$9&gt;=14/24,B$9&lt;20/24)</formula>
    </cfRule>
    <cfRule type="expression" dxfId="6684" priority="111">
      <formula>AND(B$9&gt;=8/24,B$9&lt;14/24)</formula>
    </cfRule>
    <cfRule type="expression" dxfId="6683" priority="112">
      <formula>B$9&lt;8/24</formula>
    </cfRule>
  </conditionalFormatting>
  <conditionalFormatting sqref="B82 B74 B94:B101 B11:D11">
    <cfRule type="expression" dxfId="6682" priority="136">
      <formula>B$9&gt;=20/24</formula>
    </cfRule>
    <cfRule type="expression" dxfId="6681" priority="137">
      <formula>AND(B$9&gt;=14/24,B$9&lt;20/24)</formula>
    </cfRule>
    <cfRule type="expression" dxfId="6680" priority="138">
      <formula>AND(B$9&gt;=8/24,B$9&lt;14/24)</formula>
    </cfRule>
    <cfRule type="expression" dxfId="6679" priority="139">
      <formula>B$9&lt;8/24</formula>
    </cfRule>
  </conditionalFormatting>
  <conditionalFormatting sqref="B37:L37">
    <cfRule type="expression" dxfId="6678" priority="132">
      <formula>B$9&gt;=20/24</formula>
    </cfRule>
    <cfRule type="expression" dxfId="6677" priority="133">
      <formula>AND(B$9&gt;=14/24,B$9&lt;20/24)</formula>
    </cfRule>
    <cfRule type="expression" dxfId="6676" priority="134">
      <formula>AND(B$9&gt;=8/24,B$9&lt;14/24)</formula>
    </cfRule>
    <cfRule type="expression" dxfId="6675" priority="135">
      <formula>B$9&lt;8/24</formula>
    </cfRule>
  </conditionalFormatting>
  <conditionalFormatting sqref="B11:D11 B37:L37">
    <cfRule type="expression" dxfId="6674" priority="131">
      <formula>B11&gt;$AG11</formula>
    </cfRule>
  </conditionalFormatting>
  <conditionalFormatting sqref="B84">
    <cfRule type="expression" dxfId="6673" priority="127">
      <formula>B$9&gt;=20/24</formula>
    </cfRule>
    <cfRule type="expression" dxfId="6672" priority="128">
      <formula>AND(B$9&gt;=14/24,B$9&lt;20/24)</formula>
    </cfRule>
    <cfRule type="expression" dxfId="6671" priority="129">
      <formula>AND(B$9&gt;=8/24,B$9&lt;14/24)</formula>
    </cfRule>
    <cfRule type="expression" dxfId="6670" priority="130">
      <formula>B$9&lt;8/24</formula>
    </cfRule>
  </conditionalFormatting>
  <conditionalFormatting sqref="B44:B50">
    <cfRule type="expression" dxfId="6669" priority="108">
      <formula>B44&gt;$AG44</formula>
    </cfRule>
  </conditionalFormatting>
  <conditionalFormatting sqref="B36:L36">
    <cfRule type="expression" dxfId="6668" priority="104">
      <formula>B$9&gt;=20/24</formula>
    </cfRule>
    <cfRule type="expression" dxfId="6667" priority="105">
      <formula>AND(B$9&gt;=14/24,B$9&lt;20/24)</formula>
    </cfRule>
    <cfRule type="expression" dxfId="6666" priority="106">
      <formula>AND(B$9&gt;=8/24,B$9&lt;14/24)</formula>
    </cfRule>
    <cfRule type="expression" dxfId="6665" priority="107">
      <formula>B$9&lt;8/24</formula>
    </cfRule>
  </conditionalFormatting>
  <conditionalFormatting sqref="B36:L36">
    <cfRule type="expression" dxfId="6664" priority="103">
      <formula>B36&gt;$AG36</formula>
    </cfRule>
  </conditionalFormatting>
  <conditionalFormatting sqref="B68:AF68 B12:G14 H14:L14 B28:L31 B24:L26 B18:L22">
    <cfRule type="expression" dxfId="6663" priority="99">
      <formula>B$9&gt;=20/24</formula>
    </cfRule>
    <cfRule type="expression" dxfId="6662" priority="100">
      <formula>AND(B$9&gt;=14/24,B$9&lt;20/24)</formula>
    </cfRule>
    <cfRule type="expression" dxfId="6661" priority="101">
      <formula>AND(B$9&gt;=8/24,B$9&lt;14/24)</formula>
    </cfRule>
    <cfRule type="expression" dxfId="6660" priority="102">
      <formula>B$9&lt;8/24</formula>
    </cfRule>
  </conditionalFormatting>
  <conditionalFormatting sqref="B32:L32">
    <cfRule type="expression" dxfId="6659" priority="95">
      <formula>B$9&gt;=20/24</formula>
    </cfRule>
    <cfRule type="expression" dxfId="6658" priority="96">
      <formula>AND(B$9&gt;=14/24,B$9&lt;20/24)</formula>
    </cfRule>
    <cfRule type="expression" dxfId="6657" priority="97">
      <formula>AND(B$9&gt;=8/24,B$9&lt;14/24)</formula>
    </cfRule>
    <cfRule type="expression" dxfId="6656" priority="98">
      <formula>B$9&lt;8/24</formula>
    </cfRule>
  </conditionalFormatting>
  <conditionalFormatting sqref="B35:L35">
    <cfRule type="expression" dxfId="6655" priority="91">
      <formula>B$9&gt;=20/24</formula>
    </cfRule>
    <cfRule type="expression" dxfId="6654" priority="92">
      <formula>AND(B$9&gt;=14/24,B$9&lt;20/24)</formula>
    </cfRule>
    <cfRule type="expression" dxfId="6653" priority="93">
      <formula>AND(B$9&gt;=8/24,B$9&lt;14/24)</formula>
    </cfRule>
    <cfRule type="expression" dxfId="6652" priority="94">
      <formula>B$9&lt;8/24</formula>
    </cfRule>
  </conditionalFormatting>
  <conditionalFormatting sqref="B12:G15 H14:L15 B34:L35 B24:L32 B18:L22">
    <cfRule type="expression" dxfId="6651" priority="90">
      <formula>B12&gt;$AG12</formula>
    </cfRule>
  </conditionalFormatting>
  <conditionalFormatting sqref="B34:L34">
    <cfRule type="expression" dxfId="6650" priority="86">
      <formula>B$9&gt;=20/24</formula>
    </cfRule>
    <cfRule type="expression" dxfId="6649" priority="87">
      <formula>AND(B$9&gt;=14/24,B$9&lt;20/24)</formula>
    </cfRule>
    <cfRule type="expression" dxfId="6648" priority="88">
      <formula>AND(B$9&gt;=8/24,B$9&lt;14/24)</formula>
    </cfRule>
    <cfRule type="expression" dxfId="6647" priority="89">
      <formula>B$9&lt;8/24</formula>
    </cfRule>
  </conditionalFormatting>
  <conditionalFormatting sqref="B15:L15">
    <cfRule type="expression" dxfId="6646" priority="82">
      <formula>B$9&gt;=20/24</formula>
    </cfRule>
    <cfRule type="expression" dxfId="6645" priority="83">
      <formula>AND(B$9&gt;=14/24,B$9&lt;20/24)</formula>
    </cfRule>
    <cfRule type="expression" dxfId="6644" priority="84">
      <formula>AND(B$9&gt;=8/24,B$9&lt;14/24)</formula>
    </cfRule>
    <cfRule type="expression" dxfId="6643" priority="85">
      <formula>B$9&lt;8/24</formula>
    </cfRule>
  </conditionalFormatting>
  <conditionalFormatting sqref="B33:L33">
    <cfRule type="expression" dxfId="6642" priority="78">
      <formula>B$9&gt;=20/24</formula>
    </cfRule>
    <cfRule type="expression" dxfId="6641" priority="79">
      <formula>AND(B$9&gt;=14/24,B$9&lt;20/24)</formula>
    </cfRule>
    <cfRule type="expression" dxfId="6640" priority="80">
      <formula>AND(B$9&gt;=8/24,B$9&lt;14/24)</formula>
    </cfRule>
    <cfRule type="expression" dxfId="6639" priority="81">
      <formula>B$9&lt;8/24</formula>
    </cfRule>
  </conditionalFormatting>
  <conditionalFormatting sqref="B33:L33">
    <cfRule type="expression" dxfId="6638" priority="77">
      <formula>B33&gt;$AG33</formula>
    </cfRule>
  </conditionalFormatting>
  <conditionalFormatting sqref="B27:L27">
    <cfRule type="expression" dxfId="6637" priority="73">
      <formula>B$9&gt;=20/24</formula>
    </cfRule>
    <cfRule type="expression" dxfId="6636" priority="74">
      <formula>AND(B$9&gt;=14/24,B$9&lt;20/24)</formula>
    </cfRule>
    <cfRule type="expression" dxfId="6635" priority="75">
      <formula>AND(B$9&gt;=8/24,B$9&lt;14/24)</formula>
    </cfRule>
    <cfRule type="expression" dxfId="6634" priority="76">
      <formula>B$9&lt;8/24</formula>
    </cfRule>
  </conditionalFormatting>
  <conditionalFormatting sqref="B23:L23 B17:L17">
    <cfRule type="expression" dxfId="6633" priority="69">
      <formula>B$9&gt;=20/24</formula>
    </cfRule>
    <cfRule type="expression" dxfId="6632" priority="70">
      <formula>AND(B$9&gt;=14/24,B$9&lt;20/24)</formula>
    </cfRule>
    <cfRule type="expression" dxfId="6631" priority="71">
      <formula>AND(B$9&gt;=8/24,B$9&lt;14/24)</formula>
    </cfRule>
    <cfRule type="expression" dxfId="6630" priority="72">
      <formula>B$9&lt;8/24</formula>
    </cfRule>
  </conditionalFormatting>
  <conditionalFormatting sqref="B23:L23 B17:L17">
    <cfRule type="expression" dxfId="6629" priority="68">
      <formula>B17&gt;$AG17</formula>
    </cfRule>
  </conditionalFormatting>
  <conditionalFormatting sqref="B76:B80">
    <cfRule type="expression" dxfId="6628" priority="64">
      <formula>B$9&gt;=20/24</formula>
    </cfRule>
    <cfRule type="expression" dxfId="6627" priority="65">
      <formula>AND(B$9&gt;=14/24,B$9&lt;20/24)</formula>
    </cfRule>
    <cfRule type="expression" dxfId="6626" priority="66">
      <formula>AND(B$9&gt;=8/24,B$9&lt;14/24)</formula>
    </cfRule>
    <cfRule type="expression" dxfId="6625" priority="67">
      <formula>B$9&lt;8/24</formula>
    </cfRule>
  </conditionalFormatting>
  <conditionalFormatting sqref="A101">
    <cfRule type="expression" dxfId="6624" priority="63">
      <formula>$AH101=0</formula>
    </cfRule>
  </conditionalFormatting>
  <conditionalFormatting sqref="X11">
    <cfRule type="expression" dxfId="6623" priority="59">
      <formula>X$9&gt;=20/24</formula>
    </cfRule>
    <cfRule type="expression" dxfId="6622" priority="60">
      <formula>AND(X$9&gt;=14/24,X$9&lt;20/24)</formula>
    </cfRule>
    <cfRule type="expression" dxfId="6621" priority="61">
      <formula>AND(X$9&gt;=8/24,X$9&lt;14/24)</formula>
    </cfRule>
    <cfRule type="expression" dxfId="6620" priority="62">
      <formula>X$9&lt;8/24</formula>
    </cfRule>
  </conditionalFormatting>
  <conditionalFormatting sqref="X11">
    <cfRule type="expression" dxfId="6619" priority="58">
      <formula>X11&gt;$AG11</formula>
    </cfRule>
  </conditionalFormatting>
  <conditionalFormatting sqref="X28:AD31 X12:AF14 X16:AF16 AE28:AF29 X24:AF26 X18:AF22 AE31:AF31 X36:AF36">
    <cfRule type="expression" dxfId="6618" priority="54">
      <formula>X$9&gt;=20/24</formula>
    </cfRule>
    <cfRule type="expression" dxfId="6617" priority="55">
      <formula>AND(X$9&gt;=14/24,X$9&lt;20/24)</formula>
    </cfRule>
    <cfRule type="expression" dxfId="6616" priority="56">
      <formula>AND(X$9&gt;=8/24,X$9&lt;14/24)</formula>
    </cfRule>
    <cfRule type="expression" dxfId="6615" priority="57">
      <formula>X$9&lt;8/24</formula>
    </cfRule>
  </conditionalFormatting>
  <conditionalFormatting sqref="X32:AF32">
    <cfRule type="expression" dxfId="6614" priority="50">
      <formula>X$9&gt;=20/24</formula>
    </cfRule>
    <cfRule type="expression" dxfId="6613" priority="51">
      <formula>AND(X$9&gt;=14/24,X$9&lt;20/24)</formula>
    </cfRule>
    <cfRule type="expression" dxfId="6612" priority="52">
      <formula>AND(X$9&gt;=8/24,X$9&lt;14/24)</formula>
    </cfRule>
    <cfRule type="expression" dxfId="6611" priority="53">
      <formula>X$9&lt;8/24</formula>
    </cfRule>
  </conditionalFormatting>
  <conditionalFormatting sqref="X35:AF35">
    <cfRule type="expression" dxfId="6610" priority="46">
      <formula>X$9&gt;=20/24</formula>
    </cfRule>
    <cfRule type="expression" dxfId="6609" priority="47">
      <formula>AND(X$9&gt;=14/24,X$9&lt;20/24)</formula>
    </cfRule>
    <cfRule type="expression" dxfId="6608" priority="48">
      <formula>AND(X$9&gt;=8/24,X$9&lt;14/24)</formula>
    </cfRule>
    <cfRule type="expression" dxfId="6607" priority="49">
      <formula>X$9&lt;8/24</formula>
    </cfRule>
  </conditionalFormatting>
  <conditionalFormatting sqref="X34:AA37 X24:AD32 X12:AF16 AE24:AF29 X18:AF22 AE31:AF32 AB34:AF36">
    <cfRule type="expression" dxfId="6606" priority="45">
      <formula>X12&gt;$AG12</formula>
    </cfRule>
  </conditionalFormatting>
  <conditionalFormatting sqref="X34:AF34">
    <cfRule type="expression" dxfId="6605" priority="41">
      <formula>X$9&gt;=20/24</formula>
    </cfRule>
    <cfRule type="expression" dxfId="6604" priority="42">
      <formula>AND(X$9&gt;=14/24,X$9&lt;20/24)</formula>
    </cfRule>
    <cfRule type="expression" dxfId="6603" priority="43">
      <formula>AND(X$9&gt;=8/24,X$9&lt;14/24)</formula>
    </cfRule>
    <cfRule type="expression" dxfId="6602" priority="44">
      <formula>X$9&lt;8/24</formula>
    </cfRule>
  </conditionalFormatting>
  <conditionalFormatting sqref="X15:AF15">
    <cfRule type="expression" dxfId="6601" priority="37">
      <formula>X$9&gt;=20/24</formula>
    </cfRule>
    <cfRule type="expression" dxfId="6600" priority="38">
      <formula>AND(X$9&gt;=14/24,X$9&lt;20/24)</formula>
    </cfRule>
    <cfRule type="expression" dxfId="6599" priority="39">
      <formula>AND(X$9&gt;=8/24,X$9&lt;14/24)</formula>
    </cfRule>
    <cfRule type="expression" dxfId="6598" priority="40">
      <formula>X$9&lt;8/24</formula>
    </cfRule>
  </conditionalFormatting>
  <conditionalFormatting sqref="X33:AF33">
    <cfRule type="expression" dxfId="6597" priority="33">
      <formula>X$9&gt;=20/24</formula>
    </cfRule>
    <cfRule type="expression" dxfId="6596" priority="34">
      <formula>AND(X$9&gt;=14/24,X$9&lt;20/24)</formula>
    </cfRule>
    <cfRule type="expression" dxfId="6595" priority="35">
      <formula>AND(X$9&gt;=8/24,X$9&lt;14/24)</formula>
    </cfRule>
    <cfRule type="expression" dxfId="6594" priority="36">
      <formula>X$9&lt;8/24</formula>
    </cfRule>
  </conditionalFormatting>
  <conditionalFormatting sqref="X33:AF33">
    <cfRule type="expression" dxfId="6593" priority="32">
      <formula>X33&gt;$AG33</formula>
    </cfRule>
  </conditionalFormatting>
  <conditionalFormatting sqref="X27:AF27">
    <cfRule type="expression" dxfId="6592" priority="28">
      <formula>X$9&gt;=20/24</formula>
    </cfRule>
    <cfRule type="expression" dxfId="6591" priority="29">
      <formula>AND(X$9&gt;=14/24,X$9&lt;20/24)</formula>
    </cfRule>
    <cfRule type="expression" dxfId="6590" priority="30">
      <formula>AND(X$9&gt;=8/24,X$9&lt;14/24)</formula>
    </cfRule>
    <cfRule type="expression" dxfId="6589" priority="31">
      <formula>X$9&lt;8/24</formula>
    </cfRule>
  </conditionalFormatting>
  <conditionalFormatting sqref="X17:AF17 X23:AF23">
    <cfRule type="expression" dxfId="6588" priority="24">
      <formula>X$9&gt;=20/24</formula>
    </cfRule>
    <cfRule type="expression" dxfId="6587" priority="25">
      <formula>AND(X$9&gt;=14/24,X$9&lt;20/24)</formula>
    </cfRule>
    <cfRule type="expression" dxfId="6586" priority="26">
      <formula>AND(X$9&gt;=8/24,X$9&lt;14/24)</formula>
    </cfRule>
    <cfRule type="expression" dxfId="6585" priority="27">
      <formula>X$9&lt;8/24</formula>
    </cfRule>
  </conditionalFormatting>
  <conditionalFormatting sqref="X17:AF17 X23:AF23">
    <cfRule type="expression" dxfId="6584" priority="23">
      <formula>X17&gt;$AG17</formula>
    </cfRule>
  </conditionalFormatting>
  <conditionalFormatting sqref="X40:Y41">
    <cfRule type="expression" dxfId="6583" priority="19">
      <formula>X$9&gt;=20/24</formula>
    </cfRule>
    <cfRule type="expression" dxfId="6582" priority="20">
      <formula>AND(X$9&gt;=14/24,X$9&lt;20/24)</formula>
    </cfRule>
    <cfRule type="expression" dxfId="6581" priority="21">
      <formula>AND(X$9&gt;=8/24,X$9&lt;14/24)</formula>
    </cfRule>
    <cfRule type="expression" dxfId="6580" priority="22">
      <formula>X$9&lt;8/24</formula>
    </cfRule>
  </conditionalFormatting>
  <conditionalFormatting sqref="X39:Y39">
    <cfRule type="expression" dxfId="6579" priority="15">
      <formula>X$9&gt;=20/24</formula>
    </cfRule>
    <cfRule type="expression" dxfId="6578" priority="16">
      <formula>AND(X$9&gt;=14/24,X$9&lt;20/24)</formula>
    </cfRule>
    <cfRule type="expression" dxfId="6577" priority="17">
      <formula>AND(X$9&gt;=8/24,X$9&lt;14/24)</formula>
    </cfRule>
    <cfRule type="expression" dxfId="6576" priority="18">
      <formula>X$9&lt;8/24</formula>
    </cfRule>
  </conditionalFormatting>
  <conditionalFormatting sqref="X39:Y41">
    <cfRule type="expression" dxfId="6575" priority="14">
      <formula>X39&gt;$AG39</formula>
    </cfRule>
  </conditionalFormatting>
  <conditionalFormatting sqref="X42:Y50 Z43:AF50">
    <cfRule type="expression" dxfId="6574" priority="10">
      <formula>X$9&gt;=20/24</formula>
    </cfRule>
    <cfRule type="expression" dxfId="6573" priority="11">
      <formula>AND(X$9&gt;=14/24,X$9&lt;20/24)</formula>
    </cfRule>
    <cfRule type="expression" dxfId="6572" priority="12">
      <formula>AND(X$9&gt;=8/24,X$9&lt;14/24)</formula>
    </cfRule>
    <cfRule type="expression" dxfId="6571" priority="13">
      <formula>X$9&lt;8/24</formula>
    </cfRule>
  </conditionalFormatting>
  <conditionalFormatting sqref="X42:Y50 Z43:AF50">
    <cfRule type="expression" dxfId="6570" priority="9">
      <formula>X42&gt;$AG42</formula>
    </cfRule>
  </conditionalFormatting>
  <conditionalFormatting sqref="X57:Y57">
    <cfRule type="expression" dxfId="6569" priority="5">
      <formula>X$9&gt;=20/24</formula>
    </cfRule>
    <cfRule type="expression" dxfId="6568" priority="6">
      <formula>AND(X$9&gt;=14/24,X$9&lt;20/24)</formula>
    </cfRule>
    <cfRule type="expression" dxfId="6567" priority="7">
      <formula>AND(X$9&gt;=8/24,X$9&lt;14/24)</formula>
    </cfRule>
    <cfRule type="expression" dxfId="6566" priority="8">
      <formula>X$9&lt;8/24</formula>
    </cfRule>
  </conditionalFormatting>
  <conditionalFormatting sqref="X58:Y67">
    <cfRule type="expression" dxfId="6565" priority="1">
      <formula>X$9&gt;=20/24</formula>
    </cfRule>
    <cfRule type="expression" dxfId="6564" priority="2">
      <formula>AND(X$9&gt;=14/24,X$9&lt;20/24)</formula>
    </cfRule>
    <cfRule type="expression" dxfId="6563" priority="3">
      <formula>AND(X$9&gt;=8/24,X$9&lt;14/24)</formula>
    </cfRule>
    <cfRule type="expression" dxfId="6562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3" id="{E90A4834-085E-4518-8DBA-8AB20522BD1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3"/>
  <sheetViews>
    <sheetView zoomScale="90" zoomScaleNormal="90" workbookViewId="0">
      <pane xSplit="1" ySplit="10" topLeftCell="B71" activePane="bottomRight" state="frozen"/>
      <selection activeCell="AF88" sqref="AF88"/>
      <selection pane="topRight" activeCell="AF88" sqref="AF88"/>
      <selection pane="bottomLeft" activeCell="AF88" sqref="AF88"/>
      <selection pane="bottomRight" activeCell="A85" sqref="A85:XFD8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91.1</v>
      </c>
      <c r="C5" s="32">
        <f t="shared" si="0"/>
        <v>88.5</v>
      </c>
      <c r="D5" s="32">
        <f t="shared" si="0"/>
        <v>56.2</v>
      </c>
      <c r="E5" s="32">
        <f t="shared" si="0"/>
        <v>0</v>
      </c>
      <c r="F5" s="32">
        <f t="shared" si="0"/>
        <v>52</v>
      </c>
      <c r="G5" s="32">
        <f t="shared" si="0"/>
        <v>42</v>
      </c>
      <c r="H5" s="32">
        <f t="shared" si="0"/>
        <v>40</v>
      </c>
      <c r="I5" s="32">
        <f t="shared" si="0"/>
        <v>46</v>
      </c>
      <c r="J5" s="32">
        <f t="shared" si="0"/>
        <v>46</v>
      </c>
      <c r="K5" s="32">
        <f t="shared" si="0"/>
        <v>53</v>
      </c>
      <c r="L5" s="32">
        <f t="shared" si="0"/>
        <v>58</v>
      </c>
      <c r="M5" s="32">
        <f t="shared" si="0"/>
        <v>65</v>
      </c>
      <c r="N5" s="32">
        <f t="shared" si="0"/>
        <v>89.1</v>
      </c>
      <c r="O5" s="32">
        <f t="shared" si="0"/>
        <v>86.5</v>
      </c>
      <c r="P5" s="32">
        <f t="shared" si="0"/>
        <v>89.5</v>
      </c>
      <c r="Q5" s="32">
        <f t="shared" si="0"/>
        <v>92.9</v>
      </c>
      <c r="R5" s="32">
        <f t="shared" si="0"/>
        <v>92.9</v>
      </c>
      <c r="S5" s="32">
        <f t="shared" si="0"/>
        <v>92.9</v>
      </c>
      <c r="T5" s="32">
        <f t="shared" si="0"/>
        <v>92.9</v>
      </c>
      <c r="U5" s="32">
        <f t="shared" si="0"/>
        <v>48</v>
      </c>
      <c r="V5" s="32">
        <f t="shared" si="0"/>
        <v>78</v>
      </c>
      <c r="W5" s="32">
        <f t="shared" si="0"/>
        <v>76</v>
      </c>
      <c r="X5" s="32">
        <f t="shared" si="0"/>
        <v>68</v>
      </c>
      <c r="Y5" s="32">
        <f t="shared" si="0"/>
        <v>77</v>
      </c>
      <c r="Z5" s="32">
        <f t="shared" si="0"/>
        <v>82</v>
      </c>
      <c r="AA5" s="32">
        <f t="shared" si="0"/>
        <v>82</v>
      </c>
      <c r="AB5" s="32">
        <f t="shared" si="0"/>
        <v>91</v>
      </c>
      <c r="AC5" s="32">
        <f t="shared" si="0"/>
        <v>91</v>
      </c>
      <c r="AD5" s="32">
        <f t="shared" si="0"/>
        <v>91</v>
      </c>
      <c r="AE5" s="32">
        <f t="shared" si="0"/>
        <v>83</v>
      </c>
      <c r="AF5" s="32">
        <f>B68</f>
        <v>88.9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1616MW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1515.7400000000002</v>
      </c>
      <c r="C7" s="37">
        <f t="shared" ref="C7:AF7" si="1">C75</f>
        <v>1623.54</v>
      </c>
      <c r="D7" s="37">
        <f t="shared" si="1"/>
        <v>1602.44</v>
      </c>
      <c r="E7" s="37">
        <f t="shared" si="1"/>
        <v>1625.64</v>
      </c>
      <c r="F7" s="37">
        <f t="shared" si="1"/>
        <v>3.54</v>
      </c>
      <c r="G7" s="37">
        <f t="shared" si="1"/>
        <v>1555.14</v>
      </c>
      <c r="H7" s="37">
        <f t="shared" si="1"/>
        <v>1580.0400000000002</v>
      </c>
      <c r="I7" s="37">
        <f t="shared" si="1"/>
        <v>1538.0400000000002</v>
      </c>
      <c r="J7" s="37">
        <f t="shared" si="1"/>
        <v>1563.0400000000002</v>
      </c>
      <c r="K7" s="37">
        <f t="shared" si="1"/>
        <v>1552.7400000000002</v>
      </c>
      <c r="L7" s="37">
        <f t="shared" si="1"/>
        <v>1616.0400000000002</v>
      </c>
      <c r="M7" s="37">
        <f t="shared" si="1"/>
        <v>1607.64</v>
      </c>
      <c r="N7" s="37">
        <f t="shared" si="1"/>
        <v>524.54</v>
      </c>
      <c r="O7" s="37">
        <f t="shared" si="1"/>
        <v>1660.84</v>
      </c>
      <c r="P7" s="37">
        <f t="shared" si="1"/>
        <v>1660.1399999999999</v>
      </c>
      <c r="Q7" s="37">
        <f t="shared" si="1"/>
        <v>1670.2400000000002</v>
      </c>
      <c r="R7" s="37">
        <f t="shared" si="1"/>
        <v>1674.8400000000001</v>
      </c>
      <c r="S7" s="37">
        <f t="shared" si="1"/>
        <v>1478.1400000000003</v>
      </c>
      <c r="T7" s="37">
        <f t="shared" si="1"/>
        <v>1690.1400000000003</v>
      </c>
      <c r="U7" s="37">
        <f t="shared" si="1"/>
        <v>1701.1400000000003</v>
      </c>
      <c r="V7" s="37">
        <f t="shared" si="1"/>
        <v>1656.6400000000003</v>
      </c>
      <c r="W7" s="37">
        <f t="shared" si="1"/>
        <v>1686.6400000000003</v>
      </c>
      <c r="X7" s="37">
        <f t="shared" si="1"/>
        <v>1654.6400000000003</v>
      </c>
      <c r="Y7" s="37">
        <f t="shared" si="1"/>
        <v>1656.6400000000003</v>
      </c>
      <c r="Z7" s="37">
        <f t="shared" si="1"/>
        <v>1665.6400000000003</v>
      </c>
      <c r="AA7" s="37">
        <f t="shared" si="1"/>
        <v>1690.6400000000003</v>
      </c>
      <c r="AB7" s="37">
        <f t="shared" si="1"/>
        <v>1681.14</v>
      </c>
      <c r="AC7" s="37">
        <f t="shared" si="1"/>
        <v>1690.2400000000002</v>
      </c>
      <c r="AD7" s="37">
        <f t="shared" si="1"/>
        <v>1690.2400000000002</v>
      </c>
      <c r="AE7" s="37">
        <f t="shared" si="1"/>
        <v>1678.2400000000002</v>
      </c>
      <c r="AF7" s="37">
        <f t="shared" si="1"/>
        <v>1634.8400000000001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330</v>
      </c>
      <c r="C11" s="49">
        <v>440</v>
      </c>
      <c r="D11" s="50">
        <v>456</v>
      </c>
      <c r="E11" s="50">
        <v>456</v>
      </c>
      <c r="F11" s="51" t="s">
        <v>222</v>
      </c>
      <c r="G11" s="51">
        <v>400</v>
      </c>
      <c r="H11" s="51">
        <v>420</v>
      </c>
      <c r="I11" s="51">
        <v>380</v>
      </c>
      <c r="J11" s="52">
        <v>410</v>
      </c>
      <c r="K11" s="52">
        <v>400</v>
      </c>
      <c r="L11" s="52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400</v>
      </c>
      <c r="T11" s="53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330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 t="s">
        <v>223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 t="s">
        <v>222</v>
      </c>
      <c r="O12" s="51">
        <v>48</v>
      </c>
      <c r="P12" s="51">
        <v>48</v>
      </c>
      <c r="Q12" s="51">
        <v>48</v>
      </c>
      <c r="R12" s="51">
        <v>48</v>
      </c>
      <c r="S12" s="51">
        <v>48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48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25</v>
      </c>
      <c r="C13" s="51">
        <v>25</v>
      </c>
      <c r="D13" s="51">
        <v>0</v>
      </c>
      <c r="E13" s="51">
        <v>53</v>
      </c>
      <c r="F13" s="51" t="s">
        <v>222</v>
      </c>
      <c r="G13" s="51">
        <v>53</v>
      </c>
      <c r="H13" s="51">
        <v>53</v>
      </c>
      <c r="I13" s="51">
        <v>53</v>
      </c>
      <c r="J13" s="51">
        <v>53</v>
      </c>
      <c r="K13" s="51">
        <v>53</v>
      </c>
      <c r="L13" s="51">
        <v>53</v>
      </c>
      <c r="M13" s="51">
        <v>53</v>
      </c>
      <c r="N13" s="51" t="s">
        <v>223</v>
      </c>
      <c r="O13" s="51">
        <v>53</v>
      </c>
      <c r="P13" s="51">
        <v>53</v>
      </c>
      <c r="Q13" s="51">
        <v>53</v>
      </c>
      <c r="R13" s="51">
        <v>53</v>
      </c>
      <c r="S13" s="51">
        <v>53</v>
      </c>
      <c r="T13" s="51">
        <v>53</v>
      </c>
      <c r="U13" s="51">
        <v>53</v>
      </c>
      <c r="V13" s="51">
        <v>53</v>
      </c>
      <c r="W13" s="51">
        <v>53</v>
      </c>
      <c r="X13" s="51">
        <v>53</v>
      </c>
      <c r="Y13" s="51">
        <v>53</v>
      </c>
      <c r="Z13" s="51">
        <v>53</v>
      </c>
      <c r="AA13" s="51">
        <v>53</v>
      </c>
      <c r="AB13" s="51">
        <v>53.1</v>
      </c>
      <c r="AC13" s="51">
        <v>53.1</v>
      </c>
      <c r="AD13" s="51">
        <v>53.1</v>
      </c>
      <c r="AE13" s="51">
        <v>53.1</v>
      </c>
      <c r="AF13" s="51">
        <v>53</v>
      </c>
      <c r="AG13" s="59">
        <v>52.4</v>
      </c>
      <c r="AH13" s="55">
        <f t="shared" si="2"/>
        <v>53.1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50.6</v>
      </c>
      <c r="C14" s="51">
        <v>50.6</v>
      </c>
      <c r="D14" s="51">
        <v>50.6</v>
      </c>
      <c r="E14" s="51">
        <v>50.6</v>
      </c>
      <c r="F14" s="51" t="s">
        <v>224</v>
      </c>
      <c r="G14" s="51">
        <v>50.6</v>
      </c>
      <c r="H14" s="51">
        <v>50.6</v>
      </c>
      <c r="I14" s="51">
        <v>50.6</v>
      </c>
      <c r="J14" s="51">
        <v>50.6</v>
      </c>
      <c r="K14" s="51">
        <v>50.6</v>
      </c>
      <c r="L14" s="51">
        <v>50.6</v>
      </c>
      <c r="M14" s="51">
        <v>50.3</v>
      </c>
      <c r="N14" s="51" t="s">
        <v>222</v>
      </c>
      <c r="O14" s="51">
        <v>50.3</v>
      </c>
      <c r="P14" s="51">
        <v>50.3</v>
      </c>
      <c r="Q14" s="51">
        <v>50.2</v>
      </c>
      <c r="R14" s="51">
        <v>50.2</v>
      </c>
      <c r="S14" s="51">
        <v>50.2</v>
      </c>
      <c r="T14" s="51">
        <v>50.2</v>
      </c>
      <c r="U14" s="51">
        <v>50.2</v>
      </c>
      <c r="V14" s="51">
        <v>50.2</v>
      </c>
      <c r="W14" s="51">
        <v>50.2</v>
      </c>
      <c r="X14" s="51">
        <v>50.2</v>
      </c>
      <c r="Y14" s="51">
        <v>50.2</v>
      </c>
      <c r="Z14" s="51">
        <v>50.2</v>
      </c>
      <c r="AA14" s="51">
        <v>50.2</v>
      </c>
      <c r="AB14" s="51">
        <v>50.6</v>
      </c>
      <c r="AC14" s="51">
        <v>50.6</v>
      </c>
      <c r="AD14" s="51">
        <v>50.6</v>
      </c>
      <c r="AE14" s="51">
        <v>50.6</v>
      </c>
      <c r="AF14" s="51">
        <v>50.3</v>
      </c>
      <c r="AG14" s="59">
        <v>50</v>
      </c>
      <c r="AH14" s="55">
        <f t="shared" si="2"/>
        <v>50.6</v>
      </c>
      <c r="AI14" s="56">
        <f t="shared" si="3"/>
        <v>50.2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 t="s">
        <v>225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45.6</v>
      </c>
      <c r="N15" s="51" t="s">
        <v>224</v>
      </c>
      <c r="O15" s="51">
        <v>41.3</v>
      </c>
      <c r="P15" s="51">
        <v>41.3</v>
      </c>
      <c r="Q15" s="51">
        <v>41.6</v>
      </c>
      <c r="R15" s="51">
        <v>41.6</v>
      </c>
      <c r="S15" s="51">
        <v>41.6</v>
      </c>
      <c r="T15" s="51">
        <v>41.6</v>
      </c>
      <c r="U15" s="51">
        <v>41.6</v>
      </c>
      <c r="V15" s="51">
        <v>42</v>
      </c>
      <c r="W15" s="51">
        <v>42</v>
      </c>
      <c r="X15" s="51">
        <v>42</v>
      </c>
      <c r="Y15" s="51">
        <v>42</v>
      </c>
      <c r="Z15" s="51">
        <v>42</v>
      </c>
      <c r="AA15" s="51">
        <v>42</v>
      </c>
      <c r="AB15" s="51">
        <v>42</v>
      </c>
      <c r="AC15" s="51">
        <v>42</v>
      </c>
      <c r="AD15" s="51">
        <v>42</v>
      </c>
      <c r="AE15" s="51">
        <v>42</v>
      </c>
      <c r="AF15" s="51">
        <v>42</v>
      </c>
      <c r="AG15" s="60">
        <v>45</v>
      </c>
      <c r="AH15" s="55">
        <f t="shared" si="2"/>
        <v>45.7</v>
      </c>
      <c r="AI15" s="56">
        <f t="shared" si="3"/>
        <v>41.3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40</v>
      </c>
      <c r="D16" s="51">
        <v>40</v>
      </c>
      <c r="E16" s="51">
        <v>40</v>
      </c>
      <c r="F16" s="51" t="s">
        <v>222</v>
      </c>
      <c r="G16" s="51">
        <v>40</v>
      </c>
      <c r="H16" s="51">
        <v>40</v>
      </c>
      <c r="I16" s="51">
        <v>40</v>
      </c>
      <c r="J16" s="51">
        <v>40</v>
      </c>
      <c r="K16" s="51">
        <v>40</v>
      </c>
      <c r="L16" s="51">
        <v>40</v>
      </c>
      <c r="M16" s="51">
        <v>40</v>
      </c>
      <c r="N16" s="51" t="s">
        <v>225</v>
      </c>
      <c r="O16" s="51">
        <v>28</v>
      </c>
      <c r="P16" s="51">
        <v>20</v>
      </c>
      <c r="Q16" s="51">
        <v>28</v>
      </c>
      <c r="R16" s="51">
        <v>28</v>
      </c>
      <c r="S16" s="51">
        <v>28</v>
      </c>
      <c r="T16" s="51">
        <v>28</v>
      </c>
      <c r="U16" s="51">
        <v>28</v>
      </c>
      <c r="V16" s="51">
        <v>28</v>
      </c>
      <c r="W16" s="51">
        <v>28</v>
      </c>
      <c r="X16" s="51">
        <v>28</v>
      </c>
      <c r="Y16" s="51">
        <v>28</v>
      </c>
      <c r="Z16" s="51">
        <v>28</v>
      </c>
      <c r="AA16" s="51">
        <v>28</v>
      </c>
      <c r="AB16" s="51">
        <v>40</v>
      </c>
      <c r="AC16" s="51">
        <v>40</v>
      </c>
      <c r="AD16" s="51">
        <v>40</v>
      </c>
      <c r="AE16" s="51">
        <v>32</v>
      </c>
      <c r="AF16" s="51">
        <v>32</v>
      </c>
      <c r="AG16" s="59">
        <v>45</v>
      </c>
      <c r="AH16" s="55">
        <f t="shared" si="2"/>
        <v>40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 t="s">
        <v>226</v>
      </c>
      <c r="G17" s="51">
        <v>13</v>
      </c>
      <c r="H17" s="51">
        <v>12.5</v>
      </c>
      <c r="I17" s="51">
        <v>12.5</v>
      </c>
      <c r="J17" s="51">
        <v>12.5</v>
      </c>
      <c r="K17" s="51">
        <v>12.5</v>
      </c>
      <c r="L17" s="51">
        <v>12.5</v>
      </c>
      <c r="M17" s="51">
        <v>12.5</v>
      </c>
      <c r="N17" s="51" t="s">
        <v>222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0</v>
      </c>
      <c r="AC17" s="51">
        <v>0</v>
      </c>
      <c r="AD17" s="51">
        <v>0</v>
      </c>
      <c r="AE17" s="51">
        <v>0</v>
      </c>
      <c r="AF17" s="51"/>
      <c r="AG17" s="59">
        <v>42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16</v>
      </c>
      <c r="C18" s="51">
        <v>16</v>
      </c>
      <c r="D18" s="51">
        <v>16</v>
      </c>
      <c r="E18" s="51">
        <v>16</v>
      </c>
      <c r="F18" s="51" t="s">
        <v>227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 t="s">
        <v>226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0</v>
      </c>
      <c r="AG18" s="59">
        <v>36</v>
      </c>
      <c r="AH18" s="55">
        <f t="shared" si="2"/>
        <v>16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26.2</v>
      </c>
      <c r="D19" s="51">
        <v>26.2</v>
      </c>
      <c r="E19" s="51">
        <v>26.2</v>
      </c>
      <c r="F19" s="51" t="s">
        <v>228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 t="s">
        <v>227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26.2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0</v>
      </c>
      <c r="C20" s="51">
        <v>0</v>
      </c>
      <c r="D20" s="51">
        <v>0</v>
      </c>
      <c r="E20" s="51">
        <v>0</v>
      </c>
      <c r="F20" s="51" t="s">
        <v>229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 t="s">
        <v>228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11</v>
      </c>
      <c r="V20" s="51">
        <v>11</v>
      </c>
      <c r="W20" s="51">
        <v>11</v>
      </c>
      <c r="X20" s="51">
        <v>11</v>
      </c>
      <c r="Y20" s="51">
        <v>11</v>
      </c>
      <c r="Z20" s="51">
        <v>11</v>
      </c>
      <c r="AA20" s="51">
        <v>11</v>
      </c>
      <c r="AB20" s="51">
        <v>11</v>
      </c>
      <c r="AC20" s="51">
        <v>11</v>
      </c>
      <c r="AD20" s="51">
        <v>11</v>
      </c>
      <c r="AE20" s="51">
        <v>11</v>
      </c>
      <c r="AF20" s="51">
        <v>11</v>
      </c>
      <c r="AG20" s="59">
        <v>27</v>
      </c>
      <c r="AH20" s="55">
        <f t="shared" si="2"/>
        <v>11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4</v>
      </c>
      <c r="C21" s="51">
        <v>4</v>
      </c>
      <c r="D21" s="51">
        <v>4</v>
      </c>
      <c r="E21" s="51">
        <v>4</v>
      </c>
      <c r="F21" s="51"/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 t="s">
        <v>229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0</v>
      </c>
      <c r="AF21" s="51">
        <v>0</v>
      </c>
      <c r="AG21" s="59">
        <v>25</v>
      </c>
      <c r="AH21" s="55">
        <f t="shared" si="2"/>
        <v>4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24.1</v>
      </c>
      <c r="C22" s="51">
        <v>24.1</v>
      </c>
      <c r="D22" s="51">
        <v>24.1</v>
      </c>
      <c r="E22" s="51">
        <v>24.1</v>
      </c>
      <c r="F22" s="51"/>
      <c r="G22" s="51">
        <v>24.1</v>
      </c>
      <c r="H22" s="51">
        <v>24.1</v>
      </c>
      <c r="I22" s="51">
        <v>24.1</v>
      </c>
      <c r="J22" s="51">
        <v>24.1</v>
      </c>
      <c r="K22" s="51">
        <v>24.1</v>
      </c>
      <c r="L22" s="51">
        <v>24.1</v>
      </c>
      <c r="M22" s="51">
        <v>24.1</v>
      </c>
      <c r="N22" s="51"/>
      <c r="O22" s="51">
        <v>24.1</v>
      </c>
      <c r="P22" s="51">
        <v>24.9</v>
      </c>
      <c r="Q22" s="51">
        <v>24.9</v>
      </c>
      <c r="R22" s="51">
        <v>24.9</v>
      </c>
      <c r="S22" s="51">
        <v>24.9</v>
      </c>
      <c r="T22" s="51">
        <v>24.9</v>
      </c>
      <c r="U22" s="51">
        <v>24.9</v>
      </c>
      <c r="V22" s="51">
        <v>24.9</v>
      </c>
      <c r="W22" s="51">
        <v>24.9</v>
      </c>
      <c r="X22" s="51">
        <v>24.9</v>
      </c>
      <c r="Y22" s="51">
        <v>24.9</v>
      </c>
      <c r="Z22" s="51">
        <v>24.9</v>
      </c>
      <c r="AA22" s="51">
        <v>24.9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24.9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10</v>
      </c>
      <c r="C23" s="51">
        <v>10</v>
      </c>
      <c r="D23" s="51">
        <v>10</v>
      </c>
      <c r="E23" s="51">
        <v>0</v>
      </c>
      <c r="F23" s="51"/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/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9">
        <v>25</v>
      </c>
      <c r="AH23" s="55">
        <f t="shared" si="2"/>
        <v>10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0</v>
      </c>
      <c r="C24" s="51">
        <v>0</v>
      </c>
      <c r="D24" s="51">
        <v>0</v>
      </c>
      <c r="E24" s="51">
        <v>0</v>
      </c>
      <c r="F24" s="51"/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/>
      <c r="O24" s="51">
        <v>20</v>
      </c>
      <c r="P24" s="51">
        <v>20</v>
      </c>
      <c r="Q24" s="51">
        <v>20</v>
      </c>
      <c r="R24" s="51">
        <v>20</v>
      </c>
      <c r="S24" s="51">
        <v>20</v>
      </c>
      <c r="T24" s="51">
        <v>20</v>
      </c>
      <c r="U24" s="51">
        <v>20</v>
      </c>
      <c r="V24" s="51">
        <v>20</v>
      </c>
      <c r="W24" s="51">
        <v>20</v>
      </c>
      <c r="X24" s="51">
        <v>20</v>
      </c>
      <c r="Y24" s="51">
        <v>20</v>
      </c>
      <c r="Z24" s="51">
        <v>20</v>
      </c>
      <c r="AA24" s="51">
        <v>20</v>
      </c>
      <c r="AB24" s="51">
        <v>20</v>
      </c>
      <c r="AC24" s="51">
        <v>20</v>
      </c>
      <c r="AD24" s="51">
        <v>20</v>
      </c>
      <c r="AE24" s="51">
        <v>20</v>
      </c>
      <c r="AF24" s="51">
        <v>24</v>
      </c>
      <c r="AG24" s="59">
        <v>25</v>
      </c>
      <c r="AH24" s="55">
        <f t="shared" si="2"/>
        <v>24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/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/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/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/>
      <c r="O26" s="51">
        <v>10</v>
      </c>
      <c r="P26" s="51">
        <v>4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4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0</v>
      </c>
      <c r="C27" s="51">
        <v>0</v>
      </c>
      <c r="D27" s="51">
        <v>0</v>
      </c>
      <c r="E27" s="51">
        <v>0</v>
      </c>
      <c r="F27" s="51"/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/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9">
        <v>23.5</v>
      </c>
      <c r="AH27" s="55">
        <f t="shared" si="2"/>
        <v>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51"/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/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5</v>
      </c>
      <c r="C29" s="51">
        <v>5</v>
      </c>
      <c r="D29" s="51">
        <v>5</v>
      </c>
      <c r="E29" s="51">
        <v>5</v>
      </c>
      <c r="F29" s="51"/>
      <c r="G29" s="51">
        <v>5</v>
      </c>
      <c r="H29" s="51">
        <v>5</v>
      </c>
      <c r="I29" s="51">
        <v>5</v>
      </c>
      <c r="J29" s="51">
        <v>5</v>
      </c>
      <c r="K29" s="51">
        <v>5</v>
      </c>
      <c r="L29" s="51">
        <v>5</v>
      </c>
      <c r="M29" s="51">
        <v>5</v>
      </c>
      <c r="N29" s="51"/>
      <c r="O29" s="51">
        <v>5</v>
      </c>
      <c r="P29" s="51">
        <v>5</v>
      </c>
      <c r="Q29" s="51">
        <v>5</v>
      </c>
      <c r="R29" s="51">
        <v>5</v>
      </c>
      <c r="S29" s="51">
        <v>5</v>
      </c>
      <c r="T29" s="51">
        <v>5</v>
      </c>
      <c r="U29" s="51">
        <v>5</v>
      </c>
      <c r="V29" s="51">
        <v>5</v>
      </c>
      <c r="W29" s="51">
        <v>5</v>
      </c>
      <c r="X29" s="51">
        <v>5</v>
      </c>
      <c r="Y29" s="51">
        <v>5</v>
      </c>
      <c r="Z29" s="51">
        <v>5</v>
      </c>
      <c r="AA29" s="51">
        <v>5</v>
      </c>
      <c r="AB29" s="51">
        <v>5</v>
      </c>
      <c r="AC29" s="51">
        <v>5</v>
      </c>
      <c r="AD29" s="51">
        <v>5</v>
      </c>
      <c r="AE29" s="51">
        <v>5</v>
      </c>
      <c r="AF29" s="51">
        <v>5</v>
      </c>
      <c r="AG29" s="59">
        <v>22.1</v>
      </c>
      <c r="AH29" s="55">
        <f t="shared" si="2"/>
        <v>5</v>
      </c>
      <c r="AI29" s="56">
        <f t="shared" si="3"/>
        <v>5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8</v>
      </c>
      <c r="C30" s="51">
        <v>8</v>
      </c>
      <c r="D30" s="51">
        <v>8</v>
      </c>
      <c r="E30" s="51">
        <v>8</v>
      </c>
      <c r="F30" s="51"/>
      <c r="G30" s="51">
        <v>8</v>
      </c>
      <c r="H30" s="51">
        <v>8</v>
      </c>
      <c r="I30" s="51">
        <v>8</v>
      </c>
      <c r="J30" s="51">
        <v>8</v>
      </c>
      <c r="K30" s="51">
        <v>8</v>
      </c>
      <c r="L30" s="51">
        <v>8</v>
      </c>
      <c r="M30" s="51">
        <v>8</v>
      </c>
      <c r="N30" s="51"/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51">
        <v>8</v>
      </c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8</v>
      </c>
      <c r="AB30" s="51">
        <v>8</v>
      </c>
      <c r="AC30" s="51">
        <v>8</v>
      </c>
      <c r="AD30" s="51">
        <v>8</v>
      </c>
      <c r="AE30" s="51">
        <v>8</v>
      </c>
      <c r="AF30" s="51">
        <v>8</v>
      </c>
      <c r="AG30" s="59">
        <v>22.1</v>
      </c>
      <c r="AH30" s="55">
        <f t="shared" si="2"/>
        <v>8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0</v>
      </c>
      <c r="C31" s="51">
        <v>0</v>
      </c>
      <c r="D31" s="51">
        <v>0</v>
      </c>
      <c r="E31" s="51">
        <v>0</v>
      </c>
      <c r="F31" s="51"/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/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0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7</v>
      </c>
      <c r="C32" s="51">
        <v>7</v>
      </c>
      <c r="D32" s="51">
        <v>7</v>
      </c>
      <c r="E32" s="51">
        <v>7</v>
      </c>
      <c r="F32" s="51"/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/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4">
        <v>22</v>
      </c>
      <c r="AH32" s="55">
        <f t="shared" si="2"/>
        <v>7</v>
      </c>
      <c r="AI32" s="56">
        <f t="shared" si="3"/>
        <v>7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/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/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51"/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/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4">
        <v>20</v>
      </c>
      <c r="AH34" s="55">
        <f t="shared" si="2"/>
        <v>9</v>
      </c>
      <c r="AI34" s="56">
        <f t="shared" si="3"/>
        <v>9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51"/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/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4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/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/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116.69999999999999</v>
      </c>
      <c r="C37" s="66">
        <f>25.1+94.7</f>
        <v>119.80000000000001</v>
      </c>
      <c r="D37" s="66">
        <f>25.2+94.7</f>
        <v>119.9</v>
      </c>
      <c r="E37" s="66">
        <f>84.9+6.3</f>
        <v>91.2</v>
      </c>
      <c r="F37" s="66"/>
      <c r="G37" s="66">
        <f>40.3+95</f>
        <v>135.30000000000001</v>
      </c>
      <c r="H37" s="66">
        <f>41.6+92.5</f>
        <v>134.1</v>
      </c>
      <c r="I37" s="66">
        <f>57.6+93.3</f>
        <v>150.9</v>
      </c>
      <c r="J37" s="66">
        <f>55.1+76</f>
        <v>131.1</v>
      </c>
      <c r="K37" s="66">
        <f>58.2+91.3</f>
        <v>149.5</v>
      </c>
      <c r="L37" s="66">
        <f>53.9+90.9</f>
        <v>144.80000000000001</v>
      </c>
      <c r="M37" s="66">
        <f>92.4+22.2</f>
        <v>114.60000000000001</v>
      </c>
      <c r="N37" s="66"/>
      <c r="O37" s="66">
        <f>81.6+58.9</f>
        <v>140.5</v>
      </c>
      <c r="P37" s="66">
        <f>80.9+56.5</f>
        <v>137.4</v>
      </c>
      <c r="Q37" s="66">
        <f>90.3+68.8</f>
        <v>159.1</v>
      </c>
      <c r="R37" s="66">
        <f>94.6+68.2</f>
        <v>162.80000000000001</v>
      </c>
      <c r="S37" s="66">
        <f t="shared" ref="S37:U37" si="4">94.6+68.2</f>
        <v>162.80000000000001</v>
      </c>
      <c r="T37" s="66">
        <f t="shared" si="4"/>
        <v>162.80000000000001</v>
      </c>
      <c r="U37" s="66">
        <f t="shared" si="4"/>
        <v>162.80000000000001</v>
      </c>
      <c r="V37" s="66">
        <v>159</v>
      </c>
      <c r="W37" s="66">
        <v>162</v>
      </c>
      <c r="X37" s="66">
        <v>162</v>
      </c>
      <c r="Y37" s="66">
        <v>162</v>
      </c>
      <c r="Z37" s="66">
        <v>162</v>
      </c>
      <c r="AA37" s="66">
        <v>162</v>
      </c>
      <c r="AB37" s="66">
        <f>25.8+92.6</f>
        <v>118.39999999999999</v>
      </c>
      <c r="AC37" s="66">
        <f>25.8+92.6</f>
        <v>118.39999999999999</v>
      </c>
      <c r="AD37" s="66">
        <f>25.8+92.6</f>
        <v>118.39999999999999</v>
      </c>
      <c r="AE37" s="66">
        <v>93.7</v>
      </c>
      <c r="AF37" s="66">
        <v>95</v>
      </c>
      <c r="AG37" s="64">
        <v>240</v>
      </c>
      <c r="AH37" s="55">
        <f t="shared" si="2"/>
        <v>162.80000000000001</v>
      </c>
      <c r="AI37" s="56">
        <f t="shared" si="3"/>
        <v>91.2</v>
      </c>
      <c r="AK37" s="57"/>
    </row>
    <row r="38" spans="1:88" ht="15.75" thickBot="1" x14ac:dyDescent="0.3">
      <c r="A38" s="69" t="s">
        <v>46</v>
      </c>
      <c r="B38" s="70">
        <f>SUM(B11:B36)</f>
        <v>1004.1</v>
      </c>
      <c r="C38" s="70">
        <f t="shared" ref="C38:AF38" si="5">SUM(C11:C36)</f>
        <v>1114.1000000000001</v>
      </c>
      <c r="D38" s="70">
        <f t="shared" si="5"/>
        <v>1105.1000000000001</v>
      </c>
      <c r="E38" s="70">
        <f t="shared" si="5"/>
        <v>1148.1000000000001</v>
      </c>
      <c r="F38" s="70">
        <f t="shared" si="5"/>
        <v>0</v>
      </c>
      <c r="G38" s="70">
        <f t="shared" si="5"/>
        <v>1105.1000000000001</v>
      </c>
      <c r="H38" s="70">
        <f t="shared" si="5"/>
        <v>1124.6000000000001</v>
      </c>
      <c r="I38" s="70">
        <f t="shared" si="5"/>
        <v>1084.6000000000001</v>
      </c>
      <c r="J38" s="70">
        <f t="shared" si="5"/>
        <v>1114.6000000000001</v>
      </c>
      <c r="K38" s="70">
        <f t="shared" si="5"/>
        <v>1104.6000000000001</v>
      </c>
      <c r="L38" s="70">
        <f t="shared" si="5"/>
        <v>1160.6000000000001</v>
      </c>
      <c r="M38" s="70">
        <f t="shared" si="5"/>
        <v>1160.2</v>
      </c>
      <c r="N38" s="70">
        <f t="shared" si="5"/>
        <v>456</v>
      </c>
      <c r="O38" s="70">
        <f t="shared" si="5"/>
        <v>1164.4000000000001</v>
      </c>
      <c r="P38" s="70">
        <f t="shared" si="5"/>
        <v>1151.1999999999998</v>
      </c>
      <c r="Q38" s="70">
        <f t="shared" si="5"/>
        <v>1165.4000000000001</v>
      </c>
      <c r="R38" s="70">
        <f t="shared" si="5"/>
        <v>1165.4000000000001</v>
      </c>
      <c r="S38" s="70">
        <f t="shared" si="5"/>
        <v>1109.4000000000001</v>
      </c>
      <c r="T38" s="70">
        <f t="shared" si="5"/>
        <v>1177.4000000000001</v>
      </c>
      <c r="U38" s="70">
        <f t="shared" si="5"/>
        <v>1188.4000000000001</v>
      </c>
      <c r="V38" s="70">
        <f t="shared" si="5"/>
        <v>1188.8000000000002</v>
      </c>
      <c r="W38" s="70">
        <f t="shared" si="5"/>
        <v>1188.8000000000002</v>
      </c>
      <c r="X38" s="70">
        <f t="shared" si="5"/>
        <v>1188.8000000000002</v>
      </c>
      <c r="Y38" s="70">
        <f t="shared" si="5"/>
        <v>1188.8000000000002</v>
      </c>
      <c r="Z38" s="70">
        <f t="shared" si="5"/>
        <v>1188.8000000000002</v>
      </c>
      <c r="AA38" s="70">
        <f t="shared" si="5"/>
        <v>1188.8000000000002</v>
      </c>
      <c r="AB38" s="70">
        <f t="shared" si="5"/>
        <v>1173.4000000000001</v>
      </c>
      <c r="AC38" s="70">
        <f t="shared" si="5"/>
        <v>1173.4000000000001</v>
      </c>
      <c r="AD38" s="70">
        <f t="shared" si="5"/>
        <v>1173.4000000000001</v>
      </c>
      <c r="AE38" s="70">
        <f t="shared" si="5"/>
        <v>1161.4000000000001</v>
      </c>
      <c r="AF38" s="70">
        <f t="shared" si="5"/>
        <v>1149</v>
      </c>
      <c r="AG38" s="64">
        <f>SUM(AG11:AG37)</f>
        <v>1492.8299999999997</v>
      </c>
      <c r="AH38" s="55">
        <f t="shared" si="2"/>
        <v>1188.8000000000002</v>
      </c>
      <c r="AI38" s="56">
        <f t="shared" si="3"/>
        <v>0</v>
      </c>
      <c r="AK38" s="57"/>
    </row>
    <row r="39" spans="1:88" x14ac:dyDescent="0.25">
      <c r="A39" s="58" t="s">
        <v>47</v>
      </c>
      <c r="B39" s="51">
        <v>143.5</v>
      </c>
      <c r="C39" s="51">
        <v>144.1</v>
      </c>
      <c r="D39" s="51">
        <v>144.1</v>
      </c>
      <c r="E39" s="51">
        <v>144</v>
      </c>
      <c r="F39" s="51"/>
      <c r="G39" s="51">
        <v>135</v>
      </c>
      <c r="H39" s="51">
        <v>144</v>
      </c>
      <c r="I39" s="51">
        <v>144</v>
      </c>
      <c r="J39" s="51">
        <v>143.80000000000001</v>
      </c>
      <c r="K39" s="51">
        <v>143.5</v>
      </c>
      <c r="L39" s="51">
        <v>143.4</v>
      </c>
      <c r="M39" s="51">
        <v>126</v>
      </c>
      <c r="N39" s="51"/>
      <c r="O39" s="51">
        <v>144.69999999999999</v>
      </c>
      <c r="P39" s="51">
        <v>120.3</v>
      </c>
      <c r="Q39" s="51">
        <v>140.1</v>
      </c>
      <c r="R39" s="51">
        <v>140.69999999999999</v>
      </c>
      <c r="S39" s="51"/>
      <c r="T39" s="51">
        <v>144</v>
      </c>
      <c r="U39" s="51">
        <v>144</v>
      </c>
      <c r="V39" s="51">
        <v>144</v>
      </c>
      <c r="W39" s="51">
        <v>144</v>
      </c>
      <c r="X39" s="51">
        <v>144</v>
      </c>
      <c r="Y39" s="51">
        <v>144</v>
      </c>
      <c r="Z39" s="51">
        <v>144</v>
      </c>
      <c r="AA39" s="51">
        <v>144</v>
      </c>
      <c r="AB39" s="51">
        <v>142.9</v>
      </c>
      <c r="AC39" s="51">
        <v>143</v>
      </c>
      <c r="AD39" s="51">
        <v>143</v>
      </c>
      <c r="AE39" s="51">
        <v>143</v>
      </c>
      <c r="AF39" s="51">
        <v>144</v>
      </c>
      <c r="AG39" s="60">
        <v>144</v>
      </c>
      <c r="AH39" s="55">
        <f t="shared" si="2"/>
        <v>144.69999999999999</v>
      </c>
      <c r="AI39" s="56">
        <f t="shared" si="3"/>
        <v>120.3</v>
      </c>
      <c r="AK39" s="57"/>
    </row>
    <row r="40" spans="1:88" x14ac:dyDescent="0.25">
      <c r="A40" s="63" t="s">
        <v>48</v>
      </c>
      <c r="B40" s="49">
        <v>70</v>
      </c>
      <c r="C40" s="49">
        <v>70</v>
      </c>
      <c r="D40" s="49">
        <v>70</v>
      </c>
      <c r="E40" s="49">
        <v>71.599999999999994</v>
      </c>
      <c r="F40" s="49"/>
      <c r="G40" s="49">
        <v>71.8</v>
      </c>
      <c r="H40" s="49">
        <v>71</v>
      </c>
      <c r="I40" s="49">
        <v>71</v>
      </c>
      <c r="J40" s="49">
        <v>72.5</v>
      </c>
      <c r="K40" s="49">
        <v>71.400000000000006</v>
      </c>
      <c r="L40" s="49">
        <v>71.7</v>
      </c>
      <c r="M40" s="51">
        <v>71.3</v>
      </c>
      <c r="N40" s="51"/>
      <c r="O40" s="51">
        <v>69.2</v>
      </c>
      <c r="P40" s="51">
        <v>69.7</v>
      </c>
      <c r="Q40" s="51">
        <v>70.900000000000006</v>
      </c>
      <c r="R40" s="51">
        <v>71.099999999999994</v>
      </c>
      <c r="S40" s="51">
        <v>71.099999999999994</v>
      </c>
      <c r="T40" s="51">
        <v>71.099999999999994</v>
      </c>
      <c r="U40" s="51">
        <v>71.099999999999994</v>
      </c>
      <c r="V40" s="51">
        <v>71.099999999999994</v>
      </c>
      <c r="W40" s="51">
        <v>71.099999999999994</v>
      </c>
      <c r="X40" s="51">
        <v>71.099999999999994</v>
      </c>
      <c r="Y40" s="51">
        <v>71.099999999999994</v>
      </c>
      <c r="Z40" s="51">
        <v>71.099999999999994</v>
      </c>
      <c r="AA40" s="51">
        <v>71.099999999999994</v>
      </c>
      <c r="AB40" s="49">
        <v>72.5</v>
      </c>
      <c r="AC40" s="49">
        <v>72.5</v>
      </c>
      <c r="AD40" s="49">
        <v>72.5</v>
      </c>
      <c r="AE40" s="49">
        <v>72.5</v>
      </c>
      <c r="AF40" s="49">
        <v>72</v>
      </c>
      <c r="AG40" s="64">
        <v>70</v>
      </c>
      <c r="AH40" s="55">
        <f t="shared" si="2"/>
        <v>72.5</v>
      </c>
      <c r="AI40" s="56">
        <f t="shared" si="3"/>
        <v>69.2</v>
      </c>
      <c r="AK40" s="57"/>
    </row>
    <row r="41" spans="1:88" x14ac:dyDescent="0.25">
      <c r="A41" s="63" t="s">
        <v>49</v>
      </c>
      <c r="B41" s="49">
        <v>59.8</v>
      </c>
      <c r="C41" s="49">
        <v>59.8</v>
      </c>
      <c r="D41" s="49">
        <v>59.8</v>
      </c>
      <c r="E41" s="49">
        <v>61</v>
      </c>
      <c r="F41" s="49"/>
      <c r="G41" s="49">
        <v>53.5</v>
      </c>
      <c r="H41" s="49">
        <v>60.2</v>
      </c>
      <c r="I41" s="49">
        <v>60.2</v>
      </c>
      <c r="J41" s="49">
        <v>60.2</v>
      </c>
      <c r="K41" s="49">
        <v>61</v>
      </c>
      <c r="L41" s="49">
        <v>61.4</v>
      </c>
      <c r="M41" s="51">
        <v>61.3</v>
      </c>
      <c r="N41" s="51"/>
      <c r="O41" s="51">
        <v>63.1</v>
      </c>
      <c r="P41" s="51">
        <v>62.9</v>
      </c>
      <c r="Q41" s="51">
        <v>62.7</v>
      </c>
      <c r="R41" s="51">
        <v>63.1</v>
      </c>
      <c r="S41" s="51">
        <v>63.1</v>
      </c>
      <c r="T41" s="51">
        <v>63.1</v>
      </c>
      <c r="U41" s="51">
        <v>63.1</v>
      </c>
      <c r="V41" s="51">
        <v>63.1</v>
      </c>
      <c r="W41" s="51">
        <v>63.1</v>
      </c>
      <c r="X41" s="51">
        <v>63.1</v>
      </c>
      <c r="Y41" s="51">
        <v>63.1</v>
      </c>
      <c r="Z41" s="51">
        <v>63.1</v>
      </c>
      <c r="AA41" s="51">
        <v>63.1</v>
      </c>
      <c r="AB41" s="49">
        <v>64.099999999999994</v>
      </c>
      <c r="AC41" s="49">
        <v>64.099999999999994</v>
      </c>
      <c r="AD41" s="49">
        <v>64.099999999999994</v>
      </c>
      <c r="AE41" s="49">
        <v>64.099999999999994</v>
      </c>
      <c r="AF41" s="49">
        <v>64.099999999999994</v>
      </c>
      <c r="AG41" s="64">
        <v>69</v>
      </c>
      <c r="AH41" s="55">
        <f t="shared" si="2"/>
        <v>64.099999999999994</v>
      </c>
      <c r="AI41" s="56">
        <f t="shared" si="3"/>
        <v>53.5</v>
      </c>
      <c r="AK41" s="57"/>
    </row>
    <row r="42" spans="1:88" x14ac:dyDescent="0.25">
      <c r="A42" s="63" t="s">
        <v>50</v>
      </c>
      <c r="B42" s="66">
        <v>60.4</v>
      </c>
      <c r="C42" s="66">
        <v>60.4</v>
      </c>
      <c r="D42" s="66">
        <v>50.9</v>
      </c>
      <c r="E42" s="66">
        <v>60.7</v>
      </c>
      <c r="F42" s="66"/>
      <c r="G42" s="66">
        <v>60.7</v>
      </c>
      <c r="H42" s="66">
        <v>61.2</v>
      </c>
      <c r="I42" s="66">
        <v>61.2</v>
      </c>
      <c r="J42" s="66">
        <v>60.9</v>
      </c>
      <c r="K42" s="66">
        <v>61.2</v>
      </c>
      <c r="L42" s="66">
        <v>60.9</v>
      </c>
      <c r="M42" s="51">
        <v>61.2</v>
      </c>
      <c r="N42" s="51"/>
      <c r="O42" s="51">
        <v>57.7</v>
      </c>
      <c r="P42" s="51">
        <v>56.4</v>
      </c>
      <c r="Q42" s="51">
        <v>58.5</v>
      </c>
      <c r="R42" s="51">
        <v>58.5</v>
      </c>
      <c r="S42" s="51">
        <v>58.5</v>
      </c>
      <c r="T42" s="51">
        <v>58.5</v>
      </c>
      <c r="U42" s="51">
        <v>58.5</v>
      </c>
      <c r="V42" s="51">
        <v>58.5</v>
      </c>
      <c r="W42" s="51">
        <v>58.5</v>
      </c>
      <c r="X42" s="51">
        <v>58.5</v>
      </c>
      <c r="Y42" s="51">
        <v>58.5</v>
      </c>
      <c r="Z42" s="51">
        <v>58.5</v>
      </c>
      <c r="AA42" s="51">
        <v>58.5</v>
      </c>
      <c r="AB42" s="66">
        <v>60.4</v>
      </c>
      <c r="AC42" s="66">
        <v>60.4</v>
      </c>
      <c r="AD42" s="66">
        <v>60.4</v>
      </c>
      <c r="AE42" s="66">
        <v>60.4</v>
      </c>
      <c r="AF42" s="66">
        <v>60.4</v>
      </c>
      <c r="AG42" s="64">
        <v>60</v>
      </c>
      <c r="AH42" s="55">
        <f t="shared" si="2"/>
        <v>61.2</v>
      </c>
      <c r="AI42" s="56">
        <f t="shared" si="3"/>
        <v>50.9</v>
      </c>
      <c r="AK42" s="57"/>
    </row>
    <row r="43" spans="1:88" x14ac:dyDescent="0.25">
      <c r="A43" s="63" t="s">
        <v>51</v>
      </c>
      <c r="B43" s="66">
        <v>30</v>
      </c>
      <c r="C43" s="66">
        <v>25</v>
      </c>
      <c r="D43" s="66">
        <v>25</v>
      </c>
      <c r="E43" s="66">
        <v>25</v>
      </c>
      <c r="F43" s="66"/>
      <c r="G43" s="66">
        <v>18</v>
      </c>
      <c r="H43" s="66">
        <v>18</v>
      </c>
      <c r="I43" s="66">
        <v>18</v>
      </c>
      <c r="J43" s="66">
        <v>6</v>
      </c>
      <c r="K43" s="66">
        <v>6</v>
      </c>
      <c r="L43" s="66">
        <v>6</v>
      </c>
      <c r="M43" s="66">
        <v>10</v>
      </c>
      <c r="N43" s="51"/>
      <c r="O43" s="51">
        <v>20</v>
      </c>
      <c r="P43" s="51">
        <v>30</v>
      </c>
      <c r="Q43" s="51">
        <v>30</v>
      </c>
      <c r="R43" s="51">
        <v>30</v>
      </c>
      <c r="S43" s="51">
        <v>30</v>
      </c>
      <c r="T43" s="51">
        <v>30</v>
      </c>
      <c r="U43" s="51">
        <v>30</v>
      </c>
      <c r="V43" s="51">
        <v>30</v>
      </c>
      <c r="W43" s="51">
        <v>30</v>
      </c>
      <c r="X43" s="51">
        <v>0</v>
      </c>
      <c r="Y43" s="51">
        <v>10</v>
      </c>
      <c r="Z43" s="51">
        <v>10</v>
      </c>
      <c r="AA43" s="51">
        <v>30</v>
      </c>
      <c r="AB43" s="66">
        <v>28.9</v>
      </c>
      <c r="AC43" s="66">
        <v>28.9</v>
      </c>
      <c r="AD43" s="66">
        <v>28.9</v>
      </c>
      <c r="AE43" s="66">
        <v>28.9</v>
      </c>
      <c r="AF43" s="66">
        <v>15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/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51"/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14.8</v>
      </c>
      <c r="C45" s="49">
        <v>14.8</v>
      </c>
      <c r="D45" s="49">
        <v>14.8</v>
      </c>
      <c r="E45" s="49">
        <v>14.8</v>
      </c>
      <c r="F45" s="49"/>
      <c r="G45" s="49">
        <v>14.8</v>
      </c>
      <c r="H45" s="49">
        <v>14.8</v>
      </c>
      <c r="I45" s="49">
        <v>14.8</v>
      </c>
      <c r="J45" s="49">
        <v>14.8</v>
      </c>
      <c r="K45" s="49">
        <v>14.8</v>
      </c>
      <c r="L45" s="49">
        <v>14.8</v>
      </c>
      <c r="M45" s="49">
        <v>15.4</v>
      </c>
      <c r="N45" s="51"/>
      <c r="O45" s="51">
        <v>12</v>
      </c>
      <c r="P45" s="51">
        <v>12.3</v>
      </c>
      <c r="Q45" s="51">
        <v>12.3</v>
      </c>
      <c r="R45" s="51">
        <v>12.3</v>
      </c>
      <c r="S45" s="51">
        <v>12.3</v>
      </c>
      <c r="T45" s="51">
        <v>12.3</v>
      </c>
      <c r="U45" s="51">
        <v>12.3</v>
      </c>
      <c r="V45" s="51">
        <v>12.3</v>
      </c>
      <c r="W45" s="51">
        <v>12.3</v>
      </c>
      <c r="X45" s="51">
        <v>12.3</v>
      </c>
      <c r="Y45" s="51">
        <v>12.3</v>
      </c>
      <c r="Z45" s="51">
        <v>12.3</v>
      </c>
      <c r="AA45" s="51">
        <v>12.3</v>
      </c>
      <c r="AB45" s="49">
        <v>16.100000000000001</v>
      </c>
      <c r="AC45" s="49">
        <v>16.100000000000001</v>
      </c>
      <c r="AD45" s="49">
        <v>16.100000000000001</v>
      </c>
      <c r="AE45" s="49">
        <v>16.100000000000001</v>
      </c>
      <c r="AF45" s="49">
        <v>16.100000000000001</v>
      </c>
      <c r="AG45" s="64">
        <v>24</v>
      </c>
      <c r="AH45" s="55">
        <f t="shared" si="2"/>
        <v>16.100000000000001</v>
      </c>
      <c r="AI45" s="56">
        <f t="shared" si="3"/>
        <v>12</v>
      </c>
      <c r="AK45" s="57"/>
    </row>
    <row r="46" spans="1:88" x14ac:dyDescent="0.25">
      <c r="A46" s="63" t="s">
        <v>54</v>
      </c>
      <c r="B46" s="49">
        <v>3.6</v>
      </c>
      <c r="C46" s="49">
        <v>3.6</v>
      </c>
      <c r="D46" s="49">
        <v>3.6</v>
      </c>
      <c r="E46" s="49">
        <v>3.6</v>
      </c>
      <c r="F46" s="49"/>
      <c r="G46" s="49">
        <v>3.6</v>
      </c>
      <c r="H46" s="49">
        <v>3.6</v>
      </c>
      <c r="I46" s="49">
        <v>3.6</v>
      </c>
      <c r="J46" s="49">
        <v>3.6</v>
      </c>
      <c r="K46" s="49">
        <v>3.6</v>
      </c>
      <c r="L46" s="49">
        <v>3.6</v>
      </c>
      <c r="M46" s="49">
        <v>3.6</v>
      </c>
      <c r="N46" s="51"/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4">
        <v>15</v>
      </c>
      <c r="AH46" s="55">
        <f t="shared" si="2"/>
        <v>3.6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10.9</v>
      </c>
      <c r="C47" s="49">
        <v>10.9</v>
      </c>
      <c r="D47" s="49">
        <v>10.9</v>
      </c>
      <c r="E47" s="49">
        <v>10.9</v>
      </c>
      <c r="F47" s="49"/>
      <c r="G47" s="49">
        <v>10.9</v>
      </c>
      <c r="H47" s="49">
        <v>10.9</v>
      </c>
      <c r="I47" s="49">
        <v>10.9</v>
      </c>
      <c r="J47" s="49">
        <v>10.9</v>
      </c>
      <c r="K47" s="49">
        <v>10.9</v>
      </c>
      <c r="L47" s="49">
        <v>10.9</v>
      </c>
      <c r="M47" s="49">
        <v>10.9</v>
      </c>
      <c r="N47" s="51"/>
      <c r="O47" s="51">
        <v>10.9</v>
      </c>
      <c r="P47" s="51">
        <v>11.1</v>
      </c>
      <c r="Q47" s="51">
        <v>11.1</v>
      </c>
      <c r="R47" s="51">
        <v>11.1</v>
      </c>
      <c r="S47" s="51">
        <v>11.1</v>
      </c>
      <c r="T47" s="51">
        <v>11.1</v>
      </c>
      <c r="U47" s="51">
        <v>11.1</v>
      </c>
      <c r="V47" s="51">
        <v>11.1</v>
      </c>
      <c r="W47" s="51">
        <v>11.1</v>
      </c>
      <c r="X47" s="51">
        <v>11.1</v>
      </c>
      <c r="Y47" s="51">
        <v>11.1</v>
      </c>
      <c r="Z47" s="51">
        <v>11.1</v>
      </c>
      <c r="AA47" s="51">
        <v>11.1</v>
      </c>
      <c r="AB47" s="51">
        <v>11.1</v>
      </c>
      <c r="AC47" s="51">
        <v>11.1</v>
      </c>
      <c r="AD47" s="51">
        <v>11.1</v>
      </c>
      <c r="AE47" s="51">
        <v>11.1</v>
      </c>
      <c r="AF47" s="51">
        <v>11.1</v>
      </c>
      <c r="AG47" s="64">
        <v>14.1</v>
      </c>
      <c r="AH47" s="55">
        <f t="shared" si="2"/>
        <v>11.1</v>
      </c>
      <c r="AI47" s="56">
        <f t="shared" si="3"/>
        <v>10.9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13.4</v>
      </c>
      <c r="C48" s="49">
        <v>13.4</v>
      </c>
      <c r="D48" s="49">
        <v>13.4</v>
      </c>
      <c r="E48" s="49">
        <v>13.4</v>
      </c>
      <c r="F48" s="49"/>
      <c r="G48" s="49">
        <v>13.4</v>
      </c>
      <c r="H48" s="49">
        <v>13.4</v>
      </c>
      <c r="I48" s="49">
        <v>13.4</v>
      </c>
      <c r="J48" s="49">
        <v>13.4</v>
      </c>
      <c r="K48" s="49">
        <v>13.4</v>
      </c>
      <c r="L48" s="49">
        <v>13.4</v>
      </c>
      <c r="M48" s="49">
        <v>13.4</v>
      </c>
      <c r="N48" s="51"/>
      <c r="O48" s="51">
        <v>13.4</v>
      </c>
      <c r="P48" s="51">
        <v>13.4</v>
      </c>
      <c r="Q48" s="51">
        <v>13.4</v>
      </c>
      <c r="R48" s="51">
        <v>13.4</v>
      </c>
      <c r="S48" s="51">
        <v>13.4</v>
      </c>
      <c r="T48" s="51">
        <v>13.4</v>
      </c>
      <c r="U48" s="51">
        <v>13.4</v>
      </c>
      <c r="V48" s="51">
        <v>13.4</v>
      </c>
      <c r="W48" s="51">
        <v>13.4</v>
      </c>
      <c r="X48" s="51">
        <v>13.4</v>
      </c>
      <c r="Y48" s="51">
        <v>13.4</v>
      </c>
      <c r="Z48" s="51">
        <v>13.4</v>
      </c>
      <c r="AA48" s="51">
        <v>13.4</v>
      </c>
      <c r="AB48" s="51">
        <v>13.4</v>
      </c>
      <c r="AC48" s="51">
        <v>13.4</v>
      </c>
      <c r="AD48" s="51">
        <v>13.4</v>
      </c>
      <c r="AE48" s="51">
        <v>13.4</v>
      </c>
      <c r="AF48" s="51">
        <v>13.4</v>
      </c>
      <c r="AG48" s="64">
        <v>14</v>
      </c>
      <c r="AH48" s="55">
        <f t="shared" si="2"/>
        <v>13.4</v>
      </c>
      <c r="AI48" s="56">
        <f t="shared" si="3"/>
        <v>13.4</v>
      </c>
      <c r="AK48" s="57"/>
    </row>
    <row r="49" spans="1:37" x14ac:dyDescent="0.25">
      <c r="A49" s="63" t="s">
        <v>57</v>
      </c>
      <c r="B49" s="49">
        <v>9.6</v>
      </c>
      <c r="C49" s="49">
        <v>9.6</v>
      </c>
      <c r="D49" s="49">
        <v>9.6</v>
      </c>
      <c r="E49" s="49">
        <v>9.6</v>
      </c>
      <c r="F49" s="49"/>
      <c r="G49" s="49">
        <v>9.6</v>
      </c>
      <c r="H49" s="49">
        <v>9.6</v>
      </c>
      <c r="I49" s="49">
        <v>9.6</v>
      </c>
      <c r="J49" s="49">
        <v>9.6</v>
      </c>
      <c r="K49" s="49">
        <v>9.6</v>
      </c>
      <c r="L49" s="49">
        <v>9.6</v>
      </c>
      <c r="M49" s="49">
        <v>9.6</v>
      </c>
      <c r="N49" s="51"/>
      <c r="O49" s="51">
        <v>9.6</v>
      </c>
      <c r="P49" s="51">
        <v>9.6</v>
      </c>
      <c r="Q49" s="51">
        <v>9.6</v>
      </c>
      <c r="R49" s="51">
        <v>9.6</v>
      </c>
      <c r="S49" s="51">
        <v>9.6</v>
      </c>
      <c r="T49" s="51">
        <v>9.6</v>
      </c>
      <c r="U49" s="51">
        <v>9.6</v>
      </c>
      <c r="V49" s="51">
        <v>9.6</v>
      </c>
      <c r="W49" s="51">
        <v>9.6</v>
      </c>
      <c r="X49" s="51">
        <v>9.6</v>
      </c>
      <c r="Y49" s="51">
        <v>9.6</v>
      </c>
      <c r="Z49" s="51">
        <v>9.6</v>
      </c>
      <c r="AA49" s="51">
        <v>9.6</v>
      </c>
      <c r="AB49" s="51">
        <v>9.6</v>
      </c>
      <c r="AC49" s="51">
        <v>9.6</v>
      </c>
      <c r="AD49" s="51">
        <v>9.6</v>
      </c>
      <c r="AE49" s="51">
        <v>9.6</v>
      </c>
      <c r="AF49" s="51">
        <v>0</v>
      </c>
      <c r="AG49" s="64">
        <v>10.050000000000001</v>
      </c>
      <c r="AH49" s="55">
        <f t="shared" si="2"/>
        <v>9.6</v>
      </c>
      <c r="AI49" s="56">
        <f t="shared" si="3"/>
        <v>0</v>
      </c>
      <c r="AK49" s="57"/>
    </row>
    <row r="50" spans="1:37" x14ac:dyDescent="0.25">
      <c r="A50" s="63" t="s">
        <v>58</v>
      </c>
      <c r="B50" s="49">
        <v>3.2</v>
      </c>
      <c r="C50" s="49">
        <v>3.2</v>
      </c>
      <c r="D50" s="49">
        <v>3.2</v>
      </c>
      <c r="E50" s="49">
        <v>3.2</v>
      </c>
      <c r="F50" s="49"/>
      <c r="G50" s="49">
        <v>3.2</v>
      </c>
      <c r="H50" s="49">
        <v>3.2</v>
      </c>
      <c r="I50" s="49">
        <v>3.2</v>
      </c>
      <c r="J50" s="49">
        <v>3.2</v>
      </c>
      <c r="K50" s="49">
        <v>3.2</v>
      </c>
      <c r="L50" s="49">
        <v>3.2</v>
      </c>
      <c r="M50" s="49">
        <v>3.2</v>
      </c>
      <c r="N50" s="51"/>
      <c r="O50" s="51">
        <v>3.2</v>
      </c>
      <c r="P50" s="51">
        <v>3.2</v>
      </c>
      <c r="Q50" s="51">
        <v>3.2</v>
      </c>
      <c r="R50" s="51">
        <v>3.2</v>
      </c>
      <c r="S50" s="51">
        <v>3.2</v>
      </c>
      <c r="T50" s="51">
        <v>3.2</v>
      </c>
      <c r="U50" s="51">
        <v>3.2</v>
      </c>
      <c r="V50" s="51">
        <v>3.2</v>
      </c>
      <c r="W50" s="51">
        <v>3.2</v>
      </c>
      <c r="X50" s="51">
        <v>3.2</v>
      </c>
      <c r="Y50" s="51">
        <v>3.2</v>
      </c>
      <c r="Z50" s="51">
        <v>3.2</v>
      </c>
      <c r="AA50" s="51">
        <v>3.2</v>
      </c>
      <c r="AB50" s="51">
        <v>3.2</v>
      </c>
      <c r="AC50" s="51">
        <v>3.2</v>
      </c>
      <c r="AD50" s="51">
        <v>3.2</v>
      </c>
      <c r="AE50" s="51">
        <v>3.2</v>
      </c>
      <c r="AF50" s="51">
        <v>3.2</v>
      </c>
      <c r="AG50" s="64">
        <v>6.2</v>
      </c>
      <c r="AH50" s="55">
        <f t="shared" si="2"/>
        <v>3.2</v>
      </c>
      <c r="AI50" s="56">
        <f t="shared" si="3"/>
        <v>3.2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AG201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422.74</v>
      </c>
      <c r="C52" s="70">
        <f t="shared" ref="C52:AF52" si="7">SUM(C39:C51)</f>
        <v>418.34</v>
      </c>
      <c r="D52" s="70">
        <f t="shared" si="7"/>
        <v>408.84</v>
      </c>
      <c r="E52" s="70">
        <f t="shared" si="7"/>
        <v>421.34000000000003</v>
      </c>
      <c r="F52" s="70">
        <f t="shared" si="7"/>
        <v>3.54</v>
      </c>
      <c r="G52" s="70">
        <f t="shared" si="7"/>
        <v>398.04</v>
      </c>
      <c r="H52" s="70">
        <f t="shared" si="7"/>
        <v>413.44</v>
      </c>
      <c r="I52" s="70">
        <f t="shared" si="7"/>
        <v>413.44</v>
      </c>
      <c r="J52" s="70">
        <f t="shared" si="7"/>
        <v>402.44</v>
      </c>
      <c r="K52" s="70">
        <f t="shared" si="7"/>
        <v>402.14</v>
      </c>
      <c r="L52" s="70">
        <f t="shared" si="7"/>
        <v>402.44</v>
      </c>
      <c r="M52" s="70">
        <f t="shared" si="7"/>
        <v>389.44</v>
      </c>
      <c r="N52" s="70">
        <f t="shared" si="7"/>
        <v>3.54</v>
      </c>
      <c r="O52" s="70">
        <f t="shared" si="7"/>
        <v>407.34</v>
      </c>
      <c r="P52" s="70">
        <f t="shared" si="7"/>
        <v>392.44000000000005</v>
      </c>
      <c r="Q52" s="70">
        <f t="shared" si="7"/>
        <v>415.34000000000003</v>
      </c>
      <c r="R52" s="70">
        <f t="shared" si="7"/>
        <v>416.54</v>
      </c>
      <c r="S52" s="70">
        <f t="shared" si="7"/>
        <v>275.84000000000003</v>
      </c>
      <c r="T52" s="70">
        <f t="shared" si="7"/>
        <v>419.84000000000003</v>
      </c>
      <c r="U52" s="70">
        <f t="shared" si="7"/>
        <v>419.84000000000003</v>
      </c>
      <c r="V52" s="70">
        <f t="shared" si="7"/>
        <v>419.84000000000003</v>
      </c>
      <c r="W52" s="70">
        <f t="shared" ref="W52" si="8">SUM(W39:W51)</f>
        <v>419.84000000000003</v>
      </c>
      <c r="X52" s="70">
        <f t="shared" si="7"/>
        <v>389.84000000000003</v>
      </c>
      <c r="Y52" s="70">
        <f t="shared" si="7"/>
        <v>399.84000000000003</v>
      </c>
      <c r="Z52" s="70">
        <f t="shared" si="7"/>
        <v>399.84000000000003</v>
      </c>
      <c r="AA52" s="70">
        <f t="shared" si="7"/>
        <v>419.84000000000003</v>
      </c>
      <c r="AB52" s="70">
        <f t="shared" si="7"/>
        <v>425.74</v>
      </c>
      <c r="AC52" s="70">
        <f t="shared" si="7"/>
        <v>425.84000000000003</v>
      </c>
      <c r="AD52" s="70">
        <f t="shared" si="7"/>
        <v>425.84000000000003</v>
      </c>
      <c r="AE52" s="70">
        <f t="shared" si="7"/>
        <v>425.84000000000003</v>
      </c>
      <c r="AF52" s="70">
        <f t="shared" si="7"/>
        <v>402.84000000000003</v>
      </c>
      <c r="AG52" s="74">
        <f>SUM(AG39:AG51)</f>
        <v>489.91</v>
      </c>
      <c r="AH52" s="55">
        <f t="shared" si="2"/>
        <v>425.84000000000003</v>
      </c>
      <c r="AI52" s="56">
        <f t="shared" si="3"/>
        <v>3.54</v>
      </c>
      <c r="AK52" s="57"/>
    </row>
    <row r="53" spans="1:37" x14ac:dyDescent="0.25">
      <c r="A53" s="58" t="s">
        <v>61</v>
      </c>
      <c r="B53" s="51">
        <v>0</v>
      </c>
      <c r="C53" s="51">
        <v>0</v>
      </c>
      <c r="D53" s="51">
        <v>0</v>
      </c>
      <c r="E53" s="51">
        <v>0</v>
      </c>
      <c r="F53" s="51"/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10</v>
      </c>
      <c r="N53" s="51"/>
      <c r="O53" s="51">
        <v>50</v>
      </c>
      <c r="P53" s="51">
        <v>60</v>
      </c>
      <c r="Q53" s="51">
        <v>58</v>
      </c>
      <c r="R53" s="51">
        <v>35</v>
      </c>
      <c r="S53" s="51">
        <v>35</v>
      </c>
      <c r="T53" s="51">
        <v>35</v>
      </c>
      <c r="U53" s="51">
        <v>30</v>
      </c>
      <c r="V53" s="51">
        <v>40</v>
      </c>
      <c r="W53" s="51">
        <v>14</v>
      </c>
      <c r="X53" s="51">
        <v>14</v>
      </c>
      <c r="Y53" s="51">
        <v>14</v>
      </c>
      <c r="Z53" s="51">
        <v>29</v>
      </c>
      <c r="AA53" s="51">
        <v>44</v>
      </c>
      <c r="AB53" s="51">
        <v>58.7</v>
      </c>
      <c r="AC53" s="51">
        <v>58.7</v>
      </c>
      <c r="AD53" s="51">
        <v>58.7</v>
      </c>
      <c r="AE53" s="51">
        <v>30</v>
      </c>
      <c r="AF53" s="51">
        <v>11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0</v>
      </c>
      <c r="D54" s="49">
        <v>0</v>
      </c>
      <c r="E54" s="49">
        <v>0</v>
      </c>
      <c r="F54" s="49"/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4.5</v>
      </c>
      <c r="N54" s="49"/>
      <c r="O54" s="49">
        <v>15</v>
      </c>
      <c r="P54" s="49">
        <v>31.4</v>
      </c>
      <c r="Q54" s="49">
        <v>25.7</v>
      </c>
      <c r="R54" s="49">
        <v>21</v>
      </c>
      <c r="S54" s="49">
        <v>21</v>
      </c>
      <c r="T54" s="49">
        <v>21</v>
      </c>
      <c r="U54" s="49">
        <v>15</v>
      </c>
      <c r="V54" s="49">
        <v>18</v>
      </c>
      <c r="W54" s="49">
        <v>7</v>
      </c>
      <c r="X54" s="49">
        <v>7</v>
      </c>
      <c r="Y54" s="49">
        <v>7</v>
      </c>
      <c r="Z54" s="49">
        <v>15</v>
      </c>
      <c r="AA54" s="49">
        <v>19</v>
      </c>
      <c r="AB54" s="49">
        <v>30.2</v>
      </c>
      <c r="AC54" s="49">
        <v>30.8</v>
      </c>
      <c r="AD54" s="49">
        <v>30.8</v>
      </c>
      <c r="AE54" s="49">
        <v>15</v>
      </c>
      <c r="AF54" s="49">
        <v>5</v>
      </c>
      <c r="AG54" s="64">
        <v>32</v>
      </c>
      <c r="AH54" s="55">
        <f t="shared" si="2"/>
        <v>31.4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/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1.7</v>
      </c>
      <c r="N55" s="75"/>
      <c r="O55" s="75">
        <v>5.3</v>
      </c>
      <c r="P55" s="75">
        <v>11.4</v>
      </c>
      <c r="Q55" s="75">
        <v>9.4</v>
      </c>
      <c r="R55" s="75">
        <v>7.7</v>
      </c>
      <c r="S55" s="75">
        <v>7.7</v>
      </c>
      <c r="T55" s="75">
        <v>7.7</v>
      </c>
      <c r="U55" s="75">
        <v>5.4</v>
      </c>
      <c r="V55" s="75">
        <v>6.6</v>
      </c>
      <c r="W55" s="75">
        <v>2.6</v>
      </c>
      <c r="X55" s="75">
        <v>2.6</v>
      </c>
      <c r="Y55" s="75">
        <v>2.6</v>
      </c>
      <c r="Z55" s="75">
        <v>6</v>
      </c>
      <c r="AA55" s="75">
        <v>7</v>
      </c>
      <c r="AB55" s="75">
        <v>11</v>
      </c>
      <c r="AC55" s="75">
        <v>11.2</v>
      </c>
      <c r="AD55" s="75">
        <v>11.2</v>
      </c>
      <c r="AE55" s="75">
        <v>5</v>
      </c>
      <c r="AF55" s="75">
        <v>2</v>
      </c>
      <c r="AG55" s="76">
        <v>14</v>
      </c>
      <c r="AH55" s="55">
        <f t="shared" si="2"/>
        <v>11.4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0</v>
      </c>
      <c r="C56" s="70">
        <f t="shared" si="9"/>
        <v>0</v>
      </c>
      <c r="D56" s="70">
        <f t="shared" si="9"/>
        <v>0</v>
      </c>
      <c r="E56" s="70">
        <f t="shared" si="9"/>
        <v>0</v>
      </c>
      <c r="F56" s="70">
        <f t="shared" si="9"/>
        <v>0</v>
      </c>
      <c r="G56" s="70">
        <f t="shared" si="9"/>
        <v>0</v>
      </c>
      <c r="H56" s="70">
        <f t="shared" si="9"/>
        <v>0</v>
      </c>
      <c r="I56" s="70">
        <f t="shared" si="9"/>
        <v>0</v>
      </c>
      <c r="J56" s="70">
        <f t="shared" si="9"/>
        <v>0</v>
      </c>
      <c r="K56" s="70">
        <f t="shared" si="9"/>
        <v>0</v>
      </c>
      <c r="L56" s="70">
        <f t="shared" si="9"/>
        <v>0</v>
      </c>
      <c r="M56" s="70">
        <f t="shared" si="9"/>
        <v>16.2</v>
      </c>
      <c r="N56" s="70">
        <f t="shared" si="9"/>
        <v>0</v>
      </c>
      <c r="O56" s="70">
        <f t="shared" si="9"/>
        <v>70.3</v>
      </c>
      <c r="P56" s="70">
        <f t="shared" si="9"/>
        <v>102.80000000000001</v>
      </c>
      <c r="Q56" s="70">
        <f t="shared" si="9"/>
        <v>93.100000000000009</v>
      </c>
      <c r="R56" s="70">
        <f t="shared" si="9"/>
        <v>63.7</v>
      </c>
      <c r="S56" s="70">
        <f t="shared" si="9"/>
        <v>63.7</v>
      </c>
      <c r="T56" s="70">
        <f t="shared" si="9"/>
        <v>63.7</v>
      </c>
      <c r="U56" s="70">
        <f t="shared" si="9"/>
        <v>50.4</v>
      </c>
      <c r="V56" s="70">
        <f t="shared" si="9"/>
        <v>64.599999999999994</v>
      </c>
      <c r="W56" s="70">
        <f t="shared" si="9"/>
        <v>23.6</v>
      </c>
      <c r="X56" s="70">
        <f t="shared" si="9"/>
        <v>23.6</v>
      </c>
      <c r="Y56" s="70">
        <f t="shared" si="9"/>
        <v>23.6</v>
      </c>
      <c r="Z56" s="70">
        <f t="shared" si="9"/>
        <v>50</v>
      </c>
      <c r="AA56" s="70">
        <f t="shared" si="9"/>
        <v>70</v>
      </c>
      <c r="AB56" s="70">
        <f t="shared" si="9"/>
        <v>99.9</v>
      </c>
      <c r="AC56" s="70">
        <f t="shared" si="9"/>
        <v>100.7</v>
      </c>
      <c r="AD56" s="70">
        <f t="shared" si="9"/>
        <v>100.7</v>
      </c>
      <c r="AE56" s="70">
        <f t="shared" si="9"/>
        <v>50</v>
      </c>
      <c r="AF56" s="70">
        <f t="shared" si="9"/>
        <v>18</v>
      </c>
      <c r="AG56" s="74">
        <f>SUM(AG53:AG55)</f>
        <v>106</v>
      </c>
      <c r="AH56" s="55">
        <f t="shared" si="2"/>
        <v>102.80000000000001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57.8</v>
      </c>
      <c r="C57" s="51">
        <v>56.9</v>
      </c>
      <c r="D57" s="51">
        <v>52.7</v>
      </c>
      <c r="E57" s="51">
        <v>51.2</v>
      </c>
      <c r="F57" s="51"/>
      <c r="G57" s="51">
        <v>47</v>
      </c>
      <c r="H57" s="51">
        <v>37</v>
      </c>
      <c r="I57" s="51">
        <v>35</v>
      </c>
      <c r="J57" s="51">
        <v>41</v>
      </c>
      <c r="K57" s="51">
        <v>41</v>
      </c>
      <c r="L57" s="51">
        <v>48</v>
      </c>
      <c r="M57" s="51">
        <v>53</v>
      </c>
      <c r="N57" s="51">
        <v>65</v>
      </c>
      <c r="O57" s="51">
        <v>71.099999999999994</v>
      </c>
      <c r="P57" s="51">
        <v>68.5</v>
      </c>
      <c r="Q57" s="51">
        <v>71.5</v>
      </c>
      <c r="R57" s="51">
        <v>74.900000000000006</v>
      </c>
      <c r="S57" s="51">
        <v>74.900000000000006</v>
      </c>
      <c r="T57" s="51">
        <v>74.900000000000006</v>
      </c>
      <c r="U57" s="51">
        <v>74.900000000000006</v>
      </c>
      <c r="V57" s="51">
        <v>30</v>
      </c>
      <c r="W57" s="51">
        <v>60</v>
      </c>
      <c r="X57" s="51">
        <v>58</v>
      </c>
      <c r="Y57" s="51">
        <v>50</v>
      </c>
      <c r="Z57" s="51">
        <v>59</v>
      </c>
      <c r="AA57" s="51">
        <v>62</v>
      </c>
      <c r="AB57" s="51">
        <v>62</v>
      </c>
      <c r="AC57" s="51">
        <v>71</v>
      </c>
      <c r="AD57" s="51">
        <v>71</v>
      </c>
      <c r="AE57" s="51">
        <v>72</v>
      </c>
      <c r="AF57" s="51">
        <v>65</v>
      </c>
      <c r="AG57" s="60"/>
      <c r="AH57" s="55">
        <f t="shared" si="2"/>
        <v>74.900000000000006</v>
      </c>
      <c r="AI57" s="56">
        <f t="shared" si="3"/>
        <v>30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/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 t="s">
        <v>230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-229</v>
      </c>
      <c r="C59" s="49">
        <v>-364</v>
      </c>
      <c r="D59" s="49">
        <v>-307</v>
      </c>
      <c r="E59" s="49">
        <v>-363</v>
      </c>
      <c r="F59" s="49"/>
      <c r="G59" s="49">
        <v>-386</v>
      </c>
      <c r="H59" s="49">
        <v>-417</v>
      </c>
      <c r="I59" s="49">
        <v>-400</v>
      </c>
      <c r="J59" s="49">
        <v>-397</v>
      </c>
      <c r="K59" s="49">
        <v>-293</v>
      </c>
      <c r="L59" s="49">
        <v>-274</v>
      </c>
      <c r="M59" s="49">
        <v>-255</v>
      </c>
      <c r="N59" s="49">
        <v>-380</v>
      </c>
      <c r="O59" s="49">
        <v>-270</v>
      </c>
      <c r="P59" s="49">
        <v>-296.3</v>
      </c>
      <c r="Q59" s="49">
        <v>-280.60000000000002</v>
      </c>
      <c r="R59" s="49">
        <v>-297</v>
      </c>
      <c r="S59" s="49">
        <v>-297</v>
      </c>
      <c r="T59" s="49">
        <v>-250</v>
      </c>
      <c r="U59" s="49">
        <v>-257</v>
      </c>
      <c r="V59" s="49">
        <v>-292</v>
      </c>
      <c r="W59" s="49">
        <v>-281</v>
      </c>
      <c r="X59" s="49">
        <v>-290</v>
      </c>
      <c r="Y59" s="49">
        <v>-277</v>
      </c>
      <c r="Z59" s="49">
        <v>-232</v>
      </c>
      <c r="AA59" s="49">
        <v>-186</v>
      </c>
      <c r="AB59" s="49">
        <v>-186</v>
      </c>
      <c r="AC59" s="49">
        <v>-205</v>
      </c>
      <c r="AD59" s="49">
        <v>-220</v>
      </c>
      <c r="AE59" s="49">
        <v>-251</v>
      </c>
      <c r="AF59" s="49">
        <v>-259</v>
      </c>
      <c r="AG59" s="77"/>
      <c r="AH59" s="55">
        <f t="shared" si="2"/>
        <v>-186</v>
      </c>
      <c r="AI59" s="56">
        <f t="shared" si="3"/>
        <v>-417</v>
      </c>
      <c r="AK59" s="57"/>
    </row>
    <row r="60" spans="1:37" x14ac:dyDescent="0.25">
      <c r="A60" s="63" t="s">
        <v>68</v>
      </c>
      <c r="B60" s="78">
        <v>26.1</v>
      </c>
      <c r="C60" s="78">
        <v>29.2</v>
      </c>
      <c r="D60" s="78">
        <v>30.8</v>
      </c>
      <c r="E60" s="78">
        <v>0</v>
      </c>
      <c r="F60" s="78"/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/>
      <c r="O60" s="78">
        <v>13</v>
      </c>
      <c r="P60" s="78">
        <v>13</v>
      </c>
      <c r="Q60" s="78">
        <v>13</v>
      </c>
      <c r="R60" s="78">
        <v>13</v>
      </c>
      <c r="S60" s="78">
        <v>13</v>
      </c>
      <c r="T60" s="78">
        <v>13</v>
      </c>
      <c r="U60" s="78">
        <v>13</v>
      </c>
      <c r="V60" s="78">
        <v>13</v>
      </c>
      <c r="W60" s="78">
        <v>13</v>
      </c>
      <c r="X60" s="78">
        <v>13</v>
      </c>
      <c r="Y60" s="78">
        <v>13</v>
      </c>
      <c r="Z60" s="78">
        <v>13</v>
      </c>
      <c r="AA60" s="78">
        <v>15</v>
      </c>
      <c r="AB60" s="78">
        <v>15</v>
      </c>
      <c r="AC60" s="78">
        <v>15</v>
      </c>
      <c r="AD60" s="78">
        <v>15</v>
      </c>
      <c r="AE60" s="78">
        <v>14</v>
      </c>
      <c r="AF60" s="78">
        <v>13</v>
      </c>
      <c r="AG60" s="77"/>
      <c r="AH60" s="55">
        <f t="shared" si="2"/>
        <v>30.8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/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/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/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/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/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/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/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/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/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/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/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/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/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/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88.9</v>
      </c>
      <c r="C68" s="70">
        <f t="shared" ref="C68:AF68" si="10">SUMIF(C57:C67,"&gt;0")</f>
        <v>91.1</v>
      </c>
      <c r="D68" s="70">
        <f t="shared" si="10"/>
        <v>88.5</v>
      </c>
      <c r="E68" s="70">
        <f t="shared" si="10"/>
        <v>56.2</v>
      </c>
      <c r="F68" s="70">
        <f t="shared" si="10"/>
        <v>0</v>
      </c>
      <c r="G68" s="70">
        <f t="shared" si="10"/>
        <v>52</v>
      </c>
      <c r="H68" s="70">
        <f t="shared" si="10"/>
        <v>42</v>
      </c>
      <c r="I68" s="70">
        <f t="shared" si="10"/>
        <v>40</v>
      </c>
      <c r="J68" s="70">
        <f t="shared" si="10"/>
        <v>46</v>
      </c>
      <c r="K68" s="70">
        <f t="shared" si="10"/>
        <v>46</v>
      </c>
      <c r="L68" s="70">
        <f t="shared" si="10"/>
        <v>53</v>
      </c>
      <c r="M68" s="70">
        <f t="shared" si="10"/>
        <v>58</v>
      </c>
      <c r="N68" s="70">
        <f t="shared" si="10"/>
        <v>65</v>
      </c>
      <c r="O68" s="70">
        <f t="shared" si="10"/>
        <v>89.1</v>
      </c>
      <c r="P68" s="70">
        <f t="shared" si="10"/>
        <v>86.5</v>
      </c>
      <c r="Q68" s="70">
        <f t="shared" si="10"/>
        <v>89.5</v>
      </c>
      <c r="R68" s="70">
        <f t="shared" si="10"/>
        <v>92.9</v>
      </c>
      <c r="S68" s="70">
        <f t="shared" si="10"/>
        <v>92.9</v>
      </c>
      <c r="T68" s="70">
        <f t="shared" si="10"/>
        <v>92.9</v>
      </c>
      <c r="U68" s="70">
        <f t="shared" si="10"/>
        <v>92.9</v>
      </c>
      <c r="V68" s="70">
        <f t="shared" si="10"/>
        <v>48</v>
      </c>
      <c r="W68" s="70">
        <f t="shared" si="10"/>
        <v>78</v>
      </c>
      <c r="X68" s="70">
        <f t="shared" si="10"/>
        <v>76</v>
      </c>
      <c r="Y68" s="70">
        <f t="shared" si="10"/>
        <v>68</v>
      </c>
      <c r="Z68" s="70">
        <f t="shared" si="10"/>
        <v>77</v>
      </c>
      <c r="AA68" s="70">
        <f t="shared" si="10"/>
        <v>82</v>
      </c>
      <c r="AB68" s="70">
        <f t="shared" si="10"/>
        <v>82</v>
      </c>
      <c r="AC68" s="70">
        <f t="shared" si="10"/>
        <v>91</v>
      </c>
      <c r="AD68" s="70">
        <f t="shared" si="10"/>
        <v>91</v>
      </c>
      <c r="AE68" s="70">
        <f t="shared" si="10"/>
        <v>91</v>
      </c>
      <c r="AF68" s="70">
        <f t="shared" si="10"/>
        <v>83</v>
      </c>
      <c r="AG68" s="74">
        <f>SUM(AG57:AG67)</f>
        <v>0</v>
      </c>
      <c r="AH68" s="55">
        <f t="shared" si="2"/>
        <v>92.9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1515.7400000000002</v>
      </c>
      <c r="C73" s="84">
        <f t="shared" ref="C73:AF73" si="11">C38+C52+C68+C72</f>
        <v>1623.54</v>
      </c>
      <c r="D73" s="84">
        <f t="shared" si="11"/>
        <v>1602.44</v>
      </c>
      <c r="E73" s="84">
        <f t="shared" si="11"/>
        <v>1625.64</v>
      </c>
      <c r="F73" s="84">
        <f t="shared" si="11"/>
        <v>3.54</v>
      </c>
      <c r="G73" s="84">
        <f t="shared" si="11"/>
        <v>1555.14</v>
      </c>
      <c r="H73" s="84">
        <f t="shared" si="11"/>
        <v>1580.0400000000002</v>
      </c>
      <c r="I73" s="84">
        <f t="shared" si="11"/>
        <v>1538.0400000000002</v>
      </c>
      <c r="J73" s="84">
        <f t="shared" si="11"/>
        <v>1563.0400000000002</v>
      </c>
      <c r="K73" s="84">
        <f t="shared" si="11"/>
        <v>1552.7400000000002</v>
      </c>
      <c r="L73" s="84">
        <f t="shared" si="11"/>
        <v>1616.0400000000002</v>
      </c>
      <c r="M73" s="84">
        <f t="shared" si="11"/>
        <v>1607.64</v>
      </c>
      <c r="N73" s="84">
        <f t="shared" si="11"/>
        <v>524.54</v>
      </c>
      <c r="O73" s="84">
        <f t="shared" si="11"/>
        <v>1660.84</v>
      </c>
      <c r="P73" s="84">
        <f t="shared" si="11"/>
        <v>1630.1399999999999</v>
      </c>
      <c r="Q73" s="84">
        <f t="shared" si="11"/>
        <v>1670.2400000000002</v>
      </c>
      <c r="R73" s="84">
        <f t="shared" si="11"/>
        <v>1674.8400000000001</v>
      </c>
      <c r="S73" s="84">
        <f t="shared" si="11"/>
        <v>1478.1400000000003</v>
      </c>
      <c r="T73" s="84">
        <f t="shared" si="11"/>
        <v>1690.1400000000003</v>
      </c>
      <c r="U73" s="84">
        <f t="shared" si="11"/>
        <v>1701.1400000000003</v>
      </c>
      <c r="V73" s="84">
        <f t="shared" si="11"/>
        <v>1656.6400000000003</v>
      </c>
      <c r="W73" s="84">
        <f t="shared" si="11"/>
        <v>1686.6400000000003</v>
      </c>
      <c r="X73" s="84">
        <f t="shared" si="11"/>
        <v>1654.6400000000003</v>
      </c>
      <c r="Y73" s="84">
        <f t="shared" si="11"/>
        <v>1656.6400000000003</v>
      </c>
      <c r="Z73" s="84">
        <f t="shared" si="11"/>
        <v>1665.6400000000003</v>
      </c>
      <c r="AA73" s="84">
        <f t="shared" si="11"/>
        <v>1690.6400000000003</v>
      </c>
      <c r="AB73" s="84">
        <f t="shared" si="11"/>
        <v>1681.14</v>
      </c>
      <c r="AC73" s="84">
        <f t="shared" si="11"/>
        <v>1690.2400000000002</v>
      </c>
      <c r="AD73" s="84">
        <f t="shared" si="11"/>
        <v>1690.2400000000002</v>
      </c>
      <c r="AE73" s="84">
        <f t="shared" si="11"/>
        <v>1678.2400000000002</v>
      </c>
      <c r="AF73" s="84">
        <f t="shared" si="11"/>
        <v>1634.8400000000001</v>
      </c>
      <c r="AG73" s="84">
        <f t="shared" ref="AG73" si="12">AG68+AG56+AG52+AG38+AG72</f>
        <v>2144.14</v>
      </c>
      <c r="AH73" s="55">
        <f t="shared" si="2"/>
        <v>1701.1400000000003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>
        <v>30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30</v>
      </c>
      <c r="AI74" s="56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1515.7400000000002</v>
      </c>
      <c r="C75" s="84">
        <f t="shared" ref="C75:AF75" si="13">C73+C74</f>
        <v>1623.54</v>
      </c>
      <c r="D75" s="84">
        <f t="shared" si="13"/>
        <v>1602.44</v>
      </c>
      <c r="E75" s="84">
        <f t="shared" si="13"/>
        <v>1625.64</v>
      </c>
      <c r="F75" s="84">
        <f t="shared" si="13"/>
        <v>3.54</v>
      </c>
      <c r="G75" s="84">
        <f t="shared" si="13"/>
        <v>1555.14</v>
      </c>
      <c r="H75" s="84">
        <f t="shared" si="13"/>
        <v>1580.0400000000002</v>
      </c>
      <c r="I75" s="84">
        <f t="shared" si="13"/>
        <v>1538.0400000000002</v>
      </c>
      <c r="J75" s="84">
        <f t="shared" si="13"/>
        <v>1563.0400000000002</v>
      </c>
      <c r="K75" s="84">
        <f t="shared" si="13"/>
        <v>1552.7400000000002</v>
      </c>
      <c r="L75" s="84">
        <f t="shared" si="13"/>
        <v>1616.0400000000002</v>
      </c>
      <c r="M75" s="84">
        <f t="shared" si="13"/>
        <v>1607.64</v>
      </c>
      <c r="N75" s="84">
        <f t="shared" si="13"/>
        <v>524.54</v>
      </c>
      <c r="O75" s="84">
        <f t="shared" si="13"/>
        <v>1660.84</v>
      </c>
      <c r="P75" s="84">
        <f t="shared" si="13"/>
        <v>1660.1399999999999</v>
      </c>
      <c r="Q75" s="84">
        <f t="shared" si="13"/>
        <v>1670.2400000000002</v>
      </c>
      <c r="R75" s="84">
        <f t="shared" si="13"/>
        <v>1674.8400000000001</v>
      </c>
      <c r="S75" s="84">
        <f t="shared" si="13"/>
        <v>1478.1400000000003</v>
      </c>
      <c r="T75" s="84">
        <f t="shared" si="13"/>
        <v>1690.1400000000003</v>
      </c>
      <c r="U75" s="84">
        <f t="shared" si="13"/>
        <v>1701.1400000000003</v>
      </c>
      <c r="V75" s="84">
        <f t="shared" si="13"/>
        <v>1656.6400000000003</v>
      </c>
      <c r="W75" s="84">
        <f t="shared" si="13"/>
        <v>1686.6400000000003</v>
      </c>
      <c r="X75" s="84">
        <f t="shared" si="13"/>
        <v>1654.6400000000003</v>
      </c>
      <c r="Y75" s="84">
        <f t="shared" si="13"/>
        <v>1656.6400000000003</v>
      </c>
      <c r="Z75" s="84">
        <f t="shared" si="13"/>
        <v>1665.6400000000003</v>
      </c>
      <c r="AA75" s="84">
        <f t="shared" si="13"/>
        <v>1690.6400000000003</v>
      </c>
      <c r="AB75" s="84">
        <f t="shared" si="13"/>
        <v>1681.14</v>
      </c>
      <c r="AC75" s="84">
        <f t="shared" si="13"/>
        <v>1690.2400000000002</v>
      </c>
      <c r="AD75" s="84">
        <f t="shared" si="13"/>
        <v>1690.2400000000002</v>
      </c>
      <c r="AE75" s="84">
        <f t="shared" si="13"/>
        <v>1678.2400000000002</v>
      </c>
      <c r="AF75" s="84">
        <f t="shared" si="13"/>
        <v>1634.8400000000001</v>
      </c>
      <c r="AG75" s="74">
        <f>AG72+AG68+AG56+AG52+AG38+AG74</f>
        <v>2144.14</v>
      </c>
      <c r="AH75" s="55">
        <f t="shared" si="2"/>
        <v>1701.1400000000003</v>
      </c>
      <c r="AI75" s="56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229</v>
      </c>
      <c r="C79" s="78">
        <f t="shared" ref="C79:AF79" si="19">IF(C59&lt;0,C59*-1,0)</f>
        <v>364</v>
      </c>
      <c r="D79" s="78">
        <f t="shared" si="19"/>
        <v>307</v>
      </c>
      <c r="E79" s="78">
        <f t="shared" si="19"/>
        <v>363</v>
      </c>
      <c r="F79" s="78">
        <f t="shared" si="19"/>
        <v>0</v>
      </c>
      <c r="G79" s="78">
        <f t="shared" si="19"/>
        <v>386</v>
      </c>
      <c r="H79" s="78">
        <f t="shared" si="19"/>
        <v>417</v>
      </c>
      <c r="I79" s="78">
        <f t="shared" si="19"/>
        <v>400</v>
      </c>
      <c r="J79" s="78">
        <f t="shared" si="19"/>
        <v>397</v>
      </c>
      <c r="K79" s="78">
        <f t="shared" si="19"/>
        <v>293</v>
      </c>
      <c r="L79" s="78">
        <f t="shared" si="19"/>
        <v>274</v>
      </c>
      <c r="M79" s="78">
        <f t="shared" si="19"/>
        <v>255</v>
      </c>
      <c r="N79" s="78">
        <f t="shared" si="19"/>
        <v>380</v>
      </c>
      <c r="O79" s="78">
        <f t="shared" si="19"/>
        <v>270</v>
      </c>
      <c r="P79" s="78">
        <f t="shared" si="19"/>
        <v>296.3</v>
      </c>
      <c r="Q79" s="78">
        <f t="shared" si="19"/>
        <v>280.60000000000002</v>
      </c>
      <c r="R79" s="78">
        <f t="shared" si="19"/>
        <v>297</v>
      </c>
      <c r="S79" s="78">
        <f t="shared" si="19"/>
        <v>297</v>
      </c>
      <c r="T79" s="78">
        <f t="shared" si="19"/>
        <v>250</v>
      </c>
      <c r="U79" s="78">
        <f t="shared" si="19"/>
        <v>257</v>
      </c>
      <c r="V79" s="78">
        <f t="shared" si="19"/>
        <v>292</v>
      </c>
      <c r="W79" s="78">
        <f t="shared" si="19"/>
        <v>281</v>
      </c>
      <c r="X79" s="78">
        <f t="shared" si="19"/>
        <v>290</v>
      </c>
      <c r="Y79" s="78">
        <f t="shared" si="19"/>
        <v>277</v>
      </c>
      <c r="Z79" s="78">
        <f t="shared" si="19"/>
        <v>232</v>
      </c>
      <c r="AA79" s="78">
        <f t="shared" si="19"/>
        <v>186</v>
      </c>
      <c r="AB79" s="78">
        <f t="shared" si="19"/>
        <v>186</v>
      </c>
      <c r="AC79" s="78">
        <f t="shared" si="19"/>
        <v>205</v>
      </c>
      <c r="AD79" s="78">
        <f t="shared" si="19"/>
        <v>220</v>
      </c>
      <c r="AE79" s="78">
        <f t="shared" si="19"/>
        <v>251</v>
      </c>
      <c r="AF79" s="78">
        <f t="shared" si="19"/>
        <v>259</v>
      </c>
      <c r="AG79" s="87"/>
      <c r="AH79" s="55">
        <f t="shared" si="15"/>
        <v>417</v>
      </c>
      <c r="AI79" s="56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229</v>
      </c>
      <c r="C82" s="70">
        <f t="shared" ref="C82:AG82" si="21">SUM(C76:C81)</f>
        <v>364</v>
      </c>
      <c r="D82" s="70">
        <f t="shared" si="21"/>
        <v>307</v>
      </c>
      <c r="E82" s="70">
        <f t="shared" si="21"/>
        <v>363</v>
      </c>
      <c r="F82" s="70">
        <f t="shared" si="21"/>
        <v>0</v>
      </c>
      <c r="G82" s="70">
        <f t="shared" si="21"/>
        <v>386</v>
      </c>
      <c r="H82" s="70">
        <f t="shared" si="21"/>
        <v>417</v>
      </c>
      <c r="I82" s="70">
        <f t="shared" si="21"/>
        <v>400</v>
      </c>
      <c r="J82" s="70">
        <f t="shared" si="21"/>
        <v>397</v>
      </c>
      <c r="K82" s="70">
        <f t="shared" si="21"/>
        <v>293</v>
      </c>
      <c r="L82" s="70">
        <f t="shared" si="21"/>
        <v>274</v>
      </c>
      <c r="M82" s="70">
        <f t="shared" si="21"/>
        <v>255</v>
      </c>
      <c r="N82" s="70">
        <f t="shared" si="21"/>
        <v>380</v>
      </c>
      <c r="O82" s="70">
        <f t="shared" si="21"/>
        <v>270</v>
      </c>
      <c r="P82" s="70">
        <f t="shared" si="21"/>
        <v>296.3</v>
      </c>
      <c r="Q82" s="70">
        <f t="shared" si="21"/>
        <v>280.60000000000002</v>
      </c>
      <c r="R82" s="70">
        <f t="shared" si="21"/>
        <v>297</v>
      </c>
      <c r="S82" s="70">
        <f t="shared" si="21"/>
        <v>297</v>
      </c>
      <c r="T82" s="70">
        <f t="shared" si="21"/>
        <v>250</v>
      </c>
      <c r="U82" s="70">
        <f t="shared" si="21"/>
        <v>257</v>
      </c>
      <c r="V82" s="70">
        <f t="shared" si="21"/>
        <v>292</v>
      </c>
      <c r="W82" s="70">
        <f t="shared" si="21"/>
        <v>281</v>
      </c>
      <c r="X82" s="70">
        <f t="shared" si="21"/>
        <v>290</v>
      </c>
      <c r="Y82" s="70">
        <f t="shared" si="21"/>
        <v>277</v>
      </c>
      <c r="Z82" s="70">
        <f t="shared" si="21"/>
        <v>232</v>
      </c>
      <c r="AA82" s="70">
        <f t="shared" si="21"/>
        <v>186</v>
      </c>
      <c r="AB82" s="70">
        <f t="shared" si="21"/>
        <v>186</v>
      </c>
      <c r="AC82" s="70">
        <f t="shared" si="21"/>
        <v>205</v>
      </c>
      <c r="AD82" s="70">
        <f t="shared" si="21"/>
        <v>220</v>
      </c>
      <c r="AE82" s="70">
        <f t="shared" si="21"/>
        <v>251</v>
      </c>
      <c r="AF82" s="70">
        <f t="shared" si="21"/>
        <v>259</v>
      </c>
      <c r="AG82" s="74">
        <f t="shared" si="21"/>
        <v>0</v>
      </c>
      <c r="AH82" s="55">
        <f t="shared" si="15"/>
        <v>417</v>
      </c>
      <c r="AI82" s="56">
        <f t="shared" si="16"/>
        <v>0</v>
      </c>
      <c r="AK82" s="57"/>
    </row>
    <row r="83" spans="1:88" s="1" customFormat="1" ht="15.75" thickBot="1" x14ac:dyDescent="0.3">
      <c r="A83" s="69" t="s">
        <v>88</v>
      </c>
      <c r="B83" s="70">
        <f>B68-B82</f>
        <v>-140.1</v>
      </c>
      <c r="C83" s="70">
        <f t="shared" ref="C83:AF83" si="22">C68-C82</f>
        <v>-272.89999999999998</v>
      </c>
      <c r="D83" s="70">
        <f t="shared" si="22"/>
        <v>-218.5</v>
      </c>
      <c r="E83" s="70">
        <f t="shared" si="22"/>
        <v>-306.8</v>
      </c>
      <c r="F83" s="70">
        <f t="shared" si="22"/>
        <v>0</v>
      </c>
      <c r="G83" s="70">
        <f t="shared" si="22"/>
        <v>-334</v>
      </c>
      <c r="H83" s="70">
        <f t="shared" si="22"/>
        <v>-375</v>
      </c>
      <c r="I83" s="70">
        <f t="shared" si="22"/>
        <v>-360</v>
      </c>
      <c r="J83" s="70">
        <f t="shared" si="22"/>
        <v>-351</v>
      </c>
      <c r="K83" s="70">
        <f t="shared" si="22"/>
        <v>-247</v>
      </c>
      <c r="L83" s="70">
        <f t="shared" si="22"/>
        <v>-221</v>
      </c>
      <c r="M83" s="70">
        <f t="shared" si="22"/>
        <v>-197</v>
      </c>
      <c r="N83" s="70">
        <f t="shared" si="22"/>
        <v>-315</v>
      </c>
      <c r="O83" s="70">
        <f t="shared" si="22"/>
        <v>-180.9</v>
      </c>
      <c r="P83" s="70">
        <f t="shared" si="22"/>
        <v>-209.8</v>
      </c>
      <c r="Q83" s="70">
        <f t="shared" si="22"/>
        <v>-191.10000000000002</v>
      </c>
      <c r="R83" s="70">
        <f t="shared" si="22"/>
        <v>-204.1</v>
      </c>
      <c r="S83" s="70">
        <f t="shared" si="22"/>
        <v>-204.1</v>
      </c>
      <c r="T83" s="70">
        <f t="shared" si="22"/>
        <v>-157.1</v>
      </c>
      <c r="U83" s="70">
        <f t="shared" si="22"/>
        <v>-164.1</v>
      </c>
      <c r="V83" s="70">
        <f t="shared" si="22"/>
        <v>-244</v>
      </c>
      <c r="W83" s="70">
        <f t="shared" si="22"/>
        <v>-203</v>
      </c>
      <c r="X83" s="70">
        <f t="shared" si="22"/>
        <v>-214</v>
      </c>
      <c r="Y83" s="70">
        <f t="shared" si="22"/>
        <v>-209</v>
      </c>
      <c r="Z83" s="70">
        <f t="shared" si="22"/>
        <v>-155</v>
      </c>
      <c r="AA83" s="70">
        <f t="shared" si="22"/>
        <v>-104</v>
      </c>
      <c r="AB83" s="70">
        <f t="shared" si="22"/>
        <v>-104</v>
      </c>
      <c r="AC83" s="70">
        <f t="shared" si="22"/>
        <v>-114</v>
      </c>
      <c r="AD83" s="70">
        <f t="shared" si="22"/>
        <v>-129</v>
      </c>
      <c r="AE83" s="70">
        <f t="shared" si="22"/>
        <v>-160</v>
      </c>
      <c r="AF83" s="70">
        <f t="shared" si="22"/>
        <v>-176</v>
      </c>
      <c r="AG83" s="74">
        <f t="shared" ref="AG83" si="23">SUM(AG70:AG82)</f>
        <v>4360.08</v>
      </c>
      <c r="AH83" s="55">
        <f t="shared" si="15"/>
        <v>0</v>
      </c>
      <c r="AI83" s="56">
        <f t="shared" si="16"/>
        <v>-375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50.027999999999999</v>
      </c>
      <c r="C84" s="90">
        <v>50.02</v>
      </c>
      <c r="D84" s="90">
        <v>50.05</v>
      </c>
      <c r="E84" s="90">
        <v>49.893999999999998</v>
      </c>
      <c r="F84" s="90"/>
      <c r="G84" s="90">
        <v>50</v>
      </c>
      <c r="H84" s="90">
        <v>50.064</v>
      </c>
      <c r="I84" s="90">
        <v>50.072000000000003</v>
      </c>
      <c r="J84" s="90">
        <v>50.006999999999998</v>
      </c>
      <c r="K84" s="90">
        <v>50.005000000000003</v>
      </c>
      <c r="L84" s="90">
        <v>49.972999999999999</v>
      </c>
      <c r="M84" s="90">
        <v>50.015000000000001</v>
      </c>
      <c r="N84" s="90"/>
      <c r="O84" s="90">
        <v>50.031999999999996</v>
      </c>
      <c r="P84" s="90">
        <v>49.95</v>
      </c>
      <c r="Q84" s="90">
        <v>49.923999999999999</v>
      </c>
      <c r="R84" s="90">
        <v>49.936999999999998</v>
      </c>
      <c r="S84" s="90">
        <v>49.936999999999998</v>
      </c>
      <c r="T84" s="90">
        <v>49.936999999999998</v>
      </c>
      <c r="U84" s="90">
        <v>49.936999999999998</v>
      </c>
      <c r="V84" s="90">
        <v>49.844000000000001</v>
      </c>
      <c r="W84" s="90">
        <v>49.89</v>
      </c>
      <c r="X84" s="90">
        <v>49.89</v>
      </c>
      <c r="Y84" s="90">
        <v>49.94</v>
      </c>
      <c r="Z84" s="90">
        <v>49.996000000000002</v>
      </c>
      <c r="AA84" s="90">
        <v>49.996000000000002</v>
      </c>
      <c r="AB84" s="90">
        <v>50.03</v>
      </c>
      <c r="AC84" s="90">
        <v>50.02</v>
      </c>
      <c r="AD84" s="90">
        <v>50.02</v>
      </c>
      <c r="AE84" s="90">
        <v>50.040999999999997</v>
      </c>
      <c r="AF84" s="90">
        <v>49.908000000000001</v>
      </c>
      <c r="AG84" s="91"/>
      <c r="AH84" s="55">
        <f t="shared" si="15"/>
        <v>50.072000000000003</v>
      </c>
      <c r="AI84" s="56">
        <f t="shared" si="16"/>
        <v>49.844000000000001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</v>
      </c>
      <c r="C85" s="49">
        <v>123.6</v>
      </c>
      <c r="D85" s="49">
        <v>123.5</v>
      </c>
      <c r="E85" s="49">
        <v>123.1</v>
      </c>
      <c r="F85" s="49"/>
      <c r="G85" s="49">
        <v>124.1</v>
      </c>
      <c r="H85" s="49">
        <v>123.4</v>
      </c>
      <c r="I85" s="49">
        <v>122.5</v>
      </c>
      <c r="J85" s="49">
        <v>122</v>
      </c>
      <c r="K85" s="49">
        <v>123.4</v>
      </c>
      <c r="L85" s="49">
        <v>122.4</v>
      </c>
      <c r="M85" s="49">
        <v>122</v>
      </c>
      <c r="N85" s="49"/>
      <c r="O85" s="49">
        <v>120.7</v>
      </c>
      <c r="P85" s="49">
        <v>119.7</v>
      </c>
      <c r="Q85" s="49">
        <v>121</v>
      </c>
      <c r="R85" s="49">
        <v>122.7</v>
      </c>
      <c r="S85" s="49">
        <v>122.7</v>
      </c>
      <c r="T85" s="49">
        <v>122.7</v>
      </c>
      <c r="U85" s="49">
        <v>122.7</v>
      </c>
      <c r="V85" s="49">
        <v>123</v>
      </c>
      <c r="W85" s="49">
        <v>124</v>
      </c>
      <c r="X85" s="49">
        <v>124</v>
      </c>
      <c r="Y85" s="49">
        <v>125</v>
      </c>
      <c r="Z85" s="49">
        <v>125</v>
      </c>
      <c r="AA85" s="49">
        <v>125</v>
      </c>
      <c r="AB85" s="49">
        <v>124.8</v>
      </c>
      <c r="AC85" s="49">
        <v>125.1</v>
      </c>
      <c r="AD85" s="49">
        <v>125.1</v>
      </c>
      <c r="AE85" s="49">
        <v>123</v>
      </c>
      <c r="AF85" s="49">
        <v>122</v>
      </c>
      <c r="AG85" s="93"/>
      <c r="AH85" s="55">
        <f t="shared" si="15"/>
        <v>125.1</v>
      </c>
      <c r="AI85" s="56">
        <f t="shared" si="16"/>
        <v>119.7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127.7</v>
      </c>
      <c r="C86" s="49">
        <v>128.30000000000001</v>
      </c>
      <c r="D86" s="49">
        <v>128.1</v>
      </c>
      <c r="E86" s="49">
        <v>128.30000000000001</v>
      </c>
      <c r="F86" s="49"/>
      <c r="G86" s="49">
        <v>128.69999999999999</v>
      </c>
      <c r="H86" s="49">
        <v>127.5</v>
      </c>
      <c r="I86" s="49">
        <v>126.1</v>
      </c>
      <c r="J86" s="49">
        <v>125.5</v>
      </c>
      <c r="K86" s="49">
        <v>126.8</v>
      </c>
      <c r="L86" s="49">
        <v>125.8</v>
      </c>
      <c r="M86" s="49">
        <v>125.1</v>
      </c>
      <c r="N86" s="49"/>
      <c r="O86" s="49">
        <v>124.9</v>
      </c>
      <c r="P86" s="49">
        <v>124</v>
      </c>
      <c r="Q86" s="49">
        <v>125.6</v>
      </c>
      <c r="R86" s="49">
        <v>126.4</v>
      </c>
      <c r="S86" s="49">
        <v>126.4</v>
      </c>
      <c r="T86" s="49">
        <v>126.4</v>
      </c>
      <c r="U86" s="49">
        <v>126.4</v>
      </c>
      <c r="V86" s="49">
        <v>127</v>
      </c>
      <c r="W86" s="49">
        <v>127</v>
      </c>
      <c r="X86" s="49">
        <v>127</v>
      </c>
      <c r="Y86" s="49">
        <v>128</v>
      </c>
      <c r="Z86" s="49">
        <v>128</v>
      </c>
      <c r="AA86" s="49">
        <v>128</v>
      </c>
      <c r="AB86" s="49">
        <v>128.9</v>
      </c>
      <c r="AC86" s="49">
        <v>128.9</v>
      </c>
      <c r="AD86" s="49">
        <v>128.9</v>
      </c>
      <c r="AE86" s="49">
        <v>127</v>
      </c>
      <c r="AF86" s="49">
        <v>127</v>
      </c>
      <c r="AG86" s="93"/>
      <c r="AH86" s="55">
        <f t="shared" si="15"/>
        <v>128.9</v>
      </c>
      <c r="AI86" s="56">
        <f t="shared" si="16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128.4</v>
      </c>
      <c r="C87" s="49">
        <v>128</v>
      </c>
      <c r="D87" s="49">
        <v>128.19999999999999</v>
      </c>
      <c r="E87" s="49">
        <v>128.19999999999999</v>
      </c>
      <c r="F87" s="49"/>
      <c r="G87" s="49">
        <v>125.2</v>
      </c>
      <c r="H87" s="49">
        <v>129</v>
      </c>
      <c r="I87" s="49">
        <v>128.80000000000001</v>
      </c>
      <c r="J87" s="49">
        <v>127.4</v>
      </c>
      <c r="K87" s="49">
        <v>126.4</v>
      </c>
      <c r="L87" s="49">
        <v>127</v>
      </c>
      <c r="M87" s="49">
        <v>123.2</v>
      </c>
      <c r="N87" s="49"/>
      <c r="O87" s="49">
        <v>129.30000000000001</v>
      </c>
      <c r="P87" s="49">
        <v>127.3</v>
      </c>
      <c r="Q87" s="49">
        <v>126.3</v>
      </c>
      <c r="R87" s="49">
        <v>130</v>
      </c>
      <c r="S87" s="49">
        <v>130</v>
      </c>
      <c r="T87" s="49">
        <v>130</v>
      </c>
      <c r="U87" s="49">
        <v>130</v>
      </c>
      <c r="V87" s="49">
        <v>125</v>
      </c>
      <c r="W87" s="49">
        <v>128</v>
      </c>
      <c r="X87" s="49">
        <v>128</v>
      </c>
      <c r="Y87" s="49">
        <v>130</v>
      </c>
      <c r="Z87" s="49">
        <v>130</v>
      </c>
      <c r="AA87" s="49">
        <v>130</v>
      </c>
      <c r="AB87" s="49">
        <v>126.1</v>
      </c>
      <c r="AC87" s="49">
        <v>124.9</v>
      </c>
      <c r="AD87" s="49">
        <v>124.9</v>
      </c>
      <c r="AE87" s="49">
        <v>126</v>
      </c>
      <c r="AF87" s="49">
        <v>126.5</v>
      </c>
      <c r="AG87" s="93"/>
      <c r="AH87" s="55">
        <f t="shared" si="15"/>
        <v>130</v>
      </c>
      <c r="AI87" s="56">
        <f t="shared" si="16"/>
        <v>123.2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133.80000000000001</v>
      </c>
      <c r="C88" s="49">
        <v>133.6</v>
      </c>
      <c r="D88" s="49">
        <v>134.4</v>
      </c>
      <c r="E88" s="49">
        <v>132.19999999999999</v>
      </c>
      <c r="F88" s="49"/>
      <c r="G88" s="49">
        <v>130.9</v>
      </c>
      <c r="H88" s="49">
        <v>134.19999999999999</v>
      </c>
      <c r="I88" s="49">
        <v>134.1</v>
      </c>
      <c r="J88" s="49">
        <v>131.69999999999999</v>
      </c>
      <c r="K88" s="49">
        <v>131.4</v>
      </c>
      <c r="L88" s="49">
        <v>132</v>
      </c>
      <c r="M88" s="49">
        <v>128.80000000000001</v>
      </c>
      <c r="N88" s="49"/>
      <c r="O88" s="49">
        <v>132.80000000000001</v>
      </c>
      <c r="P88" s="49">
        <v>129.69999999999999</v>
      </c>
      <c r="Q88" s="49">
        <v>128.30000000000001</v>
      </c>
      <c r="R88" s="49">
        <v>133.69999999999999</v>
      </c>
      <c r="S88" s="49">
        <v>133.69999999999999</v>
      </c>
      <c r="T88" s="49">
        <v>133.69999999999999</v>
      </c>
      <c r="U88" s="49">
        <v>133.69999999999999</v>
      </c>
      <c r="V88" s="49">
        <v>129</v>
      </c>
      <c r="W88" s="49">
        <v>131</v>
      </c>
      <c r="X88" s="49">
        <v>131</v>
      </c>
      <c r="Y88" s="49">
        <v>133</v>
      </c>
      <c r="Z88" s="49">
        <v>133</v>
      </c>
      <c r="AA88" s="49">
        <v>133</v>
      </c>
      <c r="AB88" s="49">
        <v>129.80000000000001</v>
      </c>
      <c r="AC88" s="49">
        <v>129.80000000000001</v>
      </c>
      <c r="AD88" s="49">
        <v>129.80000000000001</v>
      </c>
      <c r="AE88" s="49">
        <v>129.5</v>
      </c>
      <c r="AF88" s="49">
        <v>130</v>
      </c>
      <c r="AG88" s="93"/>
      <c r="AH88" s="55">
        <f t="shared" si="15"/>
        <v>134.4</v>
      </c>
      <c r="AI88" s="56">
        <f t="shared" si="16"/>
        <v>128.30000000000001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134</v>
      </c>
      <c r="C89" s="95">
        <v>131.6</v>
      </c>
      <c r="D89" s="95">
        <v>131.4</v>
      </c>
      <c r="E89" s="95">
        <v>131.19999999999999</v>
      </c>
      <c r="F89" s="95"/>
      <c r="G89" s="95">
        <v>133.1</v>
      </c>
      <c r="H89" s="95">
        <v>133.6</v>
      </c>
      <c r="I89" s="95">
        <v>133.69999999999999</v>
      </c>
      <c r="J89" s="95">
        <v>133.5</v>
      </c>
      <c r="K89" s="95">
        <v>131.9</v>
      </c>
      <c r="L89" s="95">
        <v>130.80000000000001</v>
      </c>
      <c r="M89" s="95">
        <v>125.8</v>
      </c>
      <c r="N89" s="95"/>
      <c r="O89" s="95">
        <v>129.6</v>
      </c>
      <c r="P89" s="95">
        <v>129.9</v>
      </c>
      <c r="Q89" s="95">
        <v>130.19999999999999</v>
      </c>
      <c r="R89" s="95">
        <v>134</v>
      </c>
      <c r="S89" s="95">
        <v>134</v>
      </c>
      <c r="T89" s="95">
        <v>134</v>
      </c>
      <c r="U89" s="95">
        <v>134</v>
      </c>
      <c r="V89" s="95">
        <v>132</v>
      </c>
      <c r="W89" s="95">
        <v>131</v>
      </c>
      <c r="X89" s="95">
        <v>131</v>
      </c>
      <c r="Y89" s="95">
        <v>134</v>
      </c>
      <c r="Z89" s="95">
        <v>134</v>
      </c>
      <c r="AA89" s="95">
        <v>134</v>
      </c>
      <c r="AB89" s="95">
        <v>130.19999999999999</v>
      </c>
      <c r="AC89" s="95">
        <v>130.19999999999999</v>
      </c>
      <c r="AD89" s="95">
        <v>130.19999999999999</v>
      </c>
      <c r="AE89" s="95">
        <v>131</v>
      </c>
      <c r="AF89" s="95">
        <v>132</v>
      </c>
      <c r="AG89" s="96"/>
      <c r="AH89" s="55">
        <f t="shared" si="15"/>
        <v>134</v>
      </c>
      <c r="AI89" s="56">
        <f t="shared" si="16"/>
        <v>125.8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127.4</v>
      </c>
      <c r="C90" s="49">
        <v>122.4</v>
      </c>
      <c r="D90" s="49">
        <v>126</v>
      </c>
      <c r="E90" s="49">
        <v>126.7</v>
      </c>
      <c r="F90" s="49"/>
      <c r="G90" s="49">
        <v>129.30000000000001</v>
      </c>
      <c r="H90" s="49">
        <v>126.8</v>
      </c>
      <c r="I90" s="49">
        <v>129.19999999999999</v>
      </c>
      <c r="J90" s="49">
        <v>131.5</v>
      </c>
      <c r="K90" s="49">
        <v>125.4</v>
      </c>
      <c r="L90" s="49">
        <v>127.7</v>
      </c>
      <c r="M90" s="49">
        <v>122.5</v>
      </c>
      <c r="N90" s="49"/>
      <c r="O90" s="49">
        <v>121.3</v>
      </c>
      <c r="P90" s="49">
        <v>120</v>
      </c>
      <c r="Q90" s="49">
        <v>127.7</v>
      </c>
      <c r="R90" s="49">
        <v>121.9</v>
      </c>
      <c r="S90" s="49">
        <v>121.9</v>
      </c>
      <c r="T90" s="49">
        <v>121.9</v>
      </c>
      <c r="U90" s="49">
        <v>121.9</v>
      </c>
      <c r="V90" s="49">
        <v>128</v>
      </c>
      <c r="W90" s="49">
        <v>125</v>
      </c>
      <c r="X90" s="49">
        <v>125</v>
      </c>
      <c r="Y90" s="49">
        <v>129</v>
      </c>
      <c r="Z90" s="49">
        <v>129</v>
      </c>
      <c r="AA90" s="49">
        <v>129</v>
      </c>
      <c r="AB90" s="49">
        <v>127</v>
      </c>
      <c r="AC90" s="49">
        <v>127</v>
      </c>
      <c r="AD90" s="49">
        <v>127</v>
      </c>
      <c r="AE90" s="49">
        <v>127</v>
      </c>
      <c r="AF90" s="49">
        <v>126</v>
      </c>
      <c r="AG90" s="93"/>
      <c r="AH90" s="55">
        <f t="shared" si="15"/>
        <v>131.5</v>
      </c>
      <c r="AI90" s="56">
        <f t="shared" si="16"/>
        <v>120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65.099999999999994</v>
      </c>
      <c r="C91" s="97">
        <v>65.099999999999994</v>
      </c>
      <c r="D91" s="97">
        <v>65</v>
      </c>
      <c r="E91" s="97">
        <v>65.099999999999994</v>
      </c>
      <c r="F91" s="97"/>
      <c r="G91" s="97">
        <v>65.3</v>
      </c>
      <c r="H91" s="97">
        <v>64.7</v>
      </c>
      <c r="I91" s="97">
        <v>63.9</v>
      </c>
      <c r="J91" s="97">
        <v>63.3</v>
      </c>
      <c r="K91" s="97">
        <v>64.5</v>
      </c>
      <c r="L91" s="97">
        <v>63.8</v>
      </c>
      <c r="M91" s="97">
        <v>63.5</v>
      </c>
      <c r="N91" s="97"/>
      <c r="O91" s="97">
        <v>63.2</v>
      </c>
      <c r="P91" s="97">
        <v>62.8</v>
      </c>
      <c r="Q91" s="97">
        <v>63.2</v>
      </c>
      <c r="R91" s="97">
        <v>63.5</v>
      </c>
      <c r="S91" s="97">
        <v>63.5</v>
      </c>
      <c r="T91" s="97">
        <v>63.5</v>
      </c>
      <c r="U91" s="97">
        <v>63.5</v>
      </c>
      <c r="V91" s="97">
        <v>63.8</v>
      </c>
      <c r="W91" s="97">
        <v>63.9</v>
      </c>
      <c r="X91" s="97">
        <v>63.9</v>
      </c>
      <c r="Y91" s="97">
        <v>64.5</v>
      </c>
      <c r="Z91" s="97">
        <v>64.5</v>
      </c>
      <c r="AA91" s="97">
        <v>64.5</v>
      </c>
      <c r="AB91" s="97">
        <v>65</v>
      </c>
      <c r="AC91" s="97">
        <v>65</v>
      </c>
      <c r="AD91" s="97">
        <v>65</v>
      </c>
      <c r="AE91" s="97">
        <v>65</v>
      </c>
      <c r="AF91" s="97">
        <v>64.8</v>
      </c>
      <c r="AG91" s="98"/>
      <c r="AH91" s="55">
        <f t="shared" si="15"/>
        <v>65.3</v>
      </c>
      <c r="AI91" s="56">
        <f t="shared" si="16"/>
        <v>62.8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SUM(B15,B18,B21:B22,B42,B44:B45,B47,B49,B94:B97,B104,B110,B116,B125,B127,B139,B146,B149:B150,B157,B159,B161,B165:B167,B169:B171,B176,B182:B183,B185:B187,B195,B200)</f>
        <v>168.14000000000001</v>
      </c>
      <c r="C93" s="103">
        <f t="shared" si="24"/>
        <v>163.54000000000002</v>
      </c>
      <c r="D93" s="103">
        <f t="shared" si="24"/>
        <v>147.54000000000002</v>
      </c>
      <c r="E93" s="103">
        <f t="shared" si="24"/>
        <v>159.73999999999998</v>
      </c>
      <c r="F93" s="103">
        <f t="shared" si="24"/>
        <v>34.840000000000003</v>
      </c>
      <c r="G93" s="103">
        <f t="shared" si="24"/>
        <v>156.04</v>
      </c>
      <c r="H93" s="103">
        <f t="shared" si="24"/>
        <v>179.04</v>
      </c>
      <c r="I93" s="103">
        <f t="shared" si="24"/>
        <v>216.94</v>
      </c>
      <c r="J93" s="103">
        <f t="shared" si="24"/>
        <v>231.04</v>
      </c>
      <c r="K93" s="103">
        <f t="shared" si="24"/>
        <v>259.34000000000003</v>
      </c>
      <c r="L93" s="103">
        <f t="shared" si="24"/>
        <v>289.24000000000007</v>
      </c>
      <c r="M93" s="103">
        <f t="shared" si="24"/>
        <v>289.83999999999997</v>
      </c>
      <c r="N93" s="103">
        <f t="shared" si="24"/>
        <v>34.840000000000003</v>
      </c>
      <c r="O93" s="103">
        <f t="shared" si="24"/>
        <v>315.94000000000005</v>
      </c>
      <c r="P93" s="103">
        <f t="shared" si="24"/>
        <v>308.34000000000003</v>
      </c>
      <c r="Q93" s="103">
        <f t="shared" si="24"/>
        <v>291.84000000000003</v>
      </c>
      <c r="R93" s="103">
        <f t="shared" si="24"/>
        <v>284.14000000000004</v>
      </c>
      <c r="S93" s="103">
        <f t="shared" si="24"/>
        <v>212.83999999999997</v>
      </c>
      <c r="T93" s="103">
        <f t="shared" si="24"/>
        <v>212.83999999999997</v>
      </c>
      <c r="U93" s="103">
        <f t="shared" si="24"/>
        <v>296.84000000000003</v>
      </c>
      <c r="V93" s="103">
        <f t="shared" si="24"/>
        <v>286.24</v>
      </c>
      <c r="W93" s="103">
        <f>SUM(W15,W18,W21:W22,W42,W44:W45,W47,W49,W94:W97,W104,W110,W116,W125,W127,W139,W146,W149:W150,W157,W159,W161,W165:W167,W169:W171,W176,W182:W183,W185:W187,W195,W200)</f>
        <v>277.24</v>
      </c>
      <c r="X93" s="103">
        <f>SUM(X15,X18,X21:X22,X42,X44:X45,X47,X49,X94:X97,X104,X110,X116,X125,X127,X139,X146,X149:X150,X157,X159,X161,X165:X167,X169:X171,X176,X182:X183,X185:X187,X195,X200)</f>
        <v>286.24</v>
      </c>
      <c r="Y93" s="103">
        <f t="shared" si="24"/>
        <v>289.74</v>
      </c>
      <c r="Z93" s="103">
        <f t="shared" si="24"/>
        <v>340.24</v>
      </c>
      <c r="AA93" s="103">
        <f t="shared" si="24"/>
        <v>347.24</v>
      </c>
      <c r="AB93" s="103">
        <f t="shared" si="24"/>
        <v>308.04000000000002</v>
      </c>
      <c r="AC93" s="103">
        <f t="shared" si="24"/>
        <v>300.34000000000003</v>
      </c>
      <c r="AD93" s="103">
        <f t="shared" si="24"/>
        <v>301.34000000000003</v>
      </c>
      <c r="AE93" s="103">
        <f t="shared" si="24"/>
        <v>252.73999999999995</v>
      </c>
      <c r="AF93" s="103">
        <f t="shared" si="24"/>
        <v>199.33999999999997</v>
      </c>
      <c r="AG93" s="104"/>
      <c r="AH93" s="55">
        <f>MAX(C93:AF93)</f>
        <v>347.24</v>
      </c>
      <c r="AI93" s="56">
        <f>MIN(C93:AF93)</f>
        <v>34.840000000000003</v>
      </c>
    </row>
    <row r="94" spans="1:88" x14ac:dyDescent="0.25">
      <c r="A94" s="105" t="s">
        <v>98</v>
      </c>
      <c r="B94" s="106">
        <v>48</v>
      </c>
      <c r="C94" s="106">
        <v>44.7</v>
      </c>
      <c r="D94" s="106">
        <v>44.4</v>
      </c>
      <c r="E94" s="106">
        <v>38.200000000000003</v>
      </c>
      <c r="F94" s="106"/>
      <c r="G94" s="106">
        <v>41.9</v>
      </c>
      <c r="H94" s="106">
        <v>52.1</v>
      </c>
      <c r="I94" s="106">
        <v>62.9</v>
      </c>
      <c r="J94" s="106">
        <v>69.5</v>
      </c>
      <c r="K94" s="106">
        <v>48.6</v>
      </c>
      <c r="L94" s="106">
        <v>43.2</v>
      </c>
      <c r="M94" s="106">
        <v>56.1</v>
      </c>
      <c r="N94" s="106"/>
      <c r="O94" s="106">
        <v>60.7</v>
      </c>
      <c r="P94" s="106">
        <v>55.8</v>
      </c>
      <c r="Q94" s="106">
        <v>49.9</v>
      </c>
      <c r="R94" s="106">
        <v>57.9</v>
      </c>
      <c r="S94" s="106"/>
      <c r="T94" s="106"/>
      <c r="U94" s="106">
        <v>44</v>
      </c>
      <c r="V94" s="106">
        <v>34</v>
      </c>
      <c r="W94" s="106">
        <v>33</v>
      </c>
      <c r="X94" s="106">
        <v>35</v>
      </c>
      <c r="Y94" s="106">
        <v>37.5</v>
      </c>
      <c r="Z94" s="106">
        <v>38</v>
      </c>
      <c r="AA94" s="106">
        <v>44</v>
      </c>
      <c r="AB94" s="106">
        <v>40.5</v>
      </c>
      <c r="AC94" s="106">
        <v>42</v>
      </c>
      <c r="AD94" s="106">
        <v>43</v>
      </c>
      <c r="AE94" s="106">
        <v>61.7</v>
      </c>
      <c r="AF94" s="106">
        <v>58.9</v>
      </c>
      <c r="AG94" s="107">
        <v>75</v>
      </c>
      <c r="AH94" s="55">
        <f t="shared" ref="AH94:AH101" si="25">IF(ABS(MAX(C94:AF94))&gt;ABS(MIN(C94:AF94)),MAX(C94:AF94),MIN(C94:AF94))</f>
        <v>69.5</v>
      </c>
      <c r="AI94" s="108">
        <f t="shared" ref="AI94:AI101" si="26">INDEX($C$9:$AF$9,1,MATCH(AH94,C94:AF94,0))</f>
        <v>0.27083333333333331</v>
      </c>
    </row>
    <row r="95" spans="1:88" x14ac:dyDescent="0.25">
      <c r="A95" s="109" t="s">
        <v>99</v>
      </c>
      <c r="B95" s="110">
        <f>-51-59</f>
        <v>-110</v>
      </c>
      <c r="C95" s="110">
        <f>-52-59</f>
        <v>-111</v>
      </c>
      <c r="D95" s="110">
        <f>-55-61.2</f>
        <v>-116.2</v>
      </c>
      <c r="E95" s="110">
        <f>-51.2-57.6</f>
        <v>-108.80000000000001</v>
      </c>
      <c r="F95" s="110"/>
      <c r="G95" s="110">
        <f>-54.3-61.1</f>
        <v>-115.4</v>
      </c>
      <c r="H95" s="110">
        <f>-50.2-55.8</f>
        <v>-106</v>
      </c>
      <c r="I95" s="110">
        <f>-39-44.1</f>
        <v>-83.1</v>
      </c>
      <c r="J95" s="110">
        <f>-36-40.7</f>
        <v>-76.7</v>
      </c>
      <c r="K95" s="110">
        <f>-15.7-18</f>
        <v>-33.700000000000003</v>
      </c>
      <c r="L95" s="110">
        <f>-27.9-31.7</f>
        <v>-59.599999999999994</v>
      </c>
      <c r="M95" s="110">
        <v>-66.3</v>
      </c>
      <c r="N95" s="110"/>
      <c r="O95" s="110">
        <v>-58.4</v>
      </c>
      <c r="P95" s="110">
        <f>-35.3-22.6</f>
        <v>-57.9</v>
      </c>
      <c r="Q95" s="110">
        <f>-29-41.1</f>
        <v>-70.099999999999994</v>
      </c>
      <c r="R95" s="110">
        <f>-33.8-44.4</f>
        <v>-78.199999999999989</v>
      </c>
      <c r="S95" s="110"/>
      <c r="T95" s="110"/>
      <c r="U95" s="110">
        <v>-58</v>
      </c>
      <c r="V95" s="110">
        <v>-64</v>
      </c>
      <c r="W95" s="110">
        <v>-60</v>
      </c>
      <c r="X95" s="110">
        <v>-58</v>
      </c>
      <c r="Y95" s="110">
        <v>-56</v>
      </c>
      <c r="Z95" s="110">
        <v>-37</v>
      </c>
      <c r="AA95" s="110">
        <v>-9</v>
      </c>
      <c r="AB95" s="110">
        <f>-9.5-20.5</f>
        <v>-30</v>
      </c>
      <c r="AC95" s="110">
        <f>-11.7-22.3</f>
        <v>-34</v>
      </c>
      <c r="AD95" s="110">
        <f>-11.7-22.3</f>
        <v>-34</v>
      </c>
      <c r="AE95" s="110">
        <v>-49</v>
      </c>
      <c r="AF95" s="110">
        <v>-101</v>
      </c>
      <c r="AG95" s="107">
        <v>240</v>
      </c>
      <c r="AH95" s="55">
        <f t="shared" si="25"/>
        <v>-116.2</v>
      </c>
      <c r="AI95" s="108">
        <f t="shared" si="26"/>
        <v>8.3333333333333301E-2</v>
      </c>
    </row>
    <row r="96" spans="1:88" x14ac:dyDescent="0.25">
      <c r="A96" s="109" t="s">
        <v>100</v>
      </c>
      <c r="B96" s="110">
        <v>9.8000000000000007</v>
      </c>
      <c r="C96" s="110">
        <v>9.5</v>
      </c>
      <c r="D96" s="110">
        <v>8.5</v>
      </c>
      <c r="E96" s="110">
        <v>9.6999999999999993</v>
      </c>
      <c r="F96" s="110"/>
      <c r="G96" s="110">
        <v>8.9</v>
      </c>
      <c r="H96" s="110">
        <v>11.8</v>
      </c>
      <c r="I96" s="110">
        <v>16</v>
      </c>
      <c r="J96" s="110">
        <v>17.399999999999999</v>
      </c>
      <c r="K96" s="110">
        <v>23.3</v>
      </c>
      <c r="L96" s="110">
        <v>6.4</v>
      </c>
      <c r="M96" s="110">
        <v>12.8</v>
      </c>
      <c r="N96" s="110"/>
      <c r="O96" s="110">
        <v>51.7</v>
      </c>
      <c r="P96" s="110">
        <v>57.2</v>
      </c>
      <c r="Q96" s="110">
        <v>54.9</v>
      </c>
      <c r="R96" s="110">
        <v>49.2</v>
      </c>
      <c r="S96" s="110"/>
      <c r="T96" s="110"/>
      <c r="U96" s="110">
        <v>30</v>
      </c>
      <c r="V96" s="110">
        <v>38</v>
      </c>
      <c r="W96" s="110">
        <v>14</v>
      </c>
      <c r="X96" s="110">
        <v>13</v>
      </c>
      <c r="Y96" s="110">
        <v>13</v>
      </c>
      <c r="Z96" s="110">
        <v>32</v>
      </c>
      <c r="AA96" s="110">
        <v>44</v>
      </c>
      <c r="AB96" s="110">
        <v>48.5</v>
      </c>
      <c r="AC96" s="110">
        <v>48.5</v>
      </c>
      <c r="AD96" s="110">
        <v>48.5</v>
      </c>
      <c r="AE96" s="110">
        <v>28</v>
      </c>
      <c r="AF96" s="110">
        <v>8.6</v>
      </c>
      <c r="AG96" s="107">
        <v>60</v>
      </c>
      <c r="AH96" s="55">
        <f t="shared" si="25"/>
        <v>57.2</v>
      </c>
      <c r="AI96" s="108">
        <f t="shared" si="26"/>
        <v>0.45833333333333298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/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78.400000000000006</v>
      </c>
      <c r="M97" s="112">
        <v>65.599999999999994</v>
      </c>
      <c r="N97" s="112"/>
      <c r="O97" s="112">
        <v>51.5</v>
      </c>
      <c r="P97" s="112">
        <v>42.8</v>
      </c>
      <c r="Q97" s="112">
        <v>44.3</v>
      </c>
      <c r="R97" s="112">
        <v>42.4</v>
      </c>
      <c r="S97" s="112"/>
      <c r="T97" s="112"/>
      <c r="U97" s="112">
        <v>68</v>
      </c>
      <c r="V97" s="112">
        <v>65</v>
      </c>
      <c r="W97" s="112">
        <v>77</v>
      </c>
      <c r="X97" s="112">
        <v>83</v>
      </c>
      <c r="Y97" s="112">
        <v>82</v>
      </c>
      <c r="Z97" s="112">
        <v>94</v>
      </c>
      <c r="AA97" s="112">
        <v>55</v>
      </c>
      <c r="AB97" s="112">
        <v>33</v>
      </c>
      <c r="AC97" s="112">
        <v>27.8</v>
      </c>
      <c r="AD97" s="112">
        <v>27.8</v>
      </c>
      <c r="AE97" s="112">
        <v>0</v>
      </c>
      <c r="AF97" s="112">
        <v>46.4</v>
      </c>
      <c r="AG97" s="113">
        <v>120</v>
      </c>
      <c r="AH97" s="55">
        <f t="shared" si="25"/>
        <v>94</v>
      </c>
      <c r="AI97" s="108">
        <f t="shared" si="26"/>
        <v>0.79166666666666663</v>
      </c>
    </row>
    <row r="98" spans="1:37" x14ac:dyDescent="0.25">
      <c r="A98" s="111" t="s">
        <v>102</v>
      </c>
      <c r="B98" s="112">
        <v>30.8</v>
      </c>
      <c r="C98" s="112">
        <v>26.2</v>
      </c>
      <c r="D98" s="112">
        <v>28.3</v>
      </c>
      <c r="E98" s="112">
        <v>38</v>
      </c>
      <c r="F98" s="112"/>
      <c r="G98" s="112">
        <v>28.2</v>
      </c>
      <c r="H98" s="112">
        <v>17.7</v>
      </c>
      <c r="I98" s="112">
        <v>24.9</v>
      </c>
      <c r="J98" s="112">
        <v>26.7</v>
      </c>
      <c r="K98" s="112">
        <v>77.5</v>
      </c>
      <c r="L98" s="112">
        <v>65.8</v>
      </c>
      <c r="M98" s="112">
        <v>58.4</v>
      </c>
      <c r="N98" s="112"/>
      <c r="O98" s="112">
        <v>42.6</v>
      </c>
      <c r="P98" s="112">
        <v>41.8</v>
      </c>
      <c r="Q98" s="112">
        <v>47.4</v>
      </c>
      <c r="R98" s="112">
        <v>40.4</v>
      </c>
      <c r="S98" s="112"/>
      <c r="T98" s="112"/>
      <c r="U98" s="112">
        <v>58</v>
      </c>
      <c r="V98" s="112">
        <v>5</v>
      </c>
      <c r="W98" s="112">
        <v>59</v>
      </c>
      <c r="X98" s="112">
        <v>60</v>
      </c>
      <c r="Y98" s="112">
        <v>60</v>
      </c>
      <c r="Z98" s="112">
        <v>67</v>
      </c>
      <c r="AA98" s="112">
        <v>90</v>
      </c>
      <c r="AB98" s="112">
        <v>75.8</v>
      </c>
      <c r="AC98" s="112">
        <v>57.3</v>
      </c>
      <c r="AD98" s="112">
        <v>57.3</v>
      </c>
      <c r="AE98" s="112">
        <v>61.4</v>
      </c>
      <c r="AF98" s="112">
        <v>40</v>
      </c>
      <c r="AG98" s="113"/>
      <c r="AH98" s="55">
        <f t="shared" si="25"/>
        <v>90</v>
      </c>
      <c r="AI98" s="108">
        <f t="shared" si="26"/>
        <v>0.8125</v>
      </c>
    </row>
    <row r="99" spans="1:37" x14ac:dyDescent="0.25">
      <c r="A99" s="111" t="s">
        <v>103</v>
      </c>
      <c r="B99" s="112">
        <v>34.299999999999997</v>
      </c>
      <c r="C99" s="112">
        <v>27</v>
      </c>
      <c r="D99" s="112">
        <v>46</v>
      </c>
      <c r="E99" s="112">
        <v>50</v>
      </c>
      <c r="F99" s="112"/>
      <c r="G99" s="112">
        <v>30.9</v>
      </c>
      <c r="H99" s="112">
        <v>16.399999999999999</v>
      </c>
      <c r="I99" s="112">
        <v>7.8</v>
      </c>
      <c r="J99" s="112">
        <v>23.9</v>
      </c>
      <c r="K99" s="112">
        <v>23.6</v>
      </c>
      <c r="L99" s="112">
        <v>37.4</v>
      </c>
      <c r="M99" s="112">
        <v>13.7</v>
      </c>
      <c r="N99" s="112"/>
      <c r="O99" s="112">
        <v>17.899999999999999</v>
      </c>
      <c r="P99" s="112">
        <v>17.899999999999999</v>
      </c>
      <c r="Q99" s="112">
        <v>19.2</v>
      </c>
      <c r="R99" s="112">
        <v>19.5</v>
      </c>
      <c r="S99" s="112"/>
      <c r="T99" s="112"/>
      <c r="U99" s="112">
        <v>41</v>
      </c>
      <c r="V99" s="112">
        <v>66</v>
      </c>
      <c r="W99" s="112">
        <v>84</v>
      </c>
      <c r="X99" s="112">
        <v>79</v>
      </c>
      <c r="Y99" s="112">
        <v>78</v>
      </c>
      <c r="Z99" s="112">
        <v>67</v>
      </c>
      <c r="AA99" s="112">
        <v>64</v>
      </c>
      <c r="AB99" s="112">
        <v>68.900000000000006</v>
      </c>
      <c r="AC99" s="112">
        <v>76.2</v>
      </c>
      <c r="AD99" s="112">
        <v>76.2</v>
      </c>
      <c r="AE99" s="112">
        <v>28</v>
      </c>
      <c r="AF99" s="112">
        <v>12</v>
      </c>
      <c r="AG99" s="114"/>
      <c r="AH99" s="55">
        <f t="shared" si="25"/>
        <v>84</v>
      </c>
      <c r="AI99" s="108">
        <f t="shared" si="26"/>
        <v>0.72916666666666663</v>
      </c>
    </row>
    <row r="100" spans="1:37" x14ac:dyDescent="0.25">
      <c r="A100" s="115" t="s">
        <v>104</v>
      </c>
      <c r="B100" s="95">
        <v>46</v>
      </c>
      <c r="C100" s="95">
        <v>31</v>
      </c>
      <c r="D100" s="95">
        <v>41.2</v>
      </c>
      <c r="E100" s="95">
        <v>42</v>
      </c>
      <c r="F100" s="95"/>
      <c r="G100" s="95">
        <v>14</v>
      </c>
      <c r="H100" s="95">
        <v>10.5</v>
      </c>
      <c r="I100" s="95">
        <v>15.9</v>
      </c>
      <c r="J100" s="95">
        <v>10.4</v>
      </c>
      <c r="K100" s="95">
        <v>12.6</v>
      </c>
      <c r="L100" s="95">
        <v>24.1</v>
      </c>
      <c r="M100" s="95">
        <v>46.6</v>
      </c>
      <c r="N100" s="95"/>
      <c r="O100" s="95">
        <v>56.7</v>
      </c>
      <c r="P100" s="95">
        <v>55.3</v>
      </c>
      <c r="Q100" s="95">
        <v>39.200000000000003</v>
      </c>
      <c r="R100" s="95">
        <v>36.5</v>
      </c>
      <c r="S100" s="95"/>
      <c r="T100" s="95"/>
      <c r="U100" s="95">
        <v>32</v>
      </c>
      <c r="V100" s="95">
        <v>28</v>
      </c>
      <c r="W100" s="95">
        <v>23</v>
      </c>
      <c r="X100" s="95">
        <v>25</v>
      </c>
      <c r="Y100" s="95">
        <v>31</v>
      </c>
      <c r="Z100" s="95">
        <v>42</v>
      </c>
      <c r="AA100" s="95">
        <v>47</v>
      </c>
      <c r="AB100" s="95">
        <v>75.5</v>
      </c>
      <c r="AC100" s="95">
        <v>76.099999999999994</v>
      </c>
      <c r="AD100" s="95">
        <v>76.099999999999994</v>
      </c>
      <c r="AE100" s="95">
        <v>63.3</v>
      </c>
      <c r="AF100" s="95" t="s">
        <v>231</v>
      </c>
      <c r="AG100" s="114"/>
      <c r="AH100" s="55">
        <f t="shared" si="25"/>
        <v>76.099999999999994</v>
      </c>
      <c r="AI100" s="108">
        <f t="shared" si="26"/>
        <v>0.85416666666666663</v>
      </c>
    </row>
    <row r="101" spans="1:37" ht="15.75" thickBot="1" x14ac:dyDescent="0.3">
      <c r="A101" s="115" t="s">
        <v>221</v>
      </c>
      <c r="B101" s="95">
        <v>94</v>
      </c>
      <c r="C101" s="95">
        <v>90</v>
      </c>
      <c r="D101" s="95">
        <v>92</v>
      </c>
      <c r="E101" s="95">
        <v>90</v>
      </c>
      <c r="F101" s="95"/>
      <c r="G101" s="95">
        <v>95</v>
      </c>
      <c r="H101" s="95">
        <v>90.7</v>
      </c>
      <c r="I101" s="95">
        <v>81.900000000000006</v>
      </c>
      <c r="J101" s="95">
        <v>81.599999999999994</v>
      </c>
      <c r="K101" s="95">
        <v>39.6</v>
      </c>
      <c r="L101" s="95">
        <v>46</v>
      </c>
      <c r="M101" s="95">
        <v>64.900000000000006</v>
      </c>
      <c r="N101" s="95"/>
      <c r="O101" s="95">
        <v>76.8</v>
      </c>
      <c r="P101" s="95">
        <v>85.3</v>
      </c>
      <c r="Q101" s="95">
        <v>85.3</v>
      </c>
      <c r="R101" s="95">
        <v>80.099999999999994</v>
      </c>
      <c r="S101" s="95"/>
      <c r="T101" s="95"/>
      <c r="U101" s="95">
        <v>62</v>
      </c>
      <c r="V101" s="95">
        <v>63</v>
      </c>
      <c r="W101" s="95">
        <v>49</v>
      </c>
      <c r="X101" s="95">
        <v>49</v>
      </c>
      <c r="Y101" s="95">
        <v>49</v>
      </c>
      <c r="Z101" s="95"/>
      <c r="AA101" s="95">
        <v>31</v>
      </c>
      <c r="AB101" s="95">
        <v>64.900000000000006</v>
      </c>
      <c r="AC101" s="95">
        <v>55.7</v>
      </c>
      <c r="AD101" s="95">
        <v>55.7</v>
      </c>
      <c r="AE101" s="95">
        <v>60.9</v>
      </c>
      <c r="AF101" s="95">
        <v>94</v>
      </c>
      <c r="AG101" s="114"/>
      <c r="AH101" s="55">
        <f t="shared" si="25"/>
        <v>95</v>
      </c>
      <c r="AI101" s="108">
        <f t="shared" si="26"/>
        <v>0.20833333333333301</v>
      </c>
    </row>
    <row r="102" spans="1:37" ht="15.75" thickBot="1" x14ac:dyDescent="0.3">
      <c r="A102" s="116" t="s">
        <v>105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9"/>
      <c r="AI102" s="56"/>
      <c r="AK102" s="57"/>
    </row>
    <row r="103" spans="1:37" x14ac:dyDescent="0.25">
      <c r="A103" s="120" t="s">
        <v>106</v>
      </c>
      <c r="B103" s="121">
        <f t="shared" ref="B103:B108" si="27">AF103</f>
        <v>9.9</v>
      </c>
      <c r="C103" s="54">
        <v>9.9</v>
      </c>
      <c r="D103" s="121">
        <f t="shared" ref="D103:S108" si="28">C103</f>
        <v>9.9</v>
      </c>
      <c r="E103" s="121">
        <f t="shared" si="28"/>
        <v>9.9</v>
      </c>
      <c r="F103" s="121">
        <f t="shared" si="28"/>
        <v>9.9</v>
      </c>
      <c r="G103" s="121">
        <f t="shared" si="28"/>
        <v>9.9</v>
      </c>
      <c r="H103" s="121">
        <f t="shared" si="28"/>
        <v>9.9</v>
      </c>
      <c r="I103" s="121">
        <f t="shared" si="28"/>
        <v>9.9</v>
      </c>
      <c r="J103" s="121">
        <f t="shared" si="28"/>
        <v>9.9</v>
      </c>
      <c r="K103" s="121">
        <f t="shared" si="28"/>
        <v>9.9</v>
      </c>
      <c r="L103" s="121">
        <f t="shared" si="28"/>
        <v>9.9</v>
      </c>
      <c r="M103" s="121">
        <f t="shared" si="28"/>
        <v>9.9</v>
      </c>
      <c r="N103" s="121">
        <f t="shared" si="28"/>
        <v>9.9</v>
      </c>
      <c r="O103" s="121">
        <f t="shared" si="28"/>
        <v>9.9</v>
      </c>
      <c r="P103" s="121">
        <f t="shared" si="28"/>
        <v>9.9</v>
      </c>
      <c r="Q103" s="121">
        <f t="shared" si="28"/>
        <v>9.9</v>
      </c>
      <c r="R103" s="121">
        <f t="shared" si="28"/>
        <v>9.9</v>
      </c>
      <c r="S103" s="121">
        <f t="shared" si="28"/>
        <v>9.9</v>
      </c>
      <c r="T103" s="121">
        <f t="shared" ref="T103:AF108" si="29">S103</f>
        <v>9.9</v>
      </c>
      <c r="U103" s="121">
        <f t="shared" si="29"/>
        <v>9.9</v>
      </c>
      <c r="V103" s="121">
        <f t="shared" si="29"/>
        <v>9.9</v>
      </c>
      <c r="W103" s="121">
        <f t="shared" si="29"/>
        <v>9.9</v>
      </c>
      <c r="X103" s="121">
        <f t="shared" si="29"/>
        <v>9.9</v>
      </c>
      <c r="Y103" s="121">
        <f t="shared" si="29"/>
        <v>9.9</v>
      </c>
      <c r="Z103" s="121">
        <f t="shared" si="29"/>
        <v>9.9</v>
      </c>
      <c r="AA103" s="121">
        <f t="shared" si="29"/>
        <v>9.9</v>
      </c>
      <c r="AB103" s="121">
        <f t="shared" si="29"/>
        <v>9.9</v>
      </c>
      <c r="AC103" s="121">
        <f t="shared" si="29"/>
        <v>9.9</v>
      </c>
      <c r="AD103" s="121">
        <f t="shared" si="29"/>
        <v>9.9</v>
      </c>
      <c r="AE103" s="121">
        <f t="shared" si="29"/>
        <v>9.9</v>
      </c>
      <c r="AF103" s="121">
        <f t="shared" si="29"/>
        <v>9.9</v>
      </c>
      <c r="AG103" s="122">
        <v>9.94</v>
      </c>
      <c r="AH103" s="55"/>
      <c r="AI103" s="56"/>
      <c r="AK103" s="57"/>
    </row>
    <row r="104" spans="1:37" x14ac:dyDescent="0.25">
      <c r="A104" s="109" t="s">
        <v>107</v>
      </c>
      <c r="B104" s="123">
        <f t="shared" si="27"/>
        <v>9.6</v>
      </c>
      <c r="C104" s="124">
        <v>9.6</v>
      </c>
      <c r="D104" s="123">
        <f t="shared" si="28"/>
        <v>9.6</v>
      </c>
      <c r="E104" s="123">
        <f t="shared" si="28"/>
        <v>9.6</v>
      </c>
      <c r="F104" s="123">
        <f t="shared" si="28"/>
        <v>9.6</v>
      </c>
      <c r="G104" s="123">
        <f t="shared" si="28"/>
        <v>9.6</v>
      </c>
      <c r="H104" s="123">
        <f t="shared" si="28"/>
        <v>9.6</v>
      </c>
      <c r="I104" s="123">
        <f t="shared" si="28"/>
        <v>9.6</v>
      </c>
      <c r="J104" s="123">
        <f t="shared" si="28"/>
        <v>9.6</v>
      </c>
      <c r="K104" s="123">
        <f t="shared" si="28"/>
        <v>9.6</v>
      </c>
      <c r="L104" s="123">
        <f t="shared" si="28"/>
        <v>9.6</v>
      </c>
      <c r="M104" s="123">
        <f t="shared" si="28"/>
        <v>9.6</v>
      </c>
      <c r="N104" s="123">
        <f t="shared" si="28"/>
        <v>9.6</v>
      </c>
      <c r="O104" s="123">
        <f t="shared" si="28"/>
        <v>9.6</v>
      </c>
      <c r="P104" s="123">
        <f t="shared" si="28"/>
        <v>9.6</v>
      </c>
      <c r="Q104" s="123">
        <f t="shared" si="28"/>
        <v>9.6</v>
      </c>
      <c r="R104" s="123">
        <f t="shared" si="28"/>
        <v>9.6</v>
      </c>
      <c r="S104" s="123">
        <f t="shared" si="28"/>
        <v>9.6</v>
      </c>
      <c r="T104" s="123">
        <f t="shared" si="29"/>
        <v>9.6</v>
      </c>
      <c r="U104" s="123">
        <f t="shared" si="29"/>
        <v>9.6</v>
      </c>
      <c r="V104" s="123">
        <f t="shared" si="29"/>
        <v>9.6</v>
      </c>
      <c r="W104" s="123">
        <f t="shared" si="29"/>
        <v>9.6</v>
      </c>
      <c r="X104" s="123">
        <f t="shared" si="29"/>
        <v>9.6</v>
      </c>
      <c r="Y104" s="123">
        <f t="shared" si="29"/>
        <v>9.6</v>
      </c>
      <c r="Z104" s="123">
        <f t="shared" si="29"/>
        <v>9.6</v>
      </c>
      <c r="AA104" s="123">
        <f t="shared" si="29"/>
        <v>9.6</v>
      </c>
      <c r="AB104" s="123">
        <f t="shared" si="29"/>
        <v>9.6</v>
      </c>
      <c r="AC104" s="123">
        <f t="shared" si="29"/>
        <v>9.6</v>
      </c>
      <c r="AD104" s="123">
        <f t="shared" si="29"/>
        <v>9.6</v>
      </c>
      <c r="AE104" s="123">
        <f t="shared" si="29"/>
        <v>9.6</v>
      </c>
      <c r="AF104" s="123">
        <f t="shared" si="29"/>
        <v>9.6</v>
      </c>
      <c r="AG104" s="125">
        <v>9.9</v>
      </c>
      <c r="AH104" s="55"/>
      <c r="AI104" s="56"/>
      <c r="AK104" s="57"/>
    </row>
    <row r="105" spans="1:37" x14ac:dyDescent="0.25">
      <c r="A105" s="111" t="s">
        <v>108</v>
      </c>
      <c r="B105" s="123">
        <f t="shared" si="27"/>
        <v>9.98</v>
      </c>
      <c r="C105" s="124">
        <v>9.98</v>
      </c>
      <c r="D105" s="123">
        <f t="shared" si="28"/>
        <v>9.98</v>
      </c>
      <c r="E105" s="123">
        <f t="shared" si="28"/>
        <v>9.98</v>
      </c>
      <c r="F105" s="123">
        <f t="shared" si="28"/>
        <v>9.98</v>
      </c>
      <c r="G105" s="123">
        <f t="shared" si="28"/>
        <v>9.98</v>
      </c>
      <c r="H105" s="123">
        <f t="shared" si="28"/>
        <v>9.98</v>
      </c>
      <c r="I105" s="123">
        <f t="shared" si="28"/>
        <v>9.98</v>
      </c>
      <c r="J105" s="123">
        <f t="shared" si="28"/>
        <v>9.98</v>
      </c>
      <c r="K105" s="123">
        <f t="shared" si="28"/>
        <v>9.98</v>
      </c>
      <c r="L105" s="123">
        <f t="shared" si="28"/>
        <v>9.98</v>
      </c>
      <c r="M105" s="123">
        <f t="shared" si="28"/>
        <v>9.98</v>
      </c>
      <c r="N105" s="123">
        <f t="shared" si="28"/>
        <v>9.98</v>
      </c>
      <c r="O105" s="123">
        <f t="shared" si="28"/>
        <v>9.98</v>
      </c>
      <c r="P105" s="123">
        <f t="shared" si="28"/>
        <v>9.98</v>
      </c>
      <c r="Q105" s="123">
        <f t="shared" si="28"/>
        <v>9.98</v>
      </c>
      <c r="R105" s="123">
        <f t="shared" si="28"/>
        <v>9.98</v>
      </c>
      <c r="S105" s="123">
        <f t="shared" si="28"/>
        <v>9.98</v>
      </c>
      <c r="T105" s="123">
        <f t="shared" si="29"/>
        <v>9.98</v>
      </c>
      <c r="U105" s="123">
        <f t="shared" si="29"/>
        <v>9.98</v>
      </c>
      <c r="V105" s="123">
        <f t="shared" si="29"/>
        <v>9.98</v>
      </c>
      <c r="W105" s="123">
        <f t="shared" si="29"/>
        <v>9.98</v>
      </c>
      <c r="X105" s="123">
        <f t="shared" si="29"/>
        <v>9.98</v>
      </c>
      <c r="Y105" s="123">
        <f t="shared" si="29"/>
        <v>9.98</v>
      </c>
      <c r="Z105" s="123">
        <f t="shared" si="29"/>
        <v>9.98</v>
      </c>
      <c r="AA105" s="123">
        <f t="shared" si="29"/>
        <v>9.98</v>
      </c>
      <c r="AB105" s="123">
        <f t="shared" si="29"/>
        <v>9.98</v>
      </c>
      <c r="AC105" s="123">
        <f t="shared" si="29"/>
        <v>9.98</v>
      </c>
      <c r="AD105" s="123">
        <f t="shared" si="29"/>
        <v>9.98</v>
      </c>
      <c r="AE105" s="123">
        <f t="shared" si="29"/>
        <v>9.98</v>
      </c>
      <c r="AF105" s="123">
        <f t="shared" si="29"/>
        <v>9.98</v>
      </c>
      <c r="AG105" s="126">
        <v>9.6579999999999995</v>
      </c>
      <c r="AH105" s="55"/>
      <c r="AI105" s="56"/>
      <c r="AK105" s="57"/>
    </row>
    <row r="106" spans="1:37" x14ac:dyDescent="0.25">
      <c r="A106" s="111" t="s">
        <v>109</v>
      </c>
      <c r="B106" s="123">
        <f t="shared" si="27"/>
        <v>9.1</v>
      </c>
      <c r="C106" s="124">
        <v>9.1</v>
      </c>
      <c r="D106" s="123">
        <f t="shared" si="28"/>
        <v>9.1</v>
      </c>
      <c r="E106" s="123">
        <f t="shared" si="28"/>
        <v>9.1</v>
      </c>
      <c r="F106" s="123">
        <f t="shared" si="28"/>
        <v>9.1</v>
      </c>
      <c r="G106" s="123">
        <f t="shared" si="28"/>
        <v>9.1</v>
      </c>
      <c r="H106" s="123">
        <f t="shared" si="28"/>
        <v>9.1</v>
      </c>
      <c r="I106" s="123">
        <f t="shared" si="28"/>
        <v>9.1</v>
      </c>
      <c r="J106" s="123">
        <f t="shared" si="28"/>
        <v>9.1</v>
      </c>
      <c r="K106" s="123">
        <f t="shared" si="28"/>
        <v>9.1</v>
      </c>
      <c r="L106" s="123">
        <f t="shared" si="28"/>
        <v>9.1</v>
      </c>
      <c r="M106" s="123">
        <f t="shared" si="28"/>
        <v>9.1</v>
      </c>
      <c r="N106" s="123">
        <f t="shared" si="28"/>
        <v>9.1</v>
      </c>
      <c r="O106" s="123">
        <f t="shared" si="28"/>
        <v>9.1</v>
      </c>
      <c r="P106" s="123">
        <f t="shared" si="28"/>
        <v>9.1</v>
      </c>
      <c r="Q106" s="123">
        <f t="shared" si="28"/>
        <v>9.1</v>
      </c>
      <c r="R106" s="123">
        <f t="shared" si="28"/>
        <v>9.1</v>
      </c>
      <c r="S106" s="123">
        <f t="shared" si="28"/>
        <v>9.1</v>
      </c>
      <c r="T106" s="123">
        <f t="shared" si="29"/>
        <v>9.1</v>
      </c>
      <c r="U106" s="123">
        <f t="shared" si="29"/>
        <v>9.1</v>
      </c>
      <c r="V106" s="123">
        <f t="shared" si="29"/>
        <v>9.1</v>
      </c>
      <c r="W106" s="123">
        <f t="shared" si="29"/>
        <v>9.1</v>
      </c>
      <c r="X106" s="123">
        <f t="shared" si="29"/>
        <v>9.1</v>
      </c>
      <c r="Y106" s="123">
        <f t="shared" si="29"/>
        <v>9.1</v>
      </c>
      <c r="Z106" s="123">
        <f t="shared" si="29"/>
        <v>9.1</v>
      </c>
      <c r="AA106" s="123">
        <f t="shared" si="29"/>
        <v>9.1</v>
      </c>
      <c r="AB106" s="123">
        <f t="shared" si="29"/>
        <v>9.1</v>
      </c>
      <c r="AC106" s="123">
        <f t="shared" si="29"/>
        <v>9.1</v>
      </c>
      <c r="AD106" s="123">
        <f t="shared" si="29"/>
        <v>9.1</v>
      </c>
      <c r="AE106" s="123">
        <f t="shared" si="29"/>
        <v>9.1</v>
      </c>
      <c r="AF106" s="123">
        <f t="shared" si="29"/>
        <v>9.1</v>
      </c>
      <c r="AG106" s="126">
        <v>9.6</v>
      </c>
      <c r="AH106" s="55"/>
      <c r="AI106" s="56"/>
      <c r="AK106" s="57"/>
    </row>
    <row r="107" spans="1:37" x14ac:dyDescent="0.25">
      <c r="A107" s="111" t="s">
        <v>110</v>
      </c>
      <c r="B107" s="123">
        <f t="shared" si="27"/>
        <v>9.18</v>
      </c>
      <c r="C107" s="124">
        <v>9.18</v>
      </c>
      <c r="D107" s="123">
        <f t="shared" si="28"/>
        <v>9.18</v>
      </c>
      <c r="E107" s="123">
        <f t="shared" si="28"/>
        <v>9.18</v>
      </c>
      <c r="F107" s="123">
        <f t="shared" si="28"/>
        <v>9.18</v>
      </c>
      <c r="G107" s="123">
        <f t="shared" si="28"/>
        <v>9.18</v>
      </c>
      <c r="H107" s="123">
        <f t="shared" si="28"/>
        <v>9.18</v>
      </c>
      <c r="I107" s="123">
        <f t="shared" si="28"/>
        <v>9.18</v>
      </c>
      <c r="J107" s="123">
        <f t="shared" si="28"/>
        <v>9.18</v>
      </c>
      <c r="K107" s="123">
        <f t="shared" si="28"/>
        <v>9.18</v>
      </c>
      <c r="L107" s="123">
        <f t="shared" si="28"/>
        <v>9.18</v>
      </c>
      <c r="M107" s="123">
        <f t="shared" si="28"/>
        <v>9.18</v>
      </c>
      <c r="N107" s="123">
        <f t="shared" si="28"/>
        <v>9.18</v>
      </c>
      <c r="O107" s="123">
        <f t="shared" si="28"/>
        <v>9.18</v>
      </c>
      <c r="P107" s="123">
        <f t="shared" si="28"/>
        <v>9.18</v>
      </c>
      <c r="Q107" s="123">
        <f t="shared" si="28"/>
        <v>9.18</v>
      </c>
      <c r="R107" s="123">
        <f t="shared" si="28"/>
        <v>9.18</v>
      </c>
      <c r="S107" s="123">
        <f t="shared" si="28"/>
        <v>9.18</v>
      </c>
      <c r="T107" s="123">
        <f t="shared" si="29"/>
        <v>9.18</v>
      </c>
      <c r="U107" s="123">
        <f t="shared" si="29"/>
        <v>9.18</v>
      </c>
      <c r="V107" s="123">
        <f t="shared" si="29"/>
        <v>9.18</v>
      </c>
      <c r="W107" s="123">
        <f t="shared" si="29"/>
        <v>9.18</v>
      </c>
      <c r="X107" s="123">
        <f t="shared" si="29"/>
        <v>9.18</v>
      </c>
      <c r="Y107" s="123">
        <f t="shared" si="29"/>
        <v>9.18</v>
      </c>
      <c r="Z107" s="123">
        <f t="shared" si="29"/>
        <v>9.18</v>
      </c>
      <c r="AA107" s="123">
        <f t="shared" si="29"/>
        <v>9.18</v>
      </c>
      <c r="AB107" s="123">
        <f t="shared" si="29"/>
        <v>9.18</v>
      </c>
      <c r="AC107" s="123">
        <f t="shared" si="29"/>
        <v>9.18</v>
      </c>
      <c r="AD107" s="123">
        <f t="shared" si="29"/>
        <v>9.18</v>
      </c>
      <c r="AE107" s="123">
        <f t="shared" si="29"/>
        <v>9.18</v>
      </c>
      <c r="AF107" s="123">
        <f t="shared" si="29"/>
        <v>9.18</v>
      </c>
      <c r="AG107" s="126">
        <v>9.51</v>
      </c>
      <c r="AH107" s="55"/>
      <c r="AI107" s="56"/>
      <c r="AK107" s="57"/>
    </row>
    <row r="108" spans="1:37" x14ac:dyDescent="0.25">
      <c r="A108" s="111" t="s">
        <v>111</v>
      </c>
      <c r="B108" s="123">
        <f t="shared" si="27"/>
        <v>7</v>
      </c>
      <c r="C108" s="124">
        <v>7</v>
      </c>
      <c r="D108" s="123">
        <f t="shared" si="28"/>
        <v>7</v>
      </c>
      <c r="E108" s="123">
        <f t="shared" si="28"/>
        <v>7</v>
      </c>
      <c r="F108" s="123">
        <f t="shared" si="28"/>
        <v>7</v>
      </c>
      <c r="G108" s="123">
        <f t="shared" si="28"/>
        <v>7</v>
      </c>
      <c r="H108" s="123">
        <f t="shared" si="28"/>
        <v>7</v>
      </c>
      <c r="I108" s="123">
        <f t="shared" si="28"/>
        <v>7</v>
      </c>
      <c r="J108" s="123">
        <f t="shared" si="28"/>
        <v>7</v>
      </c>
      <c r="K108" s="123">
        <f t="shared" si="28"/>
        <v>7</v>
      </c>
      <c r="L108" s="123">
        <f t="shared" si="28"/>
        <v>7</v>
      </c>
      <c r="M108" s="123">
        <f t="shared" si="28"/>
        <v>7</v>
      </c>
      <c r="N108" s="123">
        <f t="shared" si="28"/>
        <v>7</v>
      </c>
      <c r="O108" s="123">
        <f t="shared" si="28"/>
        <v>7</v>
      </c>
      <c r="P108" s="123">
        <f t="shared" si="28"/>
        <v>7</v>
      </c>
      <c r="Q108" s="123">
        <f t="shared" si="28"/>
        <v>7</v>
      </c>
      <c r="R108" s="123">
        <f t="shared" si="28"/>
        <v>7</v>
      </c>
      <c r="S108" s="123">
        <f t="shared" si="28"/>
        <v>7</v>
      </c>
      <c r="T108" s="123">
        <f t="shared" si="29"/>
        <v>7</v>
      </c>
      <c r="U108" s="123">
        <f t="shared" si="29"/>
        <v>7</v>
      </c>
      <c r="V108" s="123">
        <f t="shared" si="29"/>
        <v>7</v>
      </c>
      <c r="W108" s="123">
        <f t="shared" si="29"/>
        <v>7</v>
      </c>
      <c r="X108" s="123">
        <f t="shared" si="29"/>
        <v>7</v>
      </c>
      <c r="Y108" s="123">
        <f t="shared" si="29"/>
        <v>7</v>
      </c>
      <c r="Z108" s="123">
        <f t="shared" si="29"/>
        <v>7</v>
      </c>
      <c r="AA108" s="123">
        <f t="shared" si="29"/>
        <v>7</v>
      </c>
      <c r="AB108" s="123">
        <f t="shared" si="29"/>
        <v>7</v>
      </c>
      <c r="AC108" s="123">
        <f t="shared" si="29"/>
        <v>7</v>
      </c>
      <c r="AD108" s="123">
        <f t="shared" si="29"/>
        <v>7</v>
      </c>
      <c r="AE108" s="123">
        <f t="shared" si="29"/>
        <v>7</v>
      </c>
      <c r="AF108" s="123">
        <f t="shared" si="29"/>
        <v>7</v>
      </c>
      <c r="AG108" s="126">
        <v>9.4</v>
      </c>
      <c r="AH108" s="55"/>
      <c r="AI108" s="56"/>
      <c r="AK108" s="57"/>
    </row>
    <row r="109" spans="1:37" x14ac:dyDescent="0.25">
      <c r="A109" s="111" t="s">
        <v>112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5"/>
      <c r="AI109" s="56"/>
      <c r="AK109" s="57"/>
    </row>
    <row r="110" spans="1:37" x14ac:dyDescent="0.25">
      <c r="A110" s="111" t="s">
        <v>113</v>
      </c>
      <c r="B110" s="123">
        <f>AF110</f>
        <v>2.25</v>
      </c>
      <c r="C110" s="124">
        <v>2.25</v>
      </c>
      <c r="D110" s="123">
        <f t="shared" ref="D110:S111" si="30">C110</f>
        <v>2.25</v>
      </c>
      <c r="E110" s="123">
        <f t="shared" si="30"/>
        <v>2.25</v>
      </c>
      <c r="F110" s="123">
        <f t="shared" si="30"/>
        <v>2.25</v>
      </c>
      <c r="G110" s="123">
        <f t="shared" si="30"/>
        <v>2.25</v>
      </c>
      <c r="H110" s="123">
        <f t="shared" si="30"/>
        <v>2.25</v>
      </c>
      <c r="I110" s="123">
        <f t="shared" si="30"/>
        <v>2.25</v>
      </c>
      <c r="J110" s="123">
        <f t="shared" si="30"/>
        <v>2.25</v>
      </c>
      <c r="K110" s="123">
        <f t="shared" si="30"/>
        <v>2.25</v>
      </c>
      <c r="L110" s="123">
        <f t="shared" si="30"/>
        <v>2.25</v>
      </c>
      <c r="M110" s="123">
        <f t="shared" si="30"/>
        <v>2.25</v>
      </c>
      <c r="N110" s="123">
        <f t="shared" si="30"/>
        <v>2.25</v>
      </c>
      <c r="O110" s="123">
        <f t="shared" si="30"/>
        <v>2.25</v>
      </c>
      <c r="P110" s="123">
        <f t="shared" si="30"/>
        <v>2.25</v>
      </c>
      <c r="Q110" s="123">
        <f t="shared" si="30"/>
        <v>2.25</v>
      </c>
      <c r="R110" s="123">
        <f t="shared" si="30"/>
        <v>2.25</v>
      </c>
      <c r="S110" s="123">
        <f t="shared" si="30"/>
        <v>2.25</v>
      </c>
      <c r="T110" s="123">
        <f t="shared" ref="T110:AF111" si="31">S110</f>
        <v>2.25</v>
      </c>
      <c r="U110" s="123">
        <f t="shared" si="31"/>
        <v>2.25</v>
      </c>
      <c r="V110" s="123">
        <f t="shared" si="31"/>
        <v>2.25</v>
      </c>
      <c r="W110" s="123">
        <f t="shared" si="31"/>
        <v>2.25</v>
      </c>
      <c r="X110" s="123">
        <f t="shared" si="31"/>
        <v>2.25</v>
      </c>
      <c r="Y110" s="123">
        <f t="shared" si="31"/>
        <v>2.25</v>
      </c>
      <c r="Z110" s="123">
        <f t="shared" si="31"/>
        <v>2.25</v>
      </c>
      <c r="AA110" s="123">
        <f t="shared" si="31"/>
        <v>2.25</v>
      </c>
      <c r="AB110" s="123">
        <f t="shared" si="31"/>
        <v>2.25</v>
      </c>
      <c r="AC110" s="123">
        <f t="shared" si="31"/>
        <v>2.25</v>
      </c>
      <c r="AD110" s="123">
        <f t="shared" si="31"/>
        <v>2.25</v>
      </c>
      <c r="AE110" s="123">
        <f t="shared" si="31"/>
        <v>2.25</v>
      </c>
      <c r="AF110" s="123">
        <f t="shared" si="31"/>
        <v>2.25</v>
      </c>
      <c r="AG110" s="126">
        <v>8.5</v>
      </c>
      <c r="AH110" s="55"/>
      <c r="AI110" s="56"/>
      <c r="AK110" s="57"/>
    </row>
    <row r="111" spans="1:37" x14ac:dyDescent="0.25">
      <c r="A111" s="111" t="s">
        <v>114</v>
      </c>
      <c r="B111" s="123">
        <f>AF111</f>
        <v>1.64</v>
      </c>
      <c r="C111" s="124">
        <v>1.64</v>
      </c>
      <c r="D111" s="123">
        <f t="shared" si="30"/>
        <v>1.64</v>
      </c>
      <c r="E111" s="123">
        <f t="shared" si="30"/>
        <v>1.64</v>
      </c>
      <c r="F111" s="123">
        <f t="shared" si="30"/>
        <v>1.64</v>
      </c>
      <c r="G111" s="123">
        <f t="shared" si="30"/>
        <v>1.64</v>
      </c>
      <c r="H111" s="123">
        <f t="shared" si="30"/>
        <v>1.64</v>
      </c>
      <c r="I111" s="123">
        <f t="shared" si="30"/>
        <v>1.64</v>
      </c>
      <c r="J111" s="123">
        <f t="shared" si="30"/>
        <v>1.64</v>
      </c>
      <c r="K111" s="123">
        <f t="shared" si="30"/>
        <v>1.64</v>
      </c>
      <c r="L111" s="123">
        <f t="shared" si="30"/>
        <v>1.64</v>
      </c>
      <c r="M111" s="123">
        <f t="shared" si="30"/>
        <v>1.64</v>
      </c>
      <c r="N111" s="123">
        <f t="shared" si="30"/>
        <v>1.64</v>
      </c>
      <c r="O111" s="123">
        <f t="shared" si="30"/>
        <v>1.64</v>
      </c>
      <c r="P111" s="123">
        <f t="shared" si="30"/>
        <v>1.64</v>
      </c>
      <c r="Q111" s="123">
        <f t="shared" si="30"/>
        <v>1.64</v>
      </c>
      <c r="R111" s="123">
        <f t="shared" si="30"/>
        <v>1.64</v>
      </c>
      <c r="S111" s="123">
        <f t="shared" si="30"/>
        <v>1.64</v>
      </c>
      <c r="T111" s="123">
        <f t="shared" si="31"/>
        <v>1.64</v>
      </c>
      <c r="U111" s="123">
        <f t="shared" si="31"/>
        <v>1.64</v>
      </c>
      <c r="V111" s="123">
        <f t="shared" si="31"/>
        <v>1.64</v>
      </c>
      <c r="W111" s="123">
        <f t="shared" si="31"/>
        <v>1.64</v>
      </c>
      <c r="X111" s="123">
        <f t="shared" si="31"/>
        <v>1.64</v>
      </c>
      <c r="Y111" s="123">
        <f t="shared" si="31"/>
        <v>1.64</v>
      </c>
      <c r="Z111" s="123">
        <f t="shared" si="31"/>
        <v>1.64</v>
      </c>
      <c r="AA111" s="123">
        <f t="shared" si="31"/>
        <v>1.64</v>
      </c>
      <c r="AB111" s="123">
        <f t="shared" si="31"/>
        <v>1.64</v>
      </c>
      <c r="AC111" s="123">
        <f t="shared" si="31"/>
        <v>1.64</v>
      </c>
      <c r="AD111" s="123">
        <f t="shared" si="31"/>
        <v>1.64</v>
      </c>
      <c r="AE111" s="123">
        <f t="shared" si="31"/>
        <v>1.64</v>
      </c>
      <c r="AF111" s="123">
        <f t="shared" si="31"/>
        <v>1.64</v>
      </c>
      <c r="AG111" s="126">
        <v>8.5</v>
      </c>
      <c r="AH111" s="55"/>
      <c r="AI111" s="56"/>
      <c r="AK111" s="57"/>
    </row>
    <row r="112" spans="1:37" x14ac:dyDescent="0.25">
      <c r="A112" s="111" t="s">
        <v>115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5"/>
      <c r="AI112" s="56"/>
      <c r="AK112" s="57"/>
    </row>
    <row r="113" spans="1:37" ht="13.5" customHeight="1" x14ac:dyDescent="0.25">
      <c r="A113" s="111" t="s">
        <v>116</v>
      </c>
      <c r="B113" s="123">
        <f t="shared" ref="B113:B130" si="32">AF113</f>
        <v>1.62</v>
      </c>
      <c r="C113" s="124">
        <v>1.62</v>
      </c>
      <c r="D113" s="123">
        <f t="shared" ref="D113:S120" si="33">C113</f>
        <v>1.62</v>
      </c>
      <c r="E113" s="123">
        <f t="shared" si="33"/>
        <v>1.62</v>
      </c>
      <c r="F113" s="123">
        <f t="shared" si="33"/>
        <v>1.62</v>
      </c>
      <c r="G113" s="123">
        <f t="shared" si="33"/>
        <v>1.62</v>
      </c>
      <c r="H113" s="123">
        <f t="shared" si="33"/>
        <v>1.62</v>
      </c>
      <c r="I113" s="123">
        <f t="shared" si="33"/>
        <v>1.62</v>
      </c>
      <c r="J113" s="123">
        <f t="shared" si="33"/>
        <v>1.62</v>
      </c>
      <c r="K113" s="123">
        <f t="shared" si="33"/>
        <v>1.62</v>
      </c>
      <c r="L113" s="123">
        <f t="shared" si="33"/>
        <v>1.62</v>
      </c>
      <c r="M113" s="123">
        <f t="shared" si="33"/>
        <v>1.62</v>
      </c>
      <c r="N113" s="123">
        <f t="shared" si="33"/>
        <v>1.62</v>
      </c>
      <c r="O113" s="123">
        <f t="shared" si="33"/>
        <v>1.62</v>
      </c>
      <c r="P113" s="123">
        <f t="shared" si="33"/>
        <v>1.62</v>
      </c>
      <c r="Q113" s="123">
        <f t="shared" si="33"/>
        <v>1.62</v>
      </c>
      <c r="R113" s="123">
        <f t="shared" si="33"/>
        <v>1.62</v>
      </c>
      <c r="S113" s="123">
        <f t="shared" si="33"/>
        <v>1.62</v>
      </c>
      <c r="T113" s="123">
        <f t="shared" ref="T113:AF128" si="34">S113</f>
        <v>1.62</v>
      </c>
      <c r="U113" s="123">
        <f t="shared" si="34"/>
        <v>1.62</v>
      </c>
      <c r="V113" s="123">
        <f t="shared" si="34"/>
        <v>1.62</v>
      </c>
      <c r="W113" s="123">
        <f t="shared" si="34"/>
        <v>1.62</v>
      </c>
      <c r="X113" s="123">
        <f t="shared" si="34"/>
        <v>1.62</v>
      </c>
      <c r="Y113" s="123">
        <f t="shared" si="34"/>
        <v>1.62</v>
      </c>
      <c r="Z113" s="123">
        <f t="shared" si="34"/>
        <v>1.62</v>
      </c>
      <c r="AA113" s="123">
        <f t="shared" si="34"/>
        <v>1.62</v>
      </c>
      <c r="AB113" s="123">
        <f t="shared" si="34"/>
        <v>1.62</v>
      </c>
      <c r="AC113" s="123">
        <f t="shared" si="34"/>
        <v>1.62</v>
      </c>
      <c r="AD113" s="123">
        <f t="shared" si="34"/>
        <v>1.62</v>
      </c>
      <c r="AE113" s="123">
        <f t="shared" si="34"/>
        <v>1.62</v>
      </c>
      <c r="AF113" s="123">
        <f t="shared" si="34"/>
        <v>1.62</v>
      </c>
      <c r="AG113" s="126">
        <v>8</v>
      </c>
      <c r="AH113" s="55"/>
      <c r="AI113" s="56"/>
      <c r="AK113" s="57"/>
    </row>
    <row r="114" spans="1:37" x14ac:dyDescent="0.25">
      <c r="A114" s="111" t="s">
        <v>117</v>
      </c>
      <c r="B114" s="123">
        <f t="shared" si="32"/>
        <v>8.36</v>
      </c>
      <c r="C114" s="124">
        <v>8.36</v>
      </c>
      <c r="D114" s="123">
        <f t="shared" si="33"/>
        <v>8.36</v>
      </c>
      <c r="E114" s="123">
        <f t="shared" si="33"/>
        <v>8.36</v>
      </c>
      <c r="F114" s="123">
        <f t="shared" si="33"/>
        <v>8.36</v>
      </c>
      <c r="G114" s="123">
        <f t="shared" si="33"/>
        <v>8.36</v>
      </c>
      <c r="H114" s="123">
        <f t="shared" si="33"/>
        <v>8.36</v>
      </c>
      <c r="I114" s="123">
        <f t="shared" si="33"/>
        <v>8.36</v>
      </c>
      <c r="J114" s="123">
        <f t="shared" si="33"/>
        <v>8.36</v>
      </c>
      <c r="K114" s="123">
        <f t="shared" si="33"/>
        <v>8.36</v>
      </c>
      <c r="L114" s="123">
        <f t="shared" si="33"/>
        <v>8.36</v>
      </c>
      <c r="M114" s="123">
        <f t="shared" si="33"/>
        <v>8.36</v>
      </c>
      <c r="N114" s="123">
        <f t="shared" si="33"/>
        <v>8.36</v>
      </c>
      <c r="O114" s="123">
        <f t="shared" si="33"/>
        <v>8.36</v>
      </c>
      <c r="P114" s="123">
        <f t="shared" si="33"/>
        <v>8.36</v>
      </c>
      <c r="Q114" s="123">
        <f t="shared" si="33"/>
        <v>8.36</v>
      </c>
      <c r="R114" s="123">
        <f t="shared" si="33"/>
        <v>8.36</v>
      </c>
      <c r="S114" s="123">
        <f t="shared" si="33"/>
        <v>8.36</v>
      </c>
      <c r="T114" s="123">
        <f t="shared" si="34"/>
        <v>8.36</v>
      </c>
      <c r="U114" s="123">
        <f t="shared" si="34"/>
        <v>8.36</v>
      </c>
      <c r="V114" s="123">
        <f t="shared" si="34"/>
        <v>8.36</v>
      </c>
      <c r="W114" s="123">
        <f t="shared" si="34"/>
        <v>8.36</v>
      </c>
      <c r="X114" s="123">
        <f t="shared" si="34"/>
        <v>8.36</v>
      </c>
      <c r="Y114" s="123">
        <f t="shared" si="34"/>
        <v>8.36</v>
      </c>
      <c r="Z114" s="123">
        <f t="shared" si="34"/>
        <v>8.36</v>
      </c>
      <c r="AA114" s="123">
        <f t="shared" si="34"/>
        <v>8.36</v>
      </c>
      <c r="AB114" s="123">
        <f t="shared" si="34"/>
        <v>8.36</v>
      </c>
      <c r="AC114" s="123">
        <f t="shared" si="34"/>
        <v>8.36</v>
      </c>
      <c r="AD114" s="123">
        <f t="shared" si="34"/>
        <v>8.36</v>
      </c>
      <c r="AE114" s="123">
        <f t="shared" si="34"/>
        <v>8.36</v>
      </c>
      <c r="AF114" s="123">
        <f t="shared" si="34"/>
        <v>8.36</v>
      </c>
      <c r="AG114" s="126">
        <v>8</v>
      </c>
      <c r="AH114" s="55"/>
      <c r="AI114" s="56"/>
      <c r="AK114" s="57"/>
    </row>
    <row r="115" spans="1:37" x14ac:dyDescent="0.25">
      <c r="A115" s="111" t="s">
        <v>118</v>
      </c>
      <c r="B115" s="123">
        <f t="shared" si="32"/>
        <v>5.4</v>
      </c>
      <c r="C115" s="124">
        <v>8</v>
      </c>
      <c r="D115" s="123">
        <f t="shared" si="33"/>
        <v>8</v>
      </c>
      <c r="E115" s="123">
        <f t="shared" si="33"/>
        <v>8</v>
      </c>
      <c r="F115" s="123">
        <f t="shared" si="33"/>
        <v>8</v>
      </c>
      <c r="G115" s="123">
        <f t="shared" si="33"/>
        <v>8</v>
      </c>
      <c r="H115" s="123">
        <f t="shared" si="33"/>
        <v>8</v>
      </c>
      <c r="I115" s="123">
        <f t="shared" si="33"/>
        <v>8</v>
      </c>
      <c r="J115" s="123">
        <v>5.4</v>
      </c>
      <c r="K115" s="123">
        <f t="shared" si="33"/>
        <v>5.4</v>
      </c>
      <c r="L115" s="123">
        <f t="shared" si="33"/>
        <v>5.4</v>
      </c>
      <c r="M115" s="123">
        <f t="shared" si="33"/>
        <v>5.4</v>
      </c>
      <c r="N115" s="123">
        <f t="shared" si="33"/>
        <v>5.4</v>
      </c>
      <c r="O115" s="123">
        <f t="shared" si="33"/>
        <v>5.4</v>
      </c>
      <c r="P115" s="123">
        <f t="shared" si="33"/>
        <v>5.4</v>
      </c>
      <c r="Q115" s="123">
        <f t="shared" si="33"/>
        <v>5.4</v>
      </c>
      <c r="R115" s="123">
        <f t="shared" si="33"/>
        <v>5.4</v>
      </c>
      <c r="S115" s="123">
        <f t="shared" si="33"/>
        <v>5.4</v>
      </c>
      <c r="T115" s="123">
        <f t="shared" si="34"/>
        <v>5.4</v>
      </c>
      <c r="U115" s="123">
        <f t="shared" si="34"/>
        <v>5.4</v>
      </c>
      <c r="V115" s="123">
        <f t="shared" si="34"/>
        <v>5.4</v>
      </c>
      <c r="W115" s="123">
        <f t="shared" si="34"/>
        <v>5.4</v>
      </c>
      <c r="X115" s="123">
        <f t="shared" si="34"/>
        <v>5.4</v>
      </c>
      <c r="Y115" s="123">
        <f t="shared" si="34"/>
        <v>5.4</v>
      </c>
      <c r="Z115" s="123">
        <f t="shared" si="34"/>
        <v>5.4</v>
      </c>
      <c r="AA115" s="123">
        <f t="shared" si="34"/>
        <v>5.4</v>
      </c>
      <c r="AB115" s="123">
        <f t="shared" si="34"/>
        <v>5.4</v>
      </c>
      <c r="AC115" s="123">
        <f t="shared" si="34"/>
        <v>5.4</v>
      </c>
      <c r="AD115" s="123">
        <f t="shared" si="34"/>
        <v>5.4</v>
      </c>
      <c r="AE115" s="123">
        <f t="shared" si="34"/>
        <v>5.4</v>
      </c>
      <c r="AF115" s="123">
        <f t="shared" si="34"/>
        <v>5.4</v>
      </c>
      <c r="AG115" s="126">
        <v>8</v>
      </c>
      <c r="AH115" s="55"/>
      <c r="AI115" s="56"/>
      <c r="AK115" s="57"/>
    </row>
    <row r="116" spans="1:37" x14ac:dyDescent="0.25">
      <c r="A116" s="111" t="s">
        <v>119</v>
      </c>
      <c r="B116" s="123">
        <f t="shared" si="32"/>
        <v>6.57</v>
      </c>
      <c r="C116" s="124">
        <v>6.57</v>
      </c>
      <c r="D116" s="123">
        <f t="shared" si="33"/>
        <v>6.57</v>
      </c>
      <c r="E116" s="123">
        <f t="shared" si="33"/>
        <v>6.57</v>
      </c>
      <c r="F116" s="123">
        <f t="shared" si="33"/>
        <v>6.57</v>
      </c>
      <c r="G116" s="123">
        <f t="shared" si="33"/>
        <v>6.57</v>
      </c>
      <c r="H116" s="123">
        <f t="shared" si="33"/>
        <v>6.57</v>
      </c>
      <c r="I116" s="123">
        <f t="shared" si="33"/>
        <v>6.57</v>
      </c>
      <c r="J116" s="123">
        <f t="shared" si="33"/>
        <v>6.57</v>
      </c>
      <c r="K116" s="123">
        <f t="shared" si="33"/>
        <v>6.57</v>
      </c>
      <c r="L116" s="123">
        <f t="shared" si="33"/>
        <v>6.57</v>
      </c>
      <c r="M116" s="123">
        <f t="shared" si="33"/>
        <v>6.57</v>
      </c>
      <c r="N116" s="123">
        <f t="shared" si="33"/>
        <v>6.57</v>
      </c>
      <c r="O116" s="123">
        <f t="shared" si="33"/>
        <v>6.57</v>
      </c>
      <c r="P116" s="123">
        <f t="shared" si="33"/>
        <v>6.57</v>
      </c>
      <c r="Q116" s="123">
        <f t="shared" si="33"/>
        <v>6.57</v>
      </c>
      <c r="R116" s="123">
        <f t="shared" si="33"/>
        <v>6.57</v>
      </c>
      <c r="S116" s="123">
        <f t="shared" si="33"/>
        <v>6.57</v>
      </c>
      <c r="T116" s="123">
        <f t="shared" si="34"/>
        <v>6.57</v>
      </c>
      <c r="U116" s="123">
        <f t="shared" si="34"/>
        <v>6.57</v>
      </c>
      <c r="V116" s="123">
        <f t="shared" si="34"/>
        <v>6.57</v>
      </c>
      <c r="W116" s="123">
        <f t="shared" si="34"/>
        <v>6.57</v>
      </c>
      <c r="X116" s="123">
        <f t="shared" si="34"/>
        <v>6.57</v>
      </c>
      <c r="Y116" s="123">
        <f t="shared" si="34"/>
        <v>6.57</v>
      </c>
      <c r="Z116" s="123">
        <f t="shared" si="34"/>
        <v>6.57</v>
      </c>
      <c r="AA116" s="123">
        <f t="shared" si="34"/>
        <v>6.57</v>
      </c>
      <c r="AB116" s="123">
        <f t="shared" si="34"/>
        <v>6.57</v>
      </c>
      <c r="AC116" s="123">
        <f t="shared" si="34"/>
        <v>6.57</v>
      </c>
      <c r="AD116" s="123">
        <f t="shared" si="34"/>
        <v>6.57</v>
      </c>
      <c r="AE116" s="123">
        <f t="shared" si="34"/>
        <v>6.57</v>
      </c>
      <c r="AF116" s="123">
        <f t="shared" si="34"/>
        <v>6.57</v>
      </c>
      <c r="AG116" s="126">
        <v>7.8</v>
      </c>
      <c r="AH116" s="55"/>
      <c r="AI116" s="56"/>
      <c r="AK116" s="57"/>
    </row>
    <row r="117" spans="1:37" x14ac:dyDescent="0.25">
      <c r="A117" s="111" t="s">
        <v>120</v>
      </c>
      <c r="B117" s="123">
        <f t="shared" si="32"/>
        <v>3.43</v>
      </c>
      <c r="C117" s="124">
        <v>3.43</v>
      </c>
      <c r="D117" s="123">
        <f t="shared" si="33"/>
        <v>3.43</v>
      </c>
      <c r="E117" s="123">
        <f t="shared" si="33"/>
        <v>3.43</v>
      </c>
      <c r="F117" s="123">
        <f t="shared" si="33"/>
        <v>3.43</v>
      </c>
      <c r="G117" s="123">
        <f t="shared" si="33"/>
        <v>3.43</v>
      </c>
      <c r="H117" s="123">
        <f t="shared" si="33"/>
        <v>3.43</v>
      </c>
      <c r="I117" s="123">
        <f t="shared" si="33"/>
        <v>3.43</v>
      </c>
      <c r="J117" s="123">
        <f t="shared" si="33"/>
        <v>3.43</v>
      </c>
      <c r="K117" s="123">
        <f t="shared" si="33"/>
        <v>3.43</v>
      </c>
      <c r="L117" s="123">
        <f t="shared" si="33"/>
        <v>3.43</v>
      </c>
      <c r="M117" s="123">
        <f t="shared" si="33"/>
        <v>3.43</v>
      </c>
      <c r="N117" s="123">
        <f t="shared" si="33"/>
        <v>3.43</v>
      </c>
      <c r="O117" s="123">
        <f t="shared" si="33"/>
        <v>3.43</v>
      </c>
      <c r="P117" s="123">
        <f t="shared" si="33"/>
        <v>3.43</v>
      </c>
      <c r="Q117" s="123">
        <f t="shared" si="33"/>
        <v>3.43</v>
      </c>
      <c r="R117" s="123">
        <f t="shared" si="33"/>
        <v>3.43</v>
      </c>
      <c r="S117" s="123">
        <f t="shared" si="33"/>
        <v>3.43</v>
      </c>
      <c r="T117" s="123">
        <f t="shared" si="34"/>
        <v>3.43</v>
      </c>
      <c r="U117" s="123">
        <f t="shared" si="34"/>
        <v>3.43</v>
      </c>
      <c r="V117" s="123">
        <f t="shared" si="34"/>
        <v>3.43</v>
      </c>
      <c r="W117" s="123">
        <f t="shared" si="34"/>
        <v>3.43</v>
      </c>
      <c r="X117" s="123">
        <f t="shared" si="34"/>
        <v>3.43</v>
      </c>
      <c r="Y117" s="123">
        <f t="shared" si="34"/>
        <v>3.43</v>
      </c>
      <c r="Z117" s="123">
        <f t="shared" si="34"/>
        <v>3.43</v>
      </c>
      <c r="AA117" s="123">
        <f t="shared" si="34"/>
        <v>3.43</v>
      </c>
      <c r="AB117" s="123">
        <f t="shared" si="34"/>
        <v>3.43</v>
      </c>
      <c r="AC117" s="123">
        <f t="shared" si="34"/>
        <v>3.43</v>
      </c>
      <c r="AD117" s="123">
        <f t="shared" si="34"/>
        <v>3.43</v>
      </c>
      <c r="AE117" s="123">
        <f t="shared" si="34"/>
        <v>3.43</v>
      </c>
      <c r="AF117" s="123">
        <f t="shared" si="34"/>
        <v>3.43</v>
      </c>
      <c r="AG117" s="126">
        <v>7.6</v>
      </c>
      <c r="AH117" s="55"/>
      <c r="AI117" s="56"/>
      <c r="AK117" s="57"/>
    </row>
    <row r="118" spans="1:37" x14ac:dyDescent="0.25">
      <c r="A118" s="111" t="s">
        <v>121</v>
      </c>
      <c r="B118" s="123">
        <f t="shared" si="32"/>
        <v>2.96</v>
      </c>
      <c r="C118" s="124">
        <v>2.96</v>
      </c>
      <c r="D118" s="123">
        <f t="shared" si="33"/>
        <v>2.96</v>
      </c>
      <c r="E118" s="123">
        <f t="shared" si="33"/>
        <v>2.96</v>
      </c>
      <c r="F118" s="123">
        <f t="shared" si="33"/>
        <v>2.96</v>
      </c>
      <c r="G118" s="123">
        <f t="shared" si="33"/>
        <v>2.96</v>
      </c>
      <c r="H118" s="123">
        <f t="shared" si="33"/>
        <v>2.96</v>
      </c>
      <c r="I118" s="123">
        <f t="shared" si="33"/>
        <v>2.96</v>
      </c>
      <c r="J118" s="123">
        <f t="shared" si="33"/>
        <v>2.96</v>
      </c>
      <c r="K118" s="123">
        <f t="shared" si="33"/>
        <v>2.96</v>
      </c>
      <c r="L118" s="123">
        <f t="shared" si="33"/>
        <v>2.96</v>
      </c>
      <c r="M118" s="123">
        <f t="shared" si="33"/>
        <v>2.96</v>
      </c>
      <c r="N118" s="123">
        <f t="shared" si="33"/>
        <v>2.96</v>
      </c>
      <c r="O118" s="123">
        <f t="shared" si="33"/>
        <v>2.96</v>
      </c>
      <c r="P118" s="123">
        <f t="shared" si="33"/>
        <v>2.96</v>
      </c>
      <c r="Q118" s="123">
        <f t="shared" si="33"/>
        <v>2.96</v>
      </c>
      <c r="R118" s="123">
        <f t="shared" si="33"/>
        <v>2.96</v>
      </c>
      <c r="S118" s="123">
        <f t="shared" si="33"/>
        <v>2.96</v>
      </c>
      <c r="T118" s="123">
        <f t="shared" si="34"/>
        <v>2.96</v>
      </c>
      <c r="U118" s="123">
        <f t="shared" si="34"/>
        <v>2.96</v>
      </c>
      <c r="V118" s="123">
        <f t="shared" si="34"/>
        <v>2.96</v>
      </c>
      <c r="W118" s="123">
        <f t="shared" si="34"/>
        <v>2.96</v>
      </c>
      <c r="X118" s="123">
        <f t="shared" si="34"/>
        <v>2.96</v>
      </c>
      <c r="Y118" s="123">
        <f t="shared" si="34"/>
        <v>2.96</v>
      </c>
      <c r="Z118" s="123">
        <f t="shared" si="34"/>
        <v>2.96</v>
      </c>
      <c r="AA118" s="123">
        <f t="shared" si="34"/>
        <v>2.96</v>
      </c>
      <c r="AB118" s="123">
        <f t="shared" si="34"/>
        <v>2.96</v>
      </c>
      <c r="AC118" s="123">
        <f t="shared" si="34"/>
        <v>2.96</v>
      </c>
      <c r="AD118" s="123">
        <f t="shared" si="34"/>
        <v>2.96</v>
      </c>
      <c r="AE118" s="123">
        <f t="shared" si="34"/>
        <v>2.96</v>
      </c>
      <c r="AF118" s="123">
        <f t="shared" si="34"/>
        <v>2.96</v>
      </c>
      <c r="AG118" s="126">
        <v>7.5</v>
      </c>
      <c r="AH118" s="55"/>
      <c r="AI118" s="56"/>
      <c r="AK118" s="57"/>
    </row>
    <row r="119" spans="1:37" x14ac:dyDescent="0.25">
      <c r="A119" s="111" t="s">
        <v>122</v>
      </c>
      <c r="B119" s="123">
        <f t="shared" si="32"/>
        <v>8</v>
      </c>
      <c r="C119" s="124">
        <v>8</v>
      </c>
      <c r="D119" s="123">
        <f t="shared" si="33"/>
        <v>8</v>
      </c>
      <c r="E119" s="123">
        <f t="shared" si="33"/>
        <v>8</v>
      </c>
      <c r="F119" s="123">
        <f t="shared" si="33"/>
        <v>8</v>
      </c>
      <c r="G119" s="123">
        <f t="shared" si="33"/>
        <v>8</v>
      </c>
      <c r="H119" s="123">
        <f t="shared" si="33"/>
        <v>8</v>
      </c>
      <c r="I119" s="123">
        <f t="shared" si="33"/>
        <v>8</v>
      </c>
      <c r="J119" s="123">
        <f t="shared" si="33"/>
        <v>8</v>
      </c>
      <c r="K119" s="123">
        <f t="shared" si="33"/>
        <v>8</v>
      </c>
      <c r="L119" s="123">
        <f t="shared" si="33"/>
        <v>8</v>
      </c>
      <c r="M119" s="123">
        <f t="shared" si="33"/>
        <v>8</v>
      </c>
      <c r="N119" s="123">
        <f t="shared" si="33"/>
        <v>8</v>
      </c>
      <c r="O119" s="123">
        <f t="shared" si="33"/>
        <v>8</v>
      </c>
      <c r="P119" s="123">
        <f t="shared" si="33"/>
        <v>8</v>
      </c>
      <c r="Q119" s="123">
        <f t="shared" si="33"/>
        <v>8</v>
      </c>
      <c r="R119" s="123">
        <f t="shared" si="33"/>
        <v>8</v>
      </c>
      <c r="S119" s="123">
        <f t="shared" si="33"/>
        <v>8</v>
      </c>
      <c r="T119" s="123">
        <f t="shared" si="34"/>
        <v>8</v>
      </c>
      <c r="U119" s="123">
        <f t="shared" si="34"/>
        <v>8</v>
      </c>
      <c r="V119" s="123">
        <f t="shared" si="34"/>
        <v>8</v>
      </c>
      <c r="W119" s="123">
        <f t="shared" si="34"/>
        <v>8</v>
      </c>
      <c r="X119" s="123">
        <f t="shared" si="34"/>
        <v>8</v>
      </c>
      <c r="Y119" s="123">
        <f t="shared" si="34"/>
        <v>8</v>
      </c>
      <c r="Z119" s="123">
        <f t="shared" si="34"/>
        <v>8</v>
      </c>
      <c r="AA119" s="123">
        <f t="shared" si="34"/>
        <v>8</v>
      </c>
      <c r="AB119" s="123">
        <f t="shared" si="34"/>
        <v>8</v>
      </c>
      <c r="AC119" s="123">
        <f t="shared" si="34"/>
        <v>8</v>
      </c>
      <c r="AD119" s="123">
        <f t="shared" si="34"/>
        <v>8</v>
      </c>
      <c r="AE119" s="123">
        <f t="shared" si="34"/>
        <v>8</v>
      </c>
      <c r="AF119" s="123">
        <f t="shared" si="34"/>
        <v>8</v>
      </c>
      <c r="AG119" s="126">
        <v>7.5</v>
      </c>
      <c r="AH119" s="55"/>
      <c r="AI119" s="56"/>
      <c r="AK119" s="57"/>
    </row>
    <row r="120" spans="1:37" x14ac:dyDescent="0.25">
      <c r="A120" s="111" t="s">
        <v>123</v>
      </c>
      <c r="B120" s="123">
        <f t="shared" si="32"/>
        <v>7</v>
      </c>
      <c r="C120" s="124">
        <v>7</v>
      </c>
      <c r="D120" s="123">
        <f>C120</f>
        <v>7</v>
      </c>
      <c r="E120" s="123">
        <f t="shared" si="33"/>
        <v>7</v>
      </c>
      <c r="F120" s="123">
        <f t="shared" si="33"/>
        <v>7</v>
      </c>
      <c r="G120" s="123">
        <f t="shared" si="33"/>
        <v>7</v>
      </c>
      <c r="H120" s="123">
        <f t="shared" si="33"/>
        <v>7</v>
      </c>
      <c r="I120" s="123">
        <f t="shared" si="33"/>
        <v>7</v>
      </c>
      <c r="J120" s="123">
        <f t="shared" si="33"/>
        <v>7</v>
      </c>
      <c r="K120" s="123">
        <f t="shared" si="33"/>
        <v>7</v>
      </c>
      <c r="L120" s="123">
        <f t="shared" si="33"/>
        <v>7</v>
      </c>
      <c r="M120" s="123">
        <f t="shared" si="33"/>
        <v>7</v>
      </c>
      <c r="N120" s="123">
        <f t="shared" si="33"/>
        <v>7</v>
      </c>
      <c r="O120" s="123">
        <f t="shared" si="33"/>
        <v>7</v>
      </c>
      <c r="P120" s="123">
        <f t="shared" si="33"/>
        <v>7</v>
      </c>
      <c r="Q120" s="123">
        <f t="shared" si="33"/>
        <v>7</v>
      </c>
      <c r="R120" s="123">
        <f t="shared" si="33"/>
        <v>7</v>
      </c>
      <c r="S120" s="123">
        <f t="shared" si="33"/>
        <v>7</v>
      </c>
      <c r="T120" s="123">
        <f t="shared" si="34"/>
        <v>7</v>
      </c>
      <c r="U120" s="123">
        <f t="shared" si="34"/>
        <v>7</v>
      </c>
      <c r="V120" s="123">
        <f t="shared" si="34"/>
        <v>7</v>
      </c>
      <c r="W120" s="123">
        <f t="shared" si="34"/>
        <v>7</v>
      </c>
      <c r="X120" s="123">
        <f t="shared" si="34"/>
        <v>7</v>
      </c>
      <c r="Y120" s="123">
        <f t="shared" si="34"/>
        <v>7</v>
      </c>
      <c r="Z120" s="123">
        <f t="shared" si="34"/>
        <v>7</v>
      </c>
      <c r="AA120" s="123">
        <f t="shared" si="34"/>
        <v>7</v>
      </c>
      <c r="AB120" s="123">
        <f t="shared" si="34"/>
        <v>7</v>
      </c>
      <c r="AC120" s="123">
        <f t="shared" si="34"/>
        <v>7</v>
      </c>
      <c r="AD120" s="123">
        <f t="shared" si="34"/>
        <v>7</v>
      </c>
      <c r="AE120" s="123">
        <f t="shared" si="34"/>
        <v>7</v>
      </c>
      <c r="AF120" s="123">
        <f t="shared" si="34"/>
        <v>7</v>
      </c>
      <c r="AG120" s="126">
        <v>7</v>
      </c>
      <c r="AH120" s="55"/>
      <c r="AI120" s="56"/>
      <c r="AK120" s="57"/>
    </row>
    <row r="121" spans="1:37" x14ac:dyDescent="0.25">
      <c r="A121" s="111" t="s">
        <v>124</v>
      </c>
      <c r="B121" s="123">
        <f t="shared" si="32"/>
        <v>3.47</v>
      </c>
      <c r="C121" s="124">
        <v>3.47</v>
      </c>
      <c r="D121" s="123">
        <f t="shared" ref="D121:S130" si="35">C121</f>
        <v>3.47</v>
      </c>
      <c r="E121" s="123">
        <f t="shared" si="35"/>
        <v>3.47</v>
      </c>
      <c r="F121" s="123">
        <f t="shared" si="35"/>
        <v>3.47</v>
      </c>
      <c r="G121" s="123">
        <f t="shared" si="35"/>
        <v>3.47</v>
      </c>
      <c r="H121" s="123">
        <f t="shared" si="35"/>
        <v>3.47</v>
      </c>
      <c r="I121" s="123">
        <f t="shared" si="35"/>
        <v>3.47</v>
      </c>
      <c r="J121" s="123">
        <f t="shared" si="35"/>
        <v>3.47</v>
      </c>
      <c r="K121" s="123">
        <f t="shared" si="35"/>
        <v>3.47</v>
      </c>
      <c r="L121" s="123">
        <f t="shared" si="35"/>
        <v>3.47</v>
      </c>
      <c r="M121" s="123">
        <f t="shared" si="35"/>
        <v>3.47</v>
      </c>
      <c r="N121" s="123">
        <f t="shared" si="35"/>
        <v>3.47</v>
      </c>
      <c r="O121" s="123">
        <f t="shared" si="35"/>
        <v>3.47</v>
      </c>
      <c r="P121" s="123">
        <f t="shared" si="35"/>
        <v>3.47</v>
      </c>
      <c r="Q121" s="123">
        <f t="shared" si="35"/>
        <v>3.47</v>
      </c>
      <c r="R121" s="123">
        <f t="shared" si="35"/>
        <v>3.47</v>
      </c>
      <c r="S121" s="123">
        <f t="shared" si="35"/>
        <v>3.47</v>
      </c>
      <c r="T121" s="123">
        <f t="shared" si="34"/>
        <v>3.47</v>
      </c>
      <c r="U121" s="123">
        <f t="shared" si="34"/>
        <v>3.47</v>
      </c>
      <c r="V121" s="123">
        <f t="shared" si="34"/>
        <v>3.47</v>
      </c>
      <c r="W121" s="123">
        <f t="shared" si="34"/>
        <v>3.47</v>
      </c>
      <c r="X121" s="123">
        <f t="shared" si="34"/>
        <v>3.47</v>
      </c>
      <c r="Y121" s="123">
        <f t="shared" si="34"/>
        <v>3.47</v>
      </c>
      <c r="Z121" s="123">
        <f t="shared" si="34"/>
        <v>3.47</v>
      </c>
      <c r="AA121" s="123">
        <f t="shared" si="34"/>
        <v>3.47</v>
      </c>
      <c r="AB121" s="123">
        <f t="shared" si="34"/>
        <v>3.47</v>
      </c>
      <c r="AC121" s="123">
        <f t="shared" si="34"/>
        <v>3.47</v>
      </c>
      <c r="AD121" s="123">
        <f t="shared" si="34"/>
        <v>3.47</v>
      </c>
      <c r="AE121" s="123">
        <f t="shared" si="34"/>
        <v>3.47</v>
      </c>
      <c r="AF121" s="123">
        <f t="shared" si="34"/>
        <v>3.47</v>
      </c>
      <c r="AG121" s="126">
        <v>7</v>
      </c>
      <c r="AH121" s="55"/>
      <c r="AI121" s="56"/>
      <c r="AK121" s="57"/>
    </row>
    <row r="122" spans="1:37" x14ac:dyDescent="0.25">
      <c r="A122" s="111" t="s">
        <v>125</v>
      </c>
      <c r="B122" s="123">
        <f t="shared" si="32"/>
        <v>2.1</v>
      </c>
      <c r="C122" s="124">
        <v>2.1</v>
      </c>
      <c r="D122" s="123">
        <f t="shared" si="35"/>
        <v>2.1</v>
      </c>
      <c r="E122" s="123">
        <f t="shared" si="35"/>
        <v>2.1</v>
      </c>
      <c r="F122" s="123">
        <f t="shared" si="35"/>
        <v>2.1</v>
      </c>
      <c r="G122" s="123">
        <f t="shared" si="35"/>
        <v>2.1</v>
      </c>
      <c r="H122" s="123">
        <f t="shared" si="35"/>
        <v>2.1</v>
      </c>
      <c r="I122" s="123">
        <f t="shared" si="35"/>
        <v>2.1</v>
      </c>
      <c r="J122" s="123">
        <f t="shared" si="35"/>
        <v>2.1</v>
      </c>
      <c r="K122" s="123">
        <f t="shared" si="35"/>
        <v>2.1</v>
      </c>
      <c r="L122" s="123">
        <f t="shared" si="35"/>
        <v>2.1</v>
      </c>
      <c r="M122" s="123">
        <f t="shared" si="35"/>
        <v>2.1</v>
      </c>
      <c r="N122" s="123">
        <f t="shared" si="35"/>
        <v>2.1</v>
      </c>
      <c r="O122" s="123">
        <f t="shared" si="35"/>
        <v>2.1</v>
      </c>
      <c r="P122" s="123">
        <f t="shared" si="35"/>
        <v>2.1</v>
      </c>
      <c r="Q122" s="123">
        <f t="shared" si="35"/>
        <v>2.1</v>
      </c>
      <c r="R122" s="123">
        <f t="shared" si="35"/>
        <v>2.1</v>
      </c>
      <c r="S122" s="123">
        <f t="shared" si="35"/>
        <v>2.1</v>
      </c>
      <c r="T122" s="123">
        <f t="shared" si="34"/>
        <v>2.1</v>
      </c>
      <c r="U122" s="123">
        <f t="shared" si="34"/>
        <v>2.1</v>
      </c>
      <c r="V122" s="123">
        <f t="shared" si="34"/>
        <v>2.1</v>
      </c>
      <c r="W122" s="123">
        <f t="shared" si="34"/>
        <v>2.1</v>
      </c>
      <c r="X122" s="123">
        <f t="shared" si="34"/>
        <v>2.1</v>
      </c>
      <c r="Y122" s="123">
        <f t="shared" si="34"/>
        <v>2.1</v>
      </c>
      <c r="Z122" s="123">
        <f t="shared" si="34"/>
        <v>2.1</v>
      </c>
      <c r="AA122" s="123">
        <f t="shared" si="34"/>
        <v>2.1</v>
      </c>
      <c r="AB122" s="123">
        <f t="shared" si="34"/>
        <v>2.1</v>
      </c>
      <c r="AC122" s="123">
        <f t="shared" si="34"/>
        <v>2.1</v>
      </c>
      <c r="AD122" s="123">
        <f t="shared" si="34"/>
        <v>2.1</v>
      </c>
      <c r="AE122" s="123">
        <f t="shared" si="34"/>
        <v>2.1</v>
      </c>
      <c r="AF122" s="123">
        <f t="shared" si="34"/>
        <v>2.1</v>
      </c>
      <c r="AG122" s="126">
        <v>7</v>
      </c>
      <c r="AH122" s="55"/>
      <c r="AI122" s="56"/>
      <c r="AK122" s="57"/>
    </row>
    <row r="123" spans="1:37" x14ac:dyDescent="0.25">
      <c r="A123" s="111" t="s">
        <v>126</v>
      </c>
      <c r="B123" s="123">
        <f t="shared" si="32"/>
        <v>9.3000000000000007</v>
      </c>
      <c r="C123" s="124">
        <v>9.3000000000000007</v>
      </c>
      <c r="D123" s="123">
        <f t="shared" si="35"/>
        <v>9.3000000000000007</v>
      </c>
      <c r="E123" s="123">
        <f t="shared" si="35"/>
        <v>9.3000000000000007</v>
      </c>
      <c r="F123" s="123">
        <f t="shared" si="35"/>
        <v>9.3000000000000007</v>
      </c>
      <c r="G123" s="123">
        <f t="shared" si="35"/>
        <v>9.3000000000000007</v>
      </c>
      <c r="H123" s="123">
        <f t="shared" si="35"/>
        <v>9.3000000000000007</v>
      </c>
      <c r="I123" s="123">
        <f t="shared" si="35"/>
        <v>9.3000000000000007</v>
      </c>
      <c r="J123" s="123">
        <f t="shared" si="35"/>
        <v>9.3000000000000007</v>
      </c>
      <c r="K123" s="123">
        <f t="shared" si="35"/>
        <v>9.3000000000000007</v>
      </c>
      <c r="L123" s="123">
        <f t="shared" si="35"/>
        <v>9.3000000000000007</v>
      </c>
      <c r="M123" s="123">
        <f t="shared" si="35"/>
        <v>9.3000000000000007</v>
      </c>
      <c r="N123" s="123">
        <f t="shared" si="35"/>
        <v>9.3000000000000007</v>
      </c>
      <c r="O123" s="123">
        <f t="shared" si="35"/>
        <v>9.3000000000000007</v>
      </c>
      <c r="P123" s="123">
        <f t="shared" si="35"/>
        <v>9.3000000000000007</v>
      </c>
      <c r="Q123" s="123">
        <f t="shared" si="35"/>
        <v>9.3000000000000007</v>
      </c>
      <c r="R123" s="123">
        <f t="shared" si="35"/>
        <v>9.3000000000000007</v>
      </c>
      <c r="S123" s="123">
        <f t="shared" si="35"/>
        <v>9.3000000000000007</v>
      </c>
      <c r="T123" s="123">
        <f t="shared" si="34"/>
        <v>9.3000000000000007</v>
      </c>
      <c r="U123" s="123">
        <f t="shared" si="34"/>
        <v>9.3000000000000007</v>
      </c>
      <c r="V123" s="123">
        <f t="shared" si="34"/>
        <v>9.3000000000000007</v>
      </c>
      <c r="W123" s="123">
        <f t="shared" si="34"/>
        <v>9.3000000000000007</v>
      </c>
      <c r="X123" s="123">
        <f t="shared" si="34"/>
        <v>9.3000000000000007</v>
      </c>
      <c r="Y123" s="123">
        <f t="shared" si="34"/>
        <v>9.3000000000000007</v>
      </c>
      <c r="Z123" s="123">
        <f t="shared" si="34"/>
        <v>9.3000000000000007</v>
      </c>
      <c r="AA123" s="123">
        <f t="shared" si="34"/>
        <v>9.3000000000000007</v>
      </c>
      <c r="AB123" s="123">
        <f t="shared" si="34"/>
        <v>9.3000000000000007</v>
      </c>
      <c r="AC123" s="123">
        <f t="shared" si="34"/>
        <v>9.3000000000000007</v>
      </c>
      <c r="AD123" s="123">
        <f t="shared" si="34"/>
        <v>9.3000000000000007</v>
      </c>
      <c r="AE123" s="123">
        <f t="shared" si="34"/>
        <v>9.3000000000000007</v>
      </c>
      <c r="AF123" s="123">
        <f t="shared" si="34"/>
        <v>9.3000000000000007</v>
      </c>
      <c r="AG123" s="126">
        <v>7</v>
      </c>
      <c r="AH123" s="55"/>
      <c r="AI123" s="56"/>
      <c r="AK123" s="57"/>
    </row>
    <row r="124" spans="1:37" x14ac:dyDescent="0.25">
      <c r="A124" s="111" t="s">
        <v>127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128</v>
      </c>
      <c r="B125" s="123">
        <f t="shared" si="32"/>
        <v>0</v>
      </c>
      <c r="C125" s="124">
        <v>0</v>
      </c>
      <c r="D125" s="123">
        <f t="shared" si="35"/>
        <v>0</v>
      </c>
      <c r="E125" s="123">
        <f t="shared" si="35"/>
        <v>0</v>
      </c>
      <c r="F125" s="123">
        <f t="shared" si="35"/>
        <v>0</v>
      </c>
      <c r="G125" s="123">
        <f t="shared" si="35"/>
        <v>0</v>
      </c>
      <c r="H125" s="123">
        <f t="shared" si="35"/>
        <v>0</v>
      </c>
      <c r="I125" s="123">
        <f t="shared" si="35"/>
        <v>0</v>
      </c>
      <c r="J125" s="123">
        <f t="shared" si="35"/>
        <v>0</v>
      </c>
      <c r="K125" s="123">
        <f t="shared" si="35"/>
        <v>0</v>
      </c>
      <c r="L125" s="123">
        <f t="shared" si="35"/>
        <v>0</v>
      </c>
      <c r="M125" s="123">
        <f t="shared" si="35"/>
        <v>0</v>
      </c>
      <c r="N125" s="123">
        <f t="shared" si="35"/>
        <v>0</v>
      </c>
      <c r="O125" s="123">
        <f t="shared" si="35"/>
        <v>0</v>
      </c>
      <c r="P125" s="123">
        <f t="shared" si="35"/>
        <v>0</v>
      </c>
      <c r="Q125" s="123">
        <f t="shared" si="35"/>
        <v>0</v>
      </c>
      <c r="R125" s="123">
        <f t="shared" si="35"/>
        <v>0</v>
      </c>
      <c r="S125" s="123">
        <f t="shared" si="35"/>
        <v>0</v>
      </c>
      <c r="T125" s="123">
        <f t="shared" si="34"/>
        <v>0</v>
      </c>
      <c r="U125" s="123">
        <f t="shared" si="34"/>
        <v>0</v>
      </c>
      <c r="V125" s="123">
        <f t="shared" si="34"/>
        <v>0</v>
      </c>
      <c r="W125" s="123">
        <f t="shared" si="34"/>
        <v>0</v>
      </c>
      <c r="X125" s="123">
        <f t="shared" si="34"/>
        <v>0</v>
      </c>
      <c r="Y125" s="123">
        <f t="shared" si="34"/>
        <v>0</v>
      </c>
      <c r="Z125" s="123">
        <f t="shared" si="34"/>
        <v>0</v>
      </c>
      <c r="AA125" s="123">
        <f t="shared" si="34"/>
        <v>0</v>
      </c>
      <c r="AB125" s="123">
        <f t="shared" si="34"/>
        <v>0</v>
      </c>
      <c r="AC125" s="123">
        <f t="shared" si="34"/>
        <v>0</v>
      </c>
      <c r="AD125" s="123">
        <f t="shared" si="34"/>
        <v>0</v>
      </c>
      <c r="AE125" s="123">
        <f t="shared" si="34"/>
        <v>0</v>
      </c>
      <c r="AF125" s="123">
        <f t="shared" si="34"/>
        <v>0</v>
      </c>
      <c r="AG125" s="126">
        <v>6.6</v>
      </c>
      <c r="AH125" s="55"/>
      <c r="AI125" s="56"/>
      <c r="AK125" s="57"/>
    </row>
    <row r="126" spans="1:37" x14ac:dyDescent="0.25">
      <c r="A126" s="111" t="s">
        <v>129</v>
      </c>
      <c r="B126" s="123" t="str">
        <f t="shared" si="32"/>
        <v>;/</v>
      </c>
      <c r="C126" s="124">
        <v>5</v>
      </c>
      <c r="D126" s="123">
        <f t="shared" si="35"/>
        <v>5</v>
      </c>
      <c r="E126" s="123">
        <f t="shared" si="35"/>
        <v>5</v>
      </c>
      <c r="F126" s="123">
        <f t="shared" si="35"/>
        <v>5</v>
      </c>
      <c r="G126" s="123">
        <f t="shared" si="35"/>
        <v>5</v>
      </c>
      <c r="H126" s="123">
        <f t="shared" si="35"/>
        <v>5</v>
      </c>
      <c r="I126" s="123" t="s">
        <v>130</v>
      </c>
      <c r="J126" s="123" t="str">
        <f t="shared" si="35"/>
        <v>;/</v>
      </c>
      <c r="K126" s="123" t="str">
        <f t="shared" si="35"/>
        <v>;/</v>
      </c>
      <c r="L126" s="123" t="str">
        <f t="shared" si="35"/>
        <v>;/</v>
      </c>
      <c r="M126" s="123" t="str">
        <f t="shared" si="35"/>
        <v>;/</v>
      </c>
      <c r="N126" s="123" t="str">
        <f t="shared" si="35"/>
        <v>;/</v>
      </c>
      <c r="O126" s="123" t="str">
        <f t="shared" si="35"/>
        <v>;/</v>
      </c>
      <c r="P126" s="123" t="str">
        <f t="shared" si="35"/>
        <v>;/</v>
      </c>
      <c r="Q126" s="123" t="str">
        <f t="shared" si="35"/>
        <v>;/</v>
      </c>
      <c r="R126" s="123" t="str">
        <f t="shared" si="35"/>
        <v>;/</v>
      </c>
      <c r="S126" s="123" t="str">
        <f t="shared" si="35"/>
        <v>;/</v>
      </c>
      <c r="T126" s="123" t="str">
        <f t="shared" si="34"/>
        <v>;/</v>
      </c>
      <c r="U126" s="123" t="str">
        <f t="shared" si="34"/>
        <v>;/</v>
      </c>
      <c r="V126" s="123" t="str">
        <f t="shared" si="34"/>
        <v>;/</v>
      </c>
      <c r="W126" s="123" t="str">
        <f t="shared" si="34"/>
        <v>;/</v>
      </c>
      <c r="X126" s="123" t="str">
        <f t="shared" si="34"/>
        <v>;/</v>
      </c>
      <c r="Y126" s="123" t="str">
        <f t="shared" si="34"/>
        <v>;/</v>
      </c>
      <c r="Z126" s="123" t="str">
        <f t="shared" si="34"/>
        <v>;/</v>
      </c>
      <c r="AA126" s="123" t="str">
        <f t="shared" si="34"/>
        <v>;/</v>
      </c>
      <c r="AB126" s="123" t="str">
        <f t="shared" si="34"/>
        <v>;/</v>
      </c>
      <c r="AC126" s="123" t="str">
        <f t="shared" si="34"/>
        <v>;/</v>
      </c>
      <c r="AD126" s="123" t="str">
        <f t="shared" si="34"/>
        <v>;/</v>
      </c>
      <c r="AE126" s="123" t="str">
        <f t="shared" si="34"/>
        <v>;/</v>
      </c>
      <c r="AF126" s="123" t="str">
        <f t="shared" si="34"/>
        <v>;/</v>
      </c>
      <c r="AG126" s="126">
        <v>6.4</v>
      </c>
      <c r="AH126" s="55"/>
      <c r="AI126" s="56"/>
      <c r="AK126" s="57"/>
    </row>
    <row r="127" spans="1:37" x14ac:dyDescent="0.25">
      <c r="A127" s="111" t="s">
        <v>131</v>
      </c>
      <c r="B127" s="123">
        <f t="shared" si="32"/>
        <v>1</v>
      </c>
      <c r="C127" s="124">
        <v>1</v>
      </c>
      <c r="D127" s="123">
        <f t="shared" si="35"/>
        <v>1</v>
      </c>
      <c r="E127" s="123">
        <f t="shared" si="35"/>
        <v>1</v>
      </c>
      <c r="F127" s="123">
        <f t="shared" si="35"/>
        <v>1</v>
      </c>
      <c r="G127" s="123">
        <f t="shared" si="35"/>
        <v>1</v>
      </c>
      <c r="H127" s="123">
        <f t="shared" si="35"/>
        <v>1</v>
      </c>
      <c r="I127" s="123">
        <f t="shared" si="35"/>
        <v>1</v>
      </c>
      <c r="J127" s="123">
        <f t="shared" si="35"/>
        <v>1</v>
      </c>
      <c r="K127" s="123">
        <f t="shared" si="35"/>
        <v>1</v>
      </c>
      <c r="L127" s="123">
        <f t="shared" si="35"/>
        <v>1</v>
      </c>
      <c r="M127" s="123">
        <f t="shared" si="35"/>
        <v>1</v>
      </c>
      <c r="N127" s="123">
        <f t="shared" si="35"/>
        <v>1</v>
      </c>
      <c r="O127" s="123">
        <f t="shared" si="35"/>
        <v>1</v>
      </c>
      <c r="P127" s="123">
        <f t="shared" si="35"/>
        <v>1</v>
      </c>
      <c r="Q127" s="123">
        <f t="shared" si="35"/>
        <v>1</v>
      </c>
      <c r="R127" s="123">
        <f t="shared" si="35"/>
        <v>1</v>
      </c>
      <c r="S127" s="123">
        <f t="shared" si="35"/>
        <v>1</v>
      </c>
      <c r="T127" s="123">
        <f t="shared" si="34"/>
        <v>1</v>
      </c>
      <c r="U127" s="123">
        <f t="shared" si="34"/>
        <v>1</v>
      </c>
      <c r="V127" s="123">
        <f t="shared" si="34"/>
        <v>1</v>
      </c>
      <c r="W127" s="123">
        <f t="shared" si="34"/>
        <v>1</v>
      </c>
      <c r="X127" s="123">
        <f t="shared" si="34"/>
        <v>1</v>
      </c>
      <c r="Y127" s="123">
        <f t="shared" si="34"/>
        <v>1</v>
      </c>
      <c r="Z127" s="123">
        <f t="shared" si="34"/>
        <v>1</v>
      </c>
      <c r="AA127" s="123">
        <f t="shared" si="34"/>
        <v>1</v>
      </c>
      <c r="AB127" s="123">
        <f t="shared" si="34"/>
        <v>1</v>
      </c>
      <c r="AC127" s="123">
        <f t="shared" si="34"/>
        <v>1</v>
      </c>
      <c r="AD127" s="123">
        <f t="shared" si="34"/>
        <v>1</v>
      </c>
      <c r="AE127" s="123">
        <f t="shared" si="34"/>
        <v>1</v>
      </c>
      <c r="AF127" s="123">
        <f t="shared" si="34"/>
        <v>1</v>
      </c>
      <c r="AG127" s="126">
        <v>6</v>
      </c>
      <c r="AH127" s="55"/>
      <c r="AI127" s="56"/>
      <c r="AK127" s="57"/>
    </row>
    <row r="128" spans="1:37" x14ac:dyDescent="0.25">
      <c r="A128" s="111" t="s">
        <v>132</v>
      </c>
      <c r="B128" s="123">
        <f t="shared" si="32"/>
        <v>1.58</v>
      </c>
      <c r="C128" s="124">
        <v>1.58</v>
      </c>
      <c r="D128" s="123">
        <f t="shared" si="35"/>
        <v>1.58</v>
      </c>
      <c r="E128" s="123">
        <f t="shared" si="35"/>
        <v>1.58</v>
      </c>
      <c r="F128" s="123">
        <f t="shared" si="35"/>
        <v>1.58</v>
      </c>
      <c r="G128" s="123">
        <f t="shared" si="35"/>
        <v>1.58</v>
      </c>
      <c r="H128" s="123">
        <f t="shared" si="35"/>
        <v>1.58</v>
      </c>
      <c r="I128" s="123">
        <f t="shared" si="35"/>
        <v>1.58</v>
      </c>
      <c r="J128" s="123">
        <f t="shared" si="35"/>
        <v>1.58</v>
      </c>
      <c r="K128" s="123">
        <f t="shared" si="35"/>
        <v>1.58</v>
      </c>
      <c r="L128" s="123">
        <f t="shared" si="35"/>
        <v>1.58</v>
      </c>
      <c r="M128" s="123">
        <f t="shared" si="35"/>
        <v>1.58</v>
      </c>
      <c r="N128" s="123">
        <f t="shared" si="35"/>
        <v>1.58</v>
      </c>
      <c r="O128" s="123">
        <f t="shared" si="35"/>
        <v>1.58</v>
      </c>
      <c r="P128" s="123">
        <f t="shared" si="35"/>
        <v>1.58</v>
      </c>
      <c r="Q128" s="123">
        <f t="shared" si="35"/>
        <v>1.58</v>
      </c>
      <c r="R128" s="123">
        <f t="shared" si="35"/>
        <v>1.58</v>
      </c>
      <c r="S128" s="123">
        <f t="shared" si="35"/>
        <v>1.58</v>
      </c>
      <c r="T128" s="123">
        <f t="shared" si="34"/>
        <v>1.58</v>
      </c>
      <c r="U128" s="123">
        <f t="shared" si="34"/>
        <v>1.58</v>
      </c>
      <c r="V128" s="123">
        <f t="shared" si="34"/>
        <v>1.58</v>
      </c>
      <c r="W128" s="123">
        <f t="shared" si="34"/>
        <v>1.58</v>
      </c>
      <c r="X128" s="123">
        <f t="shared" si="34"/>
        <v>1.58</v>
      </c>
      <c r="Y128" s="123">
        <f t="shared" si="34"/>
        <v>1.58</v>
      </c>
      <c r="Z128" s="123">
        <f t="shared" si="34"/>
        <v>1.58</v>
      </c>
      <c r="AA128" s="123">
        <f t="shared" si="34"/>
        <v>1.58</v>
      </c>
      <c r="AB128" s="123">
        <f t="shared" si="34"/>
        <v>1.58</v>
      </c>
      <c r="AC128" s="123">
        <f t="shared" si="34"/>
        <v>1.58</v>
      </c>
      <c r="AD128" s="123">
        <f t="shared" si="34"/>
        <v>1.58</v>
      </c>
      <c r="AE128" s="123">
        <f t="shared" si="34"/>
        <v>1.58</v>
      </c>
      <c r="AF128" s="123">
        <f t="shared" si="34"/>
        <v>1.58</v>
      </c>
      <c r="AG128" s="126">
        <v>5.0999999999999996</v>
      </c>
      <c r="AH128" s="55"/>
      <c r="AI128" s="56"/>
      <c r="AK128" s="57"/>
    </row>
    <row r="129" spans="1:37" x14ac:dyDescent="0.25">
      <c r="A129" s="111" t="s">
        <v>133</v>
      </c>
      <c r="B129" s="123">
        <f t="shared" si="32"/>
        <v>1.46</v>
      </c>
      <c r="C129" s="124">
        <v>1.46</v>
      </c>
      <c r="D129" s="123">
        <f t="shared" si="35"/>
        <v>1.46</v>
      </c>
      <c r="E129" s="123">
        <f t="shared" si="35"/>
        <v>1.46</v>
      </c>
      <c r="F129" s="123">
        <f t="shared" si="35"/>
        <v>1.46</v>
      </c>
      <c r="G129" s="123">
        <f t="shared" si="35"/>
        <v>1.46</v>
      </c>
      <c r="H129" s="123">
        <f t="shared" si="35"/>
        <v>1.46</v>
      </c>
      <c r="I129" s="123">
        <f t="shared" si="35"/>
        <v>1.46</v>
      </c>
      <c r="J129" s="123">
        <f t="shared" si="35"/>
        <v>1.46</v>
      </c>
      <c r="K129" s="123">
        <f t="shared" si="35"/>
        <v>1.46</v>
      </c>
      <c r="L129" s="123">
        <f t="shared" si="35"/>
        <v>1.46</v>
      </c>
      <c r="M129" s="123">
        <f t="shared" si="35"/>
        <v>1.46</v>
      </c>
      <c r="N129" s="123">
        <f t="shared" si="35"/>
        <v>1.46</v>
      </c>
      <c r="O129" s="123">
        <f t="shared" si="35"/>
        <v>1.46</v>
      </c>
      <c r="P129" s="123">
        <f t="shared" si="35"/>
        <v>1.46</v>
      </c>
      <c r="Q129" s="123">
        <f t="shared" si="35"/>
        <v>1.46</v>
      </c>
      <c r="R129" s="123">
        <f t="shared" si="35"/>
        <v>1.46</v>
      </c>
      <c r="S129" s="123">
        <f t="shared" si="35"/>
        <v>1.46</v>
      </c>
      <c r="T129" s="123">
        <f t="shared" ref="T129:AF130" si="36">S129</f>
        <v>1.46</v>
      </c>
      <c r="U129" s="123">
        <f t="shared" si="36"/>
        <v>1.46</v>
      </c>
      <c r="V129" s="123">
        <f t="shared" si="36"/>
        <v>1.46</v>
      </c>
      <c r="W129" s="123">
        <f t="shared" si="36"/>
        <v>1.46</v>
      </c>
      <c r="X129" s="123">
        <f t="shared" si="36"/>
        <v>1.46</v>
      </c>
      <c r="Y129" s="123">
        <f t="shared" si="36"/>
        <v>1.46</v>
      </c>
      <c r="Z129" s="123">
        <f t="shared" si="36"/>
        <v>1.46</v>
      </c>
      <c r="AA129" s="123">
        <f t="shared" si="36"/>
        <v>1.46</v>
      </c>
      <c r="AB129" s="123">
        <f t="shared" si="36"/>
        <v>1.46</v>
      </c>
      <c r="AC129" s="123">
        <f t="shared" si="36"/>
        <v>1.46</v>
      </c>
      <c r="AD129" s="123">
        <f t="shared" si="36"/>
        <v>1.46</v>
      </c>
      <c r="AE129" s="123">
        <f t="shared" si="36"/>
        <v>1.46</v>
      </c>
      <c r="AF129" s="123">
        <f t="shared" si="36"/>
        <v>1.46</v>
      </c>
      <c r="AG129" s="126">
        <v>5</v>
      </c>
      <c r="AH129" s="55"/>
      <c r="AI129" s="56"/>
      <c r="AK129" s="57"/>
    </row>
    <row r="130" spans="1:37" x14ac:dyDescent="0.25">
      <c r="A130" s="109" t="s">
        <v>134</v>
      </c>
      <c r="B130" s="123">
        <f t="shared" si="32"/>
        <v>1.48</v>
      </c>
      <c r="C130" s="124">
        <v>1.48</v>
      </c>
      <c r="D130" s="123">
        <f t="shared" si="35"/>
        <v>1.48</v>
      </c>
      <c r="E130" s="123">
        <f t="shared" si="35"/>
        <v>1.48</v>
      </c>
      <c r="F130" s="123">
        <f t="shared" si="35"/>
        <v>1.48</v>
      </c>
      <c r="G130" s="123">
        <f t="shared" si="35"/>
        <v>1.48</v>
      </c>
      <c r="H130" s="123">
        <f t="shared" si="35"/>
        <v>1.48</v>
      </c>
      <c r="I130" s="123">
        <f t="shared" si="35"/>
        <v>1.48</v>
      </c>
      <c r="J130" s="123">
        <f t="shared" si="35"/>
        <v>1.48</v>
      </c>
      <c r="K130" s="123">
        <f t="shared" si="35"/>
        <v>1.48</v>
      </c>
      <c r="L130" s="123">
        <f t="shared" si="35"/>
        <v>1.48</v>
      </c>
      <c r="M130" s="123">
        <f t="shared" si="35"/>
        <v>1.48</v>
      </c>
      <c r="N130" s="123">
        <f t="shared" si="35"/>
        <v>1.48</v>
      </c>
      <c r="O130" s="123">
        <f t="shared" si="35"/>
        <v>1.48</v>
      </c>
      <c r="P130" s="123">
        <f t="shared" si="35"/>
        <v>1.48</v>
      </c>
      <c r="Q130" s="123">
        <f t="shared" si="35"/>
        <v>1.48</v>
      </c>
      <c r="R130" s="123">
        <f t="shared" si="35"/>
        <v>1.48</v>
      </c>
      <c r="S130" s="123">
        <f t="shared" si="35"/>
        <v>1.48</v>
      </c>
      <c r="T130" s="123">
        <f t="shared" si="36"/>
        <v>1.48</v>
      </c>
      <c r="U130" s="123">
        <f t="shared" si="36"/>
        <v>1.48</v>
      </c>
      <c r="V130" s="123">
        <f t="shared" si="36"/>
        <v>1.48</v>
      </c>
      <c r="W130" s="123">
        <f t="shared" si="36"/>
        <v>1.48</v>
      </c>
      <c r="X130" s="123">
        <f t="shared" si="36"/>
        <v>1.48</v>
      </c>
      <c r="Y130" s="123">
        <f t="shared" si="36"/>
        <v>1.48</v>
      </c>
      <c r="Z130" s="123">
        <f t="shared" si="36"/>
        <v>1.48</v>
      </c>
      <c r="AA130" s="123">
        <f t="shared" si="36"/>
        <v>1.48</v>
      </c>
      <c r="AB130" s="123">
        <f t="shared" si="36"/>
        <v>1.48</v>
      </c>
      <c r="AC130" s="123">
        <f t="shared" si="36"/>
        <v>1.48</v>
      </c>
      <c r="AD130" s="123">
        <f t="shared" si="36"/>
        <v>1.48</v>
      </c>
      <c r="AE130" s="123">
        <f t="shared" si="36"/>
        <v>1.48</v>
      </c>
      <c r="AF130" s="123">
        <f t="shared" si="36"/>
        <v>1.48</v>
      </c>
      <c r="AG130" s="125">
        <v>5</v>
      </c>
      <c r="AH130" s="55"/>
      <c r="AI130" s="56"/>
      <c r="AK130" s="57"/>
    </row>
    <row r="131" spans="1:37" x14ac:dyDescent="0.25">
      <c r="A131" s="111" t="s">
        <v>135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5"/>
      <c r="AI131" s="56"/>
      <c r="AK131" s="57"/>
    </row>
    <row r="132" spans="1:37" x14ac:dyDescent="0.25">
      <c r="A132" s="111" t="s">
        <v>136</v>
      </c>
      <c r="B132" s="123">
        <f t="shared" ref="B132:B139" si="37">AF132</f>
        <v>2.2000000000000002</v>
      </c>
      <c r="C132" s="124">
        <v>2.2000000000000002</v>
      </c>
      <c r="D132" s="123">
        <f t="shared" ref="D132:S139" si="38">C132</f>
        <v>2.2000000000000002</v>
      </c>
      <c r="E132" s="123">
        <f t="shared" si="38"/>
        <v>2.2000000000000002</v>
      </c>
      <c r="F132" s="123">
        <f t="shared" si="38"/>
        <v>2.2000000000000002</v>
      </c>
      <c r="G132" s="123">
        <f t="shared" si="38"/>
        <v>2.2000000000000002</v>
      </c>
      <c r="H132" s="123">
        <f t="shared" si="38"/>
        <v>2.2000000000000002</v>
      </c>
      <c r="I132" s="123">
        <f t="shared" si="38"/>
        <v>2.2000000000000002</v>
      </c>
      <c r="J132" s="123">
        <f t="shared" si="38"/>
        <v>2.2000000000000002</v>
      </c>
      <c r="K132" s="123">
        <f t="shared" si="38"/>
        <v>2.2000000000000002</v>
      </c>
      <c r="L132" s="123">
        <f t="shared" si="38"/>
        <v>2.2000000000000002</v>
      </c>
      <c r="M132" s="123">
        <f t="shared" si="38"/>
        <v>2.2000000000000002</v>
      </c>
      <c r="N132" s="123">
        <f t="shared" si="38"/>
        <v>2.2000000000000002</v>
      </c>
      <c r="O132" s="123">
        <f t="shared" si="38"/>
        <v>2.2000000000000002</v>
      </c>
      <c r="P132" s="123">
        <f t="shared" si="38"/>
        <v>2.2000000000000002</v>
      </c>
      <c r="Q132" s="123">
        <f t="shared" si="38"/>
        <v>2.2000000000000002</v>
      </c>
      <c r="R132" s="123">
        <f t="shared" si="38"/>
        <v>2.2000000000000002</v>
      </c>
      <c r="S132" s="123">
        <f t="shared" si="38"/>
        <v>2.2000000000000002</v>
      </c>
      <c r="T132" s="123">
        <f t="shared" ref="T132:AF139" si="39">S132</f>
        <v>2.2000000000000002</v>
      </c>
      <c r="U132" s="123">
        <f t="shared" si="39"/>
        <v>2.2000000000000002</v>
      </c>
      <c r="V132" s="123">
        <f t="shared" si="39"/>
        <v>2.2000000000000002</v>
      </c>
      <c r="W132" s="123">
        <f t="shared" si="39"/>
        <v>2.2000000000000002</v>
      </c>
      <c r="X132" s="123">
        <f t="shared" si="39"/>
        <v>2.2000000000000002</v>
      </c>
      <c r="Y132" s="123">
        <f t="shared" si="39"/>
        <v>2.2000000000000002</v>
      </c>
      <c r="Z132" s="123">
        <f t="shared" si="39"/>
        <v>2.2000000000000002</v>
      </c>
      <c r="AA132" s="123">
        <f t="shared" si="39"/>
        <v>2.2000000000000002</v>
      </c>
      <c r="AB132" s="123">
        <f t="shared" si="39"/>
        <v>2.2000000000000002</v>
      </c>
      <c r="AC132" s="123">
        <f t="shared" si="39"/>
        <v>2.2000000000000002</v>
      </c>
      <c r="AD132" s="123">
        <f t="shared" si="39"/>
        <v>2.2000000000000002</v>
      </c>
      <c r="AE132" s="123">
        <f t="shared" si="39"/>
        <v>2.2000000000000002</v>
      </c>
      <c r="AF132" s="123">
        <f t="shared" si="39"/>
        <v>2.2000000000000002</v>
      </c>
      <c r="AG132" s="126">
        <v>5</v>
      </c>
      <c r="AH132" s="55"/>
      <c r="AI132" s="56"/>
      <c r="AK132" s="57"/>
    </row>
    <row r="133" spans="1:37" x14ac:dyDescent="0.25">
      <c r="A133" s="111" t="s">
        <v>137</v>
      </c>
      <c r="B133" s="123">
        <f t="shared" si="37"/>
        <v>2</v>
      </c>
      <c r="C133" s="124">
        <v>2</v>
      </c>
      <c r="D133" s="123">
        <f t="shared" si="38"/>
        <v>2</v>
      </c>
      <c r="E133" s="123">
        <f t="shared" si="38"/>
        <v>2</v>
      </c>
      <c r="F133" s="123">
        <f t="shared" si="38"/>
        <v>2</v>
      </c>
      <c r="G133" s="123">
        <f t="shared" si="38"/>
        <v>2</v>
      </c>
      <c r="H133" s="123">
        <f t="shared" si="38"/>
        <v>2</v>
      </c>
      <c r="I133" s="123">
        <f t="shared" si="38"/>
        <v>2</v>
      </c>
      <c r="J133" s="123">
        <f t="shared" si="38"/>
        <v>2</v>
      </c>
      <c r="K133" s="123">
        <f t="shared" si="38"/>
        <v>2</v>
      </c>
      <c r="L133" s="123">
        <f t="shared" si="38"/>
        <v>2</v>
      </c>
      <c r="M133" s="123">
        <f t="shared" si="38"/>
        <v>2</v>
      </c>
      <c r="N133" s="123">
        <f t="shared" si="38"/>
        <v>2</v>
      </c>
      <c r="O133" s="123">
        <f t="shared" si="38"/>
        <v>2</v>
      </c>
      <c r="P133" s="123">
        <f t="shared" si="38"/>
        <v>2</v>
      </c>
      <c r="Q133" s="123">
        <f t="shared" si="38"/>
        <v>2</v>
      </c>
      <c r="R133" s="123">
        <f t="shared" si="38"/>
        <v>2</v>
      </c>
      <c r="S133" s="123">
        <f t="shared" si="38"/>
        <v>2</v>
      </c>
      <c r="T133" s="123">
        <f t="shared" si="39"/>
        <v>2</v>
      </c>
      <c r="U133" s="123">
        <f t="shared" si="39"/>
        <v>2</v>
      </c>
      <c r="V133" s="123">
        <f t="shared" si="39"/>
        <v>2</v>
      </c>
      <c r="W133" s="123">
        <f t="shared" si="39"/>
        <v>2</v>
      </c>
      <c r="X133" s="123">
        <f t="shared" si="39"/>
        <v>2</v>
      </c>
      <c r="Y133" s="123">
        <f t="shared" si="39"/>
        <v>2</v>
      </c>
      <c r="Z133" s="123">
        <f t="shared" si="39"/>
        <v>2</v>
      </c>
      <c r="AA133" s="123">
        <f t="shared" si="39"/>
        <v>2</v>
      </c>
      <c r="AB133" s="123">
        <f t="shared" si="39"/>
        <v>2</v>
      </c>
      <c r="AC133" s="123">
        <f t="shared" si="39"/>
        <v>2</v>
      </c>
      <c r="AD133" s="123">
        <f t="shared" si="39"/>
        <v>2</v>
      </c>
      <c r="AE133" s="123">
        <f t="shared" si="39"/>
        <v>2</v>
      </c>
      <c r="AF133" s="123">
        <f t="shared" si="39"/>
        <v>2</v>
      </c>
      <c r="AG133" s="126">
        <v>5</v>
      </c>
      <c r="AH133" s="55"/>
      <c r="AI133" s="56"/>
      <c r="AK133" s="57"/>
    </row>
    <row r="134" spans="1:37" x14ac:dyDescent="0.25">
      <c r="A134" s="111" t="s">
        <v>138</v>
      </c>
      <c r="B134" s="123">
        <f t="shared" si="37"/>
        <v>1.25</v>
      </c>
      <c r="C134" s="124">
        <v>1.25</v>
      </c>
      <c r="D134" s="123">
        <f t="shared" si="38"/>
        <v>1.25</v>
      </c>
      <c r="E134" s="123">
        <f t="shared" si="38"/>
        <v>1.25</v>
      </c>
      <c r="F134" s="123">
        <f t="shared" si="38"/>
        <v>1.25</v>
      </c>
      <c r="G134" s="123">
        <f t="shared" si="38"/>
        <v>1.25</v>
      </c>
      <c r="H134" s="123">
        <f t="shared" si="38"/>
        <v>1.25</v>
      </c>
      <c r="I134" s="123">
        <f t="shared" si="38"/>
        <v>1.25</v>
      </c>
      <c r="J134" s="123">
        <f t="shared" si="38"/>
        <v>1.25</v>
      </c>
      <c r="K134" s="123">
        <f t="shared" si="38"/>
        <v>1.25</v>
      </c>
      <c r="L134" s="123">
        <f t="shared" si="38"/>
        <v>1.25</v>
      </c>
      <c r="M134" s="123">
        <f t="shared" si="38"/>
        <v>1.25</v>
      </c>
      <c r="N134" s="123">
        <f t="shared" si="38"/>
        <v>1.25</v>
      </c>
      <c r="O134" s="123">
        <f t="shared" si="38"/>
        <v>1.25</v>
      </c>
      <c r="P134" s="123">
        <f t="shared" si="38"/>
        <v>1.25</v>
      </c>
      <c r="Q134" s="123">
        <f t="shared" si="38"/>
        <v>1.25</v>
      </c>
      <c r="R134" s="123">
        <f t="shared" si="38"/>
        <v>1.25</v>
      </c>
      <c r="S134" s="123">
        <f t="shared" si="38"/>
        <v>1.25</v>
      </c>
      <c r="T134" s="123">
        <f t="shared" si="39"/>
        <v>1.25</v>
      </c>
      <c r="U134" s="123">
        <f t="shared" si="39"/>
        <v>1.25</v>
      </c>
      <c r="V134" s="123">
        <f t="shared" si="39"/>
        <v>1.25</v>
      </c>
      <c r="W134" s="123">
        <f t="shared" si="39"/>
        <v>1.25</v>
      </c>
      <c r="X134" s="123">
        <f t="shared" si="39"/>
        <v>1.25</v>
      </c>
      <c r="Y134" s="123">
        <f t="shared" si="39"/>
        <v>1.25</v>
      </c>
      <c r="Z134" s="123">
        <f t="shared" si="39"/>
        <v>1.25</v>
      </c>
      <c r="AA134" s="123">
        <f t="shared" si="39"/>
        <v>1.25</v>
      </c>
      <c r="AB134" s="123">
        <f t="shared" si="39"/>
        <v>1.25</v>
      </c>
      <c r="AC134" s="123">
        <f t="shared" si="39"/>
        <v>1.25</v>
      </c>
      <c r="AD134" s="123">
        <f t="shared" si="39"/>
        <v>1.25</v>
      </c>
      <c r="AE134" s="123">
        <f t="shared" si="39"/>
        <v>1.25</v>
      </c>
      <c r="AF134" s="123">
        <f t="shared" si="39"/>
        <v>1.25</v>
      </c>
      <c r="AG134" s="126">
        <v>5</v>
      </c>
      <c r="AH134" s="55"/>
      <c r="AI134" s="56"/>
      <c r="AK134" s="57"/>
    </row>
    <row r="135" spans="1:37" x14ac:dyDescent="0.25">
      <c r="A135" s="111" t="s">
        <v>139</v>
      </c>
      <c r="B135" s="123">
        <f t="shared" si="37"/>
        <v>1.1499999999999999</v>
      </c>
      <c r="C135" s="124">
        <v>1.1499999999999999</v>
      </c>
      <c r="D135" s="123">
        <f t="shared" si="38"/>
        <v>1.1499999999999999</v>
      </c>
      <c r="E135" s="123">
        <f t="shared" si="38"/>
        <v>1.1499999999999999</v>
      </c>
      <c r="F135" s="123">
        <f t="shared" si="38"/>
        <v>1.1499999999999999</v>
      </c>
      <c r="G135" s="123">
        <f t="shared" si="38"/>
        <v>1.1499999999999999</v>
      </c>
      <c r="H135" s="123">
        <f t="shared" si="38"/>
        <v>1.1499999999999999</v>
      </c>
      <c r="I135" s="123">
        <f t="shared" si="38"/>
        <v>1.1499999999999999</v>
      </c>
      <c r="J135" s="123">
        <f t="shared" si="38"/>
        <v>1.1499999999999999</v>
      </c>
      <c r="K135" s="123">
        <f t="shared" si="38"/>
        <v>1.1499999999999999</v>
      </c>
      <c r="L135" s="123">
        <f t="shared" si="38"/>
        <v>1.1499999999999999</v>
      </c>
      <c r="M135" s="123">
        <f t="shared" si="38"/>
        <v>1.1499999999999999</v>
      </c>
      <c r="N135" s="123">
        <f t="shared" si="38"/>
        <v>1.1499999999999999</v>
      </c>
      <c r="O135" s="123">
        <f t="shared" si="38"/>
        <v>1.1499999999999999</v>
      </c>
      <c r="P135" s="123">
        <f t="shared" si="38"/>
        <v>1.1499999999999999</v>
      </c>
      <c r="Q135" s="123">
        <f t="shared" si="38"/>
        <v>1.1499999999999999</v>
      </c>
      <c r="R135" s="123">
        <f t="shared" si="38"/>
        <v>1.1499999999999999</v>
      </c>
      <c r="S135" s="123">
        <f t="shared" si="38"/>
        <v>1.1499999999999999</v>
      </c>
      <c r="T135" s="123">
        <f t="shared" si="39"/>
        <v>1.1499999999999999</v>
      </c>
      <c r="U135" s="123">
        <f t="shared" si="39"/>
        <v>1.1499999999999999</v>
      </c>
      <c r="V135" s="123">
        <f t="shared" si="39"/>
        <v>1.1499999999999999</v>
      </c>
      <c r="W135" s="123">
        <f t="shared" si="39"/>
        <v>1.1499999999999999</v>
      </c>
      <c r="X135" s="123">
        <f t="shared" si="39"/>
        <v>1.1499999999999999</v>
      </c>
      <c r="Y135" s="123">
        <f t="shared" si="39"/>
        <v>1.1499999999999999</v>
      </c>
      <c r="Z135" s="123">
        <f t="shared" si="39"/>
        <v>1.1499999999999999</v>
      </c>
      <c r="AA135" s="123">
        <f t="shared" si="39"/>
        <v>1.1499999999999999</v>
      </c>
      <c r="AB135" s="123">
        <f t="shared" si="39"/>
        <v>1.1499999999999999</v>
      </c>
      <c r="AC135" s="123">
        <f t="shared" si="39"/>
        <v>1.1499999999999999</v>
      </c>
      <c r="AD135" s="123">
        <f t="shared" si="39"/>
        <v>1.1499999999999999</v>
      </c>
      <c r="AE135" s="123">
        <f t="shared" si="39"/>
        <v>1.1499999999999999</v>
      </c>
      <c r="AF135" s="123">
        <f t="shared" si="39"/>
        <v>1.1499999999999999</v>
      </c>
      <c r="AG135" s="126">
        <v>5</v>
      </c>
      <c r="AH135" s="55"/>
      <c r="AI135" s="56"/>
      <c r="AK135" s="57"/>
    </row>
    <row r="136" spans="1:37" x14ac:dyDescent="0.25">
      <c r="A136" s="111" t="s">
        <v>140</v>
      </c>
      <c r="B136" s="123">
        <f t="shared" si="37"/>
        <v>2.133</v>
      </c>
      <c r="C136" s="124">
        <v>2.133</v>
      </c>
      <c r="D136" s="123">
        <f t="shared" si="38"/>
        <v>2.133</v>
      </c>
      <c r="E136" s="123">
        <f t="shared" si="38"/>
        <v>2.133</v>
      </c>
      <c r="F136" s="123">
        <f t="shared" si="38"/>
        <v>2.133</v>
      </c>
      <c r="G136" s="123">
        <f t="shared" si="38"/>
        <v>2.133</v>
      </c>
      <c r="H136" s="123">
        <f t="shared" si="38"/>
        <v>2.133</v>
      </c>
      <c r="I136" s="123">
        <f t="shared" si="38"/>
        <v>2.133</v>
      </c>
      <c r="J136" s="123">
        <f t="shared" si="38"/>
        <v>2.133</v>
      </c>
      <c r="K136" s="123">
        <f t="shared" si="38"/>
        <v>2.133</v>
      </c>
      <c r="L136" s="123">
        <f t="shared" si="38"/>
        <v>2.133</v>
      </c>
      <c r="M136" s="123">
        <f t="shared" si="38"/>
        <v>2.133</v>
      </c>
      <c r="N136" s="123">
        <f t="shared" si="38"/>
        <v>2.133</v>
      </c>
      <c r="O136" s="123">
        <f t="shared" si="38"/>
        <v>2.133</v>
      </c>
      <c r="P136" s="123">
        <f t="shared" si="38"/>
        <v>2.133</v>
      </c>
      <c r="Q136" s="123">
        <f t="shared" si="38"/>
        <v>2.133</v>
      </c>
      <c r="R136" s="123">
        <f t="shared" si="38"/>
        <v>2.133</v>
      </c>
      <c r="S136" s="123">
        <f t="shared" si="38"/>
        <v>2.133</v>
      </c>
      <c r="T136" s="123">
        <f t="shared" si="39"/>
        <v>2.133</v>
      </c>
      <c r="U136" s="123">
        <f t="shared" si="39"/>
        <v>2.133</v>
      </c>
      <c r="V136" s="123">
        <f t="shared" si="39"/>
        <v>2.133</v>
      </c>
      <c r="W136" s="123">
        <f t="shared" si="39"/>
        <v>2.133</v>
      </c>
      <c r="X136" s="123">
        <f t="shared" si="39"/>
        <v>2.133</v>
      </c>
      <c r="Y136" s="123">
        <f t="shared" si="39"/>
        <v>2.133</v>
      </c>
      <c r="Z136" s="123">
        <f t="shared" si="39"/>
        <v>2.133</v>
      </c>
      <c r="AA136" s="123">
        <f t="shared" si="39"/>
        <v>2.133</v>
      </c>
      <c r="AB136" s="123">
        <f t="shared" si="39"/>
        <v>2.133</v>
      </c>
      <c r="AC136" s="123">
        <f t="shared" si="39"/>
        <v>2.133</v>
      </c>
      <c r="AD136" s="123">
        <f t="shared" si="39"/>
        <v>2.133</v>
      </c>
      <c r="AE136" s="123">
        <f t="shared" si="39"/>
        <v>2.133</v>
      </c>
      <c r="AF136" s="123">
        <f t="shared" si="39"/>
        <v>2.133</v>
      </c>
      <c r="AG136" s="126">
        <v>4.9930000000000003</v>
      </c>
      <c r="AH136" s="55"/>
      <c r="AI136" s="56"/>
      <c r="AK136" s="57"/>
    </row>
    <row r="137" spans="1:37" x14ac:dyDescent="0.25">
      <c r="A137" s="111" t="s">
        <v>141</v>
      </c>
      <c r="B137" s="123">
        <f t="shared" si="37"/>
        <v>2.09</v>
      </c>
      <c r="C137" s="124">
        <v>2.09</v>
      </c>
      <c r="D137" s="123">
        <f t="shared" si="38"/>
        <v>2.09</v>
      </c>
      <c r="E137" s="123">
        <f t="shared" si="38"/>
        <v>2.09</v>
      </c>
      <c r="F137" s="123">
        <f t="shared" si="38"/>
        <v>2.09</v>
      </c>
      <c r="G137" s="123">
        <f t="shared" si="38"/>
        <v>2.09</v>
      </c>
      <c r="H137" s="123">
        <f t="shared" si="38"/>
        <v>2.09</v>
      </c>
      <c r="I137" s="123">
        <f t="shared" si="38"/>
        <v>2.09</v>
      </c>
      <c r="J137" s="123">
        <f t="shared" si="38"/>
        <v>2.09</v>
      </c>
      <c r="K137" s="123">
        <f t="shared" si="38"/>
        <v>2.09</v>
      </c>
      <c r="L137" s="123">
        <f t="shared" si="38"/>
        <v>2.09</v>
      </c>
      <c r="M137" s="123">
        <f t="shared" si="38"/>
        <v>2.09</v>
      </c>
      <c r="N137" s="123">
        <f t="shared" si="38"/>
        <v>2.09</v>
      </c>
      <c r="O137" s="123">
        <f t="shared" si="38"/>
        <v>2.09</v>
      </c>
      <c r="P137" s="123">
        <f t="shared" si="38"/>
        <v>2.09</v>
      </c>
      <c r="Q137" s="123">
        <f t="shared" si="38"/>
        <v>2.09</v>
      </c>
      <c r="R137" s="123">
        <f t="shared" si="38"/>
        <v>2.09</v>
      </c>
      <c r="S137" s="123">
        <f t="shared" si="38"/>
        <v>2.09</v>
      </c>
      <c r="T137" s="123">
        <f t="shared" si="39"/>
        <v>2.09</v>
      </c>
      <c r="U137" s="123">
        <f t="shared" si="39"/>
        <v>2.09</v>
      </c>
      <c r="V137" s="123">
        <f t="shared" si="39"/>
        <v>2.09</v>
      </c>
      <c r="W137" s="123">
        <f t="shared" si="39"/>
        <v>2.09</v>
      </c>
      <c r="X137" s="123">
        <f t="shared" si="39"/>
        <v>2.09</v>
      </c>
      <c r="Y137" s="123">
        <f t="shared" si="39"/>
        <v>2.09</v>
      </c>
      <c r="Z137" s="123">
        <f t="shared" si="39"/>
        <v>2.09</v>
      </c>
      <c r="AA137" s="123">
        <f t="shared" si="39"/>
        <v>2.09</v>
      </c>
      <c r="AB137" s="123">
        <f t="shared" si="39"/>
        <v>2.09</v>
      </c>
      <c r="AC137" s="123">
        <f t="shared" si="39"/>
        <v>2.09</v>
      </c>
      <c r="AD137" s="123">
        <f t="shared" si="39"/>
        <v>2.09</v>
      </c>
      <c r="AE137" s="123">
        <f t="shared" si="39"/>
        <v>2.09</v>
      </c>
      <c r="AF137" s="123">
        <f t="shared" si="39"/>
        <v>2.09</v>
      </c>
      <c r="AG137" s="126">
        <v>4.9800000000000004</v>
      </c>
      <c r="AH137" s="55"/>
      <c r="AI137" s="56"/>
      <c r="AK137" s="57"/>
    </row>
    <row r="138" spans="1:37" x14ac:dyDescent="0.25">
      <c r="A138" s="111" t="s">
        <v>142</v>
      </c>
      <c r="B138" s="123">
        <f t="shared" si="37"/>
        <v>1.1399999999999999</v>
      </c>
      <c r="C138" s="124">
        <v>1.1399999999999999</v>
      </c>
      <c r="D138" s="123">
        <f t="shared" si="38"/>
        <v>1.1399999999999999</v>
      </c>
      <c r="E138" s="123">
        <f t="shared" si="38"/>
        <v>1.1399999999999999</v>
      </c>
      <c r="F138" s="123">
        <f t="shared" si="38"/>
        <v>1.1399999999999999</v>
      </c>
      <c r="G138" s="123">
        <f t="shared" si="38"/>
        <v>1.1399999999999999</v>
      </c>
      <c r="H138" s="123">
        <f t="shared" si="38"/>
        <v>1.1399999999999999</v>
      </c>
      <c r="I138" s="123">
        <f t="shared" si="38"/>
        <v>1.1399999999999999</v>
      </c>
      <c r="J138" s="123">
        <f t="shared" si="38"/>
        <v>1.1399999999999999</v>
      </c>
      <c r="K138" s="123">
        <f t="shared" si="38"/>
        <v>1.1399999999999999</v>
      </c>
      <c r="L138" s="123">
        <f t="shared" si="38"/>
        <v>1.1399999999999999</v>
      </c>
      <c r="M138" s="123">
        <f t="shared" si="38"/>
        <v>1.1399999999999999</v>
      </c>
      <c r="N138" s="123">
        <f t="shared" si="38"/>
        <v>1.1399999999999999</v>
      </c>
      <c r="O138" s="123">
        <f t="shared" si="38"/>
        <v>1.1399999999999999</v>
      </c>
      <c r="P138" s="123">
        <f t="shared" si="38"/>
        <v>1.1399999999999999</v>
      </c>
      <c r="Q138" s="123">
        <f t="shared" si="38"/>
        <v>1.1399999999999999</v>
      </c>
      <c r="R138" s="123">
        <f t="shared" si="38"/>
        <v>1.1399999999999999</v>
      </c>
      <c r="S138" s="123">
        <f t="shared" si="38"/>
        <v>1.1399999999999999</v>
      </c>
      <c r="T138" s="123">
        <f t="shared" si="39"/>
        <v>1.1399999999999999</v>
      </c>
      <c r="U138" s="123">
        <f t="shared" si="39"/>
        <v>1.1399999999999999</v>
      </c>
      <c r="V138" s="123">
        <f t="shared" si="39"/>
        <v>1.1399999999999999</v>
      </c>
      <c r="W138" s="123">
        <f t="shared" si="39"/>
        <v>1.1399999999999999</v>
      </c>
      <c r="X138" s="123">
        <f t="shared" si="39"/>
        <v>1.1399999999999999</v>
      </c>
      <c r="Y138" s="123">
        <f t="shared" si="39"/>
        <v>1.1399999999999999</v>
      </c>
      <c r="Z138" s="123">
        <f t="shared" si="39"/>
        <v>1.1399999999999999</v>
      </c>
      <c r="AA138" s="123">
        <f t="shared" si="39"/>
        <v>1.1399999999999999</v>
      </c>
      <c r="AB138" s="123">
        <f t="shared" si="39"/>
        <v>1.1399999999999999</v>
      </c>
      <c r="AC138" s="123">
        <f t="shared" si="39"/>
        <v>1.1399999999999999</v>
      </c>
      <c r="AD138" s="123">
        <f t="shared" si="39"/>
        <v>1.1399999999999999</v>
      </c>
      <c r="AE138" s="123">
        <f t="shared" si="39"/>
        <v>1.1399999999999999</v>
      </c>
      <c r="AF138" s="123">
        <f t="shared" si="39"/>
        <v>1.1399999999999999</v>
      </c>
      <c r="AG138" s="126">
        <v>4.95</v>
      </c>
      <c r="AH138" s="55"/>
      <c r="AI138" s="56"/>
      <c r="AK138" s="57"/>
    </row>
    <row r="139" spans="1:37" x14ac:dyDescent="0.25">
      <c r="A139" s="111" t="s">
        <v>143</v>
      </c>
      <c r="B139" s="123">
        <f t="shared" si="37"/>
        <v>0.82</v>
      </c>
      <c r="C139" s="124">
        <v>0.82</v>
      </c>
      <c r="D139" s="123">
        <f t="shared" si="38"/>
        <v>0.82</v>
      </c>
      <c r="E139" s="123">
        <f t="shared" si="38"/>
        <v>0.82</v>
      </c>
      <c r="F139" s="123">
        <f t="shared" si="38"/>
        <v>0.82</v>
      </c>
      <c r="G139" s="123">
        <f t="shared" si="38"/>
        <v>0.82</v>
      </c>
      <c r="H139" s="123">
        <f t="shared" si="38"/>
        <v>0.82</v>
      </c>
      <c r="I139" s="123">
        <f t="shared" si="38"/>
        <v>0.82</v>
      </c>
      <c r="J139" s="123">
        <f t="shared" si="38"/>
        <v>0.82</v>
      </c>
      <c r="K139" s="123">
        <f t="shared" si="38"/>
        <v>0.82</v>
      </c>
      <c r="L139" s="123">
        <f t="shared" si="38"/>
        <v>0.82</v>
      </c>
      <c r="M139" s="123">
        <f t="shared" si="38"/>
        <v>0.82</v>
      </c>
      <c r="N139" s="123">
        <f t="shared" si="38"/>
        <v>0.82</v>
      </c>
      <c r="O139" s="123">
        <f t="shared" si="38"/>
        <v>0.82</v>
      </c>
      <c r="P139" s="123">
        <f t="shared" si="38"/>
        <v>0.82</v>
      </c>
      <c r="Q139" s="123">
        <f t="shared" si="38"/>
        <v>0.82</v>
      </c>
      <c r="R139" s="123">
        <f t="shared" si="38"/>
        <v>0.82</v>
      </c>
      <c r="S139" s="123">
        <f t="shared" si="38"/>
        <v>0.82</v>
      </c>
      <c r="T139" s="123">
        <f t="shared" si="39"/>
        <v>0.82</v>
      </c>
      <c r="U139" s="123">
        <f t="shared" si="39"/>
        <v>0.82</v>
      </c>
      <c r="V139" s="123">
        <f t="shared" si="39"/>
        <v>0.82</v>
      </c>
      <c r="W139" s="123">
        <f t="shared" si="39"/>
        <v>0.82</v>
      </c>
      <c r="X139" s="123">
        <f t="shared" si="39"/>
        <v>0.82</v>
      </c>
      <c r="Y139" s="123">
        <f t="shared" si="39"/>
        <v>0.82</v>
      </c>
      <c r="Z139" s="123">
        <f t="shared" si="39"/>
        <v>0.82</v>
      </c>
      <c r="AA139" s="123">
        <f t="shared" si="39"/>
        <v>0.82</v>
      </c>
      <c r="AB139" s="123">
        <f t="shared" si="39"/>
        <v>0.82</v>
      </c>
      <c r="AC139" s="123">
        <f t="shared" si="39"/>
        <v>0.82</v>
      </c>
      <c r="AD139" s="123">
        <f t="shared" si="39"/>
        <v>0.82</v>
      </c>
      <c r="AE139" s="123">
        <f t="shared" si="39"/>
        <v>0.82</v>
      </c>
      <c r="AF139" s="123">
        <f t="shared" si="39"/>
        <v>0.82</v>
      </c>
      <c r="AG139" s="126">
        <v>4.95</v>
      </c>
      <c r="AH139" s="55"/>
      <c r="AI139" s="56"/>
      <c r="AK139" s="57"/>
    </row>
    <row r="140" spans="1:37" x14ac:dyDescent="0.25">
      <c r="A140" s="111" t="s">
        <v>144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5"/>
      <c r="AI140" s="56"/>
      <c r="AK140" s="57"/>
    </row>
    <row r="141" spans="1:37" x14ac:dyDescent="0.25">
      <c r="A141" s="111" t="s">
        <v>145</v>
      </c>
      <c r="B141" s="123">
        <f t="shared" ref="B141:B147" si="40">AF141</f>
        <v>2</v>
      </c>
      <c r="C141" s="124">
        <v>2</v>
      </c>
      <c r="D141" s="123">
        <f t="shared" ref="D141:S147" si="41">C141</f>
        <v>2</v>
      </c>
      <c r="E141" s="123">
        <f t="shared" si="41"/>
        <v>2</v>
      </c>
      <c r="F141" s="123">
        <f t="shared" si="41"/>
        <v>2</v>
      </c>
      <c r="G141" s="123">
        <f t="shared" si="41"/>
        <v>2</v>
      </c>
      <c r="H141" s="123">
        <f t="shared" si="41"/>
        <v>2</v>
      </c>
      <c r="I141" s="123">
        <f t="shared" si="41"/>
        <v>2</v>
      </c>
      <c r="J141" s="123">
        <f t="shared" si="41"/>
        <v>2</v>
      </c>
      <c r="K141" s="123">
        <f t="shared" si="41"/>
        <v>2</v>
      </c>
      <c r="L141" s="123">
        <f t="shared" si="41"/>
        <v>2</v>
      </c>
      <c r="M141" s="123">
        <f t="shared" si="41"/>
        <v>2</v>
      </c>
      <c r="N141" s="123">
        <f t="shared" si="41"/>
        <v>2</v>
      </c>
      <c r="O141" s="123">
        <f t="shared" si="41"/>
        <v>2</v>
      </c>
      <c r="P141" s="123">
        <f t="shared" si="41"/>
        <v>2</v>
      </c>
      <c r="Q141" s="123">
        <f t="shared" si="41"/>
        <v>2</v>
      </c>
      <c r="R141" s="123">
        <f t="shared" si="41"/>
        <v>2</v>
      </c>
      <c r="S141" s="123">
        <f t="shared" si="41"/>
        <v>2</v>
      </c>
      <c r="T141" s="123">
        <f t="shared" ref="T141:AF147" si="42">S141</f>
        <v>2</v>
      </c>
      <c r="U141" s="123">
        <f t="shared" si="42"/>
        <v>2</v>
      </c>
      <c r="V141" s="123">
        <f t="shared" si="42"/>
        <v>2</v>
      </c>
      <c r="W141" s="123">
        <f t="shared" si="42"/>
        <v>2</v>
      </c>
      <c r="X141" s="123">
        <f t="shared" si="42"/>
        <v>2</v>
      </c>
      <c r="Y141" s="123">
        <f t="shared" si="42"/>
        <v>2</v>
      </c>
      <c r="Z141" s="123">
        <f t="shared" si="42"/>
        <v>2</v>
      </c>
      <c r="AA141" s="123">
        <f t="shared" si="42"/>
        <v>2</v>
      </c>
      <c r="AB141" s="123">
        <f t="shared" si="42"/>
        <v>2</v>
      </c>
      <c r="AC141" s="123">
        <f t="shared" si="42"/>
        <v>2</v>
      </c>
      <c r="AD141" s="123">
        <f t="shared" si="42"/>
        <v>2</v>
      </c>
      <c r="AE141" s="123">
        <f t="shared" si="42"/>
        <v>2</v>
      </c>
      <c r="AF141" s="123">
        <f t="shared" si="42"/>
        <v>2</v>
      </c>
      <c r="AG141" s="126">
        <v>4.8</v>
      </c>
      <c r="AH141" s="55"/>
      <c r="AI141" s="56"/>
      <c r="AK141" s="57"/>
    </row>
    <row r="142" spans="1:37" x14ac:dyDescent="0.25">
      <c r="A142" s="111" t="s">
        <v>146</v>
      </c>
      <c r="B142" s="123">
        <f t="shared" si="40"/>
        <v>5.61</v>
      </c>
      <c r="C142" s="124">
        <v>5.61</v>
      </c>
      <c r="D142" s="123">
        <f t="shared" si="41"/>
        <v>5.61</v>
      </c>
      <c r="E142" s="123">
        <f t="shared" si="41"/>
        <v>5.61</v>
      </c>
      <c r="F142" s="123">
        <f t="shared" si="41"/>
        <v>5.61</v>
      </c>
      <c r="G142" s="123">
        <f t="shared" si="41"/>
        <v>5.61</v>
      </c>
      <c r="H142" s="123">
        <f t="shared" si="41"/>
        <v>5.61</v>
      </c>
      <c r="I142" s="123">
        <f t="shared" si="41"/>
        <v>5.61</v>
      </c>
      <c r="J142" s="123">
        <f t="shared" si="41"/>
        <v>5.61</v>
      </c>
      <c r="K142" s="123">
        <f t="shared" si="41"/>
        <v>5.61</v>
      </c>
      <c r="L142" s="123">
        <f t="shared" si="41"/>
        <v>5.61</v>
      </c>
      <c r="M142" s="123">
        <f t="shared" si="41"/>
        <v>5.61</v>
      </c>
      <c r="N142" s="123">
        <f t="shared" si="41"/>
        <v>5.61</v>
      </c>
      <c r="O142" s="123">
        <f t="shared" si="41"/>
        <v>5.61</v>
      </c>
      <c r="P142" s="123">
        <f t="shared" si="41"/>
        <v>5.61</v>
      </c>
      <c r="Q142" s="123">
        <f t="shared" si="41"/>
        <v>5.61</v>
      </c>
      <c r="R142" s="123">
        <f t="shared" si="41"/>
        <v>5.61</v>
      </c>
      <c r="S142" s="123">
        <f t="shared" si="41"/>
        <v>5.61</v>
      </c>
      <c r="T142" s="123">
        <f t="shared" si="42"/>
        <v>5.61</v>
      </c>
      <c r="U142" s="123">
        <f t="shared" si="42"/>
        <v>5.61</v>
      </c>
      <c r="V142" s="123">
        <f t="shared" si="42"/>
        <v>5.61</v>
      </c>
      <c r="W142" s="123">
        <f t="shared" si="42"/>
        <v>5.61</v>
      </c>
      <c r="X142" s="123">
        <f t="shared" si="42"/>
        <v>5.61</v>
      </c>
      <c r="Y142" s="123">
        <f t="shared" si="42"/>
        <v>5.61</v>
      </c>
      <c r="Z142" s="123">
        <f t="shared" si="42"/>
        <v>5.61</v>
      </c>
      <c r="AA142" s="123">
        <f t="shared" si="42"/>
        <v>5.61</v>
      </c>
      <c r="AB142" s="123">
        <f t="shared" si="42"/>
        <v>5.61</v>
      </c>
      <c r="AC142" s="123">
        <f t="shared" si="42"/>
        <v>5.61</v>
      </c>
      <c r="AD142" s="123">
        <f t="shared" si="42"/>
        <v>5.61</v>
      </c>
      <c r="AE142" s="123">
        <f t="shared" si="42"/>
        <v>5.61</v>
      </c>
      <c r="AF142" s="123">
        <f t="shared" si="42"/>
        <v>5.61</v>
      </c>
      <c r="AG142" s="126">
        <v>4.8</v>
      </c>
      <c r="AH142" s="55"/>
      <c r="AI142" s="56"/>
      <c r="AK142" s="57"/>
    </row>
    <row r="143" spans="1:37" x14ac:dyDescent="0.25">
      <c r="A143" s="111" t="s">
        <v>147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148</v>
      </c>
      <c r="B144" s="123">
        <f t="shared" si="40"/>
        <v>1.25</v>
      </c>
      <c r="C144" s="124">
        <v>1.25</v>
      </c>
      <c r="D144" s="123">
        <f t="shared" si="41"/>
        <v>1.25</v>
      </c>
      <c r="E144" s="123">
        <f t="shared" si="41"/>
        <v>1.25</v>
      </c>
      <c r="F144" s="123">
        <f t="shared" si="41"/>
        <v>1.25</v>
      </c>
      <c r="G144" s="123">
        <f t="shared" si="41"/>
        <v>1.25</v>
      </c>
      <c r="H144" s="123">
        <f t="shared" si="41"/>
        <v>1.25</v>
      </c>
      <c r="I144" s="123">
        <f t="shared" si="41"/>
        <v>1.25</v>
      </c>
      <c r="J144" s="123">
        <f t="shared" si="41"/>
        <v>1.25</v>
      </c>
      <c r="K144" s="123">
        <f t="shared" si="41"/>
        <v>1.25</v>
      </c>
      <c r="L144" s="123">
        <f t="shared" si="41"/>
        <v>1.25</v>
      </c>
      <c r="M144" s="123">
        <f t="shared" si="41"/>
        <v>1.25</v>
      </c>
      <c r="N144" s="123">
        <f t="shared" si="41"/>
        <v>1.25</v>
      </c>
      <c r="O144" s="123">
        <f t="shared" si="41"/>
        <v>1.25</v>
      </c>
      <c r="P144" s="123">
        <f t="shared" si="41"/>
        <v>1.25</v>
      </c>
      <c r="Q144" s="123">
        <f t="shared" si="41"/>
        <v>1.25</v>
      </c>
      <c r="R144" s="123">
        <f t="shared" si="41"/>
        <v>1.25</v>
      </c>
      <c r="S144" s="123">
        <f t="shared" si="41"/>
        <v>1.25</v>
      </c>
      <c r="T144" s="123">
        <f t="shared" si="42"/>
        <v>1.25</v>
      </c>
      <c r="U144" s="123">
        <f t="shared" si="42"/>
        <v>1.25</v>
      </c>
      <c r="V144" s="123">
        <f t="shared" si="42"/>
        <v>1.25</v>
      </c>
      <c r="W144" s="123">
        <f t="shared" si="42"/>
        <v>1.25</v>
      </c>
      <c r="X144" s="123">
        <f t="shared" si="42"/>
        <v>1.25</v>
      </c>
      <c r="Y144" s="123">
        <f t="shared" si="42"/>
        <v>1.25</v>
      </c>
      <c r="Z144" s="123">
        <f t="shared" si="42"/>
        <v>1.25</v>
      </c>
      <c r="AA144" s="123">
        <f t="shared" si="42"/>
        <v>1.25</v>
      </c>
      <c r="AB144" s="123">
        <f t="shared" si="42"/>
        <v>1.25</v>
      </c>
      <c r="AC144" s="123">
        <f t="shared" si="42"/>
        <v>1.25</v>
      </c>
      <c r="AD144" s="123">
        <f t="shared" si="42"/>
        <v>1.25</v>
      </c>
      <c r="AE144" s="123">
        <f t="shared" si="42"/>
        <v>1.25</v>
      </c>
      <c r="AF144" s="123">
        <f t="shared" si="42"/>
        <v>1.25</v>
      </c>
      <c r="AG144" s="126">
        <v>4.5</v>
      </c>
      <c r="AH144" s="55"/>
      <c r="AI144" s="56"/>
      <c r="AK144" s="57"/>
    </row>
    <row r="145" spans="1:37" x14ac:dyDescent="0.25">
      <c r="A145" s="111" t="s">
        <v>149</v>
      </c>
      <c r="B145" s="123">
        <f t="shared" si="40"/>
        <v>1.46</v>
      </c>
      <c r="C145" s="124">
        <v>1.46</v>
      </c>
      <c r="D145" s="123">
        <f t="shared" si="41"/>
        <v>1.46</v>
      </c>
      <c r="E145" s="123">
        <f t="shared" si="41"/>
        <v>1.46</v>
      </c>
      <c r="F145" s="123">
        <f t="shared" si="41"/>
        <v>1.46</v>
      </c>
      <c r="G145" s="123">
        <f t="shared" si="41"/>
        <v>1.46</v>
      </c>
      <c r="H145" s="123">
        <f t="shared" si="41"/>
        <v>1.46</v>
      </c>
      <c r="I145" s="123">
        <f t="shared" si="41"/>
        <v>1.46</v>
      </c>
      <c r="J145" s="123">
        <f t="shared" si="41"/>
        <v>1.46</v>
      </c>
      <c r="K145" s="123">
        <f t="shared" si="41"/>
        <v>1.46</v>
      </c>
      <c r="L145" s="123">
        <f t="shared" si="41"/>
        <v>1.46</v>
      </c>
      <c r="M145" s="123">
        <f t="shared" si="41"/>
        <v>1.46</v>
      </c>
      <c r="N145" s="123">
        <f t="shared" si="41"/>
        <v>1.46</v>
      </c>
      <c r="O145" s="123">
        <f t="shared" si="41"/>
        <v>1.46</v>
      </c>
      <c r="P145" s="123">
        <f t="shared" si="41"/>
        <v>1.46</v>
      </c>
      <c r="Q145" s="123">
        <f t="shared" si="41"/>
        <v>1.46</v>
      </c>
      <c r="R145" s="123">
        <f t="shared" si="41"/>
        <v>1.46</v>
      </c>
      <c r="S145" s="123">
        <f t="shared" si="41"/>
        <v>1.46</v>
      </c>
      <c r="T145" s="123">
        <f t="shared" si="42"/>
        <v>1.46</v>
      </c>
      <c r="U145" s="123">
        <f t="shared" si="42"/>
        <v>1.46</v>
      </c>
      <c r="V145" s="123">
        <f t="shared" si="42"/>
        <v>1.46</v>
      </c>
      <c r="W145" s="123">
        <f t="shared" si="42"/>
        <v>1.46</v>
      </c>
      <c r="X145" s="123">
        <f t="shared" si="42"/>
        <v>1.46</v>
      </c>
      <c r="Y145" s="123">
        <f t="shared" si="42"/>
        <v>1.46</v>
      </c>
      <c r="Z145" s="123">
        <f t="shared" si="42"/>
        <v>1.46</v>
      </c>
      <c r="AA145" s="123">
        <f t="shared" si="42"/>
        <v>1.46</v>
      </c>
      <c r="AB145" s="123">
        <f t="shared" si="42"/>
        <v>1.46</v>
      </c>
      <c r="AC145" s="123">
        <f t="shared" si="42"/>
        <v>1.46</v>
      </c>
      <c r="AD145" s="123">
        <f t="shared" si="42"/>
        <v>1.46</v>
      </c>
      <c r="AE145" s="123">
        <f t="shared" si="42"/>
        <v>1.46</v>
      </c>
      <c r="AF145" s="123">
        <f t="shared" si="42"/>
        <v>1.46</v>
      </c>
      <c r="AG145" s="126">
        <v>4.4550000000000001</v>
      </c>
      <c r="AH145" s="55"/>
      <c r="AI145" s="56"/>
      <c r="AK145" s="57"/>
    </row>
    <row r="146" spans="1:37" x14ac:dyDescent="0.25">
      <c r="A146" s="111" t="s">
        <v>150</v>
      </c>
      <c r="B146" s="123">
        <f t="shared" si="40"/>
        <v>3</v>
      </c>
      <c r="C146" s="124">
        <v>3</v>
      </c>
      <c r="D146" s="123">
        <f t="shared" si="41"/>
        <v>3</v>
      </c>
      <c r="E146" s="123">
        <f t="shared" si="41"/>
        <v>3</v>
      </c>
      <c r="F146" s="123">
        <f t="shared" si="41"/>
        <v>3</v>
      </c>
      <c r="G146" s="123">
        <f t="shared" si="41"/>
        <v>3</v>
      </c>
      <c r="H146" s="123">
        <f t="shared" si="41"/>
        <v>3</v>
      </c>
      <c r="I146" s="123">
        <f t="shared" si="41"/>
        <v>3</v>
      </c>
      <c r="J146" s="123">
        <f t="shared" si="41"/>
        <v>3</v>
      </c>
      <c r="K146" s="123">
        <f t="shared" si="41"/>
        <v>3</v>
      </c>
      <c r="L146" s="123">
        <f t="shared" si="41"/>
        <v>3</v>
      </c>
      <c r="M146" s="123">
        <f t="shared" si="41"/>
        <v>3</v>
      </c>
      <c r="N146" s="123">
        <f t="shared" si="41"/>
        <v>3</v>
      </c>
      <c r="O146" s="123">
        <f t="shared" si="41"/>
        <v>3</v>
      </c>
      <c r="P146" s="123">
        <f t="shared" si="41"/>
        <v>3</v>
      </c>
      <c r="Q146" s="123">
        <f t="shared" si="41"/>
        <v>3</v>
      </c>
      <c r="R146" s="123">
        <f t="shared" si="41"/>
        <v>3</v>
      </c>
      <c r="S146" s="123">
        <f t="shared" si="41"/>
        <v>3</v>
      </c>
      <c r="T146" s="123">
        <f t="shared" si="42"/>
        <v>3</v>
      </c>
      <c r="U146" s="123">
        <f t="shared" si="42"/>
        <v>3</v>
      </c>
      <c r="V146" s="123">
        <f t="shared" si="42"/>
        <v>3</v>
      </c>
      <c r="W146" s="123">
        <f t="shared" si="42"/>
        <v>3</v>
      </c>
      <c r="X146" s="123">
        <f t="shared" si="42"/>
        <v>3</v>
      </c>
      <c r="Y146" s="123">
        <f t="shared" si="42"/>
        <v>3</v>
      </c>
      <c r="Z146" s="123">
        <f t="shared" si="42"/>
        <v>3</v>
      </c>
      <c r="AA146" s="123">
        <f t="shared" si="42"/>
        <v>3</v>
      </c>
      <c r="AB146" s="123">
        <f t="shared" si="42"/>
        <v>3</v>
      </c>
      <c r="AC146" s="123">
        <f t="shared" si="42"/>
        <v>3</v>
      </c>
      <c r="AD146" s="123">
        <f t="shared" si="42"/>
        <v>3</v>
      </c>
      <c r="AE146" s="123">
        <f t="shared" si="42"/>
        <v>3</v>
      </c>
      <c r="AF146" s="123">
        <f t="shared" si="42"/>
        <v>3</v>
      </c>
      <c r="AG146" s="126">
        <v>4.41</v>
      </c>
      <c r="AH146" s="55"/>
      <c r="AI146" s="56"/>
      <c r="AK146" s="57"/>
    </row>
    <row r="147" spans="1:37" x14ac:dyDescent="0.25">
      <c r="A147" s="111" t="s">
        <v>151</v>
      </c>
      <c r="B147" s="123">
        <f t="shared" si="40"/>
        <v>3.3</v>
      </c>
      <c r="C147" s="124">
        <v>3.3</v>
      </c>
      <c r="D147" s="123">
        <f t="shared" si="41"/>
        <v>3.3</v>
      </c>
      <c r="E147" s="123">
        <f t="shared" si="41"/>
        <v>3.3</v>
      </c>
      <c r="F147" s="123">
        <f t="shared" si="41"/>
        <v>3.3</v>
      </c>
      <c r="G147" s="123">
        <f t="shared" si="41"/>
        <v>3.3</v>
      </c>
      <c r="H147" s="123">
        <f t="shared" si="41"/>
        <v>3.3</v>
      </c>
      <c r="I147" s="123">
        <f t="shared" si="41"/>
        <v>3.3</v>
      </c>
      <c r="J147" s="123">
        <f t="shared" si="41"/>
        <v>3.3</v>
      </c>
      <c r="K147" s="123">
        <f t="shared" si="41"/>
        <v>3.3</v>
      </c>
      <c r="L147" s="123">
        <f t="shared" si="41"/>
        <v>3.3</v>
      </c>
      <c r="M147" s="123">
        <f t="shared" si="41"/>
        <v>3.3</v>
      </c>
      <c r="N147" s="123">
        <f t="shared" si="41"/>
        <v>3.3</v>
      </c>
      <c r="O147" s="123">
        <f t="shared" si="41"/>
        <v>3.3</v>
      </c>
      <c r="P147" s="123">
        <f t="shared" si="41"/>
        <v>3.3</v>
      </c>
      <c r="Q147" s="123">
        <f t="shared" si="41"/>
        <v>3.3</v>
      </c>
      <c r="R147" s="123">
        <f t="shared" si="41"/>
        <v>3.3</v>
      </c>
      <c r="S147" s="123">
        <f t="shared" si="41"/>
        <v>3.3</v>
      </c>
      <c r="T147" s="123">
        <f t="shared" si="42"/>
        <v>3.3</v>
      </c>
      <c r="U147" s="123">
        <f t="shared" si="42"/>
        <v>3.3</v>
      </c>
      <c r="V147" s="123">
        <f t="shared" si="42"/>
        <v>3.3</v>
      </c>
      <c r="W147" s="123">
        <f t="shared" si="42"/>
        <v>3.3</v>
      </c>
      <c r="X147" s="123">
        <f t="shared" si="42"/>
        <v>3.3</v>
      </c>
      <c r="Y147" s="123">
        <f t="shared" si="42"/>
        <v>3.3</v>
      </c>
      <c r="Z147" s="123">
        <f t="shared" si="42"/>
        <v>3.3</v>
      </c>
      <c r="AA147" s="123">
        <f t="shared" si="42"/>
        <v>3.3</v>
      </c>
      <c r="AB147" s="123">
        <f t="shared" si="42"/>
        <v>3.3</v>
      </c>
      <c r="AC147" s="123">
        <f t="shared" si="42"/>
        <v>3.3</v>
      </c>
      <c r="AD147" s="123">
        <f t="shared" si="42"/>
        <v>3.3</v>
      </c>
      <c r="AE147" s="123">
        <f t="shared" si="42"/>
        <v>3.3</v>
      </c>
      <c r="AF147" s="123">
        <f t="shared" si="42"/>
        <v>3.3</v>
      </c>
      <c r="AG147" s="126">
        <v>4.4000000000000004</v>
      </c>
      <c r="AH147" s="55"/>
      <c r="AI147" s="56"/>
      <c r="AK147" s="57"/>
    </row>
    <row r="148" spans="1:37" x14ac:dyDescent="0.25">
      <c r="A148" s="111" t="s">
        <v>152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5"/>
      <c r="AI148" s="56"/>
      <c r="AK148" s="57"/>
    </row>
    <row r="149" spans="1:37" x14ac:dyDescent="0.25">
      <c r="A149" s="111" t="s">
        <v>153</v>
      </c>
      <c r="B149" s="123">
        <f>AF149</f>
        <v>1.76</v>
      </c>
      <c r="C149" s="124">
        <v>1.76</v>
      </c>
      <c r="D149" s="123">
        <f t="shared" ref="D149:S150" si="43">C149</f>
        <v>1.76</v>
      </c>
      <c r="E149" s="123">
        <f t="shared" si="43"/>
        <v>1.76</v>
      </c>
      <c r="F149" s="123">
        <f t="shared" si="43"/>
        <v>1.76</v>
      </c>
      <c r="G149" s="123">
        <f t="shared" si="43"/>
        <v>1.76</v>
      </c>
      <c r="H149" s="123">
        <f t="shared" si="43"/>
        <v>1.76</v>
      </c>
      <c r="I149" s="123">
        <f t="shared" si="43"/>
        <v>1.76</v>
      </c>
      <c r="J149" s="123">
        <f t="shared" si="43"/>
        <v>1.76</v>
      </c>
      <c r="K149" s="123">
        <f t="shared" si="43"/>
        <v>1.76</v>
      </c>
      <c r="L149" s="123">
        <f t="shared" si="43"/>
        <v>1.76</v>
      </c>
      <c r="M149" s="123">
        <f t="shared" si="43"/>
        <v>1.76</v>
      </c>
      <c r="N149" s="123">
        <f t="shared" si="43"/>
        <v>1.76</v>
      </c>
      <c r="O149" s="123">
        <f t="shared" si="43"/>
        <v>1.76</v>
      </c>
      <c r="P149" s="123">
        <f t="shared" si="43"/>
        <v>1.76</v>
      </c>
      <c r="Q149" s="123">
        <f t="shared" si="43"/>
        <v>1.76</v>
      </c>
      <c r="R149" s="123">
        <f t="shared" si="43"/>
        <v>1.76</v>
      </c>
      <c r="S149" s="123">
        <f t="shared" si="43"/>
        <v>1.76</v>
      </c>
      <c r="T149" s="123">
        <f t="shared" ref="T149:AF150" si="44">S149</f>
        <v>1.76</v>
      </c>
      <c r="U149" s="123">
        <f t="shared" si="44"/>
        <v>1.76</v>
      </c>
      <c r="V149" s="123">
        <f t="shared" si="44"/>
        <v>1.76</v>
      </c>
      <c r="W149" s="123">
        <f t="shared" si="44"/>
        <v>1.76</v>
      </c>
      <c r="X149" s="123">
        <f t="shared" si="44"/>
        <v>1.76</v>
      </c>
      <c r="Y149" s="123">
        <f t="shared" si="44"/>
        <v>1.76</v>
      </c>
      <c r="Z149" s="123">
        <f t="shared" si="44"/>
        <v>1.76</v>
      </c>
      <c r="AA149" s="123">
        <f t="shared" si="44"/>
        <v>1.76</v>
      </c>
      <c r="AB149" s="123">
        <f t="shared" si="44"/>
        <v>1.76</v>
      </c>
      <c r="AC149" s="123">
        <f t="shared" si="44"/>
        <v>1.76</v>
      </c>
      <c r="AD149" s="123">
        <f t="shared" si="44"/>
        <v>1.76</v>
      </c>
      <c r="AE149" s="123">
        <f t="shared" si="44"/>
        <v>1.76</v>
      </c>
      <c r="AF149" s="123">
        <f t="shared" si="44"/>
        <v>1.76</v>
      </c>
      <c r="AG149" s="126">
        <v>4.2</v>
      </c>
      <c r="AH149" s="55"/>
      <c r="AI149" s="56"/>
      <c r="AK149" s="57"/>
    </row>
    <row r="150" spans="1:37" x14ac:dyDescent="0.25">
      <c r="A150" s="111" t="s">
        <v>154</v>
      </c>
      <c r="B150" s="123">
        <f>AF150</f>
        <v>0</v>
      </c>
      <c r="C150" s="124">
        <v>0</v>
      </c>
      <c r="D150" s="123">
        <f t="shared" si="43"/>
        <v>0</v>
      </c>
      <c r="E150" s="123">
        <f t="shared" si="43"/>
        <v>0</v>
      </c>
      <c r="F150" s="123">
        <f t="shared" si="43"/>
        <v>0</v>
      </c>
      <c r="G150" s="123">
        <f t="shared" si="43"/>
        <v>0</v>
      </c>
      <c r="H150" s="123">
        <f t="shared" si="43"/>
        <v>0</v>
      </c>
      <c r="I150" s="123">
        <f t="shared" si="43"/>
        <v>0</v>
      </c>
      <c r="J150" s="123">
        <f t="shared" si="43"/>
        <v>0</v>
      </c>
      <c r="K150" s="123">
        <f t="shared" si="43"/>
        <v>0</v>
      </c>
      <c r="L150" s="123">
        <f t="shared" si="43"/>
        <v>0</v>
      </c>
      <c r="M150" s="123">
        <f t="shared" si="43"/>
        <v>0</v>
      </c>
      <c r="N150" s="123">
        <f t="shared" si="43"/>
        <v>0</v>
      </c>
      <c r="O150" s="123">
        <f t="shared" si="43"/>
        <v>0</v>
      </c>
      <c r="P150" s="123">
        <f t="shared" si="43"/>
        <v>0</v>
      </c>
      <c r="Q150" s="123">
        <f t="shared" si="43"/>
        <v>0</v>
      </c>
      <c r="R150" s="123">
        <f t="shared" si="43"/>
        <v>0</v>
      </c>
      <c r="S150" s="123">
        <f t="shared" si="43"/>
        <v>0</v>
      </c>
      <c r="T150" s="123">
        <f t="shared" si="44"/>
        <v>0</v>
      </c>
      <c r="U150" s="123">
        <f t="shared" si="44"/>
        <v>0</v>
      </c>
      <c r="V150" s="123">
        <f t="shared" si="44"/>
        <v>0</v>
      </c>
      <c r="W150" s="123">
        <f t="shared" si="44"/>
        <v>0</v>
      </c>
      <c r="X150" s="123">
        <f t="shared" si="44"/>
        <v>0</v>
      </c>
      <c r="Y150" s="123">
        <f t="shared" si="44"/>
        <v>0</v>
      </c>
      <c r="Z150" s="123">
        <f t="shared" si="44"/>
        <v>0</v>
      </c>
      <c r="AA150" s="123">
        <f t="shared" si="44"/>
        <v>0</v>
      </c>
      <c r="AB150" s="123">
        <f t="shared" si="44"/>
        <v>0</v>
      </c>
      <c r="AC150" s="123">
        <f t="shared" si="44"/>
        <v>0</v>
      </c>
      <c r="AD150" s="123">
        <f t="shared" si="44"/>
        <v>0</v>
      </c>
      <c r="AE150" s="123">
        <f t="shared" si="44"/>
        <v>0</v>
      </c>
      <c r="AF150" s="123">
        <f t="shared" si="44"/>
        <v>0</v>
      </c>
      <c r="AG150" s="126">
        <v>4</v>
      </c>
      <c r="AH150" s="55"/>
      <c r="AI150" s="56"/>
      <c r="AK150" s="57"/>
    </row>
    <row r="151" spans="1:37" x14ac:dyDescent="0.25">
      <c r="A151" s="111" t="s">
        <v>155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5"/>
      <c r="AI151" s="56"/>
      <c r="AK151" s="57"/>
    </row>
    <row r="152" spans="1:37" x14ac:dyDescent="0.25">
      <c r="A152" s="111" t="s">
        <v>156</v>
      </c>
      <c r="B152" s="123">
        <f>AF152</f>
        <v>0.1</v>
      </c>
      <c r="C152" s="124">
        <v>0.1</v>
      </c>
      <c r="D152" s="123">
        <f t="shared" ref="D152:S155" si="45">C152</f>
        <v>0.1</v>
      </c>
      <c r="E152" s="123">
        <f t="shared" si="45"/>
        <v>0.1</v>
      </c>
      <c r="F152" s="123">
        <f t="shared" si="45"/>
        <v>0.1</v>
      </c>
      <c r="G152" s="123">
        <f t="shared" si="45"/>
        <v>0.1</v>
      </c>
      <c r="H152" s="123">
        <f t="shared" si="45"/>
        <v>0.1</v>
      </c>
      <c r="I152" s="123">
        <f t="shared" si="45"/>
        <v>0.1</v>
      </c>
      <c r="J152" s="123">
        <f t="shared" si="45"/>
        <v>0.1</v>
      </c>
      <c r="K152" s="123">
        <f t="shared" si="45"/>
        <v>0.1</v>
      </c>
      <c r="L152" s="123">
        <f t="shared" si="45"/>
        <v>0.1</v>
      </c>
      <c r="M152" s="123">
        <f t="shared" si="45"/>
        <v>0.1</v>
      </c>
      <c r="N152" s="123">
        <f t="shared" si="45"/>
        <v>0.1</v>
      </c>
      <c r="O152" s="123">
        <f t="shared" si="45"/>
        <v>0.1</v>
      </c>
      <c r="P152" s="123">
        <f t="shared" si="45"/>
        <v>0.1</v>
      </c>
      <c r="Q152" s="123">
        <f t="shared" si="45"/>
        <v>0.1</v>
      </c>
      <c r="R152" s="123">
        <f t="shared" si="45"/>
        <v>0.1</v>
      </c>
      <c r="S152" s="123">
        <f t="shared" si="45"/>
        <v>0.1</v>
      </c>
      <c r="T152" s="123">
        <f t="shared" ref="T152:AF155" si="46">S152</f>
        <v>0.1</v>
      </c>
      <c r="U152" s="123">
        <f t="shared" si="46"/>
        <v>0.1</v>
      </c>
      <c r="V152" s="123">
        <f t="shared" si="46"/>
        <v>0.1</v>
      </c>
      <c r="W152" s="123">
        <f t="shared" si="46"/>
        <v>0.1</v>
      </c>
      <c r="X152" s="123">
        <f t="shared" si="46"/>
        <v>0.1</v>
      </c>
      <c r="Y152" s="123">
        <f t="shared" si="46"/>
        <v>0.1</v>
      </c>
      <c r="Z152" s="123">
        <f t="shared" si="46"/>
        <v>0.1</v>
      </c>
      <c r="AA152" s="123">
        <f t="shared" si="46"/>
        <v>0.1</v>
      </c>
      <c r="AB152" s="123">
        <f t="shared" si="46"/>
        <v>0.1</v>
      </c>
      <c r="AC152" s="123">
        <f t="shared" si="46"/>
        <v>0.1</v>
      </c>
      <c r="AD152" s="123">
        <f t="shared" si="46"/>
        <v>0.1</v>
      </c>
      <c r="AE152" s="123">
        <f t="shared" si="46"/>
        <v>0.1</v>
      </c>
      <c r="AF152" s="123">
        <f t="shared" si="46"/>
        <v>0.1</v>
      </c>
      <c r="AG152" s="126">
        <v>4</v>
      </c>
      <c r="AH152" s="55"/>
      <c r="AI152" s="56"/>
      <c r="AK152" s="57"/>
    </row>
    <row r="153" spans="1:37" x14ac:dyDescent="0.25">
      <c r="A153" s="111" t="s">
        <v>157</v>
      </c>
      <c r="B153" s="123">
        <f>AF153</f>
        <v>2.0499999999999998</v>
      </c>
      <c r="C153" s="124">
        <v>2.0499999999999998</v>
      </c>
      <c r="D153" s="123">
        <f t="shared" si="45"/>
        <v>2.0499999999999998</v>
      </c>
      <c r="E153" s="123">
        <f t="shared" si="45"/>
        <v>2.0499999999999998</v>
      </c>
      <c r="F153" s="123">
        <f t="shared" si="45"/>
        <v>2.0499999999999998</v>
      </c>
      <c r="G153" s="123">
        <f t="shared" si="45"/>
        <v>2.0499999999999998</v>
      </c>
      <c r="H153" s="123">
        <f t="shared" si="45"/>
        <v>2.0499999999999998</v>
      </c>
      <c r="I153" s="123">
        <f t="shared" si="45"/>
        <v>2.0499999999999998</v>
      </c>
      <c r="J153" s="123">
        <f t="shared" si="45"/>
        <v>2.0499999999999998</v>
      </c>
      <c r="K153" s="123">
        <f t="shared" si="45"/>
        <v>2.0499999999999998</v>
      </c>
      <c r="L153" s="123">
        <f t="shared" si="45"/>
        <v>2.0499999999999998</v>
      </c>
      <c r="M153" s="123">
        <f t="shared" si="45"/>
        <v>2.0499999999999998</v>
      </c>
      <c r="N153" s="123">
        <f t="shared" si="45"/>
        <v>2.0499999999999998</v>
      </c>
      <c r="O153" s="123">
        <f t="shared" si="45"/>
        <v>2.0499999999999998</v>
      </c>
      <c r="P153" s="123">
        <f t="shared" si="45"/>
        <v>2.0499999999999998</v>
      </c>
      <c r="Q153" s="123">
        <f t="shared" si="45"/>
        <v>2.0499999999999998</v>
      </c>
      <c r="R153" s="123">
        <f t="shared" si="45"/>
        <v>2.0499999999999998</v>
      </c>
      <c r="S153" s="123">
        <f t="shared" si="45"/>
        <v>2.0499999999999998</v>
      </c>
      <c r="T153" s="123">
        <f t="shared" si="46"/>
        <v>2.0499999999999998</v>
      </c>
      <c r="U153" s="123">
        <f t="shared" si="46"/>
        <v>2.0499999999999998</v>
      </c>
      <c r="V153" s="123">
        <f t="shared" si="46"/>
        <v>2.0499999999999998</v>
      </c>
      <c r="W153" s="123">
        <f t="shared" si="46"/>
        <v>2.0499999999999998</v>
      </c>
      <c r="X153" s="123">
        <f t="shared" si="46"/>
        <v>2.0499999999999998</v>
      </c>
      <c r="Y153" s="123">
        <f t="shared" si="46"/>
        <v>2.0499999999999998</v>
      </c>
      <c r="Z153" s="123">
        <f t="shared" si="46"/>
        <v>2.0499999999999998</v>
      </c>
      <c r="AA153" s="123">
        <f t="shared" si="46"/>
        <v>2.0499999999999998</v>
      </c>
      <c r="AB153" s="123">
        <f t="shared" si="46"/>
        <v>2.0499999999999998</v>
      </c>
      <c r="AC153" s="123">
        <f t="shared" si="46"/>
        <v>2.0499999999999998</v>
      </c>
      <c r="AD153" s="123">
        <f t="shared" si="46"/>
        <v>2.0499999999999998</v>
      </c>
      <c r="AE153" s="123">
        <f t="shared" si="46"/>
        <v>2.0499999999999998</v>
      </c>
      <c r="AF153" s="123">
        <f t="shared" si="46"/>
        <v>2.0499999999999998</v>
      </c>
      <c r="AG153" s="126">
        <v>4</v>
      </c>
      <c r="AH153" s="55"/>
      <c r="AI153" s="56"/>
      <c r="AK153" s="57"/>
    </row>
    <row r="154" spans="1:37" x14ac:dyDescent="0.25">
      <c r="A154" s="111" t="s">
        <v>158</v>
      </c>
      <c r="B154" s="123">
        <f>AF154</f>
        <v>2.7</v>
      </c>
      <c r="C154" s="124">
        <v>2.7</v>
      </c>
      <c r="D154" s="123">
        <f t="shared" si="45"/>
        <v>2.7</v>
      </c>
      <c r="E154" s="123">
        <f t="shared" si="45"/>
        <v>2.7</v>
      </c>
      <c r="F154" s="123">
        <f t="shared" si="45"/>
        <v>2.7</v>
      </c>
      <c r="G154" s="123">
        <f t="shared" si="45"/>
        <v>2.7</v>
      </c>
      <c r="H154" s="123">
        <f t="shared" si="45"/>
        <v>2.7</v>
      </c>
      <c r="I154" s="123">
        <f t="shared" si="45"/>
        <v>2.7</v>
      </c>
      <c r="J154" s="123">
        <f t="shared" si="45"/>
        <v>2.7</v>
      </c>
      <c r="K154" s="123">
        <f t="shared" si="45"/>
        <v>2.7</v>
      </c>
      <c r="L154" s="123">
        <f t="shared" si="45"/>
        <v>2.7</v>
      </c>
      <c r="M154" s="123">
        <f t="shared" si="45"/>
        <v>2.7</v>
      </c>
      <c r="N154" s="123">
        <f t="shared" si="45"/>
        <v>2.7</v>
      </c>
      <c r="O154" s="123">
        <f t="shared" si="45"/>
        <v>2.7</v>
      </c>
      <c r="P154" s="123">
        <f t="shared" si="45"/>
        <v>2.7</v>
      </c>
      <c r="Q154" s="123">
        <f t="shared" si="45"/>
        <v>2.7</v>
      </c>
      <c r="R154" s="123">
        <f t="shared" si="45"/>
        <v>2.7</v>
      </c>
      <c r="S154" s="123">
        <f t="shared" si="45"/>
        <v>2.7</v>
      </c>
      <c r="T154" s="123">
        <f t="shared" si="46"/>
        <v>2.7</v>
      </c>
      <c r="U154" s="123">
        <f t="shared" si="46"/>
        <v>2.7</v>
      </c>
      <c r="V154" s="123">
        <f t="shared" si="46"/>
        <v>2.7</v>
      </c>
      <c r="W154" s="123">
        <f t="shared" si="46"/>
        <v>2.7</v>
      </c>
      <c r="X154" s="123">
        <f t="shared" si="46"/>
        <v>2.7</v>
      </c>
      <c r="Y154" s="123">
        <f t="shared" si="46"/>
        <v>2.7</v>
      </c>
      <c r="Z154" s="123">
        <f t="shared" si="46"/>
        <v>2.7</v>
      </c>
      <c r="AA154" s="123">
        <f t="shared" si="46"/>
        <v>2.7</v>
      </c>
      <c r="AB154" s="123">
        <f t="shared" si="46"/>
        <v>2.7</v>
      </c>
      <c r="AC154" s="123">
        <f t="shared" si="46"/>
        <v>2.7</v>
      </c>
      <c r="AD154" s="123">
        <f t="shared" si="46"/>
        <v>2.7</v>
      </c>
      <c r="AE154" s="123">
        <f t="shared" si="46"/>
        <v>2.7</v>
      </c>
      <c r="AF154" s="123">
        <f t="shared" si="46"/>
        <v>2.7</v>
      </c>
      <c r="AG154" s="126">
        <v>4</v>
      </c>
      <c r="AH154" s="55"/>
      <c r="AI154" s="56"/>
      <c r="AK154" s="57"/>
    </row>
    <row r="155" spans="1:37" x14ac:dyDescent="0.25">
      <c r="A155" s="111" t="s">
        <v>159</v>
      </c>
      <c r="B155" s="123">
        <f>AF155</f>
        <v>2.15</v>
      </c>
      <c r="C155" s="124">
        <v>2.15</v>
      </c>
      <c r="D155" s="123">
        <f t="shared" si="45"/>
        <v>2.15</v>
      </c>
      <c r="E155" s="123">
        <f t="shared" si="45"/>
        <v>2.15</v>
      </c>
      <c r="F155" s="123">
        <f t="shared" si="45"/>
        <v>2.15</v>
      </c>
      <c r="G155" s="123">
        <f t="shared" si="45"/>
        <v>2.15</v>
      </c>
      <c r="H155" s="123">
        <f t="shared" si="45"/>
        <v>2.15</v>
      </c>
      <c r="I155" s="123">
        <f t="shared" si="45"/>
        <v>2.15</v>
      </c>
      <c r="J155" s="123">
        <f t="shared" si="45"/>
        <v>2.15</v>
      </c>
      <c r="K155" s="123">
        <f t="shared" si="45"/>
        <v>2.15</v>
      </c>
      <c r="L155" s="123">
        <f t="shared" si="45"/>
        <v>2.15</v>
      </c>
      <c r="M155" s="123">
        <f t="shared" si="45"/>
        <v>2.15</v>
      </c>
      <c r="N155" s="123">
        <f t="shared" si="45"/>
        <v>2.15</v>
      </c>
      <c r="O155" s="123">
        <f t="shared" si="45"/>
        <v>2.15</v>
      </c>
      <c r="P155" s="123">
        <f t="shared" si="45"/>
        <v>2.15</v>
      </c>
      <c r="Q155" s="123">
        <f t="shared" si="45"/>
        <v>2.15</v>
      </c>
      <c r="R155" s="123">
        <f t="shared" si="45"/>
        <v>2.15</v>
      </c>
      <c r="S155" s="123">
        <f t="shared" si="45"/>
        <v>2.15</v>
      </c>
      <c r="T155" s="123">
        <f t="shared" si="46"/>
        <v>2.15</v>
      </c>
      <c r="U155" s="123">
        <f t="shared" si="46"/>
        <v>2.15</v>
      </c>
      <c r="V155" s="123">
        <f t="shared" si="46"/>
        <v>2.15</v>
      </c>
      <c r="W155" s="123">
        <f t="shared" si="46"/>
        <v>2.15</v>
      </c>
      <c r="X155" s="123">
        <f t="shared" si="46"/>
        <v>2.15</v>
      </c>
      <c r="Y155" s="123">
        <f t="shared" si="46"/>
        <v>2.15</v>
      </c>
      <c r="Z155" s="123">
        <f t="shared" si="46"/>
        <v>2.15</v>
      </c>
      <c r="AA155" s="123">
        <f t="shared" si="46"/>
        <v>2.15</v>
      </c>
      <c r="AB155" s="123">
        <f t="shared" si="46"/>
        <v>2.15</v>
      </c>
      <c r="AC155" s="123">
        <f t="shared" si="46"/>
        <v>2.15</v>
      </c>
      <c r="AD155" s="123">
        <f t="shared" si="46"/>
        <v>2.15</v>
      </c>
      <c r="AE155" s="123">
        <f t="shared" si="46"/>
        <v>2.15</v>
      </c>
      <c r="AF155" s="123">
        <f t="shared" si="46"/>
        <v>2.15</v>
      </c>
      <c r="AG155" s="126">
        <v>4</v>
      </c>
      <c r="AH155" s="55"/>
      <c r="AI155" s="56"/>
      <c r="AK155" s="57"/>
    </row>
    <row r="156" spans="1:37" x14ac:dyDescent="0.25">
      <c r="A156" s="111" t="s">
        <v>160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5"/>
      <c r="AI156" s="56"/>
      <c r="AK156" s="57"/>
    </row>
    <row r="157" spans="1:37" x14ac:dyDescent="0.25">
      <c r="A157" s="111" t="s">
        <v>161</v>
      </c>
      <c r="B157" s="123">
        <f t="shared" ref="B157:B169" si="47">AF157</f>
        <v>0.9</v>
      </c>
      <c r="C157" s="124">
        <v>0.9</v>
      </c>
      <c r="D157" s="123">
        <f t="shared" ref="D157:S169" si="48">C157</f>
        <v>0.9</v>
      </c>
      <c r="E157" s="123">
        <f t="shared" si="48"/>
        <v>0.9</v>
      </c>
      <c r="F157" s="123">
        <f t="shared" si="48"/>
        <v>0.9</v>
      </c>
      <c r="G157" s="123">
        <f t="shared" si="48"/>
        <v>0.9</v>
      </c>
      <c r="H157" s="123">
        <f t="shared" si="48"/>
        <v>0.9</v>
      </c>
      <c r="I157" s="123">
        <f t="shared" si="48"/>
        <v>0.9</v>
      </c>
      <c r="J157" s="123">
        <f t="shared" si="48"/>
        <v>0.9</v>
      </c>
      <c r="K157" s="123">
        <f t="shared" si="48"/>
        <v>0.9</v>
      </c>
      <c r="L157" s="123">
        <f t="shared" si="48"/>
        <v>0.9</v>
      </c>
      <c r="M157" s="123">
        <f t="shared" si="48"/>
        <v>0.9</v>
      </c>
      <c r="N157" s="123">
        <f t="shared" si="48"/>
        <v>0.9</v>
      </c>
      <c r="O157" s="123">
        <f t="shared" si="48"/>
        <v>0.9</v>
      </c>
      <c r="P157" s="123">
        <f t="shared" si="48"/>
        <v>0.9</v>
      </c>
      <c r="Q157" s="123">
        <f t="shared" si="48"/>
        <v>0.9</v>
      </c>
      <c r="R157" s="123">
        <f t="shared" si="48"/>
        <v>0.9</v>
      </c>
      <c r="S157" s="123">
        <f t="shared" si="48"/>
        <v>0.9</v>
      </c>
      <c r="T157" s="123">
        <f t="shared" ref="S157:AF169" si="49">S157</f>
        <v>0.9</v>
      </c>
      <c r="U157" s="123">
        <f t="shared" si="49"/>
        <v>0.9</v>
      </c>
      <c r="V157" s="123">
        <f t="shared" si="49"/>
        <v>0.9</v>
      </c>
      <c r="W157" s="123">
        <f t="shared" si="49"/>
        <v>0.9</v>
      </c>
      <c r="X157" s="123">
        <f t="shared" si="49"/>
        <v>0.9</v>
      </c>
      <c r="Y157" s="123">
        <f t="shared" si="49"/>
        <v>0.9</v>
      </c>
      <c r="Z157" s="123">
        <f t="shared" si="49"/>
        <v>0.9</v>
      </c>
      <c r="AA157" s="123">
        <f t="shared" si="49"/>
        <v>0.9</v>
      </c>
      <c r="AB157" s="123">
        <f t="shared" si="49"/>
        <v>0.9</v>
      </c>
      <c r="AC157" s="123">
        <f t="shared" si="49"/>
        <v>0.9</v>
      </c>
      <c r="AD157" s="123">
        <f t="shared" si="49"/>
        <v>0.9</v>
      </c>
      <c r="AE157" s="123">
        <f t="shared" si="49"/>
        <v>0.9</v>
      </c>
      <c r="AF157" s="123">
        <f t="shared" si="49"/>
        <v>0.9</v>
      </c>
      <c r="AG157" s="126">
        <v>4</v>
      </c>
      <c r="AH157" s="55"/>
      <c r="AI157" s="56"/>
      <c r="AK157" s="57"/>
    </row>
    <row r="158" spans="1:37" x14ac:dyDescent="0.25">
      <c r="A158" s="111" t="s">
        <v>162</v>
      </c>
      <c r="B158" s="123">
        <f t="shared" si="47"/>
        <v>1.08</v>
      </c>
      <c r="C158" s="124">
        <v>1.08</v>
      </c>
      <c r="D158" s="123">
        <f t="shared" si="48"/>
        <v>1.08</v>
      </c>
      <c r="E158" s="123">
        <f t="shared" si="48"/>
        <v>1.08</v>
      </c>
      <c r="F158" s="123">
        <f t="shared" si="48"/>
        <v>1.08</v>
      </c>
      <c r="G158" s="123">
        <f t="shared" si="48"/>
        <v>1.08</v>
      </c>
      <c r="H158" s="123">
        <f t="shared" si="48"/>
        <v>1.08</v>
      </c>
      <c r="I158" s="123">
        <f t="shared" si="48"/>
        <v>1.08</v>
      </c>
      <c r="J158" s="123">
        <f t="shared" si="48"/>
        <v>1.08</v>
      </c>
      <c r="K158" s="123">
        <f t="shared" si="48"/>
        <v>1.08</v>
      </c>
      <c r="L158" s="123">
        <f t="shared" si="48"/>
        <v>1.08</v>
      </c>
      <c r="M158" s="123">
        <f t="shared" si="48"/>
        <v>1.08</v>
      </c>
      <c r="N158" s="123">
        <f t="shared" si="48"/>
        <v>1.08</v>
      </c>
      <c r="O158" s="123">
        <f t="shared" si="48"/>
        <v>1.08</v>
      </c>
      <c r="P158" s="123">
        <f t="shared" si="48"/>
        <v>1.08</v>
      </c>
      <c r="Q158" s="123">
        <f t="shared" si="48"/>
        <v>1.08</v>
      </c>
      <c r="R158" s="123">
        <f t="shared" si="48"/>
        <v>1.08</v>
      </c>
      <c r="S158" s="123">
        <f t="shared" si="48"/>
        <v>1.08</v>
      </c>
      <c r="T158" s="123">
        <f t="shared" si="49"/>
        <v>1.08</v>
      </c>
      <c r="U158" s="123">
        <f t="shared" si="49"/>
        <v>1.08</v>
      </c>
      <c r="V158" s="123">
        <f t="shared" si="49"/>
        <v>1.08</v>
      </c>
      <c r="W158" s="123">
        <f t="shared" si="49"/>
        <v>1.08</v>
      </c>
      <c r="X158" s="123">
        <f t="shared" si="49"/>
        <v>1.08</v>
      </c>
      <c r="Y158" s="123">
        <f t="shared" si="49"/>
        <v>1.08</v>
      </c>
      <c r="Z158" s="123">
        <f t="shared" si="49"/>
        <v>1.08</v>
      </c>
      <c r="AA158" s="123">
        <f t="shared" si="49"/>
        <v>1.08</v>
      </c>
      <c r="AB158" s="123">
        <f t="shared" si="49"/>
        <v>1.08</v>
      </c>
      <c r="AC158" s="123">
        <f t="shared" si="49"/>
        <v>1.08</v>
      </c>
      <c r="AD158" s="123">
        <f t="shared" si="49"/>
        <v>1.08</v>
      </c>
      <c r="AE158" s="123">
        <f t="shared" si="49"/>
        <v>1.08</v>
      </c>
      <c r="AF158" s="123">
        <f t="shared" si="49"/>
        <v>1.08</v>
      </c>
      <c r="AG158" s="126">
        <v>3.75</v>
      </c>
      <c r="AH158" s="55"/>
      <c r="AI158" s="56"/>
      <c r="AK158" s="57"/>
    </row>
    <row r="159" spans="1:37" x14ac:dyDescent="0.25">
      <c r="A159" s="111" t="s">
        <v>163</v>
      </c>
      <c r="B159" s="123">
        <f t="shared" si="47"/>
        <v>2.37</v>
      </c>
      <c r="C159" s="124">
        <v>2.37</v>
      </c>
      <c r="D159" s="123">
        <f t="shared" si="48"/>
        <v>2.37</v>
      </c>
      <c r="E159" s="123">
        <f t="shared" si="48"/>
        <v>2.37</v>
      </c>
      <c r="F159" s="123">
        <f t="shared" si="48"/>
        <v>2.37</v>
      </c>
      <c r="G159" s="123">
        <f t="shared" si="48"/>
        <v>2.37</v>
      </c>
      <c r="H159" s="123">
        <f t="shared" si="48"/>
        <v>2.37</v>
      </c>
      <c r="I159" s="123">
        <f t="shared" si="48"/>
        <v>2.37</v>
      </c>
      <c r="J159" s="123">
        <f t="shared" si="48"/>
        <v>2.37</v>
      </c>
      <c r="K159" s="123">
        <f t="shared" si="48"/>
        <v>2.37</v>
      </c>
      <c r="L159" s="123">
        <f t="shared" si="48"/>
        <v>2.37</v>
      </c>
      <c r="M159" s="123">
        <f t="shared" si="48"/>
        <v>2.37</v>
      </c>
      <c r="N159" s="123">
        <f t="shared" si="48"/>
        <v>2.37</v>
      </c>
      <c r="O159" s="123">
        <f t="shared" si="48"/>
        <v>2.37</v>
      </c>
      <c r="P159" s="123">
        <f t="shared" si="48"/>
        <v>2.37</v>
      </c>
      <c r="Q159" s="123">
        <f t="shared" si="48"/>
        <v>2.37</v>
      </c>
      <c r="R159" s="123">
        <f t="shared" si="48"/>
        <v>2.37</v>
      </c>
      <c r="S159" s="123">
        <f t="shared" si="48"/>
        <v>2.37</v>
      </c>
      <c r="T159" s="123">
        <f t="shared" si="49"/>
        <v>2.37</v>
      </c>
      <c r="U159" s="123">
        <f t="shared" si="49"/>
        <v>2.37</v>
      </c>
      <c r="V159" s="123">
        <f t="shared" si="49"/>
        <v>2.37</v>
      </c>
      <c r="W159" s="123">
        <f t="shared" si="49"/>
        <v>2.37</v>
      </c>
      <c r="X159" s="123">
        <f t="shared" si="49"/>
        <v>2.37</v>
      </c>
      <c r="Y159" s="123">
        <f t="shared" si="49"/>
        <v>2.37</v>
      </c>
      <c r="Z159" s="123">
        <f t="shared" si="49"/>
        <v>2.37</v>
      </c>
      <c r="AA159" s="123">
        <f t="shared" si="49"/>
        <v>2.37</v>
      </c>
      <c r="AB159" s="123">
        <f t="shared" si="49"/>
        <v>2.37</v>
      </c>
      <c r="AC159" s="123">
        <f t="shared" si="49"/>
        <v>2.37</v>
      </c>
      <c r="AD159" s="123">
        <f t="shared" si="49"/>
        <v>2.37</v>
      </c>
      <c r="AE159" s="123">
        <f t="shared" si="49"/>
        <v>2.37</v>
      </c>
      <c r="AF159" s="123">
        <f t="shared" si="49"/>
        <v>2.37</v>
      </c>
      <c r="AG159" s="126">
        <v>3.52</v>
      </c>
      <c r="AH159" s="55"/>
      <c r="AI159" s="56"/>
      <c r="AK159" s="57"/>
    </row>
    <row r="160" spans="1:37" x14ac:dyDescent="0.25">
      <c r="A160" s="111" t="s">
        <v>164</v>
      </c>
      <c r="B160" s="123">
        <f t="shared" si="47"/>
        <v>1.81</v>
      </c>
      <c r="C160" s="124">
        <v>1.81</v>
      </c>
      <c r="D160" s="123">
        <f t="shared" si="48"/>
        <v>1.81</v>
      </c>
      <c r="E160" s="123">
        <f t="shared" si="48"/>
        <v>1.81</v>
      </c>
      <c r="F160" s="123">
        <f t="shared" si="48"/>
        <v>1.81</v>
      </c>
      <c r="G160" s="123">
        <f t="shared" si="48"/>
        <v>1.81</v>
      </c>
      <c r="H160" s="123">
        <f t="shared" si="48"/>
        <v>1.81</v>
      </c>
      <c r="I160" s="123">
        <f t="shared" si="48"/>
        <v>1.81</v>
      </c>
      <c r="J160" s="123">
        <f t="shared" si="48"/>
        <v>1.81</v>
      </c>
      <c r="K160" s="123">
        <f t="shared" si="48"/>
        <v>1.81</v>
      </c>
      <c r="L160" s="123">
        <f t="shared" si="48"/>
        <v>1.81</v>
      </c>
      <c r="M160" s="123">
        <f t="shared" si="48"/>
        <v>1.81</v>
      </c>
      <c r="N160" s="123">
        <f t="shared" si="48"/>
        <v>1.81</v>
      </c>
      <c r="O160" s="123">
        <f t="shared" si="48"/>
        <v>1.81</v>
      </c>
      <c r="P160" s="123">
        <f t="shared" si="48"/>
        <v>1.81</v>
      </c>
      <c r="Q160" s="123">
        <f t="shared" si="48"/>
        <v>1.81</v>
      </c>
      <c r="R160" s="123">
        <f t="shared" si="48"/>
        <v>1.81</v>
      </c>
      <c r="S160" s="123">
        <f t="shared" si="48"/>
        <v>1.81</v>
      </c>
      <c r="T160" s="123">
        <f t="shared" si="49"/>
        <v>1.81</v>
      </c>
      <c r="U160" s="123">
        <f t="shared" si="49"/>
        <v>1.81</v>
      </c>
      <c r="V160" s="123">
        <f t="shared" si="49"/>
        <v>1.81</v>
      </c>
      <c r="W160" s="123">
        <f t="shared" si="49"/>
        <v>1.81</v>
      </c>
      <c r="X160" s="123">
        <f t="shared" si="49"/>
        <v>1.81</v>
      </c>
      <c r="Y160" s="123">
        <f t="shared" si="49"/>
        <v>1.81</v>
      </c>
      <c r="Z160" s="123">
        <f t="shared" si="49"/>
        <v>1.81</v>
      </c>
      <c r="AA160" s="123">
        <f t="shared" si="49"/>
        <v>1.81</v>
      </c>
      <c r="AB160" s="123">
        <f t="shared" si="49"/>
        <v>1.81</v>
      </c>
      <c r="AC160" s="123">
        <f t="shared" si="49"/>
        <v>1.81</v>
      </c>
      <c r="AD160" s="123">
        <f t="shared" si="49"/>
        <v>1.81</v>
      </c>
      <c r="AE160" s="123">
        <f t="shared" si="49"/>
        <v>1.81</v>
      </c>
      <c r="AF160" s="123">
        <f t="shared" si="49"/>
        <v>1.81</v>
      </c>
      <c r="AG160" s="126">
        <v>3.33</v>
      </c>
      <c r="AH160" s="55"/>
      <c r="AI160" s="56"/>
      <c r="AK160" s="57"/>
    </row>
    <row r="161" spans="1:37" x14ac:dyDescent="0.25">
      <c r="A161" s="111" t="s">
        <v>165</v>
      </c>
      <c r="B161" s="123">
        <f t="shared" si="47"/>
        <v>1.0900000000000001</v>
      </c>
      <c r="C161" s="124">
        <v>1.0900000000000001</v>
      </c>
      <c r="D161" s="123">
        <f t="shared" si="48"/>
        <v>1.0900000000000001</v>
      </c>
      <c r="E161" s="123">
        <f t="shared" si="48"/>
        <v>1.0900000000000001</v>
      </c>
      <c r="F161" s="123">
        <f t="shared" si="48"/>
        <v>1.0900000000000001</v>
      </c>
      <c r="G161" s="123">
        <f t="shared" si="48"/>
        <v>1.0900000000000001</v>
      </c>
      <c r="H161" s="123">
        <f t="shared" si="48"/>
        <v>1.0900000000000001</v>
      </c>
      <c r="I161" s="123">
        <f t="shared" si="48"/>
        <v>1.0900000000000001</v>
      </c>
      <c r="J161" s="123">
        <f t="shared" si="48"/>
        <v>1.0900000000000001</v>
      </c>
      <c r="K161" s="123">
        <f t="shared" si="48"/>
        <v>1.0900000000000001</v>
      </c>
      <c r="L161" s="123">
        <f t="shared" si="48"/>
        <v>1.0900000000000001</v>
      </c>
      <c r="M161" s="123">
        <f t="shared" si="48"/>
        <v>1.0900000000000001</v>
      </c>
      <c r="N161" s="123">
        <f t="shared" si="48"/>
        <v>1.0900000000000001</v>
      </c>
      <c r="O161" s="123">
        <f t="shared" si="48"/>
        <v>1.0900000000000001</v>
      </c>
      <c r="P161" s="123">
        <f t="shared" si="48"/>
        <v>1.0900000000000001</v>
      </c>
      <c r="Q161" s="123">
        <f t="shared" si="48"/>
        <v>1.0900000000000001</v>
      </c>
      <c r="R161" s="123">
        <f t="shared" si="48"/>
        <v>1.0900000000000001</v>
      </c>
      <c r="S161" s="123">
        <f t="shared" si="48"/>
        <v>1.0900000000000001</v>
      </c>
      <c r="T161" s="123">
        <f t="shared" si="49"/>
        <v>1.0900000000000001</v>
      </c>
      <c r="U161" s="123">
        <f t="shared" si="49"/>
        <v>1.0900000000000001</v>
      </c>
      <c r="V161" s="123">
        <f t="shared" si="49"/>
        <v>1.0900000000000001</v>
      </c>
      <c r="W161" s="123">
        <f t="shared" si="49"/>
        <v>1.0900000000000001</v>
      </c>
      <c r="X161" s="123">
        <f t="shared" si="49"/>
        <v>1.0900000000000001</v>
      </c>
      <c r="Y161" s="123">
        <f t="shared" si="49"/>
        <v>1.0900000000000001</v>
      </c>
      <c r="Z161" s="123">
        <f t="shared" si="49"/>
        <v>1.0900000000000001</v>
      </c>
      <c r="AA161" s="123">
        <f t="shared" si="49"/>
        <v>1.0900000000000001</v>
      </c>
      <c r="AB161" s="123">
        <f t="shared" si="49"/>
        <v>1.0900000000000001</v>
      </c>
      <c r="AC161" s="123">
        <f t="shared" si="49"/>
        <v>1.0900000000000001</v>
      </c>
      <c r="AD161" s="123">
        <f t="shared" si="49"/>
        <v>1.0900000000000001</v>
      </c>
      <c r="AE161" s="123">
        <f t="shared" si="49"/>
        <v>1.0900000000000001</v>
      </c>
      <c r="AF161" s="123">
        <f t="shared" si="49"/>
        <v>1.0900000000000001</v>
      </c>
      <c r="AG161" s="126">
        <v>3.2</v>
      </c>
      <c r="AH161" s="55"/>
      <c r="AI161" s="56"/>
      <c r="AK161" s="57"/>
    </row>
    <row r="162" spans="1:37" x14ac:dyDescent="0.25">
      <c r="A162" s="111" t="s">
        <v>166</v>
      </c>
      <c r="B162" s="123">
        <f t="shared" si="47"/>
        <v>1.58</v>
      </c>
      <c r="C162" s="124">
        <v>1.58</v>
      </c>
      <c r="D162" s="123">
        <f t="shared" si="48"/>
        <v>1.58</v>
      </c>
      <c r="E162" s="123">
        <f t="shared" si="48"/>
        <v>1.58</v>
      </c>
      <c r="F162" s="123">
        <f t="shared" si="48"/>
        <v>1.58</v>
      </c>
      <c r="G162" s="123">
        <f t="shared" si="48"/>
        <v>1.58</v>
      </c>
      <c r="H162" s="123">
        <f t="shared" si="48"/>
        <v>1.58</v>
      </c>
      <c r="I162" s="123">
        <f t="shared" si="48"/>
        <v>1.58</v>
      </c>
      <c r="J162" s="123">
        <f t="shared" si="48"/>
        <v>1.58</v>
      </c>
      <c r="K162" s="123">
        <f t="shared" si="48"/>
        <v>1.58</v>
      </c>
      <c r="L162" s="123">
        <f t="shared" si="48"/>
        <v>1.58</v>
      </c>
      <c r="M162" s="123">
        <f t="shared" si="48"/>
        <v>1.58</v>
      </c>
      <c r="N162" s="123">
        <f t="shared" si="48"/>
        <v>1.58</v>
      </c>
      <c r="O162" s="123">
        <f t="shared" si="48"/>
        <v>1.58</v>
      </c>
      <c r="P162" s="123">
        <f t="shared" si="48"/>
        <v>1.58</v>
      </c>
      <c r="Q162" s="123">
        <f t="shared" si="48"/>
        <v>1.58</v>
      </c>
      <c r="R162" s="123">
        <f t="shared" si="48"/>
        <v>1.58</v>
      </c>
      <c r="S162" s="123">
        <f t="shared" si="48"/>
        <v>1.58</v>
      </c>
      <c r="T162" s="123">
        <f t="shared" si="49"/>
        <v>1.58</v>
      </c>
      <c r="U162" s="123">
        <f t="shared" si="49"/>
        <v>1.58</v>
      </c>
      <c r="V162" s="123">
        <f t="shared" si="49"/>
        <v>1.58</v>
      </c>
      <c r="W162" s="123">
        <f t="shared" si="49"/>
        <v>1.58</v>
      </c>
      <c r="X162" s="123">
        <f t="shared" si="49"/>
        <v>1.58</v>
      </c>
      <c r="Y162" s="123">
        <f t="shared" si="49"/>
        <v>1.58</v>
      </c>
      <c r="Z162" s="123">
        <f t="shared" si="49"/>
        <v>1.58</v>
      </c>
      <c r="AA162" s="123">
        <f t="shared" si="49"/>
        <v>1.58</v>
      </c>
      <c r="AB162" s="123">
        <f t="shared" si="49"/>
        <v>1.58</v>
      </c>
      <c r="AC162" s="123">
        <f t="shared" si="49"/>
        <v>1.58</v>
      </c>
      <c r="AD162" s="123">
        <f t="shared" si="49"/>
        <v>1.58</v>
      </c>
      <c r="AE162" s="123">
        <f t="shared" si="49"/>
        <v>1.58</v>
      </c>
      <c r="AF162" s="123">
        <f t="shared" si="49"/>
        <v>1.58</v>
      </c>
      <c r="AG162" s="126">
        <v>3</v>
      </c>
      <c r="AH162" s="55"/>
      <c r="AI162" s="56"/>
      <c r="AK162" s="57"/>
    </row>
    <row r="163" spans="1:37" x14ac:dyDescent="0.25">
      <c r="A163" s="111" t="s">
        <v>167</v>
      </c>
      <c r="B163" s="123">
        <f t="shared" si="47"/>
        <v>2</v>
      </c>
      <c r="C163" s="124">
        <v>2</v>
      </c>
      <c r="D163" s="123">
        <f t="shared" si="48"/>
        <v>2</v>
      </c>
      <c r="E163" s="123">
        <f t="shared" si="48"/>
        <v>2</v>
      </c>
      <c r="F163" s="123">
        <f t="shared" si="48"/>
        <v>2</v>
      </c>
      <c r="G163" s="123">
        <f t="shared" si="48"/>
        <v>2</v>
      </c>
      <c r="H163" s="123">
        <f t="shared" si="48"/>
        <v>2</v>
      </c>
      <c r="I163" s="123">
        <f t="shared" si="48"/>
        <v>2</v>
      </c>
      <c r="J163" s="123">
        <f t="shared" si="48"/>
        <v>2</v>
      </c>
      <c r="K163" s="123">
        <f t="shared" si="48"/>
        <v>2</v>
      </c>
      <c r="L163" s="123">
        <f t="shared" si="48"/>
        <v>2</v>
      </c>
      <c r="M163" s="123">
        <f t="shared" si="48"/>
        <v>2</v>
      </c>
      <c r="N163" s="123">
        <f t="shared" si="48"/>
        <v>2</v>
      </c>
      <c r="O163" s="123">
        <f t="shared" si="48"/>
        <v>2</v>
      </c>
      <c r="P163" s="123">
        <f t="shared" si="48"/>
        <v>2</v>
      </c>
      <c r="Q163" s="123">
        <f t="shared" si="48"/>
        <v>2</v>
      </c>
      <c r="R163" s="123">
        <f t="shared" si="48"/>
        <v>2</v>
      </c>
      <c r="S163" s="123">
        <f t="shared" si="48"/>
        <v>2</v>
      </c>
      <c r="T163" s="123">
        <f t="shared" si="49"/>
        <v>2</v>
      </c>
      <c r="U163" s="123">
        <f t="shared" si="49"/>
        <v>2</v>
      </c>
      <c r="V163" s="123">
        <f t="shared" si="49"/>
        <v>2</v>
      </c>
      <c r="W163" s="123">
        <f t="shared" si="49"/>
        <v>2</v>
      </c>
      <c r="X163" s="123">
        <f t="shared" si="49"/>
        <v>2</v>
      </c>
      <c r="Y163" s="123">
        <f t="shared" si="49"/>
        <v>2</v>
      </c>
      <c r="Z163" s="123">
        <f t="shared" si="49"/>
        <v>2</v>
      </c>
      <c r="AA163" s="123">
        <f t="shared" si="49"/>
        <v>2</v>
      </c>
      <c r="AB163" s="123">
        <f t="shared" si="49"/>
        <v>2</v>
      </c>
      <c r="AC163" s="123">
        <f t="shared" si="49"/>
        <v>2</v>
      </c>
      <c r="AD163" s="123">
        <f t="shared" si="49"/>
        <v>2</v>
      </c>
      <c r="AE163" s="123">
        <f t="shared" si="49"/>
        <v>2</v>
      </c>
      <c r="AF163" s="123">
        <f t="shared" si="49"/>
        <v>2</v>
      </c>
      <c r="AG163" s="126">
        <v>3</v>
      </c>
      <c r="AH163" s="55"/>
      <c r="AI163" s="56"/>
      <c r="AK163" s="57"/>
    </row>
    <row r="164" spans="1:37" x14ac:dyDescent="0.25">
      <c r="A164" s="111" t="s">
        <v>168</v>
      </c>
      <c r="B164" s="123">
        <f t="shared" si="47"/>
        <v>0.47</v>
      </c>
      <c r="C164" s="124">
        <v>0.47</v>
      </c>
      <c r="D164" s="123">
        <f t="shared" si="48"/>
        <v>0.47</v>
      </c>
      <c r="E164" s="123">
        <f t="shared" si="48"/>
        <v>0.47</v>
      </c>
      <c r="F164" s="123">
        <f t="shared" si="48"/>
        <v>0.47</v>
      </c>
      <c r="G164" s="123">
        <f t="shared" si="48"/>
        <v>0.47</v>
      </c>
      <c r="H164" s="123">
        <f t="shared" si="48"/>
        <v>0.47</v>
      </c>
      <c r="I164" s="123">
        <f t="shared" si="48"/>
        <v>0.47</v>
      </c>
      <c r="J164" s="123">
        <f t="shared" si="48"/>
        <v>0.47</v>
      </c>
      <c r="K164" s="123">
        <f t="shared" si="48"/>
        <v>0.47</v>
      </c>
      <c r="L164" s="123">
        <f t="shared" si="48"/>
        <v>0.47</v>
      </c>
      <c r="M164" s="123">
        <f t="shared" si="48"/>
        <v>0.47</v>
      </c>
      <c r="N164" s="123">
        <f t="shared" si="48"/>
        <v>0.47</v>
      </c>
      <c r="O164" s="123">
        <f t="shared" si="48"/>
        <v>0.47</v>
      </c>
      <c r="P164" s="123">
        <f t="shared" si="48"/>
        <v>0.47</v>
      </c>
      <c r="Q164" s="123">
        <f t="shared" si="48"/>
        <v>0.47</v>
      </c>
      <c r="R164" s="123">
        <f t="shared" si="48"/>
        <v>0.47</v>
      </c>
      <c r="S164" s="123">
        <f t="shared" si="48"/>
        <v>0.47</v>
      </c>
      <c r="T164" s="123">
        <f t="shared" si="49"/>
        <v>0.47</v>
      </c>
      <c r="U164" s="123">
        <f t="shared" si="49"/>
        <v>0.47</v>
      </c>
      <c r="V164" s="123">
        <f t="shared" si="49"/>
        <v>0.47</v>
      </c>
      <c r="W164" s="123">
        <f t="shared" si="49"/>
        <v>0.47</v>
      </c>
      <c r="X164" s="123">
        <f t="shared" si="49"/>
        <v>0.47</v>
      </c>
      <c r="Y164" s="123">
        <f t="shared" si="49"/>
        <v>0.47</v>
      </c>
      <c r="Z164" s="123">
        <f t="shared" si="49"/>
        <v>0.47</v>
      </c>
      <c r="AA164" s="123">
        <f t="shared" si="49"/>
        <v>0.47</v>
      </c>
      <c r="AB164" s="123">
        <f t="shared" si="49"/>
        <v>0.47</v>
      </c>
      <c r="AC164" s="123">
        <f t="shared" si="49"/>
        <v>0.47</v>
      </c>
      <c r="AD164" s="123">
        <f t="shared" si="49"/>
        <v>0.47</v>
      </c>
      <c r="AE164" s="123">
        <f t="shared" si="49"/>
        <v>0.47</v>
      </c>
      <c r="AF164" s="123">
        <f t="shared" si="49"/>
        <v>0.47</v>
      </c>
      <c r="AG164" s="126">
        <v>3</v>
      </c>
      <c r="AH164" s="55"/>
      <c r="AI164" s="56"/>
      <c r="AK164" s="57"/>
    </row>
    <row r="165" spans="1:37" x14ac:dyDescent="0.25">
      <c r="A165" s="111" t="s">
        <v>169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8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170</v>
      </c>
      <c r="B166" s="123">
        <f t="shared" si="47"/>
        <v>0</v>
      </c>
      <c r="C166" s="124">
        <v>0</v>
      </c>
      <c r="D166" s="123">
        <f t="shared" si="48"/>
        <v>0</v>
      </c>
      <c r="E166" s="123">
        <f t="shared" si="48"/>
        <v>0</v>
      </c>
      <c r="F166" s="123">
        <f t="shared" si="48"/>
        <v>0</v>
      </c>
      <c r="G166" s="123">
        <f t="shared" si="48"/>
        <v>0</v>
      </c>
      <c r="H166" s="123">
        <f t="shared" si="48"/>
        <v>0</v>
      </c>
      <c r="I166" s="123">
        <f t="shared" si="48"/>
        <v>0</v>
      </c>
      <c r="J166" s="123">
        <f t="shared" si="48"/>
        <v>0</v>
      </c>
      <c r="K166" s="123">
        <f t="shared" si="48"/>
        <v>0</v>
      </c>
      <c r="L166" s="123">
        <f t="shared" si="48"/>
        <v>0</v>
      </c>
      <c r="M166" s="123">
        <f t="shared" si="48"/>
        <v>0</v>
      </c>
      <c r="N166" s="123">
        <f t="shared" si="48"/>
        <v>0</v>
      </c>
      <c r="O166" s="123">
        <f t="shared" si="48"/>
        <v>0</v>
      </c>
      <c r="P166" s="123">
        <f t="shared" si="48"/>
        <v>0</v>
      </c>
      <c r="Q166" s="123">
        <f t="shared" si="48"/>
        <v>0</v>
      </c>
      <c r="R166" s="123">
        <f t="shared" si="48"/>
        <v>0</v>
      </c>
      <c r="S166" s="123">
        <f t="shared" si="49"/>
        <v>0</v>
      </c>
      <c r="T166" s="123">
        <f t="shared" si="49"/>
        <v>0</v>
      </c>
      <c r="U166" s="123">
        <f t="shared" si="49"/>
        <v>0</v>
      </c>
      <c r="V166" s="123">
        <f t="shared" si="49"/>
        <v>0</v>
      </c>
      <c r="W166" s="123">
        <f t="shared" si="49"/>
        <v>0</v>
      </c>
      <c r="X166" s="123">
        <f t="shared" si="49"/>
        <v>0</v>
      </c>
      <c r="Y166" s="123">
        <f t="shared" si="49"/>
        <v>0</v>
      </c>
      <c r="Z166" s="123">
        <f t="shared" si="49"/>
        <v>0</v>
      </c>
      <c r="AA166" s="123">
        <f t="shared" si="49"/>
        <v>0</v>
      </c>
      <c r="AB166" s="123">
        <f t="shared" si="49"/>
        <v>0</v>
      </c>
      <c r="AC166" s="123">
        <f t="shared" si="49"/>
        <v>0</v>
      </c>
      <c r="AD166" s="123">
        <f t="shared" si="49"/>
        <v>0</v>
      </c>
      <c r="AE166" s="123">
        <f t="shared" si="49"/>
        <v>0</v>
      </c>
      <c r="AF166" s="123">
        <f t="shared" si="49"/>
        <v>0</v>
      </c>
      <c r="AG166" s="126">
        <v>3</v>
      </c>
      <c r="AH166" s="55"/>
      <c r="AI166" s="56"/>
      <c r="AK166" s="57"/>
    </row>
    <row r="167" spans="1:37" x14ac:dyDescent="0.25">
      <c r="A167" s="111" t="s">
        <v>171</v>
      </c>
      <c r="B167" s="123">
        <f t="shared" si="47"/>
        <v>0.8</v>
      </c>
      <c r="C167" s="124">
        <v>0.8</v>
      </c>
      <c r="D167" s="123">
        <f t="shared" si="48"/>
        <v>0.8</v>
      </c>
      <c r="E167" s="123">
        <f t="shared" si="48"/>
        <v>0.8</v>
      </c>
      <c r="F167" s="123">
        <f t="shared" si="48"/>
        <v>0.8</v>
      </c>
      <c r="G167" s="123">
        <f t="shared" si="48"/>
        <v>0.8</v>
      </c>
      <c r="H167" s="123">
        <f t="shared" si="48"/>
        <v>0.8</v>
      </c>
      <c r="I167" s="123">
        <f t="shared" si="48"/>
        <v>0.8</v>
      </c>
      <c r="J167" s="123">
        <f t="shared" si="48"/>
        <v>0.8</v>
      </c>
      <c r="K167" s="123">
        <f t="shared" si="48"/>
        <v>0.8</v>
      </c>
      <c r="L167" s="123">
        <f t="shared" si="48"/>
        <v>0.8</v>
      </c>
      <c r="M167" s="123">
        <f t="shared" si="48"/>
        <v>0.8</v>
      </c>
      <c r="N167" s="123">
        <f t="shared" si="48"/>
        <v>0.8</v>
      </c>
      <c r="O167" s="123">
        <f t="shared" si="48"/>
        <v>0.8</v>
      </c>
      <c r="P167" s="123">
        <f t="shared" si="48"/>
        <v>0.8</v>
      </c>
      <c r="Q167" s="123">
        <f t="shared" si="48"/>
        <v>0.8</v>
      </c>
      <c r="R167" s="123">
        <f t="shared" si="48"/>
        <v>0.8</v>
      </c>
      <c r="S167" s="123">
        <f t="shared" si="49"/>
        <v>0.8</v>
      </c>
      <c r="T167" s="123">
        <f t="shared" si="49"/>
        <v>0.8</v>
      </c>
      <c r="U167" s="123">
        <f t="shared" si="49"/>
        <v>0.8</v>
      </c>
      <c r="V167" s="123">
        <f t="shared" si="49"/>
        <v>0.8</v>
      </c>
      <c r="W167" s="123">
        <f t="shared" si="49"/>
        <v>0.8</v>
      </c>
      <c r="X167" s="123">
        <f t="shared" si="49"/>
        <v>0.8</v>
      </c>
      <c r="Y167" s="123">
        <f t="shared" si="49"/>
        <v>0.8</v>
      </c>
      <c r="Z167" s="123">
        <f t="shared" si="49"/>
        <v>0.8</v>
      </c>
      <c r="AA167" s="123">
        <f t="shared" si="49"/>
        <v>0.8</v>
      </c>
      <c r="AB167" s="123">
        <f t="shared" si="49"/>
        <v>0.8</v>
      </c>
      <c r="AC167" s="123">
        <f t="shared" si="49"/>
        <v>0.8</v>
      </c>
      <c r="AD167" s="123">
        <f t="shared" si="49"/>
        <v>0.8</v>
      </c>
      <c r="AE167" s="123">
        <f t="shared" si="49"/>
        <v>0.8</v>
      </c>
      <c r="AF167" s="123">
        <f t="shared" si="49"/>
        <v>0.8</v>
      </c>
      <c r="AG167" s="126">
        <v>3</v>
      </c>
      <c r="AH167" s="55"/>
      <c r="AI167" s="56"/>
      <c r="AK167" s="57"/>
    </row>
    <row r="168" spans="1:37" x14ac:dyDescent="0.25">
      <c r="A168" s="111" t="s">
        <v>172</v>
      </c>
      <c r="B168" s="123">
        <f t="shared" si="47"/>
        <v>1.5</v>
      </c>
      <c r="C168" s="124">
        <v>1.5</v>
      </c>
      <c r="D168" s="123">
        <f t="shared" si="48"/>
        <v>1.5</v>
      </c>
      <c r="E168" s="123">
        <f t="shared" si="48"/>
        <v>1.5</v>
      </c>
      <c r="F168" s="123">
        <f t="shared" si="48"/>
        <v>1.5</v>
      </c>
      <c r="G168" s="123">
        <f t="shared" si="48"/>
        <v>1.5</v>
      </c>
      <c r="H168" s="123">
        <f t="shared" si="48"/>
        <v>1.5</v>
      </c>
      <c r="I168" s="123">
        <f t="shared" si="48"/>
        <v>1.5</v>
      </c>
      <c r="J168" s="123">
        <f t="shared" si="48"/>
        <v>1.5</v>
      </c>
      <c r="K168" s="123">
        <f t="shared" si="48"/>
        <v>1.5</v>
      </c>
      <c r="L168" s="123">
        <f t="shared" si="48"/>
        <v>1.5</v>
      </c>
      <c r="M168" s="123">
        <f t="shared" si="48"/>
        <v>1.5</v>
      </c>
      <c r="N168" s="123">
        <f t="shared" si="48"/>
        <v>1.5</v>
      </c>
      <c r="O168" s="123">
        <f t="shared" si="48"/>
        <v>1.5</v>
      </c>
      <c r="P168" s="123">
        <f t="shared" si="48"/>
        <v>1.5</v>
      </c>
      <c r="Q168" s="123">
        <f t="shared" si="48"/>
        <v>1.5</v>
      </c>
      <c r="R168" s="123">
        <f t="shared" si="48"/>
        <v>1.5</v>
      </c>
      <c r="S168" s="123">
        <f t="shared" si="49"/>
        <v>1.5</v>
      </c>
      <c r="T168" s="123">
        <f t="shared" si="49"/>
        <v>1.5</v>
      </c>
      <c r="U168" s="123">
        <f t="shared" si="49"/>
        <v>1.5</v>
      </c>
      <c r="V168" s="123">
        <f t="shared" si="49"/>
        <v>1.5</v>
      </c>
      <c r="W168" s="123">
        <f t="shared" si="49"/>
        <v>1.5</v>
      </c>
      <c r="X168" s="123">
        <f t="shared" si="49"/>
        <v>1.5</v>
      </c>
      <c r="Y168" s="123">
        <f t="shared" si="49"/>
        <v>1.5</v>
      </c>
      <c r="Z168" s="123">
        <f t="shared" si="49"/>
        <v>1.5</v>
      </c>
      <c r="AA168" s="123">
        <f t="shared" si="49"/>
        <v>1.5</v>
      </c>
      <c r="AB168" s="123">
        <f t="shared" si="49"/>
        <v>1.5</v>
      </c>
      <c r="AC168" s="123">
        <f t="shared" si="49"/>
        <v>1.5</v>
      </c>
      <c r="AD168" s="123">
        <f t="shared" si="49"/>
        <v>1.5</v>
      </c>
      <c r="AE168" s="123">
        <f t="shared" si="49"/>
        <v>1.5</v>
      </c>
      <c r="AF168" s="123">
        <f t="shared" si="49"/>
        <v>1.5</v>
      </c>
      <c r="AG168" s="126">
        <v>3</v>
      </c>
      <c r="AH168" s="55"/>
      <c r="AI168" s="56"/>
      <c r="AK168" s="57"/>
    </row>
    <row r="169" spans="1:37" x14ac:dyDescent="0.25">
      <c r="A169" s="111" t="s">
        <v>173</v>
      </c>
      <c r="B169" s="123">
        <f t="shared" si="47"/>
        <v>1</v>
      </c>
      <c r="C169" s="124">
        <v>1</v>
      </c>
      <c r="D169" s="123">
        <f t="shared" si="48"/>
        <v>1</v>
      </c>
      <c r="E169" s="123">
        <f t="shared" si="48"/>
        <v>1</v>
      </c>
      <c r="F169" s="123">
        <f t="shared" si="48"/>
        <v>1</v>
      </c>
      <c r="G169" s="123">
        <f t="shared" si="48"/>
        <v>1</v>
      </c>
      <c r="H169" s="123">
        <f t="shared" si="48"/>
        <v>1</v>
      </c>
      <c r="I169" s="123">
        <f t="shared" si="48"/>
        <v>1</v>
      </c>
      <c r="J169" s="123">
        <f t="shared" si="48"/>
        <v>1</v>
      </c>
      <c r="K169" s="123">
        <f t="shared" si="48"/>
        <v>1</v>
      </c>
      <c r="L169" s="123">
        <f t="shared" si="48"/>
        <v>1</v>
      </c>
      <c r="M169" s="123">
        <f t="shared" si="48"/>
        <v>1</v>
      </c>
      <c r="N169" s="123">
        <f t="shared" si="48"/>
        <v>1</v>
      </c>
      <c r="O169" s="123">
        <f t="shared" si="48"/>
        <v>1</v>
      </c>
      <c r="P169" s="123">
        <f t="shared" si="48"/>
        <v>1</v>
      </c>
      <c r="Q169" s="123">
        <f t="shared" si="48"/>
        <v>1</v>
      </c>
      <c r="R169" s="123">
        <f t="shared" si="48"/>
        <v>1</v>
      </c>
      <c r="S169" s="123">
        <f t="shared" si="49"/>
        <v>1</v>
      </c>
      <c r="T169" s="123">
        <f t="shared" si="49"/>
        <v>1</v>
      </c>
      <c r="U169" s="123">
        <f t="shared" si="49"/>
        <v>1</v>
      </c>
      <c r="V169" s="123">
        <f t="shared" si="49"/>
        <v>1</v>
      </c>
      <c r="W169" s="123">
        <f t="shared" si="49"/>
        <v>1</v>
      </c>
      <c r="X169" s="123">
        <f t="shared" si="49"/>
        <v>1</v>
      </c>
      <c r="Y169" s="123">
        <f t="shared" si="49"/>
        <v>1</v>
      </c>
      <c r="Z169" s="123">
        <f t="shared" si="49"/>
        <v>1</v>
      </c>
      <c r="AA169" s="123">
        <f t="shared" si="49"/>
        <v>1</v>
      </c>
      <c r="AB169" s="123">
        <f t="shared" si="49"/>
        <v>1</v>
      </c>
      <c r="AC169" s="123">
        <f t="shared" si="49"/>
        <v>1</v>
      </c>
      <c r="AD169" s="123">
        <f t="shared" si="49"/>
        <v>1</v>
      </c>
      <c r="AE169" s="123">
        <f t="shared" si="49"/>
        <v>1</v>
      </c>
      <c r="AF169" s="123">
        <f t="shared" si="49"/>
        <v>1</v>
      </c>
      <c r="AG169" s="126">
        <v>3</v>
      </c>
      <c r="AH169" s="55"/>
      <c r="AI169" s="56"/>
      <c r="AK169" s="57"/>
    </row>
    <row r="170" spans="1:37" x14ac:dyDescent="0.25">
      <c r="A170" s="111" t="s">
        <v>174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5"/>
      <c r="AI170" s="56"/>
      <c r="AK170" s="57"/>
    </row>
    <row r="171" spans="1:37" x14ac:dyDescent="0.25">
      <c r="A171" s="111" t="s">
        <v>175</v>
      </c>
      <c r="B171" s="123">
        <f t="shared" ref="B171:B178" si="50">AF171</f>
        <v>1</v>
      </c>
      <c r="C171" s="124">
        <v>1</v>
      </c>
      <c r="D171" s="123">
        <f t="shared" ref="D171:S178" si="51">C171</f>
        <v>1</v>
      </c>
      <c r="E171" s="123">
        <f t="shared" si="51"/>
        <v>1</v>
      </c>
      <c r="F171" s="123">
        <f t="shared" si="51"/>
        <v>1</v>
      </c>
      <c r="G171" s="123">
        <f t="shared" si="51"/>
        <v>1</v>
      </c>
      <c r="H171" s="123">
        <f t="shared" si="51"/>
        <v>1</v>
      </c>
      <c r="I171" s="123">
        <f t="shared" si="51"/>
        <v>1</v>
      </c>
      <c r="J171" s="123">
        <f t="shared" si="51"/>
        <v>1</v>
      </c>
      <c r="K171" s="123">
        <f t="shared" si="51"/>
        <v>1</v>
      </c>
      <c r="L171" s="123">
        <f t="shared" si="51"/>
        <v>1</v>
      </c>
      <c r="M171" s="123">
        <f t="shared" si="51"/>
        <v>1</v>
      </c>
      <c r="N171" s="123">
        <f t="shared" si="51"/>
        <v>1</v>
      </c>
      <c r="O171" s="123">
        <f t="shared" si="51"/>
        <v>1</v>
      </c>
      <c r="P171" s="123">
        <f t="shared" si="51"/>
        <v>1</v>
      </c>
      <c r="Q171" s="123">
        <f t="shared" si="51"/>
        <v>1</v>
      </c>
      <c r="R171" s="123">
        <f t="shared" si="51"/>
        <v>1</v>
      </c>
      <c r="S171" s="123">
        <f t="shared" si="51"/>
        <v>1</v>
      </c>
      <c r="T171" s="123">
        <f t="shared" ref="S171:AF178" si="52">S171</f>
        <v>1</v>
      </c>
      <c r="U171" s="123">
        <f t="shared" si="52"/>
        <v>1</v>
      </c>
      <c r="V171" s="123">
        <f t="shared" si="52"/>
        <v>1</v>
      </c>
      <c r="W171" s="123">
        <f t="shared" si="52"/>
        <v>1</v>
      </c>
      <c r="X171" s="123">
        <f t="shared" si="52"/>
        <v>1</v>
      </c>
      <c r="Y171" s="123">
        <f t="shared" si="52"/>
        <v>1</v>
      </c>
      <c r="Z171" s="123">
        <f t="shared" si="52"/>
        <v>1</v>
      </c>
      <c r="AA171" s="123">
        <f t="shared" si="52"/>
        <v>1</v>
      </c>
      <c r="AB171" s="123">
        <f t="shared" si="52"/>
        <v>1</v>
      </c>
      <c r="AC171" s="123">
        <f t="shared" si="52"/>
        <v>1</v>
      </c>
      <c r="AD171" s="123">
        <f t="shared" si="52"/>
        <v>1</v>
      </c>
      <c r="AE171" s="123">
        <f t="shared" si="52"/>
        <v>1</v>
      </c>
      <c r="AF171" s="123">
        <f t="shared" si="52"/>
        <v>1</v>
      </c>
      <c r="AG171" s="126">
        <v>2.5</v>
      </c>
      <c r="AH171" s="55"/>
      <c r="AI171" s="56"/>
      <c r="AK171" s="57"/>
    </row>
    <row r="172" spans="1:37" x14ac:dyDescent="0.25">
      <c r="A172" s="111" t="s">
        <v>176</v>
      </c>
      <c r="B172" s="123">
        <f t="shared" si="50"/>
        <v>0.42</v>
      </c>
      <c r="C172" s="124">
        <v>0.42</v>
      </c>
      <c r="D172" s="123">
        <f t="shared" si="51"/>
        <v>0.42</v>
      </c>
      <c r="E172" s="123">
        <f t="shared" si="51"/>
        <v>0.42</v>
      </c>
      <c r="F172" s="123">
        <f t="shared" si="51"/>
        <v>0.42</v>
      </c>
      <c r="G172" s="123">
        <f t="shared" si="51"/>
        <v>0.42</v>
      </c>
      <c r="H172" s="123">
        <f t="shared" si="51"/>
        <v>0.42</v>
      </c>
      <c r="I172" s="123">
        <f t="shared" si="51"/>
        <v>0.42</v>
      </c>
      <c r="J172" s="123">
        <f t="shared" si="51"/>
        <v>0.42</v>
      </c>
      <c r="K172" s="123">
        <f t="shared" si="51"/>
        <v>0.42</v>
      </c>
      <c r="L172" s="123">
        <f t="shared" si="51"/>
        <v>0.42</v>
      </c>
      <c r="M172" s="123">
        <f t="shared" si="51"/>
        <v>0.42</v>
      </c>
      <c r="N172" s="123">
        <f t="shared" si="51"/>
        <v>0.42</v>
      </c>
      <c r="O172" s="123">
        <f t="shared" si="51"/>
        <v>0.42</v>
      </c>
      <c r="P172" s="123">
        <f t="shared" si="51"/>
        <v>0.42</v>
      </c>
      <c r="Q172" s="123">
        <f t="shared" si="51"/>
        <v>0.42</v>
      </c>
      <c r="R172" s="123">
        <f t="shared" si="51"/>
        <v>0.42</v>
      </c>
      <c r="S172" s="123">
        <f t="shared" si="52"/>
        <v>0.42</v>
      </c>
      <c r="T172" s="123">
        <f t="shared" si="52"/>
        <v>0.42</v>
      </c>
      <c r="U172" s="123">
        <f t="shared" si="52"/>
        <v>0.42</v>
      </c>
      <c r="V172" s="123">
        <f t="shared" si="52"/>
        <v>0.42</v>
      </c>
      <c r="W172" s="123">
        <f t="shared" si="52"/>
        <v>0.42</v>
      </c>
      <c r="X172" s="123">
        <f t="shared" si="52"/>
        <v>0.42</v>
      </c>
      <c r="Y172" s="123">
        <f t="shared" si="52"/>
        <v>0.42</v>
      </c>
      <c r="Z172" s="123">
        <f t="shared" si="52"/>
        <v>0.42</v>
      </c>
      <c r="AA172" s="123">
        <f t="shared" si="52"/>
        <v>0.42</v>
      </c>
      <c r="AB172" s="123">
        <f t="shared" si="52"/>
        <v>0.42</v>
      </c>
      <c r="AC172" s="123">
        <f t="shared" si="52"/>
        <v>0.42</v>
      </c>
      <c r="AD172" s="123">
        <f t="shared" si="52"/>
        <v>0.42</v>
      </c>
      <c r="AE172" s="123">
        <f t="shared" si="52"/>
        <v>0.42</v>
      </c>
      <c r="AF172" s="123">
        <f t="shared" si="52"/>
        <v>0.42</v>
      </c>
      <c r="AG172" s="126">
        <v>2.5</v>
      </c>
      <c r="AH172" s="55"/>
      <c r="AI172" s="56"/>
      <c r="AK172" s="57"/>
    </row>
    <row r="173" spans="1:37" x14ac:dyDescent="0.25">
      <c r="A173" s="111" t="s">
        <v>177</v>
      </c>
      <c r="B173" s="123">
        <f t="shared" si="50"/>
        <v>0.46</v>
      </c>
      <c r="C173" s="124">
        <v>0.46</v>
      </c>
      <c r="D173" s="123">
        <f t="shared" si="51"/>
        <v>0.46</v>
      </c>
      <c r="E173" s="123">
        <f t="shared" si="51"/>
        <v>0.46</v>
      </c>
      <c r="F173" s="123">
        <f t="shared" si="51"/>
        <v>0.46</v>
      </c>
      <c r="G173" s="123">
        <f t="shared" si="51"/>
        <v>0.46</v>
      </c>
      <c r="H173" s="123">
        <f t="shared" si="51"/>
        <v>0.46</v>
      </c>
      <c r="I173" s="123">
        <f t="shared" si="51"/>
        <v>0.46</v>
      </c>
      <c r="J173" s="123">
        <f t="shared" si="51"/>
        <v>0.46</v>
      </c>
      <c r="K173" s="123">
        <f t="shared" si="51"/>
        <v>0.46</v>
      </c>
      <c r="L173" s="123">
        <f t="shared" si="51"/>
        <v>0.46</v>
      </c>
      <c r="M173" s="123">
        <f t="shared" si="51"/>
        <v>0.46</v>
      </c>
      <c r="N173" s="123">
        <f t="shared" si="51"/>
        <v>0.46</v>
      </c>
      <c r="O173" s="123">
        <f t="shared" si="51"/>
        <v>0.46</v>
      </c>
      <c r="P173" s="123">
        <f t="shared" si="51"/>
        <v>0.46</v>
      </c>
      <c r="Q173" s="123">
        <f t="shared" si="51"/>
        <v>0.46</v>
      </c>
      <c r="R173" s="123">
        <f t="shared" si="51"/>
        <v>0.46</v>
      </c>
      <c r="S173" s="123">
        <f t="shared" si="52"/>
        <v>0.46</v>
      </c>
      <c r="T173" s="123">
        <f t="shared" si="52"/>
        <v>0.46</v>
      </c>
      <c r="U173" s="123">
        <f t="shared" si="52"/>
        <v>0.46</v>
      </c>
      <c r="V173" s="123">
        <f t="shared" si="52"/>
        <v>0.46</v>
      </c>
      <c r="W173" s="123">
        <f t="shared" si="52"/>
        <v>0.46</v>
      </c>
      <c r="X173" s="123">
        <f t="shared" si="52"/>
        <v>0.46</v>
      </c>
      <c r="Y173" s="123">
        <f t="shared" si="52"/>
        <v>0.46</v>
      </c>
      <c r="Z173" s="123">
        <f t="shared" si="52"/>
        <v>0.46</v>
      </c>
      <c r="AA173" s="123">
        <f t="shared" si="52"/>
        <v>0.46</v>
      </c>
      <c r="AB173" s="123">
        <f t="shared" si="52"/>
        <v>0.46</v>
      </c>
      <c r="AC173" s="123">
        <f t="shared" si="52"/>
        <v>0.46</v>
      </c>
      <c r="AD173" s="123">
        <f t="shared" si="52"/>
        <v>0.46</v>
      </c>
      <c r="AE173" s="123">
        <f t="shared" si="52"/>
        <v>0.46</v>
      </c>
      <c r="AF173" s="123">
        <f t="shared" si="52"/>
        <v>0.46</v>
      </c>
      <c r="AG173" s="126">
        <v>2.4</v>
      </c>
      <c r="AH173" s="55"/>
      <c r="AI173" s="56"/>
      <c r="AK173" s="57"/>
    </row>
    <row r="174" spans="1:37" x14ac:dyDescent="0.25">
      <c r="A174" s="111" t="s">
        <v>178</v>
      </c>
      <c r="B174" s="123">
        <f t="shared" si="50"/>
        <v>0.85</v>
      </c>
      <c r="C174" s="124">
        <v>0.85</v>
      </c>
      <c r="D174" s="123">
        <f t="shared" si="51"/>
        <v>0.85</v>
      </c>
      <c r="E174" s="123">
        <f t="shared" si="51"/>
        <v>0.85</v>
      </c>
      <c r="F174" s="123">
        <f t="shared" si="51"/>
        <v>0.85</v>
      </c>
      <c r="G174" s="123">
        <f t="shared" si="51"/>
        <v>0.85</v>
      </c>
      <c r="H174" s="123">
        <f t="shared" si="51"/>
        <v>0.85</v>
      </c>
      <c r="I174" s="123">
        <f t="shared" si="51"/>
        <v>0.85</v>
      </c>
      <c r="J174" s="123">
        <f t="shared" si="51"/>
        <v>0.85</v>
      </c>
      <c r="K174" s="123">
        <f t="shared" si="51"/>
        <v>0.85</v>
      </c>
      <c r="L174" s="123">
        <f t="shared" si="51"/>
        <v>0.85</v>
      </c>
      <c r="M174" s="123">
        <f t="shared" si="51"/>
        <v>0.85</v>
      </c>
      <c r="N174" s="123">
        <f t="shared" si="51"/>
        <v>0.85</v>
      </c>
      <c r="O174" s="123">
        <f t="shared" si="51"/>
        <v>0.85</v>
      </c>
      <c r="P174" s="123">
        <f t="shared" si="51"/>
        <v>0.85</v>
      </c>
      <c r="Q174" s="123">
        <f t="shared" si="51"/>
        <v>0.85</v>
      </c>
      <c r="R174" s="123">
        <f t="shared" si="51"/>
        <v>0.85</v>
      </c>
      <c r="S174" s="123">
        <f t="shared" si="52"/>
        <v>0.85</v>
      </c>
      <c r="T174" s="123">
        <f t="shared" si="52"/>
        <v>0.85</v>
      </c>
      <c r="U174" s="123">
        <f t="shared" si="52"/>
        <v>0.85</v>
      </c>
      <c r="V174" s="123">
        <f t="shared" si="52"/>
        <v>0.85</v>
      </c>
      <c r="W174" s="123">
        <f t="shared" si="52"/>
        <v>0.85</v>
      </c>
      <c r="X174" s="123">
        <f t="shared" si="52"/>
        <v>0.85</v>
      </c>
      <c r="Y174" s="123">
        <f t="shared" si="52"/>
        <v>0.85</v>
      </c>
      <c r="Z174" s="123">
        <f t="shared" si="52"/>
        <v>0.85</v>
      </c>
      <c r="AA174" s="123">
        <f t="shared" si="52"/>
        <v>0.85</v>
      </c>
      <c r="AB174" s="123">
        <f t="shared" si="52"/>
        <v>0.85</v>
      </c>
      <c r="AC174" s="123">
        <f t="shared" si="52"/>
        <v>0.85</v>
      </c>
      <c r="AD174" s="123">
        <f t="shared" si="52"/>
        <v>0.85</v>
      </c>
      <c r="AE174" s="123">
        <f t="shared" si="52"/>
        <v>0.85</v>
      </c>
      <c r="AF174" s="123">
        <f t="shared" si="52"/>
        <v>0.85</v>
      </c>
      <c r="AG174" s="126">
        <v>2.4</v>
      </c>
      <c r="AH174" s="55"/>
      <c r="AI174" s="56"/>
      <c r="AK174" s="57"/>
    </row>
    <row r="175" spans="1:37" x14ac:dyDescent="0.25">
      <c r="A175" s="111" t="s">
        <v>179</v>
      </c>
      <c r="B175" s="123">
        <f t="shared" si="50"/>
        <v>0.9</v>
      </c>
      <c r="C175" s="124">
        <v>0.9</v>
      </c>
      <c r="D175" s="123">
        <f t="shared" si="51"/>
        <v>0.9</v>
      </c>
      <c r="E175" s="123">
        <f t="shared" si="51"/>
        <v>0.9</v>
      </c>
      <c r="F175" s="123">
        <f t="shared" si="51"/>
        <v>0.9</v>
      </c>
      <c r="G175" s="123">
        <f t="shared" si="51"/>
        <v>0.9</v>
      </c>
      <c r="H175" s="123">
        <f t="shared" si="51"/>
        <v>0.9</v>
      </c>
      <c r="I175" s="123">
        <f t="shared" si="51"/>
        <v>0.9</v>
      </c>
      <c r="J175" s="123">
        <f t="shared" si="51"/>
        <v>0.9</v>
      </c>
      <c r="K175" s="123">
        <f t="shared" si="51"/>
        <v>0.9</v>
      </c>
      <c r="L175" s="123">
        <f t="shared" si="51"/>
        <v>0.9</v>
      </c>
      <c r="M175" s="123">
        <f t="shared" si="51"/>
        <v>0.9</v>
      </c>
      <c r="N175" s="123">
        <f t="shared" si="51"/>
        <v>0.9</v>
      </c>
      <c r="O175" s="123">
        <f t="shared" si="51"/>
        <v>0.9</v>
      </c>
      <c r="P175" s="123">
        <f t="shared" si="51"/>
        <v>0.9</v>
      </c>
      <c r="Q175" s="123">
        <f t="shared" si="51"/>
        <v>0.9</v>
      </c>
      <c r="R175" s="123">
        <f t="shared" si="51"/>
        <v>0.9</v>
      </c>
      <c r="S175" s="123">
        <f t="shared" si="52"/>
        <v>0.9</v>
      </c>
      <c r="T175" s="123">
        <f t="shared" si="52"/>
        <v>0.9</v>
      </c>
      <c r="U175" s="123">
        <f t="shared" si="52"/>
        <v>0.9</v>
      </c>
      <c r="V175" s="123">
        <f t="shared" si="52"/>
        <v>0.9</v>
      </c>
      <c r="W175" s="123">
        <f t="shared" si="52"/>
        <v>0.9</v>
      </c>
      <c r="X175" s="123">
        <f t="shared" si="52"/>
        <v>0.9</v>
      </c>
      <c r="Y175" s="123">
        <f t="shared" si="52"/>
        <v>0.9</v>
      </c>
      <c r="Z175" s="123">
        <f t="shared" si="52"/>
        <v>0.9</v>
      </c>
      <c r="AA175" s="123">
        <f t="shared" si="52"/>
        <v>0.9</v>
      </c>
      <c r="AB175" s="123">
        <f t="shared" si="52"/>
        <v>0.9</v>
      </c>
      <c r="AC175" s="123">
        <f t="shared" si="52"/>
        <v>0.9</v>
      </c>
      <c r="AD175" s="123">
        <f t="shared" si="52"/>
        <v>0.9</v>
      </c>
      <c r="AE175" s="123">
        <f t="shared" si="52"/>
        <v>0.9</v>
      </c>
      <c r="AF175" s="123">
        <f t="shared" si="52"/>
        <v>0.9</v>
      </c>
      <c r="AG175" s="126">
        <v>2.2000000000000002</v>
      </c>
      <c r="AH175" s="55"/>
      <c r="AI175" s="56"/>
      <c r="AK175" s="57"/>
    </row>
    <row r="176" spans="1:37" x14ac:dyDescent="0.25">
      <c r="A176" s="111" t="s">
        <v>180</v>
      </c>
      <c r="B176" s="123">
        <f t="shared" si="50"/>
        <v>0.44</v>
      </c>
      <c r="C176" s="124">
        <v>0.44</v>
      </c>
      <c r="D176" s="123">
        <f t="shared" si="51"/>
        <v>0.44</v>
      </c>
      <c r="E176" s="123">
        <f t="shared" si="51"/>
        <v>0.44</v>
      </c>
      <c r="F176" s="123">
        <f t="shared" si="51"/>
        <v>0.44</v>
      </c>
      <c r="G176" s="123">
        <f t="shared" si="51"/>
        <v>0.44</v>
      </c>
      <c r="H176" s="123">
        <f t="shared" si="51"/>
        <v>0.44</v>
      </c>
      <c r="I176" s="123">
        <f t="shared" si="51"/>
        <v>0.44</v>
      </c>
      <c r="J176" s="123">
        <f t="shared" si="51"/>
        <v>0.44</v>
      </c>
      <c r="K176" s="123">
        <f t="shared" si="51"/>
        <v>0.44</v>
      </c>
      <c r="L176" s="123">
        <f t="shared" si="51"/>
        <v>0.44</v>
      </c>
      <c r="M176" s="123">
        <f t="shared" si="51"/>
        <v>0.44</v>
      </c>
      <c r="N176" s="123">
        <f t="shared" si="51"/>
        <v>0.44</v>
      </c>
      <c r="O176" s="123">
        <f t="shared" si="51"/>
        <v>0.44</v>
      </c>
      <c r="P176" s="123">
        <f t="shared" si="51"/>
        <v>0.44</v>
      </c>
      <c r="Q176" s="123">
        <f t="shared" si="51"/>
        <v>0.44</v>
      </c>
      <c r="R176" s="123">
        <f t="shared" si="51"/>
        <v>0.44</v>
      </c>
      <c r="S176" s="123">
        <f t="shared" si="52"/>
        <v>0.44</v>
      </c>
      <c r="T176" s="123">
        <f t="shared" si="52"/>
        <v>0.44</v>
      </c>
      <c r="U176" s="123">
        <f t="shared" si="52"/>
        <v>0.44</v>
      </c>
      <c r="V176" s="123">
        <f t="shared" si="52"/>
        <v>0.44</v>
      </c>
      <c r="W176" s="123">
        <f t="shared" si="52"/>
        <v>0.44</v>
      </c>
      <c r="X176" s="123">
        <f t="shared" si="52"/>
        <v>0.44</v>
      </c>
      <c r="Y176" s="123">
        <f t="shared" si="52"/>
        <v>0.44</v>
      </c>
      <c r="Z176" s="123">
        <f t="shared" si="52"/>
        <v>0.44</v>
      </c>
      <c r="AA176" s="123">
        <f t="shared" si="52"/>
        <v>0.44</v>
      </c>
      <c r="AB176" s="123">
        <f t="shared" si="52"/>
        <v>0.44</v>
      </c>
      <c r="AC176" s="123">
        <f t="shared" si="52"/>
        <v>0.44</v>
      </c>
      <c r="AD176" s="123">
        <f t="shared" si="52"/>
        <v>0.44</v>
      </c>
      <c r="AE176" s="123">
        <f t="shared" si="52"/>
        <v>0.44</v>
      </c>
      <c r="AF176" s="123">
        <f t="shared" si="52"/>
        <v>0.44</v>
      </c>
      <c r="AG176" s="126">
        <v>2</v>
      </c>
      <c r="AH176" s="55"/>
      <c r="AI176" s="56"/>
      <c r="AK176" s="57"/>
    </row>
    <row r="177" spans="1:37" x14ac:dyDescent="0.25">
      <c r="A177" s="111" t="s">
        <v>181</v>
      </c>
      <c r="B177" s="123">
        <f t="shared" si="50"/>
        <v>2.1</v>
      </c>
      <c r="C177" s="124">
        <v>2.1</v>
      </c>
      <c r="D177" s="123">
        <f t="shared" si="51"/>
        <v>2.1</v>
      </c>
      <c r="E177" s="123">
        <f t="shared" si="51"/>
        <v>2.1</v>
      </c>
      <c r="F177" s="123">
        <f t="shared" si="51"/>
        <v>2.1</v>
      </c>
      <c r="G177" s="123">
        <f t="shared" si="51"/>
        <v>2.1</v>
      </c>
      <c r="H177" s="123">
        <f t="shared" si="51"/>
        <v>2.1</v>
      </c>
      <c r="I177" s="123">
        <f t="shared" si="51"/>
        <v>2.1</v>
      </c>
      <c r="J177" s="123">
        <f t="shared" si="51"/>
        <v>2.1</v>
      </c>
      <c r="K177" s="123">
        <f t="shared" si="51"/>
        <v>2.1</v>
      </c>
      <c r="L177" s="123">
        <f t="shared" si="51"/>
        <v>2.1</v>
      </c>
      <c r="M177" s="123">
        <f t="shared" si="51"/>
        <v>2.1</v>
      </c>
      <c r="N177" s="123">
        <f t="shared" si="51"/>
        <v>2.1</v>
      </c>
      <c r="O177" s="123">
        <f t="shared" si="51"/>
        <v>2.1</v>
      </c>
      <c r="P177" s="123">
        <f t="shared" si="51"/>
        <v>2.1</v>
      </c>
      <c r="Q177" s="123">
        <f t="shared" si="51"/>
        <v>2.1</v>
      </c>
      <c r="R177" s="123">
        <f t="shared" si="51"/>
        <v>2.1</v>
      </c>
      <c r="S177" s="123">
        <f t="shared" si="52"/>
        <v>2.1</v>
      </c>
      <c r="T177" s="123">
        <f t="shared" si="52"/>
        <v>2.1</v>
      </c>
      <c r="U177" s="123">
        <f t="shared" si="52"/>
        <v>2.1</v>
      </c>
      <c r="V177" s="123">
        <f t="shared" si="52"/>
        <v>2.1</v>
      </c>
      <c r="W177" s="123">
        <f t="shared" si="52"/>
        <v>2.1</v>
      </c>
      <c r="X177" s="123">
        <f t="shared" si="52"/>
        <v>2.1</v>
      </c>
      <c r="Y177" s="123">
        <f t="shared" si="52"/>
        <v>2.1</v>
      </c>
      <c r="Z177" s="123">
        <f t="shared" si="52"/>
        <v>2.1</v>
      </c>
      <c r="AA177" s="123">
        <f t="shared" si="52"/>
        <v>2.1</v>
      </c>
      <c r="AB177" s="123">
        <f t="shared" si="52"/>
        <v>2.1</v>
      </c>
      <c r="AC177" s="123">
        <f t="shared" si="52"/>
        <v>2.1</v>
      </c>
      <c r="AD177" s="123">
        <f t="shared" si="52"/>
        <v>2.1</v>
      </c>
      <c r="AE177" s="123">
        <f t="shared" si="52"/>
        <v>2.1</v>
      </c>
      <c r="AF177" s="123">
        <f t="shared" si="52"/>
        <v>2.1</v>
      </c>
      <c r="AG177" s="126">
        <v>2</v>
      </c>
      <c r="AH177" s="55"/>
      <c r="AI177" s="56"/>
      <c r="AK177" s="57"/>
    </row>
    <row r="178" spans="1:37" x14ac:dyDescent="0.25">
      <c r="A178" s="111" t="s">
        <v>182</v>
      </c>
      <c r="B178" s="123">
        <f t="shared" si="50"/>
        <v>0.9</v>
      </c>
      <c r="C178" s="124">
        <v>0.9</v>
      </c>
      <c r="D178" s="123">
        <f t="shared" si="51"/>
        <v>0.9</v>
      </c>
      <c r="E178" s="123">
        <f t="shared" si="51"/>
        <v>0.9</v>
      </c>
      <c r="F178" s="123">
        <f t="shared" si="51"/>
        <v>0.9</v>
      </c>
      <c r="G178" s="123">
        <f t="shared" si="51"/>
        <v>0.9</v>
      </c>
      <c r="H178" s="123">
        <f t="shared" si="51"/>
        <v>0.9</v>
      </c>
      <c r="I178" s="123">
        <f t="shared" si="51"/>
        <v>0.9</v>
      </c>
      <c r="J178" s="123">
        <f t="shared" si="51"/>
        <v>0.9</v>
      </c>
      <c r="K178" s="123">
        <f t="shared" si="51"/>
        <v>0.9</v>
      </c>
      <c r="L178" s="123">
        <f t="shared" si="51"/>
        <v>0.9</v>
      </c>
      <c r="M178" s="123">
        <f t="shared" si="51"/>
        <v>0.9</v>
      </c>
      <c r="N178" s="123">
        <f t="shared" si="51"/>
        <v>0.9</v>
      </c>
      <c r="O178" s="123">
        <f t="shared" si="51"/>
        <v>0.9</v>
      </c>
      <c r="P178" s="123">
        <f t="shared" si="51"/>
        <v>0.9</v>
      </c>
      <c r="Q178" s="123">
        <f t="shared" si="51"/>
        <v>0.9</v>
      </c>
      <c r="R178" s="123">
        <f t="shared" si="51"/>
        <v>0.9</v>
      </c>
      <c r="S178" s="123">
        <f t="shared" si="52"/>
        <v>0.9</v>
      </c>
      <c r="T178" s="123">
        <f t="shared" si="52"/>
        <v>0.9</v>
      </c>
      <c r="U178" s="123">
        <f t="shared" si="52"/>
        <v>0.9</v>
      </c>
      <c r="V178" s="123">
        <f t="shared" si="52"/>
        <v>0.9</v>
      </c>
      <c r="W178" s="123">
        <f t="shared" si="52"/>
        <v>0.9</v>
      </c>
      <c r="X178" s="123">
        <f t="shared" si="52"/>
        <v>0.9</v>
      </c>
      <c r="Y178" s="123">
        <f t="shared" si="52"/>
        <v>0.9</v>
      </c>
      <c r="Z178" s="123">
        <f t="shared" si="52"/>
        <v>0.9</v>
      </c>
      <c r="AA178" s="123">
        <f t="shared" si="52"/>
        <v>0.9</v>
      </c>
      <c r="AB178" s="123">
        <f t="shared" si="52"/>
        <v>0.9</v>
      </c>
      <c r="AC178" s="123">
        <f t="shared" si="52"/>
        <v>0.9</v>
      </c>
      <c r="AD178" s="123">
        <f t="shared" si="52"/>
        <v>0.9</v>
      </c>
      <c r="AE178" s="123">
        <f t="shared" si="52"/>
        <v>0.9</v>
      </c>
      <c r="AF178" s="123">
        <f t="shared" si="52"/>
        <v>0.9</v>
      </c>
      <c r="AG178" s="126">
        <v>2</v>
      </c>
      <c r="AH178" s="55"/>
      <c r="AI178" s="56"/>
      <c r="AK178" s="57"/>
    </row>
    <row r="179" spans="1:37" x14ac:dyDescent="0.25">
      <c r="A179" s="111" t="s">
        <v>183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5"/>
      <c r="AI179" s="56"/>
      <c r="AK179" s="57"/>
    </row>
    <row r="180" spans="1:37" x14ac:dyDescent="0.25">
      <c r="A180" s="111" t="s">
        <v>184</v>
      </c>
      <c r="B180" s="123">
        <f t="shared" ref="B180:B192" si="53">AF180</f>
        <v>0.57999999999999996</v>
      </c>
      <c r="C180" s="124">
        <v>0.57999999999999996</v>
      </c>
      <c r="D180" s="123">
        <f t="shared" ref="D180:S192" si="54">C180</f>
        <v>0.57999999999999996</v>
      </c>
      <c r="E180" s="123">
        <f t="shared" si="54"/>
        <v>0.57999999999999996</v>
      </c>
      <c r="F180" s="123">
        <f t="shared" si="54"/>
        <v>0.57999999999999996</v>
      </c>
      <c r="G180" s="123">
        <f t="shared" si="54"/>
        <v>0.57999999999999996</v>
      </c>
      <c r="H180" s="123">
        <f t="shared" si="54"/>
        <v>0.57999999999999996</v>
      </c>
      <c r="I180" s="123">
        <f t="shared" si="54"/>
        <v>0.57999999999999996</v>
      </c>
      <c r="J180" s="123">
        <f t="shared" si="54"/>
        <v>0.57999999999999996</v>
      </c>
      <c r="K180" s="123">
        <f t="shared" si="54"/>
        <v>0.57999999999999996</v>
      </c>
      <c r="L180" s="123">
        <f t="shared" si="54"/>
        <v>0.57999999999999996</v>
      </c>
      <c r="M180" s="123">
        <f t="shared" si="54"/>
        <v>0.57999999999999996</v>
      </c>
      <c r="N180" s="123">
        <f t="shared" si="54"/>
        <v>0.57999999999999996</v>
      </c>
      <c r="O180" s="123">
        <f t="shared" si="54"/>
        <v>0.57999999999999996</v>
      </c>
      <c r="P180" s="123">
        <f t="shared" si="54"/>
        <v>0.57999999999999996</v>
      </c>
      <c r="Q180" s="123">
        <f t="shared" si="54"/>
        <v>0.57999999999999996</v>
      </c>
      <c r="R180" s="123">
        <f t="shared" si="54"/>
        <v>0.57999999999999996</v>
      </c>
      <c r="S180" s="123">
        <f t="shared" si="54"/>
        <v>0.57999999999999996</v>
      </c>
      <c r="T180" s="123">
        <f t="shared" ref="S180:AF192" si="55">S180</f>
        <v>0.57999999999999996</v>
      </c>
      <c r="U180" s="123">
        <f t="shared" si="55"/>
        <v>0.57999999999999996</v>
      </c>
      <c r="V180" s="123">
        <f t="shared" si="55"/>
        <v>0.57999999999999996</v>
      </c>
      <c r="W180" s="123">
        <f t="shared" si="55"/>
        <v>0.57999999999999996</v>
      </c>
      <c r="X180" s="123">
        <f t="shared" si="55"/>
        <v>0.57999999999999996</v>
      </c>
      <c r="Y180" s="123">
        <f t="shared" si="55"/>
        <v>0.57999999999999996</v>
      </c>
      <c r="Z180" s="123">
        <f t="shared" si="55"/>
        <v>0.57999999999999996</v>
      </c>
      <c r="AA180" s="123">
        <f t="shared" si="55"/>
        <v>0.57999999999999996</v>
      </c>
      <c r="AB180" s="123">
        <f t="shared" si="55"/>
        <v>0.57999999999999996</v>
      </c>
      <c r="AC180" s="123">
        <f t="shared" si="55"/>
        <v>0.57999999999999996</v>
      </c>
      <c r="AD180" s="123">
        <f t="shared" si="55"/>
        <v>0.57999999999999996</v>
      </c>
      <c r="AE180" s="123">
        <f t="shared" si="55"/>
        <v>0.57999999999999996</v>
      </c>
      <c r="AF180" s="123">
        <f t="shared" si="55"/>
        <v>0.57999999999999996</v>
      </c>
      <c r="AG180" s="126">
        <v>1.8</v>
      </c>
      <c r="AH180" s="55"/>
      <c r="AI180" s="56"/>
      <c r="AK180" s="57"/>
    </row>
    <row r="181" spans="1:37" x14ac:dyDescent="0.25">
      <c r="A181" s="111" t="s">
        <v>185</v>
      </c>
      <c r="B181" s="123">
        <f t="shared" si="53"/>
        <v>0.8</v>
      </c>
      <c r="C181" s="124">
        <v>0.8</v>
      </c>
      <c r="D181" s="123">
        <f t="shared" si="54"/>
        <v>0.8</v>
      </c>
      <c r="E181" s="123">
        <f t="shared" si="54"/>
        <v>0.8</v>
      </c>
      <c r="F181" s="123">
        <f t="shared" si="54"/>
        <v>0.8</v>
      </c>
      <c r="G181" s="123">
        <f t="shared" si="54"/>
        <v>0.8</v>
      </c>
      <c r="H181" s="123">
        <f t="shared" si="54"/>
        <v>0.8</v>
      </c>
      <c r="I181" s="123">
        <f t="shared" si="54"/>
        <v>0.8</v>
      </c>
      <c r="J181" s="123">
        <f t="shared" si="54"/>
        <v>0.8</v>
      </c>
      <c r="K181" s="123">
        <f t="shared" si="54"/>
        <v>0.8</v>
      </c>
      <c r="L181" s="123">
        <f t="shared" si="54"/>
        <v>0.8</v>
      </c>
      <c r="M181" s="123">
        <f t="shared" si="54"/>
        <v>0.8</v>
      </c>
      <c r="N181" s="123">
        <f t="shared" si="54"/>
        <v>0.8</v>
      </c>
      <c r="O181" s="123">
        <f t="shared" si="54"/>
        <v>0.8</v>
      </c>
      <c r="P181" s="123">
        <f t="shared" si="54"/>
        <v>0.8</v>
      </c>
      <c r="Q181" s="123">
        <f t="shared" si="54"/>
        <v>0.8</v>
      </c>
      <c r="R181" s="123">
        <f t="shared" si="54"/>
        <v>0.8</v>
      </c>
      <c r="S181" s="123">
        <f t="shared" si="54"/>
        <v>0.8</v>
      </c>
      <c r="T181" s="123">
        <f t="shared" si="55"/>
        <v>0.8</v>
      </c>
      <c r="U181" s="123">
        <f t="shared" si="55"/>
        <v>0.8</v>
      </c>
      <c r="V181" s="123">
        <f t="shared" si="55"/>
        <v>0.8</v>
      </c>
      <c r="W181" s="123">
        <f t="shared" si="55"/>
        <v>0.8</v>
      </c>
      <c r="X181" s="123">
        <f t="shared" si="55"/>
        <v>0.8</v>
      </c>
      <c r="Y181" s="123">
        <f t="shared" si="55"/>
        <v>0.8</v>
      </c>
      <c r="Z181" s="123">
        <f t="shared" si="55"/>
        <v>0.8</v>
      </c>
      <c r="AA181" s="123">
        <f t="shared" si="55"/>
        <v>0.8</v>
      </c>
      <c r="AB181" s="123">
        <f t="shared" si="55"/>
        <v>0.8</v>
      </c>
      <c r="AC181" s="123">
        <f t="shared" si="55"/>
        <v>0.8</v>
      </c>
      <c r="AD181" s="123">
        <f t="shared" si="55"/>
        <v>0.8</v>
      </c>
      <c r="AE181" s="123">
        <f t="shared" si="55"/>
        <v>0.8</v>
      </c>
      <c r="AF181" s="123">
        <f t="shared" si="55"/>
        <v>0.8</v>
      </c>
      <c r="AG181" s="126">
        <v>1.65</v>
      </c>
      <c r="AH181" s="55"/>
      <c r="AI181" s="56"/>
      <c r="AK181" s="57"/>
    </row>
    <row r="182" spans="1:37" x14ac:dyDescent="0.25">
      <c r="A182" s="111" t="s">
        <v>186</v>
      </c>
      <c r="B182" s="123">
        <f t="shared" si="53"/>
        <v>0</v>
      </c>
      <c r="C182" s="124">
        <v>0</v>
      </c>
      <c r="D182" s="123">
        <f t="shared" si="54"/>
        <v>0</v>
      </c>
      <c r="E182" s="123">
        <f t="shared" si="54"/>
        <v>0</v>
      </c>
      <c r="F182" s="123">
        <f t="shared" si="54"/>
        <v>0</v>
      </c>
      <c r="G182" s="123">
        <f t="shared" si="54"/>
        <v>0</v>
      </c>
      <c r="H182" s="123">
        <f t="shared" si="54"/>
        <v>0</v>
      </c>
      <c r="I182" s="123">
        <f t="shared" si="54"/>
        <v>0</v>
      </c>
      <c r="J182" s="123">
        <f t="shared" si="54"/>
        <v>0</v>
      </c>
      <c r="K182" s="123">
        <f t="shared" si="54"/>
        <v>0</v>
      </c>
      <c r="L182" s="123">
        <f t="shared" si="54"/>
        <v>0</v>
      </c>
      <c r="M182" s="123">
        <f t="shared" si="54"/>
        <v>0</v>
      </c>
      <c r="N182" s="123">
        <f t="shared" si="54"/>
        <v>0</v>
      </c>
      <c r="O182" s="123">
        <f t="shared" si="54"/>
        <v>0</v>
      </c>
      <c r="P182" s="123">
        <f t="shared" si="54"/>
        <v>0</v>
      </c>
      <c r="Q182" s="123">
        <f t="shared" si="54"/>
        <v>0</v>
      </c>
      <c r="R182" s="123">
        <f t="shared" si="54"/>
        <v>0</v>
      </c>
      <c r="S182" s="123">
        <f t="shared" si="54"/>
        <v>0</v>
      </c>
      <c r="T182" s="123">
        <f t="shared" si="55"/>
        <v>0</v>
      </c>
      <c r="U182" s="123">
        <f t="shared" si="55"/>
        <v>0</v>
      </c>
      <c r="V182" s="123">
        <f t="shared" si="55"/>
        <v>0</v>
      </c>
      <c r="W182" s="123">
        <f t="shared" si="55"/>
        <v>0</v>
      </c>
      <c r="X182" s="123">
        <f t="shared" si="55"/>
        <v>0</v>
      </c>
      <c r="Y182" s="123">
        <f t="shared" si="55"/>
        <v>0</v>
      </c>
      <c r="Z182" s="123">
        <f t="shared" si="55"/>
        <v>0</v>
      </c>
      <c r="AA182" s="123">
        <f t="shared" si="55"/>
        <v>0</v>
      </c>
      <c r="AB182" s="123">
        <f t="shared" si="55"/>
        <v>0</v>
      </c>
      <c r="AC182" s="123">
        <f t="shared" si="55"/>
        <v>0</v>
      </c>
      <c r="AD182" s="123">
        <f t="shared" si="55"/>
        <v>0</v>
      </c>
      <c r="AE182" s="123">
        <f t="shared" si="55"/>
        <v>0</v>
      </c>
      <c r="AF182" s="123">
        <f t="shared" si="55"/>
        <v>0</v>
      </c>
      <c r="AG182" s="126">
        <v>1.5</v>
      </c>
      <c r="AH182" s="55"/>
      <c r="AI182" s="56"/>
      <c r="AK182" s="57"/>
    </row>
    <row r="183" spans="1:37" x14ac:dyDescent="0.25">
      <c r="A183" s="111" t="s">
        <v>187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0.998</v>
      </c>
      <c r="AH183" s="55"/>
      <c r="AI183" s="56"/>
      <c r="AK183" s="57"/>
    </row>
    <row r="184" spans="1:37" x14ac:dyDescent="0.25">
      <c r="A184" s="111" t="s">
        <v>188</v>
      </c>
      <c r="B184" s="123">
        <f t="shared" si="53"/>
        <v>0.6</v>
      </c>
      <c r="C184" s="124">
        <v>0.6</v>
      </c>
      <c r="D184" s="123">
        <f t="shared" si="54"/>
        <v>0.6</v>
      </c>
      <c r="E184" s="123">
        <f t="shared" si="54"/>
        <v>0.6</v>
      </c>
      <c r="F184" s="123">
        <f t="shared" si="54"/>
        <v>0.6</v>
      </c>
      <c r="G184" s="123">
        <f t="shared" si="54"/>
        <v>0.6</v>
      </c>
      <c r="H184" s="123">
        <f t="shared" si="54"/>
        <v>0.6</v>
      </c>
      <c r="I184" s="123">
        <f t="shared" si="54"/>
        <v>0.6</v>
      </c>
      <c r="J184" s="123">
        <f t="shared" si="54"/>
        <v>0.6</v>
      </c>
      <c r="K184" s="123">
        <f t="shared" si="54"/>
        <v>0.6</v>
      </c>
      <c r="L184" s="123">
        <f t="shared" si="54"/>
        <v>0.6</v>
      </c>
      <c r="M184" s="123">
        <f t="shared" si="54"/>
        <v>0.6</v>
      </c>
      <c r="N184" s="123">
        <f t="shared" si="54"/>
        <v>0.6</v>
      </c>
      <c r="O184" s="123">
        <f t="shared" si="54"/>
        <v>0.6</v>
      </c>
      <c r="P184" s="123">
        <f t="shared" si="54"/>
        <v>0.6</v>
      </c>
      <c r="Q184" s="123">
        <f t="shared" si="54"/>
        <v>0.6</v>
      </c>
      <c r="R184" s="123">
        <f t="shared" si="54"/>
        <v>0.6</v>
      </c>
      <c r="S184" s="123">
        <f t="shared" si="54"/>
        <v>0.6</v>
      </c>
      <c r="T184" s="123">
        <f t="shared" si="55"/>
        <v>0.6</v>
      </c>
      <c r="U184" s="123">
        <f t="shared" si="55"/>
        <v>0.6</v>
      </c>
      <c r="V184" s="123">
        <f t="shared" si="55"/>
        <v>0.6</v>
      </c>
      <c r="W184" s="123">
        <f t="shared" si="55"/>
        <v>0.6</v>
      </c>
      <c r="X184" s="123">
        <f t="shared" si="55"/>
        <v>0.6</v>
      </c>
      <c r="Y184" s="123">
        <f t="shared" si="55"/>
        <v>0.6</v>
      </c>
      <c r="Z184" s="123">
        <f t="shared" si="55"/>
        <v>0.6</v>
      </c>
      <c r="AA184" s="123">
        <f t="shared" si="55"/>
        <v>0.6</v>
      </c>
      <c r="AB184" s="123">
        <f t="shared" si="55"/>
        <v>0.6</v>
      </c>
      <c r="AC184" s="123">
        <f t="shared" si="55"/>
        <v>0.6</v>
      </c>
      <c r="AD184" s="123">
        <f t="shared" si="55"/>
        <v>0.6</v>
      </c>
      <c r="AE184" s="123">
        <f t="shared" si="55"/>
        <v>0.6</v>
      </c>
      <c r="AF184" s="123">
        <f t="shared" si="55"/>
        <v>0.6</v>
      </c>
      <c r="AG184" s="126">
        <v>0.997</v>
      </c>
      <c r="AH184" s="55"/>
      <c r="AI184" s="56"/>
      <c r="AK184" s="57"/>
    </row>
    <row r="185" spans="1:37" x14ac:dyDescent="0.25">
      <c r="A185" s="111" t="s">
        <v>189</v>
      </c>
      <c r="B185" s="123">
        <f t="shared" si="53"/>
        <v>0.35</v>
      </c>
      <c r="C185" s="124">
        <v>0.35</v>
      </c>
      <c r="D185" s="123">
        <f t="shared" si="54"/>
        <v>0.35</v>
      </c>
      <c r="E185" s="123">
        <f t="shared" si="54"/>
        <v>0.35</v>
      </c>
      <c r="F185" s="123">
        <f t="shared" si="54"/>
        <v>0.35</v>
      </c>
      <c r="G185" s="123">
        <f t="shared" si="54"/>
        <v>0.35</v>
      </c>
      <c r="H185" s="123">
        <f t="shared" si="54"/>
        <v>0.35</v>
      </c>
      <c r="I185" s="123">
        <f t="shared" si="54"/>
        <v>0.35</v>
      </c>
      <c r="J185" s="123">
        <f t="shared" si="54"/>
        <v>0.35</v>
      </c>
      <c r="K185" s="123">
        <f t="shared" si="54"/>
        <v>0.35</v>
      </c>
      <c r="L185" s="123">
        <f t="shared" si="54"/>
        <v>0.35</v>
      </c>
      <c r="M185" s="123">
        <f t="shared" si="54"/>
        <v>0.35</v>
      </c>
      <c r="N185" s="123">
        <f t="shared" si="54"/>
        <v>0.35</v>
      </c>
      <c r="O185" s="123">
        <f t="shared" si="54"/>
        <v>0.35</v>
      </c>
      <c r="P185" s="123">
        <f t="shared" si="54"/>
        <v>0.35</v>
      </c>
      <c r="Q185" s="123">
        <f t="shared" si="54"/>
        <v>0.35</v>
      </c>
      <c r="R185" s="123">
        <f t="shared" si="54"/>
        <v>0.35</v>
      </c>
      <c r="S185" s="123">
        <f t="shared" si="54"/>
        <v>0.35</v>
      </c>
      <c r="T185" s="123">
        <f t="shared" si="55"/>
        <v>0.35</v>
      </c>
      <c r="U185" s="123">
        <f t="shared" si="55"/>
        <v>0.35</v>
      </c>
      <c r="V185" s="123">
        <f t="shared" si="55"/>
        <v>0.35</v>
      </c>
      <c r="W185" s="123">
        <f t="shared" si="55"/>
        <v>0.35</v>
      </c>
      <c r="X185" s="123">
        <f t="shared" si="55"/>
        <v>0.35</v>
      </c>
      <c r="Y185" s="123">
        <f t="shared" si="55"/>
        <v>0.35</v>
      </c>
      <c r="Z185" s="123">
        <f t="shared" si="55"/>
        <v>0.35</v>
      </c>
      <c r="AA185" s="123">
        <f t="shared" si="55"/>
        <v>0.35</v>
      </c>
      <c r="AB185" s="123">
        <f t="shared" si="55"/>
        <v>0.35</v>
      </c>
      <c r="AC185" s="123">
        <f t="shared" si="55"/>
        <v>0.35</v>
      </c>
      <c r="AD185" s="123">
        <f t="shared" si="55"/>
        <v>0.35</v>
      </c>
      <c r="AE185" s="123">
        <f t="shared" si="55"/>
        <v>0.35</v>
      </c>
      <c r="AF185" s="123">
        <f t="shared" si="55"/>
        <v>0.35</v>
      </c>
      <c r="AG185" s="126">
        <v>0.997</v>
      </c>
      <c r="AH185" s="55"/>
      <c r="AI185" s="56"/>
      <c r="AK185" s="57"/>
    </row>
    <row r="186" spans="1:37" x14ac:dyDescent="0.25">
      <c r="A186" s="111" t="s">
        <v>190</v>
      </c>
      <c r="B186" s="123">
        <f t="shared" si="53"/>
        <v>0.28999999999999998</v>
      </c>
      <c r="C186" s="124">
        <v>0.28999999999999998</v>
      </c>
      <c r="D186" s="123">
        <f t="shared" si="54"/>
        <v>0.28999999999999998</v>
      </c>
      <c r="E186" s="123">
        <f t="shared" si="54"/>
        <v>0.28999999999999998</v>
      </c>
      <c r="F186" s="123">
        <f t="shared" si="54"/>
        <v>0.28999999999999998</v>
      </c>
      <c r="G186" s="123">
        <f t="shared" si="54"/>
        <v>0.28999999999999998</v>
      </c>
      <c r="H186" s="123">
        <f t="shared" si="54"/>
        <v>0.28999999999999998</v>
      </c>
      <c r="I186" s="123">
        <f t="shared" si="54"/>
        <v>0.28999999999999998</v>
      </c>
      <c r="J186" s="123">
        <f t="shared" si="54"/>
        <v>0.28999999999999998</v>
      </c>
      <c r="K186" s="123">
        <f t="shared" si="54"/>
        <v>0.28999999999999998</v>
      </c>
      <c r="L186" s="123">
        <f t="shared" si="54"/>
        <v>0.28999999999999998</v>
      </c>
      <c r="M186" s="123">
        <f t="shared" si="54"/>
        <v>0.28999999999999998</v>
      </c>
      <c r="N186" s="123">
        <f t="shared" si="54"/>
        <v>0.28999999999999998</v>
      </c>
      <c r="O186" s="123">
        <f t="shared" si="54"/>
        <v>0.28999999999999998</v>
      </c>
      <c r="P186" s="123">
        <f t="shared" si="54"/>
        <v>0.28999999999999998</v>
      </c>
      <c r="Q186" s="123">
        <f t="shared" si="54"/>
        <v>0.28999999999999998</v>
      </c>
      <c r="R186" s="123">
        <f t="shared" si="54"/>
        <v>0.28999999999999998</v>
      </c>
      <c r="S186" s="123">
        <f t="shared" si="54"/>
        <v>0.28999999999999998</v>
      </c>
      <c r="T186" s="123">
        <f t="shared" si="55"/>
        <v>0.28999999999999998</v>
      </c>
      <c r="U186" s="123">
        <f t="shared" si="55"/>
        <v>0.28999999999999998</v>
      </c>
      <c r="V186" s="123">
        <f t="shared" si="55"/>
        <v>0.28999999999999998</v>
      </c>
      <c r="W186" s="123">
        <f t="shared" si="55"/>
        <v>0.28999999999999998</v>
      </c>
      <c r="X186" s="123">
        <f t="shared" si="55"/>
        <v>0.28999999999999998</v>
      </c>
      <c r="Y186" s="123">
        <f t="shared" si="55"/>
        <v>0.28999999999999998</v>
      </c>
      <c r="Z186" s="123">
        <f t="shared" si="55"/>
        <v>0.28999999999999998</v>
      </c>
      <c r="AA186" s="123">
        <f t="shared" si="55"/>
        <v>0.28999999999999998</v>
      </c>
      <c r="AB186" s="123">
        <f t="shared" si="55"/>
        <v>0.28999999999999998</v>
      </c>
      <c r="AC186" s="123">
        <f t="shared" si="55"/>
        <v>0.28999999999999998</v>
      </c>
      <c r="AD186" s="123">
        <f t="shared" si="55"/>
        <v>0.28999999999999998</v>
      </c>
      <c r="AE186" s="123">
        <f t="shared" si="55"/>
        <v>0.28999999999999998</v>
      </c>
      <c r="AF186" s="123">
        <f t="shared" si="55"/>
        <v>0.28999999999999998</v>
      </c>
      <c r="AG186" s="126">
        <v>0.996</v>
      </c>
      <c r="AH186" s="55"/>
      <c r="AI186" s="56"/>
      <c r="AK186" s="57"/>
    </row>
    <row r="187" spans="1:37" x14ac:dyDescent="0.25">
      <c r="A187" s="111" t="s">
        <v>191</v>
      </c>
      <c r="B187" s="123">
        <f t="shared" si="53"/>
        <v>0.06</v>
      </c>
      <c r="C187" s="124">
        <v>0.06</v>
      </c>
      <c r="D187" s="123">
        <f t="shared" si="54"/>
        <v>0.06</v>
      </c>
      <c r="E187" s="123">
        <f t="shared" si="54"/>
        <v>0.06</v>
      </c>
      <c r="F187" s="123">
        <f t="shared" si="54"/>
        <v>0.06</v>
      </c>
      <c r="G187" s="123">
        <f t="shared" si="54"/>
        <v>0.06</v>
      </c>
      <c r="H187" s="123">
        <f t="shared" si="54"/>
        <v>0.06</v>
      </c>
      <c r="I187" s="123">
        <f t="shared" si="54"/>
        <v>0.06</v>
      </c>
      <c r="J187" s="123">
        <f t="shared" si="54"/>
        <v>0.06</v>
      </c>
      <c r="K187" s="123">
        <f t="shared" si="54"/>
        <v>0.06</v>
      </c>
      <c r="L187" s="123">
        <f t="shared" si="54"/>
        <v>0.06</v>
      </c>
      <c r="M187" s="123">
        <f t="shared" si="54"/>
        <v>0.06</v>
      </c>
      <c r="N187" s="123">
        <f t="shared" si="54"/>
        <v>0.06</v>
      </c>
      <c r="O187" s="123">
        <f t="shared" si="54"/>
        <v>0.06</v>
      </c>
      <c r="P187" s="123">
        <f t="shared" si="54"/>
        <v>0.06</v>
      </c>
      <c r="Q187" s="123">
        <f t="shared" si="54"/>
        <v>0.06</v>
      </c>
      <c r="R187" s="123">
        <f t="shared" si="54"/>
        <v>0.06</v>
      </c>
      <c r="S187" s="123">
        <f t="shared" si="54"/>
        <v>0.06</v>
      </c>
      <c r="T187" s="123">
        <f t="shared" si="55"/>
        <v>0.06</v>
      </c>
      <c r="U187" s="123">
        <f t="shared" si="55"/>
        <v>0.06</v>
      </c>
      <c r="V187" s="123">
        <f t="shared" si="55"/>
        <v>0.06</v>
      </c>
      <c r="W187" s="123">
        <f t="shared" si="55"/>
        <v>0.06</v>
      </c>
      <c r="X187" s="123">
        <f t="shared" si="55"/>
        <v>0.06</v>
      </c>
      <c r="Y187" s="123">
        <f t="shared" si="55"/>
        <v>0.06</v>
      </c>
      <c r="Z187" s="123">
        <f t="shared" si="55"/>
        <v>0.06</v>
      </c>
      <c r="AA187" s="123">
        <f t="shared" si="55"/>
        <v>0.06</v>
      </c>
      <c r="AB187" s="123">
        <f t="shared" si="55"/>
        <v>0.06</v>
      </c>
      <c r="AC187" s="123">
        <f t="shared" si="55"/>
        <v>0.06</v>
      </c>
      <c r="AD187" s="123">
        <f t="shared" si="55"/>
        <v>0.06</v>
      </c>
      <c r="AE187" s="123">
        <f t="shared" si="55"/>
        <v>0.06</v>
      </c>
      <c r="AF187" s="123">
        <f t="shared" si="55"/>
        <v>0.06</v>
      </c>
      <c r="AG187" s="126">
        <v>0.996</v>
      </c>
      <c r="AH187" s="55"/>
      <c r="AI187" s="56"/>
      <c r="AK187" s="57"/>
    </row>
    <row r="188" spans="1:37" x14ac:dyDescent="0.25">
      <c r="A188" s="111" t="s">
        <v>192</v>
      </c>
      <c r="B188" s="123">
        <f t="shared" si="53"/>
        <v>0.11</v>
      </c>
      <c r="C188" s="124">
        <v>0.11</v>
      </c>
      <c r="D188" s="123">
        <f t="shared" si="54"/>
        <v>0.11</v>
      </c>
      <c r="E188" s="123">
        <f t="shared" si="54"/>
        <v>0.11</v>
      </c>
      <c r="F188" s="123">
        <f t="shared" si="54"/>
        <v>0.11</v>
      </c>
      <c r="G188" s="123">
        <f t="shared" si="54"/>
        <v>0.11</v>
      </c>
      <c r="H188" s="123">
        <f t="shared" si="54"/>
        <v>0.11</v>
      </c>
      <c r="I188" s="123">
        <f t="shared" si="54"/>
        <v>0.11</v>
      </c>
      <c r="J188" s="123">
        <f t="shared" si="54"/>
        <v>0.11</v>
      </c>
      <c r="K188" s="123">
        <f t="shared" si="54"/>
        <v>0.11</v>
      </c>
      <c r="L188" s="123">
        <f t="shared" si="54"/>
        <v>0.11</v>
      </c>
      <c r="M188" s="123">
        <f t="shared" si="54"/>
        <v>0.11</v>
      </c>
      <c r="N188" s="123">
        <f t="shared" si="54"/>
        <v>0.11</v>
      </c>
      <c r="O188" s="123">
        <f t="shared" si="54"/>
        <v>0.11</v>
      </c>
      <c r="P188" s="123">
        <f t="shared" si="54"/>
        <v>0.11</v>
      </c>
      <c r="Q188" s="123">
        <f t="shared" si="54"/>
        <v>0.11</v>
      </c>
      <c r="R188" s="123">
        <f t="shared" si="54"/>
        <v>0.11</v>
      </c>
      <c r="S188" s="123">
        <f t="shared" si="54"/>
        <v>0.11</v>
      </c>
      <c r="T188" s="123">
        <f t="shared" si="55"/>
        <v>0.11</v>
      </c>
      <c r="U188" s="123">
        <f t="shared" si="55"/>
        <v>0.11</v>
      </c>
      <c r="V188" s="123">
        <f t="shared" si="55"/>
        <v>0.11</v>
      </c>
      <c r="W188" s="123">
        <f t="shared" si="55"/>
        <v>0.11</v>
      </c>
      <c r="X188" s="123">
        <f t="shared" si="55"/>
        <v>0.11</v>
      </c>
      <c r="Y188" s="123">
        <f t="shared" si="55"/>
        <v>0.11</v>
      </c>
      <c r="Z188" s="123">
        <f t="shared" si="55"/>
        <v>0.11</v>
      </c>
      <c r="AA188" s="123">
        <f t="shared" si="55"/>
        <v>0.11</v>
      </c>
      <c r="AB188" s="123">
        <f t="shared" si="55"/>
        <v>0.11</v>
      </c>
      <c r="AC188" s="123">
        <f t="shared" si="55"/>
        <v>0.11</v>
      </c>
      <c r="AD188" s="123">
        <f t="shared" si="55"/>
        <v>0.11</v>
      </c>
      <c r="AE188" s="123">
        <f t="shared" si="55"/>
        <v>0.11</v>
      </c>
      <c r="AF188" s="123">
        <f t="shared" si="55"/>
        <v>0.11</v>
      </c>
      <c r="AG188" s="126">
        <v>0.996</v>
      </c>
      <c r="AH188" s="55"/>
      <c r="AI188" s="56"/>
      <c r="AK188" s="57"/>
    </row>
    <row r="189" spans="1:37" x14ac:dyDescent="0.25">
      <c r="A189" s="111" t="s">
        <v>193</v>
      </c>
      <c r="B189" s="123">
        <f t="shared" si="53"/>
        <v>0.1</v>
      </c>
      <c r="C189" s="124">
        <v>0.1</v>
      </c>
      <c r="D189" s="123">
        <f t="shared" si="54"/>
        <v>0.1</v>
      </c>
      <c r="E189" s="123">
        <f t="shared" si="54"/>
        <v>0.1</v>
      </c>
      <c r="F189" s="123">
        <f t="shared" si="54"/>
        <v>0.1</v>
      </c>
      <c r="G189" s="123">
        <f t="shared" si="54"/>
        <v>0.1</v>
      </c>
      <c r="H189" s="123">
        <f t="shared" si="54"/>
        <v>0.1</v>
      </c>
      <c r="I189" s="123">
        <f t="shared" si="54"/>
        <v>0.1</v>
      </c>
      <c r="J189" s="123">
        <f t="shared" si="54"/>
        <v>0.1</v>
      </c>
      <c r="K189" s="123">
        <f t="shared" si="54"/>
        <v>0.1</v>
      </c>
      <c r="L189" s="123">
        <f t="shared" si="54"/>
        <v>0.1</v>
      </c>
      <c r="M189" s="123">
        <f t="shared" si="54"/>
        <v>0.1</v>
      </c>
      <c r="N189" s="123">
        <f t="shared" si="54"/>
        <v>0.1</v>
      </c>
      <c r="O189" s="123">
        <f t="shared" si="54"/>
        <v>0.1</v>
      </c>
      <c r="P189" s="123">
        <f t="shared" si="54"/>
        <v>0.1</v>
      </c>
      <c r="Q189" s="123">
        <f t="shared" si="54"/>
        <v>0.1</v>
      </c>
      <c r="R189" s="123">
        <f t="shared" si="54"/>
        <v>0.1</v>
      </c>
      <c r="S189" s="123">
        <f t="shared" si="55"/>
        <v>0.1</v>
      </c>
      <c r="T189" s="123">
        <f t="shared" si="55"/>
        <v>0.1</v>
      </c>
      <c r="U189" s="123">
        <f t="shared" si="55"/>
        <v>0.1</v>
      </c>
      <c r="V189" s="123">
        <f t="shared" si="55"/>
        <v>0.1</v>
      </c>
      <c r="W189" s="123">
        <f t="shared" si="55"/>
        <v>0.1</v>
      </c>
      <c r="X189" s="123">
        <f t="shared" si="55"/>
        <v>0.1</v>
      </c>
      <c r="Y189" s="123">
        <f t="shared" si="55"/>
        <v>0.1</v>
      </c>
      <c r="Z189" s="123">
        <f t="shared" si="55"/>
        <v>0.1</v>
      </c>
      <c r="AA189" s="123">
        <f t="shared" si="55"/>
        <v>0.1</v>
      </c>
      <c r="AB189" s="123">
        <f t="shared" si="55"/>
        <v>0.1</v>
      </c>
      <c r="AC189" s="123">
        <f t="shared" si="55"/>
        <v>0.1</v>
      </c>
      <c r="AD189" s="123">
        <f t="shared" si="55"/>
        <v>0.1</v>
      </c>
      <c r="AE189" s="123">
        <f t="shared" si="55"/>
        <v>0.1</v>
      </c>
      <c r="AF189" s="123">
        <f t="shared" si="55"/>
        <v>0.1</v>
      </c>
      <c r="AG189" s="126">
        <v>0.995</v>
      </c>
      <c r="AH189" s="55"/>
      <c r="AI189" s="56"/>
      <c r="AK189" s="57"/>
    </row>
    <row r="190" spans="1:37" x14ac:dyDescent="0.25">
      <c r="A190" s="111" t="s">
        <v>194</v>
      </c>
      <c r="B190" s="123">
        <f t="shared" si="53"/>
        <v>0.09</v>
      </c>
      <c r="C190" s="124">
        <v>0.09</v>
      </c>
      <c r="D190" s="123">
        <f t="shared" si="54"/>
        <v>0.09</v>
      </c>
      <c r="E190" s="123">
        <f t="shared" si="54"/>
        <v>0.09</v>
      </c>
      <c r="F190" s="123">
        <f t="shared" si="54"/>
        <v>0.09</v>
      </c>
      <c r="G190" s="123">
        <f t="shared" si="54"/>
        <v>0.09</v>
      </c>
      <c r="H190" s="123">
        <f t="shared" si="54"/>
        <v>0.09</v>
      </c>
      <c r="I190" s="123">
        <f t="shared" si="54"/>
        <v>0.09</v>
      </c>
      <c r="J190" s="123">
        <f t="shared" si="54"/>
        <v>0.09</v>
      </c>
      <c r="K190" s="123">
        <f t="shared" si="54"/>
        <v>0.09</v>
      </c>
      <c r="L190" s="123">
        <f t="shared" si="54"/>
        <v>0.09</v>
      </c>
      <c r="M190" s="123">
        <f t="shared" si="54"/>
        <v>0.09</v>
      </c>
      <c r="N190" s="123">
        <f t="shared" si="54"/>
        <v>0.09</v>
      </c>
      <c r="O190" s="123">
        <f t="shared" si="54"/>
        <v>0.09</v>
      </c>
      <c r="P190" s="123">
        <f t="shared" si="54"/>
        <v>0.09</v>
      </c>
      <c r="Q190" s="123">
        <f t="shared" si="54"/>
        <v>0.09</v>
      </c>
      <c r="R190" s="123">
        <f t="shared" si="54"/>
        <v>0.09</v>
      </c>
      <c r="S190" s="123">
        <f t="shared" si="55"/>
        <v>0.09</v>
      </c>
      <c r="T190" s="123">
        <f t="shared" si="55"/>
        <v>0.09</v>
      </c>
      <c r="U190" s="123">
        <f t="shared" si="55"/>
        <v>0.09</v>
      </c>
      <c r="V190" s="123">
        <f t="shared" si="55"/>
        <v>0.09</v>
      </c>
      <c r="W190" s="123">
        <f t="shared" si="55"/>
        <v>0.09</v>
      </c>
      <c r="X190" s="123">
        <f t="shared" si="55"/>
        <v>0.09</v>
      </c>
      <c r="Y190" s="123">
        <f t="shared" si="55"/>
        <v>0.09</v>
      </c>
      <c r="Z190" s="123">
        <f t="shared" si="55"/>
        <v>0.09</v>
      </c>
      <c r="AA190" s="123">
        <f t="shared" si="55"/>
        <v>0.09</v>
      </c>
      <c r="AB190" s="123">
        <f t="shared" si="55"/>
        <v>0.09</v>
      </c>
      <c r="AC190" s="123">
        <f t="shared" si="55"/>
        <v>0.09</v>
      </c>
      <c r="AD190" s="123">
        <f t="shared" si="55"/>
        <v>0.09</v>
      </c>
      <c r="AE190" s="123">
        <f t="shared" si="55"/>
        <v>0.09</v>
      </c>
      <c r="AF190" s="123">
        <f t="shared" si="55"/>
        <v>0.09</v>
      </c>
      <c r="AG190" s="126">
        <v>0.99299999999999999</v>
      </c>
      <c r="AH190" s="55"/>
      <c r="AI190" s="56"/>
      <c r="AK190" s="57"/>
    </row>
    <row r="191" spans="1:37" x14ac:dyDescent="0.25">
      <c r="A191" s="111" t="s">
        <v>195</v>
      </c>
      <c r="B191" s="123">
        <f t="shared" si="53"/>
        <v>0.04</v>
      </c>
      <c r="C191" s="54">
        <v>0.04</v>
      </c>
      <c r="D191" s="123">
        <f t="shared" si="54"/>
        <v>0.04</v>
      </c>
      <c r="E191" s="123">
        <f t="shared" si="54"/>
        <v>0.04</v>
      </c>
      <c r="F191" s="123">
        <f t="shared" si="54"/>
        <v>0.04</v>
      </c>
      <c r="G191" s="123">
        <f t="shared" si="54"/>
        <v>0.04</v>
      </c>
      <c r="H191" s="123">
        <f t="shared" si="54"/>
        <v>0.04</v>
      </c>
      <c r="I191" s="123">
        <f t="shared" si="54"/>
        <v>0.04</v>
      </c>
      <c r="J191" s="123">
        <f t="shared" si="54"/>
        <v>0.04</v>
      </c>
      <c r="K191" s="123">
        <f t="shared" si="54"/>
        <v>0.04</v>
      </c>
      <c r="L191" s="123">
        <f t="shared" si="54"/>
        <v>0.04</v>
      </c>
      <c r="M191" s="123">
        <f t="shared" si="54"/>
        <v>0.04</v>
      </c>
      <c r="N191" s="123">
        <f t="shared" si="54"/>
        <v>0.04</v>
      </c>
      <c r="O191" s="123">
        <f t="shared" si="54"/>
        <v>0.04</v>
      </c>
      <c r="P191" s="123">
        <f t="shared" si="54"/>
        <v>0.04</v>
      </c>
      <c r="Q191" s="123">
        <f t="shared" si="54"/>
        <v>0.04</v>
      </c>
      <c r="R191" s="123">
        <f t="shared" si="54"/>
        <v>0.04</v>
      </c>
      <c r="S191" s="123">
        <f t="shared" si="55"/>
        <v>0.04</v>
      </c>
      <c r="T191" s="123">
        <f t="shared" si="55"/>
        <v>0.04</v>
      </c>
      <c r="U191" s="123">
        <f t="shared" si="55"/>
        <v>0.04</v>
      </c>
      <c r="V191" s="123">
        <f t="shared" si="55"/>
        <v>0.04</v>
      </c>
      <c r="W191" s="123">
        <f t="shared" si="55"/>
        <v>0.04</v>
      </c>
      <c r="X191" s="123">
        <f t="shared" si="55"/>
        <v>0.04</v>
      </c>
      <c r="Y191" s="123">
        <f t="shared" si="55"/>
        <v>0.04</v>
      </c>
      <c r="Z191" s="123">
        <f t="shared" si="55"/>
        <v>0.04</v>
      </c>
      <c r="AA191" s="123">
        <f t="shared" si="55"/>
        <v>0.04</v>
      </c>
      <c r="AB191" s="123">
        <f t="shared" si="55"/>
        <v>0.04</v>
      </c>
      <c r="AC191" s="123">
        <f t="shared" si="55"/>
        <v>0.04</v>
      </c>
      <c r="AD191" s="123">
        <f t="shared" si="55"/>
        <v>0.04</v>
      </c>
      <c r="AE191" s="123">
        <f t="shared" si="55"/>
        <v>0.04</v>
      </c>
      <c r="AF191" s="123">
        <f t="shared" si="55"/>
        <v>0.04</v>
      </c>
      <c r="AG191" s="126">
        <v>0.99</v>
      </c>
      <c r="AH191" s="55"/>
      <c r="AI191" s="56"/>
      <c r="AK191" s="57"/>
    </row>
    <row r="192" spans="1:37" x14ac:dyDescent="0.25">
      <c r="A192" s="111" t="s">
        <v>196</v>
      </c>
      <c r="B192" s="123">
        <f t="shared" si="53"/>
        <v>2.3E-2</v>
      </c>
      <c r="C192" s="54">
        <v>2.3E-2</v>
      </c>
      <c r="D192" s="123">
        <f>C192</f>
        <v>2.3E-2</v>
      </c>
      <c r="E192" s="123">
        <f t="shared" si="54"/>
        <v>2.3E-2</v>
      </c>
      <c r="F192" s="123">
        <f t="shared" si="54"/>
        <v>2.3E-2</v>
      </c>
      <c r="G192" s="123">
        <f t="shared" si="54"/>
        <v>2.3E-2</v>
      </c>
      <c r="H192" s="123">
        <f t="shared" si="54"/>
        <v>2.3E-2</v>
      </c>
      <c r="I192" s="123">
        <f t="shared" si="54"/>
        <v>2.3E-2</v>
      </c>
      <c r="J192" s="123">
        <f t="shared" si="54"/>
        <v>2.3E-2</v>
      </c>
      <c r="K192" s="123">
        <f t="shared" si="54"/>
        <v>2.3E-2</v>
      </c>
      <c r="L192" s="123">
        <f t="shared" si="54"/>
        <v>2.3E-2</v>
      </c>
      <c r="M192" s="123">
        <f t="shared" si="54"/>
        <v>2.3E-2</v>
      </c>
      <c r="N192" s="123">
        <f t="shared" si="54"/>
        <v>2.3E-2</v>
      </c>
      <c r="O192" s="123">
        <f t="shared" si="54"/>
        <v>2.3E-2</v>
      </c>
      <c r="P192" s="123">
        <f t="shared" si="54"/>
        <v>2.3E-2</v>
      </c>
      <c r="Q192" s="123">
        <f t="shared" si="54"/>
        <v>2.3E-2</v>
      </c>
      <c r="R192" s="123">
        <f t="shared" si="54"/>
        <v>2.3E-2</v>
      </c>
      <c r="S192" s="123">
        <f t="shared" si="55"/>
        <v>2.3E-2</v>
      </c>
      <c r="T192" s="123">
        <f t="shared" si="55"/>
        <v>2.3E-2</v>
      </c>
      <c r="U192" s="123">
        <f t="shared" si="55"/>
        <v>2.3E-2</v>
      </c>
      <c r="V192" s="123">
        <f t="shared" si="55"/>
        <v>2.3E-2</v>
      </c>
      <c r="W192" s="123">
        <f t="shared" si="55"/>
        <v>2.3E-2</v>
      </c>
      <c r="X192" s="123">
        <f t="shared" si="55"/>
        <v>2.3E-2</v>
      </c>
      <c r="Y192" s="123">
        <f t="shared" si="55"/>
        <v>2.3E-2</v>
      </c>
      <c r="Z192" s="123">
        <f t="shared" si="55"/>
        <v>2.3E-2</v>
      </c>
      <c r="AA192" s="123">
        <f t="shared" si="55"/>
        <v>2.3E-2</v>
      </c>
      <c r="AB192" s="123">
        <f t="shared" si="55"/>
        <v>2.3E-2</v>
      </c>
      <c r="AC192" s="123">
        <f t="shared" si="55"/>
        <v>2.3E-2</v>
      </c>
      <c r="AD192" s="123">
        <f t="shared" si="55"/>
        <v>2.3E-2</v>
      </c>
      <c r="AE192" s="123">
        <f t="shared" si="55"/>
        <v>2.3E-2</v>
      </c>
      <c r="AF192" s="123">
        <f t="shared" si="55"/>
        <v>2.3E-2</v>
      </c>
      <c r="AG192" s="126">
        <v>0.97899999999999998</v>
      </c>
      <c r="AH192" s="55"/>
      <c r="AI192" s="56"/>
      <c r="AK192" s="57"/>
    </row>
    <row r="193" spans="1:37" ht="15.75" thickBot="1" x14ac:dyDescent="0.3">
      <c r="A193" s="127" t="s">
        <v>197</v>
      </c>
      <c r="B193" s="128">
        <f>SUM(B103:B192)</f>
        <v>187.10600000000005</v>
      </c>
      <c r="C193" s="128">
        <f t="shared" ref="C193:AG193" si="56">SUM(C103:C192)</f>
        <v>194.70600000000002</v>
      </c>
      <c r="D193" s="128">
        <f t="shared" si="56"/>
        <v>194.70600000000002</v>
      </c>
      <c r="E193" s="128">
        <f t="shared" si="56"/>
        <v>194.70600000000002</v>
      </c>
      <c r="F193" s="128">
        <f t="shared" si="56"/>
        <v>194.70600000000002</v>
      </c>
      <c r="G193" s="128">
        <f t="shared" si="56"/>
        <v>194.70600000000002</v>
      </c>
      <c r="H193" s="128">
        <f t="shared" si="56"/>
        <v>194.70600000000002</v>
      </c>
      <c r="I193" s="128">
        <f t="shared" si="56"/>
        <v>189.70600000000005</v>
      </c>
      <c r="J193" s="128">
        <f t="shared" si="56"/>
        <v>187.10600000000005</v>
      </c>
      <c r="K193" s="128">
        <f t="shared" si="56"/>
        <v>187.10600000000005</v>
      </c>
      <c r="L193" s="128">
        <f t="shared" si="56"/>
        <v>187.10600000000005</v>
      </c>
      <c r="M193" s="128">
        <f t="shared" si="56"/>
        <v>187.10600000000005</v>
      </c>
      <c r="N193" s="128">
        <f t="shared" si="56"/>
        <v>187.10600000000005</v>
      </c>
      <c r="O193" s="128">
        <f t="shared" si="56"/>
        <v>187.10600000000005</v>
      </c>
      <c r="P193" s="128">
        <f t="shared" si="56"/>
        <v>187.10600000000005</v>
      </c>
      <c r="Q193" s="128">
        <f t="shared" si="56"/>
        <v>187.10600000000005</v>
      </c>
      <c r="R193" s="128">
        <f t="shared" si="56"/>
        <v>187.10600000000005</v>
      </c>
      <c r="S193" s="128">
        <f t="shared" si="56"/>
        <v>187.10600000000005</v>
      </c>
      <c r="T193" s="128">
        <f t="shared" si="56"/>
        <v>187.10600000000005</v>
      </c>
      <c r="U193" s="128">
        <f t="shared" si="56"/>
        <v>187.10600000000005</v>
      </c>
      <c r="V193" s="128">
        <f t="shared" si="56"/>
        <v>187.10600000000005</v>
      </c>
      <c r="W193" s="128">
        <f t="shared" si="56"/>
        <v>187.10600000000005</v>
      </c>
      <c r="X193" s="128">
        <f t="shared" si="56"/>
        <v>187.10600000000005</v>
      </c>
      <c r="Y193" s="128">
        <f t="shared" si="56"/>
        <v>187.10600000000005</v>
      </c>
      <c r="Z193" s="128">
        <f t="shared" si="56"/>
        <v>187.10600000000005</v>
      </c>
      <c r="AA193" s="128">
        <f t="shared" si="56"/>
        <v>187.10600000000005</v>
      </c>
      <c r="AB193" s="128">
        <f t="shared" si="56"/>
        <v>187.10600000000005</v>
      </c>
      <c r="AC193" s="128">
        <f t="shared" si="56"/>
        <v>187.10600000000005</v>
      </c>
      <c r="AD193" s="128">
        <f t="shared" si="56"/>
        <v>187.10600000000005</v>
      </c>
      <c r="AE193" s="128">
        <f t="shared" si="56"/>
        <v>187.10600000000005</v>
      </c>
      <c r="AF193" s="128">
        <f t="shared" si="56"/>
        <v>187.10600000000005</v>
      </c>
      <c r="AG193" s="129">
        <f t="shared" si="56"/>
        <v>412.72299999999984</v>
      </c>
      <c r="AH193" s="55"/>
      <c r="AI193" s="56"/>
      <c r="AK193" s="57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5"/>
      <c r="AI194" s="56"/>
      <c r="AK194" s="57"/>
    </row>
    <row r="195" spans="1:37" x14ac:dyDescent="0.25">
      <c r="A195" s="105" t="s">
        <v>198</v>
      </c>
      <c r="B195" s="130">
        <f t="shared" ref="B195:B200" si="57">AF195</f>
        <v>0.3</v>
      </c>
      <c r="C195" s="130">
        <v>0.3</v>
      </c>
      <c r="D195" s="130">
        <f t="shared" ref="D195:S200" si="58">C195</f>
        <v>0.3</v>
      </c>
      <c r="E195" s="130">
        <f t="shared" si="58"/>
        <v>0.3</v>
      </c>
      <c r="F195" s="130">
        <f t="shared" si="58"/>
        <v>0.3</v>
      </c>
      <c r="G195" s="130">
        <f t="shared" si="58"/>
        <v>0.3</v>
      </c>
      <c r="H195" s="130">
        <f t="shared" si="58"/>
        <v>0.3</v>
      </c>
      <c r="I195" s="130">
        <f t="shared" si="58"/>
        <v>0.3</v>
      </c>
      <c r="J195" s="130">
        <f t="shared" si="58"/>
        <v>0.3</v>
      </c>
      <c r="K195" s="130">
        <f t="shared" si="58"/>
        <v>0.3</v>
      </c>
      <c r="L195" s="130">
        <f t="shared" si="58"/>
        <v>0.3</v>
      </c>
      <c r="M195" s="130">
        <f t="shared" si="58"/>
        <v>0.3</v>
      </c>
      <c r="N195" s="130">
        <f t="shared" si="58"/>
        <v>0.3</v>
      </c>
      <c r="O195" s="130">
        <f t="shared" si="58"/>
        <v>0.3</v>
      </c>
      <c r="P195" s="130">
        <f t="shared" si="58"/>
        <v>0.3</v>
      </c>
      <c r="Q195" s="130">
        <f t="shared" si="58"/>
        <v>0.3</v>
      </c>
      <c r="R195" s="130">
        <f t="shared" si="58"/>
        <v>0.3</v>
      </c>
      <c r="S195" s="130">
        <f t="shared" si="58"/>
        <v>0.3</v>
      </c>
      <c r="T195" s="130">
        <f t="shared" ref="T195:AF200" si="59">S195</f>
        <v>0.3</v>
      </c>
      <c r="U195" s="130">
        <f t="shared" si="59"/>
        <v>0.3</v>
      </c>
      <c r="V195" s="130">
        <f t="shared" si="59"/>
        <v>0.3</v>
      </c>
      <c r="W195" s="130">
        <f t="shared" si="59"/>
        <v>0.3</v>
      </c>
      <c r="X195" s="130">
        <f t="shared" si="59"/>
        <v>0.3</v>
      </c>
      <c r="Y195" s="130">
        <f t="shared" si="59"/>
        <v>0.3</v>
      </c>
      <c r="Z195" s="130">
        <f t="shared" si="59"/>
        <v>0.3</v>
      </c>
      <c r="AA195" s="130">
        <f t="shared" si="59"/>
        <v>0.3</v>
      </c>
      <c r="AB195" s="130">
        <f t="shared" si="59"/>
        <v>0.3</v>
      </c>
      <c r="AC195" s="130">
        <f t="shared" si="59"/>
        <v>0.3</v>
      </c>
      <c r="AD195" s="130">
        <f t="shared" si="59"/>
        <v>0.3</v>
      </c>
      <c r="AE195" s="130">
        <f t="shared" si="59"/>
        <v>0.3</v>
      </c>
      <c r="AF195" s="130">
        <f t="shared" si="59"/>
        <v>0.3</v>
      </c>
      <c r="AG195" s="131">
        <v>2.4</v>
      </c>
      <c r="AH195" s="55"/>
      <c r="AI195" s="56"/>
      <c r="AK195" s="57"/>
    </row>
    <row r="196" spans="1:37" x14ac:dyDescent="0.25">
      <c r="A196" s="109" t="s">
        <v>199</v>
      </c>
      <c r="B196" s="123">
        <f t="shared" si="57"/>
        <v>0.4</v>
      </c>
      <c r="C196" s="123">
        <v>0.4</v>
      </c>
      <c r="D196" s="123">
        <f t="shared" si="58"/>
        <v>0.4</v>
      </c>
      <c r="E196" s="123">
        <f t="shared" si="58"/>
        <v>0.4</v>
      </c>
      <c r="F196" s="123">
        <f t="shared" si="58"/>
        <v>0.4</v>
      </c>
      <c r="G196" s="123">
        <f t="shared" si="58"/>
        <v>0.4</v>
      </c>
      <c r="H196" s="123">
        <f t="shared" si="58"/>
        <v>0.4</v>
      </c>
      <c r="I196" s="123">
        <f t="shared" si="58"/>
        <v>0.4</v>
      </c>
      <c r="J196" s="123">
        <f t="shared" si="58"/>
        <v>0.4</v>
      </c>
      <c r="K196" s="123">
        <f t="shared" si="58"/>
        <v>0.4</v>
      </c>
      <c r="L196" s="123">
        <f t="shared" si="58"/>
        <v>0.4</v>
      </c>
      <c r="M196" s="123">
        <f t="shared" si="58"/>
        <v>0.4</v>
      </c>
      <c r="N196" s="123">
        <f t="shared" si="58"/>
        <v>0.4</v>
      </c>
      <c r="O196" s="123">
        <f t="shared" si="58"/>
        <v>0.4</v>
      </c>
      <c r="P196" s="123">
        <f t="shared" si="58"/>
        <v>0.4</v>
      </c>
      <c r="Q196" s="123">
        <f t="shared" si="58"/>
        <v>0.4</v>
      </c>
      <c r="R196" s="123">
        <f t="shared" si="58"/>
        <v>0.4</v>
      </c>
      <c r="S196" s="123">
        <f t="shared" si="58"/>
        <v>0.4</v>
      </c>
      <c r="T196" s="123">
        <f t="shared" si="59"/>
        <v>0.4</v>
      </c>
      <c r="U196" s="123">
        <f t="shared" si="59"/>
        <v>0.4</v>
      </c>
      <c r="V196" s="123">
        <f t="shared" si="59"/>
        <v>0.4</v>
      </c>
      <c r="W196" s="123">
        <f>V196</f>
        <v>0.4</v>
      </c>
      <c r="X196" s="123">
        <f>W196</f>
        <v>0.4</v>
      </c>
      <c r="Y196" s="123">
        <f t="shared" si="59"/>
        <v>0.4</v>
      </c>
      <c r="Z196" s="123">
        <f t="shared" si="59"/>
        <v>0.4</v>
      </c>
      <c r="AA196" s="123">
        <f t="shared" si="59"/>
        <v>0.4</v>
      </c>
      <c r="AB196" s="123">
        <f t="shared" si="59"/>
        <v>0.4</v>
      </c>
      <c r="AC196" s="123">
        <f t="shared" si="59"/>
        <v>0.4</v>
      </c>
      <c r="AD196" s="123">
        <f t="shared" si="59"/>
        <v>0.4</v>
      </c>
      <c r="AE196" s="123">
        <f t="shared" si="59"/>
        <v>0.4</v>
      </c>
      <c r="AF196" s="123">
        <f t="shared" si="59"/>
        <v>0.4</v>
      </c>
      <c r="AG196" s="132">
        <v>2</v>
      </c>
      <c r="AH196" s="55"/>
      <c r="AI196" s="56"/>
      <c r="AK196" s="57"/>
    </row>
    <row r="197" spans="1:37" x14ac:dyDescent="0.25">
      <c r="A197" s="109" t="s">
        <v>200</v>
      </c>
      <c r="B197" s="123">
        <f t="shared" si="57"/>
        <v>1.5</v>
      </c>
      <c r="C197" s="123">
        <v>1.5</v>
      </c>
      <c r="D197" s="123">
        <f t="shared" si="58"/>
        <v>1.5</v>
      </c>
      <c r="E197" s="123">
        <f t="shared" si="58"/>
        <v>1.5</v>
      </c>
      <c r="F197" s="123">
        <f t="shared" si="58"/>
        <v>1.5</v>
      </c>
      <c r="G197" s="123">
        <f t="shared" si="58"/>
        <v>1.5</v>
      </c>
      <c r="H197" s="123">
        <f t="shared" si="58"/>
        <v>1.5</v>
      </c>
      <c r="I197" s="123">
        <f t="shared" si="58"/>
        <v>1.5</v>
      </c>
      <c r="J197" s="123">
        <f t="shared" si="58"/>
        <v>1.5</v>
      </c>
      <c r="K197" s="123">
        <f t="shared" si="58"/>
        <v>1.5</v>
      </c>
      <c r="L197" s="123">
        <f t="shared" si="58"/>
        <v>1.5</v>
      </c>
      <c r="M197" s="123">
        <f t="shared" si="58"/>
        <v>1.5</v>
      </c>
      <c r="N197" s="123">
        <f t="shared" si="58"/>
        <v>1.5</v>
      </c>
      <c r="O197" s="123">
        <f t="shared" si="58"/>
        <v>1.5</v>
      </c>
      <c r="P197" s="123">
        <f t="shared" si="58"/>
        <v>1.5</v>
      </c>
      <c r="Q197" s="123">
        <f t="shared" si="58"/>
        <v>1.5</v>
      </c>
      <c r="R197" s="123">
        <f t="shared" si="58"/>
        <v>1.5</v>
      </c>
      <c r="S197" s="123">
        <f t="shared" si="58"/>
        <v>1.5</v>
      </c>
      <c r="T197" s="123">
        <f t="shared" si="59"/>
        <v>1.5</v>
      </c>
      <c r="U197" s="123">
        <f t="shared" si="59"/>
        <v>1.5</v>
      </c>
      <c r="V197" s="123">
        <f t="shared" si="59"/>
        <v>1.5</v>
      </c>
      <c r="W197" s="123">
        <f t="shared" si="59"/>
        <v>1.5</v>
      </c>
      <c r="X197" s="123">
        <f t="shared" si="59"/>
        <v>1.5</v>
      </c>
      <c r="Y197" s="123">
        <f t="shared" si="59"/>
        <v>1.5</v>
      </c>
      <c r="Z197" s="123">
        <f t="shared" si="59"/>
        <v>1.5</v>
      </c>
      <c r="AA197" s="123">
        <f t="shared" si="59"/>
        <v>1.5</v>
      </c>
      <c r="AB197" s="123">
        <f t="shared" si="59"/>
        <v>1.5</v>
      </c>
      <c r="AC197" s="123">
        <f t="shared" si="59"/>
        <v>1.5</v>
      </c>
      <c r="AD197" s="123">
        <f t="shared" si="59"/>
        <v>1.5</v>
      </c>
      <c r="AE197" s="123">
        <f t="shared" si="59"/>
        <v>1.5</v>
      </c>
      <c r="AF197" s="123">
        <f t="shared" si="59"/>
        <v>1.5</v>
      </c>
      <c r="AG197" s="132">
        <v>1.5</v>
      </c>
      <c r="AH197" s="55"/>
      <c r="AI197" s="56"/>
      <c r="AK197" s="57"/>
    </row>
    <row r="198" spans="1:37" x14ac:dyDescent="0.25">
      <c r="A198" s="109" t="s">
        <v>201</v>
      </c>
      <c r="B198" s="123">
        <f t="shared" si="57"/>
        <v>0.3</v>
      </c>
      <c r="C198" s="123">
        <v>0.3</v>
      </c>
      <c r="D198" s="123">
        <f t="shared" si="58"/>
        <v>0.3</v>
      </c>
      <c r="E198" s="123">
        <f t="shared" si="58"/>
        <v>0.3</v>
      </c>
      <c r="F198" s="123">
        <f t="shared" si="58"/>
        <v>0.3</v>
      </c>
      <c r="G198" s="123">
        <f t="shared" si="58"/>
        <v>0.3</v>
      </c>
      <c r="H198" s="123">
        <f t="shared" si="58"/>
        <v>0.3</v>
      </c>
      <c r="I198" s="123">
        <f t="shared" si="58"/>
        <v>0.3</v>
      </c>
      <c r="J198" s="123">
        <f t="shared" si="58"/>
        <v>0.3</v>
      </c>
      <c r="K198" s="123">
        <f t="shared" si="58"/>
        <v>0.3</v>
      </c>
      <c r="L198" s="123">
        <f t="shared" si="58"/>
        <v>0.3</v>
      </c>
      <c r="M198" s="123">
        <f t="shared" si="58"/>
        <v>0.3</v>
      </c>
      <c r="N198" s="123">
        <f t="shared" si="58"/>
        <v>0.3</v>
      </c>
      <c r="O198" s="123">
        <f t="shared" si="58"/>
        <v>0.3</v>
      </c>
      <c r="P198" s="123">
        <f t="shared" si="58"/>
        <v>0.3</v>
      </c>
      <c r="Q198" s="123">
        <f t="shared" si="58"/>
        <v>0.3</v>
      </c>
      <c r="R198" s="123">
        <f t="shared" si="58"/>
        <v>0.3</v>
      </c>
      <c r="S198" s="123">
        <f t="shared" si="58"/>
        <v>0.3</v>
      </c>
      <c r="T198" s="123">
        <f t="shared" si="59"/>
        <v>0.3</v>
      </c>
      <c r="U198" s="123">
        <f t="shared" si="59"/>
        <v>0.3</v>
      </c>
      <c r="V198" s="123">
        <f t="shared" si="59"/>
        <v>0.3</v>
      </c>
      <c r="W198" s="123">
        <f t="shared" si="59"/>
        <v>0.3</v>
      </c>
      <c r="X198" s="123">
        <f t="shared" si="59"/>
        <v>0.3</v>
      </c>
      <c r="Y198" s="123">
        <f t="shared" si="59"/>
        <v>0.3</v>
      </c>
      <c r="Z198" s="123">
        <f t="shared" si="59"/>
        <v>0.3</v>
      </c>
      <c r="AA198" s="123">
        <f t="shared" si="59"/>
        <v>0.3</v>
      </c>
      <c r="AB198" s="123">
        <f t="shared" si="59"/>
        <v>0.3</v>
      </c>
      <c r="AC198" s="123">
        <f t="shared" si="59"/>
        <v>0.3</v>
      </c>
      <c r="AD198" s="123">
        <f t="shared" si="59"/>
        <v>0.3</v>
      </c>
      <c r="AE198" s="123">
        <f t="shared" si="59"/>
        <v>0.3</v>
      </c>
      <c r="AF198" s="123">
        <f t="shared" si="59"/>
        <v>0.3</v>
      </c>
      <c r="AG198" s="132">
        <v>1</v>
      </c>
      <c r="AH198" s="55"/>
      <c r="AI198" s="56"/>
      <c r="AK198" s="57"/>
    </row>
    <row r="199" spans="1:37" x14ac:dyDescent="0.25">
      <c r="A199" s="109" t="s">
        <v>202</v>
      </c>
      <c r="B199" s="123">
        <f t="shared" si="57"/>
        <v>0.4</v>
      </c>
      <c r="C199" s="123">
        <v>0.4</v>
      </c>
      <c r="D199" s="123">
        <f t="shared" si="58"/>
        <v>0.4</v>
      </c>
      <c r="E199" s="123">
        <f t="shared" si="58"/>
        <v>0.4</v>
      </c>
      <c r="F199" s="123">
        <f t="shared" si="58"/>
        <v>0.4</v>
      </c>
      <c r="G199" s="123">
        <f t="shared" si="58"/>
        <v>0.4</v>
      </c>
      <c r="H199" s="123">
        <f t="shared" si="58"/>
        <v>0.4</v>
      </c>
      <c r="I199" s="123">
        <f t="shared" si="58"/>
        <v>0.4</v>
      </c>
      <c r="J199" s="123">
        <f t="shared" si="58"/>
        <v>0.4</v>
      </c>
      <c r="K199" s="123">
        <f t="shared" si="58"/>
        <v>0.4</v>
      </c>
      <c r="L199" s="123">
        <f t="shared" si="58"/>
        <v>0.4</v>
      </c>
      <c r="M199" s="123">
        <f t="shared" si="58"/>
        <v>0.4</v>
      </c>
      <c r="N199" s="123">
        <f t="shared" si="58"/>
        <v>0.4</v>
      </c>
      <c r="O199" s="123">
        <f t="shared" si="58"/>
        <v>0.4</v>
      </c>
      <c r="P199" s="123">
        <f t="shared" si="58"/>
        <v>0.4</v>
      </c>
      <c r="Q199" s="123">
        <f t="shared" si="58"/>
        <v>0.4</v>
      </c>
      <c r="R199" s="123">
        <f t="shared" si="58"/>
        <v>0.4</v>
      </c>
      <c r="S199" s="123">
        <f t="shared" si="58"/>
        <v>0.4</v>
      </c>
      <c r="T199" s="123">
        <f t="shared" si="59"/>
        <v>0.4</v>
      </c>
      <c r="U199" s="123">
        <f t="shared" si="59"/>
        <v>0.4</v>
      </c>
      <c r="V199" s="123">
        <f t="shared" si="59"/>
        <v>0.4</v>
      </c>
      <c r="W199" s="123">
        <f t="shared" si="59"/>
        <v>0.4</v>
      </c>
      <c r="X199" s="123">
        <f t="shared" si="59"/>
        <v>0.4</v>
      </c>
      <c r="Y199" s="123">
        <f t="shared" si="59"/>
        <v>0.4</v>
      </c>
      <c r="Z199" s="123">
        <f t="shared" si="59"/>
        <v>0.4</v>
      </c>
      <c r="AA199" s="123">
        <f t="shared" si="59"/>
        <v>0.4</v>
      </c>
      <c r="AB199" s="123">
        <f t="shared" si="59"/>
        <v>0.4</v>
      </c>
      <c r="AC199" s="123">
        <f t="shared" si="59"/>
        <v>0.4</v>
      </c>
      <c r="AD199" s="123">
        <f t="shared" si="59"/>
        <v>0.4</v>
      </c>
      <c r="AE199" s="123">
        <f t="shared" si="59"/>
        <v>0.4</v>
      </c>
      <c r="AF199" s="123">
        <f t="shared" si="59"/>
        <v>0.4</v>
      </c>
      <c r="AG199" s="132">
        <v>1</v>
      </c>
      <c r="AH199" s="55"/>
      <c r="AI199" s="56"/>
      <c r="AK199" s="57"/>
    </row>
    <row r="200" spans="1:37" ht="15.75" thickBot="1" x14ac:dyDescent="0.3">
      <c r="A200" s="111" t="s">
        <v>203</v>
      </c>
      <c r="B200" s="133">
        <f t="shared" si="57"/>
        <v>0.64</v>
      </c>
      <c r="C200" s="133">
        <v>0.64</v>
      </c>
      <c r="D200" s="133">
        <f t="shared" si="58"/>
        <v>0.64</v>
      </c>
      <c r="E200" s="133">
        <f t="shared" si="58"/>
        <v>0.64</v>
      </c>
      <c r="F200" s="133">
        <f t="shared" si="58"/>
        <v>0.64</v>
      </c>
      <c r="G200" s="133">
        <f t="shared" si="58"/>
        <v>0.64</v>
      </c>
      <c r="H200" s="133">
        <f t="shared" si="58"/>
        <v>0.64</v>
      </c>
      <c r="I200" s="133">
        <f t="shared" si="58"/>
        <v>0.64</v>
      </c>
      <c r="J200" s="133">
        <f t="shared" si="58"/>
        <v>0.64</v>
      </c>
      <c r="K200" s="133">
        <f t="shared" si="58"/>
        <v>0.64</v>
      </c>
      <c r="L200" s="133">
        <f t="shared" si="58"/>
        <v>0.64</v>
      </c>
      <c r="M200" s="133">
        <f t="shared" si="58"/>
        <v>0.64</v>
      </c>
      <c r="N200" s="133">
        <f t="shared" si="58"/>
        <v>0.64</v>
      </c>
      <c r="O200" s="133">
        <f t="shared" si="58"/>
        <v>0.64</v>
      </c>
      <c r="P200" s="133">
        <f t="shared" si="58"/>
        <v>0.64</v>
      </c>
      <c r="Q200" s="133">
        <f t="shared" si="58"/>
        <v>0.64</v>
      </c>
      <c r="R200" s="133">
        <f t="shared" si="58"/>
        <v>0.64</v>
      </c>
      <c r="S200" s="133">
        <f t="shared" si="58"/>
        <v>0.64</v>
      </c>
      <c r="T200" s="133">
        <f t="shared" si="59"/>
        <v>0.64</v>
      </c>
      <c r="U200" s="133">
        <f t="shared" si="59"/>
        <v>0.64</v>
      </c>
      <c r="V200" s="133">
        <f t="shared" si="59"/>
        <v>0.64</v>
      </c>
      <c r="W200" s="133">
        <f t="shared" si="59"/>
        <v>0.64</v>
      </c>
      <c r="X200" s="133">
        <f t="shared" si="59"/>
        <v>0.64</v>
      </c>
      <c r="Y200" s="133">
        <f t="shared" si="59"/>
        <v>0.64</v>
      </c>
      <c r="Z200" s="133">
        <f t="shared" si="59"/>
        <v>0.64</v>
      </c>
      <c r="AA200" s="133">
        <f t="shared" si="59"/>
        <v>0.64</v>
      </c>
      <c r="AB200" s="133">
        <f t="shared" si="59"/>
        <v>0.64</v>
      </c>
      <c r="AC200" s="133">
        <f t="shared" si="59"/>
        <v>0.64</v>
      </c>
      <c r="AD200" s="133">
        <f t="shared" si="59"/>
        <v>0.64</v>
      </c>
      <c r="AE200" s="133">
        <f t="shared" si="59"/>
        <v>0.64</v>
      </c>
      <c r="AF200" s="133">
        <f t="shared" si="59"/>
        <v>0.64</v>
      </c>
      <c r="AG200" s="134">
        <v>0.66</v>
      </c>
      <c r="AH200" s="55"/>
      <c r="AI200" s="56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60">SUM(D195:D200)</f>
        <v>3.54</v>
      </c>
      <c r="E201" s="136">
        <f t="shared" si="60"/>
        <v>3.54</v>
      </c>
      <c r="F201" s="136">
        <f t="shared" si="60"/>
        <v>3.54</v>
      </c>
      <c r="G201" s="136">
        <f t="shared" si="60"/>
        <v>3.54</v>
      </c>
      <c r="H201" s="136">
        <f t="shared" si="60"/>
        <v>3.54</v>
      </c>
      <c r="I201" s="136">
        <f t="shared" si="60"/>
        <v>3.54</v>
      </c>
      <c r="J201" s="136">
        <f t="shared" si="60"/>
        <v>3.54</v>
      </c>
      <c r="K201" s="136">
        <f t="shared" si="60"/>
        <v>3.54</v>
      </c>
      <c r="L201" s="136">
        <f t="shared" si="60"/>
        <v>3.54</v>
      </c>
      <c r="M201" s="136">
        <f>SUM(M195:M200)</f>
        <v>3.54</v>
      </c>
      <c r="N201" s="136">
        <f t="shared" ref="N201:S201" si="61">SUM(N195:N200)</f>
        <v>3.54</v>
      </c>
      <c r="O201" s="136">
        <f t="shared" si="61"/>
        <v>3.54</v>
      </c>
      <c r="P201" s="136">
        <f t="shared" si="61"/>
        <v>3.54</v>
      </c>
      <c r="Q201" s="136">
        <f t="shared" si="61"/>
        <v>3.54</v>
      </c>
      <c r="R201" s="136">
        <f t="shared" si="61"/>
        <v>3.54</v>
      </c>
      <c r="S201" s="136">
        <f t="shared" si="61"/>
        <v>3.54</v>
      </c>
      <c r="T201" s="136">
        <f>SUM(T195:T200)</f>
        <v>3.54</v>
      </c>
      <c r="U201" s="136">
        <f t="shared" ref="U201:AG201" si="62">SUM(U195:U200)</f>
        <v>3.54</v>
      </c>
      <c r="V201" s="136">
        <f t="shared" si="62"/>
        <v>3.54</v>
      </c>
      <c r="W201" s="136">
        <f t="shared" si="62"/>
        <v>3.54</v>
      </c>
      <c r="X201" s="136">
        <f t="shared" si="62"/>
        <v>3.54</v>
      </c>
      <c r="Y201" s="136">
        <f t="shared" si="62"/>
        <v>3.54</v>
      </c>
      <c r="Z201" s="136">
        <f t="shared" si="62"/>
        <v>3.54</v>
      </c>
      <c r="AA201" s="136">
        <f t="shared" si="62"/>
        <v>3.54</v>
      </c>
      <c r="AB201" s="136">
        <f t="shared" si="62"/>
        <v>3.54</v>
      </c>
      <c r="AC201" s="136">
        <f t="shared" si="62"/>
        <v>3.54</v>
      </c>
      <c r="AD201" s="136">
        <f t="shared" si="62"/>
        <v>3.54</v>
      </c>
      <c r="AE201" s="136">
        <f t="shared" si="62"/>
        <v>3.54</v>
      </c>
      <c r="AF201" s="136">
        <f t="shared" si="62"/>
        <v>3.54</v>
      </c>
      <c r="AG201" s="137">
        <f t="shared" si="62"/>
        <v>8.56</v>
      </c>
      <c r="AH201" s="55"/>
      <c r="AI201" s="56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204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5"/>
      <c r="AI203" s="56"/>
    </row>
    <row r="204" spans="1:37" x14ac:dyDescent="0.25">
      <c r="A204" s="140" t="s">
        <v>205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5"/>
      <c r="AI204" s="56"/>
    </row>
    <row r="205" spans="1:37" x14ac:dyDescent="0.25">
      <c r="A205" s="92" t="s">
        <v>206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x14ac:dyDescent="0.25">
      <c r="A206" s="92" t="s">
        <v>207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5"/>
      <c r="AI206" s="56"/>
    </row>
    <row r="207" spans="1:37" ht="15.75" thickBot="1" x14ac:dyDescent="0.3">
      <c r="A207" s="146" t="s">
        <v>208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5"/>
      <c r="AI207" s="56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209</v>
      </c>
      <c r="B210" s="150">
        <f>MAX(G75:N75)</f>
        <v>1616.0400000000002</v>
      </c>
      <c r="C210" s="151">
        <f>INDEX(G9:N9,1,MATCH(MAX(G75:N75),G75:N75,0))</f>
        <v>0.3125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2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8" t="s">
        <v>210</v>
      </c>
      <c r="B212" s="198"/>
      <c r="C212" s="47"/>
      <c r="D212" s="152" t="str">
        <f ca="1">"Pie Chart of Daily Peak Demand(Inclusive of Export) of Nepal ("&amp;A4&amp;" "&amp;B4&amp;")"</f>
        <v>Pie Chart of Daily Peak Demand(Inclusive of Export) of Nepal (Nepali Date: 2079/02/2)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2079/02/2)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211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212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213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214</v>
      </c>
      <c r="T215" s="161">
        <f t="shared" ref="T215:AX215" si="63">B75</f>
        <v>1515.7400000000002</v>
      </c>
      <c r="U215" s="161">
        <f t="shared" si="63"/>
        <v>1623.54</v>
      </c>
      <c r="V215" s="161">
        <f t="shared" si="63"/>
        <v>1602.44</v>
      </c>
      <c r="W215" s="161">
        <f t="shared" si="63"/>
        <v>1625.64</v>
      </c>
      <c r="X215" s="161">
        <f t="shared" si="63"/>
        <v>3.54</v>
      </c>
      <c r="Y215" s="161">
        <f t="shared" si="63"/>
        <v>1555.14</v>
      </c>
      <c r="Z215" s="161">
        <f t="shared" si="63"/>
        <v>1580.0400000000002</v>
      </c>
      <c r="AA215" s="161">
        <f t="shared" si="63"/>
        <v>1538.0400000000002</v>
      </c>
      <c r="AB215" s="161">
        <f t="shared" si="63"/>
        <v>1563.0400000000002</v>
      </c>
      <c r="AC215" s="161">
        <f t="shared" si="63"/>
        <v>1552.7400000000002</v>
      </c>
      <c r="AD215" s="161">
        <f t="shared" si="63"/>
        <v>1616.0400000000002</v>
      </c>
      <c r="AE215" s="161">
        <f t="shared" si="63"/>
        <v>1607.64</v>
      </c>
      <c r="AF215" s="161">
        <f t="shared" si="63"/>
        <v>524.54</v>
      </c>
      <c r="AG215" s="161">
        <f t="shared" si="63"/>
        <v>1660.84</v>
      </c>
      <c r="AH215" s="161">
        <f t="shared" si="63"/>
        <v>1660.1399999999999</v>
      </c>
      <c r="AI215" s="161">
        <f t="shared" si="63"/>
        <v>1670.2400000000002</v>
      </c>
      <c r="AJ215" s="161">
        <f t="shared" si="63"/>
        <v>1674.8400000000001</v>
      </c>
      <c r="AK215" s="161">
        <f t="shared" si="63"/>
        <v>1478.1400000000003</v>
      </c>
      <c r="AL215" s="161">
        <f t="shared" si="63"/>
        <v>1690.1400000000003</v>
      </c>
      <c r="AM215" s="161">
        <f t="shared" si="63"/>
        <v>1701.1400000000003</v>
      </c>
      <c r="AN215" s="161">
        <f t="shared" si="63"/>
        <v>1656.6400000000003</v>
      </c>
      <c r="AO215" s="161">
        <f t="shared" si="63"/>
        <v>1686.6400000000003</v>
      </c>
      <c r="AP215" s="161">
        <f t="shared" si="63"/>
        <v>1654.6400000000003</v>
      </c>
      <c r="AQ215" s="161">
        <f t="shared" si="63"/>
        <v>1656.6400000000003</v>
      </c>
      <c r="AR215" s="161">
        <f t="shared" si="63"/>
        <v>1665.6400000000003</v>
      </c>
      <c r="AS215" s="161">
        <f t="shared" si="63"/>
        <v>1690.6400000000003</v>
      </c>
      <c r="AT215" s="161">
        <f t="shared" si="63"/>
        <v>1681.14</v>
      </c>
      <c r="AU215" s="161">
        <f t="shared" si="63"/>
        <v>1690.2400000000002</v>
      </c>
      <c r="AV215" s="161">
        <f t="shared" si="63"/>
        <v>1690.2400000000002</v>
      </c>
      <c r="AW215" s="161">
        <f t="shared" si="63"/>
        <v>1678.2400000000002</v>
      </c>
      <c r="AX215" s="161">
        <f t="shared" si="63"/>
        <v>1634.8400000000001</v>
      </c>
    </row>
    <row r="216" spans="1:50" x14ac:dyDescent="0.25">
      <c r="A216" s="153" t="s">
        <v>215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216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217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218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219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204</v>
      </c>
      <c r="B236" s="164">
        <f t="shared" ref="B236:AE236" si="64">C200</f>
        <v>0.64</v>
      </c>
      <c r="C236" s="164">
        <f t="shared" si="64"/>
        <v>0.64</v>
      </c>
      <c r="D236" s="164">
        <f t="shared" si="64"/>
        <v>0.64</v>
      </c>
      <c r="E236" s="164">
        <f t="shared" si="64"/>
        <v>0.64</v>
      </c>
      <c r="F236" s="164">
        <f t="shared" si="64"/>
        <v>0.64</v>
      </c>
      <c r="G236" s="164">
        <f t="shared" si="64"/>
        <v>0.64</v>
      </c>
      <c r="H236" s="164">
        <f t="shared" si="64"/>
        <v>0.64</v>
      </c>
      <c r="I236" s="164">
        <f t="shared" si="64"/>
        <v>0.64</v>
      </c>
      <c r="J236" s="164">
        <f t="shared" si="64"/>
        <v>0.64</v>
      </c>
      <c r="K236" s="164">
        <f t="shared" si="64"/>
        <v>0.64</v>
      </c>
      <c r="L236" s="164">
        <f t="shared" si="64"/>
        <v>0.64</v>
      </c>
      <c r="M236" s="164">
        <f t="shared" si="64"/>
        <v>0.64</v>
      </c>
      <c r="N236" s="164">
        <f t="shared" si="64"/>
        <v>0.64</v>
      </c>
      <c r="O236" s="164">
        <f t="shared" si="64"/>
        <v>0.64</v>
      </c>
      <c r="P236" s="164">
        <f t="shared" si="64"/>
        <v>0.64</v>
      </c>
      <c r="Q236" s="164">
        <f t="shared" si="64"/>
        <v>0.64</v>
      </c>
      <c r="R236" s="164">
        <f t="shared" si="64"/>
        <v>0.64</v>
      </c>
      <c r="S236" s="164">
        <f t="shared" si="64"/>
        <v>0.64</v>
      </c>
      <c r="T236" s="164">
        <f t="shared" si="64"/>
        <v>0.64</v>
      </c>
      <c r="U236" s="164">
        <f t="shared" si="64"/>
        <v>0.64</v>
      </c>
      <c r="V236" s="164">
        <f t="shared" si="64"/>
        <v>0.64</v>
      </c>
      <c r="W236" s="164">
        <f t="shared" si="64"/>
        <v>0.64</v>
      </c>
      <c r="X236" s="164">
        <f t="shared" si="64"/>
        <v>0.64</v>
      </c>
      <c r="Y236" s="164">
        <f t="shared" si="64"/>
        <v>0.64</v>
      </c>
      <c r="Z236" s="164">
        <f t="shared" si="64"/>
        <v>0.64</v>
      </c>
      <c r="AA236" s="164">
        <f t="shared" si="64"/>
        <v>0.64</v>
      </c>
      <c r="AB236" s="164">
        <f t="shared" si="64"/>
        <v>0.64</v>
      </c>
      <c r="AC236" s="164">
        <f t="shared" si="64"/>
        <v>0.64</v>
      </c>
      <c r="AD236" s="164">
        <f t="shared" si="64"/>
        <v>0.64</v>
      </c>
      <c r="AE236" s="164">
        <f t="shared" si="64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65">IF(C204&lt;100,"",C204-520)</f>
        <v/>
      </c>
      <c r="D237" s="107" t="str">
        <f t="shared" si="65"/>
        <v/>
      </c>
      <c r="E237" s="107" t="str">
        <f t="shared" si="65"/>
        <v/>
      </c>
      <c r="F237" s="107" t="str">
        <f t="shared" si="65"/>
        <v/>
      </c>
      <c r="G237" s="107" t="str">
        <f t="shared" si="65"/>
        <v/>
      </c>
      <c r="H237" s="107" t="str">
        <f t="shared" si="65"/>
        <v/>
      </c>
      <c r="I237" s="107" t="str">
        <f t="shared" si="65"/>
        <v/>
      </c>
      <c r="J237" s="107" t="str">
        <f t="shared" si="65"/>
        <v/>
      </c>
      <c r="K237" s="107" t="str">
        <f t="shared" si="65"/>
        <v/>
      </c>
      <c r="L237" s="107" t="str">
        <f t="shared" si="65"/>
        <v/>
      </c>
      <c r="M237" s="107" t="str">
        <f t="shared" si="65"/>
        <v/>
      </c>
      <c r="N237" s="107" t="str">
        <f t="shared" si="65"/>
        <v/>
      </c>
      <c r="O237" s="107" t="str">
        <f t="shared" si="65"/>
        <v/>
      </c>
      <c r="P237" s="107" t="str">
        <f t="shared" si="65"/>
        <v/>
      </c>
      <c r="Q237" s="107" t="str">
        <f t="shared" si="65"/>
        <v/>
      </c>
      <c r="R237" s="107" t="str">
        <f t="shared" si="65"/>
        <v/>
      </c>
      <c r="S237" s="107" t="str">
        <f t="shared" si="65"/>
        <v/>
      </c>
      <c r="T237" s="107" t="str">
        <f t="shared" si="65"/>
        <v/>
      </c>
      <c r="U237" s="107" t="str">
        <f t="shared" si="65"/>
        <v/>
      </c>
      <c r="V237" s="107" t="str">
        <f t="shared" si="65"/>
        <v/>
      </c>
      <c r="W237" s="107" t="str">
        <f t="shared" si="65"/>
        <v/>
      </c>
      <c r="X237" s="107" t="str">
        <f t="shared" si="65"/>
        <v/>
      </c>
      <c r="Y237" s="107" t="str">
        <f t="shared" si="65"/>
        <v/>
      </c>
      <c r="Z237" s="107" t="str">
        <f t="shared" si="65"/>
        <v/>
      </c>
      <c r="AA237" s="107" t="str">
        <f t="shared" si="65"/>
        <v/>
      </c>
      <c r="AB237" s="107" t="str">
        <f t="shared" si="65"/>
        <v/>
      </c>
      <c r="AC237" s="107" t="str">
        <f t="shared" si="65"/>
        <v/>
      </c>
      <c r="AD237" s="107" t="str">
        <f t="shared" si="65"/>
        <v/>
      </c>
      <c r="AE237" s="107" t="str">
        <f t="shared" si="65"/>
        <v/>
      </c>
      <c r="AF237" s="107" t="str">
        <f t="shared" si="65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66">IF(B205&lt;100,"",B205-620)</f>
        <v/>
      </c>
      <c r="C238" s="107" t="str">
        <f t="shared" si="66"/>
        <v/>
      </c>
      <c r="D238" s="107" t="str">
        <f t="shared" si="66"/>
        <v/>
      </c>
      <c r="E238" s="107" t="str">
        <f t="shared" si="66"/>
        <v/>
      </c>
      <c r="F238" s="107" t="str">
        <f t="shared" si="66"/>
        <v/>
      </c>
      <c r="G238" s="107" t="str">
        <f t="shared" si="66"/>
        <v/>
      </c>
      <c r="H238" s="107" t="str">
        <f t="shared" si="66"/>
        <v/>
      </c>
      <c r="I238" s="107" t="str">
        <f t="shared" si="66"/>
        <v/>
      </c>
      <c r="J238" s="107" t="str">
        <f t="shared" si="66"/>
        <v/>
      </c>
      <c r="K238" s="107" t="str">
        <f t="shared" si="66"/>
        <v/>
      </c>
      <c r="L238" s="107" t="str">
        <f t="shared" si="66"/>
        <v/>
      </c>
      <c r="M238" s="107" t="str">
        <f t="shared" si="66"/>
        <v/>
      </c>
      <c r="N238" s="107" t="str">
        <f t="shared" si="66"/>
        <v/>
      </c>
      <c r="O238" s="107" t="str">
        <f t="shared" si="66"/>
        <v/>
      </c>
      <c r="P238" s="107" t="str">
        <f t="shared" si="66"/>
        <v/>
      </c>
      <c r="Q238" s="107" t="str">
        <f t="shared" si="66"/>
        <v/>
      </c>
      <c r="R238" s="107" t="str">
        <f t="shared" si="66"/>
        <v/>
      </c>
      <c r="S238" s="107" t="str">
        <f t="shared" si="66"/>
        <v/>
      </c>
      <c r="T238" s="107" t="str">
        <f t="shared" si="66"/>
        <v/>
      </c>
      <c r="U238" s="107" t="str">
        <f t="shared" si="66"/>
        <v/>
      </c>
      <c r="V238" s="107" t="str">
        <f t="shared" si="66"/>
        <v/>
      </c>
      <c r="W238" s="107" t="str">
        <f t="shared" si="66"/>
        <v/>
      </c>
      <c r="X238" s="107" t="str">
        <f t="shared" si="66"/>
        <v/>
      </c>
      <c r="Y238" s="107" t="str">
        <f t="shared" si="66"/>
        <v/>
      </c>
      <c r="Z238" s="107" t="str">
        <f t="shared" si="66"/>
        <v/>
      </c>
      <c r="AA238" s="107" t="str">
        <f t="shared" si="66"/>
        <v/>
      </c>
      <c r="AB238" s="107" t="str">
        <f t="shared" si="66"/>
        <v/>
      </c>
      <c r="AC238" s="107" t="str">
        <f t="shared" si="66"/>
        <v/>
      </c>
      <c r="AD238" s="107" t="str">
        <f t="shared" si="66"/>
        <v/>
      </c>
      <c r="AE238" s="107" t="str">
        <f t="shared" si="66"/>
        <v/>
      </c>
      <c r="AF238" s="107" t="str">
        <f t="shared" si="66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67">IF(B206&lt;100,"",B206-330)</f>
        <v/>
      </c>
      <c r="C239" s="107" t="str">
        <f t="shared" si="67"/>
        <v/>
      </c>
      <c r="D239" s="107" t="str">
        <f t="shared" si="67"/>
        <v/>
      </c>
      <c r="E239" s="107" t="str">
        <f t="shared" si="67"/>
        <v/>
      </c>
      <c r="F239" s="107" t="str">
        <f t="shared" si="67"/>
        <v/>
      </c>
      <c r="G239" s="107" t="str">
        <f t="shared" si="67"/>
        <v/>
      </c>
      <c r="H239" s="107" t="str">
        <f t="shared" si="67"/>
        <v/>
      </c>
      <c r="I239" s="107" t="str">
        <f t="shared" si="67"/>
        <v/>
      </c>
      <c r="J239" s="107" t="str">
        <f t="shared" si="67"/>
        <v/>
      </c>
      <c r="K239" s="107" t="str">
        <f t="shared" si="67"/>
        <v/>
      </c>
      <c r="L239" s="107" t="str">
        <f t="shared" si="67"/>
        <v/>
      </c>
      <c r="M239" s="107" t="str">
        <f t="shared" si="67"/>
        <v/>
      </c>
      <c r="N239" s="107" t="str">
        <f t="shared" si="67"/>
        <v/>
      </c>
      <c r="O239" s="107" t="str">
        <f t="shared" si="67"/>
        <v/>
      </c>
      <c r="P239" s="107" t="str">
        <f t="shared" si="67"/>
        <v/>
      </c>
      <c r="Q239" s="107" t="str">
        <f t="shared" si="67"/>
        <v/>
      </c>
      <c r="R239" s="107" t="str">
        <f t="shared" si="67"/>
        <v/>
      </c>
      <c r="S239" s="107" t="str">
        <f t="shared" si="67"/>
        <v/>
      </c>
      <c r="T239" s="107" t="str">
        <f t="shared" si="67"/>
        <v/>
      </c>
      <c r="U239" s="107" t="str">
        <f t="shared" si="67"/>
        <v/>
      </c>
      <c r="V239" s="107" t="str">
        <f t="shared" si="67"/>
        <v/>
      </c>
      <c r="W239" s="107" t="str">
        <f t="shared" si="67"/>
        <v/>
      </c>
      <c r="X239" s="107" t="str">
        <f t="shared" si="67"/>
        <v/>
      </c>
      <c r="Y239" s="107" t="str">
        <f t="shared" si="67"/>
        <v/>
      </c>
      <c r="Z239" s="107" t="str">
        <f t="shared" si="67"/>
        <v/>
      </c>
      <c r="AA239" s="107" t="str">
        <f t="shared" si="67"/>
        <v/>
      </c>
      <c r="AB239" s="107" t="str">
        <f t="shared" si="67"/>
        <v/>
      </c>
      <c r="AC239" s="107" t="str">
        <f t="shared" si="67"/>
        <v/>
      </c>
      <c r="AD239" s="107" t="str">
        <f t="shared" si="67"/>
        <v/>
      </c>
      <c r="AE239" s="107" t="str">
        <f t="shared" si="67"/>
        <v/>
      </c>
      <c r="AF239" s="107" t="str">
        <f t="shared" si="67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68">IF(C207&lt;100,"",C207-1500)</f>
        <v/>
      </c>
      <c r="D240" s="107" t="str">
        <f t="shared" si="68"/>
        <v/>
      </c>
      <c r="E240" s="107" t="str">
        <f t="shared" si="68"/>
        <v/>
      </c>
      <c r="F240" s="107" t="str">
        <f t="shared" si="68"/>
        <v/>
      </c>
      <c r="G240" s="107" t="str">
        <f t="shared" si="68"/>
        <v/>
      </c>
      <c r="H240" s="107" t="str">
        <f t="shared" si="68"/>
        <v/>
      </c>
      <c r="I240" s="107" t="str">
        <f t="shared" si="68"/>
        <v/>
      </c>
      <c r="J240" s="107" t="str">
        <f t="shared" si="68"/>
        <v/>
      </c>
      <c r="K240" s="107" t="str">
        <f t="shared" si="68"/>
        <v/>
      </c>
      <c r="L240" s="107" t="str">
        <f t="shared" si="68"/>
        <v/>
      </c>
      <c r="M240" s="107" t="str">
        <f t="shared" si="68"/>
        <v/>
      </c>
      <c r="N240" s="107" t="str">
        <f t="shared" si="68"/>
        <v/>
      </c>
      <c r="O240" s="107" t="str">
        <f t="shared" si="68"/>
        <v/>
      </c>
      <c r="P240" s="107" t="str">
        <f t="shared" si="68"/>
        <v/>
      </c>
      <c r="Q240" s="107" t="str">
        <f t="shared" si="68"/>
        <v/>
      </c>
      <c r="R240" s="107" t="str">
        <f t="shared" si="68"/>
        <v/>
      </c>
      <c r="S240" s="107" t="str">
        <f t="shared" si="68"/>
        <v/>
      </c>
      <c r="T240" s="107" t="str">
        <f t="shared" si="68"/>
        <v/>
      </c>
      <c r="U240" s="107" t="str">
        <f t="shared" si="68"/>
        <v/>
      </c>
      <c r="V240" s="107" t="str">
        <f t="shared" si="68"/>
        <v/>
      </c>
      <c r="W240" s="107" t="str">
        <f t="shared" si="68"/>
        <v/>
      </c>
      <c r="X240" s="107" t="str">
        <f t="shared" si="68"/>
        <v/>
      </c>
      <c r="Y240" s="107" t="str">
        <f t="shared" si="68"/>
        <v/>
      </c>
      <c r="Z240" s="107" t="str">
        <f t="shared" si="68"/>
        <v/>
      </c>
      <c r="AA240" s="107" t="str">
        <f t="shared" si="68"/>
        <v/>
      </c>
      <c r="AB240" s="107" t="str">
        <f t="shared" si="68"/>
        <v/>
      </c>
      <c r="AC240" s="107" t="str">
        <f t="shared" si="68"/>
        <v/>
      </c>
      <c r="AD240" s="107" t="str">
        <f t="shared" si="68"/>
        <v/>
      </c>
      <c r="AE240" s="107" t="str">
        <f t="shared" si="68"/>
        <v/>
      </c>
      <c r="AF240" s="107" t="str">
        <f t="shared" si="68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T11:AF11 C94:AF100">
    <cfRule type="expression" dxfId="6560" priority="238">
      <formula>B$9&gt;=20/24</formula>
    </cfRule>
    <cfRule type="expression" dxfId="6559" priority="239">
      <formula>AND(B$9&gt;=14/24,B$9&lt;20/24)</formula>
    </cfRule>
    <cfRule type="expression" dxfId="6558" priority="240">
      <formula>AND(B$9&gt;=8/24,B$9&lt;14/24)</formula>
    </cfRule>
    <cfRule type="expression" dxfId="6557" priority="241">
      <formula>B$9&lt;8/24</formula>
    </cfRule>
  </conditionalFormatting>
  <conditionalFormatting sqref="AL4:AL6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G51 J11:AF11">
    <cfRule type="expression" dxfId="6556" priority="232">
      <formula>J11&gt;$AG11</formula>
    </cfRule>
  </conditionalFormatting>
  <conditionalFormatting sqref="A102:A158 A84:A97 A11:A14 A16:A32 A45:A72 A80:A82 A74:A78 A35:A43 A171:A201">
    <cfRule type="expression" dxfId="6555" priority="231">
      <formula>$AH11=0</formula>
    </cfRule>
  </conditionalFormatting>
  <conditionalFormatting sqref="A98">
    <cfRule type="expression" dxfId="6554" priority="230">
      <formula>$AH98=0</formula>
    </cfRule>
  </conditionalFormatting>
  <conditionalFormatting sqref="AL32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553" priority="228">
      <formula>$AH34=0</formula>
    </cfRule>
  </conditionalFormatting>
  <conditionalFormatting sqref="A83">
    <cfRule type="expression" dxfId="6552" priority="227">
      <formula>$AH83=0</formula>
    </cfRule>
  </conditionalFormatting>
  <conditionalFormatting sqref="A15">
    <cfRule type="expression" dxfId="6551" priority="226">
      <formula>$AH15=0</formula>
    </cfRule>
  </conditionalFormatting>
  <conditionalFormatting sqref="A165:A170">
    <cfRule type="expression" dxfId="6550" priority="225">
      <formula>$AH165=0</formula>
    </cfRule>
  </conditionalFormatting>
  <conditionalFormatting sqref="A159:A164">
    <cfRule type="expression" dxfId="6549" priority="224">
      <formula>$AH159=0</formula>
    </cfRule>
  </conditionalFormatting>
  <conditionalFormatting sqref="A44">
    <cfRule type="expression" dxfId="6548" priority="223">
      <formula>$AH44=0</formula>
    </cfRule>
  </conditionalFormatting>
  <conditionalFormatting sqref="A79">
    <cfRule type="expression" dxfId="6547" priority="222">
      <formula>$AH79=0</formula>
    </cfRule>
  </conditionalFormatting>
  <conditionalFormatting sqref="A73">
    <cfRule type="expression" dxfId="6546" priority="221">
      <formula>$AH73=0</formula>
    </cfRule>
  </conditionalFormatting>
  <conditionalFormatting sqref="AL34:AL35 AL7:AL31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6545" priority="217">
      <formula>C$9&gt;=20/24</formula>
    </cfRule>
    <cfRule type="expression" dxfId="6544" priority="218">
      <formula>AND(C$9&gt;=14/24,C$9&lt;20/24)</formula>
    </cfRule>
    <cfRule type="expression" dxfId="6543" priority="219">
      <formula>AND(C$9&gt;=8/24,C$9&lt;14/24)</formula>
    </cfRule>
    <cfRule type="expression" dxfId="6542" priority="220">
      <formula>C$9&lt;8/24</formula>
    </cfRule>
  </conditionalFormatting>
  <conditionalFormatting sqref="AL3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541" priority="245">
      <formula>C$9&gt;=20/24</formula>
    </cfRule>
    <cfRule type="expression" dxfId="6540" priority="246">
      <formula>AND(C$9&gt;=14/24,C$9&lt;20/24)</formula>
    </cfRule>
    <cfRule type="expression" dxfId="6539" priority="247">
      <formula>AND(C$9&gt;=8/24,C$9&lt;14/24)</formula>
    </cfRule>
    <cfRule type="expression" dxfId="6538" priority="248">
      <formula>C$9&lt;8/24</formula>
    </cfRule>
  </conditionalFormatting>
  <conditionalFormatting sqref="A202">
    <cfRule type="expression" dxfId="6537" priority="249">
      <formula>$AH202=0</formula>
    </cfRule>
  </conditionalFormatting>
  <conditionalFormatting sqref="AG214">
    <cfRule type="expression" dxfId="6536" priority="250">
      <formula>B$9&gt;=20/24</formula>
    </cfRule>
    <cfRule type="expression" dxfId="6535" priority="251">
      <formula>AND(B$9&gt;=14/24,B$9&lt;20/24)</formula>
    </cfRule>
    <cfRule type="expression" dxfId="6534" priority="252">
      <formula>AND(B$9&gt;=8/24,B$9&lt;14/24)</formula>
    </cfRule>
    <cfRule type="expression" dxfId="6533" priority="253">
      <formula>B$9&lt;8/24</formula>
    </cfRule>
  </conditionalFormatting>
  <conditionalFormatting sqref="S8">
    <cfRule type="expression" dxfId="6532" priority="212">
      <formula>U$9&gt;=20/24</formula>
    </cfRule>
    <cfRule type="expression" dxfId="6531" priority="213">
      <formula>AND(U$9&gt;=14/24,U$9&lt;20/24)</formula>
    </cfRule>
    <cfRule type="expression" dxfId="6530" priority="214">
      <formula>AND(U$9&gt;=8/24,U$9&lt;14/24)</formula>
    </cfRule>
    <cfRule type="expression" dxfId="6529" priority="215">
      <formula>U$9&lt;8/24</formula>
    </cfRule>
  </conditionalFormatting>
  <conditionalFormatting sqref="AB8">
    <cfRule type="expression" dxfId="6528" priority="208">
      <formula>AD$9&gt;=20/24</formula>
    </cfRule>
    <cfRule type="expression" dxfId="6527" priority="209">
      <formula>AND(AD$9&gt;=14/24,AD$9&lt;20/24)</formula>
    </cfRule>
    <cfRule type="expression" dxfId="6526" priority="210">
      <formula>AND(AD$9&gt;=8/24,AD$9&lt;14/24)</formula>
    </cfRule>
    <cfRule type="expression" dxfId="6525" priority="211">
      <formula>AD$9&lt;8/24</formula>
    </cfRule>
  </conditionalFormatting>
  <conditionalFormatting sqref="AH214:AX214">
    <cfRule type="expression" dxfId="6524" priority="254">
      <formula>AG$9&gt;=20/24</formula>
    </cfRule>
    <cfRule type="expression" dxfId="6523" priority="255">
      <formula>AND(AG$9&gt;=14/24,AG$9&lt;20/24)</formula>
    </cfRule>
    <cfRule type="expression" dxfId="6522" priority="256">
      <formula>AND(AG$9&gt;=8/24,AG$9&lt;14/24)</formula>
    </cfRule>
    <cfRule type="expression" dxfId="6521" priority="257">
      <formula>AG$9&lt;8/24</formula>
    </cfRule>
  </conditionalFormatting>
  <conditionalFormatting sqref="T214">
    <cfRule type="expression" dxfId="6520" priority="258">
      <formula>AX$9&gt;=20/24</formula>
    </cfRule>
    <cfRule type="expression" dxfId="6519" priority="259">
      <formula>AND(AX$9&gt;=14/24,AX$9&lt;20/24)</formula>
    </cfRule>
    <cfRule type="expression" dxfId="6518" priority="260">
      <formula>AND(AX$9&gt;=8/24,AX$9&lt;14/24)</formula>
    </cfRule>
    <cfRule type="expression" dxfId="6517" priority="261">
      <formula>AX$9&lt;8/24</formula>
    </cfRule>
  </conditionalFormatting>
  <conditionalFormatting sqref="A99:A100">
    <cfRule type="expression" dxfId="6516" priority="207">
      <formula>$AH99=0</formula>
    </cfRule>
  </conditionalFormatting>
  <conditionalFormatting sqref="F11:I11 E40:L41 E57:AF57 AB40:AF41">
    <cfRule type="expression" dxfId="6515" priority="203">
      <formula>E$9&gt;=20/24</formula>
    </cfRule>
    <cfRule type="expression" dxfId="6514" priority="204">
      <formula>AND(E$9&gt;=14/24,E$9&lt;20/24)</formula>
    </cfRule>
    <cfRule type="expression" dxfId="6513" priority="205">
      <formula>AND(E$9&gt;=8/24,E$9&lt;14/24)</formula>
    </cfRule>
    <cfRule type="expression" dxfId="6512" priority="206">
      <formula>E$9&lt;8/24</formula>
    </cfRule>
  </conditionalFormatting>
  <conditionalFormatting sqref="E39:L39 S39:AF39">
    <cfRule type="expression" dxfId="6511" priority="199">
      <formula>E$9&gt;=20/24</formula>
    </cfRule>
    <cfRule type="expression" dxfId="6510" priority="200">
      <formula>AND(E$9&gt;=14/24,E$9&lt;20/24)</formula>
    </cfRule>
    <cfRule type="expression" dxfId="6509" priority="201">
      <formula>AND(E$9&gt;=8/24,E$9&lt;14/24)</formula>
    </cfRule>
    <cfRule type="expression" dxfId="6508" priority="202">
      <formula>E$9&lt;8/24</formula>
    </cfRule>
  </conditionalFormatting>
  <conditionalFormatting sqref="F11:I11 E39:L41 S39:AA39 AB39:AF41">
    <cfRule type="expression" dxfId="6507" priority="198">
      <formula>E11&gt;$AG11</formula>
    </cfRule>
  </conditionalFormatting>
  <conditionalFormatting sqref="C81:AF81 C69:AF72 E60:G62 N22:O22 F63:G63 F12:M14 F67:M67 H60:M63 M11:O11 O12:O14 O18:O21 P11:R14 S11:S12 E58:T59 N60:T67 T12:AF12 C53:AF56 C85:AF91 O16:AF16 N24:AF26 S13:AF14 P18:AF22 N28:AF31 F36:AF36 U58:AF67">
    <cfRule type="expression" dxfId="6506" priority="194">
      <formula>C$9&gt;=20/24</formula>
    </cfRule>
    <cfRule type="expression" dxfId="6505" priority="195">
      <formula>AND(C$9&gt;=14/24,C$9&lt;20/24)</formula>
    </cfRule>
    <cfRule type="expression" dxfId="6504" priority="196">
      <formula>AND(C$9&gt;=8/24,C$9&lt;14/24)</formula>
    </cfRule>
    <cfRule type="expression" dxfId="6503" priority="197">
      <formula>C$9&lt;8/24</formula>
    </cfRule>
  </conditionalFormatting>
  <conditionalFormatting sqref="N32:AF32">
    <cfRule type="expression" dxfId="6502" priority="190">
      <formula>N$9&gt;=20/24</formula>
    </cfRule>
    <cfRule type="expression" dxfId="6501" priority="191">
      <formula>AND(N$9&gt;=14/24,N$9&lt;20/24)</formula>
    </cfRule>
    <cfRule type="expression" dxfId="6500" priority="192">
      <formula>AND(N$9&gt;=8/24,N$9&lt;14/24)</formula>
    </cfRule>
    <cfRule type="expression" dxfId="6499" priority="193">
      <formula>N$9&lt;8/24</formula>
    </cfRule>
  </conditionalFormatting>
  <conditionalFormatting sqref="N35:AF35">
    <cfRule type="expression" dxfId="6498" priority="186">
      <formula>N$9&gt;=20/24</formula>
    </cfRule>
    <cfRule type="expression" dxfId="6497" priority="187">
      <formula>AND(N$9&gt;=14/24,N$9&lt;20/24)</formula>
    </cfRule>
    <cfRule type="expression" dxfId="6496" priority="188">
      <formula>AND(N$9&gt;=8/24,N$9&lt;14/24)</formula>
    </cfRule>
    <cfRule type="expression" dxfId="6495" priority="189">
      <formula>N$9&lt;8/24</formula>
    </cfRule>
  </conditionalFormatting>
  <conditionalFormatting sqref="N34:O35 O12:O16 N22:O22 E42:L43 F12:M15 F44:L44 F36:O36 M43:M44 M11:O11 O18:O21 P11:R16 C37:T37 P34:T36 S11:S12 C51:AF51 T12:AF12 C53:AF56 S13:AF16 P18:AF22 U34:AF37 N24:AF32 AB42:AF43">
    <cfRule type="expression" dxfId="6494" priority="185">
      <formula>C11&gt;$AG11</formula>
    </cfRule>
  </conditionalFormatting>
  <conditionalFormatting sqref="N34:AF34">
    <cfRule type="expression" dxfId="6493" priority="181">
      <formula>N$9&gt;=20/24</formula>
    </cfRule>
    <cfRule type="expression" dxfId="6492" priority="182">
      <formula>AND(N$9&gt;=14/24,N$9&lt;20/24)</formula>
    </cfRule>
    <cfRule type="expression" dxfId="6491" priority="183">
      <formula>AND(N$9&gt;=8/24,N$9&lt;14/24)</formula>
    </cfRule>
    <cfRule type="expression" dxfId="6490" priority="184">
      <formula>N$9&lt;8/24</formula>
    </cfRule>
  </conditionalFormatting>
  <conditionalFormatting sqref="F15:M15 O15:AF15">
    <cfRule type="expression" dxfId="6489" priority="177">
      <formula>F$9&gt;=20/24</formula>
    </cfRule>
    <cfRule type="expression" dxfId="6488" priority="178">
      <formula>AND(F$9&gt;=14/24,F$9&lt;20/24)</formula>
    </cfRule>
    <cfRule type="expression" dxfId="6487" priority="179">
      <formula>AND(F$9&gt;=8/24,F$9&lt;14/24)</formula>
    </cfRule>
    <cfRule type="expression" dxfId="6486" priority="180">
      <formula>F$9&lt;8/24</formula>
    </cfRule>
  </conditionalFormatting>
  <conditionalFormatting sqref="N33:AF33">
    <cfRule type="expression" dxfId="6485" priority="173">
      <formula>N$9&gt;=20/24</formula>
    </cfRule>
    <cfRule type="expression" dxfId="6484" priority="174">
      <formula>AND(N$9&gt;=14/24,N$9&lt;20/24)</formula>
    </cfRule>
    <cfRule type="expression" dxfId="6483" priority="175">
      <formula>AND(N$9&gt;=8/24,N$9&lt;14/24)</formula>
    </cfRule>
    <cfRule type="expression" dxfId="6482" priority="176">
      <formula>N$9&lt;8/24</formula>
    </cfRule>
  </conditionalFormatting>
  <conditionalFormatting sqref="N33:AF33">
    <cfRule type="expression" dxfId="6481" priority="172">
      <formula>N33&gt;$AG33</formula>
    </cfRule>
  </conditionalFormatting>
  <conditionalFormatting sqref="AB44:AF45">
    <cfRule type="expression" dxfId="6480" priority="164">
      <formula>AB$9&gt;=20/24</formula>
    </cfRule>
    <cfRule type="expression" dxfId="6479" priority="165">
      <formula>AND(AB$9&gt;=14/24,AB$9&lt;20/24)</formula>
    </cfRule>
    <cfRule type="expression" dxfId="6478" priority="166">
      <formula>AND(AB$9&gt;=8/24,AB$9&lt;14/24)</formula>
    </cfRule>
    <cfRule type="expression" dxfId="6477" priority="167">
      <formula>AB$9&lt;8/24</formula>
    </cfRule>
  </conditionalFormatting>
  <conditionalFormatting sqref="AB44:AF45">
    <cfRule type="expression" dxfId="6476" priority="163">
      <formula>AB44&gt;$AG44</formula>
    </cfRule>
  </conditionalFormatting>
  <conditionalFormatting sqref="M39:R42 S40:T42 N43:T50 U40:AA50 AB46:AF50">
    <cfRule type="expression" dxfId="6475" priority="159">
      <formula>M$9&gt;=20/24</formula>
    </cfRule>
    <cfRule type="expression" dxfId="6474" priority="160">
      <formula>AND(M$9&gt;=14/24,M$9&lt;20/24)</formula>
    </cfRule>
    <cfRule type="expression" dxfId="6473" priority="161">
      <formula>AND(M$9&gt;=8/24,M$9&lt;14/24)</formula>
    </cfRule>
    <cfRule type="expression" dxfId="6472" priority="162">
      <formula>M$9&lt;8/24</formula>
    </cfRule>
  </conditionalFormatting>
  <conditionalFormatting sqref="M39:R42 S40:T42 N43:T50 U40:AA50 AB46:AF50">
    <cfRule type="expression" dxfId="6471" priority="158">
      <formula>M39&gt;$AG39</formula>
    </cfRule>
  </conditionalFormatting>
  <conditionalFormatting sqref="N27:AF27">
    <cfRule type="expression" dxfId="6470" priority="154">
      <formula>N$9&gt;=20/24</formula>
    </cfRule>
    <cfRule type="expression" dxfId="6469" priority="155">
      <formula>AND(N$9&gt;=14/24,N$9&lt;20/24)</formula>
    </cfRule>
    <cfRule type="expression" dxfId="6468" priority="156">
      <formula>AND(N$9&gt;=8/24,N$9&lt;14/24)</formula>
    </cfRule>
    <cfRule type="expression" dxfId="6467" priority="157">
      <formula>N$9&lt;8/24</formula>
    </cfRule>
  </conditionalFormatting>
  <conditionalFormatting sqref="D11:E11 F16:M31 N23:AF23 O17:AF17">
    <cfRule type="expression" dxfId="6466" priority="150">
      <formula>D$9&gt;=20/24</formula>
    </cfRule>
    <cfRule type="expression" dxfId="6465" priority="151">
      <formula>AND(D$9&gt;=14/24,D$9&lt;20/24)</formula>
    </cfRule>
    <cfRule type="expression" dxfId="6464" priority="152">
      <formula>AND(D$9&gt;=8/24,D$9&lt;14/24)</formula>
    </cfRule>
    <cfRule type="expression" dxfId="6463" priority="153">
      <formula>D$9&lt;8/24</formula>
    </cfRule>
  </conditionalFormatting>
  <conditionalFormatting sqref="F32:M32">
    <cfRule type="expression" dxfId="6462" priority="146">
      <formula>F$9&gt;=20/24</formula>
    </cfRule>
    <cfRule type="expression" dxfId="6461" priority="147">
      <formula>AND(F$9&gt;=14/24,F$9&lt;20/24)</formula>
    </cfRule>
    <cfRule type="expression" dxfId="6460" priority="148">
      <formula>AND(F$9&gt;=8/24,F$9&lt;14/24)</formula>
    </cfRule>
    <cfRule type="expression" dxfId="6459" priority="149">
      <formula>F$9&lt;8/24</formula>
    </cfRule>
  </conditionalFormatting>
  <conditionalFormatting sqref="F35:M35">
    <cfRule type="expression" dxfId="6458" priority="142">
      <formula>F$9&gt;=20/24</formula>
    </cfRule>
    <cfRule type="expression" dxfId="6457" priority="143">
      <formula>AND(F$9&gt;=14/24,F$9&lt;20/24)</formula>
    </cfRule>
    <cfRule type="expression" dxfId="6456" priority="144">
      <formula>AND(F$9&gt;=8/24,F$9&lt;14/24)</formula>
    </cfRule>
    <cfRule type="expression" dxfId="6455" priority="145">
      <formula>F$9&lt;8/24</formula>
    </cfRule>
  </conditionalFormatting>
  <conditionalFormatting sqref="D11:E11 F34:M35 F16:M32 N23:AF23 O17:AF17">
    <cfRule type="expression" dxfId="6454" priority="141">
      <formula>D11&gt;$AG11</formula>
    </cfRule>
  </conditionalFormatting>
  <conditionalFormatting sqref="F34:M34">
    <cfRule type="expression" dxfId="6453" priority="137">
      <formula>F$9&gt;=20/24</formula>
    </cfRule>
    <cfRule type="expression" dxfId="6452" priority="138">
      <formula>AND(F$9&gt;=14/24,F$9&lt;20/24)</formula>
    </cfRule>
    <cfRule type="expression" dxfId="6451" priority="139">
      <formula>AND(F$9&gt;=8/24,F$9&lt;14/24)</formula>
    </cfRule>
    <cfRule type="expression" dxfId="6450" priority="140">
      <formula>F$9&lt;8/24</formula>
    </cfRule>
  </conditionalFormatting>
  <conditionalFormatting sqref="F33:M33">
    <cfRule type="expression" dxfId="6449" priority="129">
      <formula>F$9&gt;=20/24</formula>
    </cfRule>
    <cfRule type="expression" dxfId="6448" priority="130">
      <formula>AND(F$9&gt;=14/24,F$9&lt;20/24)</formula>
    </cfRule>
    <cfRule type="expression" dxfId="6447" priority="131">
      <formula>AND(F$9&gt;=8/24,F$9&lt;14/24)</formula>
    </cfRule>
    <cfRule type="expression" dxfId="6446" priority="132">
      <formula>F$9&lt;8/24</formula>
    </cfRule>
  </conditionalFormatting>
  <conditionalFormatting sqref="F33:M33">
    <cfRule type="expression" dxfId="6445" priority="128">
      <formula>F33&gt;$AG33</formula>
    </cfRule>
  </conditionalFormatting>
  <conditionalFormatting sqref="F64:M66">
    <cfRule type="expression" dxfId="6444" priority="115">
      <formula>F$9&gt;=20/24</formula>
    </cfRule>
    <cfRule type="expression" dxfId="6443" priority="116">
      <formula>AND(F$9&gt;=14/24,F$9&lt;20/24)</formula>
    </cfRule>
    <cfRule type="expression" dxfId="6442" priority="117">
      <formula>AND(F$9&gt;=8/24,F$9&lt;14/24)</formula>
    </cfRule>
    <cfRule type="expression" dxfId="6441" priority="118">
      <formula>F$9&lt;8/24</formula>
    </cfRule>
  </conditionalFormatting>
  <conditionalFormatting sqref="F45:M50">
    <cfRule type="expression" dxfId="6440" priority="110">
      <formula>F$9&gt;=20/24</formula>
    </cfRule>
    <cfRule type="expression" dxfId="6439" priority="111">
      <formula>AND(F$9&gt;=14/24,F$9&lt;20/24)</formula>
    </cfRule>
    <cfRule type="expression" dxfId="6438" priority="112">
      <formula>AND(F$9&gt;=8/24,F$9&lt;14/24)</formula>
    </cfRule>
    <cfRule type="expression" dxfId="6437" priority="113">
      <formula>F$9&lt;8/24</formula>
    </cfRule>
  </conditionalFormatting>
  <conditionalFormatting sqref="F45:M50">
    <cfRule type="expression" dxfId="6436" priority="109">
      <formula>F45&gt;$AG45</formula>
    </cfRule>
  </conditionalFormatting>
  <conditionalFormatting sqref="B94:B100 B74:AF74 B82:AF82 B11:C11">
    <cfRule type="expression" dxfId="6435" priority="96">
      <formula>B$9&gt;=20/24</formula>
    </cfRule>
    <cfRule type="expression" dxfId="6434" priority="97">
      <formula>AND(B$9&gt;=14/24,B$9&lt;20/24)</formula>
    </cfRule>
    <cfRule type="expression" dxfId="6433" priority="98">
      <formula>AND(B$9&gt;=8/24,B$9&lt;14/24)</formula>
    </cfRule>
    <cfRule type="expression" dxfId="6432" priority="99">
      <formula>B$9&lt;8/24</formula>
    </cfRule>
  </conditionalFormatting>
  <conditionalFormatting sqref="B37">
    <cfRule type="expression" dxfId="6431" priority="92">
      <formula>B$9&gt;=20/24</formula>
    </cfRule>
    <cfRule type="expression" dxfId="6430" priority="93">
      <formula>AND(B$9&gt;=14/24,B$9&lt;20/24)</formula>
    </cfRule>
    <cfRule type="expression" dxfId="6429" priority="94">
      <formula>AND(B$9&gt;=8/24,B$9&lt;14/24)</formula>
    </cfRule>
    <cfRule type="expression" dxfId="6428" priority="95">
      <formula>B$9&lt;8/24</formula>
    </cfRule>
  </conditionalFormatting>
  <conditionalFormatting sqref="B37 B11:C11">
    <cfRule type="expression" dxfId="6427" priority="91">
      <formula>B11&gt;$AG11</formula>
    </cfRule>
  </conditionalFormatting>
  <conditionalFormatting sqref="B84">
    <cfRule type="expression" dxfId="6426" priority="87">
      <formula>B$9&gt;=20/24</formula>
    </cfRule>
    <cfRule type="expression" dxfId="6425" priority="88">
      <formula>AND(B$9&gt;=14/24,B$9&lt;20/24)</formula>
    </cfRule>
    <cfRule type="expression" dxfId="6424" priority="89">
      <formula>AND(B$9&gt;=8/24,B$9&lt;14/24)</formula>
    </cfRule>
    <cfRule type="expression" dxfId="6423" priority="90">
      <formula>B$9&lt;8/24</formula>
    </cfRule>
  </conditionalFormatting>
  <conditionalFormatting sqref="B40:D41 B57:D57 B36:E36">
    <cfRule type="expression" dxfId="6422" priority="83">
      <formula>B$9&gt;=20/24</formula>
    </cfRule>
    <cfRule type="expression" dxfId="6421" priority="84">
      <formula>AND(B$9&gt;=14/24,B$9&lt;20/24)</formula>
    </cfRule>
    <cfRule type="expression" dxfId="6420" priority="85">
      <formula>AND(B$9&gt;=8/24,B$9&lt;14/24)</formula>
    </cfRule>
    <cfRule type="expression" dxfId="6419" priority="86">
      <formula>B$9&lt;8/24</formula>
    </cfRule>
  </conditionalFormatting>
  <conditionalFormatting sqref="B39:D39">
    <cfRule type="expression" dxfId="6418" priority="79">
      <formula>B$9&gt;=20/24</formula>
    </cfRule>
    <cfRule type="expression" dxfId="6417" priority="80">
      <formula>AND(B$9&gt;=14/24,B$9&lt;20/24)</formula>
    </cfRule>
    <cfRule type="expression" dxfId="6416" priority="81">
      <formula>AND(B$9&gt;=8/24,B$9&lt;14/24)</formula>
    </cfRule>
    <cfRule type="expression" dxfId="6415" priority="82">
      <formula>B$9&lt;8/24</formula>
    </cfRule>
  </conditionalFormatting>
  <conditionalFormatting sqref="B39:D41 B36:E36">
    <cfRule type="expression" dxfId="6414" priority="78">
      <formula>B36&gt;$AG36</formula>
    </cfRule>
  </conditionalFormatting>
  <conditionalFormatting sqref="B85:B91 B53:B56 B69:B73 B75:AF75 C73:AF73 B81 B83:AF83 B58:D67 B12:E14 B16:E16 B28:E31 B18:E22 B24:E26 E63:E67">
    <cfRule type="expression" dxfId="6413" priority="74">
      <formula>B$9&gt;=20/24</formula>
    </cfRule>
    <cfRule type="expression" dxfId="6412" priority="75">
      <formula>AND(B$9&gt;=14/24,B$9&lt;20/24)</formula>
    </cfRule>
    <cfRule type="expression" dxfId="6411" priority="76">
      <formula>AND(B$9&gt;=8/24,B$9&lt;14/24)</formula>
    </cfRule>
    <cfRule type="expression" dxfId="6410" priority="77">
      <formula>B$9&lt;8/24</formula>
    </cfRule>
  </conditionalFormatting>
  <conditionalFormatting sqref="B32:E32">
    <cfRule type="expression" dxfId="6409" priority="70">
      <formula>B$9&gt;=20/24</formula>
    </cfRule>
    <cfRule type="expression" dxfId="6408" priority="71">
      <formula>AND(B$9&gt;=14/24,B$9&lt;20/24)</formula>
    </cfRule>
    <cfRule type="expression" dxfId="6407" priority="72">
      <formula>AND(B$9&gt;=8/24,B$9&lt;14/24)</formula>
    </cfRule>
    <cfRule type="expression" dxfId="6406" priority="73">
      <formula>B$9&lt;8/24</formula>
    </cfRule>
  </conditionalFormatting>
  <conditionalFormatting sqref="B35:E35">
    <cfRule type="expression" dxfId="6405" priority="66">
      <formula>B$9&gt;=20/24</formula>
    </cfRule>
    <cfRule type="expression" dxfId="6404" priority="67">
      <formula>AND(B$9&gt;=14/24,B$9&lt;20/24)</formula>
    </cfRule>
    <cfRule type="expression" dxfId="6403" priority="68">
      <formula>AND(B$9&gt;=8/24,B$9&lt;14/24)</formula>
    </cfRule>
    <cfRule type="expression" dxfId="6402" priority="69">
      <formula>B$9&lt;8/24</formula>
    </cfRule>
  </conditionalFormatting>
  <conditionalFormatting sqref="B51:B56 B38:AF38 B42:D43 B34:E35 B12:E16 B18:E22 B24:E32 C52:AF52">
    <cfRule type="expression" dxfId="6401" priority="65">
      <formula>B12&gt;$AG12</formula>
    </cfRule>
  </conditionalFormatting>
  <conditionalFormatting sqref="B34:E34">
    <cfRule type="expression" dxfId="6400" priority="61">
      <formula>B$9&gt;=20/24</formula>
    </cfRule>
    <cfRule type="expression" dxfId="6399" priority="62">
      <formula>AND(B$9&gt;=14/24,B$9&lt;20/24)</formula>
    </cfRule>
    <cfRule type="expression" dxfId="6398" priority="63">
      <formula>AND(B$9&gt;=8/24,B$9&lt;14/24)</formula>
    </cfRule>
    <cfRule type="expression" dxfId="6397" priority="64">
      <formula>B$9&lt;8/24</formula>
    </cfRule>
  </conditionalFormatting>
  <conditionalFormatting sqref="B15:E15">
    <cfRule type="expression" dxfId="6396" priority="57">
      <formula>B$9&gt;=20/24</formula>
    </cfRule>
    <cfRule type="expression" dxfId="6395" priority="58">
      <formula>AND(B$9&gt;=14/24,B$9&lt;20/24)</formula>
    </cfRule>
    <cfRule type="expression" dxfId="6394" priority="59">
      <formula>AND(B$9&gt;=8/24,B$9&lt;14/24)</formula>
    </cfRule>
    <cfRule type="expression" dxfId="6393" priority="60">
      <formula>B$9&lt;8/24</formula>
    </cfRule>
  </conditionalFormatting>
  <conditionalFormatting sqref="B33:E33">
    <cfRule type="expression" dxfId="6392" priority="53">
      <formula>B$9&gt;=20/24</formula>
    </cfRule>
    <cfRule type="expression" dxfId="6391" priority="54">
      <formula>AND(B$9&gt;=14/24,B$9&lt;20/24)</formula>
    </cfRule>
    <cfRule type="expression" dxfId="6390" priority="55">
      <formula>AND(B$9&gt;=8/24,B$9&lt;14/24)</formula>
    </cfRule>
    <cfRule type="expression" dxfId="6389" priority="56">
      <formula>B$9&lt;8/24</formula>
    </cfRule>
  </conditionalFormatting>
  <conditionalFormatting sqref="B33:E33">
    <cfRule type="expression" dxfId="6388" priority="52">
      <formula>B33&gt;$AG33</formula>
    </cfRule>
  </conditionalFormatting>
  <conditionalFormatting sqref="B44:E50">
    <cfRule type="expression" dxfId="6387" priority="48">
      <formula>B$9&gt;=20/24</formula>
    </cfRule>
    <cfRule type="expression" dxfId="6386" priority="49">
      <formula>AND(B$9&gt;=14/24,B$9&lt;20/24)</formula>
    </cfRule>
    <cfRule type="expression" dxfId="6385" priority="50">
      <formula>AND(B$9&gt;=8/24,B$9&lt;14/24)</formula>
    </cfRule>
    <cfRule type="expression" dxfId="6384" priority="51">
      <formula>B$9&lt;8/24</formula>
    </cfRule>
  </conditionalFormatting>
  <conditionalFormatting sqref="B44:E50">
    <cfRule type="expression" dxfId="6383" priority="47">
      <formula>B44&gt;$AG44</formula>
    </cfRule>
  </conditionalFormatting>
  <conditionalFormatting sqref="B27:E27">
    <cfRule type="expression" dxfId="6382" priority="43">
      <formula>B$9&gt;=20/24</formula>
    </cfRule>
    <cfRule type="expression" dxfId="6381" priority="44">
      <formula>AND(B$9&gt;=14/24,B$9&lt;20/24)</formula>
    </cfRule>
    <cfRule type="expression" dxfId="6380" priority="45">
      <formula>AND(B$9&gt;=8/24,B$9&lt;14/24)</formula>
    </cfRule>
    <cfRule type="expression" dxfId="6379" priority="46">
      <formula>B$9&lt;8/24</formula>
    </cfRule>
  </conditionalFormatting>
  <conditionalFormatting sqref="B17:E17 B23:E23">
    <cfRule type="expression" dxfId="6378" priority="39">
      <formula>B$9&gt;=20/24</formula>
    </cfRule>
    <cfRule type="expression" dxfId="6377" priority="40">
      <formula>AND(B$9&gt;=14/24,B$9&lt;20/24)</formula>
    </cfRule>
    <cfRule type="expression" dxfId="6376" priority="41">
      <formula>AND(B$9&gt;=8/24,B$9&lt;14/24)</formula>
    </cfRule>
    <cfRule type="expression" dxfId="6375" priority="42">
      <formula>B$9&lt;8/24</formula>
    </cfRule>
  </conditionalFormatting>
  <conditionalFormatting sqref="B17:E17 B23:E23">
    <cfRule type="expression" dxfId="6374" priority="38">
      <formula>B17&gt;$AG17</formula>
    </cfRule>
  </conditionalFormatting>
  <conditionalFormatting sqref="A33">
    <cfRule type="expression" dxfId="6373" priority="37">
      <formula>$AH33=0</formula>
    </cfRule>
  </conditionalFormatting>
  <conditionalFormatting sqref="B68:AF68">
    <cfRule type="expression" dxfId="6372" priority="33">
      <formula>B$9&gt;=20/24</formula>
    </cfRule>
    <cfRule type="expression" dxfId="6371" priority="34">
      <formula>AND(B$9&gt;=14/24,B$9&lt;20/24)</formula>
    </cfRule>
    <cfRule type="expression" dxfId="6370" priority="35">
      <formula>AND(B$9&gt;=8/24,B$9&lt;14/24)</formula>
    </cfRule>
    <cfRule type="expression" dxfId="6369" priority="36">
      <formula>B$9&lt;8/24</formula>
    </cfRule>
  </conditionalFormatting>
  <conditionalFormatting sqref="B76:AF80">
    <cfRule type="expression" dxfId="6368" priority="29">
      <formula>B$9&gt;=20/24</formula>
    </cfRule>
    <cfRule type="expression" dxfId="6367" priority="30">
      <formula>AND(B$9&gt;=14/24,B$9&lt;20/24)</formula>
    </cfRule>
    <cfRule type="expression" dxfId="6366" priority="31">
      <formula>AND(B$9&gt;=8/24,B$9&lt;14/24)</formula>
    </cfRule>
    <cfRule type="expression" dxfId="6365" priority="32">
      <formula>B$9&lt;8/24</formula>
    </cfRule>
  </conditionalFormatting>
  <conditionalFormatting sqref="C101:AF101">
    <cfRule type="expression" dxfId="6364" priority="25">
      <formula>C$9&gt;=20/24</formula>
    </cfRule>
    <cfRule type="expression" dxfId="6363" priority="26">
      <formula>AND(C$9&gt;=14/24,C$9&lt;20/24)</formula>
    </cfRule>
    <cfRule type="expression" dxfId="6362" priority="27">
      <formula>AND(C$9&gt;=8/24,C$9&lt;14/24)</formula>
    </cfRule>
    <cfRule type="expression" dxfId="6361" priority="28">
      <formula>C$9&lt;8/24</formula>
    </cfRule>
  </conditionalFormatting>
  <conditionalFormatting sqref="A101">
    <cfRule type="expression" dxfId="6360" priority="24">
      <formula>$AH101=0</formula>
    </cfRule>
  </conditionalFormatting>
  <conditionalFormatting sqref="B101">
    <cfRule type="expression" dxfId="6359" priority="20">
      <formula>B$9&gt;=20/24</formula>
    </cfRule>
    <cfRule type="expression" dxfId="6358" priority="21">
      <formula>AND(B$9&gt;=14/24,B$9&lt;20/24)</formula>
    </cfRule>
    <cfRule type="expression" dxfId="6357" priority="22">
      <formula>AND(B$9&gt;=8/24,B$9&lt;14/24)</formula>
    </cfRule>
    <cfRule type="expression" dxfId="6356" priority="23">
      <formula>B$9&lt;8/24</formula>
    </cfRule>
  </conditionalFormatting>
  <conditionalFormatting sqref="N12">
    <cfRule type="expression" dxfId="6355" priority="16">
      <formula>N$9&gt;=20/24</formula>
    </cfRule>
    <cfRule type="expression" dxfId="6354" priority="17">
      <formula>AND(N$9&gt;=14/24,N$9&lt;20/24)</formula>
    </cfRule>
    <cfRule type="expression" dxfId="6353" priority="18">
      <formula>AND(N$9&gt;=8/24,N$9&lt;14/24)</formula>
    </cfRule>
    <cfRule type="expression" dxfId="6352" priority="19">
      <formula>N$9&lt;8/24</formula>
    </cfRule>
  </conditionalFormatting>
  <conditionalFormatting sqref="N12">
    <cfRule type="expression" dxfId="6351" priority="15">
      <formula>N12&gt;$AG12</formula>
    </cfRule>
  </conditionalFormatting>
  <conditionalFormatting sqref="N13:N15">
    <cfRule type="expression" dxfId="6350" priority="11">
      <formula>N$9&gt;=20/24</formula>
    </cfRule>
    <cfRule type="expression" dxfId="6349" priority="12">
      <formula>AND(N$9&gt;=14/24,N$9&lt;20/24)</formula>
    </cfRule>
    <cfRule type="expression" dxfId="6348" priority="13">
      <formula>AND(N$9&gt;=8/24,N$9&lt;14/24)</formula>
    </cfRule>
    <cfRule type="expression" dxfId="6347" priority="14">
      <formula>N$9&lt;8/24</formula>
    </cfRule>
  </conditionalFormatting>
  <conditionalFormatting sqref="N13:N16">
    <cfRule type="expression" dxfId="6346" priority="10">
      <formula>N13&gt;$AG13</formula>
    </cfRule>
  </conditionalFormatting>
  <conditionalFormatting sqref="N16">
    <cfRule type="expression" dxfId="6345" priority="6">
      <formula>N$9&gt;=20/24</formula>
    </cfRule>
    <cfRule type="expression" dxfId="6344" priority="7">
      <formula>AND(N$9&gt;=14/24,N$9&lt;20/24)</formula>
    </cfRule>
    <cfRule type="expression" dxfId="6343" priority="8">
      <formula>AND(N$9&gt;=8/24,N$9&lt;14/24)</formula>
    </cfRule>
    <cfRule type="expression" dxfId="6342" priority="9">
      <formula>N$9&lt;8/24</formula>
    </cfRule>
  </conditionalFormatting>
  <conditionalFormatting sqref="N17:N21">
    <cfRule type="expression" dxfId="6341" priority="2">
      <formula>N$9&gt;=20/24</formula>
    </cfRule>
    <cfRule type="expression" dxfId="6340" priority="3">
      <formula>AND(N$9&gt;=14/24,N$9&lt;20/24)</formula>
    </cfRule>
    <cfRule type="expression" dxfId="6339" priority="4">
      <formula>AND(N$9&gt;=8/24,N$9&lt;14/24)</formula>
    </cfRule>
    <cfRule type="expression" dxfId="6338" priority="5">
      <formula>N$9&lt;8/24</formula>
    </cfRule>
  </conditionalFormatting>
  <conditionalFormatting sqref="N17:N21">
    <cfRule type="expression" dxfId="6337" priority="1">
      <formula>N17&gt;$AG17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H16" sqref="H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2079/02/3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45</v>
      </c>
      <c r="C5" s="32">
        <f t="shared" si="0"/>
        <v>42</v>
      </c>
      <c r="D5" s="32">
        <f t="shared" si="0"/>
        <v>38.9</v>
      </c>
      <c r="E5" s="32">
        <f t="shared" si="0"/>
        <v>0</v>
      </c>
      <c r="F5" s="32">
        <f t="shared" si="0"/>
        <v>39.200000000000003</v>
      </c>
      <c r="G5" s="32">
        <f t="shared" si="0"/>
        <v>34</v>
      </c>
      <c r="H5" s="32">
        <f t="shared" si="0"/>
        <v>43</v>
      </c>
      <c r="I5" s="32">
        <f t="shared" si="0"/>
        <v>41.1</v>
      </c>
      <c r="J5" s="32">
        <f t="shared" si="0"/>
        <v>36.6</v>
      </c>
      <c r="K5" s="32">
        <f t="shared" si="0"/>
        <v>41.1</v>
      </c>
      <c r="L5" s="32">
        <f t="shared" si="0"/>
        <v>45.3</v>
      </c>
      <c r="M5" s="32">
        <f t="shared" si="0"/>
        <v>71.3</v>
      </c>
      <c r="N5" s="32">
        <f t="shared" si="0"/>
        <v>79.599999999999994</v>
      </c>
      <c r="O5" s="32">
        <f t="shared" si="0"/>
        <v>5</v>
      </c>
      <c r="P5" s="32">
        <f t="shared" si="0"/>
        <v>5</v>
      </c>
      <c r="Q5" s="32">
        <f t="shared" si="0"/>
        <v>78.5</v>
      </c>
      <c r="R5" s="32">
        <f t="shared" si="0"/>
        <v>89</v>
      </c>
      <c r="S5" s="32">
        <f t="shared" si="0"/>
        <v>91</v>
      </c>
      <c r="T5" s="32">
        <f t="shared" si="0"/>
        <v>81</v>
      </c>
      <c r="U5" s="32">
        <f t="shared" si="0"/>
        <v>94</v>
      </c>
      <c r="V5" s="32">
        <f t="shared" si="0"/>
        <v>94</v>
      </c>
      <c r="W5" s="32">
        <f t="shared" si="0"/>
        <v>88</v>
      </c>
      <c r="X5" s="32">
        <f t="shared" si="0"/>
        <v>90</v>
      </c>
      <c r="Y5" s="32">
        <f t="shared" si="0"/>
        <v>90</v>
      </c>
      <c r="Z5" s="32">
        <f t="shared" si="0"/>
        <v>88</v>
      </c>
      <c r="AA5" s="32">
        <f t="shared" si="0"/>
        <v>87.5</v>
      </c>
      <c r="AB5" s="32">
        <f t="shared" si="0"/>
        <v>93</v>
      </c>
      <c r="AC5" s="32">
        <f t="shared" si="0"/>
        <v>83</v>
      </c>
      <c r="AD5" s="32">
        <f t="shared" si="0"/>
        <v>102.5</v>
      </c>
      <c r="AE5" s="32">
        <f t="shared" si="0"/>
        <v>100.1</v>
      </c>
      <c r="AF5" s="32">
        <f>B68</f>
        <v>46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1667MW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1596.94</v>
      </c>
      <c r="C7" s="37">
        <f t="shared" ref="C7:AF7" si="1">C75</f>
        <v>1569.94</v>
      </c>
      <c r="D7" s="37">
        <f t="shared" si="1"/>
        <v>1620.04</v>
      </c>
      <c r="E7" s="37">
        <f t="shared" si="1"/>
        <v>1606.4400000000003</v>
      </c>
      <c r="F7" s="37">
        <f t="shared" si="1"/>
        <v>3.54</v>
      </c>
      <c r="G7" s="37">
        <f t="shared" si="1"/>
        <v>1575.7400000000002</v>
      </c>
      <c r="H7" s="37">
        <f t="shared" si="1"/>
        <v>1520.8400000000001</v>
      </c>
      <c r="I7" s="37">
        <f t="shared" si="1"/>
        <v>1562.9400000000003</v>
      </c>
      <c r="J7" s="37">
        <f t="shared" si="1"/>
        <v>1578.54</v>
      </c>
      <c r="K7" s="37">
        <f t="shared" si="1"/>
        <v>1590.8400000000001</v>
      </c>
      <c r="L7" s="37">
        <f t="shared" si="1"/>
        <v>1619.3400000000001</v>
      </c>
      <c r="M7" s="37">
        <f t="shared" si="1"/>
        <v>1635.5400000000002</v>
      </c>
      <c r="N7" s="37">
        <f t="shared" si="1"/>
        <v>1666.5400000000002</v>
      </c>
      <c r="O7" s="37">
        <f t="shared" si="1"/>
        <v>1674.8400000000001</v>
      </c>
      <c r="P7" s="37">
        <f t="shared" si="1"/>
        <v>1650.2400000000002</v>
      </c>
      <c r="Q7" s="37">
        <f t="shared" si="1"/>
        <v>1620.2400000000002</v>
      </c>
      <c r="R7" s="37">
        <f t="shared" si="1"/>
        <v>1638.6400000000003</v>
      </c>
      <c r="S7" s="37">
        <f t="shared" si="1"/>
        <v>1647.44</v>
      </c>
      <c r="T7" s="37">
        <f t="shared" si="1"/>
        <v>1624.44</v>
      </c>
      <c r="U7" s="37">
        <f t="shared" si="1"/>
        <v>1621.14</v>
      </c>
      <c r="V7" s="37">
        <f t="shared" si="1"/>
        <v>1628.14</v>
      </c>
      <c r="W7" s="37">
        <f t="shared" si="1"/>
        <v>1624.14</v>
      </c>
      <c r="X7" s="37">
        <f t="shared" si="1"/>
        <v>1618.14</v>
      </c>
      <c r="Y7" s="37">
        <f t="shared" si="1"/>
        <v>1617.64</v>
      </c>
      <c r="Z7" s="37">
        <f t="shared" si="1"/>
        <v>1629.3400000000001</v>
      </c>
      <c r="AA7" s="37">
        <f t="shared" si="1"/>
        <v>1449.3400000000001</v>
      </c>
      <c r="AB7" s="37">
        <f t="shared" si="1"/>
        <v>1654.4399999999998</v>
      </c>
      <c r="AC7" s="37">
        <f t="shared" si="1"/>
        <v>1639.4399999999998</v>
      </c>
      <c r="AD7" s="37">
        <f t="shared" si="1"/>
        <v>1642.3399999999997</v>
      </c>
      <c r="AE7" s="37">
        <f t="shared" si="1"/>
        <v>1666.1399999999999</v>
      </c>
      <c r="AF7" s="37">
        <f t="shared" si="1"/>
        <v>1587.7399999999998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199" t="s">
        <v>232</v>
      </c>
      <c r="G11" s="49">
        <v>456</v>
      </c>
      <c r="H11" s="49">
        <v>425</v>
      </c>
      <c r="I11" s="49">
        <v>456</v>
      </c>
      <c r="J11" s="49">
        <v>456</v>
      </c>
      <c r="K11" s="49">
        <v>456</v>
      </c>
      <c r="L11" s="49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1">
        <v>456</v>
      </c>
      <c r="Y11" s="51">
        <v>456</v>
      </c>
      <c r="Z11" s="51">
        <v>456</v>
      </c>
      <c r="AA11" s="51">
        <v>456</v>
      </c>
      <c r="AB11" s="51">
        <v>456</v>
      </c>
      <c r="AC11" s="51">
        <v>456</v>
      </c>
      <c r="AD11" s="51">
        <v>456</v>
      </c>
      <c r="AE11" s="51">
        <v>456</v>
      </c>
      <c r="AF11" s="51">
        <f>456-76</f>
        <v>380</v>
      </c>
      <c r="AG11" s="54">
        <v>456</v>
      </c>
      <c r="AH11" s="55">
        <f>MAX(B11:AF11)</f>
        <v>456</v>
      </c>
      <c r="AI11" s="56">
        <f>MIN(B11:AF11)</f>
        <v>380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200"/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</v>
      </c>
      <c r="C13" s="51">
        <v>53</v>
      </c>
      <c r="D13" s="51">
        <v>53</v>
      </c>
      <c r="E13" s="51">
        <v>53.1</v>
      </c>
      <c r="F13" s="200"/>
      <c r="G13" s="51">
        <v>53.1</v>
      </c>
      <c r="H13" s="51">
        <v>53.1</v>
      </c>
      <c r="I13" s="51">
        <v>53.1</v>
      </c>
      <c r="J13" s="51">
        <v>53.1</v>
      </c>
      <c r="K13" s="51">
        <v>53.1</v>
      </c>
      <c r="L13" s="51">
        <v>53.1</v>
      </c>
      <c r="M13" s="51">
        <v>53.1</v>
      </c>
      <c r="N13" s="51">
        <v>53.1</v>
      </c>
      <c r="O13" s="51">
        <v>53.1</v>
      </c>
      <c r="P13" s="51">
        <v>53.1</v>
      </c>
      <c r="Q13" s="51">
        <v>53.1</v>
      </c>
      <c r="R13" s="51">
        <v>53.1</v>
      </c>
      <c r="S13" s="51">
        <v>53.1</v>
      </c>
      <c r="T13" s="51">
        <v>53.1</v>
      </c>
      <c r="U13" s="51">
        <v>53.1</v>
      </c>
      <c r="V13" s="51">
        <v>53.1</v>
      </c>
      <c r="W13" s="51">
        <v>53.1</v>
      </c>
      <c r="X13" s="51">
        <v>53.1</v>
      </c>
      <c r="Y13" s="51">
        <v>53.1</v>
      </c>
      <c r="Z13" s="51">
        <v>53.1</v>
      </c>
      <c r="AA13" s="51">
        <v>53.1</v>
      </c>
      <c r="AB13" s="51">
        <v>49.8</v>
      </c>
      <c r="AC13" s="51">
        <v>49.8</v>
      </c>
      <c r="AD13" s="51">
        <v>49.8</v>
      </c>
      <c r="AE13" s="51">
        <v>49.8</v>
      </c>
      <c r="AF13" s="51">
        <v>49.8</v>
      </c>
      <c r="AG13" s="59">
        <v>52.4</v>
      </c>
      <c r="AH13" s="55">
        <f t="shared" si="2"/>
        <v>53.1</v>
      </c>
      <c r="AI13" s="56">
        <f t="shared" si="3"/>
        <v>49.8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</v>
      </c>
      <c r="C14" s="51">
        <v>50</v>
      </c>
      <c r="D14" s="51">
        <v>50</v>
      </c>
      <c r="E14" s="51">
        <v>50</v>
      </c>
      <c r="F14" s="200"/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50.5</v>
      </c>
      <c r="O14" s="51">
        <v>50.5</v>
      </c>
      <c r="P14" s="51">
        <v>50.5</v>
      </c>
      <c r="Q14" s="51">
        <v>50.5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9">
        <v>50</v>
      </c>
      <c r="AH14" s="55">
        <f t="shared" si="2"/>
        <v>50.5</v>
      </c>
      <c r="AI14" s="56">
        <f t="shared" si="3"/>
        <v>50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42</v>
      </c>
      <c r="C15" s="51">
        <v>42</v>
      </c>
      <c r="D15" s="51">
        <v>42</v>
      </c>
      <c r="E15" s="51">
        <v>42.2</v>
      </c>
      <c r="F15" s="200"/>
      <c r="G15" s="51">
        <v>42.2</v>
      </c>
      <c r="H15" s="51">
        <v>42.2</v>
      </c>
      <c r="I15" s="51">
        <v>42.2</v>
      </c>
      <c r="J15" s="51">
        <v>42.2</v>
      </c>
      <c r="K15" s="51">
        <v>42.2</v>
      </c>
      <c r="L15" s="51">
        <v>42.2</v>
      </c>
      <c r="M15" s="51">
        <v>42.2</v>
      </c>
      <c r="N15" s="51">
        <v>42.2</v>
      </c>
      <c r="O15" s="51">
        <v>42.2</v>
      </c>
      <c r="P15" s="51">
        <v>42.2</v>
      </c>
      <c r="Q15" s="51">
        <v>42.2</v>
      </c>
      <c r="R15" s="51">
        <v>42.2</v>
      </c>
      <c r="S15" s="51">
        <v>42.2</v>
      </c>
      <c r="T15" s="51">
        <v>42.2</v>
      </c>
      <c r="U15" s="51">
        <v>42.2</v>
      </c>
      <c r="V15" s="51">
        <v>42.2</v>
      </c>
      <c r="W15" s="51">
        <v>42.2</v>
      </c>
      <c r="X15" s="51">
        <v>42.2</v>
      </c>
      <c r="Y15" s="51">
        <v>42.2</v>
      </c>
      <c r="Z15" s="51">
        <v>42.2</v>
      </c>
      <c r="AA15" s="51">
        <v>42.2</v>
      </c>
      <c r="AB15" s="51">
        <v>45.8</v>
      </c>
      <c r="AC15" s="51">
        <v>45.8</v>
      </c>
      <c r="AD15" s="51">
        <v>45.8</v>
      </c>
      <c r="AE15" s="51">
        <v>45.8</v>
      </c>
      <c r="AF15" s="51">
        <v>45.8</v>
      </c>
      <c r="AG15" s="60">
        <v>45</v>
      </c>
      <c r="AH15" s="55">
        <f t="shared" si="2"/>
        <v>45.8</v>
      </c>
      <c r="AI15" s="56">
        <f t="shared" si="3"/>
        <v>42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32</v>
      </c>
      <c r="C16" s="51">
        <v>30</v>
      </c>
      <c r="D16" s="51">
        <v>38</v>
      </c>
      <c r="E16" s="51">
        <v>38</v>
      </c>
      <c r="F16" s="200"/>
      <c r="G16" s="51">
        <v>38</v>
      </c>
      <c r="H16" s="51">
        <v>38</v>
      </c>
      <c r="I16" s="51">
        <v>38</v>
      </c>
      <c r="J16" s="51">
        <v>38</v>
      </c>
      <c r="K16" s="51">
        <v>38</v>
      </c>
      <c r="L16" s="51">
        <v>38</v>
      </c>
      <c r="M16" s="51">
        <v>27</v>
      </c>
      <c r="N16" s="51">
        <v>35</v>
      </c>
      <c r="O16" s="51">
        <v>35</v>
      </c>
      <c r="P16" s="51">
        <v>35</v>
      </c>
      <c r="Q16" s="51">
        <v>35</v>
      </c>
      <c r="R16" s="51">
        <v>35</v>
      </c>
      <c r="S16" s="51">
        <v>35</v>
      </c>
      <c r="T16" s="51">
        <v>35</v>
      </c>
      <c r="U16" s="51">
        <v>35</v>
      </c>
      <c r="V16" s="51">
        <v>35</v>
      </c>
      <c r="W16" s="51">
        <v>35</v>
      </c>
      <c r="X16" s="51">
        <v>35</v>
      </c>
      <c r="Y16" s="51">
        <v>35</v>
      </c>
      <c r="Z16" s="51">
        <v>0</v>
      </c>
      <c r="AA16" s="51">
        <v>0</v>
      </c>
      <c r="AB16" s="51">
        <v>0</v>
      </c>
      <c r="AC16" s="51">
        <v>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200"/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0</v>
      </c>
      <c r="C18" s="51">
        <v>0</v>
      </c>
      <c r="D18" s="51">
        <v>0</v>
      </c>
      <c r="E18" s="51">
        <v>0</v>
      </c>
      <c r="F18" s="200"/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9">
        <v>36</v>
      </c>
      <c r="AH18" s="55">
        <f t="shared" si="2"/>
        <v>0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</v>
      </c>
      <c r="C19" s="51">
        <v>26</v>
      </c>
      <c r="D19" s="51">
        <v>26</v>
      </c>
      <c r="E19" s="51">
        <v>26</v>
      </c>
      <c r="F19" s="200"/>
      <c r="G19" s="51">
        <v>26</v>
      </c>
      <c r="H19" s="51">
        <v>26</v>
      </c>
      <c r="I19" s="51">
        <v>26</v>
      </c>
      <c r="J19" s="51">
        <v>26</v>
      </c>
      <c r="K19" s="51">
        <v>26</v>
      </c>
      <c r="L19" s="51">
        <v>26</v>
      </c>
      <c r="M19" s="51">
        <v>26</v>
      </c>
      <c r="N19" s="51">
        <v>26</v>
      </c>
      <c r="O19" s="51">
        <v>26</v>
      </c>
      <c r="P19" s="51">
        <v>26</v>
      </c>
      <c r="Q19" s="51">
        <v>26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>
        <v>26</v>
      </c>
      <c r="Z19" s="51">
        <v>0</v>
      </c>
      <c r="AA19" s="51">
        <v>0</v>
      </c>
      <c r="AB19" s="51">
        <v>0</v>
      </c>
      <c r="AC19" s="51">
        <v>24</v>
      </c>
      <c r="AD19" s="51">
        <v>24.1</v>
      </c>
      <c r="AE19" s="51">
        <v>24.1</v>
      </c>
      <c r="AF19" s="51">
        <v>24.1</v>
      </c>
      <c r="AG19" s="59">
        <v>30</v>
      </c>
      <c r="AH19" s="55">
        <f t="shared" si="2"/>
        <v>26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11</v>
      </c>
      <c r="C20" s="51">
        <v>11</v>
      </c>
      <c r="D20" s="51">
        <v>11</v>
      </c>
      <c r="E20" s="51">
        <v>11</v>
      </c>
      <c r="F20" s="200"/>
      <c r="G20" s="51">
        <v>11</v>
      </c>
      <c r="H20" s="51">
        <v>11</v>
      </c>
      <c r="I20" s="51">
        <v>11</v>
      </c>
      <c r="J20" s="51">
        <v>11</v>
      </c>
      <c r="K20" s="51">
        <v>11</v>
      </c>
      <c r="L20" s="51">
        <v>11</v>
      </c>
      <c r="M20" s="51">
        <v>11</v>
      </c>
      <c r="N20" s="51">
        <v>11</v>
      </c>
      <c r="O20" s="51">
        <v>11</v>
      </c>
      <c r="P20" s="51">
        <v>11</v>
      </c>
      <c r="Q20" s="51">
        <v>11</v>
      </c>
      <c r="R20" s="51">
        <v>11</v>
      </c>
      <c r="S20" s="51">
        <v>11</v>
      </c>
      <c r="T20" s="51">
        <v>11</v>
      </c>
      <c r="U20" s="51">
        <v>11</v>
      </c>
      <c r="V20" s="51">
        <v>11</v>
      </c>
      <c r="W20" s="51">
        <v>11</v>
      </c>
      <c r="X20" s="51">
        <v>11</v>
      </c>
      <c r="Y20" s="51">
        <v>11</v>
      </c>
      <c r="Z20" s="51">
        <v>11</v>
      </c>
      <c r="AA20" s="51">
        <v>11</v>
      </c>
      <c r="AB20" s="51">
        <v>11</v>
      </c>
      <c r="AC20" s="51">
        <v>11</v>
      </c>
      <c r="AD20" s="51">
        <v>11</v>
      </c>
      <c r="AE20" s="51">
        <v>11</v>
      </c>
      <c r="AF20" s="51">
        <v>11</v>
      </c>
      <c r="AG20" s="59">
        <v>27</v>
      </c>
      <c r="AH20" s="55">
        <f t="shared" si="2"/>
        <v>11</v>
      </c>
      <c r="AI20" s="56">
        <f t="shared" si="3"/>
        <v>11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0</v>
      </c>
      <c r="C21" s="51">
        <v>0</v>
      </c>
      <c r="D21" s="51">
        <v>0</v>
      </c>
      <c r="E21" s="51">
        <v>0</v>
      </c>
      <c r="F21" s="200"/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9">
        <v>25</v>
      </c>
      <c r="AH21" s="55">
        <f t="shared" si="2"/>
        <v>0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200"/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0</v>
      </c>
      <c r="C23" s="51">
        <v>0</v>
      </c>
      <c r="D23" s="51">
        <v>22</v>
      </c>
      <c r="E23" s="51">
        <v>22</v>
      </c>
      <c r="F23" s="200"/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200"/>
      <c r="G24" s="51">
        <v>24</v>
      </c>
      <c r="H24" s="51">
        <v>24</v>
      </c>
      <c r="I24" s="51">
        <v>24</v>
      </c>
      <c r="J24" s="51">
        <v>24</v>
      </c>
      <c r="K24" s="51">
        <v>24</v>
      </c>
      <c r="L24" s="51">
        <v>24</v>
      </c>
      <c r="M24" s="51">
        <v>24</v>
      </c>
      <c r="N24" s="51">
        <v>24</v>
      </c>
      <c r="O24" s="51">
        <v>24</v>
      </c>
      <c r="P24" s="51">
        <v>24</v>
      </c>
      <c r="Q24" s="51">
        <v>24</v>
      </c>
      <c r="R24" s="51">
        <v>24</v>
      </c>
      <c r="S24" s="51">
        <v>24</v>
      </c>
      <c r="T24" s="51">
        <v>24</v>
      </c>
      <c r="U24" s="51">
        <v>24</v>
      </c>
      <c r="V24" s="51">
        <v>24</v>
      </c>
      <c r="W24" s="51">
        <v>24</v>
      </c>
      <c r="X24" s="51">
        <v>24</v>
      </c>
      <c r="Y24" s="51">
        <v>24</v>
      </c>
      <c r="Z24" s="51">
        <v>24</v>
      </c>
      <c r="AA24" s="51">
        <v>24</v>
      </c>
      <c r="AB24" s="51">
        <v>24</v>
      </c>
      <c r="AC24" s="51">
        <v>24</v>
      </c>
      <c r="AD24" s="51">
        <v>24</v>
      </c>
      <c r="AE24" s="51">
        <v>24</v>
      </c>
      <c r="AF24" s="51">
        <v>24</v>
      </c>
      <c r="AG24" s="59">
        <v>25</v>
      </c>
      <c r="AH24" s="55">
        <f t="shared" si="2"/>
        <v>24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200"/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200"/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10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0</v>
      </c>
      <c r="C27" s="51">
        <v>0</v>
      </c>
      <c r="D27" s="51">
        <v>0</v>
      </c>
      <c r="E27" s="51">
        <v>0</v>
      </c>
      <c r="F27" s="200"/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9">
        <v>23.5</v>
      </c>
      <c r="AH27" s="55">
        <f t="shared" si="2"/>
        <v>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200"/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5</v>
      </c>
      <c r="C29" s="51">
        <v>5</v>
      </c>
      <c r="D29" s="51">
        <v>5</v>
      </c>
      <c r="E29" s="51">
        <v>5</v>
      </c>
      <c r="F29" s="200"/>
      <c r="G29" s="51">
        <v>5</v>
      </c>
      <c r="H29" s="51">
        <v>5</v>
      </c>
      <c r="I29" s="51">
        <v>5</v>
      </c>
      <c r="J29" s="51">
        <v>5</v>
      </c>
      <c r="K29" s="51">
        <v>5</v>
      </c>
      <c r="L29" s="51">
        <v>5</v>
      </c>
      <c r="M29" s="51">
        <v>5</v>
      </c>
      <c r="N29" s="51">
        <v>5</v>
      </c>
      <c r="O29" s="51">
        <v>5</v>
      </c>
      <c r="P29" s="51">
        <v>5</v>
      </c>
      <c r="Q29" s="51">
        <v>5</v>
      </c>
      <c r="R29" s="51">
        <v>5</v>
      </c>
      <c r="S29" s="51">
        <v>5</v>
      </c>
      <c r="T29" s="51">
        <v>5</v>
      </c>
      <c r="U29" s="51">
        <v>5</v>
      </c>
      <c r="V29" s="51">
        <v>5</v>
      </c>
      <c r="W29" s="51">
        <v>5</v>
      </c>
      <c r="X29" s="51">
        <v>5</v>
      </c>
      <c r="Y29" s="51">
        <v>5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5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200"/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0</v>
      </c>
      <c r="C31" s="51">
        <v>0</v>
      </c>
      <c r="D31" s="51">
        <v>0</v>
      </c>
      <c r="E31" s="51">
        <v>0</v>
      </c>
      <c r="F31" s="200"/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0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7</v>
      </c>
      <c r="C32" s="51">
        <v>7</v>
      </c>
      <c r="D32" s="51">
        <v>7</v>
      </c>
      <c r="E32" s="51">
        <v>7</v>
      </c>
      <c r="F32" s="200"/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4">
        <v>22</v>
      </c>
      <c r="AH32" s="55">
        <f t="shared" si="2"/>
        <v>7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200"/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200"/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64">
        <v>20</v>
      </c>
      <c r="AH34" s="55">
        <f t="shared" si="2"/>
        <v>9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200"/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4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200"/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95</v>
      </c>
      <c r="C37" s="68">
        <v>94.6</v>
      </c>
      <c r="D37" s="68">
        <v>116</v>
      </c>
      <c r="E37" s="68">
        <f>23.2+94.5</f>
        <v>117.7</v>
      </c>
      <c r="F37" s="201"/>
      <c r="G37" s="68">
        <f>23.2+94.5</f>
        <v>117.7</v>
      </c>
      <c r="H37" s="68">
        <f t="shared" ref="H37:I37" si="4">23.2+94.5</f>
        <v>117.7</v>
      </c>
      <c r="I37" s="68">
        <f t="shared" si="4"/>
        <v>117.7</v>
      </c>
      <c r="J37" s="68">
        <f>25.3+92.4</f>
        <v>117.7</v>
      </c>
      <c r="K37" s="68">
        <f t="shared" ref="K37" si="5">25.3+92.4</f>
        <v>117.7</v>
      </c>
      <c r="L37" s="68">
        <f>24.9+92.5</f>
        <v>117.4</v>
      </c>
      <c r="M37" s="66">
        <f>24.5+89.8</f>
        <v>114.3</v>
      </c>
      <c r="N37" s="66">
        <f>24.4+92.9</f>
        <v>117.30000000000001</v>
      </c>
      <c r="O37" s="66">
        <f>24.5+92.8</f>
        <v>117.3</v>
      </c>
      <c r="P37" s="66">
        <f>24.8+90.1</f>
        <v>114.89999999999999</v>
      </c>
      <c r="Q37" s="66">
        <f>24.9+93.4</f>
        <v>118.30000000000001</v>
      </c>
      <c r="R37" s="66">
        <f>24.7+92.3</f>
        <v>117</v>
      </c>
      <c r="S37" s="66">
        <v>106</v>
      </c>
      <c r="T37" s="66">
        <v>106</v>
      </c>
      <c r="U37" s="66">
        <v>106</v>
      </c>
      <c r="V37" s="66">
        <f>24.3+93.9</f>
        <v>118.2</v>
      </c>
      <c r="W37" s="66">
        <f>24.3+93.9</f>
        <v>118.2</v>
      </c>
      <c r="X37" s="66">
        <f>24.3+93.9</f>
        <v>118.2</v>
      </c>
      <c r="Y37" s="66">
        <f>24.3+93.9</f>
        <v>118.2</v>
      </c>
      <c r="Z37" s="66">
        <f>24.3+93.9</f>
        <v>118.2</v>
      </c>
      <c r="AA37" s="66">
        <v>104</v>
      </c>
      <c r="AB37" s="68">
        <f>91.6+21</f>
        <v>112.6</v>
      </c>
      <c r="AC37" s="68">
        <f>91.6+23.6</f>
        <v>115.19999999999999</v>
      </c>
      <c r="AD37" s="68">
        <f>92.1+23.9</f>
        <v>116</v>
      </c>
      <c r="AE37" s="68">
        <f>93.2+30.7</f>
        <v>123.9</v>
      </c>
      <c r="AF37" s="68">
        <f>93.6+32.3</f>
        <v>125.89999999999999</v>
      </c>
      <c r="AG37" s="64">
        <v>240</v>
      </c>
      <c r="AH37" s="55">
        <f t="shared" si="2"/>
        <v>125.89999999999999</v>
      </c>
      <c r="AI37" s="56">
        <f t="shared" si="3"/>
        <v>94.6</v>
      </c>
      <c r="AK37" s="57"/>
    </row>
    <row r="38" spans="1:88" ht="15.75" thickBot="1" x14ac:dyDescent="0.3">
      <c r="A38" s="69" t="s">
        <v>46</v>
      </c>
      <c r="B38" s="70">
        <f>SUM(B11:B36)</f>
        <v>1150.5</v>
      </c>
      <c r="C38" s="70">
        <f t="shared" ref="C38:AF38" si="6">SUM(C11:C36)</f>
        <v>1148.5</v>
      </c>
      <c r="D38" s="70">
        <f t="shared" si="6"/>
        <v>1178.5</v>
      </c>
      <c r="E38" s="70">
        <f t="shared" si="6"/>
        <v>1178.8000000000002</v>
      </c>
      <c r="F38" s="70">
        <f t="shared" si="6"/>
        <v>0</v>
      </c>
      <c r="G38" s="70">
        <f t="shared" si="6"/>
        <v>1181.3000000000002</v>
      </c>
      <c r="H38" s="70">
        <f t="shared" si="6"/>
        <v>1150.3000000000002</v>
      </c>
      <c r="I38" s="70">
        <f t="shared" si="6"/>
        <v>1181.3000000000002</v>
      </c>
      <c r="J38" s="70">
        <f t="shared" si="6"/>
        <v>1181.3000000000002</v>
      </c>
      <c r="K38" s="70">
        <f t="shared" si="6"/>
        <v>1181.3000000000002</v>
      </c>
      <c r="L38" s="70">
        <f t="shared" si="6"/>
        <v>1181.3000000000002</v>
      </c>
      <c r="M38" s="70">
        <f t="shared" si="6"/>
        <v>1170.3000000000002</v>
      </c>
      <c r="N38" s="70">
        <f t="shared" si="6"/>
        <v>1178.3000000000002</v>
      </c>
      <c r="O38" s="70">
        <f t="shared" si="6"/>
        <v>1178.3000000000002</v>
      </c>
      <c r="P38" s="70">
        <f t="shared" si="6"/>
        <v>1178.3000000000002</v>
      </c>
      <c r="Q38" s="70">
        <f t="shared" si="6"/>
        <v>1178.3000000000002</v>
      </c>
      <c r="R38" s="70">
        <f t="shared" si="6"/>
        <v>1178.3000000000002</v>
      </c>
      <c r="S38" s="70">
        <f t="shared" si="6"/>
        <v>1178.3000000000002</v>
      </c>
      <c r="T38" s="70">
        <f t="shared" si="6"/>
        <v>1178.3000000000002</v>
      </c>
      <c r="U38" s="70">
        <f t="shared" si="6"/>
        <v>1178.3000000000002</v>
      </c>
      <c r="V38" s="70">
        <f t="shared" si="6"/>
        <v>1178.3000000000002</v>
      </c>
      <c r="W38" s="70">
        <f t="shared" si="6"/>
        <v>1178.3000000000002</v>
      </c>
      <c r="X38" s="70">
        <f t="shared" si="6"/>
        <v>1178.3000000000002</v>
      </c>
      <c r="Y38" s="70">
        <f t="shared" si="6"/>
        <v>1178.3000000000002</v>
      </c>
      <c r="Z38" s="70">
        <f t="shared" si="6"/>
        <v>1096.3000000000002</v>
      </c>
      <c r="AA38" s="70">
        <f t="shared" si="6"/>
        <v>1096.3000000000002</v>
      </c>
      <c r="AB38" s="70">
        <f t="shared" si="6"/>
        <v>1096.5999999999999</v>
      </c>
      <c r="AC38" s="70">
        <f t="shared" si="6"/>
        <v>1120.5999999999999</v>
      </c>
      <c r="AD38" s="70">
        <f t="shared" si="6"/>
        <v>1160.6999999999998</v>
      </c>
      <c r="AE38" s="70">
        <f t="shared" si="6"/>
        <v>1160.6999999999998</v>
      </c>
      <c r="AF38" s="70">
        <f t="shared" si="6"/>
        <v>1084.6999999999998</v>
      </c>
      <c r="AG38" s="64">
        <f>SUM(AG11:AG37)</f>
        <v>1492.8299999999997</v>
      </c>
      <c r="AH38" s="55">
        <f t="shared" si="2"/>
        <v>1181.3000000000002</v>
      </c>
      <c r="AI38" s="56">
        <f t="shared" si="3"/>
        <v>0</v>
      </c>
      <c r="AK38" s="57"/>
    </row>
    <row r="39" spans="1:88" x14ac:dyDescent="0.25">
      <c r="A39" s="58" t="s">
        <v>47</v>
      </c>
      <c r="B39" s="51">
        <v>143</v>
      </c>
      <c r="C39" s="51">
        <v>132</v>
      </c>
      <c r="D39" s="51">
        <v>143</v>
      </c>
      <c r="E39" s="51">
        <v>142.5</v>
      </c>
      <c r="F39" s="51"/>
      <c r="G39" s="51">
        <v>130</v>
      </c>
      <c r="H39" s="51">
        <v>96</v>
      </c>
      <c r="I39" s="51">
        <v>106</v>
      </c>
      <c r="J39" s="51">
        <v>103.2</v>
      </c>
      <c r="K39" s="51">
        <v>120</v>
      </c>
      <c r="L39" s="51">
        <v>144</v>
      </c>
      <c r="M39" s="51">
        <v>145.80000000000001</v>
      </c>
      <c r="N39" s="51">
        <v>144.6</v>
      </c>
      <c r="O39" s="51">
        <v>144.6</v>
      </c>
      <c r="P39" s="51">
        <v>144.6</v>
      </c>
      <c r="Q39" s="51">
        <v>144.6</v>
      </c>
      <c r="R39" s="51">
        <v>101.3</v>
      </c>
      <c r="S39" s="51">
        <v>97</v>
      </c>
      <c r="T39" s="51">
        <v>72</v>
      </c>
      <c r="U39" s="51">
        <v>72</v>
      </c>
      <c r="V39" s="51">
        <v>73</v>
      </c>
      <c r="W39" s="51">
        <v>73</v>
      </c>
      <c r="X39" s="51">
        <v>73</v>
      </c>
      <c r="Y39" s="51">
        <v>73</v>
      </c>
      <c r="Z39" s="51">
        <v>20</v>
      </c>
      <c r="AA39" s="51">
        <v>20</v>
      </c>
      <c r="AB39" s="51">
        <v>37</v>
      </c>
      <c r="AC39" s="51">
        <v>92.3</v>
      </c>
      <c r="AD39" s="51">
        <v>143.9</v>
      </c>
      <c r="AE39" s="51">
        <v>144.4</v>
      </c>
      <c r="AF39" s="51">
        <v>144.4</v>
      </c>
      <c r="AG39" s="60">
        <v>144</v>
      </c>
      <c r="AH39" s="55">
        <f t="shared" si="2"/>
        <v>145.80000000000001</v>
      </c>
      <c r="AI39" s="56">
        <f t="shared" si="3"/>
        <v>20</v>
      </c>
      <c r="AK39" s="57"/>
    </row>
    <row r="40" spans="1:88" x14ac:dyDescent="0.25">
      <c r="A40" s="63" t="s">
        <v>48</v>
      </c>
      <c r="B40" s="49">
        <v>68</v>
      </c>
      <c r="C40" s="49">
        <v>60</v>
      </c>
      <c r="D40" s="49">
        <v>71.599999999999994</v>
      </c>
      <c r="E40" s="49">
        <v>60.7</v>
      </c>
      <c r="F40" s="49"/>
      <c r="G40" s="49">
        <v>50</v>
      </c>
      <c r="H40" s="49">
        <v>50</v>
      </c>
      <c r="I40" s="49">
        <v>50</v>
      </c>
      <c r="J40" s="49">
        <v>69.5</v>
      </c>
      <c r="K40" s="49">
        <v>69.5</v>
      </c>
      <c r="L40" s="49">
        <v>69.5</v>
      </c>
      <c r="M40" s="51">
        <v>71.2</v>
      </c>
      <c r="N40" s="51">
        <v>70.900000000000006</v>
      </c>
      <c r="O40" s="51">
        <v>70.900000000000006</v>
      </c>
      <c r="P40" s="51">
        <v>70.900000000000006</v>
      </c>
      <c r="Q40" s="51">
        <v>70.900000000000006</v>
      </c>
      <c r="R40" s="51">
        <v>70</v>
      </c>
      <c r="S40" s="49">
        <v>71</v>
      </c>
      <c r="T40" s="49">
        <v>71</v>
      </c>
      <c r="U40" s="49">
        <v>71</v>
      </c>
      <c r="V40" s="49">
        <v>71</v>
      </c>
      <c r="W40" s="49">
        <v>71</v>
      </c>
      <c r="X40" s="49">
        <v>71</v>
      </c>
      <c r="Y40" s="49">
        <v>71</v>
      </c>
      <c r="Z40" s="49">
        <v>49</v>
      </c>
      <c r="AA40" s="49">
        <v>51</v>
      </c>
      <c r="AB40" s="49">
        <v>52.1</v>
      </c>
      <c r="AC40" s="49">
        <v>72.900000000000006</v>
      </c>
      <c r="AD40" s="49">
        <v>72.8</v>
      </c>
      <c r="AE40" s="49">
        <v>70.599999999999994</v>
      </c>
      <c r="AF40" s="49">
        <v>70.599999999999994</v>
      </c>
      <c r="AG40" s="64">
        <v>70</v>
      </c>
      <c r="AH40" s="55">
        <f t="shared" si="2"/>
        <v>72.900000000000006</v>
      </c>
      <c r="AI40" s="56">
        <f t="shared" si="3"/>
        <v>49</v>
      </c>
      <c r="AK40" s="57"/>
    </row>
    <row r="41" spans="1:88" x14ac:dyDescent="0.25">
      <c r="A41" s="63" t="s">
        <v>49</v>
      </c>
      <c r="B41" s="49">
        <v>65</v>
      </c>
      <c r="C41" s="49">
        <v>60</v>
      </c>
      <c r="D41" s="49">
        <v>60.5</v>
      </c>
      <c r="E41" s="49">
        <v>61.1</v>
      </c>
      <c r="F41" s="49"/>
      <c r="G41" s="49">
        <v>36</v>
      </c>
      <c r="H41" s="49">
        <v>51.3</v>
      </c>
      <c r="I41" s="49">
        <v>51.3</v>
      </c>
      <c r="J41" s="49">
        <v>51.5</v>
      </c>
      <c r="K41" s="49">
        <v>51.5</v>
      </c>
      <c r="L41" s="49">
        <v>51.5</v>
      </c>
      <c r="M41" s="51">
        <v>51.9</v>
      </c>
      <c r="N41" s="51">
        <v>62.7</v>
      </c>
      <c r="O41" s="51">
        <v>62.7</v>
      </c>
      <c r="P41" s="51">
        <v>62.7</v>
      </c>
      <c r="Q41" s="51">
        <v>62.7</v>
      </c>
      <c r="R41" s="51">
        <v>63.3</v>
      </c>
      <c r="S41" s="49">
        <v>64</v>
      </c>
      <c r="T41" s="49">
        <v>64</v>
      </c>
      <c r="U41" s="49">
        <v>64</v>
      </c>
      <c r="V41" s="49">
        <v>64</v>
      </c>
      <c r="W41" s="49">
        <v>64</v>
      </c>
      <c r="X41" s="49">
        <v>64</v>
      </c>
      <c r="Y41" s="49">
        <v>64</v>
      </c>
      <c r="Z41" s="49">
        <v>64</v>
      </c>
      <c r="AA41" s="49">
        <v>64</v>
      </c>
      <c r="AB41" s="49">
        <v>63.5</v>
      </c>
      <c r="AC41" s="49">
        <v>63.7</v>
      </c>
      <c r="AD41" s="49">
        <v>63.2</v>
      </c>
      <c r="AE41" s="49">
        <v>63.7</v>
      </c>
      <c r="AF41" s="49">
        <v>63.7</v>
      </c>
      <c r="AG41" s="64">
        <v>69</v>
      </c>
      <c r="AH41" s="55">
        <f t="shared" si="2"/>
        <v>65</v>
      </c>
      <c r="AI41" s="56">
        <f t="shared" si="3"/>
        <v>36</v>
      </c>
      <c r="AK41" s="57"/>
    </row>
    <row r="42" spans="1:88" x14ac:dyDescent="0.25">
      <c r="A42" s="63" t="s">
        <v>50</v>
      </c>
      <c r="B42" s="66">
        <v>60.4</v>
      </c>
      <c r="C42" s="66">
        <v>60.4</v>
      </c>
      <c r="D42" s="66">
        <v>60.4</v>
      </c>
      <c r="E42" s="66">
        <v>60.4</v>
      </c>
      <c r="F42" s="66"/>
      <c r="G42" s="66">
        <v>60.2</v>
      </c>
      <c r="H42" s="66">
        <v>60.2</v>
      </c>
      <c r="I42" s="66">
        <v>60.2</v>
      </c>
      <c r="J42" s="66">
        <v>60.7</v>
      </c>
      <c r="K42" s="66">
        <v>60.7</v>
      </c>
      <c r="L42" s="66">
        <v>60.7</v>
      </c>
      <c r="M42" s="51">
        <v>60.7</v>
      </c>
      <c r="N42" s="51">
        <v>60.7</v>
      </c>
      <c r="O42" s="51">
        <v>60.7</v>
      </c>
      <c r="P42" s="51">
        <v>60.7</v>
      </c>
      <c r="Q42" s="51">
        <v>60.7</v>
      </c>
      <c r="R42" s="51">
        <v>60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51">
        <v>60.9</v>
      </c>
      <c r="AB42" s="66">
        <v>60.9</v>
      </c>
      <c r="AC42" s="66">
        <v>60.4</v>
      </c>
      <c r="AD42" s="66">
        <v>60.4</v>
      </c>
      <c r="AE42" s="66">
        <v>60.9</v>
      </c>
      <c r="AF42" s="66">
        <v>60.9</v>
      </c>
      <c r="AG42" s="64">
        <v>60</v>
      </c>
      <c r="AH42" s="55">
        <f t="shared" si="2"/>
        <v>60.9</v>
      </c>
      <c r="AI42" s="56">
        <f t="shared" si="3"/>
        <v>60</v>
      </c>
      <c r="AK42" s="57"/>
    </row>
    <row r="43" spans="1:88" x14ac:dyDescent="0.25">
      <c r="A43" s="63" t="s">
        <v>51</v>
      </c>
      <c r="B43" s="66">
        <v>15</v>
      </c>
      <c r="C43" s="66">
        <v>15</v>
      </c>
      <c r="D43" s="66">
        <v>15</v>
      </c>
      <c r="E43" s="66">
        <v>15</v>
      </c>
      <c r="F43" s="66"/>
      <c r="G43" s="66">
        <v>30</v>
      </c>
      <c r="H43" s="66">
        <v>30</v>
      </c>
      <c r="I43" s="66">
        <v>22.1</v>
      </c>
      <c r="J43" s="66">
        <v>22.2</v>
      </c>
      <c r="K43" s="66">
        <v>22.2</v>
      </c>
      <c r="L43" s="66">
        <v>22.2</v>
      </c>
      <c r="M43" s="51">
        <v>22.7</v>
      </c>
      <c r="N43" s="51">
        <v>10</v>
      </c>
      <c r="O43" s="51">
        <v>10</v>
      </c>
      <c r="P43" s="51">
        <v>0</v>
      </c>
      <c r="Q43" s="51">
        <v>30</v>
      </c>
      <c r="R43" s="51">
        <v>30</v>
      </c>
      <c r="S43" s="51">
        <v>30</v>
      </c>
      <c r="T43" s="51">
        <v>30</v>
      </c>
      <c r="U43" s="51">
        <v>27</v>
      </c>
      <c r="V43" s="51">
        <v>20</v>
      </c>
      <c r="W43" s="51">
        <v>16</v>
      </c>
      <c r="X43" s="51">
        <v>16</v>
      </c>
      <c r="Y43" s="51">
        <v>13.5</v>
      </c>
      <c r="Z43" s="51">
        <v>13.5</v>
      </c>
      <c r="AA43" s="51">
        <v>13.5</v>
      </c>
      <c r="AB43" s="66">
        <v>28.5</v>
      </c>
      <c r="AC43" s="66">
        <v>28.2</v>
      </c>
      <c r="AD43" s="66">
        <v>10</v>
      </c>
      <c r="AE43" s="66">
        <v>15</v>
      </c>
      <c r="AF43" s="66">
        <v>15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/>
      <c r="G44" s="49">
        <v>0</v>
      </c>
      <c r="H44" s="49">
        <v>0</v>
      </c>
      <c r="I44" s="49">
        <v>0</v>
      </c>
      <c r="J44" s="66">
        <v>0</v>
      </c>
      <c r="K44" s="66">
        <v>0</v>
      </c>
      <c r="L44" s="66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</v>
      </c>
      <c r="C45" s="49">
        <v>16</v>
      </c>
      <c r="D45" s="49">
        <v>16</v>
      </c>
      <c r="E45" s="49">
        <v>16</v>
      </c>
      <c r="F45" s="49"/>
      <c r="G45" s="49">
        <v>16</v>
      </c>
      <c r="H45" s="49">
        <v>16</v>
      </c>
      <c r="I45" s="49">
        <v>16</v>
      </c>
      <c r="J45" s="49">
        <v>16</v>
      </c>
      <c r="K45" s="49">
        <v>16</v>
      </c>
      <c r="L45" s="49">
        <v>16</v>
      </c>
      <c r="M45" s="51">
        <v>15.6</v>
      </c>
      <c r="N45" s="51">
        <v>15.6</v>
      </c>
      <c r="O45" s="51">
        <v>15.6</v>
      </c>
      <c r="P45" s="51">
        <v>15.6</v>
      </c>
      <c r="Q45" s="51">
        <v>15.6</v>
      </c>
      <c r="R45" s="51">
        <v>16</v>
      </c>
      <c r="S45" s="51">
        <v>16</v>
      </c>
      <c r="T45" s="51">
        <v>16</v>
      </c>
      <c r="U45" s="51">
        <v>16</v>
      </c>
      <c r="V45" s="51">
        <v>16</v>
      </c>
      <c r="W45" s="51">
        <v>16</v>
      </c>
      <c r="X45" s="51">
        <v>16</v>
      </c>
      <c r="Y45" s="51">
        <v>16</v>
      </c>
      <c r="Z45" s="51">
        <v>16</v>
      </c>
      <c r="AA45" s="51">
        <v>16</v>
      </c>
      <c r="AB45" s="51">
        <v>16.7</v>
      </c>
      <c r="AC45" s="51">
        <v>16.7</v>
      </c>
      <c r="AD45" s="51">
        <v>16.7</v>
      </c>
      <c r="AE45" s="51">
        <v>16.7</v>
      </c>
      <c r="AF45" s="51">
        <v>16.7</v>
      </c>
      <c r="AG45" s="64">
        <v>24</v>
      </c>
      <c r="AH45" s="55">
        <f t="shared" si="2"/>
        <v>16.7</v>
      </c>
      <c r="AI45" s="56">
        <f t="shared" si="3"/>
        <v>15.6</v>
      </c>
      <c r="AK45" s="57"/>
    </row>
    <row r="46" spans="1:88" x14ac:dyDescent="0.25">
      <c r="A46" s="63" t="s">
        <v>54</v>
      </c>
      <c r="B46" s="49">
        <v>0</v>
      </c>
      <c r="C46" s="49">
        <v>0</v>
      </c>
      <c r="D46" s="49">
        <v>0</v>
      </c>
      <c r="E46" s="49">
        <v>0</v>
      </c>
      <c r="F46" s="49"/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51">
        <v>2.4</v>
      </c>
      <c r="N46" s="51">
        <v>2.4</v>
      </c>
      <c r="O46" s="51">
        <v>2.4</v>
      </c>
      <c r="P46" s="51">
        <v>2.4</v>
      </c>
      <c r="Q46" s="51">
        <v>2.4</v>
      </c>
      <c r="R46" s="51">
        <v>2.4</v>
      </c>
      <c r="S46" s="51">
        <v>2.4</v>
      </c>
      <c r="T46" s="51">
        <v>2.4</v>
      </c>
      <c r="U46" s="51">
        <v>2.4</v>
      </c>
      <c r="V46" s="51">
        <v>2.4</v>
      </c>
      <c r="W46" s="51">
        <v>2.4</v>
      </c>
      <c r="X46" s="51">
        <v>2.4</v>
      </c>
      <c r="Y46" s="51">
        <v>2.4</v>
      </c>
      <c r="Z46" s="51">
        <v>2.4</v>
      </c>
      <c r="AA46" s="51">
        <v>2.4</v>
      </c>
      <c r="AB46" s="51">
        <v>2.4</v>
      </c>
      <c r="AC46" s="51">
        <v>2.4</v>
      </c>
      <c r="AD46" s="51">
        <v>2.4</v>
      </c>
      <c r="AE46" s="51">
        <v>2.4</v>
      </c>
      <c r="AF46" s="51">
        <v>2.4</v>
      </c>
      <c r="AG46" s="64">
        <v>15</v>
      </c>
      <c r="AH46" s="55">
        <f t="shared" si="2"/>
        <v>2.4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</v>
      </c>
      <c r="C47" s="49">
        <v>12</v>
      </c>
      <c r="D47" s="49">
        <v>12</v>
      </c>
      <c r="E47" s="49">
        <v>12</v>
      </c>
      <c r="F47" s="49"/>
      <c r="G47" s="49">
        <v>12</v>
      </c>
      <c r="H47" s="49">
        <v>12</v>
      </c>
      <c r="I47" s="49">
        <v>12</v>
      </c>
      <c r="J47" s="49">
        <v>12</v>
      </c>
      <c r="K47" s="49">
        <v>12</v>
      </c>
      <c r="L47" s="49">
        <v>12</v>
      </c>
      <c r="M47" s="51">
        <v>12.8</v>
      </c>
      <c r="N47" s="51">
        <v>13.2</v>
      </c>
      <c r="O47" s="51">
        <v>13.2</v>
      </c>
      <c r="P47" s="51">
        <v>13.2</v>
      </c>
      <c r="Q47" s="51">
        <v>13.2</v>
      </c>
      <c r="R47" s="51">
        <v>10</v>
      </c>
      <c r="S47" s="51">
        <v>10</v>
      </c>
      <c r="T47" s="51">
        <v>10</v>
      </c>
      <c r="U47" s="51">
        <v>10</v>
      </c>
      <c r="V47" s="51">
        <v>10</v>
      </c>
      <c r="W47" s="51">
        <v>10</v>
      </c>
      <c r="X47" s="51">
        <v>10</v>
      </c>
      <c r="Y47" s="51">
        <v>10</v>
      </c>
      <c r="Z47" s="51">
        <v>10</v>
      </c>
      <c r="AA47" s="51">
        <v>10</v>
      </c>
      <c r="AB47" s="51">
        <v>10</v>
      </c>
      <c r="AC47" s="51">
        <v>10</v>
      </c>
      <c r="AD47" s="51">
        <v>10</v>
      </c>
      <c r="AE47" s="51">
        <v>10</v>
      </c>
      <c r="AF47" s="51">
        <v>10</v>
      </c>
      <c r="AG47" s="64">
        <v>14.1</v>
      </c>
      <c r="AH47" s="55">
        <f t="shared" si="2"/>
        <v>13.2</v>
      </c>
      <c r="AI47" s="56">
        <f t="shared" si="3"/>
        <v>10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14</v>
      </c>
      <c r="C48" s="49">
        <v>14</v>
      </c>
      <c r="D48" s="49">
        <v>14</v>
      </c>
      <c r="E48" s="49">
        <v>14</v>
      </c>
      <c r="F48" s="49"/>
      <c r="G48" s="49">
        <v>14</v>
      </c>
      <c r="H48" s="49">
        <v>14</v>
      </c>
      <c r="I48" s="49">
        <v>14</v>
      </c>
      <c r="J48" s="49">
        <v>14</v>
      </c>
      <c r="K48" s="49">
        <v>14</v>
      </c>
      <c r="L48" s="49">
        <v>14</v>
      </c>
      <c r="M48" s="51">
        <v>13.8</v>
      </c>
      <c r="N48" s="51">
        <v>13.8</v>
      </c>
      <c r="O48" s="51">
        <v>13.8</v>
      </c>
      <c r="P48" s="51">
        <v>13.8</v>
      </c>
      <c r="Q48" s="51">
        <v>13.8</v>
      </c>
      <c r="R48" s="51">
        <v>13.8</v>
      </c>
      <c r="S48" s="51">
        <v>13.8</v>
      </c>
      <c r="T48" s="51">
        <v>13.8</v>
      </c>
      <c r="U48" s="51">
        <v>13.8</v>
      </c>
      <c r="V48" s="51">
        <v>13.8</v>
      </c>
      <c r="W48" s="51">
        <v>13.8</v>
      </c>
      <c r="X48" s="51">
        <v>13.8</v>
      </c>
      <c r="Y48" s="51">
        <v>13.8</v>
      </c>
      <c r="Z48" s="51">
        <v>2.5</v>
      </c>
      <c r="AA48" s="51">
        <v>2.5</v>
      </c>
      <c r="AB48" s="51">
        <v>2.5</v>
      </c>
      <c r="AC48" s="51">
        <v>2.5</v>
      </c>
      <c r="AD48" s="51">
        <v>2.5</v>
      </c>
      <c r="AE48" s="51">
        <v>2.5</v>
      </c>
      <c r="AF48" s="51">
        <v>2.5</v>
      </c>
      <c r="AG48" s="64">
        <v>14</v>
      </c>
      <c r="AH48" s="55">
        <f t="shared" si="2"/>
        <v>14</v>
      </c>
      <c r="AI48" s="56">
        <f t="shared" si="3"/>
        <v>2.5</v>
      </c>
      <c r="AK48" s="57"/>
    </row>
    <row r="49" spans="1:37" x14ac:dyDescent="0.25">
      <c r="A49" s="63" t="s">
        <v>57</v>
      </c>
      <c r="B49" s="49">
        <v>0</v>
      </c>
      <c r="C49" s="49">
        <v>0</v>
      </c>
      <c r="D49" s="49">
        <v>0</v>
      </c>
      <c r="E49" s="49">
        <v>0</v>
      </c>
      <c r="F49" s="49"/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51">
        <v>8</v>
      </c>
      <c r="N49" s="51">
        <v>8</v>
      </c>
      <c r="O49" s="51">
        <v>8</v>
      </c>
      <c r="P49" s="51">
        <v>8</v>
      </c>
      <c r="Q49" s="51">
        <v>8</v>
      </c>
      <c r="R49" s="51">
        <v>0</v>
      </c>
      <c r="S49" s="51">
        <v>0</v>
      </c>
      <c r="T49" s="51">
        <v>0</v>
      </c>
      <c r="U49" s="51">
        <v>9.6999999999999993</v>
      </c>
      <c r="V49" s="51">
        <v>9.6999999999999993</v>
      </c>
      <c r="W49" s="51">
        <v>9.6999999999999993</v>
      </c>
      <c r="X49" s="51">
        <v>9.6999999999999993</v>
      </c>
      <c r="Y49" s="51">
        <v>9.6999999999999993</v>
      </c>
      <c r="Z49" s="51">
        <v>9.6999999999999993</v>
      </c>
      <c r="AA49" s="51">
        <v>9.6999999999999993</v>
      </c>
      <c r="AB49" s="51">
        <v>9.6999999999999993</v>
      </c>
      <c r="AC49" s="51">
        <v>9.6999999999999993</v>
      </c>
      <c r="AD49" s="51">
        <v>9.6999999999999993</v>
      </c>
      <c r="AE49" s="51">
        <v>9.6999999999999993</v>
      </c>
      <c r="AF49" s="51">
        <v>9.6999999999999993</v>
      </c>
      <c r="AG49" s="64">
        <v>10.050000000000001</v>
      </c>
      <c r="AH49" s="55">
        <f t="shared" si="2"/>
        <v>9.6999999999999993</v>
      </c>
      <c r="AI49" s="56">
        <f t="shared" si="3"/>
        <v>0</v>
      </c>
      <c r="AK49" s="57"/>
    </row>
    <row r="50" spans="1:37" x14ac:dyDescent="0.25">
      <c r="A50" s="63" t="s">
        <v>58</v>
      </c>
      <c r="B50" s="49">
        <v>3.5</v>
      </c>
      <c r="C50" s="49">
        <v>3.5</v>
      </c>
      <c r="D50" s="49">
        <v>3.5</v>
      </c>
      <c r="E50" s="49">
        <v>3.5</v>
      </c>
      <c r="F50" s="49"/>
      <c r="G50" s="49">
        <v>3.5</v>
      </c>
      <c r="H50" s="49">
        <v>3.5</v>
      </c>
      <c r="I50" s="49">
        <v>3.5</v>
      </c>
      <c r="J50" s="49">
        <v>3.5</v>
      </c>
      <c r="K50" s="49">
        <v>3.5</v>
      </c>
      <c r="L50" s="49">
        <v>3.5</v>
      </c>
      <c r="M50" s="51">
        <v>3.5</v>
      </c>
      <c r="N50" s="51">
        <v>3.5</v>
      </c>
      <c r="O50" s="51">
        <v>3.5</v>
      </c>
      <c r="P50" s="51">
        <v>3.5</v>
      </c>
      <c r="Q50" s="51">
        <v>3.5</v>
      </c>
      <c r="R50" s="51">
        <v>3.5</v>
      </c>
      <c r="S50" s="51">
        <v>3.5</v>
      </c>
      <c r="T50" s="51">
        <v>3.5</v>
      </c>
      <c r="U50" s="51">
        <v>3.5</v>
      </c>
      <c r="V50" s="51">
        <v>3.5</v>
      </c>
      <c r="W50" s="51">
        <v>3.5</v>
      </c>
      <c r="X50" s="51">
        <v>3.5</v>
      </c>
      <c r="Y50" s="51">
        <v>3.5</v>
      </c>
      <c r="Z50" s="51">
        <v>3.5</v>
      </c>
      <c r="AA50" s="51">
        <v>3.5</v>
      </c>
      <c r="AB50" s="51">
        <v>3.5</v>
      </c>
      <c r="AC50" s="51">
        <v>3.5</v>
      </c>
      <c r="AD50" s="51">
        <v>3.5</v>
      </c>
      <c r="AE50" s="51">
        <v>3.5</v>
      </c>
      <c r="AF50" s="51">
        <v>3.5</v>
      </c>
      <c r="AG50" s="64">
        <v>6.2</v>
      </c>
      <c r="AH50" s="55">
        <f t="shared" si="2"/>
        <v>3.5</v>
      </c>
      <c r="AI50" s="56">
        <f t="shared" si="3"/>
        <v>3.5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400.44</v>
      </c>
      <c r="C52" s="70">
        <f t="shared" ref="C52:AF52" si="8">SUM(C39:C51)</f>
        <v>376.44</v>
      </c>
      <c r="D52" s="70">
        <f t="shared" si="8"/>
        <v>399.54</v>
      </c>
      <c r="E52" s="70">
        <f t="shared" si="8"/>
        <v>388.74</v>
      </c>
      <c r="F52" s="70">
        <f t="shared" si="8"/>
        <v>3.54</v>
      </c>
      <c r="G52" s="70">
        <f t="shared" si="8"/>
        <v>355.24</v>
      </c>
      <c r="H52" s="70">
        <f t="shared" si="8"/>
        <v>336.54</v>
      </c>
      <c r="I52" s="70">
        <f t="shared" si="8"/>
        <v>338.64000000000004</v>
      </c>
      <c r="J52" s="70">
        <f t="shared" si="8"/>
        <v>356.14</v>
      </c>
      <c r="K52" s="70">
        <f t="shared" si="8"/>
        <v>372.94</v>
      </c>
      <c r="L52" s="70">
        <f t="shared" si="8"/>
        <v>396.94</v>
      </c>
      <c r="M52" s="70">
        <f t="shared" si="8"/>
        <v>419.94</v>
      </c>
      <c r="N52" s="70">
        <f t="shared" si="8"/>
        <v>416.94</v>
      </c>
      <c r="O52" s="70">
        <f t="shared" si="8"/>
        <v>416.94</v>
      </c>
      <c r="P52" s="70">
        <f t="shared" si="8"/>
        <v>406.94</v>
      </c>
      <c r="Q52" s="70">
        <f t="shared" si="8"/>
        <v>436.94</v>
      </c>
      <c r="R52" s="70">
        <f t="shared" si="8"/>
        <v>381.84000000000003</v>
      </c>
      <c r="S52" s="70">
        <f t="shared" si="8"/>
        <v>380.14</v>
      </c>
      <c r="T52" s="70">
        <f t="shared" si="8"/>
        <v>355.14</v>
      </c>
      <c r="U52" s="70">
        <f t="shared" si="8"/>
        <v>361.84</v>
      </c>
      <c r="V52" s="70">
        <f t="shared" si="8"/>
        <v>355.84</v>
      </c>
      <c r="W52" s="70">
        <f t="shared" si="8"/>
        <v>351.84</v>
      </c>
      <c r="X52" s="70">
        <f t="shared" si="8"/>
        <v>351.84</v>
      </c>
      <c r="Y52" s="70">
        <f t="shared" si="8"/>
        <v>349.34</v>
      </c>
      <c r="Z52" s="70">
        <f t="shared" si="8"/>
        <v>263.04000000000002</v>
      </c>
      <c r="AA52" s="70">
        <f t="shared" si="8"/>
        <v>265.04000000000002</v>
      </c>
      <c r="AB52" s="70">
        <f t="shared" si="8"/>
        <v>290.33999999999997</v>
      </c>
      <c r="AC52" s="70">
        <f t="shared" si="8"/>
        <v>365.83999999999992</v>
      </c>
      <c r="AD52" s="70">
        <f t="shared" si="8"/>
        <v>398.63999999999993</v>
      </c>
      <c r="AE52" s="70">
        <f t="shared" si="8"/>
        <v>402.93999999999994</v>
      </c>
      <c r="AF52" s="70">
        <f t="shared" si="8"/>
        <v>402.93999999999994</v>
      </c>
      <c r="AG52" s="74">
        <f>SUM(AG39:AG51)</f>
        <v>489.91</v>
      </c>
      <c r="AH52" s="55">
        <f t="shared" si="2"/>
        <v>436.94</v>
      </c>
      <c r="AI52" s="56">
        <f t="shared" si="3"/>
        <v>3.54</v>
      </c>
      <c r="AK52" s="57"/>
    </row>
    <row r="53" spans="1:37" x14ac:dyDescent="0.25">
      <c r="A53" s="58" t="s">
        <v>61</v>
      </c>
      <c r="B53" s="51">
        <v>0</v>
      </c>
      <c r="C53" s="51">
        <v>10</v>
      </c>
      <c r="D53" s="51">
        <v>0</v>
      </c>
      <c r="E53" s="51">
        <v>0</v>
      </c>
      <c r="F53" s="51"/>
      <c r="G53" s="51">
        <v>0</v>
      </c>
      <c r="H53" s="51">
        <v>0</v>
      </c>
      <c r="I53" s="51">
        <v>0</v>
      </c>
      <c r="J53" s="51">
        <v>0</v>
      </c>
      <c r="K53" s="51">
        <v>10</v>
      </c>
      <c r="L53" s="51">
        <v>22.1</v>
      </c>
      <c r="M53" s="51">
        <v>13.8</v>
      </c>
      <c r="N53" s="51">
        <v>13.8</v>
      </c>
      <c r="O53" s="51">
        <v>20.3</v>
      </c>
      <c r="P53" s="51">
        <v>60</v>
      </c>
      <c r="Q53" s="51">
        <v>60</v>
      </c>
      <c r="R53" s="51">
        <v>59.3</v>
      </c>
      <c r="S53" s="51">
        <v>49</v>
      </c>
      <c r="T53" s="51">
        <v>59</v>
      </c>
      <c r="U53" s="51">
        <v>59</v>
      </c>
      <c r="V53" s="51">
        <v>39</v>
      </c>
      <c r="W53" s="51">
        <v>33.799999999999997</v>
      </c>
      <c r="X53" s="51">
        <v>33.799999999999997</v>
      </c>
      <c r="Y53" s="51">
        <v>34</v>
      </c>
      <c r="Z53" s="51">
        <v>47</v>
      </c>
      <c r="AA53" s="51">
        <v>59</v>
      </c>
      <c r="AB53" s="51">
        <v>59.5</v>
      </c>
      <c r="AC53" s="51">
        <v>60</v>
      </c>
      <c r="AD53" s="51">
        <v>60</v>
      </c>
      <c r="AE53" s="51">
        <v>14</v>
      </c>
      <c r="AF53" s="51">
        <v>10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5.7</v>
      </c>
      <c r="D54" s="49">
        <v>0</v>
      </c>
      <c r="E54" s="49">
        <v>0</v>
      </c>
      <c r="F54" s="49"/>
      <c r="G54" s="49">
        <v>0</v>
      </c>
      <c r="H54" s="49">
        <v>0</v>
      </c>
      <c r="I54" s="49">
        <v>0</v>
      </c>
      <c r="J54" s="49">
        <v>0</v>
      </c>
      <c r="K54" s="49">
        <v>2.8</v>
      </c>
      <c r="L54" s="49">
        <v>3.2</v>
      </c>
      <c r="M54" s="49">
        <v>6.4</v>
      </c>
      <c r="N54" s="49">
        <v>5.4</v>
      </c>
      <c r="O54" s="49">
        <v>8.9</v>
      </c>
      <c r="P54" s="49">
        <v>31.3</v>
      </c>
      <c r="Q54" s="49">
        <v>30.4</v>
      </c>
      <c r="R54" s="49">
        <v>30.3</v>
      </c>
      <c r="S54" s="49">
        <v>24</v>
      </c>
      <c r="T54" s="49">
        <v>32</v>
      </c>
      <c r="U54" s="49">
        <v>32</v>
      </c>
      <c r="V54" s="49">
        <v>24</v>
      </c>
      <c r="W54" s="49">
        <v>24</v>
      </c>
      <c r="X54" s="49">
        <v>14.6</v>
      </c>
      <c r="Y54" s="49">
        <v>15</v>
      </c>
      <c r="Z54" s="49">
        <v>15</v>
      </c>
      <c r="AA54" s="49">
        <v>31</v>
      </c>
      <c r="AB54" s="49">
        <v>31.1</v>
      </c>
      <c r="AC54" s="49">
        <v>31.1</v>
      </c>
      <c r="AD54" s="49">
        <v>31.1</v>
      </c>
      <c r="AE54" s="49">
        <v>8.8000000000000007</v>
      </c>
      <c r="AF54" s="49">
        <v>3.9</v>
      </c>
      <c r="AG54" s="64">
        <v>32</v>
      </c>
      <c r="AH54" s="55">
        <f t="shared" si="2"/>
        <v>32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2</v>
      </c>
      <c r="D55" s="75">
        <v>0</v>
      </c>
      <c r="E55" s="75">
        <v>0</v>
      </c>
      <c r="F55" s="75"/>
      <c r="G55" s="75">
        <v>0</v>
      </c>
      <c r="H55" s="75">
        <v>0</v>
      </c>
      <c r="I55" s="75">
        <v>0</v>
      </c>
      <c r="J55" s="75">
        <v>0</v>
      </c>
      <c r="K55" s="75">
        <v>1.4</v>
      </c>
      <c r="L55" s="75">
        <v>1.2</v>
      </c>
      <c r="M55" s="75">
        <v>2.2999999999999998</v>
      </c>
      <c r="N55" s="75">
        <v>2</v>
      </c>
      <c r="O55" s="75">
        <v>3.2</v>
      </c>
      <c r="P55" s="75">
        <v>11.4</v>
      </c>
      <c r="Q55" s="75">
        <v>11.1</v>
      </c>
      <c r="R55" s="75">
        <v>11.1</v>
      </c>
      <c r="S55" s="75">
        <v>9</v>
      </c>
      <c r="T55" s="75">
        <v>11.6</v>
      </c>
      <c r="U55" s="75">
        <v>11.6</v>
      </c>
      <c r="V55" s="75">
        <v>9</v>
      </c>
      <c r="W55" s="75">
        <v>9</v>
      </c>
      <c r="X55" s="75">
        <v>6</v>
      </c>
      <c r="Y55" s="75">
        <v>6</v>
      </c>
      <c r="Z55" s="75">
        <v>6</v>
      </c>
      <c r="AA55" s="75">
        <v>11</v>
      </c>
      <c r="AB55" s="75">
        <v>11.4</v>
      </c>
      <c r="AC55" s="75">
        <v>11.4</v>
      </c>
      <c r="AD55" s="75">
        <v>11.4</v>
      </c>
      <c r="AE55" s="75">
        <v>3.2</v>
      </c>
      <c r="AF55" s="75">
        <v>1.4</v>
      </c>
      <c r="AG55" s="76">
        <v>14</v>
      </c>
      <c r="AH55" s="55">
        <f t="shared" si="2"/>
        <v>11.6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0</v>
      </c>
      <c r="C56" s="70">
        <f t="shared" si="9"/>
        <v>17.7</v>
      </c>
      <c r="D56" s="70">
        <f t="shared" si="9"/>
        <v>0</v>
      </c>
      <c r="E56" s="70">
        <f t="shared" si="9"/>
        <v>0</v>
      </c>
      <c r="F56" s="70">
        <f t="shared" si="9"/>
        <v>0</v>
      </c>
      <c r="G56" s="70">
        <f t="shared" si="9"/>
        <v>0</v>
      </c>
      <c r="H56" s="70">
        <f t="shared" si="9"/>
        <v>0</v>
      </c>
      <c r="I56" s="70">
        <f t="shared" si="9"/>
        <v>0</v>
      </c>
      <c r="J56" s="70">
        <f t="shared" si="9"/>
        <v>0</v>
      </c>
      <c r="K56" s="70">
        <f t="shared" si="9"/>
        <v>14.200000000000001</v>
      </c>
      <c r="L56" s="70">
        <f t="shared" si="9"/>
        <v>26.5</v>
      </c>
      <c r="M56" s="70">
        <f t="shared" si="9"/>
        <v>22.500000000000004</v>
      </c>
      <c r="N56" s="70">
        <f t="shared" si="9"/>
        <v>21.200000000000003</v>
      </c>
      <c r="O56" s="70">
        <f t="shared" si="9"/>
        <v>32.400000000000006</v>
      </c>
      <c r="P56" s="70">
        <f t="shared" si="9"/>
        <v>102.7</v>
      </c>
      <c r="Q56" s="70">
        <f t="shared" si="9"/>
        <v>101.5</v>
      </c>
      <c r="R56" s="70">
        <f t="shared" si="9"/>
        <v>100.69999999999999</v>
      </c>
      <c r="S56" s="70">
        <f t="shared" si="9"/>
        <v>82</v>
      </c>
      <c r="T56" s="70">
        <f t="shared" si="9"/>
        <v>102.6</v>
      </c>
      <c r="U56" s="70">
        <f t="shared" si="9"/>
        <v>102.6</v>
      </c>
      <c r="V56" s="70">
        <f t="shared" si="9"/>
        <v>72</v>
      </c>
      <c r="W56" s="70">
        <f t="shared" si="9"/>
        <v>66.8</v>
      </c>
      <c r="X56" s="70">
        <f t="shared" si="9"/>
        <v>54.4</v>
      </c>
      <c r="Y56" s="70">
        <f t="shared" si="9"/>
        <v>55</v>
      </c>
      <c r="Z56" s="70">
        <f t="shared" si="9"/>
        <v>68</v>
      </c>
      <c r="AA56" s="70">
        <f t="shared" si="9"/>
        <v>101</v>
      </c>
      <c r="AB56" s="70">
        <f t="shared" si="9"/>
        <v>102</v>
      </c>
      <c r="AC56" s="70">
        <f t="shared" si="9"/>
        <v>102.5</v>
      </c>
      <c r="AD56" s="70">
        <f t="shared" si="9"/>
        <v>102.5</v>
      </c>
      <c r="AE56" s="70">
        <f t="shared" si="9"/>
        <v>26</v>
      </c>
      <c r="AF56" s="70">
        <f t="shared" si="9"/>
        <v>15.3</v>
      </c>
      <c r="AG56" s="74">
        <f>SUM(AG53:AG55)</f>
        <v>106</v>
      </c>
      <c r="AH56" s="55">
        <f t="shared" si="2"/>
        <v>102.7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41</v>
      </c>
      <c r="C57" s="51">
        <v>40</v>
      </c>
      <c r="D57" s="51">
        <v>37</v>
      </c>
      <c r="E57" s="51">
        <v>33.9</v>
      </c>
      <c r="F57" s="51"/>
      <c r="G57" s="51">
        <v>34.200000000000003</v>
      </c>
      <c r="H57" s="51">
        <v>29</v>
      </c>
      <c r="I57" s="51">
        <v>38</v>
      </c>
      <c r="J57" s="51">
        <v>36.1</v>
      </c>
      <c r="K57" s="51">
        <v>31.6</v>
      </c>
      <c r="L57" s="51">
        <v>36.1</v>
      </c>
      <c r="M57" s="51">
        <v>45.3</v>
      </c>
      <c r="N57" s="51">
        <v>66.3</v>
      </c>
      <c r="O57" s="51">
        <v>74.599999999999994</v>
      </c>
      <c r="P57" s="51">
        <v>0</v>
      </c>
      <c r="Q57" s="51">
        <v>0</v>
      </c>
      <c r="R57" s="51">
        <v>60.5</v>
      </c>
      <c r="S57" s="51">
        <v>71</v>
      </c>
      <c r="T57" s="51">
        <v>73</v>
      </c>
      <c r="U57" s="51">
        <v>63</v>
      </c>
      <c r="V57" s="51">
        <v>76</v>
      </c>
      <c r="W57" s="51">
        <v>76</v>
      </c>
      <c r="X57" s="51">
        <v>70</v>
      </c>
      <c r="Y57" s="51">
        <v>72</v>
      </c>
      <c r="Z57" s="51">
        <v>72</v>
      </c>
      <c r="AA57" s="51">
        <v>70</v>
      </c>
      <c r="AB57" s="51">
        <v>69.5</v>
      </c>
      <c r="AC57" s="51">
        <v>73</v>
      </c>
      <c r="AD57" s="51">
        <v>63</v>
      </c>
      <c r="AE57" s="51">
        <v>72.5</v>
      </c>
      <c r="AF57" s="51">
        <v>70.099999999999994</v>
      </c>
      <c r="AG57" s="60"/>
      <c r="AH57" s="55">
        <f t="shared" si="2"/>
        <v>76</v>
      </c>
      <c r="AI57" s="56">
        <f t="shared" si="3"/>
        <v>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/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-265</v>
      </c>
      <c r="C59" s="49">
        <v>-350</v>
      </c>
      <c r="D59" s="49">
        <v>-367</v>
      </c>
      <c r="E59" s="49">
        <v>-390</v>
      </c>
      <c r="F59" s="49"/>
      <c r="G59" s="49">
        <v>-408</v>
      </c>
      <c r="H59" s="49">
        <v>-408</v>
      </c>
      <c r="I59" s="49">
        <v>-408</v>
      </c>
      <c r="J59" s="49">
        <v>-383</v>
      </c>
      <c r="K59" s="49">
        <v>-280</v>
      </c>
      <c r="L59" s="49">
        <v>-265</v>
      </c>
      <c r="M59" s="49">
        <v>-256</v>
      </c>
      <c r="N59" s="49">
        <v>-569.5</v>
      </c>
      <c r="O59" s="49">
        <v>-261.60000000000002</v>
      </c>
      <c r="P59" s="49">
        <v>-268.10000000000002</v>
      </c>
      <c r="Q59" s="49">
        <v>-252.5</v>
      </c>
      <c r="R59" s="49">
        <v>-206.9</v>
      </c>
      <c r="S59" s="49">
        <v>-214</v>
      </c>
      <c r="T59" s="49">
        <v>-197</v>
      </c>
      <c r="U59" s="49">
        <v>-254</v>
      </c>
      <c r="V59" s="49">
        <v>-283</v>
      </c>
      <c r="W59" s="49">
        <v>-280</v>
      </c>
      <c r="X59" s="49">
        <v>-265</v>
      </c>
      <c r="Y59" s="49">
        <v>-273</v>
      </c>
      <c r="Z59" s="49">
        <v>-159</v>
      </c>
      <c r="AA59" s="49">
        <v>-148</v>
      </c>
      <c r="AB59" s="49">
        <v>-176</v>
      </c>
      <c r="AC59" s="49">
        <v>-205.7</v>
      </c>
      <c r="AD59" s="49">
        <v>-203.8</v>
      </c>
      <c r="AE59" s="49">
        <v>-259.5</v>
      </c>
      <c r="AF59" s="49">
        <v>-280</v>
      </c>
      <c r="AG59" s="77"/>
      <c r="AH59" s="55">
        <f t="shared" si="2"/>
        <v>-148</v>
      </c>
      <c r="AI59" s="56">
        <f t="shared" si="3"/>
        <v>-569.5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/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13</v>
      </c>
      <c r="S60" s="78">
        <v>13</v>
      </c>
      <c r="T60" s="78">
        <v>13</v>
      </c>
      <c r="U60" s="78">
        <v>13</v>
      </c>
      <c r="V60" s="78">
        <v>13</v>
      </c>
      <c r="W60" s="78">
        <v>13</v>
      </c>
      <c r="X60" s="78">
        <v>13</v>
      </c>
      <c r="Y60" s="78">
        <v>13</v>
      </c>
      <c r="Z60" s="78">
        <v>13</v>
      </c>
      <c r="AA60" s="78">
        <v>13</v>
      </c>
      <c r="AB60" s="78">
        <v>13</v>
      </c>
      <c r="AC60" s="78">
        <v>15</v>
      </c>
      <c r="AD60" s="78">
        <v>15</v>
      </c>
      <c r="AE60" s="78">
        <v>25</v>
      </c>
      <c r="AF60" s="78">
        <v>25</v>
      </c>
      <c r="AG60" s="77"/>
      <c r="AH60" s="55">
        <f t="shared" si="2"/>
        <v>25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/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/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0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/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/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/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/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/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46</v>
      </c>
      <c r="C68" s="70">
        <f t="shared" ref="C68:AF68" si="10">SUMIF(C57:C67,"&gt;0")</f>
        <v>45</v>
      </c>
      <c r="D68" s="70">
        <f t="shared" si="10"/>
        <v>42</v>
      </c>
      <c r="E68" s="70">
        <f t="shared" si="10"/>
        <v>38.9</v>
      </c>
      <c r="F68" s="70">
        <f t="shared" si="10"/>
        <v>0</v>
      </c>
      <c r="G68" s="70">
        <f t="shared" si="10"/>
        <v>39.200000000000003</v>
      </c>
      <c r="H68" s="70">
        <f t="shared" si="10"/>
        <v>34</v>
      </c>
      <c r="I68" s="70">
        <f t="shared" si="10"/>
        <v>43</v>
      </c>
      <c r="J68" s="70">
        <f t="shared" si="10"/>
        <v>41.1</v>
      </c>
      <c r="K68" s="70">
        <f t="shared" si="10"/>
        <v>36.6</v>
      </c>
      <c r="L68" s="70">
        <f t="shared" si="10"/>
        <v>41.1</v>
      </c>
      <c r="M68" s="70">
        <f t="shared" si="10"/>
        <v>45.3</v>
      </c>
      <c r="N68" s="70">
        <f t="shared" si="10"/>
        <v>71.3</v>
      </c>
      <c r="O68" s="70">
        <f t="shared" si="10"/>
        <v>79.599999999999994</v>
      </c>
      <c r="P68" s="70">
        <f t="shared" si="10"/>
        <v>5</v>
      </c>
      <c r="Q68" s="70">
        <f t="shared" si="10"/>
        <v>5</v>
      </c>
      <c r="R68" s="70">
        <f t="shared" si="10"/>
        <v>78.5</v>
      </c>
      <c r="S68" s="70">
        <f t="shared" si="10"/>
        <v>89</v>
      </c>
      <c r="T68" s="70">
        <f t="shared" si="10"/>
        <v>91</v>
      </c>
      <c r="U68" s="70">
        <f t="shared" si="10"/>
        <v>81</v>
      </c>
      <c r="V68" s="70">
        <f t="shared" si="10"/>
        <v>94</v>
      </c>
      <c r="W68" s="70">
        <f t="shared" si="10"/>
        <v>94</v>
      </c>
      <c r="X68" s="70">
        <f t="shared" si="10"/>
        <v>88</v>
      </c>
      <c r="Y68" s="70">
        <f t="shared" si="10"/>
        <v>90</v>
      </c>
      <c r="Z68" s="70">
        <f t="shared" si="10"/>
        <v>90</v>
      </c>
      <c r="AA68" s="70">
        <f t="shared" si="10"/>
        <v>88</v>
      </c>
      <c r="AB68" s="70">
        <f t="shared" si="10"/>
        <v>87.5</v>
      </c>
      <c r="AC68" s="70">
        <f t="shared" si="10"/>
        <v>93</v>
      </c>
      <c r="AD68" s="70">
        <f t="shared" si="10"/>
        <v>83</v>
      </c>
      <c r="AE68" s="70">
        <f t="shared" si="10"/>
        <v>102.5</v>
      </c>
      <c r="AF68" s="70">
        <f t="shared" si="10"/>
        <v>100.1</v>
      </c>
      <c r="AG68" s="74">
        <f>SUM(AG57:AG67)</f>
        <v>0</v>
      </c>
      <c r="AH68" s="55">
        <f t="shared" si="2"/>
        <v>102.5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1596.94</v>
      </c>
      <c r="C73" s="84">
        <f t="shared" ref="C73:AF73" si="11">C38+C52+C68+C72</f>
        <v>1569.94</v>
      </c>
      <c r="D73" s="84">
        <f t="shared" si="11"/>
        <v>1620.04</v>
      </c>
      <c r="E73" s="84">
        <f t="shared" si="11"/>
        <v>1606.4400000000003</v>
      </c>
      <c r="F73" s="84">
        <f t="shared" si="11"/>
        <v>3.54</v>
      </c>
      <c r="G73" s="84">
        <f t="shared" si="11"/>
        <v>1575.7400000000002</v>
      </c>
      <c r="H73" s="84">
        <f t="shared" si="11"/>
        <v>1520.8400000000001</v>
      </c>
      <c r="I73" s="84">
        <f t="shared" si="11"/>
        <v>1562.9400000000003</v>
      </c>
      <c r="J73" s="84">
        <f t="shared" si="11"/>
        <v>1578.54</v>
      </c>
      <c r="K73" s="84">
        <f t="shared" si="11"/>
        <v>1590.8400000000001</v>
      </c>
      <c r="L73" s="84">
        <f t="shared" si="11"/>
        <v>1619.3400000000001</v>
      </c>
      <c r="M73" s="84">
        <f t="shared" si="11"/>
        <v>1635.5400000000002</v>
      </c>
      <c r="N73" s="84">
        <f t="shared" si="11"/>
        <v>1666.5400000000002</v>
      </c>
      <c r="O73" s="84">
        <f t="shared" si="11"/>
        <v>1674.8400000000001</v>
      </c>
      <c r="P73" s="84">
        <f t="shared" si="11"/>
        <v>1590.2400000000002</v>
      </c>
      <c r="Q73" s="84">
        <f t="shared" si="11"/>
        <v>1620.2400000000002</v>
      </c>
      <c r="R73" s="84">
        <f t="shared" si="11"/>
        <v>1638.6400000000003</v>
      </c>
      <c r="S73" s="84">
        <f t="shared" si="11"/>
        <v>1647.44</v>
      </c>
      <c r="T73" s="84">
        <f t="shared" si="11"/>
        <v>1624.44</v>
      </c>
      <c r="U73" s="84">
        <f t="shared" si="11"/>
        <v>1621.14</v>
      </c>
      <c r="V73" s="84">
        <f t="shared" si="11"/>
        <v>1628.14</v>
      </c>
      <c r="W73" s="84">
        <f t="shared" si="11"/>
        <v>1624.14</v>
      </c>
      <c r="X73" s="84">
        <f t="shared" si="11"/>
        <v>1618.14</v>
      </c>
      <c r="Y73" s="84">
        <f t="shared" si="11"/>
        <v>1617.64</v>
      </c>
      <c r="Z73" s="84">
        <f t="shared" si="11"/>
        <v>1449.3400000000001</v>
      </c>
      <c r="AA73" s="84">
        <f t="shared" si="11"/>
        <v>1449.3400000000001</v>
      </c>
      <c r="AB73" s="84">
        <f t="shared" si="11"/>
        <v>1474.4399999999998</v>
      </c>
      <c r="AC73" s="84">
        <f t="shared" si="11"/>
        <v>1579.4399999999998</v>
      </c>
      <c r="AD73" s="84">
        <f t="shared" si="11"/>
        <v>1642.3399999999997</v>
      </c>
      <c r="AE73" s="84">
        <f t="shared" si="11"/>
        <v>1666.1399999999999</v>
      </c>
      <c r="AF73" s="84">
        <f t="shared" si="11"/>
        <v>1587.7399999999998</v>
      </c>
      <c r="AG73" s="84">
        <f t="shared" ref="AG73" si="12">AG68+AG56+AG52+AG38+AG72</f>
        <v>2144.14</v>
      </c>
      <c r="AH73" s="55">
        <f t="shared" si="2"/>
        <v>1674.8400000000001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>
        <v>60</v>
      </c>
      <c r="Q74" s="86"/>
      <c r="R74" s="86"/>
      <c r="S74" s="86"/>
      <c r="T74" s="86"/>
      <c r="U74" s="86"/>
      <c r="V74" s="86"/>
      <c r="W74" s="86"/>
      <c r="X74" s="86"/>
      <c r="Y74" s="86"/>
      <c r="Z74" s="86">
        <v>180</v>
      </c>
      <c r="AA74" s="86"/>
      <c r="AB74" s="86">
        <v>180</v>
      </c>
      <c r="AC74" s="86">
        <v>60</v>
      </c>
      <c r="AD74" s="86"/>
      <c r="AE74" s="86"/>
      <c r="AF74" s="86"/>
      <c r="AG74" s="74"/>
      <c r="AH74" s="55">
        <f t="shared" si="2"/>
        <v>180</v>
      </c>
      <c r="AI74" s="56">
        <f t="shared" si="3"/>
        <v>60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1596.94</v>
      </c>
      <c r="C75" s="84">
        <f t="shared" ref="C75:AF75" si="13">C73+C74</f>
        <v>1569.94</v>
      </c>
      <c r="D75" s="84">
        <f t="shared" si="13"/>
        <v>1620.04</v>
      </c>
      <c r="E75" s="84">
        <f t="shared" si="13"/>
        <v>1606.4400000000003</v>
      </c>
      <c r="F75" s="84">
        <f t="shared" si="13"/>
        <v>3.54</v>
      </c>
      <c r="G75" s="84">
        <f t="shared" si="13"/>
        <v>1575.7400000000002</v>
      </c>
      <c r="H75" s="84">
        <f t="shared" si="13"/>
        <v>1520.8400000000001</v>
      </c>
      <c r="I75" s="84">
        <f t="shared" si="13"/>
        <v>1562.9400000000003</v>
      </c>
      <c r="J75" s="84">
        <f t="shared" si="13"/>
        <v>1578.54</v>
      </c>
      <c r="K75" s="84">
        <f t="shared" si="13"/>
        <v>1590.8400000000001</v>
      </c>
      <c r="L75" s="84">
        <f t="shared" si="13"/>
        <v>1619.3400000000001</v>
      </c>
      <c r="M75" s="84">
        <f t="shared" si="13"/>
        <v>1635.5400000000002</v>
      </c>
      <c r="N75" s="84">
        <f t="shared" si="13"/>
        <v>1666.5400000000002</v>
      </c>
      <c r="O75" s="84">
        <f t="shared" si="13"/>
        <v>1674.8400000000001</v>
      </c>
      <c r="P75" s="84">
        <f t="shared" si="13"/>
        <v>1650.2400000000002</v>
      </c>
      <c r="Q75" s="84">
        <f t="shared" si="13"/>
        <v>1620.2400000000002</v>
      </c>
      <c r="R75" s="84">
        <f t="shared" si="13"/>
        <v>1638.6400000000003</v>
      </c>
      <c r="S75" s="84">
        <f t="shared" si="13"/>
        <v>1647.44</v>
      </c>
      <c r="T75" s="84">
        <f t="shared" si="13"/>
        <v>1624.44</v>
      </c>
      <c r="U75" s="84">
        <f t="shared" si="13"/>
        <v>1621.14</v>
      </c>
      <c r="V75" s="84">
        <f t="shared" si="13"/>
        <v>1628.14</v>
      </c>
      <c r="W75" s="84">
        <f t="shared" si="13"/>
        <v>1624.14</v>
      </c>
      <c r="X75" s="84">
        <f t="shared" si="13"/>
        <v>1618.14</v>
      </c>
      <c r="Y75" s="84">
        <f t="shared" si="13"/>
        <v>1617.64</v>
      </c>
      <c r="Z75" s="84">
        <f t="shared" si="13"/>
        <v>1629.3400000000001</v>
      </c>
      <c r="AA75" s="84">
        <f t="shared" si="13"/>
        <v>1449.3400000000001</v>
      </c>
      <c r="AB75" s="84">
        <f t="shared" si="13"/>
        <v>1654.4399999999998</v>
      </c>
      <c r="AC75" s="84">
        <f t="shared" si="13"/>
        <v>1639.4399999999998</v>
      </c>
      <c r="AD75" s="84">
        <f t="shared" si="13"/>
        <v>1642.3399999999997</v>
      </c>
      <c r="AE75" s="84">
        <f t="shared" si="13"/>
        <v>1666.1399999999999</v>
      </c>
      <c r="AF75" s="84">
        <f t="shared" si="13"/>
        <v>1587.7399999999998</v>
      </c>
      <c r="AG75" s="74">
        <f>AG72+AG68+AG56+AG52+AG38+AG74</f>
        <v>2144.14</v>
      </c>
      <c r="AH75" s="55">
        <f t="shared" si="2"/>
        <v>1674.8400000000001</v>
      </c>
      <c r="AI75" s="56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265</v>
      </c>
      <c r="C79" s="78">
        <f t="shared" ref="C79:AF79" si="19">IF(C59&lt;0,C59*-1,0)</f>
        <v>350</v>
      </c>
      <c r="D79" s="78">
        <f t="shared" si="19"/>
        <v>367</v>
      </c>
      <c r="E79" s="78">
        <f t="shared" si="19"/>
        <v>390</v>
      </c>
      <c r="F79" s="78">
        <f t="shared" si="19"/>
        <v>0</v>
      </c>
      <c r="G79" s="78">
        <f t="shared" si="19"/>
        <v>408</v>
      </c>
      <c r="H79" s="78">
        <f t="shared" si="19"/>
        <v>408</v>
      </c>
      <c r="I79" s="78">
        <f t="shared" si="19"/>
        <v>408</v>
      </c>
      <c r="J79" s="78">
        <f t="shared" si="19"/>
        <v>383</v>
      </c>
      <c r="K79" s="78">
        <f t="shared" si="19"/>
        <v>280</v>
      </c>
      <c r="L79" s="78">
        <f t="shared" si="19"/>
        <v>265</v>
      </c>
      <c r="M79" s="78">
        <f t="shared" si="19"/>
        <v>256</v>
      </c>
      <c r="N79" s="78">
        <f t="shared" si="19"/>
        <v>569.5</v>
      </c>
      <c r="O79" s="78">
        <f t="shared" si="19"/>
        <v>261.60000000000002</v>
      </c>
      <c r="P79" s="78">
        <f t="shared" si="19"/>
        <v>268.10000000000002</v>
      </c>
      <c r="Q79" s="78">
        <f t="shared" si="19"/>
        <v>252.5</v>
      </c>
      <c r="R79" s="78">
        <f t="shared" si="19"/>
        <v>206.9</v>
      </c>
      <c r="S79" s="78">
        <f t="shared" si="19"/>
        <v>214</v>
      </c>
      <c r="T79" s="78">
        <f t="shared" si="19"/>
        <v>197</v>
      </c>
      <c r="U79" s="78">
        <f t="shared" si="19"/>
        <v>254</v>
      </c>
      <c r="V79" s="78">
        <f t="shared" si="19"/>
        <v>283</v>
      </c>
      <c r="W79" s="78">
        <f t="shared" si="19"/>
        <v>280</v>
      </c>
      <c r="X79" s="78">
        <f t="shared" si="19"/>
        <v>265</v>
      </c>
      <c r="Y79" s="78">
        <f t="shared" si="19"/>
        <v>273</v>
      </c>
      <c r="Z79" s="78">
        <f t="shared" si="19"/>
        <v>159</v>
      </c>
      <c r="AA79" s="78">
        <f t="shared" si="19"/>
        <v>148</v>
      </c>
      <c r="AB79" s="78">
        <f t="shared" si="19"/>
        <v>176</v>
      </c>
      <c r="AC79" s="78">
        <f t="shared" si="19"/>
        <v>205.7</v>
      </c>
      <c r="AD79" s="78">
        <f t="shared" si="19"/>
        <v>203.8</v>
      </c>
      <c r="AE79" s="78">
        <f t="shared" si="19"/>
        <v>259.5</v>
      </c>
      <c r="AF79" s="78">
        <f t="shared" si="19"/>
        <v>280</v>
      </c>
      <c r="AG79" s="87"/>
      <c r="AH79" s="55">
        <f t="shared" si="15"/>
        <v>569.5</v>
      </c>
      <c r="AI79" s="56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265</v>
      </c>
      <c r="C82" s="70">
        <f t="shared" ref="C82:AG82" si="21">SUM(C76:C81)</f>
        <v>350</v>
      </c>
      <c r="D82" s="70">
        <f t="shared" si="21"/>
        <v>367</v>
      </c>
      <c r="E82" s="70">
        <f t="shared" si="21"/>
        <v>390</v>
      </c>
      <c r="F82" s="70">
        <f t="shared" si="21"/>
        <v>0</v>
      </c>
      <c r="G82" s="70">
        <f t="shared" si="21"/>
        <v>408</v>
      </c>
      <c r="H82" s="70">
        <f t="shared" si="21"/>
        <v>408</v>
      </c>
      <c r="I82" s="70">
        <f t="shared" si="21"/>
        <v>408</v>
      </c>
      <c r="J82" s="70">
        <f t="shared" si="21"/>
        <v>383</v>
      </c>
      <c r="K82" s="70">
        <f t="shared" si="21"/>
        <v>280</v>
      </c>
      <c r="L82" s="70">
        <f t="shared" si="21"/>
        <v>265</v>
      </c>
      <c r="M82" s="70">
        <f t="shared" si="21"/>
        <v>256</v>
      </c>
      <c r="N82" s="70">
        <f t="shared" si="21"/>
        <v>569.5</v>
      </c>
      <c r="O82" s="70">
        <f t="shared" si="21"/>
        <v>261.60000000000002</v>
      </c>
      <c r="P82" s="70">
        <f t="shared" si="21"/>
        <v>268.10000000000002</v>
      </c>
      <c r="Q82" s="70">
        <f t="shared" si="21"/>
        <v>252.5</v>
      </c>
      <c r="R82" s="70">
        <f t="shared" si="21"/>
        <v>206.9</v>
      </c>
      <c r="S82" s="70">
        <f t="shared" si="21"/>
        <v>214</v>
      </c>
      <c r="T82" s="70">
        <f t="shared" si="21"/>
        <v>197</v>
      </c>
      <c r="U82" s="70">
        <f t="shared" si="21"/>
        <v>254</v>
      </c>
      <c r="V82" s="70">
        <f t="shared" si="21"/>
        <v>283</v>
      </c>
      <c r="W82" s="70">
        <f t="shared" si="21"/>
        <v>280</v>
      </c>
      <c r="X82" s="70">
        <f t="shared" si="21"/>
        <v>265</v>
      </c>
      <c r="Y82" s="70">
        <f t="shared" si="21"/>
        <v>273</v>
      </c>
      <c r="Z82" s="70">
        <f t="shared" si="21"/>
        <v>159</v>
      </c>
      <c r="AA82" s="70">
        <f t="shared" si="21"/>
        <v>148</v>
      </c>
      <c r="AB82" s="70">
        <f t="shared" si="21"/>
        <v>176</v>
      </c>
      <c r="AC82" s="70">
        <f t="shared" si="21"/>
        <v>205.7</v>
      </c>
      <c r="AD82" s="70">
        <f t="shared" si="21"/>
        <v>203.8</v>
      </c>
      <c r="AE82" s="70">
        <f t="shared" si="21"/>
        <v>259.5</v>
      </c>
      <c r="AF82" s="70">
        <f t="shared" si="21"/>
        <v>280</v>
      </c>
      <c r="AG82" s="74">
        <f t="shared" si="21"/>
        <v>0</v>
      </c>
      <c r="AH82" s="55">
        <f t="shared" si="15"/>
        <v>569.5</v>
      </c>
      <c r="AI82" s="56">
        <f t="shared" si="16"/>
        <v>0</v>
      </c>
      <c r="AK82" s="57"/>
    </row>
    <row r="83" spans="1:88" s="1" customFormat="1" ht="15.75" thickBot="1" x14ac:dyDescent="0.3">
      <c r="A83" s="69" t="s">
        <v>88</v>
      </c>
      <c r="B83" s="70">
        <f>B68-B82</f>
        <v>-219</v>
      </c>
      <c r="C83" s="70">
        <f t="shared" ref="C83:AF83" si="22">C68-C82</f>
        <v>-305</v>
      </c>
      <c r="D83" s="70">
        <f t="shared" si="22"/>
        <v>-325</v>
      </c>
      <c r="E83" s="70">
        <f t="shared" si="22"/>
        <v>-351.1</v>
      </c>
      <c r="F83" s="70">
        <f t="shared" si="22"/>
        <v>0</v>
      </c>
      <c r="G83" s="70">
        <f t="shared" si="22"/>
        <v>-368.8</v>
      </c>
      <c r="H83" s="70">
        <f t="shared" si="22"/>
        <v>-374</v>
      </c>
      <c r="I83" s="70">
        <f t="shared" si="22"/>
        <v>-365</v>
      </c>
      <c r="J83" s="70">
        <f t="shared" si="22"/>
        <v>-341.9</v>
      </c>
      <c r="K83" s="70">
        <f t="shared" si="22"/>
        <v>-243.4</v>
      </c>
      <c r="L83" s="70">
        <f t="shared" si="22"/>
        <v>-223.9</v>
      </c>
      <c r="M83" s="70">
        <f t="shared" si="22"/>
        <v>-210.7</v>
      </c>
      <c r="N83" s="70">
        <f t="shared" si="22"/>
        <v>-498.2</v>
      </c>
      <c r="O83" s="70">
        <f t="shared" si="22"/>
        <v>-182.00000000000003</v>
      </c>
      <c r="P83" s="70">
        <f t="shared" si="22"/>
        <v>-263.10000000000002</v>
      </c>
      <c r="Q83" s="70">
        <f t="shared" si="22"/>
        <v>-247.5</v>
      </c>
      <c r="R83" s="70">
        <f t="shared" si="22"/>
        <v>-128.4</v>
      </c>
      <c r="S83" s="70">
        <f t="shared" si="22"/>
        <v>-125</v>
      </c>
      <c r="T83" s="70">
        <f t="shared" si="22"/>
        <v>-106</v>
      </c>
      <c r="U83" s="70">
        <f t="shared" si="22"/>
        <v>-173</v>
      </c>
      <c r="V83" s="70">
        <f t="shared" si="22"/>
        <v>-189</v>
      </c>
      <c r="W83" s="70">
        <f t="shared" si="22"/>
        <v>-186</v>
      </c>
      <c r="X83" s="70">
        <f t="shared" si="22"/>
        <v>-177</v>
      </c>
      <c r="Y83" s="70">
        <f t="shared" si="22"/>
        <v>-183</v>
      </c>
      <c r="Z83" s="70">
        <f t="shared" si="22"/>
        <v>-69</v>
      </c>
      <c r="AA83" s="70">
        <f t="shared" si="22"/>
        <v>-60</v>
      </c>
      <c r="AB83" s="70">
        <f t="shared" si="22"/>
        <v>-88.5</v>
      </c>
      <c r="AC83" s="70">
        <f t="shared" si="22"/>
        <v>-112.69999999999999</v>
      </c>
      <c r="AD83" s="70">
        <f t="shared" si="22"/>
        <v>-120.80000000000001</v>
      </c>
      <c r="AE83" s="70">
        <f t="shared" si="22"/>
        <v>-157</v>
      </c>
      <c r="AF83" s="70">
        <f t="shared" si="22"/>
        <v>-179.9</v>
      </c>
      <c r="AG83" s="74">
        <f t="shared" ref="AG83" si="23">SUM(AG70:AG82)</f>
        <v>4360.08</v>
      </c>
      <c r="AH83" s="55">
        <f t="shared" si="15"/>
        <v>0</v>
      </c>
      <c r="AI83" s="56">
        <f t="shared" si="16"/>
        <v>-498.2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49.99</v>
      </c>
      <c r="C84" s="90">
        <v>50.081000000000003</v>
      </c>
      <c r="D84" s="90">
        <v>50.048000000000002</v>
      </c>
      <c r="E84" s="90">
        <v>50.06</v>
      </c>
      <c r="F84" s="90"/>
      <c r="G84" s="90">
        <v>49.99</v>
      </c>
      <c r="H84" s="90">
        <v>49.98</v>
      </c>
      <c r="I84" s="90">
        <v>49.97</v>
      </c>
      <c r="J84" s="90">
        <v>49.93</v>
      </c>
      <c r="K84" s="90">
        <v>49.93</v>
      </c>
      <c r="L84" s="90">
        <v>49.93</v>
      </c>
      <c r="M84" s="90">
        <v>50.033999999999999</v>
      </c>
      <c r="N84" s="90">
        <v>50.040999999999997</v>
      </c>
      <c r="O84" s="90">
        <v>49.945999999999998</v>
      </c>
      <c r="P84" s="90">
        <v>50.005000000000003</v>
      </c>
      <c r="Q84" s="90">
        <v>49.924999999999997</v>
      </c>
      <c r="R84" s="90">
        <v>49.999000000000002</v>
      </c>
      <c r="S84" s="90">
        <v>50.051000000000002</v>
      </c>
      <c r="T84" s="90">
        <v>50.051000000000002</v>
      </c>
      <c r="U84" s="90">
        <v>49.996000000000002</v>
      </c>
      <c r="V84" s="90">
        <v>49.918999999999997</v>
      </c>
      <c r="W84" s="90">
        <v>49.918999999999997</v>
      </c>
      <c r="X84" s="90">
        <v>49.956000000000003</v>
      </c>
      <c r="Y84" s="90">
        <v>49.896000000000001</v>
      </c>
      <c r="Z84" s="90">
        <v>49.957000000000001</v>
      </c>
      <c r="AA84" s="90">
        <v>50.015999999999998</v>
      </c>
      <c r="AB84" s="90">
        <v>50.024000000000001</v>
      </c>
      <c r="AC84" s="90">
        <v>49.945999999999998</v>
      </c>
      <c r="AD84" s="90">
        <v>49.997999999999998</v>
      </c>
      <c r="AE84" s="90">
        <v>50.05</v>
      </c>
      <c r="AF84" s="90">
        <v>49.945999999999998</v>
      </c>
      <c r="AG84" s="91"/>
      <c r="AH84" s="55">
        <f t="shared" si="15"/>
        <v>50.081000000000003</v>
      </c>
      <c r="AI84" s="56">
        <f t="shared" si="16"/>
        <v>49.896000000000001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122</v>
      </c>
      <c r="C85" s="49">
        <v>122</v>
      </c>
      <c r="D85" s="49">
        <v>121.5</v>
      </c>
      <c r="E85" s="49">
        <v>124.2</v>
      </c>
      <c r="F85" s="49"/>
      <c r="G85" s="49">
        <v>124.2</v>
      </c>
      <c r="H85" s="49">
        <v>124.2</v>
      </c>
      <c r="I85" s="49">
        <v>124.5</v>
      </c>
      <c r="J85" s="49">
        <v>123.3</v>
      </c>
      <c r="K85" s="49">
        <v>123.3</v>
      </c>
      <c r="L85" s="49">
        <v>123.3</v>
      </c>
      <c r="M85" s="49">
        <v>119.2</v>
      </c>
      <c r="N85" s="49">
        <v>119.2</v>
      </c>
      <c r="O85" s="49">
        <v>119.2</v>
      </c>
      <c r="P85" s="49">
        <v>119.7</v>
      </c>
      <c r="Q85" s="49">
        <v>121.3</v>
      </c>
      <c r="R85" s="49">
        <v>122.5</v>
      </c>
      <c r="S85" s="49">
        <v>124</v>
      </c>
      <c r="T85" s="49">
        <v>124</v>
      </c>
      <c r="U85" s="49">
        <v>123</v>
      </c>
      <c r="V85" s="49">
        <v>124</v>
      </c>
      <c r="W85" s="49">
        <v>124</v>
      </c>
      <c r="X85" s="49">
        <v>124</v>
      </c>
      <c r="Y85" s="49">
        <v>124</v>
      </c>
      <c r="Z85" s="49">
        <v>124</v>
      </c>
      <c r="AA85" s="49">
        <v>125</v>
      </c>
      <c r="AB85" s="49">
        <v>126.1</v>
      </c>
      <c r="AC85" s="49">
        <v>124.9</v>
      </c>
      <c r="AD85" s="49">
        <v>125.3</v>
      </c>
      <c r="AE85" s="49">
        <v>126.1</v>
      </c>
      <c r="AF85" s="49">
        <v>125.3</v>
      </c>
      <c r="AG85" s="93"/>
      <c r="AH85" s="55">
        <f t="shared" si="15"/>
        <v>126.1</v>
      </c>
      <c r="AI85" s="56">
        <f t="shared" si="16"/>
        <v>119.2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127</v>
      </c>
      <c r="C86" s="49">
        <v>127</v>
      </c>
      <c r="D86" s="49">
        <v>126.5</v>
      </c>
      <c r="E86" s="49">
        <v>128.19999999999999</v>
      </c>
      <c r="F86" s="49"/>
      <c r="G86" s="49">
        <v>128</v>
      </c>
      <c r="H86" s="49">
        <v>128</v>
      </c>
      <c r="I86" s="49">
        <v>128.5</v>
      </c>
      <c r="J86" s="49">
        <v>127.4</v>
      </c>
      <c r="K86" s="49">
        <v>127.4</v>
      </c>
      <c r="L86" s="49">
        <v>127.4</v>
      </c>
      <c r="M86" s="49">
        <v>124.2</v>
      </c>
      <c r="N86" s="49">
        <v>124.2</v>
      </c>
      <c r="O86" s="49">
        <v>124.2</v>
      </c>
      <c r="P86" s="49">
        <v>124.4</v>
      </c>
      <c r="Q86" s="49">
        <v>125.3</v>
      </c>
      <c r="R86" s="49">
        <v>126.4</v>
      </c>
      <c r="S86" s="49">
        <v>126</v>
      </c>
      <c r="T86" s="49">
        <v>126</v>
      </c>
      <c r="U86" s="49">
        <v>126</v>
      </c>
      <c r="V86" s="49">
        <v>127</v>
      </c>
      <c r="W86" s="49">
        <v>127</v>
      </c>
      <c r="X86" s="49">
        <v>127</v>
      </c>
      <c r="Y86" s="49">
        <v>127</v>
      </c>
      <c r="Z86" s="49">
        <v>127</v>
      </c>
      <c r="AA86" s="49">
        <v>128</v>
      </c>
      <c r="AB86" s="49">
        <v>129.30000000000001</v>
      </c>
      <c r="AC86" s="49">
        <v>129.19999999999999</v>
      </c>
      <c r="AD86" s="49">
        <v>129.5</v>
      </c>
      <c r="AE86" s="49">
        <v>129.30000000000001</v>
      </c>
      <c r="AF86" s="49">
        <v>129.80000000000001</v>
      </c>
      <c r="AG86" s="93"/>
      <c r="AH86" s="55">
        <f t="shared" si="15"/>
        <v>129.80000000000001</v>
      </c>
      <c r="AI86" s="56">
        <f t="shared" si="16"/>
        <v>124.2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128</v>
      </c>
      <c r="C87" s="49">
        <v>128</v>
      </c>
      <c r="D87" s="49">
        <v>125.8</v>
      </c>
      <c r="E87" s="49">
        <v>128.19999999999999</v>
      </c>
      <c r="F87" s="49"/>
      <c r="G87" s="49">
        <v>126.9</v>
      </c>
      <c r="H87" s="49">
        <v>126.9</v>
      </c>
      <c r="I87" s="49">
        <v>127.7</v>
      </c>
      <c r="J87" s="49">
        <v>127.8</v>
      </c>
      <c r="K87" s="49">
        <v>127.8</v>
      </c>
      <c r="L87" s="49">
        <v>127.8</v>
      </c>
      <c r="M87" s="49">
        <v>126.5</v>
      </c>
      <c r="N87" s="49">
        <v>126.5</v>
      </c>
      <c r="O87" s="49">
        <v>126.5</v>
      </c>
      <c r="P87" s="49">
        <v>122.4</v>
      </c>
      <c r="Q87" s="49">
        <v>126</v>
      </c>
      <c r="R87" s="49">
        <v>126.4</v>
      </c>
      <c r="S87" s="49">
        <v>126.4</v>
      </c>
      <c r="T87" s="49">
        <v>126.4</v>
      </c>
      <c r="U87" s="49">
        <v>128</v>
      </c>
      <c r="V87" s="49">
        <v>128</v>
      </c>
      <c r="W87" s="49">
        <v>128</v>
      </c>
      <c r="X87" s="49">
        <v>128</v>
      </c>
      <c r="Y87" s="49">
        <v>128</v>
      </c>
      <c r="Z87" s="49">
        <v>128</v>
      </c>
      <c r="AA87" s="49">
        <v>127</v>
      </c>
      <c r="AB87" s="49">
        <v>126.7</v>
      </c>
      <c r="AC87" s="49">
        <v>124.9</v>
      </c>
      <c r="AD87" s="49">
        <v>126.6</v>
      </c>
      <c r="AE87" s="49">
        <v>126.7</v>
      </c>
      <c r="AF87" s="49">
        <v>127.5</v>
      </c>
      <c r="AG87" s="93"/>
      <c r="AH87" s="55">
        <f t="shared" si="15"/>
        <v>128.19999999999999</v>
      </c>
      <c r="AI87" s="56">
        <f t="shared" si="16"/>
        <v>122.4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132</v>
      </c>
      <c r="C88" s="49">
        <v>132</v>
      </c>
      <c r="D88" s="49">
        <v>130</v>
      </c>
      <c r="E88" s="49">
        <v>132.5</v>
      </c>
      <c r="F88" s="49"/>
      <c r="G88" s="49">
        <v>131.69999999999999</v>
      </c>
      <c r="H88" s="49">
        <v>131.69999999999999</v>
      </c>
      <c r="I88" s="49">
        <v>131.69999999999999</v>
      </c>
      <c r="J88" s="49">
        <v>130.69999999999999</v>
      </c>
      <c r="K88" s="49">
        <v>130.69999999999999</v>
      </c>
      <c r="L88" s="49">
        <v>130.69999999999999</v>
      </c>
      <c r="M88" s="49">
        <v>128.30000000000001</v>
      </c>
      <c r="N88" s="49">
        <v>128.30000000000001</v>
      </c>
      <c r="O88" s="49">
        <v>128.30000000000001</v>
      </c>
      <c r="P88" s="49">
        <v>125.2</v>
      </c>
      <c r="Q88" s="49">
        <v>129.80000000000001</v>
      </c>
      <c r="R88" s="49">
        <v>129.5</v>
      </c>
      <c r="S88" s="49">
        <v>129.5</v>
      </c>
      <c r="T88" s="49">
        <v>129.5</v>
      </c>
      <c r="U88" s="49">
        <v>129</v>
      </c>
      <c r="V88" s="49">
        <v>129</v>
      </c>
      <c r="W88" s="49">
        <v>129</v>
      </c>
      <c r="X88" s="49">
        <v>129</v>
      </c>
      <c r="Y88" s="49">
        <v>129</v>
      </c>
      <c r="Z88" s="49">
        <v>129</v>
      </c>
      <c r="AA88" s="49">
        <v>130</v>
      </c>
      <c r="AB88" s="49">
        <v>130.9</v>
      </c>
      <c r="AC88" s="49">
        <v>128.69999999999999</v>
      </c>
      <c r="AD88" s="49">
        <v>130.30000000000001</v>
      </c>
      <c r="AE88" s="49">
        <v>130.9</v>
      </c>
      <c r="AF88" s="49">
        <v>132.6</v>
      </c>
      <c r="AG88" s="93"/>
      <c r="AH88" s="55">
        <f t="shared" si="15"/>
        <v>132.6</v>
      </c>
      <c r="AI88" s="56">
        <f t="shared" si="16"/>
        <v>125.2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133</v>
      </c>
      <c r="C89" s="95">
        <v>133</v>
      </c>
      <c r="D89" s="95">
        <v>132</v>
      </c>
      <c r="E89" s="95">
        <v>128.9</v>
      </c>
      <c r="F89" s="95"/>
      <c r="G89" s="95">
        <v>133.5</v>
      </c>
      <c r="H89" s="95">
        <v>133.5</v>
      </c>
      <c r="I89" s="95">
        <v>132.6</v>
      </c>
      <c r="J89" s="95">
        <v>130</v>
      </c>
      <c r="K89" s="95">
        <v>130</v>
      </c>
      <c r="L89" s="95">
        <v>130</v>
      </c>
      <c r="M89" s="95">
        <v>130.1</v>
      </c>
      <c r="N89" s="95">
        <v>130.1</v>
      </c>
      <c r="O89" s="95">
        <v>130.1</v>
      </c>
      <c r="P89" s="95">
        <v>128</v>
      </c>
      <c r="Q89" s="95">
        <v>134.19999999999999</v>
      </c>
      <c r="R89" s="95">
        <v>131.5</v>
      </c>
      <c r="S89" s="95">
        <v>131.5</v>
      </c>
      <c r="T89" s="95">
        <v>131.5</v>
      </c>
      <c r="U89" s="95">
        <v>130</v>
      </c>
      <c r="V89" s="95">
        <v>130</v>
      </c>
      <c r="W89" s="95">
        <v>130</v>
      </c>
      <c r="X89" s="95">
        <v>130</v>
      </c>
      <c r="Y89" s="95">
        <v>130</v>
      </c>
      <c r="Z89" s="95">
        <v>130</v>
      </c>
      <c r="AA89" s="95">
        <v>135</v>
      </c>
      <c r="AB89" s="95">
        <v>136.1</v>
      </c>
      <c r="AC89" s="95">
        <v>132.1</v>
      </c>
      <c r="AD89" s="95">
        <v>131.9</v>
      </c>
      <c r="AE89" s="95">
        <v>136.1</v>
      </c>
      <c r="AF89" s="95">
        <v>132.19999999999999</v>
      </c>
      <c r="AG89" s="96"/>
      <c r="AH89" s="55">
        <f t="shared" si="15"/>
        <v>136.1</v>
      </c>
      <c r="AI89" s="56">
        <f t="shared" si="16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131</v>
      </c>
      <c r="C90" s="49">
        <v>131</v>
      </c>
      <c r="D90" s="49">
        <v>123.8</v>
      </c>
      <c r="E90" s="49">
        <v>121.7</v>
      </c>
      <c r="F90" s="49"/>
      <c r="G90" s="49">
        <v>132</v>
      </c>
      <c r="H90" s="49">
        <v>132</v>
      </c>
      <c r="I90" s="49">
        <v>132.4</v>
      </c>
      <c r="J90" s="49">
        <v>126</v>
      </c>
      <c r="K90" s="49">
        <v>126</v>
      </c>
      <c r="L90" s="49">
        <v>126</v>
      </c>
      <c r="M90" s="49">
        <v>127.8</v>
      </c>
      <c r="N90" s="49">
        <v>127.8</v>
      </c>
      <c r="O90" s="49">
        <v>127.8</v>
      </c>
      <c r="P90" s="49">
        <v>124.1</v>
      </c>
      <c r="Q90" s="49">
        <v>119.4</v>
      </c>
      <c r="R90" s="49">
        <v>126.9</v>
      </c>
      <c r="S90" s="49">
        <v>126.9</v>
      </c>
      <c r="T90" s="49">
        <v>126.9</v>
      </c>
      <c r="U90" s="49">
        <v>132</v>
      </c>
      <c r="V90" s="49">
        <v>132</v>
      </c>
      <c r="W90" s="49">
        <v>132</v>
      </c>
      <c r="X90" s="49">
        <v>132</v>
      </c>
      <c r="Y90" s="49">
        <v>132</v>
      </c>
      <c r="Z90" s="49">
        <v>132</v>
      </c>
      <c r="AA90" s="49">
        <v>126</v>
      </c>
      <c r="AB90" s="49">
        <v>130</v>
      </c>
      <c r="AC90" s="49">
        <v>128.19999999999999</v>
      </c>
      <c r="AD90" s="49">
        <v>130.9</v>
      </c>
      <c r="AE90" s="49">
        <v>130</v>
      </c>
      <c r="AF90" s="49">
        <v>125.5</v>
      </c>
      <c r="AG90" s="93"/>
      <c r="AH90" s="55">
        <f t="shared" si="15"/>
        <v>132.4</v>
      </c>
      <c r="AI90" s="56">
        <f t="shared" si="16"/>
        <v>119.4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64.599999999999994</v>
      </c>
      <c r="C91" s="97">
        <v>64.599999999999994</v>
      </c>
      <c r="D91" s="97">
        <v>64</v>
      </c>
      <c r="E91" s="97">
        <v>65.099999999999994</v>
      </c>
      <c r="F91" s="97"/>
      <c r="G91" s="97">
        <v>64.900000000000006</v>
      </c>
      <c r="H91" s="97">
        <v>64.900000000000006</v>
      </c>
      <c r="I91" s="97">
        <v>65.099999999999994</v>
      </c>
      <c r="J91" s="97">
        <v>64.400000000000006</v>
      </c>
      <c r="K91" s="97">
        <v>64.400000000000006</v>
      </c>
      <c r="L91" s="97">
        <v>64.400000000000006</v>
      </c>
      <c r="M91" s="97">
        <v>62.6</v>
      </c>
      <c r="N91" s="97">
        <v>62.6</v>
      </c>
      <c r="O91" s="97">
        <v>62.6</v>
      </c>
      <c r="P91" s="97">
        <v>62.7</v>
      </c>
      <c r="Q91" s="97">
        <v>62.9</v>
      </c>
      <c r="R91" s="97">
        <v>63.4</v>
      </c>
      <c r="S91" s="97">
        <v>63.4</v>
      </c>
      <c r="T91" s="97">
        <v>63.4</v>
      </c>
      <c r="U91" s="97">
        <v>63.6</v>
      </c>
      <c r="V91" s="97">
        <v>64.3</v>
      </c>
      <c r="W91" s="97">
        <v>64.3</v>
      </c>
      <c r="X91" s="97">
        <v>65</v>
      </c>
      <c r="Y91" s="97">
        <v>65</v>
      </c>
      <c r="Z91" s="97">
        <v>65</v>
      </c>
      <c r="AA91" s="97">
        <v>64.400000000000006</v>
      </c>
      <c r="AB91" s="97">
        <v>65.099999999999994</v>
      </c>
      <c r="AC91" s="97">
        <v>65.2</v>
      </c>
      <c r="AD91" s="97">
        <v>65.3</v>
      </c>
      <c r="AE91" s="97">
        <v>65.099999999999994</v>
      </c>
      <c r="AF91" s="97">
        <v>65.8</v>
      </c>
      <c r="AG91" s="98"/>
      <c r="AH91" s="55">
        <f t="shared" si="15"/>
        <v>65.8</v>
      </c>
      <c r="AI91" s="56">
        <f t="shared" si="16"/>
        <v>62.6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SUM(B15,B18,B21:B22,B42,B44:B45,B47,B49,B94:B97,B103,B109,B115,B124,B126,B138,B145,B148:B149,B156,B158,B160,B164:B166,B168:B170,B175,B181:B182,B184:B186,B194,B199)</f>
        <v>170.64</v>
      </c>
      <c r="C93" s="103">
        <f t="shared" si="24"/>
        <v>157.34</v>
      </c>
      <c r="D93" s="103">
        <f t="shared" si="24"/>
        <v>154.13999999999999</v>
      </c>
      <c r="E93" s="103">
        <f t="shared" si="24"/>
        <v>139.47999999999996</v>
      </c>
      <c r="F93" s="103">
        <f t="shared" si="24"/>
        <v>34.840000000000003</v>
      </c>
      <c r="G93" s="103">
        <f t="shared" si="24"/>
        <v>190.94</v>
      </c>
      <c r="H93" s="103">
        <f t="shared" si="24"/>
        <v>199.93999999999997</v>
      </c>
      <c r="I93" s="103">
        <f t="shared" si="24"/>
        <v>212.03999999999996</v>
      </c>
      <c r="J93" s="103">
        <f t="shared" si="24"/>
        <v>235.64</v>
      </c>
      <c r="K93" s="103">
        <f t="shared" si="24"/>
        <v>236.64</v>
      </c>
      <c r="L93" s="103">
        <f t="shared" si="24"/>
        <v>279.64</v>
      </c>
      <c r="M93" s="103">
        <f t="shared" si="24"/>
        <v>291.94000000000005</v>
      </c>
      <c r="N93" s="103">
        <f t="shared" si="24"/>
        <v>282.54000000000002</v>
      </c>
      <c r="O93" s="103">
        <f t="shared" si="24"/>
        <v>285.74</v>
      </c>
      <c r="P93" s="103">
        <f t="shared" si="24"/>
        <v>279.54000000000002</v>
      </c>
      <c r="Q93" s="103">
        <f t="shared" si="24"/>
        <v>291.44</v>
      </c>
      <c r="R93" s="103">
        <f t="shared" si="24"/>
        <v>284.74</v>
      </c>
      <c r="S93" s="103">
        <f t="shared" si="24"/>
        <v>275.94</v>
      </c>
      <c r="T93" s="103">
        <f t="shared" si="24"/>
        <v>298.94000000000005</v>
      </c>
      <c r="U93" s="103">
        <f t="shared" si="24"/>
        <v>268.64</v>
      </c>
      <c r="V93" s="103">
        <f t="shared" si="24"/>
        <v>265.64</v>
      </c>
      <c r="W93" s="103">
        <f>SUM(W15,W18,W21:W22,W42,W44:W45,W47,W49,W94:W97,W103,W109,W115,W124,W126,W138,W145,W148:W149,W156,W158,W160,W164:W166,W168:W170,W175,W181:W182,W184:W186,W194,W199)</f>
        <v>264.64</v>
      </c>
      <c r="X93" s="103">
        <f>SUM(X15,X18,X21:X22,X42,X44:X45,X47,X49,X94:X97,X103,X109,X115,X124,X126,X138,X145,X148:X149,X156,X158,X160,X164:X166,X168:X170,X175,X181:X182,X184:X186,X194,X199)</f>
        <v>264.64</v>
      </c>
      <c r="Y93" s="103">
        <f t="shared" si="24"/>
        <v>265.64</v>
      </c>
      <c r="Z93" s="103">
        <f t="shared" si="24"/>
        <v>324.64</v>
      </c>
      <c r="AA93" s="103">
        <f t="shared" si="24"/>
        <v>332.64</v>
      </c>
      <c r="AB93" s="103">
        <f t="shared" si="24"/>
        <v>301.03999999999996</v>
      </c>
      <c r="AC93" s="103">
        <f t="shared" si="24"/>
        <v>297.83999999999997</v>
      </c>
      <c r="AD93" s="103">
        <f t="shared" si="24"/>
        <v>266.83999999999997</v>
      </c>
      <c r="AE93" s="103">
        <f t="shared" si="24"/>
        <v>236.53999999999994</v>
      </c>
      <c r="AF93" s="103">
        <f t="shared" si="24"/>
        <v>142.93999999999994</v>
      </c>
      <c r="AG93" s="104"/>
      <c r="AH93" s="55">
        <f>MAX(C93:AF93)</f>
        <v>332.64</v>
      </c>
      <c r="AI93" s="56">
        <f>MIN(C93:AF93)</f>
        <v>34.840000000000003</v>
      </c>
    </row>
    <row r="94" spans="1:88" x14ac:dyDescent="0.25">
      <c r="A94" s="105" t="s">
        <v>98</v>
      </c>
      <c r="B94" s="106">
        <v>51.6</v>
      </c>
      <c r="C94" s="106">
        <v>65.400000000000006</v>
      </c>
      <c r="D94" s="106">
        <v>57</v>
      </c>
      <c r="E94" s="106">
        <v>50.4</v>
      </c>
      <c r="F94" s="106"/>
      <c r="G94" s="106">
        <v>46.2</v>
      </c>
      <c r="H94" s="106">
        <v>32.6</v>
      </c>
      <c r="I94" s="106">
        <v>30.1</v>
      </c>
      <c r="J94" s="106">
        <v>34.299999999999997</v>
      </c>
      <c r="K94" s="106">
        <v>35.299999999999997</v>
      </c>
      <c r="L94" s="106">
        <v>37.4</v>
      </c>
      <c r="M94" s="106">
        <v>52.2</v>
      </c>
      <c r="N94" s="106">
        <v>51.9</v>
      </c>
      <c r="O94" s="106">
        <v>41.8</v>
      </c>
      <c r="P94" s="106">
        <v>46.3</v>
      </c>
      <c r="Q94" s="106">
        <v>40.1</v>
      </c>
      <c r="R94" s="106">
        <v>32.700000000000003</v>
      </c>
      <c r="S94" s="106">
        <v>31</v>
      </c>
      <c r="T94" s="106">
        <v>34</v>
      </c>
      <c r="U94" s="106">
        <v>35</v>
      </c>
      <c r="V94" s="106">
        <v>38</v>
      </c>
      <c r="W94" s="106">
        <v>43</v>
      </c>
      <c r="X94" s="106">
        <v>37</v>
      </c>
      <c r="Y94" s="106">
        <v>45</v>
      </c>
      <c r="Z94" s="106">
        <v>31</v>
      </c>
      <c r="AA94" s="106">
        <v>29</v>
      </c>
      <c r="AB94" s="106">
        <v>33</v>
      </c>
      <c r="AC94" s="106">
        <v>48.6</v>
      </c>
      <c r="AD94" s="106">
        <v>34.1</v>
      </c>
      <c r="AE94" s="106">
        <v>48.6</v>
      </c>
      <c r="AF94" s="106">
        <v>40</v>
      </c>
      <c r="AG94" s="107">
        <v>75</v>
      </c>
      <c r="AH94" s="55">
        <f t="shared" ref="AH94:AH100" si="25">IF(ABS(MAX(C94:AF94))&gt;ABS(MIN(C94:AF94)),MAX(C94:AF94),MIN(C94:AF94))</f>
        <v>65.400000000000006</v>
      </c>
      <c r="AI94" s="108">
        <f t="shared" ref="AI94:AI100" si="26">INDEX($C$9:$AF$9,1,MATCH(AH94,C94:AF94,0))</f>
        <v>4.1666666666666664E-2</v>
      </c>
    </row>
    <row r="95" spans="1:88" x14ac:dyDescent="0.25">
      <c r="A95" s="109" t="s">
        <v>99</v>
      </c>
      <c r="B95" s="110">
        <v>-110</v>
      </c>
      <c r="C95" s="110">
        <v>-100</v>
      </c>
      <c r="D95" s="110">
        <v>-93</v>
      </c>
      <c r="E95" s="110">
        <f>-47.36-53.6</f>
        <v>-100.96000000000001</v>
      </c>
      <c r="F95" s="110"/>
      <c r="G95" s="110">
        <f>-40.2-46</f>
        <v>-86.2</v>
      </c>
      <c r="H95" s="110">
        <f>-34-39.2</f>
        <v>-73.2</v>
      </c>
      <c r="I95" s="110">
        <f>-32.8-38</f>
        <v>-70.8</v>
      </c>
      <c r="J95" s="110">
        <f>-31.7-36</f>
        <v>-67.7</v>
      </c>
      <c r="K95" s="110">
        <f t="shared" ref="K95" si="27">-31.7-36</f>
        <v>-67.7</v>
      </c>
      <c r="L95" s="110">
        <f>-26.7-33.1</f>
        <v>-59.8</v>
      </c>
      <c r="M95" s="110">
        <v>-61</v>
      </c>
      <c r="N95" s="110">
        <v>-69</v>
      </c>
      <c r="O95" s="110">
        <v>-70</v>
      </c>
      <c r="P95" s="110">
        <v>-77.099999999999994</v>
      </c>
      <c r="Q95" s="110">
        <v>-69</v>
      </c>
      <c r="R95" s="110">
        <v>-66</v>
      </c>
      <c r="S95" s="110">
        <v>-60</v>
      </c>
      <c r="T95" s="110">
        <v>-63</v>
      </c>
      <c r="U95" s="110">
        <v>-68</v>
      </c>
      <c r="V95" s="110">
        <f>-27-38</f>
        <v>-65</v>
      </c>
      <c r="W95" s="110">
        <v>-64</v>
      </c>
      <c r="X95" s="110">
        <v>-68</v>
      </c>
      <c r="Y95" s="110">
        <v>-69</v>
      </c>
      <c r="Z95" s="110">
        <v>-47</v>
      </c>
      <c r="AA95" s="110">
        <v>-35</v>
      </c>
      <c r="AB95" s="110">
        <f>-18.6-30.9</f>
        <v>-49.5</v>
      </c>
      <c r="AC95" s="110">
        <f>-21.9-34.6</f>
        <v>-56.5</v>
      </c>
      <c r="AD95" s="110">
        <f>-26.4-39.1</f>
        <v>-65.5</v>
      </c>
      <c r="AE95" s="110">
        <v>-56.5</v>
      </c>
      <c r="AF95" s="110">
        <f>-56.6-49.5</f>
        <v>-106.1</v>
      </c>
      <c r="AG95" s="107">
        <v>240</v>
      </c>
      <c r="AH95" s="55">
        <f t="shared" si="25"/>
        <v>-106.1</v>
      </c>
      <c r="AI95" s="108">
        <f t="shared" si="26"/>
        <v>0.95833333333333304</v>
      </c>
    </row>
    <row r="96" spans="1:88" x14ac:dyDescent="0.25">
      <c r="A96" s="109" t="s">
        <v>100</v>
      </c>
      <c r="B96" s="110">
        <v>-0.9</v>
      </c>
      <c r="C96" s="110">
        <v>4.7</v>
      </c>
      <c r="D96" s="110">
        <v>2.9</v>
      </c>
      <c r="E96" s="110">
        <v>2.6</v>
      </c>
      <c r="F96" s="110"/>
      <c r="G96" s="110">
        <v>10.4</v>
      </c>
      <c r="H96" s="110">
        <v>11.3</v>
      </c>
      <c r="I96" s="110">
        <v>14.3</v>
      </c>
      <c r="J96" s="110">
        <v>16</v>
      </c>
      <c r="K96" s="110">
        <v>16</v>
      </c>
      <c r="L96" s="110">
        <v>28</v>
      </c>
      <c r="M96" s="110">
        <v>22.8</v>
      </c>
      <c r="N96" s="110">
        <v>23</v>
      </c>
      <c r="O96" s="110">
        <v>35.4</v>
      </c>
      <c r="P96" s="110">
        <v>52.4</v>
      </c>
      <c r="Q96" s="110">
        <v>52.8</v>
      </c>
      <c r="R96" s="110">
        <v>54.8</v>
      </c>
      <c r="S96" s="110">
        <v>34</v>
      </c>
      <c r="T96" s="110">
        <v>54</v>
      </c>
      <c r="U96" s="110">
        <v>45</v>
      </c>
      <c r="V96" s="110">
        <v>36</v>
      </c>
      <c r="W96" s="110">
        <v>29</v>
      </c>
      <c r="X96" s="110">
        <v>28</v>
      </c>
      <c r="Y96" s="110">
        <v>29</v>
      </c>
      <c r="Z96" s="110">
        <v>44</v>
      </c>
      <c r="AA96" s="110">
        <v>50</v>
      </c>
      <c r="AB96" s="110">
        <v>46.5</v>
      </c>
      <c r="AC96" s="110">
        <v>44.5</v>
      </c>
      <c r="AD96" s="110">
        <v>42.1</v>
      </c>
      <c r="AE96" s="110">
        <v>44.5</v>
      </c>
      <c r="AF96" s="110">
        <v>9.1</v>
      </c>
      <c r="AG96" s="107">
        <v>60</v>
      </c>
      <c r="AH96" s="55">
        <f t="shared" si="25"/>
        <v>54.8</v>
      </c>
      <c r="AI96" s="108">
        <f t="shared" si="26"/>
        <v>0.54166666666666696</v>
      </c>
    </row>
    <row r="97" spans="1:37" x14ac:dyDescent="0.25">
      <c r="A97" s="111" t="s">
        <v>101</v>
      </c>
      <c r="B97" s="112">
        <v>42.7</v>
      </c>
      <c r="C97" s="112">
        <v>0</v>
      </c>
      <c r="D97" s="112">
        <v>0</v>
      </c>
      <c r="E97" s="112">
        <v>0</v>
      </c>
      <c r="F97" s="112"/>
      <c r="G97" s="112">
        <v>33.299999999999997</v>
      </c>
      <c r="H97" s="112">
        <v>42</v>
      </c>
      <c r="I97" s="112">
        <v>51.2</v>
      </c>
      <c r="J97" s="112">
        <v>65.3</v>
      </c>
      <c r="K97" s="112">
        <v>65.3</v>
      </c>
      <c r="L97" s="112">
        <v>86.3</v>
      </c>
      <c r="M97" s="112">
        <v>73.8</v>
      </c>
      <c r="N97" s="112">
        <v>72.099999999999994</v>
      </c>
      <c r="O97" s="112">
        <v>74</v>
      </c>
      <c r="P97" s="112">
        <v>53.4</v>
      </c>
      <c r="Q97" s="112">
        <v>63</v>
      </c>
      <c r="R97" s="112">
        <v>70.2</v>
      </c>
      <c r="S97" s="112">
        <v>77</v>
      </c>
      <c r="T97" s="112">
        <v>80</v>
      </c>
      <c r="U97" s="112">
        <v>53</v>
      </c>
      <c r="V97" s="112">
        <v>53</v>
      </c>
      <c r="W97" s="112">
        <v>53</v>
      </c>
      <c r="X97" s="112">
        <v>64</v>
      </c>
      <c r="Y97" s="112">
        <v>57</v>
      </c>
      <c r="Z97" s="112">
        <v>93</v>
      </c>
      <c r="AA97" s="112">
        <v>85</v>
      </c>
      <c r="AB97" s="112">
        <v>71.099999999999994</v>
      </c>
      <c r="AC97" s="112">
        <v>61.8</v>
      </c>
      <c r="AD97" s="112">
        <v>56.7</v>
      </c>
      <c r="AE97" s="112">
        <v>0</v>
      </c>
      <c r="AF97" s="112">
        <v>0</v>
      </c>
      <c r="AG97" s="113">
        <v>120</v>
      </c>
      <c r="AH97" s="55">
        <f t="shared" si="25"/>
        <v>93</v>
      </c>
      <c r="AI97" s="108">
        <f t="shared" si="26"/>
        <v>0.79166666666666663</v>
      </c>
    </row>
    <row r="98" spans="1:37" x14ac:dyDescent="0.25">
      <c r="A98" s="111" t="s">
        <v>102</v>
      </c>
      <c r="B98" s="112">
        <v>38</v>
      </c>
      <c r="C98" s="112">
        <v>35.299999999999997</v>
      </c>
      <c r="D98" s="112">
        <v>44.2</v>
      </c>
      <c r="E98" s="112">
        <v>15.4</v>
      </c>
      <c r="F98" s="112"/>
      <c r="G98" s="112">
        <v>13.5</v>
      </c>
      <c r="H98" s="112">
        <v>16.399999999999999</v>
      </c>
      <c r="I98" s="112">
        <v>22.4</v>
      </c>
      <c r="J98" s="112">
        <v>38.299999999999997</v>
      </c>
      <c r="K98" s="112">
        <v>38.299999999999997</v>
      </c>
      <c r="L98" s="112">
        <v>53.9</v>
      </c>
      <c r="M98" s="112">
        <v>47.1</v>
      </c>
      <c r="N98" s="112">
        <v>52.2</v>
      </c>
      <c r="O98" s="112">
        <v>54.6</v>
      </c>
      <c r="P98" s="112">
        <v>44</v>
      </c>
      <c r="Q98" s="112">
        <v>56.7</v>
      </c>
      <c r="R98" s="112">
        <v>58.2</v>
      </c>
      <c r="S98" s="112">
        <v>69</v>
      </c>
      <c r="T98" s="112">
        <v>71</v>
      </c>
      <c r="U98" s="112">
        <v>43</v>
      </c>
      <c r="V98" s="112">
        <v>41</v>
      </c>
      <c r="W98" s="112">
        <v>42</v>
      </c>
      <c r="X98" s="112">
        <v>54</v>
      </c>
      <c r="Y98" s="112">
        <v>45</v>
      </c>
      <c r="Z98" s="112">
        <v>75</v>
      </c>
      <c r="AA98" s="112">
        <v>64</v>
      </c>
      <c r="AB98" s="112">
        <v>58</v>
      </c>
      <c r="AC98" s="112">
        <v>45.6</v>
      </c>
      <c r="AD98" s="112">
        <v>45.8</v>
      </c>
      <c r="AE98" s="112">
        <v>45.6</v>
      </c>
      <c r="AF98" s="112">
        <v>29.8</v>
      </c>
      <c r="AG98" s="113"/>
      <c r="AH98" s="55">
        <f t="shared" si="25"/>
        <v>75</v>
      </c>
      <c r="AI98" s="108">
        <f t="shared" si="26"/>
        <v>0.79166666666666663</v>
      </c>
    </row>
    <row r="99" spans="1:37" x14ac:dyDescent="0.25">
      <c r="A99" s="111" t="s">
        <v>103</v>
      </c>
      <c r="B99" s="112">
        <v>-4.4000000000000004</v>
      </c>
      <c r="C99" s="112">
        <v>-37.5</v>
      </c>
      <c r="D99" s="112">
        <v>0</v>
      </c>
      <c r="E99" s="112">
        <v>17.899999999999999</v>
      </c>
      <c r="F99" s="112"/>
      <c r="G99" s="112">
        <v>-18.600000000000001</v>
      </c>
      <c r="H99" s="112">
        <v>60.6</v>
      </c>
      <c r="I99" s="112">
        <v>62</v>
      </c>
      <c r="J99" s="112">
        <v>67.8</v>
      </c>
      <c r="K99" s="112">
        <v>67.8</v>
      </c>
      <c r="L99" s="112">
        <v>67.3</v>
      </c>
      <c r="M99" s="112">
        <v>9.4</v>
      </c>
      <c r="N99" s="112">
        <v>14.5</v>
      </c>
      <c r="O99" s="112">
        <v>56.9</v>
      </c>
      <c r="P99" s="112">
        <v>50.4</v>
      </c>
      <c r="Q99" s="112">
        <v>53.4</v>
      </c>
      <c r="R99" s="112">
        <v>74</v>
      </c>
      <c r="S99" s="112">
        <v>57</v>
      </c>
      <c r="T99" s="112">
        <v>80</v>
      </c>
      <c r="U99" s="112">
        <v>78</v>
      </c>
      <c r="V99" s="112">
        <v>75</v>
      </c>
      <c r="W99" s="112">
        <v>73</v>
      </c>
      <c r="X99" s="112">
        <v>74</v>
      </c>
      <c r="Y99" s="112">
        <v>68</v>
      </c>
      <c r="Z99" s="112">
        <v>80</v>
      </c>
      <c r="AA99" s="112">
        <v>80</v>
      </c>
      <c r="AB99" s="112">
        <v>79.2</v>
      </c>
      <c r="AC99" s="112">
        <v>52.5</v>
      </c>
      <c r="AD99" s="112">
        <v>51</v>
      </c>
      <c r="AE99" s="112">
        <v>52.5</v>
      </c>
      <c r="AF99" s="112">
        <v>57.8</v>
      </c>
      <c r="AG99" s="114"/>
      <c r="AH99" s="55">
        <f t="shared" si="25"/>
        <v>80</v>
      </c>
      <c r="AI99" s="108">
        <f t="shared" si="26"/>
        <v>0.625</v>
      </c>
    </row>
    <row r="100" spans="1:37" ht="15.75" thickBot="1" x14ac:dyDescent="0.3">
      <c r="A100" s="115" t="s">
        <v>104</v>
      </c>
      <c r="B100" s="95">
        <v>54.3</v>
      </c>
      <c r="C100" s="95">
        <v>43.7</v>
      </c>
      <c r="D100" s="95">
        <v>39.1</v>
      </c>
      <c r="E100" s="95">
        <v>42.6</v>
      </c>
      <c r="F100" s="95"/>
      <c r="G100" s="95">
        <v>30.4</v>
      </c>
      <c r="H100" s="95">
        <v>32.799999999999997</v>
      </c>
      <c r="I100" s="95">
        <v>36.5</v>
      </c>
      <c r="J100" s="95">
        <v>34.299999999999997</v>
      </c>
      <c r="K100" s="95">
        <v>34.299999999999997</v>
      </c>
      <c r="L100" s="95">
        <v>46.2</v>
      </c>
      <c r="M100" s="95">
        <v>48.3</v>
      </c>
      <c r="N100" s="95">
        <v>44.5</v>
      </c>
      <c r="O100" s="95">
        <v>53.5</v>
      </c>
      <c r="P100" s="95">
        <v>62.4</v>
      </c>
      <c r="Q100" s="95">
        <v>53.2</v>
      </c>
      <c r="R100" s="95">
        <v>61.2</v>
      </c>
      <c r="S100" s="95">
        <v>63</v>
      </c>
      <c r="T100" s="95">
        <v>59</v>
      </c>
      <c r="U100" s="95">
        <v>58</v>
      </c>
      <c r="V100" s="95">
        <v>51</v>
      </c>
      <c r="W100" s="95">
        <v>52</v>
      </c>
      <c r="X100" s="95">
        <v>47</v>
      </c>
      <c r="Y100" s="95">
        <v>45</v>
      </c>
      <c r="Z100" s="95">
        <v>67</v>
      </c>
      <c r="AA100" s="95">
        <v>73</v>
      </c>
      <c r="AB100" s="95">
        <v>64.5</v>
      </c>
      <c r="AC100" s="95">
        <v>65.8</v>
      </c>
      <c r="AD100" s="95">
        <v>59.3</v>
      </c>
      <c r="AE100" s="95">
        <v>65.8</v>
      </c>
      <c r="AF100" s="95">
        <v>51.3</v>
      </c>
      <c r="AG100" s="114"/>
      <c r="AH100" s="55">
        <f t="shared" si="25"/>
        <v>73</v>
      </c>
      <c r="AI100" s="108">
        <f t="shared" si="26"/>
        <v>0.8125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8">AF102</f>
        <v>9.9</v>
      </c>
      <c r="C102" s="54">
        <v>9.9</v>
      </c>
      <c r="D102" s="121">
        <f t="shared" ref="D102:S107" si="29">C102</f>
        <v>9.9</v>
      </c>
      <c r="E102" s="121">
        <f t="shared" si="29"/>
        <v>9.9</v>
      </c>
      <c r="F102" s="121">
        <f t="shared" si="29"/>
        <v>9.9</v>
      </c>
      <c r="G102" s="121">
        <f t="shared" si="29"/>
        <v>9.9</v>
      </c>
      <c r="H102" s="121">
        <f t="shared" si="29"/>
        <v>9.9</v>
      </c>
      <c r="I102" s="121">
        <f t="shared" si="29"/>
        <v>9.9</v>
      </c>
      <c r="J102" s="121">
        <f t="shared" si="29"/>
        <v>9.9</v>
      </c>
      <c r="K102" s="121">
        <f t="shared" si="29"/>
        <v>9.9</v>
      </c>
      <c r="L102" s="121">
        <f t="shared" si="29"/>
        <v>9.9</v>
      </c>
      <c r="M102" s="121">
        <f t="shared" si="29"/>
        <v>9.9</v>
      </c>
      <c r="N102" s="121">
        <f t="shared" si="29"/>
        <v>9.9</v>
      </c>
      <c r="O102" s="121">
        <f t="shared" si="29"/>
        <v>9.9</v>
      </c>
      <c r="P102" s="121">
        <f t="shared" si="29"/>
        <v>9.9</v>
      </c>
      <c r="Q102" s="121">
        <f t="shared" si="29"/>
        <v>9.9</v>
      </c>
      <c r="R102" s="121">
        <f t="shared" si="29"/>
        <v>9.9</v>
      </c>
      <c r="S102" s="121">
        <f t="shared" si="29"/>
        <v>9.9</v>
      </c>
      <c r="T102" s="121">
        <f t="shared" ref="T102:AF107" si="30">S102</f>
        <v>9.9</v>
      </c>
      <c r="U102" s="121">
        <f t="shared" si="30"/>
        <v>9.9</v>
      </c>
      <c r="V102" s="121">
        <f t="shared" si="30"/>
        <v>9.9</v>
      </c>
      <c r="W102" s="121">
        <f t="shared" si="30"/>
        <v>9.9</v>
      </c>
      <c r="X102" s="121">
        <f t="shared" si="30"/>
        <v>9.9</v>
      </c>
      <c r="Y102" s="121">
        <f t="shared" si="30"/>
        <v>9.9</v>
      </c>
      <c r="Z102" s="121">
        <f t="shared" si="30"/>
        <v>9.9</v>
      </c>
      <c r="AA102" s="121">
        <f t="shared" si="30"/>
        <v>9.9</v>
      </c>
      <c r="AB102" s="121">
        <f t="shared" si="30"/>
        <v>9.9</v>
      </c>
      <c r="AC102" s="121">
        <f t="shared" si="30"/>
        <v>9.9</v>
      </c>
      <c r="AD102" s="121">
        <f t="shared" si="30"/>
        <v>9.9</v>
      </c>
      <c r="AE102" s="121">
        <f t="shared" si="30"/>
        <v>9.9</v>
      </c>
      <c r="AF102" s="121">
        <f t="shared" si="30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8"/>
        <v>9.6</v>
      </c>
      <c r="C103" s="124">
        <v>9.6</v>
      </c>
      <c r="D103" s="123">
        <f t="shared" si="29"/>
        <v>9.6</v>
      </c>
      <c r="E103" s="123">
        <f t="shared" si="29"/>
        <v>9.6</v>
      </c>
      <c r="F103" s="123">
        <f t="shared" si="29"/>
        <v>9.6</v>
      </c>
      <c r="G103" s="123">
        <f t="shared" si="29"/>
        <v>9.6</v>
      </c>
      <c r="H103" s="123">
        <f t="shared" si="29"/>
        <v>9.6</v>
      </c>
      <c r="I103" s="123">
        <f t="shared" si="29"/>
        <v>9.6</v>
      </c>
      <c r="J103" s="123">
        <f t="shared" si="29"/>
        <v>9.6</v>
      </c>
      <c r="K103" s="123">
        <f t="shared" si="29"/>
        <v>9.6</v>
      </c>
      <c r="L103" s="123">
        <f t="shared" si="29"/>
        <v>9.6</v>
      </c>
      <c r="M103" s="123">
        <f t="shared" si="29"/>
        <v>9.6</v>
      </c>
      <c r="N103" s="123">
        <f t="shared" si="29"/>
        <v>9.6</v>
      </c>
      <c r="O103" s="123">
        <f t="shared" si="29"/>
        <v>9.6</v>
      </c>
      <c r="P103" s="123">
        <f t="shared" si="29"/>
        <v>9.6</v>
      </c>
      <c r="Q103" s="123">
        <f t="shared" si="29"/>
        <v>9.6</v>
      </c>
      <c r="R103" s="123">
        <f t="shared" si="29"/>
        <v>9.6</v>
      </c>
      <c r="S103" s="123">
        <f t="shared" si="29"/>
        <v>9.6</v>
      </c>
      <c r="T103" s="123">
        <f t="shared" si="30"/>
        <v>9.6</v>
      </c>
      <c r="U103" s="123">
        <f t="shared" si="30"/>
        <v>9.6</v>
      </c>
      <c r="V103" s="123">
        <f t="shared" si="30"/>
        <v>9.6</v>
      </c>
      <c r="W103" s="123">
        <f t="shared" si="30"/>
        <v>9.6</v>
      </c>
      <c r="X103" s="123">
        <f t="shared" si="30"/>
        <v>9.6</v>
      </c>
      <c r="Y103" s="123">
        <f t="shared" si="30"/>
        <v>9.6</v>
      </c>
      <c r="Z103" s="123">
        <f t="shared" si="30"/>
        <v>9.6</v>
      </c>
      <c r="AA103" s="123">
        <f t="shared" si="30"/>
        <v>9.6</v>
      </c>
      <c r="AB103" s="123">
        <f t="shared" si="30"/>
        <v>9.6</v>
      </c>
      <c r="AC103" s="123">
        <f t="shared" si="30"/>
        <v>9.6</v>
      </c>
      <c r="AD103" s="123">
        <f t="shared" si="30"/>
        <v>9.6</v>
      </c>
      <c r="AE103" s="123">
        <f t="shared" si="30"/>
        <v>9.6</v>
      </c>
      <c r="AF103" s="123">
        <f t="shared" si="30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8"/>
        <v>9.98</v>
      </c>
      <c r="C104" s="124">
        <v>9.98</v>
      </c>
      <c r="D104" s="123">
        <f t="shared" si="29"/>
        <v>9.98</v>
      </c>
      <c r="E104" s="123">
        <f t="shared" si="29"/>
        <v>9.98</v>
      </c>
      <c r="F104" s="123">
        <f t="shared" si="29"/>
        <v>9.98</v>
      </c>
      <c r="G104" s="123">
        <f t="shared" si="29"/>
        <v>9.98</v>
      </c>
      <c r="H104" s="123">
        <f t="shared" si="29"/>
        <v>9.98</v>
      </c>
      <c r="I104" s="123">
        <f t="shared" si="29"/>
        <v>9.98</v>
      </c>
      <c r="J104" s="123">
        <f t="shared" si="29"/>
        <v>9.98</v>
      </c>
      <c r="K104" s="123">
        <f t="shared" si="29"/>
        <v>9.98</v>
      </c>
      <c r="L104" s="123">
        <f t="shared" si="29"/>
        <v>9.98</v>
      </c>
      <c r="M104" s="123">
        <f t="shared" si="29"/>
        <v>9.98</v>
      </c>
      <c r="N104" s="123">
        <f t="shared" si="29"/>
        <v>9.98</v>
      </c>
      <c r="O104" s="123">
        <f t="shared" si="29"/>
        <v>9.98</v>
      </c>
      <c r="P104" s="123">
        <f t="shared" si="29"/>
        <v>9.98</v>
      </c>
      <c r="Q104" s="123">
        <f t="shared" si="29"/>
        <v>9.98</v>
      </c>
      <c r="R104" s="123">
        <f t="shared" si="29"/>
        <v>9.98</v>
      </c>
      <c r="S104" s="123">
        <f t="shared" si="29"/>
        <v>9.98</v>
      </c>
      <c r="T104" s="123">
        <f t="shared" si="30"/>
        <v>9.98</v>
      </c>
      <c r="U104" s="123">
        <f t="shared" si="30"/>
        <v>9.98</v>
      </c>
      <c r="V104" s="123">
        <f t="shared" si="30"/>
        <v>9.98</v>
      </c>
      <c r="W104" s="123">
        <f t="shared" si="30"/>
        <v>9.98</v>
      </c>
      <c r="X104" s="123">
        <f t="shared" si="30"/>
        <v>9.98</v>
      </c>
      <c r="Y104" s="123">
        <f t="shared" si="30"/>
        <v>9.98</v>
      </c>
      <c r="Z104" s="123">
        <f t="shared" si="30"/>
        <v>9.98</v>
      </c>
      <c r="AA104" s="123">
        <f t="shared" si="30"/>
        <v>9.98</v>
      </c>
      <c r="AB104" s="123">
        <f t="shared" si="30"/>
        <v>9.98</v>
      </c>
      <c r="AC104" s="123">
        <f t="shared" si="30"/>
        <v>9.98</v>
      </c>
      <c r="AD104" s="123">
        <f t="shared" si="30"/>
        <v>9.98</v>
      </c>
      <c r="AE104" s="123">
        <f t="shared" si="30"/>
        <v>9.98</v>
      </c>
      <c r="AF104" s="123">
        <f t="shared" si="30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8"/>
        <v>9.1</v>
      </c>
      <c r="C105" s="124">
        <v>9.1</v>
      </c>
      <c r="D105" s="123">
        <f t="shared" si="29"/>
        <v>9.1</v>
      </c>
      <c r="E105" s="123">
        <f t="shared" si="29"/>
        <v>9.1</v>
      </c>
      <c r="F105" s="123">
        <f t="shared" si="29"/>
        <v>9.1</v>
      </c>
      <c r="G105" s="123">
        <f t="shared" si="29"/>
        <v>9.1</v>
      </c>
      <c r="H105" s="123">
        <f t="shared" si="29"/>
        <v>9.1</v>
      </c>
      <c r="I105" s="123">
        <f t="shared" si="29"/>
        <v>9.1</v>
      </c>
      <c r="J105" s="123">
        <f t="shared" si="29"/>
        <v>9.1</v>
      </c>
      <c r="K105" s="123">
        <f t="shared" si="29"/>
        <v>9.1</v>
      </c>
      <c r="L105" s="123">
        <f t="shared" si="29"/>
        <v>9.1</v>
      </c>
      <c r="M105" s="123">
        <f t="shared" si="29"/>
        <v>9.1</v>
      </c>
      <c r="N105" s="123">
        <f t="shared" si="29"/>
        <v>9.1</v>
      </c>
      <c r="O105" s="123">
        <f t="shared" si="29"/>
        <v>9.1</v>
      </c>
      <c r="P105" s="123">
        <f t="shared" si="29"/>
        <v>9.1</v>
      </c>
      <c r="Q105" s="123">
        <f t="shared" si="29"/>
        <v>9.1</v>
      </c>
      <c r="R105" s="123">
        <f t="shared" si="29"/>
        <v>9.1</v>
      </c>
      <c r="S105" s="123">
        <f t="shared" si="29"/>
        <v>9.1</v>
      </c>
      <c r="T105" s="123">
        <f t="shared" si="30"/>
        <v>9.1</v>
      </c>
      <c r="U105" s="123">
        <f t="shared" si="30"/>
        <v>9.1</v>
      </c>
      <c r="V105" s="123">
        <f t="shared" si="30"/>
        <v>9.1</v>
      </c>
      <c r="W105" s="123">
        <f t="shared" si="30"/>
        <v>9.1</v>
      </c>
      <c r="X105" s="123">
        <f t="shared" si="30"/>
        <v>9.1</v>
      </c>
      <c r="Y105" s="123">
        <f t="shared" si="30"/>
        <v>9.1</v>
      </c>
      <c r="Z105" s="123">
        <f t="shared" si="30"/>
        <v>9.1</v>
      </c>
      <c r="AA105" s="123">
        <f t="shared" si="30"/>
        <v>9.1</v>
      </c>
      <c r="AB105" s="123">
        <f t="shared" si="30"/>
        <v>9.1</v>
      </c>
      <c r="AC105" s="123">
        <f t="shared" si="30"/>
        <v>9.1</v>
      </c>
      <c r="AD105" s="123">
        <f t="shared" si="30"/>
        <v>9.1</v>
      </c>
      <c r="AE105" s="123">
        <f t="shared" si="30"/>
        <v>9.1</v>
      </c>
      <c r="AF105" s="123">
        <f t="shared" si="30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8"/>
        <v>9.18</v>
      </c>
      <c r="C106" s="124">
        <v>9.18</v>
      </c>
      <c r="D106" s="123">
        <f t="shared" si="29"/>
        <v>9.18</v>
      </c>
      <c r="E106" s="123">
        <f t="shared" si="29"/>
        <v>9.18</v>
      </c>
      <c r="F106" s="123">
        <f t="shared" si="29"/>
        <v>9.18</v>
      </c>
      <c r="G106" s="123">
        <f t="shared" si="29"/>
        <v>9.18</v>
      </c>
      <c r="H106" s="123">
        <f t="shared" si="29"/>
        <v>9.18</v>
      </c>
      <c r="I106" s="123">
        <f t="shared" si="29"/>
        <v>9.18</v>
      </c>
      <c r="J106" s="123">
        <f t="shared" si="29"/>
        <v>9.18</v>
      </c>
      <c r="K106" s="123">
        <f t="shared" si="29"/>
        <v>9.18</v>
      </c>
      <c r="L106" s="123">
        <f t="shared" si="29"/>
        <v>9.18</v>
      </c>
      <c r="M106" s="123">
        <f t="shared" si="29"/>
        <v>9.18</v>
      </c>
      <c r="N106" s="123">
        <f t="shared" si="29"/>
        <v>9.18</v>
      </c>
      <c r="O106" s="123">
        <f t="shared" si="29"/>
        <v>9.18</v>
      </c>
      <c r="P106" s="123">
        <f t="shared" si="29"/>
        <v>9.18</v>
      </c>
      <c r="Q106" s="123">
        <f t="shared" si="29"/>
        <v>9.18</v>
      </c>
      <c r="R106" s="123">
        <f t="shared" si="29"/>
        <v>9.18</v>
      </c>
      <c r="S106" s="123">
        <f t="shared" si="29"/>
        <v>9.18</v>
      </c>
      <c r="T106" s="123">
        <f t="shared" si="30"/>
        <v>9.18</v>
      </c>
      <c r="U106" s="123">
        <f t="shared" si="30"/>
        <v>9.18</v>
      </c>
      <c r="V106" s="123">
        <f t="shared" si="30"/>
        <v>9.18</v>
      </c>
      <c r="W106" s="123">
        <f t="shared" si="30"/>
        <v>9.18</v>
      </c>
      <c r="X106" s="123">
        <f t="shared" si="30"/>
        <v>9.18</v>
      </c>
      <c r="Y106" s="123">
        <f t="shared" si="30"/>
        <v>9.18</v>
      </c>
      <c r="Z106" s="123">
        <f t="shared" si="30"/>
        <v>9.18</v>
      </c>
      <c r="AA106" s="123">
        <f t="shared" si="30"/>
        <v>9.18</v>
      </c>
      <c r="AB106" s="123">
        <f t="shared" si="30"/>
        <v>9.18</v>
      </c>
      <c r="AC106" s="123">
        <f t="shared" si="30"/>
        <v>9.18</v>
      </c>
      <c r="AD106" s="123">
        <f t="shared" si="30"/>
        <v>9.18</v>
      </c>
      <c r="AE106" s="123">
        <f t="shared" si="30"/>
        <v>9.18</v>
      </c>
      <c r="AF106" s="123">
        <f t="shared" si="30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8"/>
        <v>7</v>
      </c>
      <c r="C107" s="124">
        <v>7</v>
      </c>
      <c r="D107" s="123">
        <f t="shared" si="29"/>
        <v>7</v>
      </c>
      <c r="E107" s="123">
        <f t="shared" si="29"/>
        <v>7</v>
      </c>
      <c r="F107" s="123">
        <f t="shared" si="29"/>
        <v>7</v>
      </c>
      <c r="G107" s="123">
        <f t="shared" si="29"/>
        <v>7</v>
      </c>
      <c r="H107" s="123">
        <f t="shared" si="29"/>
        <v>7</v>
      </c>
      <c r="I107" s="123">
        <f t="shared" si="29"/>
        <v>7</v>
      </c>
      <c r="J107" s="123">
        <f t="shared" si="29"/>
        <v>7</v>
      </c>
      <c r="K107" s="123">
        <f t="shared" si="29"/>
        <v>7</v>
      </c>
      <c r="L107" s="123">
        <f t="shared" si="29"/>
        <v>7</v>
      </c>
      <c r="M107" s="123">
        <f t="shared" si="29"/>
        <v>7</v>
      </c>
      <c r="N107" s="123">
        <f t="shared" si="29"/>
        <v>7</v>
      </c>
      <c r="O107" s="123">
        <f t="shared" si="29"/>
        <v>7</v>
      </c>
      <c r="P107" s="123">
        <f t="shared" si="29"/>
        <v>7</v>
      </c>
      <c r="Q107" s="123">
        <f t="shared" si="29"/>
        <v>7</v>
      </c>
      <c r="R107" s="123">
        <f t="shared" si="29"/>
        <v>7</v>
      </c>
      <c r="S107" s="123">
        <f t="shared" si="29"/>
        <v>7</v>
      </c>
      <c r="T107" s="123">
        <f t="shared" si="30"/>
        <v>7</v>
      </c>
      <c r="U107" s="123">
        <f t="shared" si="30"/>
        <v>7</v>
      </c>
      <c r="V107" s="123">
        <f t="shared" si="30"/>
        <v>7</v>
      </c>
      <c r="W107" s="123">
        <f t="shared" si="30"/>
        <v>7</v>
      </c>
      <c r="X107" s="123">
        <f t="shared" si="30"/>
        <v>7</v>
      </c>
      <c r="Y107" s="123">
        <f t="shared" si="30"/>
        <v>7</v>
      </c>
      <c r="Z107" s="123">
        <f t="shared" si="30"/>
        <v>7</v>
      </c>
      <c r="AA107" s="123">
        <f t="shared" si="30"/>
        <v>7</v>
      </c>
      <c r="AB107" s="123">
        <f t="shared" si="30"/>
        <v>7</v>
      </c>
      <c r="AC107" s="123">
        <f t="shared" si="30"/>
        <v>7</v>
      </c>
      <c r="AD107" s="123">
        <f t="shared" si="30"/>
        <v>7</v>
      </c>
      <c r="AE107" s="123">
        <f t="shared" si="30"/>
        <v>7</v>
      </c>
      <c r="AF107" s="123">
        <f t="shared" si="30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1">C109</f>
        <v>2.25</v>
      </c>
      <c r="E109" s="123">
        <f t="shared" si="31"/>
        <v>2.25</v>
      </c>
      <c r="F109" s="123">
        <f t="shared" si="31"/>
        <v>2.25</v>
      </c>
      <c r="G109" s="123">
        <f t="shared" si="31"/>
        <v>2.25</v>
      </c>
      <c r="H109" s="123">
        <f t="shared" si="31"/>
        <v>2.25</v>
      </c>
      <c r="I109" s="123">
        <f t="shared" si="31"/>
        <v>2.25</v>
      </c>
      <c r="J109" s="123">
        <f t="shared" si="31"/>
        <v>2.25</v>
      </c>
      <c r="K109" s="123">
        <f t="shared" si="31"/>
        <v>2.25</v>
      </c>
      <c r="L109" s="123">
        <f t="shared" si="31"/>
        <v>2.25</v>
      </c>
      <c r="M109" s="123">
        <f t="shared" si="31"/>
        <v>2.25</v>
      </c>
      <c r="N109" s="123">
        <f t="shared" si="31"/>
        <v>2.25</v>
      </c>
      <c r="O109" s="123">
        <f t="shared" si="31"/>
        <v>2.25</v>
      </c>
      <c r="P109" s="123">
        <f t="shared" si="31"/>
        <v>2.25</v>
      </c>
      <c r="Q109" s="123">
        <f t="shared" si="31"/>
        <v>2.25</v>
      </c>
      <c r="R109" s="123">
        <f t="shared" si="31"/>
        <v>2.25</v>
      </c>
      <c r="S109" s="123">
        <f t="shared" si="31"/>
        <v>2.25</v>
      </c>
      <c r="T109" s="123">
        <f t="shared" ref="T109:AF110" si="32">S109</f>
        <v>2.25</v>
      </c>
      <c r="U109" s="123">
        <f t="shared" si="32"/>
        <v>2.25</v>
      </c>
      <c r="V109" s="123">
        <f t="shared" si="32"/>
        <v>2.25</v>
      </c>
      <c r="W109" s="123">
        <f t="shared" si="32"/>
        <v>2.25</v>
      </c>
      <c r="X109" s="123">
        <f t="shared" si="32"/>
        <v>2.25</v>
      </c>
      <c r="Y109" s="123">
        <f t="shared" si="32"/>
        <v>2.25</v>
      </c>
      <c r="Z109" s="123">
        <f t="shared" si="32"/>
        <v>2.25</v>
      </c>
      <c r="AA109" s="123">
        <f t="shared" si="32"/>
        <v>2.25</v>
      </c>
      <c r="AB109" s="123">
        <f t="shared" si="32"/>
        <v>2.25</v>
      </c>
      <c r="AC109" s="123">
        <f t="shared" si="32"/>
        <v>2.25</v>
      </c>
      <c r="AD109" s="123">
        <f t="shared" si="32"/>
        <v>2.25</v>
      </c>
      <c r="AE109" s="123">
        <f t="shared" si="32"/>
        <v>2.25</v>
      </c>
      <c r="AF109" s="123">
        <f t="shared" si="32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1"/>
        <v>1.64</v>
      </c>
      <c r="E110" s="123">
        <f t="shared" si="31"/>
        <v>1.64</v>
      </c>
      <c r="F110" s="123">
        <f t="shared" si="31"/>
        <v>1.64</v>
      </c>
      <c r="G110" s="123">
        <f t="shared" si="31"/>
        <v>1.64</v>
      </c>
      <c r="H110" s="123">
        <f t="shared" si="31"/>
        <v>1.64</v>
      </c>
      <c r="I110" s="123">
        <f t="shared" si="31"/>
        <v>1.64</v>
      </c>
      <c r="J110" s="123">
        <f t="shared" si="31"/>
        <v>1.64</v>
      </c>
      <c r="K110" s="123">
        <f t="shared" si="31"/>
        <v>1.64</v>
      </c>
      <c r="L110" s="123">
        <f t="shared" si="31"/>
        <v>1.64</v>
      </c>
      <c r="M110" s="123">
        <f t="shared" si="31"/>
        <v>1.64</v>
      </c>
      <c r="N110" s="123">
        <f t="shared" si="31"/>
        <v>1.64</v>
      </c>
      <c r="O110" s="123">
        <f t="shared" si="31"/>
        <v>1.64</v>
      </c>
      <c r="P110" s="123">
        <f t="shared" si="31"/>
        <v>1.64</v>
      </c>
      <c r="Q110" s="123">
        <f t="shared" si="31"/>
        <v>1.64</v>
      </c>
      <c r="R110" s="123">
        <f t="shared" si="31"/>
        <v>1.64</v>
      </c>
      <c r="S110" s="123">
        <f t="shared" si="31"/>
        <v>1.64</v>
      </c>
      <c r="T110" s="123">
        <f t="shared" si="32"/>
        <v>1.64</v>
      </c>
      <c r="U110" s="123">
        <f t="shared" si="32"/>
        <v>1.64</v>
      </c>
      <c r="V110" s="123">
        <f t="shared" si="32"/>
        <v>1.64</v>
      </c>
      <c r="W110" s="123">
        <f t="shared" si="32"/>
        <v>1.64</v>
      </c>
      <c r="X110" s="123">
        <f t="shared" si="32"/>
        <v>1.64</v>
      </c>
      <c r="Y110" s="123">
        <f t="shared" si="32"/>
        <v>1.64</v>
      </c>
      <c r="Z110" s="123">
        <f t="shared" si="32"/>
        <v>1.64</v>
      </c>
      <c r="AA110" s="123">
        <f t="shared" si="32"/>
        <v>1.64</v>
      </c>
      <c r="AB110" s="123">
        <f t="shared" si="32"/>
        <v>1.64</v>
      </c>
      <c r="AC110" s="123">
        <f t="shared" si="32"/>
        <v>1.64</v>
      </c>
      <c r="AD110" s="123">
        <f t="shared" si="32"/>
        <v>1.64</v>
      </c>
      <c r="AE110" s="123">
        <f t="shared" si="32"/>
        <v>1.64</v>
      </c>
      <c r="AF110" s="123">
        <f t="shared" si="32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3">AF112</f>
        <v>1.62</v>
      </c>
      <c r="C112" s="124">
        <v>1.62</v>
      </c>
      <c r="D112" s="123">
        <f t="shared" ref="D112:S119" si="34">C112</f>
        <v>1.62</v>
      </c>
      <c r="E112" s="123">
        <f t="shared" si="34"/>
        <v>1.62</v>
      </c>
      <c r="F112" s="123">
        <f t="shared" si="34"/>
        <v>1.62</v>
      </c>
      <c r="G112" s="123">
        <f t="shared" si="34"/>
        <v>1.62</v>
      </c>
      <c r="H112" s="123">
        <f t="shared" si="34"/>
        <v>1.62</v>
      </c>
      <c r="I112" s="123">
        <f t="shared" si="34"/>
        <v>1.62</v>
      </c>
      <c r="J112" s="123">
        <f t="shared" si="34"/>
        <v>1.62</v>
      </c>
      <c r="K112" s="123">
        <f t="shared" si="34"/>
        <v>1.62</v>
      </c>
      <c r="L112" s="123">
        <f t="shared" si="34"/>
        <v>1.62</v>
      </c>
      <c r="M112" s="123">
        <f t="shared" si="34"/>
        <v>1.62</v>
      </c>
      <c r="N112" s="123">
        <f t="shared" si="34"/>
        <v>1.62</v>
      </c>
      <c r="O112" s="123">
        <f t="shared" si="34"/>
        <v>1.62</v>
      </c>
      <c r="P112" s="123">
        <f t="shared" si="34"/>
        <v>1.62</v>
      </c>
      <c r="Q112" s="123">
        <f t="shared" si="34"/>
        <v>1.62</v>
      </c>
      <c r="R112" s="123">
        <f t="shared" si="34"/>
        <v>1.62</v>
      </c>
      <c r="S112" s="123">
        <f t="shared" si="34"/>
        <v>1.62</v>
      </c>
      <c r="T112" s="123">
        <f t="shared" ref="T112:AF127" si="35">S112</f>
        <v>1.62</v>
      </c>
      <c r="U112" s="123">
        <f t="shared" si="35"/>
        <v>1.62</v>
      </c>
      <c r="V112" s="123">
        <f t="shared" si="35"/>
        <v>1.62</v>
      </c>
      <c r="W112" s="123">
        <f t="shared" si="35"/>
        <v>1.62</v>
      </c>
      <c r="X112" s="123">
        <f t="shared" si="35"/>
        <v>1.62</v>
      </c>
      <c r="Y112" s="123">
        <f t="shared" si="35"/>
        <v>1.62</v>
      </c>
      <c r="Z112" s="123">
        <f t="shared" si="35"/>
        <v>1.62</v>
      </c>
      <c r="AA112" s="123">
        <f t="shared" si="35"/>
        <v>1.62</v>
      </c>
      <c r="AB112" s="123">
        <f t="shared" si="35"/>
        <v>1.62</v>
      </c>
      <c r="AC112" s="123">
        <f t="shared" si="35"/>
        <v>1.62</v>
      </c>
      <c r="AD112" s="123">
        <f t="shared" si="35"/>
        <v>1.62</v>
      </c>
      <c r="AE112" s="123">
        <f t="shared" si="35"/>
        <v>1.62</v>
      </c>
      <c r="AF112" s="123">
        <f t="shared" si="35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3"/>
        <v>8.36</v>
      </c>
      <c r="C113" s="124">
        <v>8.36</v>
      </c>
      <c r="D113" s="123">
        <f t="shared" si="34"/>
        <v>8.36</v>
      </c>
      <c r="E113" s="123">
        <f t="shared" si="34"/>
        <v>8.36</v>
      </c>
      <c r="F113" s="123">
        <f t="shared" si="34"/>
        <v>8.36</v>
      </c>
      <c r="G113" s="123">
        <f t="shared" si="34"/>
        <v>8.36</v>
      </c>
      <c r="H113" s="123">
        <f t="shared" si="34"/>
        <v>8.36</v>
      </c>
      <c r="I113" s="123">
        <f t="shared" si="34"/>
        <v>8.36</v>
      </c>
      <c r="J113" s="123">
        <f t="shared" si="34"/>
        <v>8.36</v>
      </c>
      <c r="K113" s="123">
        <f t="shared" si="34"/>
        <v>8.36</v>
      </c>
      <c r="L113" s="123">
        <f t="shared" si="34"/>
        <v>8.36</v>
      </c>
      <c r="M113" s="123">
        <f t="shared" si="34"/>
        <v>8.36</v>
      </c>
      <c r="N113" s="123">
        <f t="shared" si="34"/>
        <v>8.36</v>
      </c>
      <c r="O113" s="123">
        <f t="shared" si="34"/>
        <v>8.36</v>
      </c>
      <c r="P113" s="123">
        <f t="shared" si="34"/>
        <v>8.36</v>
      </c>
      <c r="Q113" s="123">
        <f t="shared" si="34"/>
        <v>8.36</v>
      </c>
      <c r="R113" s="123">
        <f t="shared" si="34"/>
        <v>8.36</v>
      </c>
      <c r="S113" s="123">
        <f t="shared" si="34"/>
        <v>8.36</v>
      </c>
      <c r="T113" s="123">
        <f t="shared" si="35"/>
        <v>8.36</v>
      </c>
      <c r="U113" s="123">
        <f t="shared" si="35"/>
        <v>8.36</v>
      </c>
      <c r="V113" s="123">
        <f t="shared" si="35"/>
        <v>8.36</v>
      </c>
      <c r="W113" s="123">
        <f t="shared" si="35"/>
        <v>8.36</v>
      </c>
      <c r="X113" s="123">
        <f t="shared" si="35"/>
        <v>8.36</v>
      </c>
      <c r="Y113" s="123">
        <f t="shared" si="35"/>
        <v>8.36</v>
      </c>
      <c r="Z113" s="123">
        <f t="shared" si="35"/>
        <v>8.36</v>
      </c>
      <c r="AA113" s="123">
        <f t="shared" si="35"/>
        <v>8.36</v>
      </c>
      <c r="AB113" s="123">
        <f t="shared" si="35"/>
        <v>8.36</v>
      </c>
      <c r="AC113" s="123">
        <f t="shared" si="35"/>
        <v>8.36</v>
      </c>
      <c r="AD113" s="123">
        <f t="shared" si="35"/>
        <v>8.36</v>
      </c>
      <c r="AE113" s="123">
        <f t="shared" si="35"/>
        <v>8.36</v>
      </c>
      <c r="AF113" s="123">
        <f t="shared" si="35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3"/>
        <v>5.4</v>
      </c>
      <c r="C114" s="124">
        <v>8</v>
      </c>
      <c r="D114" s="123">
        <f t="shared" si="34"/>
        <v>8</v>
      </c>
      <c r="E114" s="123">
        <f t="shared" si="34"/>
        <v>8</v>
      </c>
      <c r="F114" s="123">
        <f t="shared" si="34"/>
        <v>8</v>
      </c>
      <c r="G114" s="123">
        <f t="shared" si="34"/>
        <v>8</v>
      </c>
      <c r="H114" s="123">
        <f t="shared" si="34"/>
        <v>8</v>
      </c>
      <c r="I114" s="123">
        <f t="shared" si="34"/>
        <v>8</v>
      </c>
      <c r="J114" s="123">
        <v>5.4</v>
      </c>
      <c r="K114" s="123">
        <f t="shared" si="34"/>
        <v>5.4</v>
      </c>
      <c r="L114" s="123">
        <f t="shared" si="34"/>
        <v>5.4</v>
      </c>
      <c r="M114" s="123">
        <f t="shared" si="34"/>
        <v>5.4</v>
      </c>
      <c r="N114" s="123">
        <f t="shared" si="34"/>
        <v>5.4</v>
      </c>
      <c r="O114" s="123">
        <f t="shared" si="34"/>
        <v>5.4</v>
      </c>
      <c r="P114" s="123">
        <f t="shared" si="34"/>
        <v>5.4</v>
      </c>
      <c r="Q114" s="123">
        <f t="shared" si="34"/>
        <v>5.4</v>
      </c>
      <c r="R114" s="123">
        <f t="shared" si="34"/>
        <v>5.4</v>
      </c>
      <c r="S114" s="123">
        <f t="shared" si="34"/>
        <v>5.4</v>
      </c>
      <c r="T114" s="123">
        <f t="shared" si="35"/>
        <v>5.4</v>
      </c>
      <c r="U114" s="123">
        <f t="shared" si="35"/>
        <v>5.4</v>
      </c>
      <c r="V114" s="123">
        <f t="shared" si="35"/>
        <v>5.4</v>
      </c>
      <c r="W114" s="123">
        <f t="shared" si="35"/>
        <v>5.4</v>
      </c>
      <c r="X114" s="123">
        <f t="shared" si="35"/>
        <v>5.4</v>
      </c>
      <c r="Y114" s="123">
        <f t="shared" si="35"/>
        <v>5.4</v>
      </c>
      <c r="Z114" s="123">
        <f t="shared" si="35"/>
        <v>5.4</v>
      </c>
      <c r="AA114" s="123">
        <f t="shared" si="35"/>
        <v>5.4</v>
      </c>
      <c r="AB114" s="123">
        <f t="shared" si="35"/>
        <v>5.4</v>
      </c>
      <c r="AC114" s="123">
        <f t="shared" si="35"/>
        <v>5.4</v>
      </c>
      <c r="AD114" s="123">
        <f t="shared" si="35"/>
        <v>5.4</v>
      </c>
      <c r="AE114" s="123">
        <f t="shared" si="35"/>
        <v>5.4</v>
      </c>
      <c r="AF114" s="123">
        <f t="shared" si="35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3"/>
        <v>6.57</v>
      </c>
      <c r="C115" s="124">
        <v>6.57</v>
      </c>
      <c r="D115" s="123">
        <f t="shared" si="34"/>
        <v>6.57</v>
      </c>
      <c r="E115" s="123">
        <f t="shared" si="34"/>
        <v>6.57</v>
      </c>
      <c r="F115" s="123">
        <f t="shared" si="34"/>
        <v>6.57</v>
      </c>
      <c r="G115" s="123">
        <f t="shared" si="34"/>
        <v>6.57</v>
      </c>
      <c r="H115" s="123">
        <f t="shared" si="34"/>
        <v>6.57</v>
      </c>
      <c r="I115" s="123">
        <f t="shared" si="34"/>
        <v>6.57</v>
      </c>
      <c r="J115" s="123">
        <f t="shared" si="34"/>
        <v>6.57</v>
      </c>
      <c r="K115" s="123">
        <f t="shared" si="34"/>
        <v>6.57</v>
      </c>
      <c r="L115" s="123">
        <f t="shared" si="34"/>
        <v>6.57</v>
      </c>
      <c r="M115" s="123">
        <f t="shared" si="34"/>
        <v>6.57</v>
      </c>
      <c r="N115" s="123">
        <f t="shared" si="34"/>
        <v>6.57</v>
      </c>
      <c r="O115" s="123">
        <f t="shared" si="34"/>
        <v>6.57</v>
      </c>
      <c r="P115" s="123">
        <f t="shared" si="34"/>
        <v>6.57</v>
      </c>
      <c r="Q115" s="123">
        <f t="shared" si="34"/>
        <v>6.57</v>
      </c>
      <c r="R115" s="123">
        <f t="shared" si="34"/>
        <v>6.57</v>
      </c>
      <c r="S115" s="123">
        <f t="shared" si="34"/>
        <v>6.57</v>
      </c>
      <c r="T115" s="123">
        <f t="shared" si="35"/>
        <v>6.57</v>
      </c>
      <c r="U115" s="123">
        <f t="shared" si="35"/>
        <v>6.57</v>
      </c>
      <c r="V115" s="123">
        <f t="shared" si="35"/>
        <v>6.57</v>
      </c>
      <c r="W115" s="123">
        <f t="shared" si="35"/>
        <v>6.57</v>
      </c>
      <c r="X115" s="123">
        <f t="shared" si="35"/>
        <v>6.57</v>
      </c>
      <c r="Y115" s="123">
        <f t="shared" si="35"/>
        <v>6.57</v>
      </c>
      <c r="Z115" s="123">
        <f t="shared" si="35"/>
        <v>6.57</v>
      </c>
      <c r="AA115" s="123">
        <f t="shared" si="35"/>
        <v>6.57</v>
      </c>
      <c r="AB115" s="123">
        <f t="shared" si="35"/>
        <v>6.57</v>
      </c>
      <c r="AC115" s="123">
        <f t="shared" si="35"/>
        <v>6.57</v>
      </c>
      <c r="AD115" s="123">
        <f t="shared" si="35"/>
        <v>6.57</v>
      </c>
      <c r="AE115" s="123">
        <f t="shared" si="35"/>
        <v>6.57</v>
      </c>
      <c r="AF115" s="123">
        <f t="shared" si="35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3"/>
        <v>3.43</v>
      </c>
      <c r="C116" s="124">
        <v>3.43</v>
      </c>
      <c r="D116" s="123">
        <f t="shared" si="34"/>
        <v>3.43</v>
      </c>
      <c r="E116" s="123">
        <f t="shared" si="34"/>
        <v>3.43</v>
      </c>
      <c r="F116" s="123">
        <f t="shared" si="34"/>
        <v>3.43</v>
      </c>
      <c r="G116" s="123">
        <f t="shared" si="34"/>
        <v>3.43</v>
      </c>
      <c r="H116" s="123">
        <f t="shared" si="34"/>
        <v>3.43</v>
      </c>
      <c r="I116" s="123">
        <f t="shared" si="34"/>
        <v>3.43</v>
      </c>
      <c r="J116" s="123">
        <f t="shared" si="34"/>
        <v>3.43</v>
      </c>
      <c r="K116" s="123">
        <f t="shared" si="34"/>
        <v>3.43</v>
      </c>
      <c r="L116" s="123">
        <f t="shared" si="34"/>
        <v>3.43</v>
      </c>
      <c r="M116" s="123">
        <f t="shared" si="34"/>
        <v>3.43</v>
      </c>
      <c r="N116" s="123">
        <f t="shared" si="34"/>
        <v>3.43</v>
      </c>
      <c r="O116" s="123">
        <f t="shared" si="34"/>
        <v>3.43</v>
      </c>
      <c r="P116" s="123">
        <f t="shared" si="34"/>
        <v>3.43</v>
      </c>
      <c r="Q116" s="123">
        <f t="shared" si="34"/>
        <v>3.43</v>
      </c>
      <c r="R116" s="123">
        <f t="shared" si="34"/>
        <v>3.43</v>
      </c>
      <c r="S116" s="123">
        <f t="shared" si="34"/>
        <v>3.43</v>
      </c>
      <c r="T116" s="123">
        <f t="shared" si="35"/>
        <v>3.43</v>
      </c>
      <c r="U116" s="123">
        <f t="shared" si="35"/>
        <v>3.43</v>
      </c>
      <c r="V116" s="123">
        <f t="shared" si="35"/>
        <v>3.43</v>
      </c>
      <c r="W116" s="123">
        <f t="shared" si="35"/>
        <v>3.43</v>
      </c>
      <c r="X116" s="123">
        <f t="shared" si="35"/>
        <v>3.43</v>
      </c>
      <c r="Y116" s="123">
        <f t="shared" si="35"/>
        <v>3.43</v>
      </c>
      <c r="Z116" s="123">
        <f t="shared" si="35"/>
        <v>3.43</v>
      </c>
      <c r="AA116" s="123">
        <f t="shared" si="35"/>
        <v>3.43</v>
      </c>
      <c r="AB116" s="123">
        <f t="shared" si="35"/>
        <v>3.43</v>
      </c>
      <c r="AC116" s="123">
        <f t="shared" si="35"/>
        <v>3.43</v>
      </c>
      <c r="AD116" s="123">
        <f t="shared" si="35"/>
        <v>3.43</v>
      </c>
      <c r="AE116" s="123">
        <f t="shared" si="35"/>
        <v>3.43</v>
      </c>
      <c r="AF116" s="123">
        <f t="shared" si="35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3"/>
        <v>2.96</v>
      </c>
      <c r="C117" s="124">
        <v>2.96</v>
      </c>
      <c r="D117" s="123">
        <f t="shared" si="34"/>
        <v>2.96</v>
      </c>
      <c r="E117" s="123">
        <f t="shared" si="34"/>
        <v>2.96</v>
      </c>
      <c r="F117" s="123">
        <f t="shared" si="34"/>
        <v>2.96</v>
      </c>
      <c r="G117" s="123">
        <f t="shared" si="34"/>
        <v>2.96</v>
      </c>
      <c r="H117" s="123">
        <f t="shared" si="34"/>
        <v>2.96</v>
      </c>
      <c r="I117" s="123">
        <f t="shared" si="34"/>
        <v>2.96</v>
      </c>
      <c r="J117" s="123">
        <f t="shared" si="34"/>
        <v>2.96</v>
      </c>
      <c r="K117" s="123">
        <f t="shared" si="34"/>
        <v>2.96</v>
      </c>
      <c r="L117" s="123">
        <f t="shared" si="34"/>
        <v>2.96</v>
      </c>
      <c r="M117" s="123">
        <f t="shared" si="34"/>
        <v>2.96</v>
      </c>
      <c r="N117" s="123">
        <f t="shared" si="34"/>
        <v>2.96</v>
      </c>
      <c r="O117" s="123">
        <f t="shared" si="34"/>
        <v>2.96</v>
      </c>
      <c r="P117" s="123">
        <f t="shared" si="34"/>
        <v>2.96</v>
      </c>
      <c r="Q117" s="123">
        <f t="shared" si="34"/>
        <v>2.96</v>
      </c>
      <c r="R117" s="123">
        <f t="shared" si="34"/>
        <v>2.96</v>
      </c>
      <c r="S117" s="123">
        <f t="shared" si="34"/>
        <v>2.96</v>
      </c>
      <c r="T117" s="123">
        <f t="shared" si="35"/>
        <v>2.96</v>
      </c>
      <c r="U117" s="123">
        <f t="shared" si="35"/>
        <v>2.96</v>
      </c>
      <c r="V117" s="123">
        <f t="shared" si="35"/>
        <v>2.96</v>
      </c>
      <c r="W117" s="123">
        <f t="shared" si="35"/>
        <v>2.96</v>
      </c>
      <c r="X117" s="123">
        <f t="shared" si="35"/>
        <v>2.96</v>
      </c>
      <c r="Y117" s="123">
        <f t="shared" si="35"/>
        <v>2.96</v>
      </c>
      <c r="Z117" s="123">
        <f t="shared" si="35"/>
        <v>2.96</v>
      </c>
      <c r="AA117" s="123">
        <f t="shared" si="35"/>
        <v>2.96</v>
      </c>
      <c r="AB117" s="123">
        <f t="shared" si="35"/>
        <v>2.96</v>
      </c>
      <c r="AC117" s="123">
        <f t="shared" si="35"/>
        <v>2.96</v>
      </c>
      <c r="AD117" s="123">
        <f t="shared" si="35"/>
        <v>2.96</v>
      </c>
      <c r="AE117" s="123">
        <f t="shared" si="35"/>
        <v>2.96</v>
      </c>
      <c r="AF117" s="123">
        <f t="shared" si="35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3"/>
        <v>8</v>
      </c>
      <c r="C118" s="124">
        <v>8</v>
      </c>
      <c r="D118" s="123">
        <f t="shared" si="34"/>
        <v>8</v>
      </c>
      <c r="E118" s="123">
        <f t="shared" si="34"/>
        <v>8</v>
      </c>
      <c r="F118" s="123">
        <f t="shared" si="34"/>
        <v>8</v>
      </c>
      <c r="G118" s="123">
        <f t="shared" si="34"/>
        <v>8</v>
      </c>
      <c r="H118" s="123">
        <f t="shared" si="34"/>
        <v>8</v>
      </c>
      <c r="I118" s="123">
        <f t="shared" si="34"/>
        <v>8</v>
      </c>
      <c r="J118" s="123">
        <f t="shared" si="34"/>
        <v>8</v>
      </c>
      <c r="K118" s="123">
        <f t="shared" si="34"/>
        <v>8</v>
      </c>
      <c r="L118" s="123">
        <f t="shared" si="34"/>
        <v>8</v>
      </c>
      <c r="M118" s="123">
        <f t="shared" si="34"/>
        <v>8</v>
      </c>
      <c r="N118" s="123">
        <f t="shared" si="34"/>
        <v>8</v>
      </c>
      <c r="O118" s="123">
        <f t="shared" si="34"/>
        <v>8</v>
      </c>
      <c r="P118" s="123">
        <f t="shared" si="34"/>
        <v>8</v>
      </c>
      <c r="Q118" s="123">
        <f t="shared" si="34"/>
        <v>8</v>
      </c>
      <c r="R118" s="123">
        <f t="shared" si="34"/>
        <v>8</v>
      </c>
      <c r="S118" s="123">
        <f t="shared" si="34"/>
        <v>8</v>
      </c>
      <c r="T118" s="123">
        <f t="shared" si="35"/>
        <v>8</v>
      </c>
      <c r="U118" s="123">
        <f t="shared" si="35"/>
        <v>8</v>
      </c>
      <c r="V118" s="123">
        <f t="shared" si="35"/>
        <v>8</v>
      </c>
      <c r="W118" s="123">
        <f t="shared" si="35"/>
        <v>8</v>
      </c>
      <c r="X118" s="123">
        <f t="shared" si="35"/>
        <v>8</v>
      </c>
      <c r="Y118" s="123">
        <f t="shared" si="35"/>
        <v>8</v>
      </c>
      <c r="Z118" s="123">
        <f t="shared" si="35"/>
        <v>8</v>
      </c>
      <c r="AA118" s="123">
        <f t="shared" si="35"/>
        <v>8</v>
      </c>
      <c r="AB118" s="123">
        <f t="shared" si="35"/>
        <v>8</v>
      </c>
      <c r="AC118" s="123">
        <f t="shared" si="35"/>
        <v>8</v>
      </c>
      <c r="AD118" s="123">
        <f t="shared" si="35"/>
        <v>8</v>
      </c>
      <c r="AE118" s="123">
        <f t="shared" si="35"/>
        <v>8</v>
      </c>
      <c r="AF118" s="123">
        <f t="shared" si="35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3"/>
        <v>7</v>
      </c>
      <c r="C119" s="124">
        <v>7</v>
      </c>
      <c r="D119" s="123">
        <f>C119</f>
        <v>7</v>
      </c>
      <c r="E119" s="123">
        <f t="shared" si="34"/>
        <v>7</v>
      </c>
      <c r="F119" s="123">
        <f t="shared" si="34"/>
        <v>7</v>
      </c>
      <c r="G119" s="123">
        <f t="shared" si="34"/>
        <v>7</v>
      </c>
      <c r="H119" s="123">
        <f t="shared" si="34"/>
        <v>7</v>
      </c>
      <c r="I119" s="123">
        <f t="shared" si="34"/>
        <v>7</v>
      </c>
      <c r="J119" s="123">
        <f t="shared" si="34"/>
        <v>7</v>
      </c>
      <c r="K119" s="123">
        <f t="shared" si="34"/>
        <v>7</v>
      </c>
      <c r="L119" s="123">
        <f t="shared" si="34"/>
        <v>7</v>
      </c>
      <c r="M119" s="123">
        <f t="shared" si="34"/>
        <v>7</v>
      </c>
      <c r="N119" s="123">
        <f t="shared" si="34"/>
        <v>7</v>
      </c>
      <c r="O119" s="123">
        <f t="shared" si="34"/>
        <v>7</v>
      </c>
      <c r="P119" s="123">
        <f t="shared" si="34"/>
        <v>7</v>
      </c>
      <c r="Q119" s="123">
        <f t="shared" si="34"/>
        <v>7</v>
      </c>
      <c r="R119" s="123">
        <f t="shared" si="34"/>
        <v>7</v>
      </c>
      <c r="S119" s="123">
        <f t="shared" si="34"/>
        <v>7</v>
      </c>
      <c r="T119" s="123">
        <f t="shared" si="35"/>
        <v>7</v>
      </c>
      <c r="U119" s="123">
        <f t="shared" si="35"/>
        <v>7</v>
      </c>
      <c r="V119" s="123">
        <f t="shared" si="35"/>
        <v>7</v>
      </c>
      <c r="W119" s="123">
        <f t="shared" si="35"/>
        <v>7</v>
      </c>
      <c r="X119" s="123">
        <f t="shared" si="35"/>
        <v>7</v>
      </c>
      <c r="Y119" s="123">
        <f t="shared" si="35"/>
        <v>7</v>
      </c>
      <c r="Z119" s="123">
        <f t="shared" si="35"/>
        <v>7</v>
      </c>
      <c r="AA119" s="123">
        <f t="shared" si="35"/>
        <v>7</v>
      </c>
      <c r="AB119" s="123">
        <f t="shared" si="35"/>
        <v>7</v>
      </c>
      <c r="AC119" s="123">
        <f t="shared" si="35"/>
        <v>7</v>
      </c>
      <c r="AD119" s="123">
        <f t="shared" si="35"/>
        <v>7</v>
      </c>
      <c r="AE119" s="123">
        <f t="shared" si="35"/>
        <v>7</v>
      </c>
      <c r="AF119" s="123">
        <f t="shared" si="35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3"/>
        <v>3.47</v>
      </c>
      <c r="C120" s="124">
        <v>3.47</v>
      </c>
      <c r="D120" s="123">
        <f t="shared" ref="D120:S129" si="36">C120</f>
        <v>3.47</v>
      </c>
      <c r="E120" s="123">
        <f t="shared" si="36"/>
        <v>3.47</v>
      </c>
      <c r="F120" s="123">
        <f t="shared" si="36"/>
        <v>3.47</v>
      </c>
      <c r="G120" s="123">
        <f t="shared" si="36"/>
        <v>3.47</v>
      </c>
      <c r="H120" s="123">
        <f t="shared" si="36"/>
        <v>3.47</v>
      </c>
      <c r="I120" s="123">
        <f t="shared" si="36"/>
        <v>3.47</v>
      </c>
      <c r="J120" s="123">
        <f t="shared" si="36"/>
        <v>3.47</v>
      </c>
      <c r="K120" s="123">
        <f t="shared" si="36"/>
        <v>3.47</v>
      </c>
      <c r="L120" s="123">
        <f t="shared" si="36"/>
        <v>3.47</v>
      </c>
      <c r="M120" s="123">
        <f t="shared" si="36"/>
        <v>3.47</v>
      </c>
      <c r="N120" s="123">
        <f t="shared" si="36"/>
        <v>3.47</v>
      </c>
      <c r="O120" s="123">
        <f t="shared" si="36"/>
        <v>3.47</v>
      </c>
      <c r="P120" s="123">
        <f t="shared" si="36"/>
        <v>3.47</v>
      </c>
      <c r="Q120" s="123">
        <f t="shared" si="36"/>
        <v>3.47</v>
      </c>
      <c r="R120" s="123">
        <f t="shared" si="36"/>
        <v>3.47</v>
      </c>
      <c r="S120" s="123">
        <f t="shared" si="36"/>
        <v>3.47</v>
      </c>
      <c r="T120" s="123">
        <f t="shared" si="35"/>
        <v>3.47</v>
      </c>
      <c r="U120" s="123">
        <f t="shared" si="35"/>
        <v>3.47</v>
      </c>
      <c r="V120" s="123">
        <f t="shared" si="35"/>
        <v>3.47</v>
      </c>
      <c r="W120" s="123">
        <f t="shared" si="35"/>
        <v>3.47</v>
      </c>
      <c r="X120" s="123">
        <f t="shared" si="35"/>
        <v>3.47</v>
      </c>
      <c r="Y120" s="123">
        <f t="shared" si="35"/>
        <v>3.47</v>
      </c>
      <c r="Z120" s="123">
        <f t="shared" si="35"/>
        <v>3.47</v>
      </c>
      <c r="AA120" s="123">
        <f t="shared" si="35"/>
        <v>3.47</v>
      </c>
      <c r="AB120" s="123">
        <f t="shared" si="35"/>
        <v>3.47</v>
      </c>
      <c r="AC120" s="123">
        <f t="shared" si="35"/>
        <v>3.47</v>
      </c>
      <c r="AD120" s="123">
        <f t="shared" si="35"/>
        <v>3.47</v>
      </c>
      <c r="AE120" s="123">
        <f t="shared" si="35"/>
        <v>3.47</v>
      </c>
      <c r="AF120" s="123">
        <f t="shared" si="35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3"/>
        <v>2.1</v>
      </c>
      <c r="C121" s="124">
        <v>2.1</v>
      </c>
      <c r="D121" s="123">
        <f t="shared" si="36"/>
        <v>2.1</v>
      </c>
      <c r="E121" s="123">
        <f t="shared" si="36"/>
        <v>2.1</v>
      </c>
      <c r="F121" s="123">
        <f t="shared" si="36"/>
        <v>2.1</v>
      </c>
      <c r="G121" s="123">
        <f t="shared" si="36"/>
        <v>2.1</v>
      </c>
      <c r="H121" s="123">
        <f t="shared" si="36"/>
        <v>2.1</v>
      </c>
      <c r="I121" s="123">
        <f t="shared" si="36"/>
        <v>2.1</v>
      </c>
      <c r="J121" s="123">
        <f t="shared" si="36"/>
        <v>2.1</v>
      </c>
      <c r="K121" s="123">
        <f t="shared" si="36"/>
        <v>2.1</v>
      </c>
      <c r="L121" s="123">
        <f t="shared" si="36"/>
        <v>2.1</v>
      </c>
      <c r="M121" s="123">
        <f t="shared" si="36"/>
        <v>2.1</v>
      </c>
      <c r="N121" s="123">
        <f t="shared" si="36"/>
        <v>2.1</v>
      </c>
      <c r="O121" s="123">
        <f t="shared" si="36"/>
        <v>2.1</v>
      </c>
      <c r="P121" s="123">
        <f t="shared" si="36"/>
        <v>2.1</v>
      </c>
      <c r="Q121" s="123">
        <f t="shared" si="36"/>
        <v>2.1</v>
      </c>
      <c r="R121" s="123">
        <f t="shared" si="36"/>
        <v>2.1</v>
      </c>
      <c r="S121" s="123">
        <f t="shared" si="36"/>
        <v>2.1</v>
      </c>
      <c r="T121" s="123">
        <f t="shared" si="35"/>
        <v>2.1</v>
      </c>
      <c r="U121" s="123">
        <f t="shared" si="35"/>
        <v>2.1</v>
      </c>
      <c r="V121" s="123">
        <f t="shared" si="35"/>
        <v>2.1</v>
      </c>
      <c r="W121" s="123">
        <f t="shared" si="35"/>
        <v>2.1</v>
      </c>
      <c r="X121" s="123">
        <f t="shared" si="35"/>
        <v>2.1</v>
      </c>
      <c r="Y121" s="123">
        <f t="shared" si="35"/>
        <v>2.1</v>
      </c>
      <c r="Z121" s="123">
        <f t="shared" si="35"/>
        <v>2.1</v>
      </c>
      <c r="AA121" s="123">
        <f t="shared" si="35"/>
        <v>2.1</v>
      </c>
      <c r="AB121" s="123">
        <f t="shared" si="35"/>
        <v>2.1</v>
      </c>
      <c r="AC121" s="123">
        <f t="shared" si="35"/>
        <v>2.1</v>
      </c>
      <c r="AD121" s="123">
        <f t="shared" si="35"/>
        <v>2.1</v>
      </c>
      <c r="AE121" s="123">
        <f t="shared" si="35"/>
        <v>2.1</v>
      </c>
      <c r="AF121" s="123">
        <f t="shared" si="35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3"/>
        <v>9.3000000000000007</v>
      </c>
      <c r="C122" s="124">
        <v>9.3000000000000007</v>
      </c>
      <c r="D122" s="123">
        <f t="shared" si="36"/>
        <v>9.3000000000000007</v>
      </c>
      <c r="E122" s="123">
        <f t="shared" si="36"/>
        <v>9.3000000000000007</v>
      </c>
      <c r="F122" s="123">
        <f t="shared" si="36"/>
        <v>9.3000000000000007</v>
      </c>
      <c r="G122" s="123">
        <f t="shared" si="36"/>
        <v>9.3000000000000007</v>
      </c>
      <c r="H122" s="123">
        <f t="shared" si="36"/>
        <v>9.3000000000000007</v>
      </c>
      <c r="I122" s="123">
        <f t="shared" si="36"/>
        <v>9.3000000000000007</v>
      </c>
      <c r="J122" s="123">
        <f t="shared" si="36"/>
        <v>9.3000000000000007</v>
      </c>
      <c r="K122" s="123">
        <f t="shared" si="36"/>
        <v>9.3000000000000007</v>
      </c>
      <c r="L122" s="123">
        <f t="shared" si="36"/>
        <v>9.3000000000000007</v>
      </c>
      <c r="M122" s="123">
        <f t="shared" si="36"/>
        <v>9.3000000000000007</v>
      </c>
      <c r="N122" s="123">
        <f t="shared" si="36"/>
        <v>9.3000000000000007</v>
      </c>
      <c r="O122" s="123">
        <f t="shared" si="36"/>
        <v>9.3000000000000007</v>
      </c>
      <c r="P122" s="123">
        <f t="shared" si="36"/>
        <v>9.3000000000000007</v>
      </c>
      <c r="Q122" s="123">
        <f t="shared" si="36"/>
        <v>9.3000000000000007</v>
      </c>
      <c r="R122" s="123">
        <f t="shared" si="36"/>
        <v>9.3000000000000007</v>
      </c>
      <c r="S122" s="123">
        <f t="shared" si="36"/>
        <v>9.3000000000000007</v>
      </c>
      <c r="T122" s="123">
        <f t="shared" si="35"/>
        <v>9.3000000000000007</v>
      </c>
      <c r="U122" s="123">
        <f t="shared" si="35"/>
        <v>9.3000000000000007</v>
      </c>
      <c r="V122" s="123">
        <f t="shared" si="35"/>
        <v>9.3000000000000007</v>
      </c>
      <c r="W122" s="123">
        <f t="shared" si="35"/>
        <v>9.3000000000000007</v>
      </c>
      <c r="X122" s="123">
        <f t="shared" si="35"/>
        <v>9.3000000000000007</v>
      </c>
      <c r="Y122" s="123">
        <f t="shared" si="35"/>
        <v>9.3000000000000007</v>
      </c>
      <c r="Z122" s="123">
        <f t="shared" si="35"/>
        <v>9.3000000000000007</v>
      </c>
      <c r="AA122" s="123">
        <f t="shared" si="35"/>
        <v>9.3000000000000007</v>
      </c>
      <c r="AB122" s="123">
        <f t="shared" si="35"/>
        <v>9.3000000000000007</v>
      </c>
      <c r="AC122" s="123">
        <f t="shared" si="35"/>
        <v>9.3000000000000007</v>
      </c>
      <c r="AD122" s="123">
        <f t="shared" si="35"/>
        <v>9.3000000000000007</v>
      </c>
      <c r="AE122" s="123">
        <f t="shared" si="35"/>
        <v>9.3000000000000007</v>
      </c>
      <c r="AF122" s="123">
        <f t="shared" si="35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3"/>
        <v>0</v>
      </c>
      <c r="C123" s="124">
        <v>0</v>
      </c>
      <c r="D123" s="123">
        <f t="shared" si="36"/>
        <v>0</v>
      </c>
      <c r="E123" s="123">
        <f t="shared" si="36"/>
        <v>0</v>
      </c>
      <c r="F123" s="123">
        <f t="shared" si="36"/>
        <v>0</v>
      </c>
      <c r="G123" s="123">
        <f t="shared" si="36"/>
        <v>0</v>
      </c>
      <c r="H123" s="123">
        <f t="shared" si="36"/>
        <v>0</v>
      </c>
      <c r="I123" s="123">
        <f t="shared" si="36"/>
        <v>0</v>
      </c>
      <c r="J123" s="123">
        <f t="shared" si="36"/>
        <v>0</v>
      </c>
      <c r="K123" s="123">
        <f t="shared" si="36"/>
        <v>0</v>
      </c>
      <c r="L123" s="123">
        <f t="shared" si="36"/>
        <v>0</v>
      </c>
      <c r="M123" s="123">
        <f t="shared" si="36"/>
        <v>0</v>
      </c>
      <c r="N123" s="123">
        <f t="shared" si="36"/>
        <v>0</v>
      </c>
      <c r="O123" s="123">
        <f t="shared" si="36"/>
        <v>0</v>
      </c>
      <c r="P123" s="123">
        <f t="shared" si="36"/>
        <v>0</v>
      </c>
      <c r="Q123" s="123">
        <f t="shared" si="36"/>
        <v>0</v>
      </c>
      <c r="R123" s="123">
        <f t="shared" si="36"/>
        <v>0</v>
      </c>
      <c r="S123" s="123">
        <f t="shared" si="36"/>
        <v>0</v>
      </c>
      <c r="T123" s="123">
        <f t="shared" si="35"/>
        <v>0</v>
      </c>
      <c r="U123" s="123">
        <f t="shared" si="35"/>
        <v>0</v>
      </c>
      <c r="V123" s="123">
        <f t="shared" si="35"/>
        <v>0</v>
      </c>
      <c r="W123" s="123">
        <f t="shared" si="35"/>
        <v>0</v>
      </c>
      <c r="X123" s="123">
        <f t="shared" si="35"/>
        <v>0</v>
      </c>
      <c r="Y123" s="123">
        <f t="shared" si="35"/>
        <v>0</v>
      </c>
      <c r="Z123" s="123">
        <f t="shared" si="35"/>
        <v>0</v>
      </c>
      <c r="AA123" s="123">
        <f t="shared" si="35"/>
        <v>0</v>
      </c>
      <c r="AB123" s="123">
        <f t="shared" si="35"/>
        <v>0</v>
      </c>
      <c r="AC123" s="123">
        <f t="shared" si="35"/>
        <v>0</v>
      </c>
      <c r="AD123" s="123">
        <f t="shared" si="35"/>
        <v>0</v>
      </c>
      <c r="AE123" s="123">
        <f t="shared" si="35"/>
        <v>0</v>
      </c>
      <c r="AF123" s="123">
        <f t="shared" si="35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3"/>
        <v>0</v>
      </c>
      <c r="C124" s="124">
        <v>0</v>
      </c>
      <c r="D124" s="123">
        <f t="shared" si="36"/>
        <v>0</v>
      </c>
      <c r="E124" s="123">
        <f t="shared" si="36"/>
        <v>0</v>
      </c>
      <c r="F124" s="123">
        <f t="shared" si="36"/>
        <v>0</v>
      </c>
      <c r="G124" s="123">
        <f t="shared" si="36"/>
        <v>0</v>
      </c>
      <c r="H124" s="123">
        <f t="shared" si="36"/>
        <v>0</v>
      </c>
      <c r="I124" s="123">
        <f t="shared" si="36"/>
        <v>0</v>
      </c>
      <c r="J124" s="123">
        <f t="shared" si="36"/>
        <v>0</v>
      </c>
      <c r="K124" s="123">
        <f t="shared" si="36"/>
        <v>0</v>
      </c>
      <c r="L124" s="123">
        <f t="shared" si="36"/>
        <v>0</v>
      </c>
      <c r="M124" s="123">
        <f t="shared" si="36"/>
        <v>0</v>
      </c>
      <c r="N124" s="123">
        <f t="shared" si="36"/>
        <v>0</v>
      </c>
      <c r="O124" s="123">
        <f t="shared" si="36"/>
        <v>0</v>
      </c>
      <c r="P124" s="123">
        <f t="shared" si="36"/>
        <v>0</v>
      </c>
      <c r="Q124" s="123">
        <f t="shared" si="36"/>
        <v>0</v>
      </c>
      <c r="R124" s="123">
        <f t="shared" si="36"/>
        <v>0</v>
      </c>
      <c r="S124" s="123">
        <f t="shared" si="36"/>
        <v>0</v>
      </c>
      <c r="T124" s="123">
        <f t="shared" si="35"/>
        <v>0</v>
      </c>
      <c r="U124" s="123">
        <f t="shared" si="35"/>
        <v>0</v>
      </c>
      <c r="V124" s="123">
        <f t="shared" si="35"/>
        <v>0</v>
      </c>
      <c r="W124" s="123">
        <f t="shared" si="35"/>
        <v>0</v>
      </c>
      <c r="X124" s="123">
        <f t="shared" si="35"/>
        <v>0</v>
      </c>
      <c r="Y124" s="123">
        <f t="shared" si="35"/>
        <v>0</v>
      </c>
      <c r="Z124" s="123">
        <f t="shared" si="35"/>
        <v>0</v>
      </c>
      <c r="AA124" s="123">
        <f t="shared" si="35"/>
        <v>0</v>
      </c>
      <c r="AB124" s="123">
        <f t="shared" si="35"/>
        <v>0</v>
      </c>
      <c r="AC124" s="123">
        <f t="shared" si="35"/>
        <v>0</v>
      </c>
      <c r="AD124" s="123">
        <f t="shared" si="35"/>
        <v>0</v>
      </c>
      <c r="AE124" s="123">
        <f t="shared" si="35"/>
        <v>0</v>
      </c>
      <c r="AF124" s="123">
        <f t="shared" si="35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3"/>
        <v>;/</v>
      </c>
      <c r="C125" s="124">
        <v>5</v>
      </c>
      <c r="D125" s="123">
        <f t="shared" si="36"/>
        <v>5</v>
      </c>
      <c r="E125" s="123">
        <f t="shared" si="36"/>
        <v>5</v>
      </c>
      <c r="F125" s="123">
        <f t="shared" si="36"/>
        <v>5</v>
      </c>
      <c r="G125" s="123">
        <f t="shared" si="36"/>
        <v>5</v>
      </c>
      <c r="H125" s="123">
        <f t="shared" si="36"/>
        <v>5</v>
      </c>
      <c r="I125" s="123" t="s">
        <v>130</v>
      </c>
      <c r="J125" s="123" t="str">
        <f t="shared" si="36"/>
        <v>;/</v>
      </c>
      <c r="K125" s="123" t="str">
        <f t="shared" si="36"/>
        <v>;/</v>
      </c>
      <c r="L125" s="123" t="str">
        <f t="shared" si="36"/>
        <v>;/</v>
      </c>
      <c r="M125" s="123" t="str">
        <f t="shared" si="36"/>
        <v>;/</v>
      </c>
      <c r="N125" s="123" t="str">
        <f t="shared" si="36"/>
        <v>;/</v>
      </c>
      <c r="O125" s="123" t="str">
        <f t="shared" si="36"/>
        <v>;/</v>
      </c>
      <c r="P125" s="123" t="str">
        <f t="shared" si="36"/>
        <v>;/</v>
      </c>
      <c r="Q125" s="123" t="str">
        <f t="shared" si="36"/>
        <v>;/</v>
      </c>
      <c r="R125" s="123" t="str">
        <f t="shared" si="36"/>
        <v>;/</v>
      </c>
      <c r="S125" s="123" t="str">
        <f t="shared" si="36"/>
        <v>;/</v>
      </c>
      <c r="T125" s="123" t="str">
        <f t="shared" si="35"/>
        <v>;/</v>
      </c>
      <c r="U125" s="123" t="str">
        <f t="shared" si="35"/>
        <v>;/</v>
      </c>
      <c r="V125" s="123" t="str">
        <f t="shared" si="35"/>
        <v>;/</v>
      </c>
      <c r="W125" s="123" t="str">
        <f t="shared" si="35"/>
        <v>;/</v>
      </c>
      <c r="X125" s="123" t="str">
        <f t="shared" si="35"/>
        <v>;/</v>
      </c>
      <c r="Y125" s="123" t="str">
        <f t="shared" si="35"/>
        <v>;/</v>
      </c>
      <c r="Z125" s="123" t="str">
        <f t="shared" si="35"/>
        <v>;/</v>
      </c>
      <c r="AA125" s="123" t="str">
        <f t="shared" si="35"/>
        <v>;/</v>
      </c>
      <c r="AB125" s="123" t="str">
        <f t="shared" si="35"/>
        <v>;/</v>
      </c>
      <c r="AC125" s="123" t="str">
        <f t="shared" si="35"/>
        <v>;/</v>
      </c>
      <c r="AD125" s="123" t="str">
        <f t="shared" si="35"/>
        <v>;/</v>
      </c>
      <c r="AE125" s="123" t="str">
        <f t="shared" si="35"/>
        <v>;/</v>
      </c>
      <c r="AF125" s="123" t="str">
        <f t="shared" si="35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3"/>
        <v>1</v>
      </c>
      <c r="C126" s="124">
        <v>1</v>
      </c>
      <c r="D126" s="123">
        <f t="shared" si="36"/>
        <v>1</v>
      </c>
      <c r="E126" s="123">
        <f t="shared" si="36"/>
        <v>1</v>
      </c>
      <c r="F126" s="123">
        <f t="shared" si="36"/>
        <v>1</v>
      </c>
      <c r="G126" s="123">
        <f t="shared" si="36"/>
        <v>1</v>
      </c>
      <c r="H126" s="123">
        <f t="shared" si="36"/>
        <v>1</v>
      </c>
      <c r="I126" s="123">
        <f t="shared" si="36"/>
        <v>1</v>
      </c>
      <c r="J126" s="123">
        <f t="shared" si="36"/>
        <v>1</v>
      </c>
      <c r="K126" s="123">
        <f t="shared" si="36"/>
        <v>1</v>
      </c>
      <c r="L126" s="123">
        <f t="shared" si="36"/>
        <v>1</v>
      </c>
      <c r="M126" s="123">
        <f t="shared" si="36"/>
        <v>1</v>
      </c>
      <c r="N126" s="123">
        <f t="shared" si="36"/>
        <v>1</v>
      </c>
      <c r="O126" s="123">
        <f t="shared" si="36"/>
        <v>1</v>
      </c>
      <c r="P126" s="123">
        <f t="shared" si="36"/>
        <v>1</v>
      </c>
      <c r="Q126" s="123">
        <f t="shared" si="36"/>
        <v>1</v>
      </c>
      <c r="R126" s="123">
        <f t="shared" si="36"/>
        <v>1</v>
      </c>
      <c r="S126" s="123">
        <f t="shared" si="36"/>
        <v>1</v>
      </c>
      <c r="T126" s="123">
        <f t="shared" si="35"/>
        <v>1</v>
      </c>
      <c r="U126" s="123">
        <f t="shared" si="35"/>
        <v>1</v>
      </c>
      <c r="V126" s="123">
        <f t="shared" si="35"/>
        <v>1</v>
      </c>
      <c r="W126" s="123">
        <f t="shared" si="35"/>
        <v>1</v>
      </c>
      <c r="X126" s="123">
        <f t="shared" si="35"/>
        <v>1</v>
      </c>
      <c r="Y126" s="123">
        <f t="shared" si="35"/>
        <v>1</v>
      </c>
      <c r="Z126" s="123">
        <f t="shared" si="35"/>
        <v>1</v>
      </c>
      <c r="AA126" s="123">
        <f t="shared" si="35"/>
        <v>1</v>
      </c>
      <c r="AB126" s="123">
        <f t="shared" si="35"/>
        <v>1</v>
      </c>
      <c r="AC126" s="123">
        <f t="shared" si="35"/>
        <v>1</v>
      </c>
      <c r="AD126" s="123">
        <f t="shared" si="35"/>
        <v>1</v>
      </c>
      <c r="AE126" s="123">
        <f t="shared" si="35"/>
        <v>1</v>
      </c>
      <c r="AF126" s="123">
        <f t="shared" si="35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3"/>
        <v>1.58</v>
      </c>
      <c r="C127" s="124">
        <v>1.58</v>
      </c>
      <c r="D127" s="123">
        <f t="shared" si="36"/>
        <v>1.58</v>
      </c>
      <c r="E127" s="123">
        <f t="shared" si="36"/>
        <v>1.58</v>
      </c>
      <c r="F127" s="123">
        <f t="shared" si="36"/>
        <v>1.58</v>
      </c>
      <c r="G127" s="123">
        <f t="shared" si="36"/>
        <v>1.58</v>
      </c>
      <c r="H127" s="123">
        <f t="shared" si="36"/>
        <v>1.58</v>
      </c>
      <c r="I127" s="123">
        <f t="shared" si="36"/>
        <v>1.58</v>
      </c>
      <c r="J127" s="123">
        <f t="shared" si="36"/>
        <v>1.58</v>
      </c>
      <c r="K127" s="123">
        <f t="shared" si="36"/>
        <v>1.58</v>
      </c>
      <c r="L127" s="123">
        <f t="shared" si="36"/>
        <v>1.58</v>
      </c>
      <c r="M127" s="123">
        <f t="shared" si="36"/>
        <v>1.58</v>
      </c>
      <c r="N127" s="123">
        <f t="shared" si="36"/>
        <v>1.58</v>
      </c>
      <c r="O127" s="123">
        <f t="shared" si="36"/>
        <v>1.58</v>
      </c>
      <c r="P127" s="123">
        <f t="shared" si="36"/>
        <v>1.58</v>
      </c>
      <c r="Q127" s="123">
        <f t="shared" si="36"/>
        <v>1.58</v>
      </c>
      <c r="R127" s="123">
        <f t="shared" si="36"/>
        <v>1.58</v>
      </c>
      <c r="S127" s="123">
        <f t="shared" si="36"/>
        <v>1.58</v>
      </c>
      <c r="T127" s="123">
        <f t="shared" si="35"/>
        <v>1.58</v>
      </c>
      <c r="U127" s="123">
        <f t="shared" si="35"/>
        <v>1.58</v>
      </c>
      <c r="V127" s="123">
        <f t="shared" si="35"/>
        <v>1.58</v>
      </c>
      <c r="W127" s="123">
        <f t="shared" si="35"/>
        <v>1.58</v>
      </c>
      <c r="X127" s="123">
        <f t="shared" si="35"/>
        <v>1.58</v>
      </c>
      <c r="Y127" s="123">
        <f t="shared" si="35"/>
        <v>1.58</v>
      </c>
      <c r="Z127" s="123">
        <f t="shared" si="35"/>
        <v>1.58</v>
      </c>
      <c r="AA127" s="123">
        <f t="shared" si="35"/>
        <v>1.58</v>
      </c>
      <c r="AB127" s="123">
        <f t="shared" si="35"/>
        <v>1.58</v>
      </c>
      <c r="AC127" s="123">
        <f t="shared" si="35"/>
        <v>1.58</v>
      </c>
      <c r="AD127" s="123">
        <f t="shared" si="35"/>
        <v>1.58</v>
      </c>
      <c r="AE127" s="123">
        <f t="shared" si="35"/>
        <v>1.58</v>
      </c>
      <c r="AF127" s="123">
        <f t="shared" si="35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3"/>
        <v>1.46</v>
      </c>
      <c r="C128" s="124">
        <v>1.46</v>
      </c>
      <c r="D128" s="123">
        <f t="shared" si="36"/>
        <v>1.46</v>
      </c>
      <c r="E128" s="123">
        <f t="shared" si="36"/>
        <v>1.46</v>
      </c>
      <c r="F128" s="123">
        <f t="shared" si="36"/>
        <v>1.46</v>
      </c>
      <c r="G128" s="123">
        <f t="shared" si="36"/>
        <v>1.46</v>
      </c>
      <c r="H128" s="123">
        <f t="shared" si="36"/>
        <v>1.46</v>
      </c>
      <c r="I128" s="123">
        <f t="shared" si="36"/>
        <v>1.46</v>
      </c>
      <c r="J128" s="123">
        <f t="shared" si="36"/>
        <v>1.46</v>
      </c>
      <c r="K128" s="123">
        <f t="shared" si="36"/>
        <v>1.46</v>
      </c>
      <c r="L128" s="123">
        <f t="shared" si="36"/>
        <v>1.46</v>
      </c>
      <c r="M128" s="123">
        <f t="shared" si="36"/>
        <v>1.46</v>
      </c>
      <c r="N128" s="123">
        <f t="shared" si="36"/>
        <v>1.46</v>
      </c>
      <c r="O128" s="123">
        <f t="shared" si="36"/>
        <v>1.46</v>
      </c>
      <c r="P128" s="123">
        <f t="shared" si="36"/>
        <v>1.46</v>
      </c>
      <c r="Q128" s="123">
        <f t="shared" si="36"/>
        <v>1.46</v>
      </c>
      <c r="R128" s="123">
        <f t="shared" si="36"/>
        <v>1.46</v>
      </c>
      <c r="S128" s="123">
        <f t="shared" si="36"/>
        <v>1.46</v>
      </c>
      <c r="T128" s="123">
        <f t="shared" ref="T128:AF129" si="37">S128</f>
        <v>1.46</v>
      </c>
      <c r="U128" s="123">
        <f t="shared" si="37"/>
        <v>1.46</v>
      </c>
      <c r="V128" s="123">
        <f t="shared" si="37"/>
        <v>1.46</v>
      </c>
      <c r="W128" s="123">
        <f t="shared" si="37"/>
        <v>1.46</v>
      </c>
      <c r="X128" s="123">
        <f t="shared" si="37"/>
        <v>1.46</v>
      </c>
      <c r="Y128" s="123">
        <f t="shared" si="37"/>
        <v>1.46</v>
      </c>
      <c r="Z128" s="123">
        <f t="shared" si="37"/>
        <v>1.46</v>
      </c>
      <c r="AA128" s="123">
        <f t="shared" si="37"/>
        <v>1.46</v>
      </c>
      <c r="AB128" s="123">
        <f t="shared" si="37"/>
        <v>1.46</v>
      </c>
      <c r="AC128" s="123">
        <f t="shared" si="37"/>
        <v>1.46</v>
      </c>
      <c r="AD128" s="123">
        <f t="shared" si="37"/>
        <v>1.46</v>
      </c>
      <c r="AE128" s="123">
        <f t="shared" si="37"/>
        <v>1.46</v>
      </c>
      <c r="AF128" s="123">
        <f t="shared" si="37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3"/>
        <v>1.48</v>
      </c>
      <c r="C129" s="124">
        <v>1.48</v>
      </c>
      <c r="D129" s="123">
        <f t="shared" si="36"/>
        <v>1.48</v>
      </c>
      <c r="E129" s="123">
        <f t="shared" si="36"/>
        <v>1.48</v>
      </c>
      <c r="F129" s="123">
        <f t="shared" si="36"/>
        <v>1.48</v>
      </c>
      <c r="G129" s="123">
        <f t="shared" si="36"/>
        <v>1.48</v>
      </c>
      <c r="H129" s="123">
        <f t="shared" si="36"/>
        <v>1.48</v>
      </c>
      <c r="I129" s="123">
        <f t="shared" si="36"/>
        <v>1.48</v>
      </c>
      <c r="J129" s="123">
        <f t="shared" si="36"/>
        <v>1.48</v>
      </c>
      <c r="K129" s="123">
        <f t="shared" si="36"/>
        <v>1.48</v>
      </c>
      <c r="L129" s="123">
        <f t="shared" si="36"/>
        <v>1.48</v>
      </c>
      <c r="M129" s="123">
        <f t="shared" si="36"/>
        <v>1.48</v>
      </c>
      <c r="N129" s="123">
        <f t="shared" si="36"/>
        <v>1.48</v>
      </c>
      <c r="O129" s="123">
        <f t="shared" si="36"/>
        <v>1.48</v>
      </c>
      <c r="P129" s="123">
        <f t="shared" si="36"/>
        <v>1.48</v>
      </c>
      <c r="Q129" s="123">
        <f t="shared" si="36"/>
        <v>1.48</v>
      </c>
      <c r="R129" s="123">
        <f t="shared" si="36"/>
        <v>1.48</v>
      </c>
      <c r="S129" s="123">
        <f t="shared" si="36"/>
        <v>1.48</v>
      </c>
      <c r="T129" s="123">
        <f t="shared" si="37"/>
        <v>1.48</v>
      </c>
      <c r="U129" s="123">
        <f t="shared" si="37"/>
        <v>1.48</v>
      </c>
      <c r="V129" s="123">
        <f t="shared" si="37"/>
        <v>1.48</v>
      </c>
      <c r="W129" s="123">
        <f t="shared" si="37"/>
        <v>1.48</v>
      </c>
      <c r="X129" s="123">
        <f t="shared" si="37"/>
        <v>1.48</v>
      </c>
      <c r="Y129" s="123">
        <f t="shared" si="37"/>
        <v>1.48</v>
      </c>
      <c r="Z129" s="123">
        <f t="shared" si="37"/>
        <v>1.48</v>
      </c>
      <c r="AA129" s="123">
        <f t="shared" si="37"/>
        <v>1.48</v>
      </c>
      <c r="AB129" s="123">
        <f t="shared" si="37"/>
        <v>1.48</v>
      </c>
      <c r="AC129" s="123">
        <f t="shared" si="37"/>
        <v>1.48</v>
      </c>
      <c r="AD129" s="123">
        <f t="shared" si="37"/>
        <v>1.48</v>
      </c>
      <c r="AE129" s="123">
        <f t="shared" si="37"/>
        <v>1.48</v>
      </c>
      <c r="AF129" s="123">
        <f t="shared" si="37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8">AF131</f>
        <v>2.2000000000000002</v>
      </c>
      <c r="C131" s="124">
        <v>2.2000000000000002</v>
      </c>
      <c r="D131" s="123">
        <f t="shared" ref="D131:S138" si="39">C131</f>
        <v>2.2000000000000002</v>
      </c>
      <c r="E131" s="123">
        <f t="shared" si="39"/>
        <v>2.2000000000000002</v>
      </c>
      <c r="F131" s="123">
        <f t="shared" si="39"/>
        <v>2.2000000000000002</v>
      </c>
      <c r="G131" s="123">
        <f t="shared" si="39"/>
        <v>2.2000000000000002</v>
      </c>
      <c r="H131" s="123">
        <f t="shared" si="39"/>
        <v>2.2000000000000002</v>
      </c>
      <c r="I131" s="123">
        <f t="shared" si="39"/>
        <v>2.2000000000000002</v>
      </c>
      <c r="J131" s="123">
        <f t="shared" si="39"/>
        <v>2.2000000000000002</v>
      </c>
      <c r="K131" s="123">
        <f t="shared" si="39"/>
        <v>2.2000000000000002</v>
      </c>
      <c r="L131" s="123">
        <f t="shared" si="39"/>
        <v>2.2000000000000002</v>
      </c>
      <c r="M131" s="123">
        <f t="shared" si="39"/>
        <v>2.2000000000000002</v>
      </c>
      <c r="N131" s="123">
        <f t="shared" si="39"/>
        <v>2.2000000000000002</v>
      </c>
      <c r="O131" s="123">
        <f t="shared" si="39"/>
        <v>2.2000000000000002</v>
      </c>
      <c r="P131" s="123">
        <f t="shared" si="39"/>
        <v>2.2000000000000002</v>
      </c>
      <c r="Q131" s="123">
        <f t="shared" si="39"/>
        <v>2.2000000000000002</v>
      </c>
      <c r="R131" s="123">
        <f t="shared" si="39"/>
        <v>2.2000000000000002</v>
      </c>
      <c r="S131" s="123">
        <f t="shared" si="39"/>
        <v>2.2000000000000002</v>
      </c>
      <c r="T131" s="123">
        <f t="shared" ref="T131:AF138" si="40">S131</f>
        <v>2.2000000000000002</v>
      </c>
      <c r="U131" s="123">
        <f t="shared" si="40"/>
        <v>2.2000000000000002</v>
      </c>
      <c r="V131" s="123">
        <f t="shared" si="40"/>
        <v>2.2000000000000002</v>
      </c>
      <c r="W131" s="123">
        <f t="shared" si="40"/>
        <v>2.2000000000000002</v>
      </c>
      <c r="X131" s="123">
        <f t="shared" si="40"/>
        <v>2.2000000000000002</v>
      </c>
      <c r="Y131" s="123">
        <f t="shared" si="40"/>
        <v>2.2000000000000002</v>
      </c>
      <c r="Z131" s="123">
        <f t="shared" si="40"/>
        <v>2.2000000000000002</v>
      </c>
      <c r="AA131" s="123">
        <f t="shared" si="40"/>
        <v>2.2000000000000002</v>
      </c>
      <c r="AB131" s="123">
        <f t="shared" si="40"/>
        <v>2.2000000000000002</v>
      </c>
      <c r="AC131" s="123">
        <f t="shared" si="40"/>
        <v>2.2000000000000002</v>
      </c>
      <c r="AD131" s="123">
        <f t="shared" si="40"/>
        <v>2.2000000000000002</v>
      </c>
      <c r="AE131" s="123">
        <f t="shared" si="40"/>
        <v>2.2000000000000002</v>
      </c>
      <c r="AF131" s="123">
        <f t="shared" si="40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8"/>
        <v>2</v>
      </c>
      <c r="C132" s="124">
        <v>2</v>
      </c>
      <c r="D132" s="123">
        <f t="shared" si="39"/>
        <v>2</v>
      </c>
      <c r="E132" s="123">
        <f t="shared" si="39"/>
        <v>2</v>
      </c>
      <c r="F132" s="123">
        <f t="shared" si="39"/>
        <v>2</v>
      </c>
      <c r="G132" s="123">
        <f t="shared" si="39"/>
        <v>2</v>
      </c>
      <c r="H132" s="123">
        <f t="shared" si="39"/>
        <v>2</v>
      </c>
      <c r="I132" s="123">
        <f t="shared" si="39"/>
        <v>2</v>
      </c>
      <c r="J132" s="123">
        <f t="shared" si="39"/>
        <v>2</v>
      </c>
      <c r="K132" s="123">
        <f t="shared" si="39"/>
        <v>2</v>
      </c>
      <c r="L132" s="123">
        <f t="shared" si="39"/>
        <v>2</v>
      </c>
      <c r="M132" s="123">
        <f t="shared" si="39"/>
        <v>2</v>
      </c>
      <c r="N132" s="123">
        <f t="shared" si="39"/>
        <v>2</v>
      </c>
      <c r="O132" s="123">
        <f t="shared" si="39"/>
        <v>2</v>
      </c>
      <c r="P132" s="123">
        <f t="shared" si="39"/>
        <v>2</v>
      </c>
      <c r="Q132" s="123">
        <f t="shared" si="39"/>
        <v>2</v>
      </c>
      <c r="R132" s="123">
        <f t="shared" si="39"/>
        <v>2</v>
      </c>
      <c r="S132" s="123">
        <f t="shared" si="39"/>
        <v>2</v>
      </c>
      <c r="T132" s="123">
        <f t="shared" si="40"/>
        <v>2</v>
      </c>
      <c r="U132" s="123">
        <f t="shared" si="40"/>
        <v>2</v>
      </c>
      <c r="V132" s="123">
        <f t="shared" si="40"/>
        <v>2</v>
      </c>
      <c r="W132" s="123">
        <f t="shared" si="40"/>
        <v>2</v>
      </c>
      <c r="X132" s="123">
        <f t="shared" si="40"/>
        <v>2</v>
      </c>
      <c r="Y132" s="123">
        <f t="shared" si="40"/>
        <v>2</v>
      </c>
      <c r="Z132" s="123">
        <f t="shared" si="40"/>
        <v>2</v>
      </c>
      <c r="AA132" s="123">
        <f t="shared" si="40"/>
        <v>2</v>
      </c>
      <c r="AB132" s="123">
        <f t="shared" si="40"/>
        <v>2</v>
      </c>
      <c r="AC132" s="123">
        <f t="shared" si="40"/>
        <v>2</v>
      </c>
      <c r="AD132" s="123">
        <f t="shared" si="40"/>
        <v>2</v>
      </c>
      <c r="AE132" s="123">
        <f t="shared" si="40"/>
        <v>2</v>
      </c>
      <c r="AF132" s="123">
        <f t="shared" si="40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8"/>
        <v>1.25</v>
      </c>
      <c r="C133" s="124">
        <v>1.25</v>
      </c>
      <c r="D133" s="123">
        <f t="shared" si="39"/>
        <v>1.25</v>
      </c>
      <c r="E133" s="123">
        <f t="shared" si="39"/>
        <v>1.25</v>
      </c>
      <c r="F133" s="123">
        <f t="shared" si="39"/>
        <v>1.25</v>
      </c>
      <c r="G133" s="123">
        <f t="shared" si="39"/>
        <v>1.25</v>
      </c>
      <c r="H133" s="123">
        <f t="shared" si="39"/>
        <v>1.25</v>
      </c>
      <c r="I133" s="123">
        <f t="shared" si="39"/>
        <v>1.25</v>
      </c>
      <c r="J133" s="123">
        <f t="shared" si="39"/>
        <v>1.25</v>
      </c>
      <c r="K133" s="123">
        <f t="shared" si="39"/>
        <v>1.25</v>
      </c>
      <c r="L133" s="123">
        <f t="shared" si="39"/>
        <v>1.25</v>
      </c>
      <c r="M133" s="123">
        <f t="shared" si="39"/>
        <v>1.25</v>
      </c>
      <c r="N133" s="123">
        <f t="shared" si="39"/>
        <v>1.25</v>
      </c>
      <c r="O133" s="123">
        <f t="shared" si="39"/>
        <v>1.25</v>
      </c>
      <c r="P133" s="123">
        <f t="shared" si="39"/>
        <v>1.25</v>
      </c>
      <c r="Q133" s="123">
        <f t="shared" si="39"/>
        <v>1.25</v>
      </c>
      <c r="R133" s="123">
        <f t="shared" si="39"/>
        <v>1.25</v>
      </c>
      <c r="S133" s="123">
        <f t="shared" si="39"/>
        <v>1.25</v>
      </c>
      <c r="T133" s="123">
        <f t="shared" si="40"/>
        <v>1.25</v>
      </c>
      <c r="U133" s="123">
        <f t="shared" si="40"/>
        <v>1.25</v>
      </c>
      <c r="V133" s="123">
        <f t="shared" si="40"/>
        <v>1.25</v>
      </c>
      <c r="W133" s="123">
        <f t="shared" si="40"/>
        <v>1.25</v>
      </c>
      <c r="X133" s="123">
        <f t="shared" si="40"/>
        <v>1.25</v>
      </c>
      <c r="Y133" s="123">
        <f t="shared" si="40"/>
        <v>1.25</v>
      </c>
      <c r="Z133" s="123">
        <f t="shared" si="40"/>
        <v>1.25</v>
      </c>
      <c r="AA133" s="123">
        <f t="shared" si="40"/>
        <v>1.25</v>
      </c>
      <c r="AB133" s="123">
        <f t="shared" si="40"/>
        <v>1.25</v>
      </c>
      <c r="AC133" s="123">
        <f t="shared" si="40"/>
        <v>1.25</v>
      </c>
      <c r="AD133" s="123">
        <f t="shared" si="40"/>
        <v>1.25</v>
      </c>
      <c r="AE133" s="123">
        <f t="shared" si="40"/>
        <v>1.25</v>
      </c>
      <c r="AF133" s="123">
        <f t="shared" si="40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8"/>
        <v>1.1499999999999999</v>
      </c>
      <c r="C134" s="124">
        <v>1.1499999999999999</v>
      </c>
      <c r="D134" s="123">
        <f t="shared" si="39"/>
        <v>1.1499999999999999</v>
      </c>
      <c r="E134" s="123">
        <f t="shared" si="39"/>
        <v>1.1499999999999999</v>
      </c>
      <c r="F134" s="123">
        <f t="shared" si="39"/>
        <v>1.1499999999999999</v>
      </c>
      <c r="G134" s="123">
        <f t="shared" si="39"/>
        <v>1.1499999999999999</v>
      </c>
      <c r="H134" s="123">
        <f t="shared" si="39"/>
        <v>1.1499999999999999</v>
      </c>
      <c r="I134" s="123">
        <f t="shared" si="39"/>
        <v>1.1499999999999999</v>
      </c>
      <c r="J134" s="123">
        <f t="shared" si="39"/>
        <v>1.1499999999999999</v>
      </c>
      <c r="K134" s="123">
        <f t="shared" si="39"/>
        <v>1.1499999999999999</v>
      </c>
      <c r="L134" s="123">
        <f t="shared" si="39"/>
        <v>1.1499999999999999</v>
      </c>
      <c r="M134" s="123">
        <f t="shared" si="39"/>
        <v>1.1499999999999999</v>
      </c>
      <c r="N134" s="123">
        <f t="shared" si="39"/>
        <v>1.1499999999999999</v>
      </c>
      <c r="O134" s="123">
        <f t="shared" si="39"/>
        <v>1.1499999999999999</v>
      </c>
      <c r="P134" s="123">
        <f t="shared" si="39"/>
        <v>1.1499999999999999</v>
      </c>
      <c r="Q134" s="123">
        <f t="shared" si="39"/>
        <v>1.1499999999999999</v>
      </c>
      <c r="R134" s="123">
        <f t="shared" si="39"/>
        <v>1.1499999999999999</v>
      </c>
      <c r="S134" s="123">
        <f t="shared" si="39"/>
        <v>1.1499999999999999</v>
      </c>
      <c r="T134" s="123">
        <f t="shared" si="40"/>
        <v>1.1499999999999999</v>
      </c>
      <c r="U134" s="123">
        <f t="shared" si="40"/>
        <v>1.1499999999999999</v>
      </c>
      <c r="V134" s="123">
        <f t="shared" si="40"/>
        <v>1.1499999999999999</v>
      </c>
      <c r="W134" s="123">
        <f t="shared" si="40"/>
        <v>1.1499999999999999</v>
      </c>
      <c r="X134" s="123">
        <f t="shared" si="40"/>
        <v>1.1499999999999999</v>
      </c>
      <c r="Y134" s="123">
        <f t="shared" si="40"/>
        <v>1.1499999999999999</v>
      </c>
      <c r="Z134" s="123">
        <f t="shared" si="40"/>
        <v>1.1499999999999999</v>
      </c>
      <c r="AA134" s="123">
        <f t="shared" si="40"/>
        <v>1.1499999999999999</v>
      </c>
      <c r="AB134" s="123">
        <f t="shared" si="40"/>
        <v>1.1499999999999999</v>
      </c>
      <c r="AC134" s="123">
        <f t="shared" si="40"/>
        <v>1.1499999999999999</v>
      </c>
      <c r="AD134" s="123">
        <f t="shared" si="40"/>
        <v>1.1499999999999999</v>
      </c>
      <c r="AE134" s="123">
        <f t="shared" si="40"/>
        <v>1.1499999999999999</v>
      </c>
      <c r="AF134" s="123">
        <f t="shared" si="40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8"/>
        <v>2.133</v>
      </c>
      <c r="C135" s="124">
        <v>2.133</v>
      </c>
      <c r="D135" s="123">
        <f t="shared" si="39"/>
        <v>2.133</v>
      </c>
      <c r="E135" s="123">
        <f t="shared" si="39"/>
        <v>2.133</v>
      </c>
      <c r="F135" s="123">
        <f t="shared" si="39"/>
        <v>2.133</v>
      </c>
      <c r="G135" s="123">
        <f t="shared" si="39"/>
        <v>2.133</v>
      </c>
      <c r="H135" s="123">
        <f t="shared" si="39"/>
        <v>2.133</v>
      </c>
      <c r="I135" s="123">
        <f t="shared" si="39"/>
        <v>2.133</v>
      </c>
      <c r="J135" s="123">
        <f t="shared" si="39"/>
        <v>2.133</v>
      </c>
      <c r="K135" s="123">
        <f t="shared" si="39"/>
        <v>2.133</v>
      </c>
      <c r="L135" s="123">
        <f t="shared" si="39"/>
        <v>2.133</v>
      </c>
      <c r="M135" s="123">
        <f t="shared" si="39"/>
        <v>2.133</v>
      </c>
      <c r="N135" s="123">
        <f t="shared" si="39"/>
        <v>2.133</v>
      </c>
      <c r="O135" s="123">
        <f t="shared" si="39"/>
        <v>2.133</v>
      </c>
      <c r="P135" s="123">
        <f t="shared" si="39"/>
        <v>2.133</v>
      </c>
      <c r="Q135" s="123">
        <f t="shared" si="39"/>
        <v>2.133</v>
      </c>
      <c r="R135" s="123">
        <f t="shared" si="39"/>
        <v>2.133</v>
      </c>
      <c r="S135" s="123">
        <f t="shared" si="39"/>
        <v>2.133</v>
      </c>
      <c r="T135" s="123">
        <f t="shared" si="40"/>
        <v>2.133</v>
      </c>
      <c r="U135" s="123">
        <f t="shared" si="40"/>
        <v>2.133</v>
      </c>
      <c r="V135" s="123">
        <f t="shared" si="40"/>
        <v>2.133</v>
      </c>
      <c r="W135" s="123">
        <f t="shared" si="40"/>
        <v>2.133</v>
      </c>
      <c r="X135" s="123">
        <f t="shared" si="40"/>
        <v>2.133</v>
      </c>
      <c r="Y135" s="123">
        <f t="shared" si="40"/>
        <v>2.133</v>
      </c>
      <c r="Z135" s="123">
        <f t="shared" si="40"/>
        <v>2.133</v>
      </c>
      <c r="AA135" s="123">
        <f t="shared" si="40"/>
        <v>2.133</v>
      </c>
      <c r="AB135" s="123">
        <f t="shared" si="40"/>
        <v>2.133</v>
      </c>
      <c r="AC135" s="123">
        <f t="shared" si="40"/>
        <v>2.133</v>
      </c>
      <c r="AD135" s="123">
        <f t="shared" si="40"/>
        <v>2.133</v>
      </c>
      <c r="AE135" s="123">
        <f t="shared" si="40"/>
        <v>2.133</v>
      </c>
      <c r="AF135" s="123">
        <f t="shared" si="40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8"/>
        <v>2.09</v>
      </c>
      <c r="C136" s="124">
        <v>2.09</v>
      </c>
      <c r="D136" s="123">
        <f t="shared" si="39"/>
        <v>2.09</v>
      </c>
      <c r="E136" s="123">
        <f t="shared" si="39"/>
        <v>2.09</v>
      </c>
      <c r="F136" s="123">
        <f t="shared" si="39"/>
        <v>2.09</v>
      </c>
      <c r="G136" s="123">
        <f t="shared" si="39"/>
        <v>2.09</v>
      </c>
      <c r="H136" s="123">
        <f t="shared" si="39"/>
        <v>2.09</v>
      </c>
      <c r="I136" s="123">
        <f t="shared" si="39"/>
        <v>2.09</v>
      </c>
      <c r="J136" s="123">
        <f t="shared" si="39"/>
        <v>2.09</v>
      </c>
      <c r="K136" s="123">
        <f t="shared" si="39"/>
        <v>2.09</v>
      </c>
      <c r="L136" s="123">
        <f t="shared" si="39"/>
        <v>2.09</v>
      </c>
      <c r="M136" s="123">
        <f t="shared" si="39"/>
        <v>2.09</v>
      </c>
      <c r="N136" s="123">
        <f t="shared" si="39"/>
        <v>2.09</v>
      </c>
      <c r="O136" s="123">
        <f t="shared" si="39"/>
        <v>2.09</v>
      </c>
      <c r="P136" s="123">
        <f t="shared" si="39"/>
        <v>2.09</v>
      </c>
      <c r="Q136" s="123">
        <f t="shared" si="39"/>
        <v>2.09</v>
      </c>
      <c r="R136" s="123">
        <f t="shared" si="39"/>
        <v>2.09</v>
      </c>
      <c r="S136" s="123">
        <f t="shared" si="39"/>
        <v>2.09</v>
      </c>
      <c r="T136" s="123">
        <f t="shared" si="40"/>
        <v>2.09</v>
      </c>
      <c r="U136" s="123">
        <f t="shared" si="40"/>
        <v>2.09</v>
      </c>
      <c r="V136" s="123">
        <f t="shared" si="40"/>
        <v>2.09</v>
      </c>
      <c r="W136" s="123">
        <f t="shared" si="40"/>
        <v>2.09</v>
      </c>
      <c r="X136" s="123">
        <f t="shared" si="40"/>
        <v>2.09</v>
      </c>
      <c r="Y136" s="123">
        <f t="shared" si="40"/>
        <v>2.09</v>
      </c>
      <c r="Z136" s="123">
        <f t="shared" si="40"/>
        <v>2.09</v>
      </c>
      <c r="AA136" s="123">
        <f t="shared" si="40"/>
        <v>2.09</v>
      </c>
      <c r="AB136" s="123">
        <f t="shared" si="40"/>
        <v>2.09</v>
      </c>
      <c r="AC136" s="123">
        <f t="shared" si="40"/>
        <v>2.09</v>
      </c>
      <c r="AD136" s="123">
        <f t="shared" si="40"/>
        <v>2.09</v>
      </c>
      <c r="AE136" s="123">
        <f t="shared" si="40"/>
        <v>2.09</v>
      </c>
      <c r="AF136" s="123">
        <f t="shared" si="40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8"/>
        <v>1.1399999999999999</v>
      </c>
      <c r="C137" s="124">
        <v>1.1399999999999999</v>
      </c>
      <c r="D137" s="123">
        <f t="shared" si="39"/>
        <v>1.1399999999999999</v>
      </c>
      <c r="E137" s="123">
        <f t="shared" si="39"/>
        <v>1.1399999999999999</v>
      </c>
      <c r="F137" s="123">
        <f t="shared" si="39"/>
        <v>1.1399999999999999</v>
      </c>
      <c r="G137" s="123">
        <f t="shared" si="39"/>
        <v>1.1399999999999999</v>
      </c>
      <c r="H137" s="123">
        <f t="shared" si="39"/>
        <v>1.1399999999999999</v>
      </c>
      <c r="I137" s="123">
        <f t="shared" si="39"/>
        <v>1.1399999999999999</v>
      </c>
      <c r="J137" s="123">
        <f t="shared" si="39"/>
        <v>1.1399999999999999</v>
      </c>
      <c r="K137" s="123">
        <f t="shared" si="39"/>
        <v>1.1399999999999999</v>
      </c>
      <c r="L137" s="123">
        <f t="shared" si="39"/>
        <v>1.1399999999999999</v>
      </c>
      <c r="M137" s="123">
        <f t="shared" si="39"/>
        <v>1.1399999999999999</v>
      </c>
      <c r="N137" s="123">
        <f t="shared" si="39"/>
        <v>1.1399999999999999</v>
      </c>
      <c r="O137" s="123">
        <f t="shared" si="39"/>
        <v>1.1399999999999999</v>
      </c>
      <c r="P137" s="123">
        <f t="shared" si="39"/>
        <v>1.1399999999999999</v>
      </c>
      <c r="Q137" s="123">
        <f t="shared" si="39"/>
        <v>1.1399999999999999</v>
      </c>
      <c r="R137" s="123">
        <f t="shared" si="39"/>
        <v>1.1399999999999999</v>
      </c>
      <c r="S137" s="123">
        <f t="shared" si="39"/>
        <v>1.1399999999999999</v>
      </c>
      <c r="T137" s="123">
        <f t="shared" si="40"/>
        <v>1.1399999999999999</v>
      </c>
      <c r="U137" s="123">
        <f t="shared" si="40"/>
        <v>1.1399999999999999</v>
      </c>
      <c r="V137" s="123">
        <f t="shared" si="40"/>
        <v>1.1399999999999999</v>
      </c>
      <c r="W137" s="123">
        <f t="shared" si="40"/>
        <v>1.1399999999999999</v>
      </c>
      <c r="X137" s="123">
        <f t="shared" si="40"/>
        <v>1.1399999999999999</v>
      </c>
      <c r="Y137" s="123">
        <f t="shared" si="40"/>
        <v>1.1399999999999999</v>
      </c>
      <c r="Z137" s="123">
        <f t="shared" si="40"/>
        <v>1.1399999999999999</v>
      </c>
      <c r="AA137" s="123">
        <f t="shared" si="40"/>
        <v>1.1399999999999999</v>
      </c>
      <c r="AB137" s="123">
        <f t="shared" si="40"/>
        <v>1.1399999999999999</v>
      </c>
      <c r="AC137" s="123">
        <f t="shared" si="40"/>
        <v>1.1399999999999999</v>
      </c>
      <c r="AD137" s="123">
        <f t="shared" si="40"/>
        <v>1.1399999999999999</v>
      </c>
      <c r="AE137" s="123">
        <f t="shared" si="40"/>
        <v>1.1399999999999999</v>
      </c>
      <c r="AF137" s="123">
        <f t="shared" si="40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8"/>
        <v>0.82</v>
      </c>
      <c r="C138" s="124">
        <v>0.82</v>
      </c>
      <c r="D138" s="123">
        <f t="shared" si="39"/>
        <v>0.82</v>
      </c>
      <c r="E138" s="123">
        <f t="shared" si="39"/>
        <v>0.82</v>
      </c>
      <c r="F138" s="123">
        <f t="shared" si="39"/>
        <v>0.82</v>
      </c>
      <c r="G138" s="123">
        <f t="shared" si="39"/>
        <v>0.82</v>
      </c>
      <c r="H138" s="123">
        <f t="shared" si="39"/>
        <v>0.82</v>
      </c>
      <c r="I138" s="123">
        <f t="shared" si="39"/>
        <v>0.82</v>
      </c>
      <c r="J138" s="123">
        <f t="shared" si="39"/>
        <v>0.82</v>
      </c>
      <c r="K138" s="123">
        <f t="shared" si="39"/>
        <v>0.82</v>
      </c>
      <c r="L138" s="123">
        <f t="shared" si="39"/>
        <v>0.82</v>
      </c>
      <c r="M138" s="123">
        <f t="shared" si="39"/>
        <v>0.82</v>
      </c>
      <c r="N138" s="123">
        <f t="shared" si="39"/>
        <v>0.82</v>
      </c>
      <c r="O138" s="123">
        <f t="shared" si="39"/>
        <v>0.82</v>
      </c>
      <c r="P138" s="123">
        <f t="shared" si="39"/>
        <v>0.82</v>
      </c>
      <c r="Q138" s="123">
        <f t="shared" si="39"/>
        <v>0.82</v>
      </c>
      <c r="R138" s="123">
        <f t="shared" si="39"/>
        <v>0.82</v>
      </c>
      <c r="S138" s="123">
        <f t="shared" si="39"/>
        <v>0.82</v>
      </c>
      <c r="T138" s="123">
        <f t="shared" si="40"/>
        <v>0.82</v>
      </c>
      <c r="U138" s="123">
        <f t="shared" si="40"/>
        <v>0.82</v>
      </c>
      <c r="V138" s="123">
        <f t="shared" si="40"/>
        <v>0.82</v>
      </c>
      <c r="W138" s="123">
        <f t="shared" si="40"/>
        <v>0.82</v>
      </c>
      <c r="X138" s="123">
        <f t="shared" si="40"/>
        <v>0.82</v>
      </c>
      <c r="Y138" s="123">
        <f t="shared" si="40"/>
        <v>0.82</v>
      </c>
      <c r="Z138" s="123">
        <f t="shared" si="40"/>
        <v>0.82</v>
      </c>
      <c r="AA138" s="123">
        <f t="shared" si="40"/>
        <v>0.82</v>
      </c>
      <c r="AB138" s="123">
        <f t="shared" si="40"/>
        <v>0.82</v>
      </c>
      <c r="AC138" s="123">
        <f t="shared" si="40"/>
        <v>0.82</v>
      </c>
      <c r="AD138" s="123">
        <f t="shared" si="40"/>
        <v>0.82</v>
      </c>
      <c r="AE138" s="123">
        <f t="shared" si="40"/>
        <v>0.82</v>
      </c>
      <c r="AF138" s="123">
        <f t="shared" si="40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1">AF140</f>
        <v>2</v>
      </c>
      <c r="C140" s="124">
        <v>2</v>
      </c>
      <c r="D140" s="123">
        <f t="shared" ref="D140:S146" si="42">C140</f>
        <v>2</v>
      </c>
      <c r="E140" s="123">
        <f t="shared" si="42"/>
        <v>2</v>
      </c>
      <c r="F140" s="123">
        <f t="shared" si="42"/>
        <v>2</v>
      </c>
      <c r="G140" s="123">
        <f t="shared" si="42"/>
        <v>2</v>
      </c>
      <c r="H140" s="123">
        <f t="shared" si="42"/>
        <v>2</v>
      </c>
      <c r="I140" s="123">
        <f t="shared" si="42"/>
        <v>2</v>
      </c>
      <c r="J140" s="123">
        <f t="shared" si="42"/>
        <v>2</v>
      </c>
      <c r="K140" s="123">
        <f t="shared" si="42"/>
        <v>2</v>
      </c>
      <c r="L140" s="123">
        <f t="shared" si="42"/>
        <v>2</v>
      </c>
      <c r="M140" s="123">
        <f t="shared" si="42"/>
        <v>2</v>
      </c>
      <c r="N140" s="123">
        <f t="shared" si="42"/>
        <v>2</v>
      </c>
      <c r="O140" s="123">
        <f t="shared" si="42"/>
        <v>2</v>
      </c>
      <c r="P140" s="123">
        <f t="shared" si="42"/>
        <v>2</v>
      </c>
      <c r="Q140" s="123">
        <f t="shared" si="42"/>
        <v>2</v>
      </c>
      <c r="R140" s="123">
        <f t="shared" si="42"/>
        <v>2</v>
      </c>
      <c r="S140" s="123">
        <f t="shared" si="42"/>
        <v>2</v>
      </c>
      <c r="T140" s="123">
        <f t="shared" ref="T140:AF146" si="43">S140</f>
        <v>2</v>
      </c>
      <c r="U140" s="123">
        <f t="shared" si="43"/>
        <v>2</v>
      </c>
      <c r="V140" s="123">
        <f t="shared" si="43"/>
        <v>2</v>
      </c>
      <c r="W140" s="123">
        <f t="shared" si="43"/>
        <v>2</v>
      </c>
      <c r="X140" s="123">
        <f t="shared" si="43"/>
        <v>2</v>
      </c>
      <c r="Y140" s="123">
        <f t="shared" si="43"/>
        <v>2</v>
      </c>
      <c r="Z140" s="123">
        <f t="shared" si="43"/>
        <v>2</v>
      </c>
      <c r="AA140" s="123">
        <f t="shared" si="43"/>
        <v>2</v>
      </c>
      <c r="AB140" s="123">
        <f t="shared" si="43"/>
        <v>2</v>
      </c>
      <c r="AC140" s="123">
        <f t="shared" si="43"/>
        <v>2</v>
      </c>
      <c r="AD140" s="123">
        <f t="shared" si="43"/>
        <v>2</v>
      </c>
      <c r="AE140" s="123">
        <f t="shared" si="43"/>
        <v>2</v>
      </c>
      <c r="AF140" s="123">
        <f t="shared" si="43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1"/>
        <v>5.61</v>
      </c>
      <c r="C141" s="124">
        <v>5.61</v>
      </c>
      <c r="D141" s="123">
        <f t="shared" si="42"/>
        <v>5.61</v>
      </c>
      <c r="E141" s="123">
        <f t="shared" si="42"/>
        <v>5.61</v>
      </c>
      <c r="F141" s="123">
        <f t="shared" si="42"/>
        <v>5.61</v>
      </c>
      <c r="G141" s="123">
        <f t="shared" si="42"/>
        <v>5.61</v>
      </c>
      <c r="H141" s="123">
        <f t="shared" si="42"/>
        <v>5.61</v>
      </c>
      <c r="I141" s="123">
        <f t="shared" si="42"/>
        <v>5.61</v>
      </c>
      <c r="J141" s="123">
        <f t="shared" si="42"/>
        <v>5.61</v>
      </c>
      <c r="K141" s="123">
        <f t="shared" si="42"/>
        <v>5.61</v>
      </c>
      <c r="L141" s="123">
        <f t="shared" si="42"/>
        <v>5.61</v>
      </c>
      <c r="M141" s="123">
        <f t="shared" si="42"/>
        <v>5.61</v>
      </c>
      <c r="N141" s="123">
        <f t="shared" si="42"/>
        <v>5.61</v>
      </c>
      <c r="O141" s="123">
        <f t="shared" si="42"/>
        <v>5.61</v>
      </c>
      <c r="P141" s="123">
        <f t="shared" si="42"/>
        <v>5.61</v>
      </c>
      <c r="Q141" s="123">
        <f t="shared" si="42"/>
        <v>5.61</v>
      </c>
      <c r="R141" s="123">
        <f t="shared" si="42"/>
        <v>5.61</v>
      </c>
      <c r="S141" s="123">
        <f t="shared" si="42"/>
        <v>5.61</v>
      </c>
      <c r="T141" s="123">
        <f t="shared" si="43"/>
        <v>5.61</v>
      </c>
      <c r="U141" s="123">
        <f t="shared" si="43"/>
        <v>5.61</v>
      </c>
      <c r="V141" s="123">
        <f t="shared" si="43"/>
        <v>5.61</v>
      </c>
      <c r="W141" s="123">
        <f t="shared" si="43"/>
        <v>5.61</v>
      </c>
      <c r="X141" s="123">
        <f t="shared" si="43"/>
        <v>5.61</v>
      </c>
      <c r="Y141" s="123">
        <f t="shared" si="43"/>
        <v>5.61</v>
      </c>
      <c r="Z141" s="123">
        <f t="shared" si="43"/>
        <v>5.61</v>
      </c>
      <c r="AA141" s="123">
        <f t="shared" si="43"/>
        <v>5.61</v>
      </c>
      <c r="AB141" s="123">
        <f t="shared" si="43"/>
        <v>5.61</v>
      </c>
      <c r="AC141" s="123">
        <f t="shared" si="43"/>
        <v>5.61</v>
      </c>
      <c r="AD141" s="123">
        <f t="shared" si="43"/>
        <v>5.61</v>
      </c>
      <c r="AE141" s="123">
        <f t="shared" si="43"/>
        <v>5.61</v>
      </c>
      <c r="AF141" s="123">
        <f t="shared" si="43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1"/>
        <v>1.25</v>
      </c>
      <c r="C142" s="124">
        <v>1.25</v>
      </c>
      <c r="D142" s="123">
        <f t="shared" si="42"/>
        <v>1.25</v>
      </c>
      <c r="E142" s="123">
        <f t="shared" si="42"/>
        <v>1.25</v>
      </c>
      <c r="F142" s="123">
        <f t="shared" si="42"/>
        <v>1.25</v>
      </c>
      <c r="G142" s="123">
        <f t="shared" si="42"/>
        <v>1.25</v>
      </c>
      <c r="H142" s="123">
        <f t="shared" si="42"/>
        <v>1.25</v>
      </c>
      <c r="I142" s="123">
        <f t="shared" si="42"/>
        <v>1.25</v>
      </c>
      <c r="J142" s="123">
        <f t="shared" si="42"/>
        <v>1.25</v>
      </c>
      <c r="K142" s="123">
        <f t="shared" si="42"/>
        <v>1.25</v>
      </c>
      <c r="L142" s="123">
        <f t="shared" si="42"/>
        <v>1.25</v>
      </c>
      <c r="M142" s="123">
        <f t="shared" si="42"/>
        <v>1.25</v>
      </c>
      <c r="N142" s="123">
        <f t="shared" si="42"/>
        <v>1.25</v>
      </c>
      <c r="O142" s="123">
        <f t="shared" si="42"/>
        <v>1.25</v>
      </c>
      <c r="P142" s="123">
        <f t="shared" si="42"/>
        <v>1.25</v>
      </c>
      <c r="Q142" s="123">
        <f t="shared" si="42"/>
        <v>1.25</v>
      </c>
      <c r="R142" s="123">
        <f t="shared" si="42"/>
        <v>1.25</v>
      </c>
      <c r="S142" s="123">
        <f t="shared" si="42"/>
        <v>1.25</v>
      </c>
      <c r="T142" s="123">
        <f t="shared" si="43"/>
        <v>1.25</v>
      </c>
      <c r="U142" s="123">
        <f t="shared" si="43"/>
        <v>1.25</v>
      </c>
      <c r="V142" s="123">
        <f t="shared" si="43"/>
        <v>1.25</v>
      </c>
      <c r="W142" s="123">
        <f t="shared" si="43"/>
        <v>1.25</v>
      </c>
      <c r="X142" s="123">
        <f t="shared" si="43"/>
        <v>1.25</v>
      </c>
      <c r="Y142" s="123">
        <f t="shared" si="43"/>
        <v>1.25</v>
      </c>
      <c r="Z142" s="123">
        <f t="shared" si="43"/>
        <v>1.25</v>
      </c>
      <c r="AA142" s="123">
        <f t="shared" si="43"/>
        <v>1.25</v>
      </c>
      <c r="AB142" s="123">
        <f t="shared" si="43"/>
        <v>1.25</v>
      </c>
      <c r="AC142" s="123">
        <f t="shared" si="43"/>
        <v>1.25</v>
      </c>
      <c r="AD142" s="123">
        <f t="shared" si="43"/>
        <v>1.25</v>
      </c>
      <c r="AE142" s="123">
        <f t="shared" si="43"/>
        <v>1.25</v>
      </c>
      <c r="AF142" s="123">
        <f t="shared" si="43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1"/>
        <v>1.25</v>
      </c>
      <c r="C143" s="124">
        <v>1.25</v>
      </c>
      <c r="D143" s="123">
        <f t="shared" si="42"/>
        <v>1.25</v>
      </c>
      <c r="E143" s="123">
        <f t="shared" si="42"/>
        <v>1.25</v>
      </c>
      <c r="F143" s="123">
        <f t="shared" si="42"/>
        <v>1.25</v>
      </c>
      <c r="G143" s="123">
        <f t="shared" si="42"/>
        <v>1.25</v>
      </c>
      <c r="H143" s="123">
        <f t="shared" si="42"/>
        <v>1.25</v>
      </c>
      <c r="I143" s="123">
        <f t="shared" si="42"/>
        <v>1.25</v>
      </c>
      <c r="J143" s="123">
        <f t="shared" si="42"/>
        <v>1.25</v>
      </c>
      <c r="K143" s="123">
        <f t="shared" si="42"/>
        <v>1.25</v>
      </c>
      <c r="L143" s="123">
        <f t="shared" si="42"/>
        <v>1.25</v>
      </c>
      <c r="M143" s="123">
        <f t="shared" si="42"/>
        <v>1.25</v>
      </c>
      <c r="N143" s="123">
        <f t="shared" si="42"/>
        <v>1.25</v>
      </c>
      <c r="O143" s="123">
        <f t="shared" si="42"/>
        <v>1.25</v>
      </c>
      <c r="P143" s="123">
        <f t="shared" si="42"/>
        <v>1.25</v>
      </c>
      <c r="Q143" s="123">
        <f t="shared" si="42"/>
        <v>1.25</v>
      </c>
      <c r="R143" s="123">
        <f t="shared" si="42"/>
        <v>1.25</v>
      </c>
      <c r="S143" s="123">
        <f t="shared" si="42"/>
        <v>1.25</v>
      </c>
      <c r="T143" s="123">
        <f t="shared" si="43"/>
        <v>1.25</v>
      </c>
      <c r="U143" s="123">
        <f t="shared" si="43"/>
        <v>1.25</v>
      </c>
      <c r="V143" s="123">
        <f t="shared" si="43"/>
        <v>1.25</v>
      </c>
      <c r="W143" s="123">
        <f t="shared" si="43"/>
        <v>1.25</v>
      </c>
      <c r="X143" s="123">
        <f t="shared" si="43"/>
        <v>1.25</v>
      </c>
      <c r="Y143" s="123">
        <f t="shared" si="43"/>
        <v>1.25</v>
      </c>
      <c r="Z143" s="123">
        <f t="shared" si="43"/>
        <v>1.25</v>
      </c>
      <c r="AA143" s="123">
        <f t="shared" si="43"/>
        <v>1.25</v>
      </c>
      <c r="AB143" s="123">
        <f t="shared" si="43"/>
        <v>1.25</v>
      </c>
      <c r="AC143" s="123">
        <f t="shared" si="43"/>
        <v>1.25</v>
      </c>
      <c r="AD143" s="123">
        <f t="shared" si="43"/>
        <v>1.25</v>
      </c>
      <c r="AE143" s="123">
        <f t="shared" si="43"/>
        <v>1.25</v>
      </c>
      <c r="AF143" s="123">
        <f t="shared" si="43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1"/>
        <v>1.46</v>
      </c>
      <c r="C144" s="124">
        <v>1.46</v>
      </c>
      <c r="D144" s="123">
        <f t="shared" si="42"/>
        <v>1.46</v>
      </c>
      <c r="E144" s="123">
        <f t="shared" si="42"/>
        <v>1.46</v>
      </c>
      <c r="F144" s="123">
        <f t="shared" si="42"/>
        <v>1.46</v>
      </c>
      <c r="G144" s="123">
        <f t="shared" si="42"/>
        <v>1.46</v>
      </c>
      <c r="H144" s="123">
        <f t="shared" si="42"/>
        <v>1.46</v>
      </c>
      <c r="I144" s="123">
        <f t="shared" si="42"/>
        <v>1.46</v>
      </c>
      <c r="J144" s="123">
        <f t="shared" si="42"/>
        <v>1.46</v>
      </c>
      <c r="K144" s="123">
        <f t="shared" si="42"/>
        <v>1.46</v>
      </c>
      <c r="L144" s="123">
        <f t="shared" si="42"/>
        <v>1.46</v>
      </c>
      <c r="M144" s="123">
        <f t="shared" si="42"/>
        <v>1.46</v>
      </c>
      <c r="N144" s="123">
        <f t="shared" si="42"/>
        <v>1.46</v>
      </c>
      <c r="O144" s="123">
        <f t="shared" si="42"/>
        <v>1.46</v>
      </c>
      <c r="P144" s="123">
        <f t="shared" si="42"/>
        <v>1.46</v>
      </c>
      <c r="Q144" s="123">
        <f t="shared" si="42"/>
        <v>1.46</v>
      </c>
      <c r="R144" s="123">
        <f t="shared" si="42"/>
        <v>1.46</v>
      </c>
      <c r="S144" s="123">
        <f t="shared" si="42"/>
        <v>1.46</v>
      </c>
      <c r="T144" s="123">
        <f t="shared" si="43"/>
        <v>1.46</v>
      </c>
      <c r="U144" s="123">
        <f t="shared" si="43"/>
        <v>1.46</v>
      </c>
      <c r="V144" s="123">
        <f t="shared" si="43"/>
        <v>1.46</v>
      </c>
      <c r="W144" s="123">
        <f t="shared" si="43"/>
        <v>1.46</v>
      </c>
      <c r="X144" s="123">
        <f t="shared" si="43"/>
        <v>1.46</v>
      </c>
      <c r="Y144" s="123">
        <f t="shared" si="43"/>
        <v>1.46</v>
      </c>
      <c r="Z144" s="123">
        <f t="shared" si="43"/>
        <v>1.46</v>
      </c>
      <c r="AA144" s="123">
        <f t="shared" si="43"/>
        <v>1.46</v>
      </c>
      <c r="AB144" s="123">
        <f t="shared" si="43"/>
        <v>1.46</v>
      </c>
      <c r="AC144" s="123">
        <f t="shared" si="43"/>
        <v>1.46</v>
      </c>
      <c r="AD144" s="123">
        <f t="shared" si="43"/>
        <v>1.46</v>
      </c>
      <c r="AE144" s="123">
        <f t="shared" si="43"/>
        <v>1.46</v>
      </c>
      <c r="AF144" s="123">
        <f t="shared" si="43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1"/>
        <v>3</v>
      </c>
      <c r="C145" s="124">
        <v>3</v>
      </c>
      <c r="D145" s="123">
        <f t="shared" si="42"/>
        <v>3</v>
      </c>
      <c r="E145" s="123">
        <f t="shared" si="42"/>
        <v>3</v>
      </c>
      <c r="F145" s="123">
        <f t="shared" si="42"/>
        <v>3</v>
      </c>
      <c r="G145" s="123">
        <f t="shared" si="42"/>
        <v>3</v>
      </c>
      <c r="H145" s="123">
        <f t="shared" si="42"/>
        <v>3</v>
      </c>
      <c r="I145" s="123">
        <f t="shared" si="42"/>
        <v>3</v>
      </c>
      <c r="J145" s="123">
        <f t="shared" si="42"/>
        <v>3</v>
      </c>
      <c r="K145" s="123">
        <f t="shared" si="42"/>
        <v>3</v>
      </c>
      <c r="L145" s="123">
        <f t="shared" si="42"/>
        <v>3</v>
      </c>
      <c r="M145" s="123">
        <f t="shared" si="42"/>
        <v>3</v>
      </c>
      <c r="N145" s="123">
        <f t="shared" si="42"/>
        <v>3</v>
      </c>
      <c r="O145" s="123">
        <f t="shared" si="42"/>
        <v>3</v>
      </c>
      <c r="P145" s="123">
        <f t="shared" si="42"/>
        <v>3</v>
      </c>
      <c r="Q145" s="123">
        <f t="shared" si="42"/>
        <v>3</v>
      </c>
      <c r="R145" s="123">
        <f t="shared" si="42"/>
        <v>3</v>
      </c>
      <c r="S145" s="123">
        <f t="shared" si="42"/>
        <v>3</v>
      </c>
      <c r="T145" s="123">
        <f t="shared" si="43"/>
        <v>3</v>
      </c>
      <c r="U145" s="123">
        <f t="shared" si="43"/>
        <v>3</v>
      </c>
      <c r="V145" s="123">
        <f t="shared" si="43"/>
        <v>3</v>
      </c>
      <c r="W145" s="123">
        <f t="shared" si="43"/>
        <v>3</v>
      </c>
      <c r="X145" s="123">
        <f t="shared" si="43"/>
        <v>3</v>
      </c>
      <c r="Y145" s="123">
        <f t="shared" si="43"/>
        <v>3</v>
      </c>
      <c r="Z145" s="123">
        <f t="shared" si="43"/>
        <v>3</v>
      </c>
      <c r="AA145" s="123">
        <f t="shared" si="43"/>
        <v>3</v>
      </c>
      <c r="AB145" s="123">
        <f t="shared" si="43"/>
        <v>3</v>
      </c>
      <c r="AC145" s="123">
        <f t="shared" si="43"/>
        <v>3</v>
      </c>
      <c r="AD145" s="123">
        <f t="shared" si="43"/>
        <v>3</v>
      </c>
      <c r="AE145" s="123">
        <f t="shared" si="43"/>
        <v>3</v>
      </c>
      <c r="AF145" s="123">
        <f t="shared" si="43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1"/>
        <v>3.3</v>
      </c>
      <c r="C146" s="124">
        <v>3.3</v>
      </c>
      <c r="D146" s="123">
        <f t="shared" si="42"/>
        <v>3.3</v>
      </c>
      <c r="E146" s="123">
        <f t="shared" si="42"/>
        <v>3.3</v>
      </c>
      <c r="F146" s="123">
        <f t="shared" si="42"/>
        <v>3.3</v>
      </c>
      <c r="G146" s="123">
        <f t="shared" si="42"/>
        <v>3.3</v>
      </c>
      <c r="H146" s="123">
        <f t="shared" si="42"/>
        <v>3.3</v>
      </c>
      <c r="I146" s="123">
        <f t="shared" si="42"/>
        <v>3.3</v>
      </c>
      <c r="J146" s="123">
        <f t="shared" si="42"/>
        <v>3.3</v>
      </c>
      <c r="K146" s="123">
        <f t="shared" si="42"/>
        <v>3.3</v>
      </c>
      <c r="L146" s="123">
        <f t="shared" si="42"/>
        <v>3.3</v>
      </c>
      <c r="M146" s="123">
        <f t="shared" si="42"/>
        <v>3.3</v>
      </c>
      <c r="N146" s="123">
        <f t="shared" si="42"/>
        <v>3.3</v>
      </c>
      <c r="O146" s="123">
        <f t="shared" si="42"/>
        <v>3.3</v>
      </c>
      <c r="P146" s="123">
        <f t="shared" si="42"/>
        <v>3.3</v>
      </c>
      <c r="Q146" s="123">
        <f t="shared" si="42"/>
        <v>3.3</v>
      </c>
      <c r="R146" s="123">
        <f t="shared" si="42"/>
        <v>3.3</v>
      </c>
      <c r="S146" s="123">
        <f t="shared" si="42"/>
        <v>3.3</v>
      </c>
      <c r="T146" s="123">
        <f t="shared" si="43"/>
        <v>3.3</v>
      </c>
      <c r="U146" s="123">
        <f t="shared" si="43"/>
        <v>3.3</v>
      </c>
      <c r="V146" s="123">
        <f t="shared" si="43"/>
        <v>3.3</v>
      </c>
      <c r="W146" s="123">
        <f t="shared" si="43"/>
        <v>3.3</v>
      </c>
      <c r="X146" s="123">
        <f t="shared" si="43"/>
        <v>3.3</v>
      </c>
      <c r="Y146" s="123">
        <f t="shared" si="43"/>
        <v>3.3</v>
      </c>
      <c r="Z146" s="123">
        <f t="shared" si="43"/>
        <v>3.3</v>
      </c>
      <c r="AA146" s="123">
        <f t="shared" si="43"/>
        <v>3.3</v>
      </c>
      <c r="AB146" s="123">
        <f t="shared" si="43"/>
        <v>3.3</v>
      </c>
      <c r="AC146" s="123">
        <f t="shared" si="43"/>
        <v>3.3</v>
      </c>
      <c r="AD146" s="123">
        <f t="shared" si="43"/>
        <v>3.3</v>
      </c>
      <c r="AE146" s="123">
        <f t="shared" si="43"/>
        <v>3.3</v>
      </c>
      <c r="AF146" s="123">
        <f t="shared" si="43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4">C148</f>
        <v>1.76</v>
      </c>
      <c r="E148" s="123">
        <f t="shared" si="44"/>
        <v>1.76</v>
      </c>
      <c r="F148" s="123">
        <f t="shared" si="44"/>
        <v>1.76</v>
      </c>
      <c r="G148" s="123">
        <f t="shared" si="44"/>
        <v>1.76</v>
      </c>
      <c r="H148" s="123">
        <f t="shared" si="44"/>
        <v>1.76</v>
      </c>
      <c r="I148" s="123">
        <f t="shared" si="44"/>
        <v>1.76</v>
      </c>
      <c r="J148" s="123">
        <f t="shared" si="44"/>
        <v>1.76</v>
      </c>
      <c r="K148" s="123">
        <f t="shared" si="44"/>
        <v>1.76</v>
      </c>
      <c r="L148" s="123">
        <f t="shared" si="44"/>
        <v>1.76</v>
      </c>
      <c r="M148" s="123">
        <f t="shared" si="44"/>
        <v>1.76</v>
      </c>
      <c r="N148" s="123">
        <f t="shared" si="44"/>
        <v>1.76</v>
      </c>
      <c r="O148" s="123">
        <f t="shared" si="44"/>
        <v>1.76</v>
      </c>
      <c r="P148" s="123">
        <f t="shared" si="44"/>
        <v>1.76</v>
      </c>
      <c r="Q148" s="123">
        <f t="shared" si="44"/>
        <v>1.76</v>
      </c>
      <c r="R148" s="123">
        <f t="shared" si="44"/>
        <v>1.76</v>
      </c>
      <c r="S148" s="123">
        <f t="shared" si="44"/>
        <v>1.76</v>
      </c>
      <c r="T148" s="123">
        <f t="shared" ref="T148:AF149" si="45">S148</f>
        <v>1.76</v>
      </c>
      <c r="U148" s="123">
        <f t="shared" si="45"/>
        <v>1.76</v>
      </c>
      <c r="V148" s="123">
        <f t="shared" si="45"/>
        <v>1.76</v>
      </c>
      <c r="W148" s="123">
        <f t="shared" si="45"/>
        <v>1.76</v>
      </c>
      <c r="X148" s="123">
        <f t="shared" si="45"/>
        <v>1.76</v>
      </c>
      <c r="Y148" s="123">
        <f t="shared" si="45"/>
        <v>1.76</v>
      </c>
      <c r="Z148" s="123">
        <f t="shared" si="45"/>
        <v>1.76</v>
      </c>
      <c r="AA148" s="123">
        <f t="shared" si="45"/>
        <v>1.76</v>
      </c>
      <c r="AB148" s="123">
        <f t="shared" si="45"/>
        <v>1.76</v>
      </c>
      <c r="AC148" s="123">
        <f t="shared" si="45"/>
        <v>1.76</v>
      </c>
      <c r="AD148" s="123">
        <f t="shared" si="45"/>
        <v>1.76</v>
      </c>
      <c r="AE148" s="123">
        <f t="shared" si="45"/>
        <v>1.76</v>
      </c>
      <c r="AF148" s="123">
        <f t="shared" si="45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4"/>
        <v>0</v>
      </c>
      <c r="E149" s="123">
        <f t="shared" si="44"/>
        <v>0</v>
      </c>
      <c r="F149" s="123">
        <f t="shared" si="44"/>
        <v>0</v>
      </c>
      <c r="G149" s="123">
        <f t="shared" si="44"/>
        <v>0</v>
      </c>
      <c r="H149" s="123">
        <f t="shared" si="44"/>
        <v>0</v>
      </c>
      <c r="I149" s="123">
        <f t="shared" si="44"/>
        <v>0</v>
      </c>
      <c r="J149" s="123">
        <f t="shared" si="44"/>
        <v>0</v>
      </c>
      <c r="K149" s="123">
        <f t="shared" si="44"/>
        <v>0</v>
      </c>
      <c r="L149" s="123">
        <f t="shared" si="44"/>
        <v>0</v>
      </c>
      <c r="M149" s="123">
        <f t="shared" si="44"/>
        <v>0</v>
      </c>
      <c r="N149" s="123">
        <f t="shared" si="44"/>
        <v>0</v>
      </c>
      <c r="O149" s="123">
        <f t="shared" si="44"/>
        <v>0</v>
      </c>
      <c r="P149" s="123">
        <f t="shared" si="44"/>
        <v>0</v>
      </c>
      <c r="Q149" s="123">
        <f t="shared" si="44"/>
        <v>0</v>
      </c>
      <c r="R149" s="123">
        <f t="shared" si="44"/>
        <v>0</v>
      </c>
      <c r="S149" s="123">
        <f t="shared" si="44"/>
        <v>0</v>
      </c>
      <c r="T149" s="123">
        <f t="shared" si="45"/>
        <v>0</v>
      </c>
      <c r="U149" s="123">
        <f t="shared" si="45"/>
        <v>0</v>
      </c>
      <c r="V149" s="123">
        <f t="shared" si="45"/>
        <v>0</v>
      </c>
      <c r="W149" s="123">
        <f t="shared" si="45"/>
        <v>0</v>
      </c>
      <c r="X149" s="123">
        <f t="shared" si="45"/>
        <v>0</v>
      </c>
      <c r="Y149" s="123">
        <f t="shared" si="45"/>
        <v>0</v>
      </c>
      <c r="Z149" s="123">
        <f t="shared" si="45"/>
        <v>0</v>
      </c>
      <c r="AA149" s="123">
        <f t="shared" si="45"/>
        <v>0</v>
      </c>
      <c r="AB149" s="123">
        <f t="shared" si="45"/>
        <v>0</v>
      </c>
      <c r="AC149" s="123">
        <f t="shared" si="45"/>
        <v>0</v>
      </c>
      <c r="AD149" s="123">
        <f t="shared" si="45"/>
        <v>0</v>
      </c>
      <c r="AE149" s="123">
        <f t="shared" si="45"/>
        <v>0</v>
      </c>
      <c r="AF149" s="123">
        <f t="shared" si="45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6">C151</f>
        <v>0.1</v>
      </c>
      <c r="E151" s="123">
        <f t="shared" si="46"/>
        <v>0.1</v>
      </c>
      <c r="F151" s="123">
        <f t="shared" si="46"/>
        <v>0.1</v>
      </c>
      <c r="G151" s="123">
        <f t="shared" si="46"/>
        <v>0.1</v>
      </c>
      <c r="H151" s="123">
        <f t="shared" si="46"/>
        <v>0.1</v>
      </c>
      <c r="I151" s="123">
        <f t="shared" si="46"/>
        <v>0.1</v>
      </c>
      <c r="J151" s="123">
        <f t="shared" si="46"/>
        <v>0.1</v>
      </c>
      <c r="K151" s="123">
        <f t="shared" si="46"/>
        <v>0.1</v>
      </c>
      <c r="L151" s="123">
        <f t="shared" si="46"/>
        <v>0.1</v>
      </c>
      <c r="M151" s="123">
        <f t="shared" si="46"/>
        <v>0.1</v>
      </c>
      <c r="N151" s="123">
        <f t="shared" si="46"/>
        <v>0.1</v>
      </c>
      <c r="O151" s="123">
        <f t="shared" si="46"/>
        <v>0.1</v>
      </c>
      <c r="P151" s="123">
        <f t="shared" si="46"/>
        <v>0.1</v>
      </c>
      <c r="Q151" s="123">
        <f t="shared" si="46"/>
        <v>0.1</v>
      </c>
      <c r="R151" s="123">
        <f t="shared" si="46"/>
        <v>0.1</v>
      </c>
      <c r="S151" s="123">
        <f t="shared" si="46"/>
        <v>0.1</v>
      </c>
      <c r="T151" s="123">
        <f t="shared" ref="T151:AF154" si="47">S151</f>
        <v>0.1</v>
      </c>
      <c r="U151" s="123">
        <f t="shared" si="47"/>
        <v>0.1</v>
      </c>
      <c r="V151" s="123">
        <f t="shared" si="47"/>
        <v>0.1</v>
      </c>
      <c r="W151" s="123">
        <f t="shared" si="47"/>
        <v>0.1</v>
      </c>
      <c r="X151" s="123">
        <f t="shared" si="47"/>
        <v>0.1</v>
      </c>
      <c r="Y151" s="123">
        <f t="shared" si="47"/>
        <v>0.1</v>
      </c>
      <c r="Z151" s="123">
        <f t="shared" si="47"/>
        <v>0.1</v>
      </c>
      <c r="AA151" s="123">
        <f t="shared" si="47"/>
        <v>0.1</v>
      </c>
      <c r="AB151" s="123">
        <f t="shared" si="47"/>
        <v>0.1</v>
      </c>
      <c r="AC151" s="123">
        <f t="shared" si="47"/>
        <v>0.1</v>
      </c>
      <c r="AD151" s="123">
        <f t="shared" si="47"/>
        <v>0.1</v>
      </c>
      <c r="AE151" s="123">
        <f t="shared" si="47"/>
        <v>0.1</v>
      </c>
      <c r="AF151" s="123">
        <f t="shared" si="47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6"/>
        <v>2.0499999999999998</v>
      </c>
      <c r="E152" s="123">
        <f t="shared" si="46"/>
        <v>2.0499999999999998</v>
      </c>
      <c r="F152" s="123">
        <f t="shared" si="46"/>
        <v>2.0499999999999998</v>
      </c>
      <c r="G152" s="123">
        <f t="shared" si="46"/>
        <v>2.0499999999999998</v>
      </c>
      <c r="H152" s="123">
        <f t="shared" si="46"/>
        <v>2.0499999999999998</v>
      </c>
      <c r="I152" s="123">
        <f t="shared" si="46"/>
        <v>2.0499999999999998</v>
      </c>
      <c r="J152" s="123">
        <f t="shared" si="46"/>
        <v>2.0499999999999998</v>
      </c>
      <c r="K152" s="123">
        <f t="shared" si="46"/>
        <v>2.0499999999999998</v>
      </c>
      <c r="L152" s="123">
        <f t="shared" si="46"/>
        <v>2.0499999999999998</v>
      </c>
      <c r="M152" s="123">
        <f t="shared" si="46"/>
        <v>2.0499999999999998</v>
      </c>
      <c r="N152" s="123">
        <f t="shared" si="46"/>
        <v>2.0499999999999998</v>
      </c>
      <c r="O152" s="123">
        <f t="shared" si="46"/>
        <v>2.0499999999999998</v>
      </c>
      <c r="P152" s="123">
        <f t="shared" si="46"/>
        <v>2.0499999999999998</v>
      </c>
      <c r="Q152" s="123">
        <f t="shared" si="46"/>
        <v>2.0499999999999998</v>
      </c>
      <c r="R152" s="123">
        <f t="shared" si="46"/>
        <v>2.0499999999999998</v>
      </c>
      <c r="S152" s="123">
        <f t="shared" si="46"/>
        <v>2.0499999999999998</v>
      </c>
      <c r="T152" s="123">
        <f t="shared" si="47"/>
        <v>2.0499999999999998</v>
      </c>
      <c r="U152" s="123">
        <f t="shared" si="47"/>
        <v>2.0499999999999998</v>
      </c>
      <c r="V152" s="123">
        <f t="shared" si="47"/>
        <v>2.0499999999999998</v>
      </c>
      <c r="W152" s="123">
        <f t="shared" si="47"/>
        <v>2.0499999999999998</v>
      </c>
      <c r="X152" s="123">
        <f t="shared" si="47"/>
        <v>2.0499999999999998</v>
      </c>
      <c r="Y152" s="123">
        <f t="shared" si="47"/>
        <v>2.0499999999999998</v>
      </c>
      <c r="Z152" s="123">
        <f t="shared" si="47"/>
        <v>2.0499999999999998</v>
      </c>
      <c r="AA152" s="123">
        <f t="shared" si="47"/>
        <v>2.0499999999999998</v>
      </c>
      <c r="AB152" s="123">
        <f t="shared" si="47"/>
        <v>2.0499999999999998</v>
      </c>
      <c r="AC152" s="123">
        <f t="shared" si="47"/>
        <v>2.0499999999999998</v>
      </c>
      <c r="AD152" s="123">
        <f t="shared" si="47"/>
        <v>2.0499999999999998</v>
      </c>
      <c r="AE152" s="123">
        <f t="shared" si="47"/>
        <v>2.0499999999999998</v>
      </c>
      <c r="AF152" s="123">
        <f t="shared" si="47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6"/>
        <v>2.7</v>
      </c>
      <c r="E153" s="123">
        <f t="shared" si="46"/>
        <v>2.7</v>
      </c>
      <c r="F153" s="123">
        <f t="shared" si="46"/>
        <v>2.7</v>
      </c>
      <c r="G153" s="123">
        <f t="shared" si="46"/>
        <v>2.7</v>
      </c>
      <c r="H153" s="123">
        <f t="shared" si="46"/>
        <v>2.7</v>
      </c>
      <c r="I153" s="123">
        <f t="shared" si="46"/>
        <v>2.7</v>
      </c>
      <c r="J153" s="123">
        <f t="shared" si="46"/>
        <v>2.7</v>
      </c>
      <c r="K153" s="123">
        <f t="shared" si="46"/>
        <v>2.7</v>
      </c>
      <c r="L153" s="123">
        <f t="shared" si="46"/>
        <v>2.7</v>
      </c>
      <c r="M153" s="123">
        <f t="shared" si="46"/>
        <v>2.7</v>
      </c>
      <c r="N153" s="123">
        <f t="shared" si="46"/>
        <v>2.7</v>
      </c>
      <c r="O153" s="123">
        <f t="shared" si="46"/>
        <v>2.7</v>
      </c>
      <c r="P153" s="123">
        <f t="shared" si="46"/>
        <v>2.7</v>
      </c>
      <c r="Q153" s="123">
        <f t="shared" si="46"/>
        <v>2.7</v>
      </c>
      <c r="R153" s="123">
        <f t="shared" si="46"/>
        <v>2.7</v>
      </c>
      <c r="S153" s="123">
        <f t="shared" si="46"/>
        <v>2.7</v>
      </c>
      <c r="T153" s="123">
        <f t="shared" si="47"/>
        <v>2.7</v>
      </c>
      <c r="U153" s="123">
        <f t="shared" si="47"/>
        <v>2.7</v>
      </c>
      <c r="V153" s="123">
        <f t="shared" si="47"/>
        <v>2.7</v>
      </c>
      <c r="W153" s="123">
        <f t="shared" si="47"/>
        <v>2.7</v>
      </c>
      <c r="X153" s="123">
        <f t="shared" si="47"/>
        <v>2.7</v>
      </c>
      <c r="Y153" s="123">
        <f t="shared" si="47"/>
        <v>2.7</v>
      </c>
      <c r="Z153" s="123">
        <f t="shared" si="47"/>
        <v>2.7</v>
      </c>
      <c r="AA153" s="123">
        <f t="shared" si="47"/>
        <v>2.7</v>
      </c>
      <c r="AB153" s="123">
        <f t="shared" si="47"/>
        <v>2.7</v>
      </c>
      <c r="AC153" s="123">
        <f t="shared" si="47"/>
        <v>2.7</v>
      </c>
      <c r="AD153" s="123">
        <f t="shared" si="47"/>
        <v>2.7</v>
      </c>
      <c r="AE153" s="123">
        <f t="shared" si="47"/>
        <v>2.7</v>
      </c>
      <c r="AF153" s="123">
        <f t="shared" si="47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6"/>
        <v>2.15</v>
      </c>
      <c r="E154" s="123">
        <f t="shared" si="46"/>
        <v>2.15</v>
      </c>
      <c r="F154" s="123">
        <f t="shared" si="46"/>
        <v>2.15</v>
      </c>
      <c r="G154" s="123">
        <f t="shared" si="46"/>
        <v>2.15</v>
      </c>
      <c r="H154" s="123">
        <f t="shared" si="46"/>
        <v>2.15</v>
      </c>
      <c r="I154" s="123">
        <f t="shared" si="46"/>
        <v>2.15</v>
      </c>
      <c r="J154" s="123">
        <f t="shared" si="46"/>
        <v>2.15</v>
      </c>
      <c r="K154" s="123">
        <f t="shared" si="46"/>
        <v>2.15</v>
      </c>
      <c r="L154" s="123">
        <f t="shared" si="46"/>
        <v>2.15</v>
      </c>
      <c r="M154" s="123">
        <f t="shared" si="46"/>
        <v>2.15</v>
      </c>
      <c r="N154" s="123">
        <f t="shared" si="46"/>
        <v>2.15</v>
      </c>
      <c r="O154" s="123">
        <f t="shared" si="46"/>
        <v>2.15</v>
      </c>
      <c r="P154" s="123">
        <f t="shared" si="46"/>
        <v>2.15</v>
      </c>
      <c r="Q154" s="123">
        <f t="shared" si="46"/>
        <v>2.15</v>
      </c>
      <c r="R154" s="123">
        <f t="shared" si="46"/>
        <v>2.15</v>
      </c>
      <c r="S154" s="123">
        <f t="shared" si="46"/>
        <v>2.15</v>
      </c>
      <c r="T154" s="123">
        <f t="shared" si="47"/>
        <v>2.15</v>
      </c>
      <c r="U154" s="123">
        <f t="shared" si="47"/>
        <v>2.15</v>
      </c>
      <c r="V154" s="123">
        <f t="shared" si="47"/>
        <v>2.15</v>
      </c>
      <c r="W154" s="123">
        <f t="shared" si="47"/>
        <v>2.15</v>
      </c>
      <c r="X154" s="123">
        <f t="shared" si="47"/>
        <v>2.15</v>
      </c>
      <c r="Y154" s="123">
        <f t="shared" si="47"/>
        <v>2.15</v>
      </c>
      <c r="Z154" s="123">
        <f t="shared" si="47"/>
        <v>2.15</v>
      </c>
      <c r="AA154" s="123">
        <f t="shared" si="47"/>
        <v>2.15</v>
      </c>
      <c r="AB154" s="123">
        <f t="shared" si="47"/>
        <v>2.15</v>
      </c>
      <c r="AC154" s="123">
        <f t="shared" si="47"/>
        <v>2.15</v>
      </c>
      <c r="AD154" s="123">
        <f t="shared" si="47"/>
        <v>2.15</v>
      </c>
      <c r="AE154" s="123">
        <f t="shared" si="47"/>
        <v>2.15</v>
      </c>
      <c r="AF154" s="123">
        <f t="shared" si="47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8">AF156</f>
        <v>0.9</v>
      </c>
      <c r="C156" s="124">
        <v>0.9</v>
      </c>
      <c r="D156" s="123">
        <f t="shared" ref="D156:S168" si="49">C156</f>
        <v>0.9</v>
      </c>
      <c r="E156" s="123">
        <f t="shared" si="49"/>
        <v>0.9</v>
      </c>
      <c r="F156" s="123">
        <f t="shared" si="49"/>
        <v>0.9</v>
      </c>
      <c r="G156" s="123">
        <f t="shared" si="49"/>
        <v>0.9</v>
      </c>
      <c r="H156" s="123">
        <f t="shared" si="49"/>
        <v>0.9</v>
      </c>
      <c r="I156" s="123">
        <f t="shared" si="49"/>
        <v>0.9</v>
      </c>
      <c r="J156" s="123">
        <f t="shared" si="49"/>
        <v>0.9</v>
      </c>
      <c r="K156" s="123">
        <f t="shared" si="49"/>
        <v>0.9</v>
      </c>
      <c r="L156" s="123">
        <f t="shared" si="49"/>
        <v>0.9</v>
      </c>
      <c r="M156" s="123">
        <f t="shared" si="49"/>
        <v>0.9</v>
      </c>
      <c r="N156" s="123">
        <f t="shared" si="49"/>
        <v>0.9</v>
      </c>
      <c r="O156" s="123">
        <f t="shared" si="49"/>
        <v>0.9</v>
      </c>
      <c r="P156" s="123">
        <f t="shared" si="49"/>
        <v>0.9</v>
      </c>
      <c r="Q156" s="123">
        <f t="shared" si="49"/>
        <v>0.9</v>
      </c>
      <c r="R156" s="123">
        <f t="shared" si="49"/>
        <v>0.9</v>
      </c>
      <c r="S156" s="123">
        <f t="shared" si="49"/>
        <v>0.9</v>
      </c>
      <c r="T156" s="123">
        <f t="shared" ref="S156:AF168" si="50">S156</f>
        <v>0.9</v>
      </c>
      <c r="U156" s="123">
        <f t="shared" si="50"/>
        <v>0.9</v>
      </c>
      <c r="V156" s="123">
        <f t="shared" si="50"/>
        <v>0.9</v>
      </c>
      <c r="W156" s="123">
        <f t="shared" si="50"/>
        <v>0.9</v>
      </c>
      <c r="X156" s="123">
        <f t="shared" si="50"/>
        <v>0.9</v>
      </c>
      <c r="Y156" s="123">
        <f t="shared" si="50"/>
        <v>0.9</v>
      </c>
      <c r="Z156" s="123">
        <f t="shared" si="50"/>
        <v>0.9</v>
      </c>
      <c r="AA156" s="123">
        <f t="shared" si="50"/>
        <v>0.9</v>
      </c>
      <c r="AB156" s="123">
        <f t="shared" si="50"/>
        <v>0.9</v>
      </c>
      <c r="AC156" s="123">
        <f t="shared" si="50"/>
        <v>0.9</v>
      </c>
      <c r="AD156" s="123">
        <f t="shared" si="50"/>
        <v>0.9</v>
      </c>
      <c r="AE156" s="123">
        <f t="shared" si="50"/>
        <v>0.9</v>
      </c>
      <c r="AF156" s="123">
        <f t="shared" si="50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8"/>
        <v>1.08</v>
      </c>
      <c r="C157" s="124">
        <v>1.08</v>
      </c>
      <c r="D157" s="123">
        <f t="shared" si="49"/>
        <v>1.08</v>
      </c>
      <c r="E157" s="123">
        <f t="shared" si="49"/>
        <v>1.08</v>
      </c>
      <c r="F157" s="123">
        <f t="shared" si="49"/>
        <v>1.08</v>
      </c>
      <c r="G157" s="123">
        <f t="shared" si="49"/>
        <v>1.08</v>
      </c>
      <c r="H157" s="123">
        <f t="shared" si="49"/>
        <v>1.08</v>
      </c>
      <c r="I157" s="123">
        <f t="shared" si="49"/>
        <v>1.08</v>
      </c>
      <c r="J157" s="123">
        <f t="shared" si="49"/>
        <v>1.08</v>
      </c>
      <c r="K157" s="123">
        <f t="shared" si="49"/>
        <v>1.08</v>
      </c>
      <c r="L157" s="123">
        <f t="shared" si="49"/>
        <v>1.08</v>
      </c>
      <c r="M157" s="123">
        <f t="shared" si="49"/>
        <v>1.08</v>
      </c>
      <c r="N157" s="123">
        <f t="shared" si="49"/>
        <v>1.08</v>
      </c>
      <c r="O157" s="123">
        <f t="shared" si="49"/>
        <v>1.08</v>
      </c>
      <c r="P157" s="123">
        <f t="shared" si="49"/>
        <v>1.08</v>
      </c>
      <c r="Q157" s="123">
        <f t="shared" si="49"/>
        <v>1.08</v>
      </c>
      <c r="R157" s="123">
        <f t="shared" si="49"/>
        <v>1.08</v>
      </c>
      <c r="S157" s="123">
        <f t="shared" si="49"/>
        <v>1.08</v>
      </c>
      <c r="T157" s="123">
        <f t="shared" si="50"/>
        <v>1.08</v>
      </c>
      <c r="U157" s="123">
        <f t="shared" si="50"/>
        <v>1.08</v>
      </c>
      <c r="V157" s="123">
        <f t="shared" si="50"/>
        <v>1.08</v>
      </c>
      <c r="W157" s="123">
        <f t="shared" si="50"/>
        <v>1.08</v>
      </c>
      <c r="X157" s="123">
        <f t="shared" si="50"/>
        <v>1.08</v>
      </c>
      <c r="Y157" s="123">
        <f t="shared" si="50"/>
        <v>1.08</v>
      </c>
      <c r="Z157" s="123">
        <f t="shared" si="50"/>
        <v>1.08</v>
      </c>
      <c r="AA157" s="123">
        <f t="shared" si="50"/>
        <v>1.08</v>
      </c>
      <c r="AB157" s="123">
        <f t="shared" si="50"/>
        <v>1.08</v>
      </c>
      <c r="AC157" s="123">
        <f t="shared" si="50"/>
        <v>1.08</v>
      </c>
      <c r="AD157" s="123">
        <f t="shared" si="50"/>
        <v>1.08</v>
      </c>
      <c r="AE157" s="123">
        <f t="shared" si="50"/>
        <v>1.08</v>
      </c>
      <c r="AF157" s="123">
        <f t="shared" si="50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8"/>
        <v>2.37</v>
      </c>
      <c r="C158" s="124">
        <v>2.37</v>
      </c>
      <c r="D158" s="123">
        <f t="shared" si="49"/>
        <v>2.37</v>
      </c>
      <c r="E158" s="123">
        <f t="shared" si="49"/>
        <v>2.37</v>
      </c>
      <c r="F158" s="123">
        <f t="shared" si="49"/>
        <v>2.37</v>
      </c>
      <c r="G158" s="123">
        <f t="shared" si="49"/>
        <v>2.37</v>
      </c>
      <c r="H158" s="123">
        <f t="shared" si="49"/>
        <v>2.37</v>
      </c>
      <c r="I158" s="123">
        <f t="shared" si="49"/>
        <v>2.37</v>
      </c>
      <c r="J158" s="123">
        <f t="shared" si="49"/>
        <v>2.37</v>
      </c>
      <c r="K158" s="123">
        <f t="shared" si="49"/>
        <v>2.37</v>
      </c>
      <c r="L158" s="123">
        <f t="shared" si="49"/>
        <v>2.37</v>
      </c>
      <c r="M158" s="123">
        <f t="shared" si="49"/>
        <v>2.37</v>
      </c>
      <c r="N158" s="123">
        <f t="shared" si="49"/>
        <v>2.37</v>
      </c>
      <c r="O158" s="123">
        <f t="shared" si="49"/>
        <v>2.37</v>
      </c>
      <c r="P158" s="123">
        <f t="shared" si="49"/>
        <v>2.37</v>
      </c>
      <c r="Q158" s="123">
        <f t="shared" si="49"/>
        <v>2.37</v>
      </c>
      <c r="R158" s="123">
        <f t="shared" si="49"/>
        <v>2.37</v>
      </c>
      <c r="S158" s="123">
        <f t="shared" si="49"/>
        <v>2.37</v>
      </c>
      <c r="T158" s="123">
        <f t="shared" si="50"/>
        <v>2.37</v>
      </c>
      <c r="U158" s="123">
        <f t="shared" si="50"/>
        <v>2.37</v>
      </c>
      <c r="V158" s="123">
        <f t="shared" si="50"/>
        <v>2.37</v>
      </c>
      <c r="W158" s="123">
        <f t="shared" si="50"/>
        <v>2.37</v>
      </c>
      <c r="X158" s="123">
        <f t="shared" si="50"/>
        <v>2.37</v>
      </c>
      <c r="Y158" s="123">
        <f t="shared" si="50"/>
        <v>2.37</v>
      </c>
      <c r="Z158" s="123">
        <f t="shared" si="50"/>
        <v>2.37</v>
      </c>
      <c r="AA158" s="123">
        <f t="shared" si="50"/>
        <v>2.37</v>
      </c>
      <c r="AB158" s="123">
        <f t="shared" si="50"/>
        <v>2.37</v>
      </c>
      <c r="AC158" s="123">
        <f t="shared" si="50"/>
        <v>2.37</v>
      </c>
      <c r="AD158" s="123">
        <f t="shared" si="50"/>
        <v>2.37</v>
      </c>
      <c r="AE158" s="123">
        <f t="shared" si="50"/>
        <v>2.37</v>
      </c>
      <c r="AF158" s="123">
        <f t="shared" si="50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8"/>
        <v>1.81</v>
      </c>
      <c r="C159" s="124">
        <v>1.81</v>
      </c>
      <c r="D159" s="123">
        <f t="shared" si="49"/>
        <v>1.81</v>
      </c>
      <c r="E159" s="123">
        <f t="shared" si="49"/>
        <v>1.81</v>
      </c>
      <c r="F159" s="123">
        <f t="shared" si="49"/>
        <v>1.81</v>
      </c>
      <c r="G159" s="123">
        <f t="shared" si="49"/>
        <v>1.81</v>
      </c>
      <c r="H159" s="123">
        <f t="shared" si="49"/>
        <v>1.81</v>
      </c>
      <c r="I159" s="123">
        <f t="shared" si="49"/>
        <v>1.81</v>
      </c>
      <c r="J159" s="123">
        <f t="shared" si="49"/>
        <v>1.81</v>
      </c>
      <c r="K159" s="123">
        <f t="shared" si="49"/>
        <v>1.81</v>
      </c>
      <c r="L159" s="123">
        <f t="shared" si="49"/>
        <v>1.81</v>
      </c>
      <c r="M159" s="123">
        <f t="shared" si="49"/>
        <v>1.81</v>
      </c>
      <c r="N159" s="123">
        <f t="shared" si="49"/>
        <v>1.81</v>
      </c>
      <c r="O159" s="123">
        <f t="shared" si="49"/>
        <v>1.81</v>
      </c>
      <c r="P159" s="123">
        <f t="shared" si="49"/>
        <v>1.81</v>
      </c>
      <c r="Q159" s="123">
        <f t="shared" si="49"/>
        <v>1.81</v>
      </c>
      <c r="R159" s="123">
        <f t="shared" si="49"/>
        <v>1.81</v>
      </c>
      <c r="S159" s="123">
        <f t="shared" si="49"/>
        <v>1.81</v>
      </c>
      <c r="T159" s="123">
        <f t="shared" si="50"/>
        <v>1.81</v>
      </c>
      <c r="U159" s="123">
        <f t="shared" si="50"/>
        <v>1.81</v>
      </c>
      <c r="V159" s="123">
        <f t="shared" si="50"/>
        <v>1.81</v>
      </c>
      <c r="W159" s="123">
        <f t="shared" si="50"/>
        <v>1.81</v>
      </c>
      <c r="X159" s="123">
        <f t="shared" si="50"/>
        <v>1.81</v>
      </c>
      <c r="Y159" s="123">
        <f t="shared" si="50"/>
        <v>1.81</v>
      </c>
      <c r="Z159" s="123">
        <f t="shared" si="50"/>
        <v>1.81</v>
      </c>
      <c r="AA159" s="123">
        <f t="shared" si="50"/>
        <v>1.81</v>
      </c>
      <c r="AB159" s="123">
        <f t="shared" si="50"/>
        <v>1.81</v>
      </c>
      <c r="AC159" s="123">
        <f t="shared" si="50"/>
        <v>1.81</v>
      </c>
      <c r="AD159" s="123">
        <f t="shared" si="50"/>
        <v>1.81</v>
      </c>
      <c r="AE159" s="123">
        <f t="shared" si="50"/>
        <v>1.81</v>
      </c>
      <c r="AF159" s="123">
        <f t="shared" si="50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8"/>
        <v>1.0900000000000001</v>
      </c>
      <c r="C160" s="124">
        <v>1.0900000000000001</v>
      </c>
      <c r="D160" s="123">
        <f t="shared" si="49"/>
        <v>1.0900000000000001</v>
      </c>
      <c r="E160" s="123">
        <f t="shared" si="49"/>
        <v>1.0900000000000001</v>
      </c>
      <c r="F160" s="123">
        <f t="shared" si="49"/>
        <v>1.0900000000000001</v>
      </c>
      <c r="G160" s="123">
        <f t="shared" si="49"/>
        <v>1.0900000000000001</v>
      </c>
      <c r="H160" s="123">
        <f t="shared" si="49"/>
        <v>1.0900000000000001</v>
      </c>
      <c r="I160" s="123">
        <f t="shared" si="49"/>
        <v>1.0900000000000001</v>
      </c>
      <c r="J160" s="123">
        <f t="shared" si="49"/>
        <v>1.0900000000000001</v>
      </c>
      <c r="K160" s="123">
        <f t="shared" si="49"/>
        <v>1.0900000000000001</v>
      </c>
      <c r="L160" s="123">
        <f t="shared" si="49"/>
        <v>1.0900000000000001</v>
      </c>
      <c r="M160" s="123">
        <f t="shared" si="49"/>
        <v>1.0900000000000001</v>
      </c>
      <c r="N160" s="123">
        <f t="shared" si="49"/>
        <v>1.0900000000000001</v>
      </c>
      <c r="O160" s="123">
        <f t="shared" si="49"/>
        <v>1.0900000000000001</v>
      </c>
      <c r="P160" s="123">
        <f t="shared" si="49"/>
        <v>1.0900000000000001</v>
      </c>
      <c r="Q160" s="123">
        <f t="shared" si="49"/>
        <v>1.0900000000000001</v>
      </c>
      <c r="R160" s="123">
        <f t="shared" si="49"/>
        <v>1.0900000000000001</v>
      </c>
      <c r="S160" s="123">
        <f t="shared" si="49"/>
        <v>1.0900000000000001</v>
      </c>
      <c r="T160" s="123">
        <f t="shared" si="50"/>
        <v>1.0900000000000001</v>
      </c>
      <c r="U160" s="123">
        <f t="shared" si="50"/>
        <v>1.0900000000000001</v>
      </c>
      <c r="V160" s="123">
        <f t="shared" si="50"/>
        <v>1.0900000000000001</v>
      </c>
      <c r="W160" s="123">
        <f t="shared" si="50"/>
        <v>1.0900000000000001</v>
      </c>
      <c r="X160" s="123">
        <f t="shared" si="50"/>
        <v>1.0900000000000001</v>
      </c>
      <c r="Y160" s="123">
        <f t="shared" si="50"/>
        <v>1.0900000000000001</v>
      </c>
      <c r="Z160" s="123">
        <f t="shared" si="50"/>
        <v>1.0900000000000001</v>
      </c>
      <c r="AA160" s="123">
        <f t="shared" si="50"/>
        <v>1.0900000000000001</v>
      </c>
      <c r="AB160" s="123">
        <f t="shared" si="50"/>
        <v>1.0900000000000001</v>
      </c>
      <c r="AC160" s="123">
        <f t="shared" si="50"/>
        <v>1.0900000000000001</v>
      </c>
      <c r="AD160" s="123">
        <f t="shared" si="50"/>
        <v>1.0900000000000001</v>
      </c>
      <c r="AE160" s="123">
        <f t="shared" si="50"/>
        <v>1.0900000000000001</v>
      </c>
      <c r="AF160" s="123">
        <f t="shared" si="50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8"/>
        <v>1.58</v>
      </c>
      <c r="C161" s="124">
        <v>1.58</v>
      </c>
      <c r="D161" s="123">
        <f t="shared" si="49"/>
        <v>1.58</v>
      </c>
      <c r="E161" s="123">
        <f t="shared" si="49"/>
        <v>1.58</v>
      </c>
      <c r="F161" s="123">
        <f t="shared" si="49"/>
        <v>1.58</v>
      </c>
      <c r="G161" s="123">
        <f t="shared" si="49"/>
        <v>1.58</v>
      </c>
      <c r="H161" s="123">
        <f t="shared" si="49"/>
        <v>1.58</v>
      </c>
      <c r="I161" s="123">
        <f t="shared" si="49"/>
        <v>1.58</v>
      </c>
      <c r="J161" s="123">
        <f t="shared" si="49"/>
        <v>1.58</v>
      </c>
      <c r="K161" s="123">
        <f t="shared" si="49"/>
        <v>1.58</v>
      </c>
      <c r="L161" s="123">
        <f t="shared" si="49"/>
        <v>1.58</v>
      </c>
      <c r="M161" s="123">
        <f t="shared" si="49"/>
        <v>1.58</v>
      </c>
      <c r="N161" s="123">
        <f t="shared" si="49"/>
        <v>1.58</v>
      </c>
      <c r="O161" s="123">
        <f t="shared" si="49"/>
        <v>1.58</v>
      </c>
      <c r="P161" s="123">
        <f t="shared" si="49"/>
        <v>1.58</v>
      </c>
      <c r="Q161" s="123">
        <f t="shared" si="49"/>
        <v>1.58</v>
      </c>
      <c r="R161" s="123">
        <f t="shared" si="49"/>
        <v>1.58</v>
      </c>
      <c r="S161" s="123">
        <f t="shared" si="49"/>
        <v>1.58</v>
      </c>
      <c r="T161" s="123">
        <f t="shared" si="50"/>
        <v>1.58</v>
      </c>
      <c r="U161" s="123">
        <f t="shared" si="50"/>
        <v>1.58</v>
      </c>
      <c r="V161" s="123">
        <f t="shared" si="50"/>
        <v>1.58</v>
      </c>
      <c r="W161" s="123">
        <f t="shared" si="50"/>
        <v>1.58</v>
      </c>
      <c r="X161" s="123">
        <f t="shared" si="50"/>
        <v>1.58</v>
      </c>
      <c r="Y161" s="123">
        <f t="shared" si="50"/>
        <v>1.58</v>
      </c>
      <c r="Z161" s="123">
        <f t="shared" si="50"/>
        <v>1.58</v>
      </c>
      <c r="AA161" s="123">
        <f t="shared" si="50"/>
        <v>1.58</v>
      </c>
      <c r="AB161" s="123">
        <f t="shared" si="50"/>
        <v>1.58</v>
      </c>
      <c r="AC161" s="123">
        <f t="shared" si="50"/>
        <v>1.58</v>
      </c>
      <c r="AD161" s="123">
        <f t="shared" si="50"/>
        <v>1.58</v>
      </c>
      <c r="AE161" s="123">
        <f t="shared" si="50"/>
        <v>1.58</v>
      </c>
      <c r="AF161" s="123">
        <f t="shared" si="50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8"/>
        <v>2</v>
      </c>
      <c r="C162" s="124">
        <v>2</v>
      </c>
      <c r="D162" s="123">
        <f t="shared" si="49"/>
        <v>2</v>
      </c>
      <c r="E162" s="123">
        <f t="shared" si="49"/>
        <v>2</v>
      </c>
      <c r="F162" s="123">
        <f t="shared" si="49"/>
        <v>2</v>
      </c>
      <c r="G162" s="123">
        <f t="shared" si="49"/>
        <v>2</v>
      </c>
      <c r="H162" s="123">
        <f t="shared" si="49"/>
        <v>2</v>
      </c>
      <c r="I162" s="123">
        <f t="shared" si="49"/>
        <v>2</v>
      </c>
      <c r="J162" s="123">
        <f t="shared" si="49"/>
        <v>2</v>
      </c>
      <c r="K162" s="123">
        <f t="shared" si="49"/>
        <v>2</v>
      </c>
      <c r="L162" s="123">
        <f t="shared" si="49"/>
        <v>2</v>
      </c>
      <c r="M162" s="123">
        <f t="shared" si="49"/>
        <v>2</v>
      </c>
      <c r="N162" s="123">
        <f t="shared" si="49"/>
        <v>2</v>
      </c>
      <c r="O162" s="123">
        <f t="shared" si="49"/>
        <v>2</v>
      </c>
      <c r="P162" s="123">
        <f t="shared" si="49"/>
        <v>2</v>
      </c>
      <c r="Q162" s="123">
        <f t="shared" si="49"/>
        <v>2</v>
      </c>
      <c r="R162" s="123">
        <f t="shared" si="49"/>
        <v>2</v>
      </c>
      <c r="S162" s="123">
        <f t="shared" si="49"/>
        <v>2</v>
      </c>
      <c r="T162" s="123">
        <f t="shared" si="50"/>
        <v>2</v>
      </c>
      <c r="U162" s="123">
        <f t="shared" si="50"/>
        <v>2</v>
      </c>
      <c r="V162" s="123">
        <f t="shared" si="50"/>
        <v>2</v>
      </c>
      <c r="W162" s="123">
        <f t="shared" si="50"/>
        <v>2</v>
      </c>
      <c r="X162" s="123">
        <f t="shared" si="50"/>
        <v>2</v>
      </c>
      <c r="Y162" s="123">
        <f t="shared" si="50"/>
        <v>2</v>
      </c>
      <c r="Z162" s="123">
        <f t="shared" si="50"/>
        <v>2</v>
      </c>
      <c r="AA162" s="123">
        <f t="shared" si="50"/>
        <v>2</v>
      </c>
      <c r="AB162" s="123">
        <f t="shared" si="50"/>
        <v>2</v>
      </c>
      <c r="AC162" s="123">
        <f t="shared" si="50"/>
        <v>2</v>
      </c>
      <c r="AD162" s="123">
        <f t="shared" si="50"/>
        <v>2</v>
      </c>
      <c r="AE162" s="123">
        <f t="shared" si="50"/>
        <v>2</v>
      </c>
      <c r="AF162" s="123">
        <f t="shared" si="50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8"/>
        <v>0.47</v>
      </c>
      <c r="C163" s="124">
        <v>0.47</v>
      </c>
      <c r="D163" s="123">
        <f t="shared" si="49"/>
        <v>0.47</v>
      </c>
      <c r="E163" s="123">
        <f t="shared" si="49"/>
        <v>0.47</v>
      </c>
      <c r="F163" s="123">
        <f t="shared" si="49"/>
        <v>0.47</v>
      </c>
      <c r="G163" s="123">
        <f t="shared" si="49"/>
        <v>0.47</v>
      </c>
      <c r="H163" s="123">
        <f t="shared" si="49"/>
        <v>0.47</v>
      </c>
      <c r="I163" s="123">
        <f t="shared" si="49"/>
        <v>0.47</v>
      </c>
      <c r="J163" s="123">
        <f t="shared" si="49"/>
        <v>0.47</v>
      </c>
      <c r="K163" s="123">
        <f t="shared" si="49"/>
        <v>0.47</v>
      </c>
      <c r="L163" s="123">
        <f t="shared" si="49"/>
        <v>0.47</v>
      </c>
      <c r="M163" s="123">
        <f t="shared" si="49"/>
        <v>0.47</v>
      </c>
      <c r="N163" s="123">
        <f t="shared" si="49"/>
        <v>0.47</v>
      </c>
      <c r="O163" s="123">
        <f t="shared" si="49"/>
        <v>0.47</v>
      </c>
      <c r="P163" s="123">
        <f t="shared" si="49"/>
        <v>0.47</v>
      </c>
      <c r="Q163" s="123">
        <f t="shared" si="49"/>
        <v>0.47</v>
      </c>
      <c r="R163" s="123">
        <f t="shared" si="49"/>
        <v>0.47</v>
      </c>
      <c r="S163" s="123">
        <f t="shared" si="49"/>
        <v>0.47</v>
      </c>
      <c r="T163" s="123">
        <f t="shared" si="50"/>
        <v>0.47</v>
      </c>
      <c r="U163" s="123">
        <f t="shared" si="50"/>
        <v>0.47</v>
      </c>
      <c r="V163" s="123">
        <f t="shared" si="50"/>
        <v>0.47</v>
      </c>
      <c r="W163" s="123">
        <f t="shared" si="50"/>
        <v>0.47</v>
      </c>
      <c r="X163" s="123">
        <f t="shared" si="50"/>
        <v>0.47</v>
      </c>
      <c r="Y163" s="123">
        <f t="shared" si="50"/>
        <v>0.47</v>
      </c>
      <c r="Z163" s="123">
        <f t="shared" si="50"/>
        <v>0.47</v>
      </c>
      <c r="AA163" s="123">
        <f t="shared" si="50"/>
        <v>0.47</v>
      </c>
      <c r="AB163" s="123">
        <f t="shared" si="50"/>
        <v>0.47</v>
      </c>
      <c r="AC163" s="123">
        <f t="shared" si="50"/>
        <v>0.47</v>
      </c>
      <c r="AD163" s="123">
        <f t="shared" si="50"/>
        <v>0.47</v>
      </c>
      <c r="AE163" s="123">
        <f t="shared" si="50"/>
        <v>0.47</v>
      </c>
      <c r="AF163" s="123">
        <f t="shared" si="50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8"/>
        <v>0</v>
      </c>
      <c r="C164" s="124">
        <v>0</v>
      </c>
      <c r="D164" s="123">
        <f t="shared" si="49"/>
        <v>0</v>
      </c>
      <c r="E164" s="123">
        <f t="shared" si="49"/>
        <v>0</v>
      </c>
      <c r="F164" s="123">
        <f t="shared" si="49"/>
        <v>0</v>
      </c>
      <c r="G164" s="123">
        <f t="shared" si="49"/>
        <v>0</v>
      </c>
      <c r="H164" s="123">
        <f t="shared" si="49"/>
        <v>0</v>
      </c>
      <c r="I164" s="123">
        <f t="shared" si="49"/>
        <v>0</v>
      </c>
      <c r="J164" s="123">
        <f t="shared" si="49"/>
        <v>0</v>
      </c>
      <c r="K164" s="123">
        <f t="shared" si="49"/>
        <v>0</v>
      </c>
      <c r="L164" s="123">
        <f t="shared" si="49"/>
        <v>0</v>
      </c>
      <c r="M164" s="123">
        <f t="shared" si="49"/>
        <v>0</v>
      </c>
      <c r="N164" s="123">
        <f t="shared" si="49"/>
        <v>0</v>
      </c>
      <c r="O164" s="123">
        <f t="shared" si="49"/>
        <v>0</v>
      </c>
      <c r="P164" s="123">
        <f t="shared" si="49"/>
        <v>0</v>
      </c>
      <c r="Q164" s="123">
        <f t="shared" si="49"/>
        <v>0</v>
      </c>
      <c r="R164" s="123">
        <f t="shared" si="49"/>
        <v>0</v>
      </c>
      <c r="S164" s="123">
        <f t="shared" si="49"/>
        <v>0</v>
      </c>
      <c r="T164" s="123">
        <f t="shared" si="50"/>
        <v>0</v>
      </c>
      <c r="U164" s="123">
        <f t="shared" si="50"/>
        <v>0</v>
      </c>
      <c r="V164" s="123">
        <f t="shared" si="50"/>
        <v>0</v>
      </c>
      <c r="W164" s="123">
        <f t="shared" si="50"/>
        <v>0</v>
      </c>
      <c r="X164" s="123">
        <f t="shared" si="50"/>
        <v>0</v>
      </c>
      <c r="Y164" s="123">
        <f t="shared" si="50"/>
        <v>0</v>
      </c>
      <c r="Z164" s="123">
        <f t="shared" si="50"/>
        <v>0</v>
      </c>
      <c r="AA164" s="123">
        <f t="shared" si="50"/>
        <v>0</v>
      </c>
      <c r="AB164" s="123">
        <f t="shared" si="50"/>
        <v>0</v>
      </c>
      <c r="AC164" s="123">
        <f t="shared" si="50"/>
        <v>0</v>
      </c>
      <c r="AD164" s="123">
        <f t="shared" si="50"/>
        <v>0</v>
      </c>
      <c r="AE164" s="123">
        <f t="shared" si="50"/>
        <v>0</v>
      </c>
      <c r="AF164" s="123">
        <f t="shared" si="50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8"/>
        <v>0</v>
      </c>
      <c r="C165" s="124">
        <v>0</v>
      </c>
      <c r="D165" s="123">
        <f t="shared" si="49"/>
        <v>0</v>
      </c>
      <c r="E165" s="123">
        <f t="shared" si="49"/>
        <v>0</v>
      </c>
      <c r="F165" s="123">
        <f t="shared" si="49"/>
        <v>0</v>
      </c>
      <c r="G165" s="123">
        <f t="shared" si="49"/>
        <v>0</v>
      </c>
      <c r="H165" s="123">
        <f t="shared" si="49"/>
        <v>0</v>
      </c>
      <c r="I165" s="123">
        <f t="shared" si="49"/>
        <v>0</v>
      </c>
      <c r="J165" s="123">
        <f t="shared" si="49"/>
        <v>0</v>
      </c>
      <c r="K165" s="123">
        <f t="shared" si="49"/>
        <v>0</v>
      </c>
      <c r="L165" s="123">
        <f t="shared" si="49"/>
        <v>0</v>
      </c>
      <c r="M165" s="123">
        <f t="shared" si="49"/>
        <v>0</v>
      </c>
      <c r="N165" s="123">
        <f t="shared" si="49"/>
        <v>0</v>
      </c>
      <c r="O165" s="123">
        <f t="shared" si="49"/>
        <v>0</v>
      </c>
      <c r="P165" s="123">
        <f t="shared" si="49"/>
        <v>0</v>
      </c>
      <c r="Q165" s="123">
        <f t="shared" si="49"/>
        <v>0</v>
      </c>
      <c r="R165" s="123">
        <f t="shared" si="49"/>
        <v>0</v>
      </c>
      <c r="S165" s="123">
        <f t="shared" si="50"/>
        <v>0</v>
      </c>
      <c r="T165" s="123">
        <f t="shared" si="50"/>
        <v>0</v>
      </c>
      <c r="U165" s="123">
        <f t="shared" si="50"/>
        <v>0</v>
      </c>
      <c r="V165" s="123">
        <f t="shared" si="50"/>
        <v>0</v>
      </c>
      <c r="W165" s="123">
        <f t="shared" si="50"/>
        <v>0</v>
      </c>
      <c r="X165" s="123">
        <f t="shared" si="50"/>
        <v>0</v>
      </c>
      <c r="Y165" s="123">
        <f t="shared" si="50"/>
        <v>0</v>
      </c>
      <c r="Z165" s="123">
        <f t="shared" si="50"/>
        <v>0</v>
      </c>
      <c r="AA165" s="123">
        <f t="shared" si="50"/>
        <v>0</v>
      </c>
      <c r="AB165" s="123">
        <f t="shared" si="50"/>
        <v>0</v>
      </c>
      <c r="AC165" s="123">
        <f t="shared" si="50"/>
        <v>0</v>
      </c>
      <c r="AD165" s="123">
        <f t="shared" si="50"/>
        <v>0</v>
      </c>
      <c r="AE165" s="123">
        <f t="shared" si="50"/>
        <v>0</v>
      </c>
      <c r="AF165" s="123">
        <f t="shared" si="50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8"/>
        <v>0.8</v>
      </c>
      <c r="C166" s="124">
        <v>0.8</v>
      </c>
      <c r="D166" s="123">
        <f t="shared" si="49"/>
        <v>0.8</v>
      </c>
      <c r="E166" s="123">
        <f t="shared" si="49"/>
        <v>0.8</v>
      </c>
      <c r="F166" s="123">
        <f t="shared" si="49"/>
        <v>0.8</v>
      </c>
      <c r="G166" s="123">
        <f t="shared" si="49"/>
        <v>0.8</v>
      </c>
      <c r="H166" s="123">
        <f t="shared" si="49"/>
        <v>0.8</v>
      </c>
      <c r="I166" s="123">
        <f t="shared" si="49"/>
        <v>0.8</v>
      </c>
      <c r="J166" s="123">
        <f t="shared" si="49"/>
        <v>0.8</v>
      </c>
      <c r="K166" s="123">
        <f t="shared" si="49"/>
        <v>0.8</v>
      </c>
      <c r="L166" s="123">
        <f t="shared" si="49"/>
        <v>0.8</v>
      </c>
      <c r="M166" s="123">
        <f t="shared" si="49"/>
        <v>0.8</v>
      </c>
      <c r="N166" s="123">
        <f t="shared" si="49"/>
        <v>0.8</v>
      </c>
      <c r="O166" s="123">
        <f t="shared" si="49"/>
        <v>0.8</v>
      </c>
      <c r="P166" s="123">
        <f t="shared" si="49"/>
        <v>0.8</v>
      </c>
      <c r="Q166" s="123">
        <f t="shared" si="49"/>
        <v>0.8</v>
      </c>
      <c r="R166" s="123">
        <f t="shared" si="49"/>
        <v>0.8</v>
      </c>
      <c r="S166" s="123">
        <f t="shared" si="50"/>
        <v>0.8</v>
      </c>
      <c r="T166" s="123">
        <f t="shared" si="50"/>
        <v>0.8</v>
      </c>
      <c r="U166" s="123">
        <f t="shared" si="50"/>
        <v>0.8</v>
      </c>
      <c r="V166" s="123">
        <f t="shared" si="50"/>
        <v>0.8</v>
      </c>
      <c r="W166" s="123">
        <f t="shared" si="50"/>
        <v>0.8</v>
      </c>
      <c r="X166" s="123">
        <f t="shared" si="50"/>
        <v>0.8</v>
      </c>
      <c r="Y166" s="123">
        <f t="shared" si="50"/>
        <v>0.8</v>
      </c>
      <c r="Z166" s="123">
        <f t="shared" si="50"/>
        <v>0.8</v>
      </c>
      <c r="AA166" s="123">
        <f t="shared" si="50"/>
        <v>0.8</v>
      </c>
      <c r="AB166" s="123">
        <f t="shared" si="50"/>
        <v>0.8</v>
      </c>
      <c r="AC166" s="123">
        <f t="shared" si="50"/>
        <v>0.8</v>
      </c>
      <c r="AD166" s="123">
        <f t="shared" si="50"/>
        <v>0.8</v>
      </c>
      <c r="AE166" s="123">
        <f t="shared" si="50"/>
        <v>0.8</v>
      </c>
      <c r="AF166" s="123">
        <f t="shared" si="50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8"/>
        <v>1.5</v>
      </c>
      <c r="C167" s="124">
        <v>1.5</v>
      </c>
      <c r="D167" s="123">
        <f t="shared" si="49"/>
        <v>1.5</v>
      </c>
      <c r="E167" s="123">
        <f t="shared" si="49"/>
        <v>1.5</v>
      </c>
      <c r="F167" s="123">
        <f t="shared" si="49"/>
        <v>1.5</v>
      </c>
      <c r="G167" s="123">
        <f t="shared" si="49"/>
        <v>1.5</v>
      </c>
      <c r="H167" s="123">
        <f t="shared" si="49"/>
        <v>1.5</v>
      </c>
      <c r="I167" s="123">
        <f t="shared" si="49"/>
        <v>1.5</v>
      </c>
      <c r="J167" s="123">
        <f t="shared" si="49"/>
        <v>1.5</v>
      </c>
      <c r="K167" s="123">
        <f t="shared" si="49"/>
        <v>1.5</v>
      </c>
      <c r="L167" s="123">
        <f t="shared" si="49"/>
        <v>1.5</v>
      </c>
      <c r="M167" s="123">
        <f t="shared" si="49"/>
        <v>1.5</v>
      </c>
      <c r="N167" s="123">
        <f t="shared" si="49"/>
        <v>1.5</v>
      </c>
      <c r="O167" s="123">
        <f t="shared" si="49"/>
        <v>1.5</v>
      </c>
      <c r="P167" s="123">
        <f t="shared" si="49"/>
        <v>1.5</v>
      </c>
      <c r="Q167" s="123">
        <f t="shared" si="49"/>
        <v>1.5</v>
      </c>
      <c r="R167" s="123">
        <f t="shared" si="49"/>
        <v>1.5</v>
      </c>
      <c r="S167" s="123">
        <f t="shared" si="50"/>
        <v>1.5</v>
      </c>
      <c r="T167" s="123">
        <f t="shared" si="50"/>
        <v>1.5</v>
      </c>
      <c r="U167" s="123">
        <f t="shared" si="50"/>
        <v>1.5</v>
      </c>
      <c r="V167" s="123">
        <f t="shared" si="50"/>
        <v>1.5</v>
      </c>
      <c r="W167" s="123">
        <f t="shared" si="50"/>
        <v>1.5</v>
      </c>
      <c r="X167" s="123">
        <f t="shared" si="50"/>
        <v>1.5</v>
      </c>
      <c r="Y167" s="123">
        <f t="shared" si="50"/>
        <v>1.5</v>
      </c>
      <c r="Z167" s="123">
        <f t="shared" si="50"/>
        <v>1.5</v>
      </c>
      <c r="AA167" s="123">
        <f t="shared" si="50"/>
        <v>1.5</v>
      </c>
      <c r="AB167" s="123">
        <f t="shared" si="50"/>
        <v>1.5</v>
      </c>
      <c r="AC167" s="123">
        <f t="shared" si="50"/>
        <v>1.5</v>
      </c>
      <c r="AD167" s="123">
        <f t="shared" si="50"/>
        <v>1.5</v>
      </c>
      <c r="AE167" s="123">
        <f t="shared" si="50"/>
        <v>1.5</v>
      </c>
      <c r="AF167" s="123">
        <f t="shared" si="50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8"/>
        <v>1</v>
      </c>
      <c r="C168" s="124">
        <v>1</v>
      </c>
      <c r="D168" s="123">
        <f t="shared" si="49"/>
        <v>1</v>
      </c>
      <c r="E168" s="123">
        <f t="shared" si="49"/>
        <v>1</v>
      </c>
      <c r="F168" s="123">
        <f t="shared" si="49"/>
        <v>1</v>
      </c>
      <c r="G168" s="123">
        <f t="shared" si="49"/>
        <v>1</v>
      </c>
      <c r="H168" s="123">
        <f t="shared" si="49"/>
        <v>1</v>
      </c>
      <c r="I168" s="123">
        <f t="shared" si="49"/>
        <v>1</v>
      </c>
      <c r="J168" s="123">
        <f t="shared" si="49"/>
        <v>1</v>
      </c>
      <c r="K168" s="123">
        <f t="shared" si="49"/>
        <v>1</v>
      </c>
      <c r="L168" s="123">
        <f t="shared" si="49"/>
        <v>1</v>
      </c>
      <c r="M168" s="123">
        <f t="shared" si="49"/>
        <v>1</v>
      </c>
      <c r="N168" s="123">
        <f t="shared" si="49"/>
        <v>1</v>
      </c>
      <c r="O168" s="123">
        <f t="shared" si="49"/>
        <v>1</v>
      </c>
      <c r="P168" s="123">
        <f t="shared" si="49"/>
        <v>1</v>
      </c>
      <c r="Q168" s="123">
        <f t="shared" si="49"/>
        <v>1</v>
      </c>
      <c r="R168" s="123">
        <f t="shared" si="49"/>
        <v>1</v>
      </c>
      <c r="S168" s="123">
        <f t="shared" si="50"/>
        <v>1</v>
      </c>
      <c r="T168" s="123">
        <f t="shared" si="50"/>
        <v>1</v>
      </c>
      <c r="U168" s="123">
        <f t="shared" si="50"/>
        <v>1</v>
      </c>
      <c r="V168" s="123">
        <f t="shared" si="50"/>
        <v>1</v>
      </c>
      <c r="W168" s="123">
        <f t="shared" si="50"/>
        <v>1</v>
      </c>
      <c r="X168" s="123">
        <f t="shared" si="50"/>
        <v>1</v>
      </c>
      <c r="Y168" s="123">
        <f t="shared" si="50"/>
        <v>1</v>
      </c>
      <c r="Z168" s="123">
        <f t="shared" si="50"/>
        <v>1</v>
      </c>
      <c r="AA168" s="123">
        <f t="shared" si="50"/>
        <v>1</v>
      </c>
      <c r="AB168" s="123">
        <f t="shared" si="50"/>
        <v>1</v>
      </c>
      <c r="AC168" s="123">
        <f t="shared" si="50"/>
        <v>1</v>
      </c>
      <c r="AD168" s="123">
        <f t="shared" si="50"/>
        <v>1</v>
      </c>
      <c r="AE168" s="123">
        <f t="shared" si="50"/>
        <v>1</v>
      </c>
      <c r="AF168" s="123">
        <f t="shared" si="50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1">AF170</f>
        <v>1</v>
      </c>
      <c r="C170" s="124">
        <v>1</v>
      </c>
      <c r="D170" s="123">
        <f t="shared" ref="D170:S177" si="52">C170</f>
        <v>1</v>
      </c>
      <c r="E170" s="123">
        <f t="shared" si="52"/>
        <v>1</v>
      </c>
      <c r="F170" s="123">
        <f t="shared" si="52"/>
        <v>1</v>
      </c>
      <c r="G170" s="123">
        <f t="shared" si="52"/>
        <v>1</v>
      </c>
      <c r="H170" s="123">
        <f t="shared" si="52"/>
        <v>1</v>
      </c>
      <c r="I170" s="123">
        <f t="shared" si="52"/>
        <v>1</v>
      </c>
      <c r="J170" s="123">
        <f t="shared" si="52"/>
        <v>1</v>
      </c>
      <c r="K170" s="123">
        <f t="shared" si="52"/>
        <v>1</v>
      </c>
      <c r="L170" s="123">
        <f t="shared" si="52"/>
        <v>1</v>
      </c>
      <c r="M170" s="123">
        <f t="shared" si="52"/>
        <v>1</v>
      </c>
      <c r="N170" s="123">
        <f t="shared" si="52"/>
        <v>1</v>
      </c>
      <c r="O170" s="123">
        <f t="shared" si="52"/>
        <v>1</v>
      </c>
      <c r="P170" s="123">
        <f t="shared" si="52"/>
        <v>1</v>
      </c>
      <c r="Q170" s="123">
        <f t="shared" si="52"/>
        <v>1</v>
      </c>
      <c r="R170" s="123">
        <f t="shared" si="52"/>
        <v>1</v>
      </c>
      <c r="S170" s="123">
        <f t="shared" si="52"/>
        <v>1</v>
      </c>
      <c r="T170" s="123">
        <f t="shared" ref="S170:AF177" si="53">S170</f>
        <v>1</v>
      </c>
      <c r="U170" s="123">
        <f t="shared" si="53"/>
        <v>1</v>
      </c>
      <c r="V170" s="123">
        <f t="shared" si="53"/>
        <v>1</v>
      </c>
      <c r="W170" s="123">
        <f t="shared" si="53"/>
        <v>1</v>
      </c>
      <c r="X170" s="123">
        <f t="shared" si="53"/>
        <v>1</v>
      </c>
      <c r="Y170" s="123">
        <f t="shared" si="53"/>
        <v>1</v>
      </c>
      <c r="Z170" s="123">
        <f t="shared" si="53"/>
        <v>1</v>
      </c>
      <c r="AA170" s="123">
        <f t="shared" si="53"/>
        <v>1</v>
      </c>
      <c r="AB170" s="123">
        <f t="shared" si="53"/>
        <v>1</v>
      </c>
      <c r="AC170" s="123">
        <f t="shared" si="53"/>
        <v>1</v>
      </c>
      <c r="AD170" s="123">
        <f t="shared" si="53"/>
        <v>1</v>
      </c>
      <c r="AE170" s="123">
        <f t="shared" si="53"/>
        <v>1</v>
      </c>
      <c r="AF170" s="123">
        <f t="shared" si="53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1"/>
        <v>0.42</v>
      </c>
      <c r="C171" s="124">
        <v>0.42</v>
      </c>
      <c r="D171" s="123">
        <f t="shared" si="52"/>
        <v>0.42</v>
      </c>
      <c r="E171" s="123">
        <f t="shared" si="52"/>
        <v>0.42</v>
      </c>
      <c r="F171" s="123">
        <f t="shared" si="52"/>
        <v>0.42</v>
      </c>
      <c r="G171" s="123">
        <f t="shared" si="52"/>
        <v>0.42</v>
      </c>
      <c r="H171" s="123">
        <f t="shared" si="52"/>
        <v>0.42</v>
      </c>
      <c r="I171" s="123">
        <f t="shared" si="52"/>
        <v>0.42</v>
      </c>
      <c r="J171" s="123">
        <f t="shared" si="52"/>
        <v>0.42</v>
      </c>
      <c r="K171" s="123">
        <f t="shared" si="52"/>
        <v>0.42</v>
      </c>
      <c r="L171" s="123">
        <f t="shared" si="52"/>
        <v>0.42</v>
      </c>
      <c r="M171" s="123">
        <f t="shared" si="52"/>
        <v>0.42</v>
      </c>
      <c r="N171" s="123">
        <f t="shared" si="52"/>
        <v>0.42</v>
      </c>
      <c r="O171" s="123">
        <f t="shared" si="52"/>
        <v>0.42</v>
      </c>
      <c r="P171" s="123">
        <f t="shared" si="52"/>
        <v>0.42</v>
      </c>
      <c r="Q171" s="123">
        <f t="shared" si="52"/>
        <v>0.42</v>
      </c>
      <c r="R171" s="123">
        <f t="shared" si="52"/>
        <v>0.42</v>
      </c>
      <c r="S171" s="123">
        <f t="shared" si="53"/>
        <v>0.42</v>
      </c>
      <c r="T171" s="123">
        <f t="shared" si="53"/>
        <v>0.42</v>
      </c>
      <c r="U171" s="123">
        <f t="shared" si="53"/>
        <v>0.42</v>
      </c>
      <c r="V171" s="123">
        <f t="shared" si="53"/>
        <v>0.42</v>
      </c>
      <c r="W171" s="123">
        <f t="shared" si="53"/>
        <v>0.42</v>
      </c>
      <c r="X171" s="123">
        <f t="shared" si="53"/>
        <v>0.42</v>
      </c>
      <c r="Y171" s="123">
        <f t="shared" si="53"/>
        <v>0.42</v>
      </c>
      <c r="Z171" s="123">
        <f t="shared" si="53"/>
        <v>0.42</v>
      </c>
      <c r="AA171" s="123">
        <f t="shared" si="53"/>
        <v>0.42</v>
      </c>
      <c r="AB171" s="123">
        <f t="shared" si="53"/>
        <v>0.42</v>
      </c>
      <c r="AC171" s="123">
        <f t="shared" si="53"/>
        <v>0.42</v>
      </c>
      <c r="AD171" s="123">
        <f t="shared" si="53"/>
        <v>0.42</v>
      </c>
      <c r="AE171" s="123">
        <f t="shared" si="53"/>
        <v>0.42</v>
      </c>
      <c r="AF171" s="123">
        <f t="shared" si="53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1"/>
        <v>0.46</v>
      </c>
      <c r="C172" s="124">
        <v>0.46</v>
      </c>
      <c r="D172" s="123">
        <f t="shared" si="52"/>
        <v>0.46</v>
      </c>
      <c r="E172" s="123">
        <f t="shared" si="52"/>
        <v>0.46</v>
      </c>
      <c r="F172" s="123">
        <f t="shared" si="52"/>
        <v>0.46</v>
      </c>
      <c r="G172" s="123">
        <f t="shared" si="52"/>
        <v>0.46</v>
      </c>
      <c r="H172" s="123">
        <f t="shared" si="52"/>
        <v>0.46</v>
      </c>
      <c r="I172" s="123">
        <f t="shared" si="52"/>
        <v>0.46</v>
      </c>
      <c r="J172" s="123">
        <f t="shared" si="52"/>
        <v>0.46</v>
      </c>
      <c r="K172" s="123">
        <f t="shared" si="52"/>
        <v>0.46</v>
      </c>
      <c r="L172" s="123">
        <f t="shared" si="52"/>
        <v>0.46</v>
      </c>
      <c r="M172" s="123">
        <f t="shared" si="52"/>
        <v>0.46</v>
      </c>
      <c r="N172" s="123">
        <f t="shared" si="52"/>
        <v>0.46</v>
      </c>
      <c r="O172" s="123">
        <f t="shared" si="52"/>
        <v>0.46</v>
      </c>
      <c r="P172" s="123">
        <f t="shared" si="52"/>
        <v>0.46</v>
      </c>
      <c r="Q172" s="123">
        <f t="shared" si="52"/>
        <v>0.46</v>
      </c>
      <c r="R172" s="123">
        <f t="shared" si="52"/>
        <v>0.46</v>
      </c>
      <c r="S172" s="123">
        <f t="shared" si="53"/>
        <v>0.46</v>
      </c>
      <c r="T172" s="123">
        <f t="shared" si="53"/>
        <v>0.46</v>
      </c>
      <c r="U172" s="123">
        <f t="shared" si="53"/>
        <v>0.46</v>
      </c>
      <c r="V172" s="123">
        <f t="shared" si="53"/>
        <v>0.46</v>
      </c>
      <c r="W172" s="123">
        <f t="shared" si="53"/>
        <v>0.46</v>
      </c>
      <c r="X172" s="123">
        <f t="shared" si="53"/>
        <v>0.46</v>
      </c>
      <c r="Y172" s="123">
        <f t="shared" si="53"/>
        <v>0.46</v>
      </c>
      <c r="Z172" s="123">
        <f t="shared" si="53"/>
        <v>0.46</v>
      </c>
      <c r="AA172" s="123">
        <f t="shared" si="53"/>
        <v>0.46</v>
      </c>
      <c r="AB172" s="123">
        <f t="shared" si="53"/>
        <v>0.46</v>
      </c>
      <c r="AC172" s="123">
        <f t="shared" si="53"/>
        <v>0.46</v>
      </c>
      <c r="AD172" s="123">
        <f t="shared" si="53"/>
        <v>0.46</v>
      </c>
      <c r="AE172" s="123">
        <f t="shared" si="53"/>
        <v>0.46</v>
      </c>
      <c r="AF172" s="123">
        <f t="shared" si="53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1"/>
        <v>0.85</v>
      </c>
      <c r="C173" s="124">
        <v>0.85</v>
      </c>
      <c r="D173" s="123">
        <f t="shared" si="52"/>
        <v>0.85</v>
      </c>
      <c r="E173" s="123">
        <f t="shared" si="52"/>
        <v>0.85</v>
      </c>
      <c r="F173" s="123">
        <f t="shared" si="52"/>
        <v>0.85</v>
      </c>
      <c r="G173" s="123">
        <f t="shared" si="52"/>
        <v>0.85</v>
      </c>
      <c r="H173" s="123">
        <f t="shared" si="52"/>
        <v>0.85</v>
      </c>
      <c r="I173" s="123">
        <f t="shared" si="52"/>
        <v>0.85</v>
      </c>
      <c r="J173" s="123">
        <f t="shared" si="52"/>
        <v>0.85</v>
      </c>
      <c r="K173" s="123">
        <f t="shared" si="52"/>
        <v>0.85</v>
      </c>
      <c r="L173" s="123">
        <f t="shared" si="52"/>
        <v>0.85</v>
      </c>
      <c r="M173" s="123">
        <f t="shared" si="52"/>
        <v>0.85</v>
      </c>
      <c r="N173" s="123">
        <f t="shared" si="52"/>
        <v>0.85</v>
      </c>
      <c r="O173" s="123">
        <f t="shared" si="52"/>
        <v>0.85</v>
      </c>
      <c r="P173" s="123">
        <f t="shared" si="52"/>
        <v>0.85</v>
      </c>
      <c r="Q173" s="123">
        <f t="shared" si="52"/>
        <v>0.85</v>
      </c>
      <c r="R173" s="123">
        <f t="shared" si="52"/>
        <v>0.85</v>
      </c>
      <c r="S173" s="123">
        <f t="shared" si="53"/>
        <v>0.85</v>
      </c>
      <c r="T173" s="123">
        <f t="shared" si="53"/>
        <v>0.85</v>
      </c>
      <c r="U173" s="123">
        <f t="shared" si="53"/>
        <v>0.85</v>
      </c>
      <c r="V173" s="123">
        <f t="shared" si="53"/>
        <v>0.85</v>
      </c>
      <c r="W173" s="123">
        <f t="shared" si="53"/>
        <v>0.85</v>
      </c>
      <c r="X173" s="123">
        <f t="shared" si="53"/>
        <v>0.85</v>
      </c>
      <c r="Y173" s="123">
        <f t="shared" si="53"/>
        <v>0.85</v>
      </c>
      <c r="Z173" s="123">
        <f t="shared" si="53"/>
        <v>0.85</v>
      </c>
      <c r="AA173" s="123">
        <f t="shared" si="53"/>
        <v>0.85</v>
      </c>
      <c r="AB173" s="123">
        <f t="shared" si="53"/>
        <v>0.85</v>
      </c>
      <c r="AC173" s="123">
        <f t="shared" si="53"/>
        <v>0.85</v>
      </c>
      <c r="AD173" s="123">
        <f t="shared" si="53"/>
        <v>0.85</v>
      </c>
      <c r="AE173" s="123">
        <f t="shared" si="53"/>
        <v>0.85</v>
      </c>
      <c r="AF173" s="123">
        <f t="shared" si="53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1"/>
        <v>0.9</v>
      </c>
      <c r="C174" s="124">
        <v>0.9</v>
      </c>
      <c r="D174" s="123">
        <f t="shared" si="52"/>
        <v>0.9</v>
      </c>
      <c r="E174" s="123">
        <f t="shared" si="52"/>
        <v>0.9</v>
      </c>
      <c r="F174" s="123">
        <f t="shared" si="52"/>
        <v>0.9</v>
      </c>
      <c r="G174" s="123">
        <f t="shared" si="52"/>
        <v>0.9</v>
      </c>
      <c r="H174" s="123">
        <f t="shared" si="52"/>
        <v>0.9</v>
      </c>
      <c r="I174" s="123">
        <f t="shared" si="52"/>
        <v>0.9</v>
      </c>
      <c r="J174" s="123">
        <f t="shared" si="52"/>
        <v>0.9</v>
      </c>
      <c r="K174" s="123">
        <f t="shared" si="52"/>
        <v>0.9</v>
      </c>
      <c r="L174" s="123">
        <f t="shared" si="52"/>
        <v>0.9</v>
      </c>
      <c r="M174" s="123">
        <f t="shared" si="52"/>
        <v>0.9</v>
      </c>
      <c r="N174" s="123">
        <f t="shared" si="52"/>
        <v>0.9</v>
      </c>
      <c r="O174" s="123">
        <f t="shared" si="52"/>
        <v>0.9</v>
      </c>
      <c r="P174" s="123">
        <f t="shared" si="52"/>
        <v>0.9</v>
      </c>
      <c r="Q174" s="123">
        <f t="shared" si="52"/>
        <v>0.9</v>
      </c>
      <c r="R174" s="123">
        <f t="shared" si="52"/>
        <v>0.9</v>
      </c>
      <c r="S174" s="123">
        <f t="shared" si="53"/>
        <v>0.9</v>
      </c>
      <c r="T174" s="123">
        <f t="shared" si="53"/>
        <v>0.9</v>
      </c>
      <c r="U174" s="123">
        <f t="shared" si="53"/>
        <v>0.9</v>
      </c>
      <c r="V174" s="123">
        <f t="shared" si="53"/>
        <v>0.9</v>
      </c>
      <c r="W174" s="123">
        <f t="shared" si="53"/>
        <v>0.9</v>
      </c>
      <c r="X174" s="123">
        <f t="shared" si="53"/>
        <v>0.9</v>
      </c>
      <c r="Y174" s="123">
        <f t="shared" si="53"/>
        <v>0.9</v>
      </c>
      <c r="Z174" s="123">
        <f t="shared" si="53"/>
        <v>0.9</v>
      </c>
      <c r="AA174" s="123">
        <f t="shared" si="53"/>
        <v>0.9</v>
      </c>
      <c r="AB174" s="123">
        <f t="shared" si="53"/>
        <v>0.9</v>
      </c>
      <c r="AC174" s="123">
        <f t="shared" si="53"/>
        <v>0.9</v>
      </c>
      <c r="AD174" s="123">
        <f t="shared" si="53"/>
        <v>0.9</v>
      </c>
      <c r="AE174" s="123">
        <f t="shared" si="53"/>
        <v>0.9</v>
      </c>
      <c r="AF174" s="123">
        <f t="shared" si="53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1"/>
        <v>0.44</v>
      </c>
      <c r="C175" s="124">
        <v>0.44</v>
      </c>
      <c r="D175" s="123">
        <f t="shared" si="52"/>
        <v>0.44</v>
      </c>
      <c r="E175" s="123">
        <f t="shared" si="52"/>
        <v>0.44</v>
      </c>
      <c r="F175" s="123">
        <f t="shared" si="52"/>
        <v>0.44</v>
      </c>
      <c r="G175" s="123">
        <f t="shared" si="52"/>
        <v>0.44</v>
      </c>
      <c r="H175" s="123">
        <f t="shared" si="52"/>
        <v>0.44</v>
      </c>
      <c r="I175" s="123">
        <f t="shared" si="52"/>
        <v>0.44</v>
      </c>
      <c r="J175" s="123">
        <f t="shared" si="52"/>
        <v>0.44</v>
      </c>
      <c r="K175" s="123">
        <f t="shared" si="52"/>
        <v>0.44</v>
      </c>
      <c r="L175" s="123">
        <f t="shared" si="52"/>
        <v>0.44</v>
      </c>
      <c r="M175" s="123">
        <f t="shared" si="52"/>
        <v>0.44</v>
      </c>
      <c r="N175" s="123">
        <f t="shared" si="52"/>
        <v>0.44</v>
      </c>
      <c r="O175" s="123">
        <f t="shared" si="52"/>
        <v>0.44</v>
      </c>
      <c r="P175" s="123">
        <f t="shared" si="52"/>
        <v>0.44</v>
      </c>
      <c r="Q175" s="123">
        <f t="shared" si="52"/>
        <v>0.44</v>
      </c>
      <c r="R175" s="123">
        <f t="shared" si="52"/>
        <v>0.44</v>
      </c>
      <c r="S175" s="123">
        <f t="shared" si="53"/>
        <v>0.44</v>
      </c>
      <c r="T175" s="123">
        <f t="shared" si="53"/>
        <v>0.44</v>
      </c>
      <c r="U175" s="123">
        <f t="shared" si="53"/>
        <v>0.44</v>
      </c>
      <c r="V175" s="123">
        <f t="shared" si="53"/>
        <v>0.44</v>
      </c>
      <c r="W175" s="123">
        <f t="shared" si="53"/>
        <v>0.44</v>
      </c>
      <c r="X175" s="123">
        <f t="shared" si="53"/>
        <v>0.44</v>
      </c>
      <c r="Y175" s="123">
        <f t="shared" si="53"/>
        <v>0.44</v>
      </c>
      <c r="Z175" s="123">
        <f t="shared" si="53"/>
        <v>0.44</v>
      </c>
      <c r="AA175" s="123">
        <f t="shared" si="53"/>
        <v>0.44</v>
      </c>
      <c r="AB175" s="123">
        <f t="shared" si="53"/>
        <v>0.44</v>
      </c>
      <c r="AC175" s="123">
        <f t="shared" si="53"/>
        <v>0.44</v>
      </c>
      <c r="AD175" s="123">
        <f t="shared" si="53"/>
        <v>0.44</v>
      </c>
      <c r="AE175" s="123">
        <f t="shared" si="53"/>
        <v>0.44</v>
      </c>
      <c r="AF175" s="123">
        <f t="shared" si="53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1"/>
        <v>2.1</v>
      </c>
      <c r="C176" s="124">
        <v>2.1</v>
      </c>
      <c r="D176" s="123">
        <f t="shared" si="52"/>
        <v>2.1</v>
      </c>
      <c r="E176" s="123">
        <f t="shared" si="52"/>
        <v>2.1</v>
      </c>
      <c r="F176" s="123">
        <f t="shared" si="52"/>
        <v>2.1</v>
      </c>
      <c r="G176" s="123">
        <f t="shared" si="52"/>
        <v>2.1</v>
      </c>
      <c r="H176" s="123">
        <f t="shared" si="52"/>
        <v>2.1</v>
      </c>
      <c r="I176" s="123">
        <f t="shared" si="52"/>
        <v>2.1</v>
      </c>
      <c r="J176" s="123">
        <f t="shared" si="52"/>
        <v>2.1</v>
      </c>
      <c r="K176" s="123">
        <f t="shared" si="52"/>
        <v>2.1</v>
      </c>
      <c r="L176" s="123">
        <f t="shared" si="52"/>
        <v>2.1</v>
      </c>
      <c r="M176" s="123">
        <f t="shared" si="52"/>
        <v>2.1</v>
      </c>
      <c r="N176" s="123">
        <f t="shared" si="52"/>
        <v>2.1</v>
      </c>
      <c r="O176" s="123">
        <f t="shared" si="52"/>
        <v>2.1</v>
      </c>
      <c r="P176" s="123">
        <f t="shared" si="52"/>
        <v>2.1</v>
      </c>
      <c r="Q176" s="123">
        <f t="shared" si="52"/>
        <v>2.1</v>
      </c>
      <c r="R176" s="123">
        <f t="shared" si="52"/>
        <v>2.1</v>
      </c>
      <c r="S176" s="123">
        <f t="shared" si="53"/>
        <v>2.1</v>
      </c>
      <c r="T176" s="123">
        <f t="shared" si="53"/>
        <v>2.1</v>
      </c>
      <c r="U176" s="123">
        <f t="shared" si="53"/>
        <v>2.1</v>
      </c>
      <c r="V176" s="123">
        <f t="shared" si="53"/>
        <v>2.1</v>
      </c>
      <c r="W176" s="123">
        <f t="shared" si="53"/>
        <v>2.1</v>
      </c>
      <c r="X176" s="123">
        <f t="shared" si="53"/>
        <v>2.1</v>
      </c>
      <c r="Y176" s="123">
        <f t="shared" si="53"/>
        <v>2.1</v>
      </c>
      <c r="Z176" s="123">
        <f t="shared" si="53"/>
        <v>2.1</v>
      </c>
      <c r="AA176" s="123">
        <f t="shared" si="53"/>
        <v>2.1</v>
      </c>
      <c r="AB176" s="123">
        <f t="shared" si="53"/>
        <v>2.1</v>
      </c>
      <c r="AC176" s="123">
        <f t="shared" si="53"/>
        <v>2.1</v>
      </c>
      <c r="AD176" s="123">
        <f t="shared" si="53"/>
        <v>2.1</v>
      </c>
      <c r="AE176" s="123">
        <f t="shared" si="53"/>
        <v>2.1</v>
      </c>
      <c r="AF176" s="123">
        <f t="shared" si="53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1"/>
        <v>0.9</v>
      </c>
      <c r="C177" s="124">
        <v>0.9</v>
      </c>
      <c r="D177" s="123">
        <f t="shared" si="52"/>
        <v>0.9</v>
      </c>
      <c r="E177" s="123">
        <f t="shared" si="52"/>
        <v>0.9</v>
      </c>
      <c r="F177" s="123">
        <f t="shared" si="52"/>
        <v>0.9</v>
      </c>
      <c r="G177" s="123">
        <f t="shared" si="52"/>
        <v>0.9</v>
      </c>
      <c r="H177" s="123">
        <f t="shared" si="52"/>
        <v>0.9</v>
      </c>
      <c r="I177" s="123">
        <f t="shared" si="52"/>
        <v>0.9</v>
      </c>
      <c r="J177" s="123">
        <f t="shared" si="52"/>
        <v>0.9</v>
      </c>
      <c r="K177" s="123">
        <f t="shared" si="52"/>
        <v>0.9</v>
      </c>
      <c r="L177" s="123">
        <f t="shared" si="52"/>
        <v>0.9</v>
      </c>
      <c r="M177" s="123">
        <f t="shared" si="52"/>
        <v>0.9</v>
      </c>
      <c r="N177" s="123">
        <f t="shared" si="52"/>
        <v>0.9</v>
      </c>
      <c r="O177" s="123">
        <f t="shared" si="52"/>
        <v>0.9</v>
      </c>
      <c r="P177" s="123">
        <f t="shared" si="52"/>
        <v>0.9</v>
      </c>
      <c r="Q177" s="123">
        <f t="shared" si="52"/>
        <v>0.9</v>
      </c>
      <c r="R177" s="123">
        <f t="shared" si="52"/>
        <v>0.9</v>
      </c>
      <c r="S177" s="123">
        <f t="shared" si="53"/>
        <v>0.9</v>
      </c>
      <c r="T177" s="123">
        <f t="shared" si="53"/>
        <v>0.9</v>
      </c>
      <c r="U177" s="123">
        <f t="shared" si="53"/>
        <v>0.9</v>
      </c>
      <c r="V177" s="123">
        <f t="shared" si="53"/>
        <v>0.9</v>
      </c>
      <c r="W177" s="123">
        <f t="shared" si="53"/>
        <v>0.9</v>
      </c>
      <c r="X177" s="123">
        <f t="shared" si="53"/>
        <v>0.9</v>
      </c>
      <c r="Y177" s="123">
        <f t="shared" si="53"/>
        <v>0.9</v>
      </c>
      <c r="Z177" s="123">
        <f t="shared" si="53"/>
        <v>0.9</v>
      </c>
      <c r="AA177" s="123">
        <f t="shared" si="53"/>
        <v>0.9</v>
      </c>
      <c r="AB177" s="123">
        <f t="shared" si="53"/>
        <v>0.9</v>
      </c>
      <c r="AC177" s="123">
        <f t="shared" si="53"/>
        <v>0.9</v>
      </c>
      <c r="AD177" s="123">
        <f t="shared" si="53"/>
        <v>0.9</v>
      </c>
      <c r="AE177" s="123">
        <f t="shared" si="53"/>
        <v>0.9</v>
      </c>
      <c r="AF177" s="123">
        <f t="shared" si="53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4">AF179</f>
        <v>0.57999999999999996</v>
      </c>
      <c r="C179" s="124">
        <v>0.57999999999999996</v>
      </c>
      <c r="D179" s="123">
        <f t="shared" ref="D179:S191" si="55">C179</f>
        <v>0.57999999999999996</v>
      </c>
      <c r="E179" s="123">
        <f t="shared" si="55"/>
        <v>0.57999999999999996</v>
      </c>
      <c r="F179" s="123">
        <f t="shared" si="55"/>
        <v>0.57999999999999996</v>
      </c>
      <c r="G179" s="123">
        <f t="shared" si="55"/>
        <v>0.57999999999999996</v>
      </c>
      <c r="H179" s="123">
        <f t="shared" si="55"/>
        <v>0.57999999999999996</v>
      </c>
      <c r="I179" s="123">
        <f t="shared" si="55"/>
        <v>0.57999999999999996</v>
      </c>
      <c r="J179" s="123">
        <f t="shared" si="55"/>
        <v>0.57999999999999996</v>
      </c>
      <c r="K179" s="123">
        <f t="shared" si="55"/>
        <v>0.57999999999999996</v>
      </c>
      <c r="L179" s="123">
        <f t="shared" si="55"/>
        <v>0.57999999999999996</v>
      </c>
      <c r="M179" s="123">
        <f t="shared" si="55"/>
        <v>0.57999999999999996</v>
      </c>
      <c r="N179" s="123">
        <f t="shared" si="55"/>
        <v>0.57999999999999996</v>
      </c>
      <c r="O179" s="123">
        <f t="shared" si="55"/>
        <v>0.57999999999999996</v>
      </c>
      <c r="P179" s="123">
        <f t="shared" si="55"/>
        <v>0.57999999999999996</v>
      </c>
      <c r="Q179" s="123">
        <f t="shared" si="55"/>
        <v>0.57999999999999996</v>
      </c>
      <c r="R179" s="123">
        <f t="shared" si="55"/>
        <v>0.57999999999999996</v>
      </c>
      <c r="S179" s="123">
        <f t="shared" si="55"/>
        <v>0.57999999999999996</v>
      </c>
      <c r="T179" s="123">
        <f t="shared" ref="S179:AF191" si="56">S179</f>
        <v>0.57999999999999996</v>
      </c>
      <c r="U179" s="123">
        <f t="shared" si="56"/>
        <v>0.57999999999999996</v>
      </c>
      <c r="V179" s="123">
        <f t="shared" si="56"/>
        <v>0.57999999999999996</v>
      </c>
      <c r="W179" s="123">
        <f t="shared" si="56"/>
        <v>0.57999999999999996</v>
      </c>
      <c r="X179" s="123">
        <f t="shared" si="56"/>
        <v>0.57999999999999996</v>
      </c>
      <c r="Y179" s="123">
        <f t="shared" si="56"/>
        <v>0.57999999999999996</v>
      </c>
      <c r="Z179" s="123">
        <f t="shared" si="56"/>
        <v>0.57999999999999996</v>
      </c>
      <c r="AA179" s="123">
        <f t="shared" si="56"/>
        <v>0.57999999999999996</v>
      </c>
      <c r="AB179" s="123">
        <f t="shared" si="56"/>
        <v>0.57999999999999996</v>
      </c>
      <c r="AC179" s="123">
        <f t="shared" si="56"/>
        <v>0.57999999999999996</v>
      </c>
      <c r="AD179" s="123">
        <f t="shared" si="56"/>
        <v>0.57999999999999996</v>
      </c>
      <c r="AE179" s="123">
        <f t="shared" si="56"/>
        <v>0.57999999999999996</v>
      </c>
      <c r="AF179" s="123">
        <f t="shared" si="56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4"/>
        <v>0.8</v>
      </c>
      <c r="C180" s="124">
        <v>0.8</v>
      </c>
      <c r="D180" s="123">
        <f t="shared" si="55"/>
        <v>0.8</v>
      </c>
      <c r="E180" s="123">
        <f t="shared" si="55"/>
        <v>0.8</v>
      </c>
      <c r="F180" s="123">
        <f t="shared" si="55"/>
        <v>0.8</v>
      </c>
      <c r="G180" s="123">
        <f t="shared" si="55"/>
        <v>0.8</v>
      </c>
      <c r="H180" s="123">
        <f t="shared" si="55"/>
        <v>0.8</v>
      </c>
      <c r="I180" s="123">
        <f t="shared" si="55"/>
        <v>0.8</v>
      </c>
      <c r="J180" s="123">
        <f t="shared" si="55"/>
        <v>0.8</v>
      </c>
      <c r="K180" s="123">
        <f t="shared" si="55"/>
        <v>0.8</v>
      </c>
      <c r="L180" s="123">
        <f t="shared" si="55"/>
        <v>0.8</v>
      </c>
      <c r="M180" s="123">
        <f t="shared" si="55"/>
        <v>0.8</v>
      </c>
      <c r="N180" s="123">
        <f t="shared" si="55"/>
        <v>0.8</v>
      </c>
      <c r="O180" s="123">
        <f t="shared" si="55"/>
        <v>0.8</v>
      </c>
      <c r="P180" s="123">
        <f t="shared" si="55"/>
        <v>0.8</v>
      </c>
      <c r="Q180" s="123">
        <f t="shared" si="55"/>
        <v>0.8</v>
      </c>
      <c r="R180" s="123">
        <f t="shared" si="55"/>
        <v>0.8</v>
      </c>
      <c r="S180" s="123">
        <f t="shared" si="55"/>
        <v>0.8</v>
      </c>
      <c r="T180" s="123">
        <f t="shared" si="56"/>
        <v>0.8</v>
      </c>
      <c r="U180" s="123">
        <f t="shared" si="56"/>
        <v>0.8</v>
      </c>
      <c r="V180" s="123">
        <f t="shared" si="56"/>
        <v>0.8</v>
      </c>
      <c r="W180" s="123">
        <f t="shared" si="56"/>
        <v>0.8</v>
      </c>
      <c r="X180" s="123">
        <f t="shared" si="56"/>
        <v>0.8</v>
      </c>
      <c r="Y180" s="123">
        <f t="shared" si="56"/>
        <v>0.8</v>
      </c>
      <c r="Z180" s="123">
        <f t="shared" si="56"/>
        <v>0.8</v>
      </c>
      <c r="AA180" s="123">
        <f t="shared" si="56"/>
        <v>0.8</v>
      </c>
      <c r="AB180" s="123">
        <f t="shared" si="56"/>
        <v>0.8</v>
      </c>
      <c r="AC180" s="123">
        <f t="shared" si="56"/>
        <v>0.8</v>
      </c>
      <c r="AD180" s="123">
        <f t="shared" si="56"/>
        <v>0.8</v>
      </c>
      <c r="AE180" s="123">
        <f t="shared" si="56"/>
        <v>0.8</v>
      </c>
      <c r="AF180" s="123">
        <f t="shared" si="56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4"/>
        <v>0</v>
      </c>
      <c r="C181" s="124">
        <v>0</v>
      </c>
      <c r="D181" s="123">
        <f t="shared" si="55"/>
        <v>0</v>
      </c>
      <c r="E181" s="123">
        <f t="shared" si="55"/>
        <v>0</v>
      </c>
      <c r="F181" s="123">
        <f t="shared" si="55"/>
        <v>0</v>
      </c>
      <c r="G181" s="123">
        <f t="shared" si="55"/>
        <v>0</v>
      </c>
      <c r="H181" s="123">
        <f t="shared" si="55"/>
        <v>0</v>
      </c>
      <c r="I181" s="123">
        <f t="shared" si="55"/>
        <v>0</v>
      </c>
      <c r="J181" s="123">
        <f t="shared" si="55"/>
        <v>0</v>
      </c>
      <c r="K181" s="123">
        <f t="shared" si="55"/>
        <v>0</v>
      </c>
      <c r="L181" s="123">
        <f t="shared" si="55"/>
        <v>0</v>
      </c>
      <c r="M181" s="123">
        <f t="shared" si="55"/>
        <v>0</v>
      </c>
      <c r="N181" s="123">
        <f t="shared" si="55"/>
        <v>0</v>
      </c>
      <c r="O181" s="123">
        <f t="shared" si="55"/>
        <v>0</v>
      </c>
      <c r="P181" s="123">
        <f t="shared" si="55"/>
        <v>0</v>
      </c>
      <c r="Q181" s="123">
        <f t="shared" si="55"/>
        <v>0</v>
      </c>
      <c r="R181" s="123">
        <f t="shared" si="55"/>
        <v>0</v>
      </c>
      <c r="S181" s="123">
        <f t="shared" si="55"/>
        <v>0</v>
      </c>
      <c r="T181" s="123">
        <f t="shared" si="56"/>
        <v>0</v>
      </c>
      <c r="U181" s="123">
        <f t="shared" si="56"/>
        <v>0</v>
      </c>
      <c r="V181" s="123">
        <f t="shared" si="56"/>
        <v>0</v>
      </c>
      <c r="W181" s="123">
        <f t="shared" si="56"/>
        <v>0</v>
      </c>
      <c r="X181" s="123">
        <f t="shared" si="56"/>
        <v>0</v>
      </c>
      <c r="Y181" s="123">
        <f t="shared" si="56"/>
        <v>0</v>
      </c>
      <c r="Z181" s="123">
        <f t="shared" si="56"/>
        <v>0</v>
      </c>
      <c r="AA181" s="123">
        <f t="shared" si="56"/>
        <v>0</v>
      </c>
      <c r="AB181" s="123">
        <f t="shared" si="56"/>
        <v>0</v>
      </c>
      <c r="AC181" s="123">
        <f t="shared" si="56"/>
        <v>0</v>
      </c>
      <c r="AD181" s="123">
        <f t="shared" si="56"/>
        <v>0</v>
      </c>
      <c r="AE181" s="123">
        <f t="shared" si="56"/>
        <v>0</v>
      </c>
      <c r="AF181" s="123">
        <f t="shared" si="56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4"/>
        <v>0.6</v>
      </c>
      <c r="C182" s="124">
        <v>0.6</v>
      </c>
      <c r="D182" s="123">
        <f t="shared" si="55"/>
        <v>0.6</v>
      </c>
      <c r="E182" s="123">
        <f t="shared" si="55"/>
        <v>0.6</v>
      </c>
      <c r="F182" s="123">
        <f t="shared" si="55"/>
        <v>0.6</v>
      </c>
      <c r="G182" s="123">
        <f t="shared" si="55"/>
        <v>0.6</v>
      </c>
      <c r="H182" s="123">
        <f t="shared" si="55"/>
        <v>0.6</v>
      </c>
      <c r="I182" s="123">
        <f t="shared" si="55"/>
        <v>0.6</v>
      </c>
      <c r="J182" s="123">
        <f t="shared" si="55"/>
        <v>0.6</v>
      </c>
      <c r="K182" s="123">
        <f t="shared" si="55"/>
        <v>0.6</v>
      </c>
      <c r="L182" s="123">
        <f t="shared" si="55"/>
        <v>0.6</v>
      </c>
      <c r="M182" s="123">
        <f t="shared" si="55"/>
        <v>0.6</v>
      </c>
      <c r="N182" s="123">
        <f t="shared" si="55"/>
        <v>0.6</v>
      </c>
      <c r="O182" s="123">
        <f t="shared" si="55"/>
        <v>0.6</v>
      </c>
      <c r="P182" s="123">
        <f t="shared" si="55"/>
        <v>0.6</v>
      </c>
      <c r="Q182" s="123">
        <f t="shared" si="55"/>
        <v>0.6</v>
      </c>
      <c r="R182" s="123">
        <f t="shared" si="55"/>
        <v>0.6</v>
      </c>
      <c r="S182" s="123">
        <f t="shared" si="55"/>
        <v>0.6</v>
      </c>
      <c r="T182" s="123">
        <f t="shared" si="56"/>
        <v>0.6</v>
      </c>
      <c r="U182" s="123">
        <f t="shared" si="56"/>
        <v>0.6</v>
      </c>
      <c r="V182" s="123">
        <f t="shared" si="56"/>
        <v>0.6</v>
      </c>
      <c r="W182" s="123">
        <f t="shared" si="56"/>
        <v>0.6</v>
      </c>
      <c r="X182" s="123">
        <f t="shared" si="56"/>
        <v>0.6</v>
      </c>
      <c r="Y182" s="123">
        <f t="shared" si="56"/>
        <v>0.6</v>
      </c>
      <c r="Z182" s="123">
        <f t="shared" si="56"/>
        <v>0.6</v>
      </c>
      <c r="AA182" s="123">
        <f t="shared" si="56"/>
        <v>0.6</v>
      </c>
      <c r="AB182" s="123">
        <f t="shared" si="56"/>
        <v>0.6</v>
      </c>
      <c r="AC182" s="123">
        <f t="shared" si="56"/>
        <v>0.6</v>
      </c>
      <c r="AD182" s="123">
        <f t="shared" si="56"/>
        <v>0.6</v>
      </c>
      <c r="AE182" s="123">
        <f t="shared" si="56"/>
        <v>0.6</v>
      </c>
      <c r="AF182" s="123">
        <f t="shared" si="56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4"/>
        <v>0.6</v>
      </c>
      <c r="C183" s="124">
        <v>0.6</v>
      </c>
      <c r="D183" s="123">
        <f t="shared" si="55"/>
        <v>0.6</v>
      </c>
      <c r="E183" s="123">
        <f t="shared" si="55"/>
        <v>0.6</v>
      </c>
      <c r="F183" s="123">
        <f t="shared" si="55"/>
        <v>0.6</v>
      </c>
      <c r="G183" s="123">
        <f t="shared" si="55"/>
        <v>0.6</v>
      </c>
      <c r="H183" s="123">
        <f t="shared" si="55"/>
        <v>0.6</v>
      </c>
      <c r="I183" s="123">
        <f t="shared" si="55"/>
        <v>0.6</v>
      </c>
      <c r="J183" s="123">
        <f t="shared" si="55"/>
        <v>0.6</v>
      </c>
      <c r="K183" s="123">
        <f t="shared" si="55"/>
        <v>0.6</v>
      </c>
      <c r="L183" s="123">
        <f t="shared" si="55"/>
        <v>0.6</v>
      </c>
      <c r="M183" s="123">
        <f t="shared" si="55"/>
        <v>0.6</v>
      </c>
      <c r="N183" s="123">
        <f t="shared" si="55"/>
        <v>0.6</v>
      </c>
      <c r="O183" s="123">
        <f t="shared" si="55"/>
        <v>0.6</v>
      </c>
      <c r="P183" s="123">
        <f t="shared" si="55"/>
        <v>0.6</v>
      </c>
      <c r="Q183" s="123">
        <f t="shared" si="55"/>
        <v>0.6</v>
      </c>
      <c r="R183" s="123">
        <f t="shared" si="55"/>
        <v>0.6</v>
      </c>
      <c r="S183" s="123">
        <f t="shared" si="55"/>
        <v>0.6</v>
      </c>
      <c r="T183" s="123">
        <f t="shared" si="56"/>
        <v>0.6</v>
      </c>
      <c r="U183" s="123">
        <f t="shared" si="56"/>
        <v>0.6</v>
      </c>
      <c r="V183" s="123">
        <f t="shared" si="56"/>
        <v>0.6</v>
      </c>
      <c r="W183" s="123">
        <f t="shared" si="56"/>
        <v>0.6</v>
      </c>
      <c r="X183" s="123">
        <f t="shared" si="56"/>
        <v>0.6</v>
      </c>
      <c r="Y183" s="123">
        <f t="shared" si="56"/>
        <v>0.6</v>
      </c>
      <c r="Z183" s="123">
        <f t="shared" si="56"/>
        <v>0.6</v>
      </c>
      <c r="AA183" s="123">
        <f t="shared" si="56"/>
        <v>0.6</v>
      </c>
      <c r="AB183" s="123">
        <f t="shared" si="56"/>
        <v>0.6</v>
      </c>
      <c r="AC183" s="123">
        <f t="shared" si="56"/>
        <v>0.6</v>
      </c>
      <c r="AD183" s="123">
        <f t="shared" si="56"/>
        <v>0.6</v>
      </c>
      <c r="AE183" s="123">
        <f t="shared" si="56"/>
        <v>0.6</v>
      </c>
      <c r="AF183" s="123">
        <f t="shared" si="56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4"/>
        <v>0.35</v>
      </c>
      <c r="C184" s="124">
        <v>0.35</v>
      </c>
      <c r="D184" s="123">
        <f t="shared" si="55"/>
        <v>0.35</v>
      </c>
      <c r="E184" s="123">
        <f t="shared" si="55"/>
        <v>0.35</v>
      </c>
      <c r="F184" s="123">
        <f t="shared" si="55"/>
        <v>0.35</v>
      </c>
      <c r="G184" s="123">
        <f t="shared" si="55"/>
        <v>0.35</v>
      </c>
      <c r="H184" s="123">
        <f t="shared" si="55"/>
        <v>0.35</v>
      </c>
      <c r="I184" s="123">
        <f t="shared" si="55"/>
        <v>0.35</v>
      </c>
      <c r="J184" s="123">
        <f t="shared" si="55"/>
        <v>0.35</v>
      </c>
      <c r="K184" s="123">
        <f t="shared" si="55"/>
        <v>0.35</v>
      </c>
      <c r="L184" s="123">
        <f t="shared" si="55"/>
        <v>0.35</v>
      </c>
      <c r="M184" s="123">
        <f t="shared" si="55"/>
        <v>0.35</v>
      </c>
      <c r="N184" s="123">
        <f t="shared" si="55"/>
        <v>0.35</v>
      </c>
      <c r="O184" s="123">
        <f t="shared" si="55"/>
        <v>0.35</v>
      </c>
      <c r="P184" s="123">
        <f t="shared" si="55"/>
        <v>0.35</v>
      </c>
      <c r="Q184" s="123">
        <f t="shared" si="55"/>
        <v>0.35</v>
      </c>
      <c r="R184" s="123">
        <f t="shared" si="55"/>
        <v>0.35</v>
      </c>
      <c r="S184" s="123">
        <f t="shared" si="55"/>
        <v>0.35</v>
      </c>
      <c r="T184" s="123">
        <f t="shared" si="56"/>
        <v>0.35</v>
      </c>
      <c r="U184" s="123">
        <f t="shared" si="56"/>
        <v>0.35</v>
      </c>
      <c r="V184" s="123">
        <f t="shared" si="56"/>
        <v>0.35</v>
      </c>
      <c r="W184" s="123">
        <f t="shared" si="56"/>
        <v>0.35</v>
      </c>
      <c r="X184" s="123">
        <f t="shared" si="56"/>
        <v>0.35</v>
      </c>
      <c r="Y184" s="123">
        <f t="shared" si="56"/>
        <v>0.35</v>
      </c>
      <c r="Z184" s="123">
        <f t="shared" si="56"/>
        <v>0.35</v>
      </c>
      <c r="AA184" s="123">
        <f t="shared" si="56"/>
        <v>0.35</v>
      </c>
      <c r="AB184" s="123">
        <f t="shared" si="56"/>
        <v>0.35</v>
      </c>
      <c r="AC184" s="123">
        <f t="shared" si="56"/>
        <v>0.35</v>
      </c>
      <c r="AD184" s="123">
        <f t="shared" si="56"/>
        <v>0.35</v>
      </c>
      <c r="AE184" s="123">
        <f t="shared" si="56"/>
        <v>0.35</v>
      </c>
      <c r="AF184" s="123">
        <f t="shared" si="56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4"/>
        <v>0.28999999999999998</v>
      </c>
      <c r="C185" s="124">
        <v>0.28999999999999998</v>
      </c>
      <c r="D185" s="123">
        <f t="shared" si="55"/>
        <v>0.28999999999999998</v>
      </c>
      <c r="E185" s="123">
        <f t="shared" si="55"/>
        <v>0.28999999999999998</v>
      </c>
      <c r="F185" s="123">
        <f t="shared" si="55"/>
        <v>0.28999999999999998</v>
      </c>
      <c r="G185" s="123">
        <f t="shared" si="55"/>
        <v>0.28999999999999998</v>
      </c>
      <c r="H185" s="123">
        <f t="shared" si="55"/>
        <v>0.28999999999999998</v>
      </c>
      <c r="I185" s="123">
        <f t="shared" si="55"/>
        <v>0.28999999999999998</v>
      </c>
      <c r="J185" s="123">
        <f t="shared" si="55"/>
        <v>0.28999999999999998</v>
      </c>
      <c r="K185" s="123">
        <f t="shared" si="55"/>
        <v>0.28999999999999998</v>
      </c>
      <c r="L185" s="123">
        <f t="shared" si="55"/>
        <v>0.28999999999999998</v>
      </c>
      <c r="M185" s="123">
        <f t="shared" si="55"/>
        <v>0.28999999999999998</v>
      </c>
      <c r="N185" s="123">
        <f t="shared" si="55"/>
        <v>0.28999999999999998</v>
      </c>
      <c r="O185" s="123">
        <f t="shared" si="55"/>
        <v>0.28999999999999998</v>
      </c>
      <c r="P185" s="123">
        <f t="shared" si="55"/>
        <v>0.28999999999999998</v>
      </c>
      <c r="Q185" s="123">
        <f t="shared" si="55"/>
        <v>0.28999999999999998</v>
      </c>
      <c r="R185" s="123">
        <f t="shared" si="55"/>
        <v>0.28999999999999998</v>
      </c>
      <c r="S185" s="123">
        <f t="shared" si="55"/>
        <v>0.28999999999999998</v>
      </c>
      <c r="T185" s="123">
        <f t="shared" si="56"/>
        <v>0.28999999999999998</v>
      </c>
      <c r="U185" s="123">
        <f t="shared" si="56"/>
        <v>0.28999999999999998</v>
      </c>
      <c r="V185" s="123">
        <f t="shared" si="56"/>
        <v>0.28999999999999998</v>
      </c>
      <c r="W185" s="123">
        <f t="shared" si="56"/>
        <v>0.28999999999999998</v>
      </c>
      <c r="X185" s="123">
        <f t="shared" si="56"/>
        <v>0.28999999999999998</v>
      </c>
      <c r="Y185" s="123">
        <f t="shared" si="56"/>
        <v>0.28999999999999998</v>
      </c>
      <c r="Z185" s="123">
        <f t="shared" si="56"/>
        <v>0.28999999999999998</v>
      </c>
      <c r="AA185" s="123">
        <f t="shared" si="56"/>
        <v>0.28999999999999998</v>
      </c>
      <c r="AB185" s="123">
        <f t="shared" si="56"/>
        <v>0.28999999999999998</v>
      </c>
      <c r="AC185" s="123">
        <f t="shared" si="56"/>
        <v>0.28999999999999998</v>
      </c>
      <c r="AD185" s="123">
        <f t="shared" si="56"/>
        <v>0.28999999999999998</v>
      </c>
      <c r="AE185" s="123">
        <f t="shared" si="56"/>
        <v>0.28999999999999998</v>
      </c>
      <c r="AF185" s="123">
        <f t="shared" si="56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4"/>
        <v>0.06</v>
      </c>
      <c r="C186" s="124">
        <v>0.06</v>
      </c>
      <c r="D186" s="123">
        <f t="shared" si="55"/>
        <v>0.06</v>
      </c>
      <c r="E186" s="123">
        <f t="shared" si="55"/>
        <v>0.06</v>
      </c>
      <c r="F186" s="123">
        <f t="shared" si="55"/>
        <v>0.06</v>
      </c>
      <c r="G186" s="123">
        <f t="shared" si="55"/>
        <v>0.06</v>
      </c>
      <c r="H186" s="123">
        <f t="shared" si="55"/>
        <v>0.06</v>
      </c>
      <c r="I186" s="123">
        <f t="shared" si="55"/>
        <v>0.06</v>
      </c>
      <c r="J186" s="123">
        <f t="shared" si="55"/>
        <v>0.06</v>
      </c>
      <c r="K186" s="123">
        <f t="shared" si="55"/>
        <v>0.06</v>
      </c>
      <c r="L186" s="123">
        <f t="shared" si="55"/>
        <v>0.06</v>
      </c>
      <c r="M186" s="123">
        <f t="shared" si="55"/>
        <v>0.06</v>
      </c>
      <c r="N186" s="123">
        <f t="shared" si="55"/>
        <v>0.06</v>
      </c>
      <c r="O186" s="123">
        <f t="shared" si="55"/>
        <v>0.06</v>
      </c>
      <c r="P186" s="123">
        <f t="shared" si="55"/>
        <v>0.06</v>
      </c>
      <c r="Q186" s="123">
        <f t="shared" si="55"/>
        <v>0.06</v>
      </c>
      <c r="R186" s="123">
        <f t="shared" si="55"/>
        <v>0.06</v>
      </c>
      <c r="S186" s="123">
        <f t="shared" si="55"/>
        <v>0.06</v>
      </c>
      <c r="T186" s="123">
        <f t="shared" si="56"/>
        <v>0.06</v>
      </c>
      <c r="U186" s="123">
        <f t="shared" si="56"/>
        <v>0.06</v>
      </c>
      <c r="V186" s="123">
        <f t="shared" si="56"/>
        <v>0.06</v>
      </c>
      <c r="W186" s="123">
        <f t="shared" si="56"/>
        <v>0.06</v>
      </c>
      <c r="X186" s="123">
        <f t="shared" si="56"/>
        <v>0.06</v>
      </c>
      <c r="Y186" s="123">
        <f t="shared" si="56"/>
        <v>0.06</v>
      </c>
      <c r="Z186" s="123">
        <f t="shared" si="56"/>
        <v>0.06</v>
      </c>
      <c r="AA186" s="123">
        <f t="shared" si="56"/>
        <v>0.06</v>
      </c>
      <c r="AB186" s="123">
        <f t="shared" si="56"/>
        <v>0.06</v>
      </c>
      <c r="AC186" s="123">
        <f t="shared" si="56"/>
        <v>0.06</v>
      </c>
      <c r="AD186" s="123">
        <f t="shared" si="56"/>
        <v>0.06</v>
      </c>
      <c r="AE186" s="123">
        <f t="shared" si="56"/>
        <v>0.06</v>
      </c>
      <c r="AF186" s="123">
        <f t="shared" si="56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4"/>
        <v>0.11</v>
      </c>
      <c r="C187" s="124">
        <v>0.11</v>
      </c>
      <c r="D187" s="123">
        <f t="shared" si="55"/>
        <v>0.11</v>
      </c>
      <c r="E187" s="123">
        <f t="shared" si="55"/>
        <v>0.11</v>
      </c>
      <c r="F187" s="123">
        <f t="shared" si="55"/>
        <v>0.11</v>
      </c>
      <c r="G187" s="123">
        <f t="shared" si="55"/>
        <v>0.11</v>
      </c>
      <c r="H187" s="123">
        <f t="shared" si="55"/>
        <v>0.11</v>
      </c>
      <c r="I187" s="123">
        <f t="shared" si="55"/>
        <v>0.11</v>
      </c>
      <c r="J187" s="123">
        <f t="shared" si="55"/>
        <v>0.11</v>
      </c>
      <c r="K187" s="123">
        <f t="shared" si="55"/>
        <v>0.11</v>
      </c>
      <c r="L187" s="123">
        <f t="shared" si="55"/>
        <v>0.11</v>
      </c>
      <c r="M187" s="123">
        <f t="shared" si="55"/>
        <v>0.11</v>
      </c>
      <c r="N187" s="123">
        <f t="shared" si="55"/>
        <v>0.11</v>
      </c>
      <c r="O187" s="123">
        <f t="shared" si="55"/>
        <v>0.11</v>
      </c>
      <c r="P187" s="123">
        <f t="shared" si="55"/>
        <v>0.11</v>
      </c>
      <c r="Q187" s="123">
        <f t="shared" si="55"/>
        <v>0.11</v>
      </c>
      <c r="R187" s="123">
        <f t="shared" si="55"/>
        <v>0.11</v>
      </c>
      <c r="S187" s="123">
        <f t="shared" si="55"/>
        <v>0.11</v>
      </c>
      <c r="T187" s="123">
        <f t="shared" si="56"/>
        <v>0.11</v>
      </c>
      <c r="U187" s="123">
        <f t="shared" si="56"/>
        <v>0.11</v>
      </c>
      <c r="V187" s="123">
        <f t="shared" si="56"/>
        <v>0.11</v>
      </c>
      <c r="W187" s="123">
        <f t="shared" si="56"/>
        <v>0.11</v>
      </c>
      <c r="X187" s="123">
        <f t="shared" si="56"/>
        <v>0.11</v>
      </c>
      <c r="Y187" s="123">
        <f t="shared" si="56"/>
        <v>0.11</v>
      </c>
      <c r="Z187" s="123">
        <f t="shared" si="56"/>
        <v>0.11</v>
      </c>
      <c r="AA187" s="123">
        <f t="shared" si="56"/>
        <v>0.11</v>
      </c>
      <c r="AB187" s="123">
        <f t="shared" si="56"/>
        <v>0.11</v>
      </c>
      <c r="AC187" s="123">
        <f t="shared" si="56"/>
        <v>0.11</v>
      </c>
      <c r="AD187" s="123">
        <f t="shared" si="56"/>
        <v>0.11</v>
      </c>
      <c r="AE187" s="123">
        <f t="shared" si="56"/>
        <v>0.11</v>
      </c>
      <c r="AF187" s="123">
        <f t="shared" si="56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4"/>
        <v>0.1</v>
      </c>
      <c r="C188" s="124">
        <v>0.1</v>
      </c>
      <c r="D188" s="123">
        <f t="shared" si="55"/>
        <v>0.1</v>
      </c>
      <c r="E188" s="123">
        <f t="shared" si="55"/>
        <v>0.1</v>
      </c>
      <c r="F188" s="123">
        <f t="shared" si="55"/>
        <v>0.1</v>
      </c>
      <c r="G188" s="123">
        <f t="shared" si="55"/>
        <v>0.1</v>
      </c>
      <c r="H188" s="123">
        <f t="shared" si="55"/>
        <v>0.1</v>
      </c>
      <c r="I188" s="123">
        <f t="shared" si="55"/>
        <v>0.1</v>
      </c>
      <c r="J188" s="123">
        <f t="shared" si="55"/>
        <v>0.1</v>
      </c>
      <c r="K188" s="123">
        <f t="shared" si="55"/>
        <v>0.1</v>
      </c>
      <c r="L188" s="123">
        <f t="shared" si="55"/>
        <v>0.1</v>
      </c>
      <c r="M188" s="123">
        <f t="shared" si="55"/>
        <v>0.1</v>
      </c>
      <c r="N188" s="123">
        <f t="shared" si="55"/>
        <v>0.1</v>
      </c>
      <c r="O188" s="123">
        <f t="shared" si="55"/>
        <v>0.1</v>
      </c>
      <c r="P188" s="123">
        <f t="shared" si="55"/>
        <v>0.1</v>
      </c>
      <c r="Q188" s="123">
        <f t="shared" si="55"/>
        <v>0.1</v>
      </c>
      <c r="R188" s="123">
        <f t="shared" si="55"/>
        <v>0.1</v>
      </c>
      <c r="S188" s="123">
        <f t="shared" si="56"/>
        <v>0.1</v>
      </c>
      <c r="T188" s="123">
        <f t="shared" si="56"/>
        <v>0.1</v>
      </c>
      <c r="U188" s="123">
        <f t="shared" si="56"/>
        <v>0.1</v>
      </c>
      <c r="V188" s="123">
        <f t="shared" si="56"/>
        <v>0.1</v>
      </c>
      <c r="W188" s="123">
        <f t="shared" si="56"/>
        <v>0.1</v>
      </c>
      <c r="X188" s="123">
        <f t="shared" si="56"/>
        <v>0.1</v>
      </c>
      <c r="Y188" s="123">
        <f t="shared" si="56"/>
        <v>0.1</v>
      </c>
      <c r="Z188" s="123">
        <f t="shared" si="56"/>
        <v>0.1</v>
      </c>
      <c r="AA188" s="123">
        <f t="shared" si="56"/>
        <v>0.1</v>
      </c>
      <c r="AB188" s="123">
        <f t="shared" si="56"/>
        <v>0.1</v>
      </c>
      <c r="AC188" s="123">
        <f t="shared" si="56"/>
        <v>0.1</v>
      </c>
      <c r="AD188" s="123">
        <f t="shared" si="56"/>
        <v>0.1</v>
      </c>
      <c r="AE188" s="123">
        <f t="shared" si="56"/>
        <v>0.1</v>
      </c>
      <c r="AF188" s="123">
        <f t="shared" si="56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4"/>
        <v>0.09</v>
      </c>
      <c r="C189" s="124">
        <v>0.09</v>
      </c>
      <c r="D189" s="123">
        <f t="shared" si="55"/>
        <v>0.09</v>
      </c>
      <c r="E189" s="123">
        <f t="shared" si="55"/>
        <v>0.09</v>
      </c>
      <c r="F189" s="123">
        <f t="shared" si="55"/>
        <v>0.09</v>
      </c>
      <c r="G189" s="123">
        <f t="shared" si="55"/>
        <v>0.09</v>
      </c>
      <c r="H189" s="123">
        <f t="shared" si="55"/>
        <v>0.09</v>
      </c>
      <c r="I189" s="123">
        <f t="shared" si="55"/>
        <v>0.09</v>
      </c>
      <c r="J189" s="123">
        <f t="shared" si="55"/>
        <v>0.09</v>
      </c>
      <c r="K189" s="123">
        <f t="shared" si="55"/>
        <v>0.09</v>
      </c>
      <c r="L189" s="123">
        <f t="shared" si="55"/>
        <v>0.09</v>
      </c>
      <c r="M189" s="123">
        <f t="shared" si="55"/>
        <v>0.09</v>
      </c>
      <c r="N189" s="123">
        <f t="shared" si="55"/>
        <v>0.09</v>
      </c>
      <c r="O189" s="123">
        <f t="shared" si="55"/>
        <v>0.09</v>
      </c>
      <c r="P189" s="123">
        <f t="shared" si="55"/>
        <v>0.09</v>
      </c>
      <c r="Q189" s="123">
        <f t="shared" si="55"/>
        <v>0.09</v>
      </c>
      <c r="R189" s="123">
        <f t="shared" si="55"/>
        <v>0.09</v>
      </c>
      <c r="S189" s="123">
        <f t="shared" si="56"/>
        <v>0.09</v>
      </c>
      <c r="T189" s="123">
        <f t="shared" si="56"/>
        <v>0.09</v>
      </c>
      <c r="U189" s="123">
        <f t="shared" si="56"/>
        <v>0.09</v>
      </c>
      <c r="V189" s="123">
        <f t="shared" si="56"/>
        <v>0.09</v>
      </c>
      <c r="W189" s="123">
        <f t="shared" si="56"/>
        <v>0.09</v>
      </c>
      <c r="X189" s="123">
        <f t="shared" si="56"/>
        <v>0.09</v>
      </c>
      <c r="Y189" s="123">
        <f t="shared" si="56"/>
        <v>0.09</v>
      </c>
      <c r="Z189" s="123">
        <f t="shared" si="56"/>
        <v>0.09</v>
      </c>
      <c r="AA189" s="123">
        <f t="shared" si="56"/>
        <v>0.09</v>
      </c>
      <c r="AB189" s="123">
        <f t="shared" si="56"/>
        <v>0.09</v>
      </c>
      <c r="AC189" s="123">
        <f t="shared" si="56"/>
        <v>0.09</v>
      </c>
      <c r="AD189" s="123">
        <f t="shared" si="56"/>
        <v>0.09</v>
      </c>
      <c r="AE189" s="123">
        <f t="shared" si="56"/>
        <v>0.09</v>
      </c>
      <c r="AF189" s="123">
        <f t="shared" si="56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4"/>
        <v>0.04</v>
      </c>
      <c r="C190" s="54">
        <v>0.04</v>
      </c>
      <c r="D190" s="123">
        <f t="shared" si="55"/>
        <v>0.04</v>
      </c>
      <c r="E190" s="123">
        <f t="shared" si="55"/>
        <v>0.04</v>
      </c>
      <c r="F190" s="123">
        <f t="shared" si="55"/>
        <v>0.04</v>
      </c>
      <c r="G190" s="123">
        <f t="shared" si="55"/>
        <v>0.04</v>
      </c>
      <c r="H190" s="123">
        <f t="shared" si="55"/>
        <v>0.04</v>
      </c>
      <c r="I190" s="123">
        <f t="shared" si="55"/>
        <v>0.04</v>
      </c>
      <c r="J190" s="123">
        <f t="shared" si="55"/>
        <v>0.04</v>
      </c>
      <c r="K190" s="123">
        <f t="shared" si="55"/>
        <v>0.04</v>
      </c>
      <c r="L190" s="123">
        <f t="shared" si="55"/>
        <v>0.04</v>
      </c>
      <c r="M190" s="123">
        <f t="shared" si="55"/>
        <v>0.04</v>
      </c>
      <c r="N190" s="123">
        <f t="shared" si="55"/>
        <v>0.04</v>
      </c>
      <c r="O190" s="123">
        <f t="shared" si="55"/>
        <v>0.04</v>
      </c>
      <c r="P190" s="123">
        <f t="shared" si="55"/>
        <v>0.04</v>
      </c>
      <c r="Q190" s="123">
        <f t="shared" si="55"/>
        <v>0.04</v>
      </c>
      <c r="R190" s="123">
        <f t="shared" si="55"/>
        <v>0.04</v>
      </c>
      <c r="S190" s="123">
        <f t="shared" si="56"/>
        <v>0.04</v>
      </c>
      <c r="T190" s="123">
        <f t="shared" si="56"/>
        <v>0.04</v>
      </c>
      <c r="U190" s="123">
        <f t="shared" si="56"/>
        <v>0.04</v>
      </c>
      <c r="V190" s="123">
        <f t="shared" si="56"/>
        <v>0.04</v>
      </c>
      <c r="W190" s="123">
        <f t="shared" si="56"/>
        <v>0.04</v>
      </c>
      <c r="X190" s="123">
        <f t="shared" si="56"/>
        <v>0.04</v>
      </c>
      <c r="Y190" s="123">
        <f t="shared" si="56"/>
        <v>0.04</v>
      </c>
      <c r="Z190" s="123">
        <f t="shared" si="56"/>
        <v>0.04</v>
      </c>
      <c r="AA190" s="123">
        <f t="shared" si="56"/>
        <v>0.04</v>
      </c>
      <c r="AB190" s="123">
        <f t="shared" si="56"/>
        <v>0.04</v>
      </c>
      <c r="AC190" s="123">
        <f t="shared" si="56"/>
        <v>0.04</v>
      </c>
      <c r="AD190" s="123">
        <f t="shared" si="56"/>
        <v>0.04</v>
      </c>
      <c r="AE190" s="123">
        <f t="shared" si="56"/>
        <v>0.04</v>
      </c>
      <c r="AF190" s="123">
        <f t="shared" si="56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4"/>
        <v>2.3E-2</v>
      </c>
      <c r="C191" s="54">
        <v>2.3E-2</v>
      </c>
      <c r="D191" s="123">
        <f>C191</f>
        <v>2.3E-2</v>
      </c>
      <c r="E191" s="123">
        <f t="shared" si="55"/>
        <v>2.3E-2</v>
      </c>
      <c r="F191" s="123">
        <f t="shared" si="55"/>
        <v>2.3E-2</v>
      </c>
      <c r="G191" s="123">
        <f t="shared" si="55"/>
        <v>2.3E-2</v>
      </c>
      <c r="H191" s="123">
        <f t="shared" si="55"/>
        <v>2.3E-2</v>
      </c>
      <c r="I191" s="123">
        <f t="shared" si="55"/>
        <v>2.3E-2</v>
      </c>
      <c r="J191" s="123">
        <f t="shared" si="55"/>
        <v>2.3E-2</v>
      </c>
      <c r="K191" s="123">
        <f t="shared" si="55"/>
        <v>2.3E-2</v>
      </c>
      <c r="L191" s="123">
        <f t="shared" si="55"/>
        <v>2.3E-2</v>
      </c>
      <c r="M191" s="123">
        <f t="shared" si="55"/>
        <v>2.3E-2</v>
      </c>
      <c r="N191" s="123">
        <f t="shared" si="55"/>
        <v>2.3E-2</v>
      </c>
      <c r="O191" s="123">
        <f t="shared" si="55"/>
        <v>2.3E-2</v>
      </c>
      <c r="P191" s="123">
        <f t="shared" si="55"/>
        <v>2.3E-2</v>
      </c>
      <c r="Q191" s="123">
        <f t="shared" si="55"/>
        <v>2.3E-2</v>
      </c>
      <c r="R191" s="123">
        <f t="shared" si="55"/>
        <v>2.3E-2</v>
      </c>
      <c r="S191" s="123">
        <f t="shared" si="56"/>
        <v>2.3E-2</v>
      </c>
      <c r="T191" s="123">
        <f t="shared" si="56"/>
        <v>2.3E-2</v>
      </c>
      <c r="U191" s="123">
        <f t="shared" si="56"/>
        <v>2.3E-2</v>
      </c>
      <c r="V191" s="123">
        <f t="shared" si="56"/>
        <v>2.3E-2</v>
      </c>
      <c r="W191" s="123">
        <f t="shared" si="56"/>
        <v>2.3E-2</v>
      </c>
      <c r="X191" s="123">
        <f t="shared" si="56"/>
        <v>2.3E-2</v>
      </c>
      <c r="Y191" s="123">
        <f t="shared" si="56"/>
        <v>2.3E-2</v>
      </c>
      <c r="Z191" s="123">
        <f t="shared" si="56"/>
        <v>2.3E-2</v>
      </c>
      <c r="AA191" s="123">
        <f t="shared" si="56"/>
        <v>2.3E-2</v>
      </c>
      <c r="AB191" s="123">
        <f t="shared" si="56"/>
        <v>2.3E-2</v>
      </c>
      <c r="AC191" s="123">
        <f t="shared" si="56"/>
        <v>2.3E-2</v>
      </c>
      <c r="AD191" s="123">
        <f t="shared" si="56"/>
        <v>2.3E-2</v>
      </c>
      <c r="AE191" s="123">
        <f t="shared" si="56"/>
        <v>2.3E-2</v>
      </c>
      <c r="AF191" s="123">
        <f t="shared" si="56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7">SUM(C102:C191)</f>
        <v>194.70600000000002</v>
      </c>
      <c r="D192" s="128">
        <f t="shared" si="57"/>
        <v>194.70600000000002</v>
      </c>
      <c r="E192" s="128">
        <f t="shared" si="57"/>
        <v>194.70600000000002</v>
      </c>
      <c r="F192" s="128">
        <f t="shared" si="57"/>
        <v>194.70600000000002</v>
      </c>
      <c r="G192" s="128">
        <f t="shared" si="57"/>
        <v>194.70600000000002</v>
      </c>
      <c r="H192" s="128">
        <f t="shared" si="57"/>
        <v>194.70600000000002</v>
      </c>
      <c r="I192" s="128">
        <f t="shared" si="57"/>
        <v>189.70600000000005</v>
      </c>
      <c r="J192" s="128">
        <f t="shared" si="57"/>
        <v>187.10600000000005</v>
      </c>
      <c r="K192" s="128">
        <f t="shared" si="57"/>
        <v>187.10600000000005</v>
      </c>
      <c r="L192" s="128">
        <f t="shared" si="57"/>
        <v>187.10600000000005</v>
      </c>
      <c r="M192" s="128">
        <f t="shared" si="57"/>
        <v>187.10600000000005</v>
      </c>
      <c r="N192" s="128">
        <f t="shared" si="57"/>
        <v>187.10600000000005</v>
      </c>
      <c r="O192" s="128">
        <f t="shared" si="57"/>
        <v>187.10600000000005</v>
      </c>
      <c r="P192" s="128">
        <f t="shared" si="57"/>
        <v>187.10600000000005</v>
      </c>
      <c r="Q192" s="128">
        <f t="shared" si="57"/>
        <v>187.10600000000005</v>
      </c>
      <c r="R192" s="128">
        <f t="shared" si="57"/>
        <v>187.10600000000005</v>
      </c>
      <c r="S192" s="128">
        <f t="shared" si="57"/>
        <v>187.10600000000005</v>
      </c>
      <c r="T192" s="128">
        <f t="shared" si="57"/>
        <v>187.10600000000005</v>
      </c>
      <c r="U192" s="128">
        <f t="shared" si="57"/>
        <v>187.10600000000005</v>
      </c>
      <c r="V192" s="128">
        <f t="shared" si="57"/>
        <v>187.10600000000005</v>
      </c>
      <c r="W192" s="128">
        <f t="shared" si="57"/>
        <v>187.10600000000005</v>
      </c>
      <c r="X192" s="128">
        <f t="shared" si="57"/>
        <v>187.10600000000005</v>
      </c>
      <c r="Y192" s="128">
        <f t="shared" si="57"/>
        <v>187.10600000000005</v>
      </c>
      <c r="Z192" s="128">
        <f t="shared" si="57"/>
        <v>187.10600000000005</v>
      </c>
      <c r="AA192" s="128">
        <f t="shared" si="57"/>
        <v>187.10600000000005</v>
      </c>
      <c r="AB192" s="128">
        <f t="shared" si="57"/>
        <v>187.10600000000005</v>
      </c>
      <c r="AC192" s="128">
        <f t="shared" si="57"/>
        <v>187.10600000000005</v>
      </c>
      <c r="AD192" s="128">
        <f t="shared" si="57"/>
        <v>187.10600000000005</v>
      </c>
      <c r="AE192" s="128">
        <f t="shared" si="57"/>
        <v>187.10600000000005</v>
      </c>
      <c r="AF192" s="128">
        <f t="shared" si="57"/>
        <v>187.10600000000005</v>
      </c>
      <c r="AG192" s="129">
        <f t="shared" si="57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8">AF194</f>
        <v>0.3</v>
      </c>
      <c r="C194" s="130">
        <v>0.3</v>
      </c>
      <c r="D194" s="130">
        <f t="shared" ref="D194:S199" si="59">C194</f>
        <v>0.3</v>
      </c>
      <c r="E194" s="130">
        <f t="shared" si="59"/>
        <v>0.3</v>
      </c>
      <c r="F194" s="130">
        <f t="shared" si="59"/>
        <v>0.3</v>
      </c>
      <c r="G194" s="130">
        <f t="shared" si="59"/>
        <v>0.3</v>
      </c>
      <c r="H194" s="130">
        <f t="shared" si="59"/>
        <v>0.3</v>
      </c>
      <c r="I194" s="130">
        <f t="shared" si="59"/>
        <v>0.3</v>
      </c>
      <c r="J194" s="130">
        <f t="shared" si="59"/>
        <v>0.3</v>
      </c>
      <c r="K194" s="130">
        <f t="shared" si="59"/>
        <v>0.3</v>
      </c>
      <c r="L194" s="130">
        <f t="shared" si="59"/>
        <v>0.3</v>
      </c>
      <c r="M194" s="130">
        <f t="shared" si="59"/>
        <v>0.3</v>
      </c>
      <c r="N194" s="130">
        <f t="shared" si="59"/>
        <v>0.3</v>
      </c>
      <c r="O194" s="130">
        <f t="shared" si="59"/>
        <v>0.3</v>
      </c>
      <c r="P194" s="130">
        <f t="shared" si="59"/>
        <v>0.3</v>
      </c>
      <c r="Q194" s="130">
        <f t="shared" si="59"/>
        <v>0.3</v>
      </c>
      <c r="R194" s="130">
        <f t="shared" si="59"/>
        <v>0.3</v>
      </c>
      <c r="S194" s="130">
        <f t="shared" si="59"/>
        <v>0.3</v>
      </c>
      <c r="T194" s="130">
        <f t="shared" ref="T194:AF199" si="60">S194</f>
        <v>0.3</v>
      </c>
      <c r="U194" s="130">
        <f t="shared" si="60"/>
        <v>0.3</v>
      </c>
      <c r="V194" s="130">
        <f t="shared" si="60"/>
        <v>0.3</v>
      </c>
      <c r="W194" s="130">
        <f t="shared" si="60"/>
        <v>0.3</v>
      </c>
      <c r="X194" s="130">
        <f t="shared" si="60"/>
        <v>0.3</v>
      </c>
      <c r="Y194" s="130">
        <f t="shared" si="60"/>
        <v>0.3</v>
      </c>
      <c r="Z194" s="130">
        <f t="shared" si="60"/>
        <v>0.3</v>
      </c>
      <c r="AA194" s="130">
        <f t="shared" si="60"/>
        <v>0.3</v>
      </c>
      <c r="AB194" s="130">
        <f t="shared" si="60"/>
        <v>0.3</v>
      </c>
      <c r="AC194" s="130">
        <f t="shared" si="60"/>
        <v>0.3</v>
      </c>
      <c r="AD194" s="130">
        <f t="shared" si="60"/>
        <v>0.3</v>
      </c>
      <c r="AE194" s="130">
        <f t="shared" si="60"/>
        <v>0.3</v>
      </c>
      <c r="AF194" s="130">
        <f t="shared" si="60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8"/>
        <v>0.4</v>
      </c>
      <c r="C195" s="123">
        <v>0.4</v>
      </c>
      <c r="D195" s="123">
        <f t="shared" si="59"/>
        <v>0.4</v>
      </c>
      <c r="E195" s="123">
        <f t="shared" si="59"/>
        <v>0.4</v>
      </c>
      <c r="F195" s="123">
        <f t="shared" si="59"/>
        <v>0.4</v>
      </c>
      <c r="G195" s="123">
        <f t="shared" si="59"/>
        <v>0.4</v>
      </c>
      <c r="H195" s="123">
        <f t="shared" si="59"/>
        <v>0.4</v>
      </c>
      <c r="I195" s="123">
        <f t="shared" si="59"/>
        <v>0.4</v>
      </c>
      <c r="J195" s="123">
        <f t="shared" si="59"/>
        <v>0.4</v>
      </c>
      <c r="K195" s="123">
        <f t="shared" si="59"/>
        <v>0.4</v>
      </c>
      <c r="L195" s="123">
        <f t="shared" si="59"/>
        <v>0.4</v>
      </c>
      <c r="M195" s="123">
        <f t="shared" si="59"/>
        <v>0.4</v>
      </c>
      <c r="N195" s="123">
        <f t="shared" si="59"/>
        <v>0.4</v>
      </c>
      <c r="O195" s="123">
        <f t="shared" si="59"/>
        <v>0.4</v>
      </c>
      <c r="P195" s="123">
        <f t="shared" si="59"/>
        <v>0.4</v>
      </c>
      <c r="Q195" s="123">
        <f t="shared" si="59"/>
        <v>0.4</v>
      </c>
      <c r="R195" s="123">
        <f t="shared" si="59"/>
        <v>0.4</v>
      </c>
      <c r="S195" s="123">
        <f t="shared" si="59"/>
        <v>0.4</v>
      </c>
      <c r="T195" s="123">
        <f t="shared" si="60"/>
        <v>0.4</v>
      </c>
      <c r="U195" s="123">
        <f t="shared" si="60"/>
        <v>0.4</v>
      </c>
      <c r="V195" s="123">
        <f t="shared" si="60"/>
        <v>0.4</v>
      </c>
      <c r="W195" s="123">
        <f>V195</f>
        <v>0.4</v>
      </c>
      <c r="X195" s="123">
        <f>W195</f>
        <v>0.4</v>
      </c>
      <c r="Y195" s="123">
        <f t="shared" si="60"/>
        <v>0.4</v>
      </c>
      <c r="Z195" s="123">
        <f t="shared" si="60"/>
        <v>0.4</v>
      </c>
      <c r="AA195" s="123">
        <f t="shared" si="60"/>
        <v>0.4</v>
      </c>
      <c r="AB195" s="123">
        <f t="shared" si="60"/>
        <v>0.4</v>
      </c>
      <c r="AC195" s="123">
        <f t="shared" si="60"/>
        <v>0.4</v>
      </c>
      <c r="AD195" s="123">
        <f t="shared" si="60"/>
        <v>0.4</v>
      </c>
      <c r="AE195" s="123">
        <f t="shared" si="60"/>
        <v>0.4</v>
      </c>
      <c r="AF195" s="123">
        <f t="shared" si="60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8"/>
        <v>1.5</v>
      </c>
      <c r="C196" s="123">
        <v>1.5</v>
      </c>
      <c r="D196" s="123">
        <f t="shared" si="59"/>
        <v>1.5</v>
      </c>
      <c r="E196" s="123">
        <f t="shared" si="59"/>
        <v>1.5</v>
      </c>
      <c r="F196" s="123">
        <f t="shared" si="59"/>
        <v>1.5</v>
      </c>
      <c r="G196" s="123">
        <f t="shared" si="59"/>
        <v>1.5</v>
      </c>
      <c r="H196" s="123">
        <f t="shared" si="59"/>
        <v>1.5</v>
      </c>
      <c r="I196" s="123">
        <f t="shared" si="59"/>
        <v>1.5</v>
      </c>
      <c r="J196" s="123">
        <f t="shared" si="59"/>
        <v>1.5</v>
      </c>
      <c r="K196" s="123">
        <f t="shared" si="59"/>
        <v>1.5</v>
      </c>
      <c r="L196" s="123">
        <f t="shared" si="59"/>
        <v>1.5</v>
      </c>
      <c r="M196" s="123">
        <f t="shared" si="59"/>
        <v>1.5</v>
      </c>
      <c r="N196" s="123">
        <f t="shared" si="59"/>
        <v>1.5</v>
      </c>
      <c r="O196" s="123">
        <f t="shared" si="59"/>
        <v>1.5</v>
      </c>
      <c r="P196" s="123">
        <f t="shared" si="59"/>
        <v>1.5</v>
      </c>
      <c r="Q196" s="123">
        <f t="shared" si="59"/>
        <v>1.5</v>
      </c>
      <c r="R196" s="123">
        <f t="shared" si="59"/>
        <v>1.5</v>
      </c>
      <c r="S196" s="123">
        <f t="shared" si="59"/>
        <v>1.5</v>
      </c>
      <c r="T196" s="123">
        <f t="shared" si="60"/>
        <v>1.5</v>
      </c>
      <c r="U196" s="123">
        <f t="shared" si="60"/>
        <v>1.5</v>
      </c>
      <c r="V196" s="123">
        <f t="shared" si="60"/>
        <v>1.5</v>
      </c>
      <c r="W196" s="123">
        <f t="shared" si="60"/>
        <v>1.5</v>
      </c>
      <c r="X196" s="123">
        <f t="shared" si="60"/>
        <v>1.5</v>
      </c>
      <c r="Y196" s="123">
        <f t="shared" si="60"/>
        <v>1.5</v>
      </c>
      <c r="Z196" s="123">
        <f t="shared" si="60"/>
        <v>1.5</v>
      </c>
      <c r="AA196" s="123">
        <f t="shared" si="60"/>
        <v>1.5</v>
      </c>
      <c r="AB196" s="123">
        <f t="shared" si="60"/>
        <v>1.5</v>
      </c>
      <c r="AC196" s="123">
        <f t="shared" si="60"/>
        <v>1.5</v>
      </c>
      <c r="AD196" s="123">
        <f t="shared" si="60"/>
        <v>1.5</v>
      </c>
      <c r="AE196" s="123">
        <f t="shared" si="60"/>
        <v>1.5</v>
      </c>
      <c r="AF196" s="123">
        <f t="shared" si="60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8"/>
        <v>0.3</v>
      </c>
      <c r="C197" s="123">
        <v>0.3</v>
      </c>
      <c r="D197" s="123">
        <f t="shared" si="59"/>
        <v>0.3</v>
      </c>
      <c r="E197" s="123">
        <f t="shared" si="59"/>
        <v>0.3</v>
      </c>
      <c r="F197" s="123">
        <f t="shared" si="59"/>
        <v>0.3</v>
      </c>
      <c r="G197" s="123">
        <f t="shared" si="59"/>
        <v>0.3</v>
      </c>
      <c r="H197" s="123">
        <f t="shared" si="59"/>
        <v>0.3</v>
      </c>
      <c r="I197" s="123">
        <f t="shared" si="59"/>
        <v>0.3</v>
      </c>
      <c r="J197" s="123">
        <f t="shared" si="59"/>
        <v>0.3</v>
      </c>
      <c r="K197" s="123">
        <f t="shared" si="59"/>
        <v>0.3</v>
      </c>
      <c r="L197" s="123">
        <f t="shared" si="59"/>
        <v>0.3</v>
      </c>
      <c r="M197" s="123">
        <f t="shared" si="59"/>
        <v>0.3</v>
      </c>
      <c r="N197" s="123">
        <f t="shared" si="59"/>
        <v>0.3</v>
      </c>
      <c r="O197" s="123">
        <f t="shared" si="59"/>
        <v>0.3</v>
      </c>
      <c r="P197" s="123">
        <f t="shared" si="59"/>
        <v>0.3</v>
      </c>
      <c r="Q197" s="123">
        <f t="shared" si="59"/>
        <v>0.3</v>
      </c>
      <c r="R197" s="123">
        <f t="shared" si="59"/>
        <v>0.3</v>
      </c>
      <c r="S197" s="123">
        <f t="shared" si="59"/>
        <v>0.3</v>
      </c>
      <c r="T197" s="123">
        <f t="shared" si="60"/>
        <v>0.3</v>
      </c>
      <c r="U197" s="123">
        <f t="shared" si="60"/>
        <v>0.3</v>
      </c>
      <c r="V197" s="123">
        <f t="shared" si="60"/>
        <v>0.3</v>
      </c>
      <c r="W197" s="123">
        <f t="shared" si="60"/>
        <v>0.3</v>
      </c>
      <c r="X197" s="123">
        <f t="shared" si="60"/>
        <v>0.3</v>
      </c>
      <c r="Y197" s="123">
        <f t="shared" si="60"/>
        <v>0.3</v>
      </c>
      <c r="Z197" s="123">
        <f t="shared" si="60"/>
        <v>0.3</v>
      </c>
      <c r="AA197" s="123">
        <f t="shared" si="60"/>
        <v>0.3</v>
      </c>
      <c r="AB197" s="123">
        <f t="shared" si="60"/>
        <v>0.3</v>
      </c>
      <c r="AC197" s="123">
        <f t="shared" si="60"/>
        <v>0.3</v>
      </c>
      <c r="AD197" s="123">
        <f t="shared" si="60"/>
        <v>0.3</v>
      </c>
      <c r="AE197" s="123">
        <f t="shared" si="60"/>
        <v>0.3</v>
      </c>
      <c r="AF197" s="123">
        <f t="shared" si="60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8"/>
        <v>0.4</v>
      </c>
      <c r="C198" s="123">
        <v>0.4</v>
      </c>
      <c r="D198" s="123">
        <f t="shared" si="59"/>
        <v>0.4</v>
      </c>
      <c r="E198" s="123">
        <f t="shared" si="59"/>
        <v>0.4</v>
      </c>
      <c r="F198" s="123">
        <f t="shared" si="59"/>
        <v>0.4</v>
      </c>
      <c r="G198" s="123">
        <f t="shared" si="59"/>
        <v>0.4</v>
      </c>
      <c r="H198" s="123">
        <f t="shared" si="59"/>
        <v>0.4</v>
      </c>
      <c r="I198" s="123">
        <f t="shared" si="59"/>
        <v>0.4</v>
      </c>
      <c r="J198" s="123">
        <f t="shared" si="59"/>
        <v>0.4</v>
      </c>
      <c r="K198" s="123">
        <f t="shared" si="59"/>
        <v>0.4</v>
      </c>
      <c r="L198" s="123">
        <f t="shared" si="59"/>
        <v>0.4</v>
      </c>
      <c r="M198" s="123">
        <f t="shared" si="59"/>
        <v>0.4</v>
      </c>
      <c r="N198" s="123">
        <f t="shared" si="59"/>
        <v>0.4</v>
      </c>
      <c r="O198" s="123">
        <f t="shared" si="59"/>
        <v>0.4</v>
      </c>
      <c r="P198" s="123">
        <f t="shared" si="59"/>
        <v>0.4</v>
      </c>
      <c r="Q198" s="123">
        <f t="shared" si="59"/>
        <v>0.4</v>
      </c>
      <c r="R198" s="123">
        <f t="shared" si="59"/>
        <v>0.4</v>
      </c>
      <c r="S198" s="123">
        <f t="shared" si="59"/>
        <v>0.4</v>
      </c>
      <c r="T198" s="123">
        <f t="shared" si="60"/>
        <v>0.4</v>
      </c>
      <c r="U198" s="123">
        <f t="shared" si="60"/>
        <v>0.4</v>
      </c>
      <c r="V198" s="123">
        <f t="shared" si="60"/>
        <v>0.4</v>
      </c>
      <c r="W198" s="123">
        <f t="shared" si="60"/>
        <v>0.4</v>
      </c>
      <c r="X198" s="123">
        <f t="shared" si="60"/>
        <v>0.4</v>
      </c>
      <c r="Y198" s="123">
        <f t="shared" si="60"/>
        <v>0.4</v>
      </c>
      <c r="Z198" s="123">
        <f t="shared" si="60"/>
        <v>0.4</v>
      </c>
      <c r="AA198" s="123">
        <f t="shared" si="60"/>
        <v>0.4</v>
      </c>
      <c r="AB198" s="123">
        <f t="shared" si="60"/>
        <v>0.4</v>
      </c>
      <c r="AC198" s="123">
        <f t="shared" si="60"/>
        <v>0.4</v>
      </c>
      <c r="AD198" s="123">
        <f t="shared" si="60"/>
        <v>0.4</v>
      </c>
      <c r="AE198" s="123">
        <f t="shared" si="60"/>
        <v>0.4</v>
      </c>
      <c r="AF198" s="123">
        <f t="shared" si="60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8"/>
        <v>0.64</v>
      </c>
      <c r="C199" s="133">
        <v>0.64</v>
      </c>
      <c r="D199" s="133">
        <f t="shared" si="59"/>
        <v>0.64</v>
      </c>
      <c r="E199" s="133">
        <f t="shared" si="59"/>
        <v>0.64</v>
      </c>
      <c r="F199" s="133">
        <f t="shared" si="59"/>
        <v>0.64</v>
      </c>
      <c r="G199" s="133">
        <f t="shared" si="59"/>
        <v>0.64</v>
      </c>
      <c r="H199" s="133">
        <f t="shared" si="59"/>
        <v>0.64</v>
      </c>
      <c r="I199" s="133">
        <f t="shared" si="59"/>
        <v>0.64</v>
      </c>
      <c r="J199" s="133">
        <f t="shared" si="59"/>
        <v>0.64</v>
      </c>
      <c r="K199" s="133">
        <f t="shared" si="59"/>
        <v>0.64</v>
      </c>
      <c r="L199" s="133">
        <f t="shared" si="59"/>
        <v>0.64</v>
      </c>
      <c r="M199" s="133">
        <f t="shared" si="59"/>
        <v>0.64</v>
      </c>
      <c r="N199" s="133">
        <f t="shared" si="59"/>
        <v>0.64</v>
      </c>
      <c r="O199" s="133">
        <f t="shared" si="59"/>
        <v>0.64</v>
      </c>
      <c r="P199" s="133">
        <f t="shared" si="59"/>
        <v>0.64</v>
      </c>
      <c r="Q199" s="133">
        <f t="shared" si="59"/>
        <v>0.64</v>
      </c>
      <c r="R199" s="133">
        <f t="shared" si="59"/>
        <v>0.64</v>
      </c>
      <c r="S199" s="133">
        <f t="shared" si="59"/>
        <v>0.64</v>
      </c>
      <c r="T199" s="133">
        <f t="shared" si="60"/>
        <v>0.64</v>
      </c>
      <c r="U199" s="133">
        <f t="shared" si="60"/>
        <v>0.64</v>
      </c>
      <c r="V199" s="133">
        <f t="shared" si="60"/>
        <v>0.64</v>
      </c>
      <c r="W199" s="133">
        <f t="shared" si="60"/>
        <v>0.64</v>
      </c>
      <c r="X199" s="133">
        <f t="shared" si="60"/>
        <v>0.64</v>
      </c>
      <c r="Y199" s="133">
        <f t="shared" si="60"/>
        <v>0.64</v>
      </c>
      <c r="Z199" s="133">
        <f t="shared" si="60"/>
        <v>0.64</v>
      </c>
      <c r="AA199" s="133">
        <f t="shared" si="60"/>
        <v>0.64</v>
      </c>
      <c r="AB199" s="133">
        <f t="shared" si="60"/>
        <v>0.64</v>
      </c>
      <c r="AC199" s="133">
        <f t="shared" si="60"/>
        <v>0.64</v>
      </c>
      <c r="AD199" s="133">
        <f t="shared" si="60"/>
        <v>0.64</v>
      </c>
      <c r="AE199" s="133">
        <f t="shared" si="60"/>
        <v>0.64</v>
      </c>
      <c r="AF199" s="133">
        <f t="shared" si="60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1">SUM(D194:D199)</f>
        <v>3.54</v>
      </c>
      <c r="E200" s="136">
        <f t="shared" si="61"/>
        <v>3.54</v>
      </c>
      <c r="F200" s="136">
        <f t="shared" si="61"/>
        <v>3.54</v>
      </c>
      <c r="G200" s="136">
        <f t="shared" si="61"/>
        <v>3.54</v>
      </c>
      <c r="H200" s="136">
        <f t="shared" si="61"/>
        <v>3.54</v>
      </c>
      <c r="I200" s="136">
        <f t="shared" si="61"/>
        <v>3.54</v>
      </c>
      <c r="J200" s="136">
        <f t="shared" si="61"/>
        <v>3.54</v>
      </c>
      <c r="K200" s="136">
        <f t="shared" si="61"/>
        <v>3.54</v>
      </c>
      <c r="L200" s="136">
        <f t="shared" si="61"/>
        <v>3.54</v>
      </c>
      <c r="M200" s="136">
        <f>SUM(M194:M199)</f>
        <v>3.54</v>
      </c>
      <c r="N200" s="136">
        <f t="shared" ref="N200:S200" si="62">SUM(N194:N199)</f>
        <v>3.54</v>
      </c>
      <c r="O200" s="136">
        <f t="shared" si="62"/>
        <v>3.54</v>
      </c>
      <c r="P200" s="136">
        <f t="shared" si="62"/>
        <v>3.54</v>
      </c>
      <c r="Q200" s="136">
        <f t="shared" si="62"/>
        <v>3.54</v>
      </c>
      <c r="R200" s="136">
        <f t="shared" si="62"/>
        <v>3.54</v>
      </c>
      <c r="S200" s="136">
        <f t="shared" si="62"/>
        <v>3.54</v>
      </c>
      <c r="T200" s="136">
        <f>SUM(T194:T199)</f>
        <v>3.54</v>
      </c>
      <c r="U200" s="136">
        <f t="shared" ref="U200:AG200" si="63">SUM(U194:U199)</f>
        <v>3.54</v>
      </c>
      <c r="V200" s="136">
        <f t="shared" si="63"/>
        <v>3.54</v>
      </c>
      <c r="W200" s="136">
        <f t="shared" si="63"/>
        <v>3.54</v>
      </c>
      <c r="X200" s="136">
        <f t="shared" si="63"/>
        <v>3.54</v>
      </c>
      <c r="Y200" s="136">
        <f t="shared" si="63"/>
        <v>3.54</v>
      </c>
      <c r="Z200" s="136">
        <f t="shared" si="63"/>
        <v>3.54</v>
      </c>
      <c r="AA200" s="136">
        <f t="shared" si="63"/>
        <v>3.54</v>
      </c>
      <c r="AB200" s="136">
        <f t="shared" si="63"/>
        <v>3.54</v>
      </c>
      <c r="AC200" s="136">
        <f t="shared" si="63"/>
        <v>3.54</v>
      </c>
      <c r="AD200" s="136">
        <f t="shared" si="63"/>
        <v>3.54</v>
      </c>
      <c r="AE200" s="136">
        <f t="shared" si="63"/>
        <v>3.54</v>
      </c>
      <c r="AF200" s="136">
        <f t="shared" si="63"/>
        <v>3.54</v>
      </c>
      <c r="AG200" s="137">
        <f t="shared" si="63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1666.5400000000002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3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2079/02/3)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2079/02/3)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4">B75</f>
        <v>1596.94</v>
      </c>
      <c r="U214" s="161">
        <f t="shared" si="64"/>
        <v>1569.94</v>
      </c>
      <c r="V214" s="161">
        <f t="shared" si="64"/>
        <v>1620.04</v>
      </c>
      <c r="W214" s="161">
        <f t="shared" si="64"/>
        <v>1606.4400000000003</v>
      </c>
      <c r="X214" s="161">
        <f t="shared" si="64"/>
        <v>3.54</v>
      </c>
      <c r="Y214" s="161">
        <f t="shared" si="64"/>
        <v>1575.7400000000002</v>
      </c>
      <c r="Z214" s="161">
        <f t="shared" si="64"/>
        <v>1520.8400000000001</v>
      </c>
      <c r="AA214" s="161">
        <f t="shared" si="64"/>
        <v>1562.9400000000003</v>
      </c>
      <c r="AB214" s="161">
        <f t="shared" si="64"/>
        <v>1578.54</v>
      </c>
      <c r="AC214" s="161">
        <f t="shared" si="64"/>
        <v>1590.8400000000001</v>
      </c>
      <c r="AD214" s="161">
        <f t="shared" si="64"/>
        <v>1619.3400000000001</v>
      </c>
      <c r="AE214" s="161">
        <f t="shared" si="64"/>
        <v>1635.5400000000002</v>
      </c>
      <c r="AF214" s="161">
        <f t="shared" si="64"/>
        <v>1666.5400000000002</v>
      </c>
      <c r="AG214" s="161">
        <f t="shared" si="64"/>
        <v>1674.8400000000001</v>
      </c>
      <c r="AH214" s="161">
        <f t="shared" si="64"/>
        <v>1650.2400000000002</v>
      </c>
      <c r="AI214" s="161">
        <f t="shared" si="64"/>
        <v>1620.2400000000002</v>
      </c>
      <c r="AJ214" s="161">
        <f t="shared" si="64"/>
        <v>1638.6400000000003</v>
      </c>
      <c r="AK214" s="161">
        <f t="shared" si="64"/>
        <v>1647.44</v>
      </c>
      <c r="AL214" s="161">
        <f t="shared" si="64"/>
        <v>1624.44</v>
      </c>
      <c r="AM214" s="161">
        <f t="shared" si="64"/>
        <v>1621.14</v>
      </c>
      <c r="AN214" s="161">
        <f t="shared" si="64"/>
        <v>1628.14</v>
      </c>
      <c r="AO214" s="161">
        <f t="shared" si="64"/>
        <v>1624.14</v>
      </c>
      <c r="AP214" s="161">
        <f t="shared" si="64"/>
        <v>1618.14</v>
      </c>
      <c r="AQ214" s="161">
        <f t="shared" si="64"/>
        <v>1617.64</v>
      </c>
      <c r="AR214" s="161">
        <f t="shared" si="64"/>
        <v>1629.3400000000001</v>
      </c>
      <c r="AS214" s="161">
        <f t="shared" si="64"/>
        <v>1449.3400000000001</v>
      </c>
      <c r="AT214" s="161">
        <f t="shared" si="64"/>
        <v>1654.4399999999998</v>
      </c>
      <c r="AU214" s="161">
        <f t="shared" si="64"/>
        <v>1639.4399999999998</v>
      </c>
      <c r="AV214" s="161">
        <f t="shared" si="64"/>
        <v>1642.3399999999997</v>
      </c>
      <c r="AW214" s="161">
        <f t="shared" si="64"/>
        <v>1666.1399999999999</v>
      </c>
      <c r="AX214" s="161">
        <f t="shared" si="64"/>
        <v>1587.7399999999998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5">C199</f>
        <v>0.64</v>
      </c>
      <c r="C235" s="164">
        <f t="shared" si="65"/>
        <v>0.64</v>
      </c>
      <c r="D235" s="164">
        <f t="shared" si="65"/>
        <v>0.64</v>
      </c>
      <c r="E235" s="164">
        <f t="shared" si="65"/>
        <v>0.64</v>
      </c>
      <c r="F235" s="164">
        <f t="shared" si="65"/>
        <v>0.64</v>
      </c>
      <c r="G235" s="164">
        <f t="shared" si="65"/>
        <v>0.64</v>
      </c>
      <c r="H235" s="164">
        <f t="shared" si="65"/>
        <v>0.64</v>
      </c>
      <c r="I235" s="164">
        <f t="shared" si="65"/>
        <v>0.64</v>
      </c>
      <c r="J235" s="164">
        <f t="shared" si="65"/>
        <v>0.64</v>
      </c>
      <c r="K235" s="164">
        <f t="shared" si="65"/>
        <v>0.64</v>
      </c>
      <c r="L235" s="164">
        <f t="shared" si="65"/>
        <v>0.64</v>
      </c>
      <c r="M235" s="164">
        <f t="shared" si="65"/>
        <v>0.64</v>
      </c>
      <c r="N235" s="164">
        <f t="shared" si="65"/>
        <v>0.64</v>
      </c>
      <c r="O235" s="164">
        <f t="shared" si="65"/>
        <v>0.64</v>
      </c>
      <c r="P235" s="164">
        <f t="shared" si="65"/>
        <v>0.64</v>
      </c>
      <c r="Q235" s="164">
        <f t="shared" si="65"/>
        <v>0.64</v>
      </c>
      <c r="R235" s="164">
        <f t="shared" si="65"/>
        <v>0.64</v>
      </c>
      <c r="S235" s="164">
        <f t="shared" si="65"/>
        <v>0.64</v>
      </c>
      <c r="T235" s="164">
        <f t="shared" si="65"/>
        <v>0.64</v>
      </c>
      <c r="U235" s="164">
        <f t="shared" si="65"/>
        <v>0.64</v>
      </c>
      <c r="V235" s="164">
        <f t="shared" si="65"/>
        <v>0.64</v>
      </c>
      <c r="W235" s="164">
        <f t="shared" si="65"/>
        <v>0.64</v>
      </c>
      <c r="X235" s="164">
        <f t="shared" si="65"/>
        <v>0.64</v>
      </c>
      <c r="Y235" s="164">
        <f t="shared" si="65"/>
        <v>0.64</v>
      </c>
      <c r="Z235" s="164">
        <f t="shared" si="65"/>
        <v>0.64</v>
      </c>
      <c r="AA235" s="164">
        <f t="shared" si="65"/>
        <v>0.64</v>
      </c>
      <c r="AB235" s="164">
        <f t="shared" si="65"/>
        <v>0.64</v>
      </c>
      <c r="AC235" s="164">
        <f t="shared" si="65"/>
        <v>0.64</v>
      </c>
      <c r="AD235" s="164">
        <f t="shared" si="65"/>
        <v>0.64</v>
      </c>
      <c r="AE235" s="164">
        <f t="shared" si="6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6">IF(C203&lt;100,"",C203-520)</f>
        <v/>
      </c>
      <c r="D236" s="107" t="str">
        <f t="shared" si="66"/>
        <v/>
      </c>
      <c r="E236" s="107" t="str">
        <f t="shared" si="66"/>
        <v/>
      </c>
      <c r="F236" s="107" t="str">
        <f t="shared" si="66"/>
        <v/>
      </c>
      <c r="G236" s="107" t="str">
        <f t="shared" si="66"/>
        <v/>
      </c>
      <c r="H236" s="107" t="str">
        <f t="shared" si="66"/>
        <v/>
      </c>
      <c r="I236" s="107" t="str">
        <f t="shared" si="66"/>
        <v/>
      </c>
      <c r="J236" s="107" t="str">
        <f t="shared" si="66"/>
        <v/>
      </c>
      <c r="K236" s="107" t="str">
        <f t="shared" si="66"/>
        <v/>
      </c>
      <c r="L236" s="107" t="str">
        <f t="shared" si="66"/>
        <v/>
      </c>
      <c r="M236" s="107" t="str">
        <f t="shared" si="66"/>
        <v/>
      </c>
      <c r="N236" s="107" t="str">
        <f t="shared" si="66"/>
        <v/>
      </c>
      <c r="O236" s="107" t="str">
        <f t="shared" si="66"/>
        <v/>
      </c>
      <c r="P236" s="107" t="str">
        <f t="shared" si="66"/>
        <v/>
      </c>
      <c r="Q236" s="107" t="str">
        <f t="shared" si="66"/>
        <v/>
      </c>
      <c r="R236" s="107" t="str">
        <f t="shared" si="66"/>
        <v/>
      </c>
      <c r="S236" s="107" t="str">
        <f t="shared" si="66"/>
        <v/>
      </c>
      <c r="T236" s="107" t="str">
        <f t="shared" si="66"/>
        <v/>
      </c>
      <c r="U236" s="107" t="str">
        <f t="shared" si="66"/>
        <v/>
      </c>
      <c r="V236" s="107" t="str">
        <f t="shared" si="66"/>
        <v/>
      </c>
      <c r="W236" s="107" t="str">
        <f t="shared" si="66"/>
        <v/>
      </c>
      <c r="X236" s="107" t="str">
        <f t="shared" si="66"/>
        <v/>
      </c>
      <c r="Y236" s="107" t="str">
        <f t="shared" si="66"/>
        <v/>
      </c>
      <c r="Z236" s="107" t="str">
        <f t="shared" si="66"/>
        <v/>
      </c>
      <c r="AA236" s="107" t="str">
        <f t="shared" si="66"/>
        <v/>
      </c>
      <c r="AB236" s="107" t="str">
        <f t="shared" si="66"/>
        <v/>
      </c>
      <c r="AC236" s="107" t="str">
        <f t="shared" si="66"/>
        <v/>
      </c>
      <c r="AD236" s="107" t="str">
        <f t="shared" si="66"/>
        <v/>
      </c>
      <c r="AE236" s="107" t="str">
        <f t="shared" si="66"/>
        <v/>
      </c>
      <c r="AF236" s="107" t="str">
        <f t="shared" si="6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7">IF(B204&lt;100,"",B204-620)</f>
        <v/>
      </c>
      <c r="C237" s="107" t="str">
        <f t="shared" si="67"/>
        <v/>
      </c>
      <c r="D237" s="107" t="str">
        <f t="shared" si="67"/>
        <v/>
      </c>
      <c r="E237" s="107" t="str">
        <f t="shared" si="67"/>
        <v/>
      </c>
      <c r="F237" s="107" t="str">
        <f t="shared" si="67"/>
        <v/>
      </c>
      <c r="G237" s="107" t="str">
        <f t="shared" si="67"/>
        <v/>
      </c>
      <c r="H237" s="107" t="str">
        <f t="shared" si="67"/>
        <v/>
      </c>
      <c r="I237" s="107" t="str">
        <f t="shared" si="67"/>
        <v/>
      </c>
      <c r="J237" s="107" t="str">
        <f t="shared" si="67"/>
        <v/>
      </c>
      <c r="K237" s="107" t="str">
        <f t="shared" si="67"/>
        <v/>
      </c>
      <c r="L237" s="107" t="str">
        <f t="shared" si="67"/>
        <v/>
      </c>
      <c r="M237" s="107" t="str">
        <f t="shared" si="67"/>
        <v/>
      </c>
      <c r="N237" s="107" t="str">
        <f t="shared" si="67"/>
        <v/>
      </c>
      <c r="O237" s="107" t="str">
        <f t="shared" si="67"/>
        <v/>
      </c>
      <c r="P237" s="107" t="str">
        <f t="shared" si="67"/>
        <v/>
      </c>
      <c r="Q237" s="107" t="str">
        <f t="shared" si="67"/>
        <v/>
      </c>
      <c r="R237" s="107" t="str">
        <f t="shared" si="67"/>
        <v/>
      </c>
      <c r="S237" s="107" t="str">
        <f t="shared" si="67"/>
        <v/>
      </c>
      <c r="T237" s="107" t="str">
        <f t="shared" si="67"/>
        <v/>
      </c>
      <c r="U237" s="107" t="str">
        <f t="shared" si="67"/>
        <v/>
      </c>
      <c r="V237" s="107" t="str">
        <f t="shared" si="67"/>
        <v/>
      </c>
      <c r="W237" s="107" t="str">
        <f t="shared" si="67"/>
        <v/>
      </c>
      <c r="X237" s="107" t="str">
        <f t="shared" si="67"/>
        <v/>
      </c>
      <c r="Y237" s="107" t="str">
        <f t="shared" si="67"/>
        <v/>
      </c>
      <c r="Z237" s="107" t="str">
        <f t="shared" si="67"/>
        <v/>
      </c>
      <c r="AA237" s="107" t="str">
        <f t="shared" si="67"/>
        <v/>
      </c>
      <c r="AB237" s="107" t="str">
        <f t="shared" si="67"/>
        <v/>
      </c>
      <c r="AC237" s="107" t="str">
        <f t="shared" si="67"/>
        <v/>
      </c>
      <c r="AD237" s="107" t="str">
        <f t="shared" si="67"/>
        <v/>
      </c>
      <c r="AE237" s="107" t="str">
        <f t="shared" si="67"/>
        <v/>
      </c>
      <c r="AF237" s="107" t="str">
        <f t="shared" si="6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8">IF(B205&lt;100,"",B205-330)</f>
        <v/>
      </c>
      <c r="C238" s="107" t="str">
        <f t="shared" si="68"/>
        <v/>
      </c>
      <c r="D238" s="107" t="str">
        <f t="shared" si="68"/>
        <v/>
      </c>
      <c r="E238" s="107" t="str">
        <f t="shared" si="68"/>
        <v/>
      </c>
      <c r="F238" s="107" t="str">
        <f t="shared" si="68"/>
        <v/>
      </c>
      <c r="G238" s="107" t="str">
        <f t="shared" si="68"/>
        <v/>
      </c>
      <c r="H238" s="107" t="str">
        <f t="shared" si="68"/>
        <v/>
      </c>
      <c r="I238" s="107" t="str">
        <f t="shared" si="68"/>
        <v/>
      </c>
      <c r="J238" s="107" t="str">
        <f t="shared" si="68"/>
        <v/>
      </c>
      <c r="K238" s="107" t="str">
        <f t="shared" si="68"/>
        <v/>
      </c>
      <c r="L238" s="107" t="str">
        <f t="shared" si="68"/>
        <v/>
      </c>
      <c r="M238" s="107" t="str">
        <f t="shared" si="68"/>
        <v/>
      </c>
      <c r="N238" s="107" t="str">
        <f t="shared" si="68"/>
        <v/>
      </c>
      <c r="O238" s="107" t="str">
        <f t="shared" si="68"/>
        <v/>
      </c>
      <c r="P238" s="107" t="str">
        <f t="shared" si="68"/>
        <v/>
      </c>
      <c r="Q238" s="107" t="str">
        <f t="shared" si="68"/>
        <v/>
      </c>
      <c r="R238" s="107" t="str">
        <f t="shared" si="68"/>
        <v/>
      </c>
      <c r="S238" s="107" t="str">
        <f t="shared" si="68"/>
        <v/>
      </c>
      <c r="T238" s="107" t="str">
        <f t="shared" si="68"/>
        <v/>
      </c>
      <c r="U238" s="107" t="str">
        <f t="shared" si="68"/>
        <v/>
      </c>
      <c r="V238" s="107" t="str">
        <f t="shared" si="68"/>
        <v/>
      </c>
      <c r="W238" s="107" t="str">
        <f t="shared" si="68"/>
        <v/>
      </c>
      <c r="X238" s="107" t="str">
        <f t="shared" si="68"/>
        <v/>
      </c>
      <c r="Y238" s="107" t="str">
        <f t="shared" si="68"/>
        <v/>
      </c>
      <c r="Z238" s="107" t="str">
        <f t="shared" si="68"/>
        <v/>
      </c>
      <c r="AA238" s="107" t="str">
        <f t="shared" si="68"/>
        <v/>
      </c>
      <c r="AB238" s="107" t="str">
        <f t="shared" si="68"/>
        <v/>
      </c>
      <c r="AC238" s="107" t="str">
        <f t="shared" si="68"/>
        <v/>
      </c>
      <c r="AD238" s="107" t="str">
        <f t="shared" si="68"/>
        <v/>
      </c>
      <c r="AE238" s="107" t="str">
        <f t="shared" si="68"/>
        <v/>
      </c>
      <c r="AF238" s="107" t="str">
        <f t="shared" si="6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9">IF(C206&lt;100,"",C206-1500)</f>
        <v/>
      </c>
      <c r="D239" s="107" t="str">
        <f t="shared" si="69"/>
        <v/>
      </c>
      <c r="E239" s="107" t="str">
        <f t="shared" si="69"/>
        <v/>
      </c>
      <c r="F239" s="107" t="str">
        <f t="shared" si="69"/>
        <v/>
      </c>
      <c r="G239" s="107" t="str">
        <f t="shared" si="69"/>
        <v/>
      </c>
      <c r="H239" s="107" t="str">
        <f t="shared" si="69"/>
        <v/>
      </c>
      <c r="I239" s="107" t="str">
        <f t="shared" si="69"/>
        <v/>
      </c>
      <c r="J239" s="107" t="str">
        <f t="shared" si="69"/>
        <v/>
      </c>
      <c r="K239" s="107" t="str">
        <f t="shared" si="69"/>
        <v/>
      </c>
      <c r="L239" s="107" t="str">
        <f t="shared" si="69"/>
        <v/>
      </c>
      <c r="M239" s="107" t="str">
        <f t="shared" si="69"/>
        <v/>
      </c>
      <c r="N239" s="107" t="str">
        <f t="shared" si="69"/>
        <v/>
      </c>
      <c r="O239" s="107" t="str">
        <f t="shared" si="69"/>
        <v/>
      </c>
      <c r="P239" s="107" t="str">
        <f t="shared" si="69"/>
        <v/>
      </c>
      <c r="Q239" s="107" t="str">
        <f t="shared" si="69"/>
        <v/>
      </c>
      <c r="R239" s="107" t="str">
        <f t="shared" si="69"/>
        <v/>
      </c>
      <c r="S239" s="107" t="str">
        <f t="shared" si="69"/>
        <v/>
      </c>
      <c r="T239" s="107" t="str">
        <f t="shared" si="69"/>
        <v/>
      </c>
      <c r="U239" s="107" t="str">
        <f t="shared" si="69"/>
        <v/>
      </c>
      <c r="V239" s="107" t="str">
        <f t="shared" si="69"/>
        <v/>
      </c>
      <c r="W239" s="107" t="str">
        <f t="shared" si="69"/>
        <v/>
      </c>
      <c r="X239" s="107" t="str">
        <f t="shared" si="69"/>
        <v/>
      </c>
      <c r="Y239" s="107" t="str">
        <f t="shared" si="69"/>
        <v/>
      </c>
      <c r="Z239" s="107" t="str">
        <f t="shared" si="69"/>
        <v/>
      </c>
      <c r="AA239" s="107" t="str">
        <f t="shared" si="69"/>
        <v/>
      </c>
      <c r="AB239" s="107" t="str">
        <f t="shared" si="69"/>
        <v/>
      </c>
      <c r="AC239" s="107" t="str">
        <f t="shared" si="69"/>
        <v/>
      </c>
      <c r="AD239" s="107" t="str">
        <f t="shared" si="69"/>
        <v/>
      </c>
      <c r="AE239" s="107" t="str">
        <f t="shared" si="69"/>
        <v/>
      </c>
      <c r="AF239" s="107" t="str">
        <f t="shared" si="6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F11:F37"/>
    <mergeCell ref="AB9:AB10"/>
    <mergeCell ref="AC9:AC10"/>
    <mergeCell ref="AD9:AD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">
    <cfRule type="expression" dxfId="6336" priority="274">
      <formula>B$9&gt;=20/24</formula>
    </cfRule>
    <cfRule type="expression" dxfId="6335" priority="275">
      <formula>AND(B$9&gt;=14/24,B$9&lt;20/24)</formula>
    </cfRule>
    <cfRule type="expression" dxfId="6334" priority="276">
      <formula>AND(B$9&gt;=8/24,B$9&lt;14/24)</formula>
    </cfRule>
    <cfRule type="expression" dxfId="6333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6332" priority="269">
      <formula>AB$9&gt;=20/24</formula>
    </cfRule>
    <cfRule type="expression" dxfId="6331" priority="270">
      <formula>AND(AB$9&gt;=14/24,AB$9&lt;20/24)</formula>
    </cfRule>
    <cfRule type="expression" dxfId="6330" priority="271">
      <formula>AND(AB$9&gt;=8/24,AB$9&lt;14/24)</formula>
    </cfRule>
    <cfRule type="expression" dxfId="6329" priority="272">
      <formula>AB$9&lt;8/24</formula>
    </cfRule>
  </conditionalFormatting>
  <conditionalFormatting sqref="AG51 AB37:AF37 M11:AF11">
    <cfRule type="expression" dxfId="6328" priority="268">
      <formula>M11&gt;$AG11</formula>
    </cfRule>
  </conditionalFormatting>
  <conditionalFormatting sqref="A101:A157 A84:A97 A11:A14 A16:A32 A45:A72 A80:A82 A74:A78 A35:A43 A170:A200">
    <cfRule type="expression" dxfId="6327" priority="267">
      <formula>$AH11=0</formula>
    </cfRule>
  </conditionalFormatting>
  <conditionalFormatting sqref="A98">
    <cfRule type="expression" dxfId="6326" priority="266">
      <formula>$AH98=0</formula>
    </cfRule>
  </conditionalFormatting>
  <conditionalFormatting sqref="AL32">
    <cfRule type="iconSet" priority="265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325" priority="264">
      <formula>$AH34=0</formula>
    </cfRule>
  </conditionalFormatting>
  <conditionalFormatting sqref="A83">
    <cfRule type="expression" dxfId="6324" priority="263">
      <formula>$AH83=0</formula>
    </cfRule>
  </conditionalFormatting>
  <conditionalFormatting sqref="A15">
    <cfRule type="expression" dxfId="6323" priority="262">
      <formula>$AH15=0</formula>
    </cfRule>
  </conditionalFormatting>
  <conditionalFormatting sqref="A164:A169">
    <cfRule type="expression" dxfId="6322" priority="261">
      <formula>$AH164=0</formula>
    </cfRule>
  </conditionalFormatting>
  <conditionalFormatting sqref="A158:A163">
    <cfRule type="expression" dxfId="6321" priority="260">
      <formula>$AH158=0</formula>
    </cfRule>
  </conditionalFormatting>
  <conditionalFormatting sqref="A44">
    <cfRule type="expression" dxfId="6320" priority="259">
      <formula>$AH44=0</formula>
    </cfRule>
  </conditionalFormatting>
  <conditionalFormatting sqref="A79">
    <cfRule type="expression" dxfId="6319" priority="258">
      <formula>$AH79=0</formula>
    </cfRule>
  </conditionalFormatting>
  <conditionalFormatting sqref="A73">
    <cfRule type="expression" dxfId="6318" priority="257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6317" priority="253">
      <formula>D$9&gt;=20/24</formula>
    </cfRule>
    <cfRule type="expression" dxfId="6316" priority="254">
      <formula>AND(D$9&gt;=14/24,D$9&lt;20/24)</formula>
    </cfRule>
    <cfRule type="expression" dxfId="6315" priority="255">
      <formula>AND(D$9&gt;=8/24,D$9&lt;14/24)</formula>
    </cfRule>
    <cfRule type="expression" dxfId="6314" priority="256">
      <formula>D$9&lt;8/24</formula>
    </cfRule>
  </conditionalFormatting>
  <conditionalFormatting sqref="AL33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313" priority="281">
      <formula>C$9&gt;=20/24</formula>
    </cfRule>
    <cfRule type="expression" dxfId="6312" priority="282">
      <formula>AND(C$9&gt;=14/24,C$9&lt;20/24)</formula>
    </cfRule>
    <cfRule type="expression" dxfId="6311" priority="283">
      <formula>AND(C$9&gt;=8/24,C$9&lt;14/24)</formula>
    </cfRule>
    <cfRule type="expression" dxfId="6310" priority="284">
      <formula>C$9&lt;8/24</formula>
    </cfRule>
  </conditionalFormatting>
  <conditionalFormatting sqref="A201">
    <cfRule type="expression" dxfId="6309" priority="285">
      <formula>$AH201=0</formula>
    </cfRule>
  </conditionalFormatting>
  <conditionalFormatting sqref="AG213">
    <cfRule type="expression" dxfId="6308" priority="286">
      <formula>B$9&gt;=20/24</formula>
    </cfRule>
    <cfRule type="expression" dxfId="6307" priority="287">
      <formula>AND(B$9&gt;=14/24,B$9&lt;20/24)</formula>
    </cfRule>
    <cfRule type="expression" dxfId="6306" priority="288">
      <formula>AND(B$9&gt;=8/24,B$9&lt;14/24)</formula>
    </cfRule>
    <cfRule type="expression" dxfId="6305" priority="289">
      <formula>B$9&lt;8/24</formula>
    </cfRule>
  </conditionalFormatting>
  <conditionalFormatting sqref="S8">
    <cfRule type="expression" dxfId="6304" priority="248">
      <formula>U$9&gt;=20/24</formula>
    </cfRule>
    <cfRule type="expression" dxfId="6303" priority="249">
      <formula>AND(U$9&gt;=14/24,U$9&lt;20/24)</formula>
    </cfRule>
    <cfRule type="expression" dxfId="6302" priority="250">
      <formula>AND(U$9&gt;=8/24,U$9&lt;14/24)</formula>
    </cfRule>
    <cfRule type="expression" dxfId="6301" priority="251">
      <formula>U$9&lt;8/24</formula>
    </cfRule>
  </conditionalFormatting>
  <conditionalFormatting sqref="AB8">
    <cfRule type="expression" dxfId="6300" priority="244">
      <formula>AD$9&gt;=20/24</formula>
    </cfRule>
    <cfRule type="expression" dxfId="6299" priority="245">
      <formula>AND(AD$9&gt;=14/24,AD$9&lt;20/24)</formula>
    </cfRule>
    <cfRule type="expression" dxfId="6298" priority="246">
      <formula>AND(AD$9&gt;=8/24,AD$9&lt;14/24)</formula>
    </cfRule>
    <cfRule type="expression" dxfId="6297" priority="247">
      <formula>AD$9&lt;8/24</formula>
    </cfRule>
  </conditionalFormatting>
  <conditionalFormatting sqref="AH213:AX213">
    <cfRule type="expression" dxfId="6296" priority="290">
      <formula>AG$9&gt;=20/24</formula>
    </cfRule>
    <cfRule type="expression" dxfId="6295" priority="291">
      <formula>AND(AG$9&gt;=14/24,AG$9&lt;20/24)</formula>
    </cfRule>
    <cfRule type="expression" dxfId="6294" priority="292">
      <formula>AND(AG$9&gt;=8/24,AG$9&lt;14/24)</formula>
    </cfRule>
    <cfRule type="expression" dxfId="6293" priority="293">
      <formula>AG$9&lt;8/24</formula>
    </cfRule>
  </conditionalFormatting>
  <conditionalFormatting sqref="T213">
    <cfRule type="expression" dxfId="6292" priority="294">
      <formula>AX$9&gt;=20/24</formula>
    </cfRule>
    <cfRule type="expression" dxfId="6291" priority="295">
      <formula>AND(AX$9&gt;=14/24,AX$9&lt;20/24)</formula>
    </cfRule>
    <cfRule type="expression" dxfId="6290" priority="296">
      <formula>AND(AX$9&gt;=8/24,AX$9&lt;14/24)</formula>
    </cfRule>
    <cfRule type="expression" dxfId="6289" priority="297">
      <formula>AX$9&lt;8/24</formula>
    </cfRule>
  </conditionalFormatting>
  <conditionalFormatting sqref="A99:A100">
    <cfRule type="expression" dxfId="6288" priority="243">
      <formula>$AH99=0</formula>
    </cfRule>
  </conditionalFormatting>
  <conditionalFormatting sqref="F11 F40:F41 J40:L41 C57:AF57 S40:AF41">
    <cfRule type="expression" dxfId="6287" priority="239">
      <formula>C$9&gt;=20/24</formula>
    </cfRule>
    <cfRule type="expression" dxfId="6286" priority="240">
      <formula>AND(C$9&gt;=14/24,C$9&lt;20/24)</formula>
    </cfRule>
    <cfRule type="expression" dxfId="6285" priority="241">
      <formula>AND(C$9&gt;=8/24,C$9&lt;14/24)</formula>
    </cfRule>
    <cfRule type="expression" dxfId="6284" priority="242">
      <formula>C$9&lt;8/24</formula>
    </cfRule>
  </conditionalFormatting>
  <conditionalFormatting sqref="F39 J39:L39 S39:AF39">
    <cfRule type="expression" dxfId="6283" priority="235">
      <formula>F$9&gt;=20/24</formula>
    </cfRule>
    <cfRule type="expression" dxfId="6282" priority="236">
      <formula>AND(F$9&gt;=14/24,F$9&lt;20/24)</formula>
    </cfRule>
    <cfRule type="expression" dxfId="6281" priority="237">
      <formula>AND(F$9&gt;=8/24,F$9&lt;14/24)</formula>
    </cfRule>
    <cfRule type="expression" dxfId="6280" priority="238">
      <formula>F$9&lt;8/24</formula>
    </cfRule>
  </conditionalFormatting>
  <conditionalFormatting sqref="F11 F39:F41 J39:L41 S39:AF41">
    <cfRule type="expression" dxfId="6279" priority="234">
      <formula>F11&gt;$AG11</formula>
    </cfRule>
  </conditionalFormatting>
  <conditionalFormatting sqref="C81:AF81 C69:AF72 C56:AF56 D60:I62 E63:I63 J60:L63 C58:L59 E67:L67 D85:AF91 D53:AF55 M16:AF16 M28:AF31 M18:AF22 M24:AF26 M11:AF14 M36:AF36 M58:AF67">
    <cfRule type="expression" dxfId="6278" priority="230">
      <formula>C$9&gt;=20/24</formula>
    </cfRule>
    <cfRule type="expression" dxfId="6277" priority="231">
      <formula>AND(C$9&gt;=14/24,C$9&lt;20/24)</formula>
    </cfRule>
    <cfRule type="expression" dxfId="6276" priority="232">
      <formula>AND(C$9&gt;=8/24,C$9&lt;14/24)</formula>
    </cfRule>
    <cfRule type="expression" dxfId="6275" priority="233">
      <formula>C$9&lt;8/24</formula>
    </cfRule>
  </conditionalFormatting>
  <conditionalFormatting sqref="M32:AF32">
    <cfRule type="expression" dxfId="6274" priority="226">
      <formula>M$9&gt;=20/24</formula>
    </cfRule>
    <cfRule type="expression" dxfId="6273" priority="227">
      <formula>AND(M$9&gt;=14/24,M$9&lt;20/24)</formula>
    </cfRule>
    <cfRule type="expression" dxfId="6272" priority="228">
      <formula>AND(M$9&gt;=8/24,M$9&lt;14/24)</formula>
    </cfRule>
    <cfRule type="expression" dxfId="6271" priority="229">
      <formula>M$9&lt;8/24</formula>
    </cfRule>
  </conditionalFormatting>
  <conditionalFormatting sqref="M35:AF35">
    <cfRule type="expression" dxfId="6270" priority="222">
      <formula>M$9&gt;=20/24</formula>
    </cfRule>
    <cfRule type="expression" dxfId="6269" priority="223">
      <formula>AND(M$9&gt;=14/24,M$9&lt;20/24)</formula>
    </cfRule>
    <cfRule type="expression" dxfId="6268" priority="224">
      <formula>AND(M$9&gt;=8/24,M$9&lt;14/24)</formula>
    </cfRule>
    <cfRule type="expression" dxfId="6267" priority="225">
      <formula>M$9&lt;8/24</formula>
    </cfRule>
  </conditionalFormatting>
  <conditionalFormatting sqref="F42:F44 C51:AF51 C56:AF56 J42:L44 M34:AA37 D53:AF55 M18:AF22 M24:AF32 M11:AF16 AB34:AF36 AB42:AF43">
    <cfRule type="expression" dxfId="6266" priority="221">
      <formula>C11&gt;$AG11</formula>
    </cfRule>
  </conditionalFormatting>
  <conditionalFormatting sqref="M34:AF34">
    <cfRule type="expression" dxfId="6265" priority="217">
      <formula>M$9&gt;=20/24</formula>
    </cfRule>
    <cfRule type="expression" dxfId="6264" priority="218">
      <formula>AND(M$9&gt;=14/24,M$9&lt;20/24)</formula>
    </cfRule>
    <cfRule type="expression" dxfId="6263" priority="219">
      <formula>AND(M$9&gt;=8/24,M$9&lt;14/24)</formula>
    </cfRule>
    <cfRule type="expression" dxfId="6262" priority="220">
      <formula>M$9&lt;8/24</formula>
    </cfRule>
  </conditionalFormatting>
  <conditionalFormatting sqref="M15:AF15">
    <cfRule type="expression" dxfId="6261" priority="213">
      <formula>M$9&gt;=20/24</formula>
    </cfRule>
    <cfRule type="expression" dxfId="6260" priority="214">
      <formula>AND(M$9&gt;=14/24,M$9&lt;20/24)</formula>
    </cfRule>
    <cfRule type="expression" dxfId="6259" priority="215">
      <formula>AND(M$9&gt;=8/24,M$9&lt;14/24)</formula>
    </cfRule>
    <cfRule type="expression" dxfId="6258" priority="216">
      <formula>M$9&lt;8/24</formula>
    </cfRule>
  </conditionalFormatting>
  <conditionalFormatting sqref="M33:AF33">
    <cfRule type="expression" dxfId="6257" priority="209">
      <formula>M$9&gt;=20/24</formula>
    </cfRule>
    <cfRule type="expression" dxfId="6256" priority="210">
      <formula>AND(M$9&gt;=14/24,M$9&lt;20/24)</formula>
    </cfRule>
    <cfRule type="expression" dxfId="6255" priority="211">
      <formula>AND(M$9&gt;=8/24,M$9&lt;14/24)</formula>
    </cfRule>
    <cfRule type="expression" dxfId="6254" priority="212">
      <formula>M$9&lt;8/24</formula>
    </cfRule>
  </conditionalFormatting>
  <conditionalFormatting sqref="M33:AF33">
    <cfRule type="expression" dxfId="6253" priority="208">
      <formula>M33&gt;$AG33</formula>
    </cfRule>
  </conditionalFormatting>
  <conditionalFormatting sqref="AB44:AF44">
    <cfRule type="expression" dxfId="6252" priority="200">
      <formula>AB$9&gt;=20/24</formula>
    </cfRule>
    <cfRule type="expression" dxfId="6251" priority="201">
      <formula>AND(AB$9&gt;=14/24,AB$9&lt;20/24)</formula>
    </cfRule>
    <cfRule type="expression" dxfId="6250" priority="202">
      <formula>AND(AB$9&gt;=8/24,AB$9&lt;14/24)</formula>
    </cfRule>
    <cfRule type="expression" dxfId="6249" priority="203">
      <formula>AB$9&lt;8/24</formula>
    </cfRule>
  </conditionalFormatting>
  <conditionalFormatting sqref="AB44:AF44">
    <cfRule type="expression" dxfId="6248" priority="199">
      <formula>AB44&gt;$AG44</formula>
    </cfRule>
  </conditionalFormatting>
  <conditionalFormatting sqref="M39:R50 S42:AA50 AB45:AF50">
    <cfRule type="expression" dxfId="6247" priority="195">
      <formula>M$9&gt;=20/24</formula>
    </cfRule>
    <cfRule type="expression" dxfId="6246" priority="196">
      <formula>AND(M$9&gt;=14/24,M$9&lt;20/24)</formula>
    </cfRule>
    <cfRule type="expression" dxfId="6245" priority="197">
      <formula>AND(M$9&gt;=8/24,M$9&lt;14/24)</formula>
    </cfRule>
    <cfRule type="expression" dxfId="6244" priority="198">
      <formula>M$9&lt;8/24</formula>
    </cfRule>
  </conditionalFormatting>
  <conditionalFormatting sqref="M39:R50 S42:AA50 AB45:AF50">
    <cfRule type="expression" dxfId="6243" priority="194">
      <formula>M39&gt;$AG39</formula>
    </cfRule>
  </conditionalFormatting>
  <conditionalFormatting sqref="M27:AF27">
    <cfRule type="expression" dxfId="6242" priority="190">
      <formula>M$9&gt;=20/24</formula>
    </cfRule>
    <cfRule type="expression" dxfId="6241" priority="191">
      <formula>AND(M$9&gt;=14/24,M$9&lt;20/24)</formula>
    </cfRule>
    <cfRule type="expression" dxfId="6240" priority="192">
      <formula>AND(M$9&gt;=8/24,M$9&lt;14/24)</formula>
    </cfRule>
    <cfRule type="expression" dxfId="6239" priority="193">
      <formula>M$9&lt;8/24</formula>
    </cfRule>
  </conditionalFormatting>
  <conditionalFormatting sqref="M23:AF23 M17:AF17">
    <cfRule type="expression" dxfId="6238" priority="186">
      <formula>M$9&gt;=20/24</formula>
    </cfRule>
    <cfRule type="expression" dxfId="6237" priority="187">
      <formula>AND(M$9&gt;=14/24,M$9&lt;20/24)</formula>
    </cfRule>
    <cfRule type="expression" dxfId="6236" priority="188">
      <formula>AND(M$9&gt;=8/24,M$9&lt;14/24)</formula>
    </cfRule>
    <cfRule type="expression" dxfId="6235" priority="189">
      <formula>M$9&lt;8/24</formula>
    </cfRule>
  </conditionalFormatting>
  <conditionalFormatting sqref="M23:AF23 M17:AF17">
    <cfRule type="expression" dxfId="6234" priority="177">
      <formula>M17&gt;$AG17</formula>
    </cfRule>
  </conditionalFormatting>
  <conditionalFormatting sqref="C40:E41">
    <cfRule type="expression" dxfId="6233" priority="160">
      <formula>C$9&gt;=20/24</formula>
    </cfRule>
    <cfRule type="expression" dxfId="6232" priority="161">
      <formula>AND(C$9&gt;=14/24,C$9&lt;20/24)</formula>
    </cfRule>
    <cfRule type="expression" dxfId="6231" priority="162">
      <formula>AND(C$9&gt;=8/24,C$9&lt;14/24)</formula>
    </cfRule>
    <cfRule type="expression" dxfId="6230" priority="163">
      <formula>C$9&lt;8/24</formula>
    </cfRule>
  </conditionalFormatting>
  <conditionalFormatting sqref="C39:E39">
    <cfRule type="expression" dxfId="6229" priority="156">
      <formula>C$9&gt;=20/24</formula>
    </cfRule>
    <cfRule type="expression" dxfId="6228" priority="157">
      <formula>AND(C$9&gt;=14/24,C$9&lt;20/24)</formula>
    </cfRule>
    <cfRule type="expression" dxfId="6227" priority="158">
      <formula>AND(C$9&gt;=8/24,C$9&lt;14/24)</formula>
    </cfRule>
    <cfRule type="expression" dxfId="6226" priority="159">
      <formula>C$9&lt;8/24</formula>
    </cfRule>
  </conditionalFormatting>
  <conditionalFormatting sqref="C39:E41">
    <cfRule type="expression" dxfId="6225" priority="155">
      <formula>C39&gt;$AG39</formula>
    </cfRule>
  </conditionalFormatting>
  <conditionalFormatting sqref="E64:L66">
    <cfRule type="expression" dxfId="6224" priority="151">
      <formula>E$9&gt;=20/24</formula>
    </cfRule>
    <cfRule type="expression" dxfId="6223" priority="152">
      <formula>AND(E$9&gt;=14/24,E$9&lt;20/24)</formula>
    </cfRule>
    <cfRule type="expression" dxfId="6222" priority="153">
      <formula>AND(E$9&gt;=8/24,E$9&lt;14/24)</formula>
    </cfRule>
    <cfRule type="expression" dxfId="6221" priority="154">
      <formula>E$9&lt;8/24</formula>
    </cfRule>
  </conditionalFormatting>
  <conditionalFormatting sqref="F45:F50 J45:L50">
    <cfRule type="expression" dxfId="6220" priority="146">
      <formula>F$9&gt;=20/24</formula>
    </cfRule>
    <cfRule type="expression" dxfId="6219" priority="147">
      <formula>AND(F$9&gt;=14/24,F$9&lt;20/24)</formula>
    </cfRule>
    <cfRule type="expression" dxfId="6218" priority="148">
      <formula>AND(F$9&gt;=8/24,F$9&lt;14/24)</formula>
    </cfRule>
    <cfRule type="expression" dxfId="6217" priority="149">
      <formula>F$9&lt;8/24</formula>
    </cfRule>
  </conditionalFormatting>
  <conditionalFormatting sqref="F45:F50 J45:L50">
    <cfRule type="expression" dxfId="6216" priority="145">
      <formula>F45&gt;$AG45</formula>
    </cfRule>
  </conditionalFormatting>
  <conditionalFormatting sqref="B94:B100 B74:AF74 B82:AF82 B11:E11">
    <cfRule type="expression" dxfId="6215" priority="132">
      <formula>B$9&gt;=20/24</formula>
    </cfRule>
    <cfRule type="expression" dxfId="6214" priority="133">
      <formula>AND(B$9&gt;=14/24,B$9&lt;20/24)</formula>
    </cfRule>
    <cfRule type="expression" dxfId="6213" priority="134">
      <formula>AND(B$9&gt;=8/24,B$9&lt;14/24)</formula>
    </cfRule>
    <cfRule type="expression" dxfId="6212" priority="135">
      <formula>B$9&lt;8/24</formula>
    </cfRule>
  </conditionalFormatting>
  <conditionalFormatting sqref="B37:E37">
    <cfRule type="expression" dxfId="6211" priority="128">
      <formula>B$9&gt;=20/24</formula>
    </cfRule>
    <cfRule type="expression" dxfId="6210" priority="129">
      <formula>AND(B$9&gt;=14/24,B$9&lt;20/24)</formula>
    </cfRule>
    <cfRule type="expression" dxfId="6209" priority="130">
      <formula>AND(B$9&gt;=8/24,B$9&lt;14/24)</formula>
    </cfRule>
    <cfRule type="expression" dxfId="6208" priority="131">
      <formula>B$9&lt;8/24</formula>
    </cfRule>
  </conditionalFormatting>
  <conditionalFormatting sqref="B37:E37 B11:E11">
    <cfRule type="expression" dxfId="6207" priority="127">
      <formula>B11&gt;$AG11</formula>
    </cfRule>
  </conditionalFormatting>
  <conditionalFormatting sqref="B84:C84">
    <cfRule type="expression" dxfId="6206" priority="123">
      <formula>B$9&gt;=20/24</formula>
    </cfRule>
    <cfRule type="expression" dxfId="6205" priority="124">
      <formula>AND(B$9&gt;=14/24,B$9&lt;20/24)</formula>
    </cfRule>
    <cfRule type="expression" dxfId="6204" priority="125">
      <formula>AND(B$9&gt;=8/24,B$9&lt;14/24)</formula>
    </cfRule>
    <cfRule type="expression" dxfId="6203" priority="126">
      <formula>B$9&lt;8/24</formula>
    </cfRule>
  </conditionalFormatting>
  <conditionalFormatting sqref="B40:B41 B57 B36:E36">
    <cfRule type="expression" dxfId="6202" priority="119">
      <formula>B$9&gt;=20/24</formula>
    </cfRule>
    <cfRule type="expression" dxfId="6201" priority="120">
      <formula>AND(B$9&gt;=14/24,B$9&lt;20/24)</formula>
    </cfRule>
    <cfRule type="expression" dxfId="6200" priority="121">
      <formula>AND(B$9&gt;=8/24,B$9&lt;14/24)</formula>
    </cfRule>
    <cfRule type="expression" dxfId="6199" priority="122">
      <formula>B$9&lt;8/24</formula>
    </cfRule>
  </conditionalFormatting>
  <conditionalFormatting sqref="B39">
    <cfRule type="expression" dxfId="6198" priority="115">
      <formula>B$9&gt;=20/24</formula>
    </cfRule>
    <cfRule type="expression" dxfId="6197" priority="116">
      <formula>AND(B$9&gt;=14/24,B$9&lt;20/24)</formula>
    </cfRule>
    <cfRule type="expression" dxfId="6196" priority="117">
      <formula>AND(B$9&gt;=8/24,B$9&lt;14/24)</formula>
    </cfRule>
    <cfRule type="expression" dxfId="6195" priority="118">
      <formula>B$9&lt;8/24</formula>
    </cfRule>
  </conditionalFormatting>
  <conditionalFormatting sqref="B39:B41 B36:E36">
    <cfRule type="expression" dxfId="6194" priority="114">
      <formula>B36&gt;$AG36</formula>
    </cfRule>
  </conditionalFormatting>
  <conditionalFormatting sqref="B53:B56 B58:B67 B69:B73 B75:AF75 C73:AF73 B81 B83:AF83 C53:C55 C60:C67 B85:C91 D63:D67 B16:E16 B28:E31 B18:E22 B24:E26 B12:E14">
    <cfRule type="expression" dxfId="6193" priority="110">
      <formula>B$9&gt;=20/24</formula>
    </cfRule>
    <cfRule type="expression" dxfId="6192" priority="111">
      <formula>AND(B$9&gt;=14/24,B$9&lt;20/24)</formula>
    </cfRule>
    <cfRule type="expression" dxfId="6191" priority="112">
      <formula>AND(B$9&gt;=8/24,B$9&lt;14/24)</formula>
    </cfRule>
    <cfRule type="expression" dxfId="6190" priority="113">
      <formula>B$9&lt;8/24</formula>
    </cfRule>
  </conditionalFormatting>
  <conditionalFormatting sqref="B32:E32">
    <cfRule type="expression" dxfId="6189" priority="106">
      <formula>B$9&gt;=20/24</formula>
    </cfRule>
    <cfRule type="expression" dxfId="6188" priority="107">
      <formula>AND(B$9&gt;=14/24,B$9&lt;20/24)</formula>
    </cfRule>
    <cfRule type="expression" dxfId="6187" priority="108">
      <formula>AND(B$9&gt;=8/24,B$9&lt;14/24)</formula>
    </cfRule>
    <cfRule type="expression" dxfId="6186" priority="109">
      <formula>B$9&lt;8/24</formula>
    </cfRule>
  </conditionalFormatting>
  <conditionalFormatting sqref="B35:E35">
    <cfRule type="expression" dxfId="6185" priority="102">
      <formula>B$9&gt;=20/24</formula>
    </cfRule>
    <cfRule type="expression" dxfId="6184" priority="103">
      <formula>AND(B$9&gt;=14/24,B$9&lt;20/24)</formula>
    </cfRule>
    <cfRule type="expression" dxfId="6183" priority="104">
      <formula>AND(B$9&gt;=8/24,B$9&lt;14/24)</formula>
    </cfRule>
    <cfRule type="expression" dxfId="6182" priority="105">
      <formula>B$9&lt;8/24</formula>
    </cfRule>
  </conditionalFormatting>
  <conditionalFormatting sqref="B51:B56 B38:AF38 C52:AF52 C53:C55 B34:E35 B18:E22 B24:E32 B42:E43 B12:E16">
    <cfRule type="expression" dxfId="6181" priority="101">
      <formula>B12&gt;$AG12</formula>
    </cfRule>
  </conditionalFormatting>
  <conditionalFormatting sqref="B34:E34">
    <cfRule type="expression" dxfId="6180" priority="97">
      <formula>B$9&gt;=20/24</formula>
    </cfRule>
    <cfRule type="expression" dxfId="6179" priority="98">
      <formula>AND(B$9&gt;=14/24,B$9&lt;20/24)</formula>
    </cfRule>
    <cfRule type="expression" dxfId="6178" priority="99">
      <formula>AND(B$9&gt;=8/24,B$9&lt;14/24)</formula>
    </cfRule>
    <cfRule type="expression" dxfId="6177" priority="100">
      <formula>B$9&lt;8/24</formula>
    </cfRule>
  </conditionalFormatting>
  <conditionalFormatting sqref="B15:E15">
    <cfRule type="expression" dxfId="6176" priority="93">
      <formula>B$9&gt;=20/24</formula>
    </cfRule>
    <cfRule type="expression" dxfId="6175" priority="94">
      <formula>AND(B$9&gt;=14/24,B$9&lt;20/24)</formula>
    </cfRule>
    <cfRule type="expression" dxfId="6174" priority="95">
      <formula>AND(B$9&gt;=8/24,B$9&lt;14/24)</formula>
    </cfRule>
    <cfRule type="expression" dxfId="6173" priority="96">
      <formula>B$9&lt;8/24</formula>
    </cfRule>
  </conditionalFormatting>
  <conditionalFormatting sqref="B33:E33">
    <cfRule type="expression" dxfId="6172" priority="89">
      <formula>B$9&gt;=20/24</formula>
    </cfRule>
    <cfRule type="expression" dxfId="6171" priority="90">
      <formula>AND(B$9&gt;=14/24,B$9&lt;20/24)</formula>
    </cfRule>
    <cfRule type="expression" dxfId="6170" priority="91">
      <formula>AND(B$9&gt;=8/24,B$9&lt;14/24)</formula>
    </cfRule>
    <cfRule type="expression" dxfId="6169" priority="92">
      <formula>B$9&lt;8/24</formula>
    </cfRule>
  </conditionalFormatting>
  <conditionalFormatting sqref="B33:E33">
    <cfRule type="expression" dxfId="6168" priority="88">
      <formula>B33&gt;$AG33</formula>
    </cfRule>
  </conditionalFormatting>
  <conditionalFormatting sqref="B44:E50">
    <cfRule type="expression" dxfId="6167" priority="84">
      <formula>B$9&gt;=20/24</formula>
    </cfRule>
    <cfRule type="expression" dxfId="6166" priority="85">
      <formula>AND(B$9&gt;=14/24,B$9&lt;20/24)</formula>
    </cfRule>
    <cfRule type="expression" dxfId="6165" priority="86">
      <formula>AND(B$9&gt;=8/24,B$9&lt;14/24)</formula>
    </cfRule>
    <cfRule type="expression" dxfId="6164" priority="87">
      <formula>B$9&lt;8/24</formula>
    </cfRule>
  </conditionalFormatting>
  <conditionalFormatting sqref="B44:E50">
    <cfRule type="expression" dxfId="6163" priority="83">
      <formula>B44&gt;$AG44</formula>
    </cfRule>
  </conditionalFormatting>
  <conditionalFormatting sqref="B27:E27">
    <cfRule type="expression" dxfId="6162" priority="79">
      <formula>B$9&gt;=20/24</formula>
    </cfRule>
    <cfRule type="expression" dxfId="6161" priority="80">
      <formula>AND(B$9&gt;=14/24,B$9&lt;20/24)</formula>
    </cfRule>
    <cfRule type="expression" dxfId="6160" priority="81">
      <formula>AND(B$9&gt;=8/24,B$9&lt;14/24)</formula>
    </cfRule>
    <cfRule type="expression" dxfId="6159" priority="82">
      <formula>B$9&lt;8/24</formula>
    </cfRule>
  </conditionalFormatting>
  <conditionalFormatting sqref="B17:E17 B23:E23">
    <cfRule type="expression" dxfId="6158" priority="75">
      <formula>B$9&gt;=20/24</formula>
    </cfRule>
    <cfRule type="expression" dxfId="6157" priority="76">
      <formula>AND(B$9&gt;=14/24,B$9&lt;20/24)</formula>
    </cfRule>
    <cfRule type="expression" dxfId="6156" priority="77">
      <formula>AND(B$9&gt;=8/24,B$9&lt;14/24)</formula>
    </cfRule>
    <cfRule type="expression" dxfId="6155" priority="78">
      <formula>B$9&lt;8/24</formula>
    </cfRule>
  </conditionalFormatting>
  <conditionalFormatting sqref="B17:E17 B23:E23">
    <cfRule type="expression" dxfId="6154" priority="74">
      <formula>B17&gt;$AG17</formula>
    </cfRule>
  </conditionalFormatting>
  <conditionalFormatting sqref="A33">
    <cfRule type="expression" dxfId="6153" priority="73">
      <formula>$AH33=0</formula>
    </cfRule>
  </conditionalFormatting>
  <conditionalFormatting sqref="B68:AF68">
    <cfRule type="expression" dxfId="6152" priority="69">
      <formula>B$9&gt;=20/24</formula>
    </cfRule>
    <cfRule type="expression" dxfId="6151" priority="70">
      <formula>AND(B$9&gt;=14/24,B$9&lt;20/24)</formula>
    </cfRule>
    <cfRule type="expression" dxfId="6150" priority="71">
      <formula>AND(B$9&gt;=8/24,B$9&lt;14/24)</formula>
    </cfRule>
    <cfRule type="expression" dxfId="6149" priority="72">
      <formula>B$9&lt;8/24</formula>
    </cfRule>
  </conditionalFormatting>
  <conditionalFormatting sqref="B76:AF80">
    <cfRule type="expression" dxfId="6148" priority="65">
      <formula>B$9&gt;=20/24</formula>
    </cfRule>
    <cfRule type="expression" dxfId="6147" priority="66">
      <formula>AND(B$9&gt;=14/24,B$9&lt;20/24)</formula>
    </cfRule>
    <cfRule type="expression" dxfId="6146" priority="67">
      <formula>AND(B$9&gt;=8/24,B$9&lt;14/24)</formula>
    </cfRule>
    <cfRule type="expression" dxfId="6145" priority="68">
      <formula>B$9&lt;8/24</formula>
    </cfRule>
  </conditionalFormatting>
  <conditionalFormatting sqref="G11:L11">
    <cfRule type="expression" dxfId="6144" priority="61">
      <formula>G$9&gt;=20/24</formula>
    </cfRule>
    <cfRule type="expression" dxfId="6143" priority="62">
      <formula>AND(G$9&gt;=14/24,G$9&lt;20/24)</formula>
    </cfRule>
    <cfRule type="expression" dxfId="6142" priority="63">
      <formula>AND(G$9&gt;=8/24,G$9&lt;14/24)</formula>
    </cfRule>
    <cfRule type="expression" dxfId="6141" priority="64">
      <formula>G$9&lt;8/24</formula>
    </cfRule>
  </conditionalFormatting>
  <conditionalFormatting sqref="G37:L37">
    <cfRule type="expression" dxfId="6140" priority="57">
      <formula>G$9&gt;=20/24</formula>
    </cfRule>
    <cfRule type="expression" dxfId="6139" priority="58">
      <formula>AND(G$9&gt;=14/24,G$9&lt;20/24)</formula>
    </cfRule>
    <cfRule type="expression" dxfId="6138" priority="59">
      <formula>AND(G$9&gt;=8/24,G$9&lt;14/24)</formula>
    </cfRule>
    <cfRule type="expression" dxfId="6137" priority="60">
      <formula>G$9&lt;8/24</formula>
    </cfRule>
  </conditionalFormatting>
  <conditionalFormatting sqref="G37:L37 G11:L11">
    <cfRule type="expression" dxfId="6136" priority="56">
      <formula>G11&gt;$AG11</formula>
    </cfRule>
  </conditionalFormatting>
  <conditionalFormatting sqref="G36:L36">
    <cfRule type="expression" dxfId="6135" priority="52">
      <formula>G$9&gt;=20/24</formula>
    </cfRule>
    <cfRule type="expression" dxfId="6134" priority="53">
      <formula>AND(G$9&gt;=14/24,G$9&lt;20/24)</formula>
    </cfRule>
    <cfRule type="expression" dxfId="6133" priority="54">
      <formula>AND(G$9&gt;=8/24,G$9&lt;14/24)</formula>
    </cfRule>
    <cfRule type="expression" dxfId="6132" priority="55">
      <formula>G$9&lt;8/24</formula>
    </cfRule>
  </conditionalFormatting>
  <conditionalFormatting sqref="G36:L36">
    <cfRule type="expression" dxfId="6131" priority="51">
      <formula>G36&gt;$AG36</formula>
    </cfRule>
  </conditionalFormatting>
  <conditionalFormatting sqref="G12:L14 G16:L16 G28:L31 G18:L22 G24:L26">
    <cfRule type="expression" dxfId="6130" priority="47">
      <formula>G$9&gt;=20/24</formula>
    </cfRule>
    <cfRule type="expression" dxfId="6129" priority="48">
      <formula>AND(G$9&gt;=14/24,G$9&lt;20/24)</formula>
    </cfRule>
    <cfRule type="expression" dxfId="6128" priority="49">
      <formula>AND(G$9&gt;=8/24,G$9&lt;14/24)</formula>
    </cfRule>
    <cfRule type="expression" dxfId="6127" priority="50">
      <formula>G$9&lt;8/24</formula>
    </cfRule>
  </conditionalFormatting>
  <conditionalFormatting sqref="G32:L32">
    <cfRule type="expression" dxfId="6126" priority="43">
      <formula>G$9&gt;=20/24</formula>
    </cfRule>
    <cfRule type="expression" dxfId="6125" priority="44">
      <formula>AND(G$9&gt;=14/24,G$9&lt;20/24)</formula>
    </cfRule>
    <cfRule type="expression" dxfId="6124" priority="45">
      <formula>AND(G$9&gt;=8/24,G$9&lt;14/24)</formula>
    </cfRule>
    <cfRule type="expression" dxfId="6123" priority="46">
      <formula>G$9&lt;8/24</formula>
    </cfRule>
  </conditionalFormatting>
  <conditionalFormatting sqref="G35:L35">
    <cfRule type="expression" dxfId="6122" priority="39">
      <formula>G$9&gt;=20/24</formula>
    </cfRule>
    <cfRule type="expression" dxfId="6121" priority="40">
      <formula>AND(G$9&gt;=14/24,G$9&lt;20/24)</formula>
    </cfRule>
    <cfRule type="expression" dxfId="6120" priority="41">
      <formula>AND(G$9&gt;=8/24,G$9&lt;14/24)</formula>
    </cfRule>
    <cfRule type="expression" dxfId="6119" priority="42">
      <formula>G$9&lt;8/24</formula>
    </cfRule>
  </conditionalFormatting>
  <conditionalFormatting sqref="G34:L35 G12:L16 G18:L22 G24:L32">
    <cfRule type="expression" dxfId="6118" priority="38">
      <formula>G12&gt;$AG12</formula>
    </cfRule>
  </conditionalFormatting>
  <conditionalFormatting sqref="G34:L34">
    <cfRule type="expression" dxfId="6117" priority="34">
      <formula>G$9&gt;=20/24</formula>
    </cfRule>
    <cfRule type="expression" dxfId="6116" priority="35">
      <formula>AND(G$9&gt;=14/24,G$9&lt;20/24)</formula>
    </cfRule>
    <cfRule type="expression" dxfId="6115" priority="36">
      <formula>AND(G$9&gt;=8/24,G$9&lt;14/24)</formula>
    </cfRule>
    <cfRule type="expression" dxfId="6114" priority="37">
      <formula>G$9&lt;8/24</formula>
    </cfRule>
  </conditionalFormatting>
  <conditionalFormatting sqref="G15:L15">
    <cfRule type="expression" dxfId="6113" priority="30">
      <formula>G$9&gt;=20/24</formula>
    </cfRule>
    <cfRule type="expression" dxfId="6112" priority="31">
      <formula>AND(G$9&gt;=14/24,G$9&lt;20/24)</formula>
    </cfRule>
    <cfRule type="expression" dxfId="6111" priority="32">
      <formula>AND(G$9&gt;=8/24,G$9&lt;14/24)</formula>
    </cfRule>
    <cfRule type="expression" dxfId="6110" priority="33">
      <formula>G$9&lt;8/24</formula>
    </cfRule>
  </conditionalFormatting>
  <conditionalFormatting sqref="G33:L33">
    <cfRule type="expression" dxfId="6109" priority="26">
      <formula>G$9&gt;=20/24</formula>
    </cfRule>
    <cfRule type="expression" dxfId="6108" priority="27">
      <formula>AND(G$9&gt;=14/24,G$9&lt;20/24)</formula>
    </cfRule>
    <cfRule type="expression" dxfId="6107" priority="28">
      <formula>AND(G$9&gt;=8/24,G$9&lt;14/24)</formula>
    </cfRule>
    <cfRule type="expression" dxfId="6106" priority="29">
      <formula>G$9&lt;8/24</formula>
    </cfRule>
  </conditionalFormatting>
  <conditionalFormatting sqref="G33:L33">
    <cfRule type="expression" dxfId="6105" priority="25">
      <formula>G33&gt;$AG33</formula>
    </cfRule>
  </conditionalFormatting>
  <conditionalFormatting sqref="G27:L27">
    <cfRule type="expression" dxfId="6104" priority="21">
      <formula>G$9&gt;=20/24</formula>
    </cfRule>
    <cfRule type="expression" dxfId="6103" priority="22">
      <formula>AND(G$9&gt;=14/24,G$9&lt;20/24)</formula>
    </cfRule>
    <cfRule type="expression" dxfId="6102" priority="23">
      <formula>AND(G$9&gt;=8/24,G$9&lt;14/24)</formula>
    </cfRule>
    <cfRule type="expression" dxfId="6101" priority="24">
      <formula>G$9&lt;8/24</formula>
    </cfRule>
  </conditionalFormatting>
  <conditionalFormatting sqref="G17:L17 G23:L23">
    <cfRule type="expression" dxfId="6100" priority="17">
      <formula>G$9&gt;=20/24</formula>
    </cfRule>
    <cfRule type="expression" dxfId="6099" priority="18">
      <formula>AND(G$9&gt;=14/24,G$9&lt;20/24)</formula>
    </cfRule>
    <cfRule type="expression" dxfId="6098" priority="19">
      <formula>AND(G$9&gt;=8/24,G$9&lt;14/24)</formula>
    </cfRule>
    <cfRule type="expression" dxfId="6097" priority="20">
      <formula>G$9&lt;8/24</formula>
    </cfRule>
  </conditionalFormatting>
  <conditionalFormatting sqref="G17:L17 G23:L23">
    <cfRule type="expression" dxfId="6096" priority="16">
      <formula>G17&gt;$AG17</formula>
    </cfRule>
  </conditionalFormatting>
  <conditionalFormatting sqref="G40:I41">
    <cfRule type="expression" dxfId="6095" priority="12">
      <formula>G$9&gt;=20/24</formula>
    </cfRule>
    <cfRule type="expression" dxfId="6094" priority="13">
      <formula>AND(G$9&gt;=14/24,G$9&lt;20/24)</formula>
    </cfRule>
    <cfRule type="expression" dxfId="6093" priority="14">
      <formula>AND(G$9&gt;=8/24,G$9&lt;14/24)</formula>
    </cfRule>
    <cfRule type="expression" dxfId="6092" priority="15">
      <formula>G$9&lt;8/24</formula>
    </cfRule>
  </conditionalFormatting>
  <conditionalFormatting sqref="G39:I39">
    <cfRule type="expression" dxfId="6091" priority="8">
      <formula>G$9&gt;=20/24</formula>
    </cfRule>
    <cfRule type="expression" dxfId="6090" priority="9">
      <formula>AND(G$9&gt;=14/24,G$9&lt;20/24)</formula>
    </cfRule>
    <cfRule type="expression" dxfId="6089" priority="10">
      <formula>AND(G$9&gt;=8/24,G$9&lt;14/24)</formula>
    </cfRule>
    <cfRule type="expression" dxfId="6088" priority="11">
      <formula>G$9&lt;8/24</formula>
    </cfRule>
  </conditionalFormatting>
  <conditionalFormatting sqref="G39:I41">
    <cfRule type="expression" dxfId="6087" priority="7">
      <formula>G39&gt;$AG39</formula>
    </cfRule>
  </conditionalFormatting>
  <conditionalFormatting sqref="G42:I43">
    <cfRule type="expression" dxfId="6086" priority="6">
      <formula>G42&gt;$AG42</formula>
    </cfRule>
  </conditionalFormatting>
  <conditionalFormatting sqref="G44:I50">
    <cfRule type="expression" dxfId="6085" priority="2">
      <formula>G$9&gt;=20/24</formula>
    </cfRule>
    <cfRule type="expression" dxfId="6084" priority="3">
      <formula>AND(G$9&gt;=14/24,G$9&lt;20/24)</formula>
    </cfRule>
    <cfRule type="expression" dxfId="6083" priority="4">
      <formula>AND(G$9&gt;=8/24,G$9&lt;14/24)</formula>
    </cfRule>
    <cfRule type="expression" dxfId="6082" priority="5">
      <formula>G$9&lt;8/24</formula>
    </cfRule>
  </conditionalFormatting>
  <conditionalFormatting sqref="G44:I50">
    <cfRule type="expression" dxfId="6081" priority="1">
      <formula>G44&gt;$AG44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26" sqref="B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2079/02/4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84.1</v>
      </c>
      <c r="C5" s="32">
        <f t="shared" si="0"/>
        <v>72.599999999999994</v>
      </c>
      <c r="D5" s="32">
        <f t="shared" si="0"/>
        <v>72.400000000000006</v>
      </c>
      <c r="E5" s="32">
        <f t="shared" si="0"/>
        <v>66</v>
      </c>
      <c r="F5" s="32">
        <f t="shared" si="0"/>
        <v>50</v>
      </c>
      <c r="G5" s="32">
        <f t="shared" si="0"/>
        <v>49</v>
      </c>
      <c r="H5" s="32">
        <f t="shared" si="0"/>
        <v>40</v>
      </c>
      <c r="I5" s="32">
        <f t="shared" si="0"/>
        <v>46</v>
      </c>
      <c r="J5" s="32">
        <f t="shared" si="0"/>
        <v>45</v>
      </c>
      <c r="K5" s="32">
        <f t="shared" si="0"/>
        <v>43.7</v>
      </c>
      <c r="L5" s="32">
        <f t="shared" si="0"/>
        <v>39.9</v>
      </c>
      <c r="M5" s="32">
        <f t="shared" si="0"/>
        <v>75</v>
      </c>
      <c r="N5" s="32">
        <f t="shared" si="0"/>
        <v>77.5</v>
      </c>
      <c r="O5" s="32">
        <f t="shared" si="0"/>
        <v>75.599999999999994</v>
      </c>
      <c r="P5" s="32">
        <f t="shared" si="0"/>
        <v>74.900000000000006</v>
      </c>
      <c r="Q5" s="32">
        <f t="shared" si="0"/>
        <v>59.3</v>
      </c>
      <c r="R5" s="32">
        <f t="shared" si="0"/>
        <v>60</v>
      </c>
      <c r="S5" s="32">
        <f t="shared" si="0"/>
        <v>58.19</v>
      </c>
      <c r="T5" s="32">
        <f t="shared" si="0"/>
        <v>57.4</v>
      </c>
      <c r="U5" s="32">
        <f t="shared" si="0"/>
        <v>63.17</v>
      </c>
      <c r="V5" s="32">
        <f t="shared" si="0"/>
        <v>64.599999999999994</v>
      </c>
      <c r="W5" s="32">
        <f t="shared" si="0"/>
        <v>61.24</v>
      </c>
      <c r="X5" s="32">
        <f t="shared" si="0"/>
        <v>64</v>
      </c>
      <c r="Y5" s="32">
        <f t="shared" si="0"/>
        <v>70.599999999999994</v>
      </c>
      <c r="Z5" s="32">
        <f t="shared" si="0"/>
        <v>63.1</v>
      </c>
      <c r="AA5" s="32">
        <f t="shared" si="0"/>
        <v>81.599999999999994</v>
      </c>
      <c r="AB5" s="32">
        <f t="shared" si="0"/>
        <v>93.9</v>
      </c>
      <c r="AC5" s="32">
        <f t="shared" si="0"/>
        <v>94.4</v>
      </c>
      <c r="AD5" s="32">
        <f t="shared" si="0"/>
        <v>90</v>
      </c>
      <c r="AE5" s="32">
        <f t="shared" si="0"/>
        <v>94.1</v>
      </c>
      <c r="AF5" s="32">
        <f>B68</f>
        <v>85.1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1652MW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Load=1419</v>
      </c>
      <c r="B7" s="37">
        <f>B75</f>
        <v>1563.7399999999998</v>
      </c>
      <c r="C7" s="37">
        <f t="shared" ref="C7:AF7" si="1">C75</f>
        <v>1550.4399999999996</v>
      </c>
      <c r="D7" s="37">
        <f t="shared" si="1"/>
        <v>1469.54</v>
      </c>
      <c r="E7" s="37">
        <f t="shared" si="1"/>
        <v>1483.44</v>
      </c>
      <c r="F7" s="37">
        <f t="shared" si="1"/>
        <v>1419.1399999999999</v>
      </c>
      <c r="G7" s="37">
        <f t="shared" si="1"/>
        <v>1558.6399999999999</v>
      </c>
      <c r="H7" s="37">
        <f t="shared" si="1"/>
        <v>1441.6399999999999</v>
      </c>
      <c r="I7" s="37">
        <f t="shared" si="1"/>
        <v>1515.7399999999998</v>
      </c>
      <c r="J7" s="37">
        <f t="shared" si="1"/>
        <v>1595.54</v>
      </c>
      <c r="K7" s="37">
        <f t="shared" si="1"/>
        <v>1598.84</v>
      </c>
      <c r="L7" s="37">
        <f t="shared" si="1"/>
        <v>1603.9399999999998</v>
      </c>
      <c r="M7" s="37">
        <f t="shared" si="1"/>
        <v>1641.64</v>
      </c>
      <c r="N7" s="37">
        <f t="shared" si="1"/>
        <v>1651.9399999999998</v>
      </c>
      <c r="O7" s="37">
        <f t="shared" si="1"/>
        <v>1658.04</v>
      </c>
      <c r="P7" s="37">
        <f t="shared" si="1"/>
        <v>1628.1399999999999</v>
      </c>
      <c r="Q7" s="37">
        <f t="shared" si="1"/>
        <v>1633.14</v>
      </c>
      <c r="R7" s="37">
        <f t="shared" si="1"/>
        <v>1597.24</v>
      </c>
      <c r="S7" s="37">
        <f t="shared" si="1"/>
        <v>1451.1399999999999</v>
      </c>
      <c r="T7" s="37">
        <f t="shared" si="1"/>
        <v>1574.73</v>
      </c>
      <c r="U7" s="37">
        <f t="shared" si="1"/>
        <v>1589.94</v>
      </c>
      <c r="V7" s="37">
        <f t="shared" si="1"/>
        <v>1595.71</v>
      </c>
      <c r="W7" s="37">
        <f t="shared" si="1"/>
        <v>1597.1399999999999</v>
      </c>
      <c r="X7" s="37">
        <f t="shared" si="1"/>
        <v>1597.78</v>
      </c>
      <c r="Y7" s="37">
        <f t="shared" si="1"/>
        <v>1600.54</v>
      </c>
      <c r="Z7" s="37">
        <f t="shared" si="1"/>
        <v>1607.1399999999999</v>
      </c>
      <c r="AA7" s="37">
        <f t="shared" si="1"/>
        <v>1619.6399999999999</v>
      </c>
      <c r="AB7" s="37">
        <f t="shared" si="1"/>
        <v>1672.44</v>
      </c>
      <c r="AC7" s="37">
        <f t="shared" si="1"/>
        <v>1683.5400000000004</v>
      </c>
      <c r="AD7" s="37">
        <f t="shared" si="1"/>
        <v>1678.0400000000004</v>
      </c>
      <c r="AE7" s="37">
        <f t="shared" si="1"/>
        <v>1647.6400000000003</v>
      </c>
      <c r="AF7" s="37">
        <f t="shared" si="1"/>
        <v>1577.5400000000002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380</v>
      </c>
      <c r="C11" s="50">
        <v>430</v>
      </c>
      <c r="D11" s="50">
        <v>400</v>
      </c>
      <c r="E11" s="50">
        <v>400</v>
      </c>
      <c r="F11" s="51">
        <v>350</v>
      </c>
      <c r="G11" s="51">
        <v>456</v>
      </c>
      <c r="H11" s="51">
        <v>350</v>
      </c>
      <c r="I11" s="51">
        <v>400</v>
      </c>
      <c r="J11" s="52">
        <v>456</v>
      </c>
      <c r="K11" s="52">
        <v>456</v>
      </c>
      <c r="L11" s="52">
        <v>456</v>
      </c>
      <c r="M11" s="52">
        <v>456</v>
      </c>
      <c r="N11" s="52">
        <v>456</v>
      </c>
      <c r="O11" s="51">
        <v>456</v>
      </c>
      <c r="P11" s="51">
        <v>456</v>
      </c>
      <c r="Q11" s="51">
        <v>456</v>
      </c>
      <c r="R11" s="51">
        <v>456</v>
      </c>
      <c r="S11" s="53">
        <v>456</v>
      </c>
      <c r="T11" s="53">
        <v>440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400</v>
      </c>
      <c r="AG11" s="54">
        <v>456</v>
      </c>
      <c r="AH11" s="55">
        <f>MAX(B11:AF11)</f>
        <v>456</v>
      </c>
      <c r="AI11" s="56">
        <f>MIN(B11:AF11)</f>
        <v>350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40</v>
      </c>
      <c r="E12" s="51">
        <v>40</v>
      </c>
      <c r="F12" s="51">
        <v>40</v>
      </c>
      <c r="G12" s="51">
        <v>50</v>
      </c>
      <c r="H12" s="51">
        <v>50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40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52.8</v>
      </c>
      <c r="C13" s="51">
        <v>52.8</v>
      </c>
      <c r="D13" s="51">
        <v>52.8</v>
      </c>
      <c r="E13" s="51">
        <v>52.8</v>
      </c>
      <c r="F13" s="51">
        <v>52</v>
      </c>
      <c r="G13" s="51">
        <v>52</v>
      </c>
      <c r="H13" s="51">
        <v>52</v>
      </c>
      <c r="I13" s="51">
        <v>52</v>
      </c>
      <c r="J13" s="51">
        <v>52</v>
      </c>
      <c r="K13" s="51">
        <v>52</v>
      </c>
      <c r="L13" s="51">
        <v>52</v>
      </c>
      <c r="M13" s="51">
        <v>52.8</v>
      </c>
      <c r="N13" s="51">
        <v>28</v>
      </c>
      <c r="O13" s="51">
        <v>28</v>
      </c>
      <c r="P13" s="51">
        <v>28</v>
      </c>
      <c r="Q13" s="51">
        <v>26.3</v>
      </c>
      <c r="R13" s="51">
        <v>26.3</v>
      </c>
      <c r="S13" s="51">
        <v>26.3</v>
      </c>
      <c r="T13" s="51">
        <v>26.3</v>
      </c>
      <c r="U13" s="51">
        <v>26.3</v>
      </c>
      <c r="V13" s="51">
        <v>26.3</v>
      </c>
      <c r="W13" s="51">
        <v>26.3</v>
      </c>
      <c r="X13" s="51">
        <v>26.3</v>
      </c>
      <c r="Y13" s="51">
        <v>26.3</v>
      </c>
      <c r="Z13" s="51">
        <v>26.3</v>
      </c>
      <c r="AA13" s="51">
        <v>26.3</v>
      </c>
      <c r="AB13" s="51">
        <v>52</v>
      </c>
      <c r="AC13" s="51">
        <v>52</v>
      </c>
      <c r="AD13" s="51">
        <v>52</v>
      </c>
      <c r="AE13" s="51">
        <v>52</v>
      </c>
      <c r="AF13" s="51">
        <v>52</v>
      </c>
      <c r="AG13" s="59">
        <v>52.4</v>
      </c>
      <c r="AH13" s="55">
        <f t="shared" si="2"/>
        <v>52.8</v>
      </c>
      <c r="AI13" s="56">
        <f t="shared" si="3"/>
        <v>26.3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26.8</v>
      </c>
      <c r="D14" s="51">
        <v>50.5</v>
      </c>
      <c r="E14" s="51">
        <v>50.5</v>
      </c>
      <c r="F14" s="51">
        <v>50</v>
      </c>
      <c r="G14" s="51">
        <v>50</v>
      </c>
      <c r="H14" s="51">
        <v>50</v>
      </c>
      <c r="I14" s="51">
        <v>50</v>
      </c>
      <c r="J14" s="51">
        <v>50</v>
      </c>
      <c r="K14" s="51">
        <v>50</v>
      </c>
      <c r="L14" s="51">
        <v>50</v>
      </c>
      <c r="M14" s="51">
        <v>50.4</v>
      </c>
      <c r="N14" s="51">
        <v>50.6</v>
      </c>
      <c r="O14" s="51">
        <v>50.6</v>
      </c>
      <c r="P14" s="51">
        <v>50.6</v>
      </c>
      <c r="Q14" s="51">
        <v>50.6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50.6</v>
      </c>
      <c r="AD14" s="51">
        <v>50.6</v>
      </c>
      <c r="AE14" s="51">
        <v>50.6</v>
      </c>
      <c r="AF14" s="51">
        <v>50.6</v>
      </c>
      <c r="AG14" s="59">
        <v>50</v>
      </c>
      <c r="AH14" s="55">
        <f t="shared" si="2"/>
        <v>50.6</v>
      </c>
      <c r="AI14" s="56">
        <f t="shared" si="3"/>
        <v>26.8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45.8</v>
      </c>
      <c r="C15" s="51">
        <v>46</v>
      </c>
      <c r="D15" s="51">
        <v>46</v>
      </c>
      <c r="E15" s="51">
        <v>46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45.6</v>
      </c>
      <c r="N15" s="51">
        <v>45.8</v>
      </c>
      <c r="O15" s="51">
        <v>45.8</v>
      </c>
      <c r="P15" s="51">
        <v>45.8</v>
      </c>
      <c r="Q15" s="51">
        <v>45.6</v>
      </c>
      <c r="R15" s="51">
        <v>45.6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45.6</v>
      </c>
      <c r="AC15" s="51">
        <v>45.6</v>
      </c>
      <c r="AD15" s="51">
        <v>45.6</v>
      </c>
      <c r="AE15" s="51">
        <v>45.6</v>
      </c>
      <c r="AF15" s="51">
        <v>45.6</v>
      </c>
      <c r="AG15" s="60">
        <v>45</v>
      </c>
      <c r="AH15" s="55">
        <f t="shared" si="2"/>
        <v>46</v>
      </c>
      <c r="AI15" s="56">
        <f t="shared" si="3"/>
        <v>45.6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28</v>
      </c>
      <c r="C16" s="51">
        <v>0</v>
      </c>
      <c r="D16" s="51">
        <v>0</v>
      </c>
      <c r="E16" s="51">
        <v>0</v>
      </c>
      <c r="F16" s="51">
        <v>0</v>
      </c>
      <c r="G16" s="51">
        <v>30</v>
      </c>
      <c r="H16" s="51">
        <v>30</v>
      </c>
      <c r="I16" s="51">
        <v>28</v>
      </c>
      <c r="J16" s="51">
        <v>28</v>
      </c>
      <c r="K16" s="51">
        <v>28</v>
      </c>
      <c r="L16" s="51">
        <v>28</v>
      </c>
      <c r="M16" s="51">
        <v>28</v>
      </c>
      <c r="N16" s="51">
        <v>28</v>
      </c>
      <c r="O16" s="51">
        <v>28</v>
      </c>
      <c r="P16" s="51">
        <v>28</v>
      </c>
      <c r="Q16" s="51">
        <v>38</v>
      </c>
      <c r="R16" s="51">
        <v>38</v>
      </c>
      <c r="S16" s="51">
        <v>38</v>
      </c>
      <c r="T16" s="51">
        <v>30</v>
      </c>
      <c r="U16" s="51">
        <v>30</v>
      </c>
      <c r="V16" s="51">
        <v>30</v>
      </c>
      <c r="W16" s="51">
        <v>30</v>
      </c>
      <c r="X16" s="51">
        <v>34</v>
      </c>
      <c r="Y16" s="51">
        <v>34</v>
      </c>
      <c r="Z16" s="51">
        <v>34</v>
      </c>
      <c r="AA16" s="51">
        <v>34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9">
        <v>36</v>
      </c>
      <c r="AH18" s="55">
        <f t="shared" si="2"/>
        <v>0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24.1</v>
      </c>
      <c r="C19" s="51">
        <v>24.1</v>
      </c>
      <c r="D19" s="51">
        <v>24.1</v>
      </c>
      <c r="E19" s="51">
        <v>24.1</v>
      </c>
      <c r="F19" s="51">
        <v>26</v>
      </c>
      <c r="G19" s="51">
        <v>26</v>
      </c>
      <c r="H19" s="51">
        <v>26</v>
      </c>
      <c r="I19" s="51">
        <v>26</v>
      </c>
      <c r="J19" s="51">
        <v>26</v>
      </c>
      <c r="K19" s="51">
        <v>26</v>
      </c>
      <c r="L19" s="51">
        <v>26</v>
      </c>
      <c r="M19" s="51">
        <v>26</v>
      </c>
      <c r="N19" s="51">
        <v>26.1</v>
      </c>
      <c r="O19" s="51">
        <v>26.1</v>
      </c>
      <c r="P19" s="51">
        <v>26</v>
      </c>
      <c r="Q19" s="51">
        <v>26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>
        <v>26</v>
      </c>
      <c r="Z19" s="51">
        <v>26</v>
      </c>
      <c r="AA19" s="51">
        <v>26</v>
      </c>
      <c r="AB19" s="51">
        <v>26</v>
      </c>
      <c r="AC19" s="51">
        <v>26</v>
      </c>
      <c r="AD19" s="51">
        <v>26</v>
      </c>
      <c r="AE19" s="51">
        <v>0</v>
      </c>
      <c r="AF19" s="51">
        <v>0</v>
      </c>
      <c r="AG19" s="59">
        <v>30</v>
      </c>
      <c r="AH19" s="55">
        <f t="shared" si="2"/>
        <v>26.1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11</v>
      </c>
      <c r="C20" s="51">
        <v>11</v>
      </c>
      <c r="D20" s="51">
        <v>11</v>
      </c>
      <c r="E20" s="51">
        <v>11</v>
      </c>
      <c r="F20" s="51">
        <v>11</v>
      </c>
      <c r="G20" s="51">
        <v>11</v>
      </c>
      <c r="H20" s="51">
        <v>11</v>
      </c>
      <c r="I20" s="51">
        <v>11</v>
      </c>
      <c r="J20" s="51">
        <v>11</v>
      </c>
      <c r="K20" s="51">
        <v>11</v>
      </c>
      <c r="L20" s="51">
        <v>11</v>
      </c>
      <c r="M20" s="51">
        <v>11</v>
      </c>
      <c r="N20" s="51">
        <v>11</v>
      </c>
      <c r="O20" s="51">
        <v>11</v>
      </c>
      <c r="P20" s="51">
        <v>5</v>
      </c>
      <c r="Q20" s="51">
        <v>5</v>
      </c>
      <c r="R20" s="51">
        <v>5</v>
      </c>
      <c r="S20" s="51">
        <v>5</v>
      </c>
      <c r="T20" s="51">
        <v>5</v>
      </c>
      <c r="U20" s="51">
        <v>5</v>
      </c>
      <c r="V20" s="51">
        <v>5</v>
      </c>
      <c r="W20" s="51">
        <v>5</v>
      </c>
      <c r="X20" s="51">
        <v>5</v>
      </c>
      <c r="Y20" s="51">
        <v>5</v>
      </c>
      <c r="Z20" s="51">
        <v>5</v>
      </c>
      <c r="AA20" s="51">
        <v>5</v>
      </c>
      <c r="AB20" s="51">
        <v>5</v>
      </c>
      <c r="AC20" s="51">
        <v>5</v>
      </c>
      <c r="AD20" s="51">
        <v>5</v>
      </c>
      <c r="AE20" s="51">
        <v>5</v>
      </c>
      <c r="AF20" s="51">
        <v>5</v>
      </c>
      <c r="AG20" s="59">
        <v>27</v>
      </c>
      <c r="AH20" s="55">
        <f t="shared" si="2"/>
        <v>11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12</v>
      </c>
      <c r="N21" s="51">
        <v>12</v>
      </c>
      <c r="O21" s="51">
        <v>12</v>
      </c>
      <c r="P21" s="51">
        <v>12</v>
      </c>
      <c r="Q21" s="51">
        <v>12</v>
      </c>
      <c r="R21" s="51">
        <v>12</v>
      </c>
      <c r="S21" s="51">
        <v>12</v>
      </c>
      <c r="T21" s="51">
        <v>12</v>
      </c>
      <c r="U21" s="51">
        <v>12</v>
      </c>
      <c r="V21" s="51">
        <v>12</v>
      </c>
      <c r="W21" s="51">
        <v>12</v>
      </c>
      <c r="X21" s="51">
        <v>12</v>
      </c>
      <c r="Y21" s="51">
        <v>12</v>
      </c>
      <c r="Z21" s="51">
        <v>12</v>
      </c>
      <c r="AA21" s="51">
        <v>12</v>
      </c>
      <c r="AB21" s="51">
        <v>12</v>
      </c>
      <c r="AC21" s="51">
        <v>12</v>
      </c>
      <c r="AD21" s="51">
        <v>12</v>
      </c>
      <c r="AE21" s="51">
        <v>12</v>
      </c>
      <c r="AF21" s="51">
        <v>12</v>
      </c>
      <c r="AG21" s="59">
        <v>25</v>
      </c>
      <c r="AH21" s="55">
        <f t="shared" si="2"/>
        <v>12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24.5</v>
      </c>
      <c r="N22" s="51">
        <v>24.8</v>
      </c>
      <c r="O22" s="51">
        <v>24.8</v>
      </c>
      <c r="P22" s="51">
        <v>24.7</v>
      </c>
      <c r="Q22" s="51">
        <v>24.7</v>
      </c>
      <c r="R22" s="51">
        <v>24.7</v>
      </c>
      <c r="S22" s="51">
        <v>24.7</v>
      </c>
      <c r="T22" s="51">
        <v>24.7</v>
      </c>
      <c r="U22" s="51">
        <v>24.7</v>
      </c>
      <c r="V22" s="51">
        <v>24.7</v>
      </c>
      <c r="W22" s="51">
        <v>24.7</v>
      </c>
      <c r="X22" s="51">
        <v>24.7</v>
      </c>
      <c r="Y22" s="51">
        <v>24.7</v>
      </c>
      <c r="Z22" s="51">
        <v>24.7</v>
      </c>
      <c r="AA22" s="51">
        <v>24.7</v>
      </c>
      <c r="AB22" s="51">
        <v>24.7</v>
      </c>
      <c r="AC22" s="51">
        <v>24.7</v>
      </c>
      <c r="AD22" s="51">
        <v>24.7</v>
      </c>
      <c r="AE22" s="51">
        <v>24.7</v>
      </c>
      <c r="AF22" s="51">
        <v>24.7</v>
      </c>
      <c r="AG22" s="59">
        <v>25</v>
      </c>
      <c r="AH22" s="55">
        <f t="shared" si="2"/>
        <v>24.8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24</v>
      </c>
      <c r="C24" s="51">
        <v>24</v>
      </c>
      <c r="D24" s="51">
        <v>24</v>
      </c>
      <c r="E24" s="51">
        <v>24</v>
      </c>
      <c r="F24" s="51">
        <v>24</v>
      </c>
      <c r="G24" s="51">
        <v>24</v>
      </c>
      <c r="H24" s="51">
        <v>24</v>
      </c>
      <c r="I24" s="51">
        <v>24</v>
      </c>
      <c r="J24" s="51">
        <v>24</v>
      </c>
      <c r="K24" s="51">
        <v>24</v>
      </c>
      <c r="L24" s="51">
        <v>24</v>
      </c>
      <c r="M24" s="51">
        <v>27</v>
      </c>
      <c r="N24" s="51">
        <v>27.3</v>
      </c>
      <c r="O24" s="51">
        <v>27.3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9">
        <v>25</v>
      </c>
      <c r="AH24" s="55">
        <f t="shared" si="2"/>
        <v>27.3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4</v>
      </c>
      <c r="J26" s="51">
        <v>4</v>
      </c>
      <c r="K26" s="51">
        <v>4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5</v>
      </c>
      <c r="T26" s="51">
        <v>5</v>
      </c>
      <c r="U26" s="51">
        <v>5</v>
      </c>
      <c r="V26" s="51">
        <v>5</v>
      </c>
      <c r="W26" s="51">
        <v>5</v>
      </c>
      <c r="X26" s="51">
        <v>5</v>
      </c>
      <c r="Y26" s="51">
        <v>5</v>
      </c>
      <c r="Z26" s="51">
        <v>5</v>
      </c>
      <c r="AA26" s="51">
        <v>5</v>
      </c>
      <c r="AB26" s="51">
        <v>5</v>
      </c>
      <c r="AC26" s="51">
        <v>5</v>
      </c>
      <c r="AD26" s="51">
        <v>5</v>
      </c>
      <c r="AE26" s="51">
        <v>5</v>
      </c>
      <c r="AF26" s="51">
        <v>5</v>
      </c>
      <c r="AG26" s="59">
        <v>20</v>
      </c>
      <c r="AH26" s="55">
        <f t="shared" si="2"/>
        <v>10</v>
      </c>
      <c r="AI26" s="56">
        <f t="shared" si="3"/>
        <v>4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9">
        <v>23.5</v>
      </c>
      <c r="AH27" s="55">
        <f t="shared" si="2"/>
        <v>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0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4">
        <v>22</v>
      </c>
      <c r="AH32" s="55">
        <f t="shared" si="2"/>
        <v>0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0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8.4</v>
      </c>
      <c r="T34" s="51">
        <v>8.4</v>
      </c>
      <c r="U34" s="51">
        <v>8.4</v>
      </c>
      <c r="V34" s="51">
        <v>8.4</v>
      </c>
      <c r="W34" s="51">
        <v>8.4</v>
      </c>
      <c r="X34" s="51">
        <v>8.4</v>
      </c>
      <c r="Y34" s="51">
        <v>8.4</v>
      </c>
      <c r="Z34" s="51">
        <v>8.4</v>
      </c>
      <c r="AA34" s="51">
        <v>8.4</v>
      </c>
      <c r="AB34" s="51">
        <v>8.4</v>
      </c>
      <c r="AC34" s="51">
        <v>8.4</v>
      </c>
      <c r="AD34" s="51">
        <v>8.4</v>
      </c>
      <c r="AE34" s="51">
        <v>8.4</v>
      </c>
      <c r="AF34" s="51">
        <v>8.4</v>
      </c>
      <c r="AG34" s="64">
        <v>20</v>
      </c>
      <c r="AH34" s="55">
        <f t="shared" si="2"/>
        <v>8.4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51">
        <v>4</v>
      </c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4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93.6+32.3</f>
        <v>125.89999999999999</v>
      </c>
      <c r="C37" s="66">
        <f>94.7+32.5</f>
        <v>127.2</v>
      </c>
      <c r="D37" s="66">
        <f>94.1+32.4</f>
        <v>126.5</v>
      </c>
      <c r="E37" s="66">
        <f>94+32.5</f>
        <v>126.5</v>
      </c>
      <c r="F37" s="66">
        <v>126</v>
      </c>
      <c r="G37" s="66">
        <v>80</v>
      </c>
      <c r="H37" s="66">
        <v>110</v>
      </c>
      <c r="I37" s="66">
        <v>110</v>
      </c>
      <c r="J37" s="66">
        <v>110</v>
      </c>
      <c r="K37" s="66">
        <v>120</v>
      </c>
      <c r="L37" s="66">
        <f>88.8+31</f>
        <v>119.8</v>
      </c>
      <c r="M37" s="66">
        <f>30.9+93</f>
        <v>123.9</v>
      </c>
      <c r="N37" s="66">
        <f>32.4+83.4</f>
        <v>115.80000000000001</v>
      </c>
      <c r="O37" s="66">
        <f>31.9+92.4</f>
        <v>124.30000000000001</v>
      </c>
      <c r="P37" s="66">
        <f>32+89.3</f>
        <v>121.3</v>
      </c>
      <c r="Q37" s="66">
        <f>32.2+94</f>
        <v>126.2</v>
      </c>
      <c r="R37" s="66">
        <f>31.9+92.4</f>
        <v>124.30000000000001</v>
      </c>
      <c r="S37" s="68">
        <f>30.1+93.7</f>
        <v>123.80000000000001</v>
      </c>
      <c r="T37" s="68">
        <f>31.7+87.9</f>
        <v>119.60000000000001</v>
      </c>
      <c r="U37" s="68">
        <f>31.9+90.5</f>
        <v>122.4</v>
      </c>
      <c r="V37" s="68">
        <f>29.6+92.9</f>
        <v>122.5</v>
      </c>
      <c r="W37" s="68">
        <f>22.8+92.7</f>
        <v>115.5</v>
      </c>
      <c r="X37" s="68">
        <f>29.3+92</f>
        <v>121.3</v>
      </c>
      <c r="Y37" s="68">
        <f>29.3+92</f>
        <v>121.3</v>
      </c>
      <c r="Z37" s="68">
        <f>22+91</f>
        <v>113</v>
      </c>
      <c r="AA37" s="68">
        <f>28+92.8</f>
        <v>120.8</v>
      </c>
      <c r="AB37" s="68">
        <v>120.8</v>
      </c>
      <c r="AC37" s="68">
        <f>28.6+92.4</f>
        <v>121</v>
      </c>
      <c r="AD37" s="68">
        <f>31.4+93.5</f>
        <v>124.9</v>
      </c>
      <c r="AE37" s="68">
        <f>31.6+93.3</f>
        <v>124.9</v>
      </c>
      <c r="AF37" s="68">
        <f>31.6+93.3</f>
        <v>124.9</v>
      </c>
      <c r="AG37" s="64">
        <v>240</v>
      </c>
      <c r="AH37" s="55">
        <f t="shared" si="2"/>
        <v>127.2</v>
      </c>
      <c r="AI37" s="56">
        <f t="shared" si="3"/>
        <v>80</v>
      </c>
      <c r="AK37" s="57"/>
    </row>
    <row r="38" spans="1:88" ht="15.75" thickBot="1" x14ac:dyDescent="0.3">
      <c r="A38" s="69" t="s">
        <v>46</v>
      </c>
      <c r="B38" s="70">
        <f t="shared" ref="B38" si="4">SUM(B11:B36)</f>
        <v>1075.6999999999998</v>
      </c>
      <c r="C38" s="70">
        <f t="shared" ref="C38:AF38" si="5">SUM(C11:C36)</f>
        <v>1074.1999999999998</v>
      </c>
      <c r="D38" s="70">
        <f t="shared" si="5"/>
        <v>1047.9000000000001</v>
      </c>
      <c r="E38" s="70">
        <f t="shared" si="5"/>
        <v>1047.9000000000001</v>
      </c>
      <c r="F38" s="70">
        <f t="shared" si="5"/>
        <v>998.3</v>
      </c>
      <c r="G38" s="70">
        <f t="shared" si="5"/>
        <v>1144.3</v>
      </c>
      <c r="H38" s="70">
        <f t="shared" si="5"/>
        <v>1038.3</v>
      </c>
      <c r="I38" s="70">
        <f t="shared" si="5"/>
        <v>1090.3</v>
      </c>
      <c r="J38" s="70">
        <f t="shared" si="5"/>
        <v>1146.3</v>
      </c>
      <c r="K38" s="70">
        <f t="shared" si="5"/>
        <v>1146.3</v>
      </c>
      <c r="L38" s="70">
        <f t="shared" si="5"/>
        <v>1152.3</v>
      </c>
      <c r="M38" s="70">
        <f t="shared" si="5"/>
        <v>1170.8</v>
      </c>
      <c r="N38" s="70">
        <f t="shared" si="5"/>
        <v>1147.0999999999999</v>
      </c>
      <c r="O38" s="70">
        <f t="shared" si="5"/>
        <v>1147.0999999999999</v>
      </c>
      <c r="P38" s="70">
        <f t="shared" si="5"/>
        <v>1113.5999999999999</v>
      </c>
      <c r="Q38" s="70">
        <f t="shared" si="5"/>
        <v>1121.7</v>
      </c>
      <c r="R38" s="70">
        <f t="shared" si="5"/>
        <v>1121.7</v>
      </c>
      <c r="S38" s="70">
        <f t="shared" si="5"/>
        <v>1125.0999999999999</v>
      </c>
      <c r="T38" s="70">
        <f t="shared" si="5"/>
        <v>1101.0999999999999</v>
      </c>
      <c r="U38" s="70">
        <f t="shared" si="5"/>
        <v>1117.0999999999999</v>
      </c>
      <c r="V38" s="70">
        <f t="shared" si="5"/>
        <v>1117.0999999999999</v>
      </c>
      <c r="W38" s="70">
        <f t="shared" si="5"/>
        <v>1117.0999999999999</v>
      </c>
      <c r="X38" s="70">
        <f t="shared" si="5"/>
        <v>1121.0999999999999</v>
      </c>
      <c r="Y38" s="70">
        <f t="shared" si="5"/>
        <v>1121.0999999999999</v>
      </c>
      <c r="Z38" s="70">
        <f t="shared" si="5"/>
        <v>1121.0999999999999</v>
      </c>
      <c r="AA38" s="70">
        <f t="shared" si="5"/>
        <v>1121.0999999999999</v>
      </c>
      <c r="AB38" s="70">
        <f t="shared" si="5"/>
        <v>1152.8000000000002</v>
      </c>
      <c r="AC38" s="70">
        <f t="shared" si="5"/>
        <v>1152.8000000000002</v>
      </c>
      <c r="AD38" s="70">
        <f t="shared" si="5"/>
        <v>1152.8000000000002</v>
      </c>
      <c r="AE38" s="70">
        <f t="shared" si="5"/>
        <v>1126.8000000000002</v>
      </c>
      <c r="AF38" s="70">
        <f t="shared" si="5"/>
        <v>1070.8000000000002</v>
      </c>
      <c r="AG38" s="64">
        <f>SUM(AG11:AG37)</f>
        <v>1492.8299999999997</v>
      </c>
      <c r="AH38" s="55">
        <f t="shared" si="2"/>
        <v>1170.8</v>
      </c>
      <c r="AI38" s="56">
        <f t="shared" si="3"/>
        <v>998.3</v>
      </c>
      <c r="AK38" s="57"/>
    </row>
    <row r="39" spans="1:88" x14ac:dyDescent="0.25">
      <c r="A39" s="58" t="s">
        <v>47</v>
      </c>
      <c r="B39" s="51">
        <v>144.4</v>
      </c>
      <c r="C39" s="51">
        <v>136.19999999999999</v>
      </c>
      <c r="D39" s="51">
        <v>143.4</v>
      </c>
      <c r="E39" s="51">
        <v>143.6</v>
      </c>
      <c r="F39" s="51">
        <v>144</v>
      </c>
      <c r="G39" s="51">
        <v>144</v>
      </c>
      <c r="H39" s="51">
        <v>144</v>
      </c>
      <c r="I39" s="51">
        <v>144</v>
      </c>
      <c r="J39" s="51">
        <v>144</v>
      </c>
      <c r="K39" s="51">
        <v>143.6</v>
      </c>
      <c r="L39" s="51">
        <v>143.5</v>
      </c>
      <c r="M39" s="51">
        <v>143.6</v>
      </c>
      <c r="N39" s="51">
        <v>143.5</v>
      </c>
      <c r="O39" s="51">
        <v>143.19999999999999</v>
      </c>
      <c r="P39" s="51">
        <v>143.5</v>
      </c>
      <c r="Q39" s="51">
        <v>143.5</v>
      </c>
      <c r="R39" s="51">
        <v>143</v>
      </c>
      <c r="S39" s="51">
        <v>0</v>
      </c>
      <c r="T39" s="51">
        <v>143.6</v>
      </c>
      <c r="U39" s="51">
        <v>143.6</v>
      </c>
      <c r="V39" s="51">
        <v>143.6</v>
      </c>
      <c r="W39" s="51">
        <v>143.6</v>
      </c>
      <c r="X39" s="51">
        <v>143.6</v>
      </c>
      <c r="Y39" s="51">
        <v>143.6</v>
      </c>
      <c r="Z39" s="51">
        <v>143.6</v>
      </c>
      <c r="AA39" s="51">
        <v>143.6</v>
      </c>
      <c r="AB39" s="51">
        <v>145</v>
      </c>
      <c r="AC39" s="51">
        <v>145</v>
      </c>
      <c r="AD39" s="51">
        <v>145</v>
      </c>
      <c r="AE39" s="51">
        <v>145</v>
      </c>
      <c r="AF39" s="51">
        <v>145</v>
      </c>
      <c r="AG39" s="60">
        <v>144</v>
      </c>
      <c r="AH39" s="55">
        <f t="shared" si="2"/>
        <v>145</v>
      </c>
      <c r="AI39" s="56">
        <f t="shared" si="3"/>
        <v>0</v>
      </c>
      <c r="AK39" s="57"/>
    </row>
    <row r="40" spans="1:88" x14ac:dyDescent="0.25">
      <c r="A40" s="63" t="s">
        <v>48</v>
      </c>
      <c r="B40" s="49">
        <v>70.599999999999994</v>
      </c>
      <c r="C40" s="49">
        <v>70.599999999999994</v>
      </c>
      <c r="D40" s="49">
        <v>45.3</v>
      </c>
      <c r="E40" s="49">
        <v>49.8</v>
      </c>
      <c r="F40" s="49">
        <v>51.6</v>
      </c>
      <c r="G40" s="49">
        <v>52</v>
      </c>
      <c r="H40" s="49">
        <v>52</v>
      </c>
      <c r="I40" s="49">
        <v>61.7</v>
      </c>
      <c r="J40" s="49">
        <v>71.8</v>
      </c>
      <c r="K40" s="49">
        <v>71.7</v>
      </c>
      <c r="L40" s="49">
        <v>71.900000000000006</v>
      </c>
      <c r="M40" s="51">
        <v>71.599999999999994</v>
      </c>
      <c r="N40" s="51">
        <v>71.3</v>
      </c>
      <c r="O40" s="51">
        <v>71.8</v>
      </c>
      <c r="P40" s="51">
        <v>71.5</v>
      </c>
      <c r="Q40" s="51">
        <v>71.5</v>
      </c>
      <c r="R40" s="51">
        <v>70.8</v>
      </c>
      <c r="S40" s="49">
        <v>71.2</v>
      </c>
      <c r="T40" s="49">
        <v>69.400000000000006</v>
      </c>
      <c r="U40" s="49">
        <v>69.400000000000006</v>
      </c>
      <c r="V40" s="49">
        <v>69.400000000000006</v>
      </c>
      <c r="W40" s="49">
        <v>69.400000000000006</v>
      </c>
      <c r="X40" s="49">
        <v>69.400000000000006</v>
      </c>
      <c r="Y40" s="49">
        <v>69.400000000000006</v>
      </c>
      <c r="Z40" s="49">
        <v>69.400000000000006</v>
      </c>
      <c r="AA40" s="49">
        <v>69.400000000000006</v>
      </c>
      <c r="AB40" s="49">
        <v>72.7</v>
      </c>
      <c r="AC40" s="49">
        <v>71.5</v>
      </c>
      <c r="AD40" s="49">
        <v>71.5</v>
      </c>
      <c r="AE40" s="49">
        <v>71.5</v>
      </c>
      <c r="AF40" s="49">
        <v>71.5</v>
      </c>
      <c r="AG40" s="64">
        <v>70</v>
      </c>
      <c r="AH40" s="55">
        <f t="shared" si="2"/>
        <v>72.7</v>
      </c>
      <c r="AI40" s="56">
        <f t="shared" si="3"/>
        <v>45.3</v>
      </c>
      <c r="AK40" s="57"/>
    </row>
    <row r="41" spans="1:88" x14ac:dyDescent="0.25">
      <c r="A41" s="63" t="s">
        <v>49</v>
      </c>
      <c r="B41" s="49">
        <v>63.7</v>
      </c>
      <c r="C41" s="49"/>
      <c r="D41" s="49">
        <v>50</v>
      </c>
      <c r="E41" s="49">
        <v>50</v>
      </c>
      <c r="F41" s="49">
        <v>50.9</v>
      </c>
      <c r="G41" s="49">
        <v>55</v>
      </c>
      <c r="H41" s="49">
        <v>55</v>
      </c>
      <c r="I41" s="49">
        <v>55</v>
      </c>
      <c r="J41" s="49">
        <v>62.7</v>
      </c>
      <c r="K41" s="49">
        <v>62.7</v>
      </c>
      <c r="L41" s="49">
        <v>63</v>
      </c>
      <c r="M41" s="51">
        <v>63.6</v>
      </c>
      <c r="N41" s="51">
        <v>64</v>
      </c>
      <c r="O41" s="51">
        <v>63.7</v>
      </c>
      <c r="P41" s="51">
        <v>63.2</v>
      </c>
      <c r="Q41" s="51">
        <v>63.2</v>
      </c>
      <c r="R41" s="51">
        <v>63.7</v>
      </c>
      <c r="S41" s="49">
        <v>56.5</v>
      </c>
      <c r="T41" s="49">
        <v>64.099999999999994</v>
      </c>
      <c r="U41" s="49">
        <v>64.099999999999994</v>
      </c>
      <c r="V41" s="49">
        <v>64.099999999999994</v>
      </c>
      <c r="W41" s="49">
        <v>64.099999999999994</v>
      </c>
      <c r="X41" s="49">
        <v>64.099999999999994</v>
      </c>
      <c r="Y41" s="49">
        <v>64.099999999999994</v>
      </c>
      <c r="Z41" s="49">
        <v>64.099999999999994</v>
      </c>
      <c r="AA41" s="49">
        <v>64.099999999999994</v>
      </c>
      <c r="AB41" s="49">
        <v>68.2</v>
      </c>
      <c r="AC41" s="49">
        <v>68.2</v>
      </c>
      <c r="AD41" s="49">
        <v>63.2</v>
      </c>
      <c r="AE41" s="49">
        <v>63.2</v>
      </c>
      <c r="AF41" s="49">
        <v>45</v>
      </c>
      <c r="AG41" s="64">
        <v>69</v>
      </c>
      <c r="AH41" s="55">
        <f t="shared" si="2"/>
        <v>68.2</v>
      </c>
      <c r="AI41" s="56">
        <f t="shared" si="3"/>
        <v>45</v>
      </c>
      <c r="AK41" s="57"/>
    </row>
    <row r="42" spans="1:88" x14ac:dyDescent="0.25">
      <c r="A42" s="63" t="s">
        <v>50</v>
      </c>
      <c r="B42" s="66">
        <v>60.9</v>
      </c>
      <c r="C42" s="66">
        <v>42</v>
      </c>
      <c r="D42" s="66">
        <v>52</v>
      </c>
      <c r="E42" s="66">
        <v>61.4</v>
      </c>
      <c r="F42" s="66">
        <v>50</v>
      </c>
      <c r="G42" s="66">
        <v>50</v>
      </c>
      <c r="H42" s="66">
        <v>40</v>
      </c>
      <c r="I42" s="66">
        <v>61.4</v>
      </c>
      <c r="J42" s="66">
        <v>61.4</v>
      </c>
      <c r="K42" s="66">
        <v>61.2</v>
      </c>
      <c r="L42" s="66">
        <v>61.2</v>
      </c>
      <c r="M42" s="51">
        <v>61.2</v>
      </c>
      <c r="N42" s="51">
        <v>61.2</v>
      </c>
      <c r="O42" s="51">
        <v>60.9</v>
      </c>
      <c r="P42" s="51">
        <v>61.2</v>
      </c>
      <c r="Q42" s="51">
        <v>61.2</v>
      </c>
      <c r="R42" s="51">
        <v>61.2</v>
      </c>
      <c r="S42" s="51">
        <v>61.2</v>
      </c>
      <c r="T42" s="51">
        <v>61.2</v>
      </c>
      <c r="U42" s="51">
        <v>61.2</v>
      </c>
      <c r="V42" s="51">
        <v>61.2</v>
      </c>
      <c r="W42" s="51">
        <v>61.2</v>
      </c>
      <c r="X42" s="51">
        <v>61.2</v>
      </c>
      <c r="Y42" s="51">
        <v>61.2</v>
      </c>
      <c r="Z42" s="51">
        <v>61.2</v>
      </c>
      <c r="AA42" s="51">
        <v>61.2</v>
      </c>
      <c r="AB42" s="66">
        <v>61.2</v>
      </c>
      <c r="AC42" s="66">
        <v>61.2</v>
      </c>
      <c r="AD42" s="66">
        <v>61.2</v>
      </c>
      <c r="AE42" s="66">
        <v>61.2</v>
      </c>
      <c r="AF42" s="66">
        <v>61.2</v>
      </c>
      <c r="AG42" s="64">
        <v>60</v>
      </c>
      <c r="AH42" s="55">
        <f t="shared" si="2"/>
        <v>61.4</v>
      </c>
      <c r="AI42" s="56">
        <f t="shared" si="3"/>
        <v>40</v>
      </c>
      <c r="AK42" s="57"/>
    </row>
    <row r="43" spans="1:88" x14ac:dyDescent="0.25">
      <c r="A43" s="63" t="s">
        <v>51</v>
      </c>
      <c r="B43" s="66">
        <v>15</v>
      </c>
      <c r="C43" s="66">
        <v>15</v>
      </c>
      <c r="D43" s="66">
        <v>10</v>
      </c>
      <c r="E43" s="66">
        <v>10</v>
      </c>
      <c r="F43" s="66">
        <v>10</v>
      </c>
      <c r="G43" s="66">
        <v>15</v>
      </c>
      <c r="H43" s="66">
        <v>15</v>
      </c>
      <c r="I43" s="66">
        <v>15</v>
      </c>
      <c r="J43" s="66">
        <v>15</v>
      </c>
      <c r="K43" s="66">
        <v>20</v>
      </c>
      <c r="L43" s="66">
        <v>20</v>
      </c>
      <c r="M43" s="51">
        <v>18.5</v>
      </c>
      <c r="N43" s="51">
        <v>17</v>
      </c>
      <c r="O43" s="51">
        <v>25</v>
      </c>
      <c r="P43" s="51">
        <v>30</v>
      </c>
      <c r="Q43" s="51">
        <v>30</v>
      </c>
      <c r="R43" s="51">
        <v>10.4</v>
      </c>
      <c r="S43" s="51">
        <v>10</v>
      </c>
      <c r="T43" s="51">
        <v>10</v>
      </c>
      <c r="U43" s="51">
        <v>10</v>
      </c>
      <c r="V43" s="51">
        <v>10</v>
      </c>
      <c r="W43" s="51">
        <v>10</v>
      </c>
      <c r="X43" s="51">
        <v>10</v>
      </c>
      <c r="Y43" s="51">
        <v>10</v>
      </c>
      <c r="Z43" s="51">
        <v>10</v>
      </c>
      <c r="AA43" s="51">
        <v>30</v>
      </c>
      <c r="AB43" s="66">
        <v>30</v>
      </c>
      <c r="AC43" s="66">
        <v>30</v>
      </c>
      <c r="AD43" s="66">
        <v>30</v>
      </c>
      <c r="AE43" s="66">
        <v>30</v>
      </c>
      <c r="AF43" s="66">
        <v>30</v>
      </c>
      <c r="AG43" s="64">
        <v>30</v>
      </c>
      <c r="AH43" s="55">
        <f t="shared" si="2"/>
        <v>30</v>
      </c>
      <c r="AI43" s="56">
        <f t="shared" si="3"/>
        <v>10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51">
        <v>10</v>
      </c>
      <c r="N44" s="51">
        <v>10</v>
      </c>
      <c r="O44" s="51">
        <v>10</v>
      </c>
      <c r="P44" s="51">
        <v>10</v>
      </c>
      <c r="Q44" s="51">
        <v>10</v>
      </c>
      <c r="R44" s="51">
        <v>10</v>
      </c>
      <c r="S44" s="51">
        <v>10</v>
      </c>
      <c r="T44" s="51">
        <v>10</v>
      </c>
      <c r="U44" s="51">
        <v>10</v>
      </c>
      <c r="V44" s="51">
        <v>10</v>
      </c>
      <c r="W44" s="51">
        <v>10</v>
      </c>
      <c r="X44" s="51">
        <v>10</v>
      </c>
      <c r="Y44" s="51">
        <v>10</v>
      </c>
      <c r="Z44" s="51">
        <v>10</v>
      </c>
      <c r="AA44" s="51">
        <v>10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10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16.7</v>
      </c>
      <c r="C45" s="49">
        <v>16.7</v>
      </c>
      <c r="D45" s="49">
        <v>16.7</v>
      </c>
      <c r="E45" s="49">
        <v>16.7</v>
      </c>
      <c r="F45" s="49">
        <v>16.7</v>
      </c>
      <c r="G45" s="49">
        <v>16.7</v>
      </c>
      <c r="H45" s="49">
        <v>16.7</v>
      </c>
      <c r="I45" s="49">
        <v>16.7</v>
      </c>
      <c r="J45" s="49">
        <v>16.7</v>
      </c>
      <c r="K45" s="49">
        <v>16.7</v>
      </c>
      <c r="L45" s="49">
        <v>16.7</v>
      </c>
      <c r="M45" s="51">
        <v>16.8</v>
      </c>
      <c r="N45" s="51">
        <v>16.8</v>
      </c>
      <c r="O45" s="51">
        <v>16.899999999999999</v>
      </c>
      <c r="P45" s="51">
        <v>17.100000000000001</v>
      </c>
      <c r="Q45" s="51">
        <v>17.100000000000001</v>
      </c>
      <c r="R45" s="51">
        <v>17.100000000000001</v>
      </c>
      <c r="S45" s="51">
        <v>17.100000000000001</v>
      </c>
      <c r="T45" s="51">
        <v>17.100000000000001</v>
      </c>
      <c r="U45" s="51">
        <v>17.100000000000001</v>
      </c>
      <c r="V45" s="51">
        <v>17.100000000000001</v>
      </c>
      <c r="W45" s="51">
        <v>17.100000000000001</v>
      </c>
      <c r="X45" s="51">
        <v>17.100000000000001</v>
      </c>
      <c r="Y45" s="51">
        <v>17.100000000000001</v>
      </c>
      <c r="Z45" s="51">
        <v>17.100000000000001</v>
      </c>
      <c r="AA45" s="51">
        <v>17.100000000000001</v>
      </c>
      <c r="AB45" s="49">
        <v>17.600000000000001</v>
      </c>
      <c r="AC45" s="49">
        <v>17.600000000000001</v>
      </c>
      <c r="AD45" s="49">
        <v>16.600000000000001</v>
      </c>
      <c r="AE45" s="49">
        <v>16.600000000000001</v>
      </c>
      <c r="AF45" s="49">
        <v>16.600000000000001</v>
      </c>
      <c r="AG45" s="64">
        <v>24</v>
      </c>
      <c r="AH45" s="55">
        <f t="shared" si="2"/>
        <v>17.600000000000001</v>
      </c>
      <c r="AI45" s="56">
        <f t="shared" si="3"/>
        <v>16.600000000000001</v>
      </c>
      <c r="AK45" s="57"/>
    </row>
    <row r="46" spans="1:88" x14ac:dyDescent="0.25">
      <c r="A46" s="63" t="s">
        <v>54</v>
      </c>
      <c r="B46" s="49">
        <v>2.4</v>
      </c>
      <c r="C46" s="49">
        <v>2.4</v>
      </c>
      <c r="D46" s="49">
        <v>2.4</v>
      </c>
      <c r="E46" s="49">
        <v>2.4</v>
      </c>
      <c r="F46" s="49">
        <v>2.4</v>
      </c>
      <c r="G46" s="49">
        <v>2.4</v>
      </c>
      <c r="H46" s="49">
        <v>2.4</v>
      </c>
      <c r="I46" s="49">
        <v>2.4</v>
      </c>
      <c r="J46" s="49">
        <v>2.4</v>
      </c>
      <c r="K46" s="49">
        <v>2.4</v>
      </c>
      <c r="L46" s="49">
        <v>2.4</v>
      </c>
      <c r="M46" s="51">
        <v>2.4</v>
      </c>
      <c r="N46" s="51">
        <v>2.4</v>
      </c>
      <c r="O46" s="51">
        <v>2.4</v>
      </c>
      <c r="P46" s="51">
        <v>2.4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49">
        <v>2.4</v>
      </c>
      <c r="AC46" s="49">
        <v>2.4</v>
      </c>
      <c r="AD46" s="49">
        <v>2.4</v>
      </c>
      <c r="AE46" s="49">
        <v>2.4</v>
      </c>
      <c r="AF46" s="49">
        <v>2.4</v>
      </c>
      <c r="AG46" s="64">
        <v>15</v>
      </c>
      <c r="AH46" s="55">
        <f t="shared" si="2"/>
        <v>2.4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10</v>
      </c>
      <c r="C47" s="49">
        <v>10</v>
      </c>
      <c r="D47" s="49">
        <v>10</v>
      </c>
      <c r="E47" s="49">
        <v>10</v>
      </c>
      <c r="F47" s="49">
        <v>10</v>
      </c>
      <c r="G47" s="49">
        <v>10</v>
      </c>
      <c r="H47" s="49">
        <v>10</v>
      </c>
      <c r="I47" s="49">
        <v>10</v>
      </c>
      <c r="J47" s="49">
        <v>10</v>
      </c>
      <c r="K47" s="49">
        <v>10</v>
      </c>
      <c r="L47" s="49">
        <v>10</v>
      </c>
      <c r="M47" s="51">
        <v>13</v>
      </c>
      <c r="N47" s="51">
        <v>13.4</v>
      </c>
      <c r="O47" s="51">
        <v>13</v>
      </c>
      <c r="P47" s="51">
        <v>13.5</v>
      </c>
      <c r="Q47" s="51">
        <v>13.5</v>
      </c>
      <c r="R47" s="51">
        <v>13.5</v>
      </c>
      <c r="S47" s="51">
        <v>13.5</v>
      </c>
      <c r="T47" s="51">
        <v>13.5</v>
      </c>
      <c r="U47" s="51">
        <v>13.5</v>
      </c>
      <c r="V47" s="51">
        <v>13.5</v>
      </c>
      <c r="W47" s="51">
        <v>13.5</v>
      </c>
      <c r="X47" s="51">
        <v>13.5</v>
      </c>
      <c r="Y47" s="51">
        <v>13.5</v>
      </c>
      <c r="Z47" s="51">
        <v>13.5</v>
      </c>
      <c r="AA47" s="51">
        <v>13.5</v>
      </c>
      <c r="AB47" s="49">
        <v>14</v>
      </c>
      <c r="AC47" s="49">
        <v>14</v>
      </c>
      <c r="AD47" s="49">
        <v>14</v>
      </c>
      <c r="AE47" s="49">
        <v>14</v>
      </c>
      <c r="AF47" s="49">
        <v>14</v>
      </c>
      <c r="AG47" s="64">
        <v>14.1</v>
      </c>
      <c r="AH47" s="55">
        <f t="shared" si="2"/>
        <v>14</v>
      </c>
      <c r="AI47" s="56">
        <f t="shared" si="3"/>
        <v>10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2.5</v>
      </c>
      <c r="C48" s="49">
        <v>2.5</v>
      </c>
      <c r="D48" s="49">
        <v>2.5</v>
      </c>
      <c r="E48" s="49">
        <v>2.5</v>
      </c>
      <c r="F48" s="49">
        <v>2.5</v>
      </c>
      <c r="G48" s="49">
        <v>2.5</v>
      </c>
      <c r="H48" s="49">
        <v>2.5</v>
      </c>
      <c r="I48" s="49">
        <v>2.5</v>
      </c>
      <c r="J48" s="49">
        <v>2.5</v>
      </c>
      <c r="K48" s="49">
        <v>2.5</v>
      </c>
      <c r="L48" s="49">
        <v>2.5</v>
      </c>
      <c r="M48" s="51">
        <v>13.5</v>
      </c>
      <c r="N48" s="51">
        <v>13.5</v>
      </c>
      <c r="O48" s="51">
        <v>13.5</v>
      </c>
      <c r="P48" s="51">
        <v>13.5</v>
      </c>
      <c r="Q48" s="51">
        <v>13.5</v>
      </c>
      <c r="R48" s="51">
        <v>13.5</v>
      </c>
      <c r="S48" s="51">
        <v>13.5</v>
      </c>
      <c r="T48" s="51">
        <v>13.5</v>
      </c>
      <c r="U48" s="51">
        <v>13.5</v>
      </c>
      <c r="V48" s="51">
        <v>13.5</v>
      </c>
      <c r="W48" s="51">
        <v>13.5</v>
      </c>
      <c r="X48" s="51">
        <v>13.5</v>
      </c>
      <c r="Y48" s="51">
        <v>13.5</v>
      </c>
      <c r="Z48" s="51">
        <v>13.5</v>
      </c>
      <c r="AA48" s="51">
        <v>13.5</v>
      </c>
      <c r="AB48" s="49">
        <v>12.5</v>
      </c>
      <c r="AC48" s="49">
        <v>12.5</v>
      </c>
      <c r="AD48" s="49">
        <v>12.5</v>
      </c>
      <c r="AE48" s="49">
        <v>12.5</v>
      </c>
      <c r="AF48" s="49">
        <v>12.5</v>
      </c>
      <c r="AG48" s="64">
        <v>14</v>
      </c>
      <c r="AH48" s="55">
        <f t="shared" si="2"/>
        <v>13.5</v>
      </c>
      <c r="AI48" s="56">
        <f t="shared" si="3"/>
        <v>2.5</v>
      </c>
      <c r="AK48" s="57"/>
    </row>
    <row r="49" spans="1:37" x14ac:dyDescent="0.25">
      <c r="A49" s="63" t="s">
        <v>57</v>
      </c>
      <c r="B49" s="49">
        <v>9.6999999999999993</v>
      </c>
      <c r="C49" s="49">
        <v>9.6999999999999993</v>
      </c>
      <c r="D49" s="49">
        <v>9.6999999999999993</v>
      </c>
      <c r="E49" s="49">
        <v>9.6999999999999993</v>
      </c>
      <c r="F49" s="49">
        <v>9.6999999999999993</v>
      </c>
      <c r="G49" s="49">
        <v>9.6999999999999993</v>
      </c>
      <c r="H49" s="49">
        <v>9.6999999999999993</v>
      </c>
      <c r="I49" s="49">
        <v>9.6999999999999993</v>
      </c>
      <c r="J49" s="49">
        <v>9.6999999999999993</v>
      </c>
      <c r="K49" s="49">
        <v>9.6999999999999993</v>
      </c>
      <c r="L49" s="49">
        <v>9.6999999999999993</v>
      </c>
      <c r="M49" s="51">
        <v>9.6999999999999993</v>
      </c>
      <c r="N49" s="51">
        <v>9.6999999999999993</v>
      </c>
      <c r="O49" s="51">
        <v>6</v>
      </c>
      <c r="P49" s="51">
        <v>6</v>
      </c>
      <c r="Q49" s="51">
        <v>6</v>
      </c>
      <c r="R49" s="51">
        <v>6</v>
      </c>
      <c r="S49" s="51">
        <v>6</v>
      </c>
      <c r="T49" s="51">
        <v>6</v>
      </c>
      <c r="U49" s="51">
        <v>6</v>
      </c>
      <c r="V49" s="51">
        <v>6</v>
      </c>
      <c r="W49" s="51">
        <v>6</v>
      </c>
      <c r="X49" s="51">
        <v>6</v>
      </c>
      <c r="Y49" s="51">
        <v>6</v>
      </c>
      <c r="Z49" s="51">
        <v>6</v>
      </c>
      <c r="AA49" s="51">
        <v>6</v>
      </c>
      <c r="AB49" s="49">
        <v>7.8</v>
      </c>
      <c r="AC49" s="49">
        <v>7.8</v>
      </c>
      <c r="AD49" s="49">
        <v>7.8</v>
      </c>
      <c r="AE49" s="49">
        <v>7.8</v>
      </c>
      <c r="AF49" s="49">
        <v>7.8</v>
      </c>
      <c r="AG49" s="64">
        <v>10.050000000000001</v>
      </c>
      <c r="AH49" s="55">
        <f t="shared" si="2"/>
        <v>9.6999999999999993</v>
      </c>
      <c r="AI49" s="56">
        <f t="shared" si="3"/>
        <v>6</v>
      </c>
      <c r="AK49" s="57"/>
    </row>
    <row r="50" spans="1:37" x14ac:dyDescent="0.25">
      <c r="A50" s="63" t="s">
        <v>58</v>
      </c>
      <c r="B50" s="49">
        <v>3.5</v>
      </c>
      <c r="C50" s="49">
        <v>3.5</v>
      </c>
      <c r="D50" s="49">
        <v>3.5</v>
      </c>
      <c r="E50" s="49">
        <v>3.5</v>
      </c>
      <c r="F50" s="49">
        <v>3.5</v>
      </c>
      <c r="G50" s="49">
        <v>3.5</v>
      </c>
      <c r="H50" s="49">
        <v>3.5</v>
      </c>
      <c r="I50" s="49">
        <v>3.5</v>
      </c>
      <c r="J50" s="49">
        <v>3.5</v>
      </c>
      <c r="K50" s="49">
        <v>3.5</v>
      </c>
      <c r="L50" s="49">
        <v>3.5</v>
      </c>
      <c r="M50" s="51">
        <v>3.5</v>
      </c>
      <c r="N50" s="51">
        <v>3.5</v>
      </c>
      <c r="O50" s="51">
        <v>3.5</v>
      </c>
      <c r="P50" s="51">
        <v>3.5</v>
      </c>
      <c r="Q50" s="51">
        <v>3.5</v>
      </c>
      <c r="R50" s="51">
        <v>3.5</v>
      </c>
      <c r="S50" s="51">
        <v>3.5</v>
      </c>
      <c r="T50" s="51">
        <v>3.5</v>
      </c>
      <c r="U50" s="51">
        <v>3.5</v>
      </c>
      <c r="V50" s="51">
        <v>3.5</v>
      </c>
      <c r="W50" s="51">
        <v>3.5</v>
      </c>
      <c r="X50" s="51">
        <v>3.5</v>
      </c>
      <c r="Y50" s="51">
        <v>3.5</v>
      </c>
      <c r="Z50" s="51">
        <v>3.5</v>
      </c>
      <c r="AA50" s="51">
        <v>3.5</v>
      </c>
      <c r="AB50" s="49">
        <v>3.1</v>
      </c>
      <c r="AC50" s="49">
        <v>3.1</v>
      </c>
      <c r="AD50" s="49">
        <v>3.1</v>
      </c>
      <c r="AE50" s="49">
        <v>3.1</v>
      </c>
      <c r="AF50" s="49">
        <v>3.1</v>
      </c>
      <c r="AG50" s="64">
        <v>6.2</v>
      </c>
      <c r="AH50" s="55">
        <f t="shared" si="2"/>
        <v>3.5</v>
      </c>
      <c r="AI50" s="56">
        <f t="shared" si="3"/>
        <v>3.1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7">SUM(B39:B51)</f>
        <v>402.93999999999994</v>
      </c>
      <c r="C52" s="70">
        <f t="shared" ref="C52:AF52" si="8">SUM(C39:C51)</f>
        <v>312.13999999999993</v>
      </c>
      <c r="D52" s="70">
        <f t="shared" si="8"/>
        <v>349.03999999999996</v>
      </c>
      <c r="E52" s="70">
        <f t="shared" si="8"/>
        <v>363.13999999999993</v>
      </c>
      <c r="F52" s="70">
        <f t="shared" si="8"/>
        <v>354.84</v>
      </c>
      <c r="G52" s="70">
        <f t="shared" si="8"/>
        <v>364.34</v>
      </c>
      <c r="H52" s="70">
        <f t="shared" si="8"/>
        <v>354.34</v>
      </c>
      <c r="I52" s="70">
        <f t="shared" si="8"/>
        <v>385.43999999999994</v>
      </c>
      <c r="J52" s="70">
        <f t="shared" si="8"/>
        <v>403.23999999999995</v>
      </c>
      <c r="K52" s="70">
        <f t="shared" si="8"/>
        <v>407.53999999999996</v>
      </c>
      <c r="L52" s="70">
        <f t="shared" si="8"/>
        <v>407.93999999999994</v>
      </c>
      <c r="M52" s="70">
        <f t="shared" si="8"/>
        <v>430.94</v>
      </c>
      <c r="N52" s="70">
        <f t="shared" si="8"/>
        <v>429.84</v>
      </c>
      <c r="O52" s="70">
        <f t="shared" si="8"/>
        <v>433.43999999999994</v>
      </c>
      <c r="P52" s="70">
        <f t="shared" si="8"/>
        <v>438.94</v>
      </c>
      <c r="Q52" s="70">
        <f t="shared" si="8"/>
        <v>436.54</v>
      </c>
      <c r="R52" s="70">
        <f t="shared" si="8"/>
        <v>416.24</v>
      </c>
      <c r="S52" s="70">
        <f t="shared" si="8"/>
        <v>266.04000000000002</v>
      </c>
      <c r="T52" s="70">
        <f t="shared" si="8"/>
        <v>415.44000000000005</v>
      </c>
      <c r="U52" s="70">
        <f t="shared" si="8"/>
        <v>415.44000000000005</v>
      </c>
      <c r="V52" s="70">
        <f t="shared" si="8"/>
        <v>415.44000000000005</v>
      </c>
      <c r="W52" s="70">
        <f t="shared" si="8"/>
        <v>415.44000000000005</v>
      </c>
      <c r="X52" s="70">
        <f t="shared" si="8"/>
        <v>415.44000000000005</v>
      </c>
      <c r="Y52" s="70">
        <f t="shared" si="8"/>
        <v>415.44000000000005</v>
      </c>
      <c r="Z52" s="70">
        <f t="shared" si="8"/>
        <v>415.44000000000005</v>
      </c>
      <c r="AA52" s="70">
        <f t="shared" si="8"/>
        <v>435.44000000000005</v>
      </c>
      <c r="AB52" s="70">
        <f t="shared" si="8"/>
        <v>438.04</v>
      </c>
      <c r="AC52" s="70">
        <f t="shared" si="8"/>
        <v>436.84000000000003</v>
      </c>
      <c r="AD52" s="70">
        <f t="shared" si="8"/>
        <v>430.84000000000003</v>
      </c>
      <c r="AE52" s="70">
        <f t="shared" si="8"/>
        <v>430.84000000000003</v>
      </c>
      <c r="AF52" s="70">
        <f t="shared" si="8"/>
        <v>412.64000000000004</v>
      </c>
      <c r="AG52" s="74">
        <f>SUM(AG39:AG51)</f>
        <v>489.91</v>
      </c>
      <c r="AH52" s="55">
        <f t="shared" si="2"/>
        <v>438.94</v>
      </c>
      <c r="AI52" s="56">
        <f t="shared" si="3"/>
        <v>266.04000000000002</v>
      </c>
      <c r="AK52" s="57"/>
    </row>
    <row r="53" spans="1:37" x14ac:dyDescent="0.25">
      <c r="A53" s="58" t="s">
        <v>61</v>
      </c>
      <c r="B53" s="51">
        <v>10</v>
      </c>
      <c r="C53" s="51">
        <v>30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14.5</v>
      </c>
      <c r="O53" s="51">
        <v>30</v>
      </c>
      <c r="P53" s="51">
        <v>40.200000000000003</v>
      </c>
      <c r="Q53" s="51">
        <v>40.6</v>
      </c>
      <c r="R53" s="51">
        <v>40</v>
      </c>
      <c r="S53" s="51">
        <v>60</v>
      </c>
      <c r="T53" s="51">
        <v>49.2</v>
      </c>
      <c r="U53" s="51">
        <v>40</v>
      </c>
      <c r="V53" s="51">
        <v>34.1</v>
      </c>
      <c r="W53" s="51">
        <v>34.1</v>
      </c>
      <c r="X53" s="51">
        <v>34.1</v>
      </c>
      <c r="Y53" s="51">
        <v>34.1</v>
      </c>
      <c r="Z53" s="51">
        <v>59.6</v>
      </c>
      <c r="AA53" s="51">
        <v>59.6</v>
      </c>
      <c r="AB53" s="51">
        <v>60</v>
      </c>
      <c r="AC53" s="51">
        <v>60</v>
      </c>
      <c r="AD53" s="51">
        <v>60</v>
      </c>
      <c r="AE53" s="51">
        <v>40</v>
      </c>
      <c r="AF53" s="51">
        <v>40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3.9</v>
      </c>
      <c r="C54" s="49">
        <v>11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4.5999999999999996</v>
      </c>
      <c r="O54" s="49">
        <v>15.1</v>
      </c>
      <c r="P54" s="49">
        <v>25.2</v>
      </c>
      <c r="Q54" s="49">
        <v>18.100000000000001</v>
      </c>
      <c r="R54" s="49">
        <v>20.100000000000001</v>
      </c>
      <c r="S54" s="49">
        <v>21.3</v>
      </c>
      <c r="T54" s="49">
        <v>23.4</v>
      </c>
      <c r="U54" s="49">
        <v>18.3</v>
      </c>
      <c r="V54" s="49">
        <v>15.2</v>
      </c>
      <c r="W54" s="49">
        <v>15.2</v>
      </c>
      <c r="X54" s="49">
        <v>15.2</v>
      </c>
      <c r="Y54" s="49">
        <v>15.2</v>
      </c>
      <c r="Z54" s="49">
        <v>29.4</v>
      </c>
      <c r="AA54" s="49">
        <v>29.4</v>
      </c>
      <c r="AB54" s="49">
        <v>30</v>
      </c>
      <c r="AC54" s="49">
        <v>30.9</v>
      </c>
      <c r="AD54" s="49">
        <v>30</v>
      </c>
      <c r="AE54" s="49">
        <v>18</v>
      </c>
      <c r="AF54" s="49">
        <v>17.5</v>
      </c>
      <c r="AG54" s="64">
        <v>32</v>
      </c>
      <c r="AH54" s="55">
        <f t="shared" si="2"/>
        <v>30.9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1.4</v>
      </c>
      <c r="C55" s="75">
        <v>5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1.6</v>
      </c>
      <c r="O55" s="75">
        <v>5.5</v>
      </c>
      <c r="P55" s="75">
        <v>9.1999999999999993</v>
      </c>
      <c r="Q55" s="75">
        <v>6.6</v>
      </c>
      <c r="R55" s="75">
        <v>7.3</v>
      </c>
      <c r="S55" s="75">
        <v>7.7</v>
      </c>
      <c r="T55" s="75">
        <v>8.5</v>
      </c>
      <c r="U55" s="75">
        <v>6.7</v>
      </c>
      <c r="V55" s="75">
        <v>5.5</v>
      </c>
      <c r="W55" s="75">
        <v>5.5</v>
      </c>
      <c r="X55" s="75">
        <v>5.5</v>
      </c>
      <c r="Y55" s="75">
        <v>5.5</v>
      </c>
      <c r="Z55" s="75">
        <v>10.7</v>
      </c>
      <c r="AA55" s="75">
        <v>10.7</v>
      </c>
      <c r="AB55" s="75">
        <v>11</v>
      </c>
      <c r="AC55" s="75">
        <v>11.3</v>
      </c>
      <c r="AD55" s="75">
        <v>11.2</v>
      </c>
      <c r="AE55" s="75">
        <v>6.6</v>
      </c>
      <c r="AF55" s="75">
        <v>6.4</v>
      </c>
      <c r="AG55" s="76">
        <v>14</v>
      </c>
      <c r="AH55" s="55">
        <f t="shared" si="2"/>
        <v>11.3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9">SUM(B53:B55)</f>
        <v>15.3</v>
      </c>
      <c r="C56" s="70">
        <f t="shared" ref="C56:AF56" si="10">SUM(C53:C55)</f>
        <v>46</v>
      </c>
      <c r="D56" s="70">
        <f t="shared" si="10"/>
        <v>0</v>
      </c>
      <c r="E56" s="70">
        <f t="shared" si="10"/>
        <v>0</v>
      </c>
      <c r="F56" s="70">
        <f t="shared" si="10"/>
        <v>0</v>
      </c>
      <c r="G56" s="70">
        <f t="shared" si="10"/>
        <v>0</v>
      </c>
      <c r="H56" s="70">
        <f t="shared" si="10"/>
        <v>0</v>
      </c>
      <c r="I56" s="70">
        <f t="shared" si="10"/>
        <v>0</v>
      </c>
      <c r="J56" s="70">
        <f t="shared" si="10"/>
        <v>0</v>
      </c>
      <c r="K56" s="70">
        <f t="shared" si="10"/>
        <v>0</v>
      </c>
      <c r="L56" s="70">
        <f t="shared" si="10"/>
        <v>0</v>
      </c>
      <c r="M56" s="70">
        <f t="shared" si="10"/>
        <v>0</v>
      </c>
      <c r="N56" s="70">
        <f t="shared" si="10"/>
        <v>20.700000000000003</v>
      </c>
      <c r="O56" s="70">
        <f t="shared" si="10"/>
        <v>50.6</v>
      </c>
      <c r="P56" s="70">
        <f t="shared" si="10"/>
        <v>74.600000000000009</v>
      </c>
      <c r="Q56" s="70">
        <f t="shared" si="10"/>
        <v>65.3</v>
      </c>
      <c r="R56" s="70">
        <f t="shared" si="10"/>
        <v>67.400000000000006</v>
      </c>
      <c r="S56" s="70">
        <f t="shared" si="10"/>
        <v>89</v>
      </c>
      <c r="T56" s="70">
        <f t="shared" si="10"/>
        <v>81.099999999999994</v>
      </c>
      <c r="U56" s="70">
        <f t="shared" si="10"/>
        <v>65</v>
      </c>
      <c r="V56" s="70">
        <f t="shared" si="10"/>
        <v>54.8</v>
      </c>
      <c r="W56" s="70">
        <f t="shared" si="10"/>
        <v>54.8</v>
      </c>
      <c r="X56" s="70">
        <f t="shared" si="10"/>
        <v>54.8</v>
      </c>
      <c r="Y56" s="70">
        <f t="shared" si="10"/>
        <v>54.8</v>
      </c>
      <c r="Z56" s="70">
        <f t="shared" si="10"/>
        <v>99.7</v>
      </c>
      <c r="AA56" s="70">
        <f t="shared" si="10"/>
        <v>99.7</v>
      </c>
      <c r="AB56" s="70">
        <f t="shared" si="10"/>
        <v>101</v>
      </c>
      <c r="AC56" s="70">
        <f t="shared" si="10"/>
        <v>102.2</v>
      </c>
      <c r="AD56" s="70">
        <f t="shared" si="10"/>
        <v>101.2</v>
      </c>
      <c r="AE56" s="70">
        <f t="shared" si="10"/>
        <v>64.599999999999994</v>
      </c>
      <c r="AF56" s="70">
        <f t="shared" si="10"/>
        <v>63.9</v>
      </c>
      <c r="AG56" s="74">
        <f>SUM(AG53:AG55)</f>
        <v>106</v>
      </c>
      <c r="AH56" s="55">
        <f t="shared" si="2"/>
        <v>102.2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70.099999999999994</v>
      </c>
      <c r="C57" s="51">
        <v>69.099999999999994</v>
      </c>
      <c r="D57" s="51">
        <v>67.599999999999994</v>
      </c>
      <c r="E57" s="51">
        <v>67.400000000000006</v>
      </c>
      <c r="F57" s="51">
        <v>61</v>
      </c>
      <c r="G57" s="51">
        <v>45</v>
      </c>
      <c r="H57" s="51">
        <v>44</v>
      </c>
      <c r="I57" s="51">
        <v>40</v>
      </c>
      <c r="J57" s="51">
        <v>46</v>
      </c>
      <c r="K57" s="51">
        <v>40</v>
      </c>
      <c r="L57" s="51">
        <v>38.700000000000003</v>
      </c>
      <c r="M57" s="51">
        <v>34.9</v>
      </c>
      <c r="N57" s="51">
        <v>70</v>
      </c>
      <c r="O57" s="51">
        <v>72.5</v>
      </c>
      <c r="P57" s="51">
        <v>70.599999999999994</v>
      </c>
      <c r="Q57" s="51">
        <v>69.900000000000006</v>
      </c>
      <c r="R57" s="51">
        <v>54.3</v>
      </c>
      <c r="S57" s="51">
        <v>55</v>
      </c>
      <c r="T57" s="51">
        <v>53.19</v>
      </c>
      <c r="U57" s="51">
        <v>52.4</v>
      </c>
      <c r="V57" s="51">
        <v>58.17</v>
      </c>
      <c r="W57" s="51">
        <v>59.6</v>
      </c>
      <c r="X57" s="51">
        <v>56.24</v>
      </c>
      <c r="Y57" s="51">
        <v>59</v>
      </c>
      <c r="Z57" s="51">
        <v>63.6</v>
      </c>
      <c r="AA57" s="51">
        <v>56.1</v>
      </c>
      <c r="AB57" s="51">
        <v>74.599999999999994</v>
      </c>
      <c r="AC57" s="51">
        <v>76.900000000000006</v>
      </c>
      <c r="AD57" s="51">
        <v>77.400000000000006</v>
      </c>
      <c r="AE57" s="51">
        <v>73</v>
      </c>
      <c r="AF57" s="51">
        <v>77.099999999999994</v>
      </c>
      <c r="AG57" s="60"/>
      <c r="AH57" s="55">
        <f t="shared" si="2"/>
        <v>77.400000000000006</v>
      </c>
      <c r="AI57" s="56">
        <f t="shared" si="3"/>
        <v>34.9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-300</v>
      </c>
      <c r="C59" s="49">
        <v>-390</v>
      </c>
      <c r="D59" s="49">
        <v>-385.2</v>
      </c>
      <c r="E59" s="49">
        <v>-403.2</v>
      </c>
      <c r="F59" s="49">
        <v>-417</v>
      </c>
      <c r="G59" s="49">
        <v>-485</v>
      </c>
      <c r="H59" s="49">
        <v>-371</v>
      </c>
      <c r="I59" s="49">
        <v>-455</v>
      </c>
      <c r="J59" s="49">
        <v>-496</v>
      </c>
      <c r="K59" s="49">
        <v>-438</v>
      </c>
      <c r="L59" s="49">
        <v>-410.3</v>
      </c>
      <c r="M59" s="49">
        <v>-360.2</v>
      </c>
      <c r="N59" s="49">
        <v>-375</v>
      </c>
      <c r="O59" s="49">
        <v>-385</v>
      </c>
      <c r="P59" s="49">
        <v>-389</v>
      </c>
      <c r="Q59" s="49">
        <v>-382</v>
      </c>
      <c r="R59" s="49">
        <v>-354</v>
      </c>
      <c r="S59" s="49">
        <v>-351</v>
      </c>
      <c r="T59" s="49">
        <v>-378</v>
      </c>
      <c r="U59" s="49">
        <v>-390</v>
      </c>
      <c r="V59" s="49">
        <v>-388.1</v>
      </c>
      <c r="W59" s="49">
        <v>-400</v>
      </c>
      <c r="X59" s="49">
        <v>-410</v>
      </c>
      <c r="Y59" s="49">
        <v>-347</v>
      </c>
      <c r="Z59" s="49">
        <v>-314</v>
      </c>
      <c r="AA59" s="49">
        <v>-197</v>
      </c>
      <c r="AB59" s="49">
        <v>-198</v>
      </c>
      <c r="AC59" s="49">
        <v>-223.3</v>
      </c>
      <c r="AD59" s="49">
        <v>-287</v>
      </c>
      <c r="AE59" s="49">
        <v>-303.89999999999998</v>
      </c>
      <c r="AF59" s="49">
        <v>-364.6</v>
      </c>
      <c r="AG59" s="77"/>
      <c r="AH59" s="55">
        <f t="shared" si="2"/>
        <v>-197</v>
      </c>
      <c r="AI59" s="56">
        <f t="shared" si="3"/>
        <v>-496</v>
      </c>
      <c r="AK59" s="57"/>
    </row>
    <row r="60" spans="1:37" x14ac:dyDescent="0.25">
      <c r="A60" s="63" t="s">
        <v>68</v>
      </c>
      <c r="B60" s="78">
        <v>10</v>
      </c>
      <c r="C60" s="78">
        <v>10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10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10</v>
      </c>
      <c r="AD61" s="51">
        <v>10</v>
      </c>
      <c r="AE61" s="51">
        <v>10</v>
      </c>
      <c r="AF61" s="51">
        <v>10</v>
      </c>
      <c r="AG61" s="77"/>
      <c r="AH61" s="55">
        <f t="shared" si="2"/>
        <v>10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0</v>
      </c>
      <c r="J62" s="79">
        <v>0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78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2</v>
      </c>
      <c r="AA66" s="81">
        <v>2</v>
      </c>
      <c r="AB66" s="81">
        <v>2</v>
      </c>
      <c r="AC66" s="81">
        <v>2</v>
      </c>
      <c r="AD66" s="81">
        <v>2</v>
      </c>
      <c r="AE66" s="81">
        <v>2</v>
      </c>
      <c r="AF66" s="81">
        <v>2</v>
      </c>
      <c r="AG66" s="82"/>
      <c r="AH66" s="55">
        <f t="shared" si="2"/>
        <v>2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78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1">SUMIF(B57:B67,"&gt;0")</f>
        <v>85.1</v>
      </c>
      <c r="C68" s="70">
        <f t="shared" ref="C68:AF68" si="12">SUMIF(C57:C67,"&gt;0")</f>
        <v>84.1</v>
      </c>
      <c r="D68" s="70">
        <f t="shared" si="12"/>
        <v>72.599999999999994</v>
      </c>
      <c r="E68" s="70">
        <f t="shared" si="12"/>
        <v>72.400000000000006</v>
      </c>
      <c r="F68" s="70">
        <f t="shared" si="12"/>
        <v>66</v>
      </c>
      <c r="G68" s="70">
        <f t="shared" si="12"/>
        <v>50</v>
      </c>
      <c r="H68" s="70">
        <f t="shared" si="12"/>
        <v>49</v>
      </c>
      <c r="I68" s="70">
        <f t="shared" si="12"/>
        <v>40</v>
      </c>
      <c r="J68" s="70">
        <f t="shared" si="12"/>
        <v>46</v>
      </c>
      <c r="K68" s="70">
        <f t="shared" si="12"/>
        <v>45</v>
      </c>
      <c r="L68" s="70">
        <f t="shared" si="12"/>
        <v>43.7</v>
      </c>
      <c r="M68" s="70">
        <f t="shared" si="12"/>
        <v>39.9</v>
      </c>
      <c r="N68" s="70">
        <f t="shared" si="12"/>
        <v>75</v>
      </c>
      <c r="O68" s="70">
        <f t="shared" si="12"/>
        <v>77.5</v>
      </c>
      <c r="P68" s="70">
        <f t="shared" si="12"/>
        <v>75.599999999999994</v>
      </c>
      <c r="Q68" s="70">
        <f t="shared" si="12"/>
        <v>74.900000000000006</v>
      </c>
      <c r="R68" s="70">
        <f t="shared" si="12"/>
        <v>59.3</v>
      </c>
      <c r="S68" s="70">
        <f t="shared" si="12"/>
        <v>60</v>
      </c>
      <c r="T68" s="70">
        <f t="shared" si="12"/>
        <v>58.19</v>
      </c>
      <c r="U68" s="70">
        <f t="shared" si="12"/>
        <v>57.4</v>
      </c>
      <c r="V68" s="70">
        <f t="shared" si="12"/>
        <v>63.17</v>
      </c>
      <c r="W68" s="70">
        <f t="shared" si="12"/>
        <v>64.599999999999994</v>
      </c>
      <c r="X68" s="70">
        <f t="shared" si="12"/>
        <v>61.24</v>
      </c>
      <c r="Y68" s="70">
        <f t="shared" si="12"/>
        <v>64</v>
      </c>
      <c r="Z68" s="70">
        <f t="shared" si="12"/>
        <v>70.599999999999994</v>
      </c>
      <c r="AA68" s="70">
        <f t="shared" si="12"/>
        <v>63.1</v>
      </c>
      <c r="AB68" s="70">
        <f t="shared" si="12"/>
        <v>81.599999999999994</v>
      </c>
      <c r="AC68" s="70">
        <f t="shared" si="12"/>
        <v>93.9</v>
      </c>
      <c r="AD68" s="70">
        <f t="shared" si="12"/>
        <v>94.4</v>
      </c>
      <c r="AE68" s="70">
        <f t="shared" si="12"/>
        <v>90</v>
      </c>
      <c r="AF68" s="70">
        <f t="shared" si="12"/>
        <v>94.1</v>
      </c>
      <c r="AG68" s="74">
        <f>SUM(AG57:AG67)</f>
        <v>0</v>
      </c>
      <c r="AH68" s="55">
        <f t="shared" si="2"/>
        <v>94.4</v>
      </c>
      <c r="AI68" s="56">
        <f t="shared" si="3"/>
        <v>39.9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3">B38+B52+B68+B72</f>
        <v>1563.7399999999998</v>
      </c>
      <c r="C73" s="84">
        <f t="shared" ref="C73:AF73" si="14">C38+C52+C68+C72</f>
        <v>1470.4399999999996</v>
      </c>
      <c r="D73" s="84">
        <f t="shared" si="14"/>
        <v>1469.54</v>
      </c>
      <c r="E73" s="84">
        <f t="shared" si="14"/>
        <v>1483.44</v>
      </c>
      <c r="F73" s="84">
        <f t="shared" si="14"/>
        <v>1419.1399999999999</v>
      </c>
      <c r="G73" s="84">
        <f t="shared" si="14"/>
        <v>1558.6399999999999</v>
      </c>
      <c r="H73" s="84">
        <f t="shared" si="14"/>
        <v>1441.6399999999999</v>
      </c>
      <c r="I73" s="84">
        <f t="shared" si="14"/>
        <v>1515.7399999999998</v>
      </c>
      <c r="J73" s="84">
        <f t="shared" si="14"/>
        <v>1595.54</v>
      </c>
      <c r="K73" s="84">
        <f t="shared" si="14"/>
        <v>1598.84</v>
      </c>
      <c r="L73" s="84">
        <f t="shared" si="14"/>
        <v>1603.9399999999998</v>
      </c>
      <c r="M73" s="84">
        <f t="shared" si="14"/>
        <v>1641.64</v>
      </c>
      <c r="N73" s="84">
        <f t="shared" si="14"/>
        <v>1651.9399999999998</v>
      </c>
      <c r="O73" s="84">
        <f t="shared" si="14"/>
        <v>1658.04</v>
      </c>
      <c r="P73" s="84">
        <f t="shared" si="14"/>
        <v>1628.1399999999999</v>
      </c>
      <c r="Q73" s="84">
        <f t="shared" si="14"/>
        <v>1633.14</v>
      </c>
      <c r="R73" s="84">
        <f t="shared" si="14"/>
        <v>1597.24</v>
      </c>
      <c r="S73" s="84">
        <f t="shared" si="14"/>
        <v>1451.1399999999999</v>
      </c>
      <c r="T73" s="84">
        <f t="shared" si="14"/>
        <v>1574.73</v>
      </c>
      <c r="U73" s="84">
        <f t="shared" si="14"/>
        <v>1589.94</v>
      </c>
      <c r="V73" s="84">
        <f t="shared" si="14"/>
        <v>1595.71</v>
      </c>
      <c r="W73" s="84">
        <f t="shared" si="14"/>
        <v>1597.1399999999999</v>
      </c>
      <c r="X73" s="84">
        <f t="shared" si="14"/>
        <v>1597.78</v>
      </c>
      <c r="Y73" s="84">
        <f t="shared" si="14"/>
        <v>1600.54</v>
      </c>
      <c r="Z73" s="84">
        <f t="shared" si="14"/>
        <v>1607.1399999999999</v>
      </c>
      <c r="AA73" s="84">
        <f t="shared" si="14"/>
        <v>1619.6399999999999</v>
      </c>
      <c r="AB73" s="84">
        <f t="shared" si="14"/>
        <v>1672.44</v>
      </c>
      <c r="AC73" s="84">
        <f t="shared" si="14"/>
        <v>1683.5400000000004</v>
      </c>
      <c r="AD73" s="84">
        <f t="shared" si="14"/>
        <v>1678.0400000000004</v>
      </c>
      <c r="AE73" s="84">
        <f t="shared" si="14"/>
        <v>1647.6400000000003</v>
      </c>
      <c r="AF73" s="84">
        <f t="shared" si="14"/>
        <v>1577.5400000000002</v>
      </c>
      <c r="AG73" s="84">
        <f t="shared" ref="AG73" si="15">AG68+AG56+AG52+AG38+AG72</f>
        <v>2144.14</v>
      </c>
      <c r="AH73" s="55">
        <f t="shared" si="2"/>
        <v>1683.5400000000004</v>
      </c>
      <c r="AI73" s="56">
        <f t="shared" si="3"/>
        <v>1419.1399999999999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>
        <v>80</v>
      </c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80</v>
      </c>
      <c r="AI74" s="56">
        <f t="shared" si="3"/>
        <v>80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6">B73+B74</f>
        <v>1563.7399999999998</v>
      </c>
      <c r="C75" s="84">
        <f t="shared" ref="C75:AF75" si="17">C73+C74</f>
        <v>1550.4399999999996</v>
      </c>
      <c r="D75" s="84">
        <f t="shared" si="17"/>
        <v>1469.54</v>
      </c>
      <c r="E75" s="84">
        <f t="shared" si="17"/>
        <v>1483.44</v>
      </c>
      <c r="F75" s="84">
        <f t="shared" si="17"/>
        <v>1419.1399999999999</v>
      </c>
      <c r="G75" s="84">
        <f t="shared" si="17"/>
        <v>1558.6399999999999</v>
      </c>
      <c r="H75" s="84">
        <f t="shared" si="17"/>
        <v>1441.6399999999999</v>
      </c>
      <c r="I75" s="84">
        <f t="shared" si="17"/>
        <v>1515.7399999999998</v>
      </c>
      <c r="J75" s="84">
        <f t="shared" si="17"/>
        <v>1595.54</v>
      </c>
      <c r="K75" s="84">
        <f t="shared" si="17"/>
        <v>1598.84</v>
      </c>
      <c r="L75" s="84">
        <f t="shared" si="17"/>
        <v>1603.9399999999998</v>
      </c>
      <c r="M75" s="84">
        <f t="shared" si="17"/>
        <v>1641.64</v>
      </c>
      <c r="N75" s="84">
        <f t="shared" si="17"/>
        <v>1651.9399999999998</v>
      </c>
      <c r="O75" s="84">
        <f t="shared" si="17"/>
        <v>1658.04</v>
      </c>
      <c r="P75" s="84">
        <f t="shared" si="17"/>
        <v>1628.1399999999999</v>
      </c>
      <c r="Q75" s="84">
        <f t="shared" si="17"/>
        <v>1633.14</v>
      </c>
      <c r="R75" s="84">
        <f t="shared" si="17"/>
        <v>1597.24</v>
      </c>
      <c r="S75" s="84">
        <f t="shared" si="17"/>
        <v>1451.1399999999999</v>
      </c>
      <c r="T75" s="84">
        <f t="shared" si="17"/>
        <v>1574.73</v>
      </c>
      <c r="U75" s="84">
        <f t="shared" si="17"/>
        <v>1589.94</v>
      </c>
      <c r="V75" s="84">
        <f t="shared" si="17"/>
        <v>1595.71</v>
      </c>
      <c r="W75" s="84">
        <f t="shared" si="17"/>
        <v>1597.1399999999999</v>
      </c>
      <c r="X75" s="84">
        <f t="shared" si="17"/>
        <v>1597.78</v>
      </c>
      <c r="Y75" s="84">
        <f t="shared" si="17"/>
        <v>1600.54</v>
      </c>
      <c r="Z75" s="84">
        <f t="shared" si="17"/>
        <v>1607.1399999999999</v>
      </c>
      <c r="AA75" s="84">
        <f t="shared" si="17"/>
        <v>1619.6399999999999</v>
      </c>
      <c r="AB75" s="84">
        <f t="shared" si="17"/>
        <v>1672.44</v>
      </c>
      <c r="AC75" s="84">
        <f t="shared" si="17"/>
        <v>1683.5400000000004</v>
      </c>
      <c r="AD75" s="84">
        <f t="shared" si="17"/>
        <v>1678.0400000000004</v>
      </c>
      <c r="AE75" s="84">
        <f t="shared" si="17"/>
        <v>1647.6400000000003</v>
      </c>
      <c r="AF75" s="84">
        <f t="shared" si="17"/>
        <v>1577.5400000000002</v>
      </c>
      <c r="AG75" s="74">
        <f>AG72+AG68+AG56+AG52+AG38+AG74</f>
        <v>2144.14</v>
      </c>
      <c r="AH75" s="55">
        <f t="shared" si="2"/>
        <v>1683.5400000000004</v>
      </c>
      <c r="AI75" s="56">
        <f t="shared" si="3"/>
        <v>1419.1399999999999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18">IF(B60&lt;0,B60*-1,0)</f>
        <v>0</v>
      </c>
      <c r="C76" s="78">
        <f t="shared" ref="C76:AF76" si="19">IF(C60&lt;0,C60*-1,0)</f>
        <v>0</v>
      </c>
      <c r="D76" s="78">
        <f t="shared" si="19"/>
        <v>0</v>
      </c>
      <c r="E76" s="78">
        <f t="shared" si="19"/>
        <v>0</v>
      </c>
      <c r="F76" s="78">
        <f t="shared" si="19"/>
        <v>0</v>
      </c>
      <c r="G76" s="78">
        <f t="shared" si="19"/>
        <v>0</v>
      </c>
      <c r="H76" s="78">
        <f t="shared" si="19"/>
        <v>0</v>
      </c>
      <c r="I76" s="78">
        <f t="shared" si="19"/>
        <v>0</v>
      </c>
      <c r="J76" s="78">
        <f t="shared" si="19"/>
        <v>0</v>
      </c>
      <c r="K76" s="78">
        <f t="shared" si="19"/>
        <v>0</v>
      </c>
      <c r="L76" s="78">
        <f t="shared" si="19"/>
        <v>0</v>
      </c>
      <c r="M76" s="78">
        <f t="shared" si="19"/>
        <v>0</v>
      </c>
      <c r="N76" s="78">
        <f t="shared" si="19"/>
        <v>0</v>
      </c>
      <c r="O76" s="78">
        <f t="shared" si="19"/>
        <v>0</v>
      </c>
      <c r="P76" s="78">
        <f t="shared" si="19"/>
        <v>0</v>
      </c>
      <c r="Q76" s="78">
        <f t="shared" si="19"/>
        <v>0</v>
      </c>
      <c r="R76" s="78">
        <f t="shared" si="19"/>
        <v>0</v>
      </c>
      <c r="S76" s="78">
        <f t="shared" si="19"/>
        <v>0</v>
      </c>
      <c r="T76" s="78">
        <f t="shared" si="19"/>
        <v>0</v>
      </c>
      <c r="U76" s="78">
        <f t="shared" si="19"/>
        <v>0</v>
      </c>
      <c r="V76" s="78">
        <f t="shared" si="19"/>
        <v>0</v>
      </c>
      <c r="W76" s="78">
        <f t="shared" si="19"/>
        <v>0</v>
      </c>
      <c r="X76" s="78">
        <f t="shared" si="19"/>
        <v>0</v>
      </c>
      <c r="Y76" s="78">
        <f t="shared" si="19"/>
        <v>0</v>
      </c>
      <c r="Z76" s="78">
        <f t="shared" si="19"/>
        <v>0</v>
      </c>
      <c r="AA76" s="78">
        <f t="shared" si="19"/>
        <v>0</v>
      </c>
      <c r="AB76" s="78">
        <f t="shared" si="19"/>
        <v>0</v>
      </c>
      <c r="AC76" s="78">
        <f t="shared" si="19"/>
        <v>0</v>
      </c>
      <c r="AD76" s="78">
        <f t="shared" si="19"/>
        <v>0</v>
      </c>
      <c r="AE76" s="78">
        <f t="shared" si="19"/>
        <v>0</v>
      </c>
      <c r="AF76" s="78">
        <f t="shared" si="19"/>
        <v>0</v>
      </c>
      <c r="AG76" s="60"/>
      <c r="AH76" s="55">
        <f t="shared" ref="AH76:AH91" si="20">MAX(B76:AF76)</f>
        <v>0</v>
      </c>
      <c r="AI76" s="56">
        <f t="shared" ref="AI76:AI91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2">IF(B58&lt;0,B58*-1,0)</f>
        <v>0</v>
      </c>
      <c r="C77" s="78">
        <f t="shared" ref="C77:AF77" si="23">IF(C58&lt;0,C58*-1,0)</f>
        <v>0</v>
      </c>
      <c r="D77" s="78">
        <f t="shared" si="23"/>
        <v>0</v>
      </c>
      <c r="E77" s="78">
        <f t="shared" si="23"/>
        <v>0</v>
      </c>
      <c r="F77" s="78">
        <f t="shared" si="23"/>
        <v>0</v>
      </c>
      <c r="G77" s="78">
        <f t="shared" si="23"/>
        <v>0</v>
      </c>
      <c r="H77" s="78">
        <f t="shared" si="23"/>
        <v>0</v>
      </c>
      <c r="I77" s="78">
        <f t="shared" si="23"/>
        <v>0</v>
      </c>
      <c r="J77" s="78">
        <f t="shared" si="23"/>
        <v>0</v>
      </c>
      <c r="K77" s="78">
        <f t="shared" si="23"/>
        <v>0</v>
      </c>
      <c r="L77" s="78">
        <f t="shared" si="23"/>
        <v>0</v>
      </c>
      <c r="M77" s="78">
        <f t="shared" si="23"/>
        <v>0</v>
      </c>
      <c r="N77" s="78">
        <f t="shared" si="23"/>
        <v>0</v>
      </c>
      <c r="O77" s="78">
        <f t="shared" si="23"/>
        <v>0</v>
      </c>
      <c r="P77" s="78">
        <f t="shared" si="23"/>
        <v>0</v>
      </c>
      <c r="Q77" s="78">
        <f t="shared" si="23"/>
        <v>0</v>
      </c>
      <c r="R77" s="78">
        <f t="shared" si="23"/>
        <v>0</v>
      </c>
      <c r="S77" s="78">
        <f t="shared" si="23"/>
        <v>0</v>
      </c>
      <c r="T77" s="78">
        <f t="shared" si="23"/>
        <v>0</v>
      </c>
      <c r="U77" s="78">
        <f t="shared" si="23"/>
        <v>0</v>
      </c>
      <c r="V77" s="78">
        <f t="shared" si="23"/>
        <v>0</v>
      </c>
      <c r="W77" s="78">
        <f t="shared" si="23"/>
        <v>0</v>
      </c>
      <c r="X77" s="78">
        <f t="shared" si="23"/>
        <v>0</v>
      </c>
      <c r="Y77" s="78">
        <f t="shared" si="23"/>
        <v>0</v>
      </c>
      <c r="Z77" s="78">
        <f t="shared" si="23"/>
        <v>0</v>
      </c>
      <c r="AA77" s="78">
        <f t="shared" si="23"/>
        <v>0</v>
      </c>
      <c r="AB77" s="78">
        <f t="shared" si="23"/>
        <v>0</v>
      </c>
      <c r="AC77" s="78">
        <f t="shared" si="23"/>
        <v>0</v>
      </c>
      <c r="AD77" s="78">
        <f t="shared" si="23"/>
        <v>0</v>
      </c>
      <c r="AE77" s="78">
        <f t="shared" si="23"/>
        <v>0</v>
      </c>
      <c r="AF77" s="78">
        <f t="shared" si="23"/>
        <v>0</v>
      </c>
      <c r="AG77" s="64"/>
      <c r="AH77" s="55">
        <f t="shared" si="20"/>
        <v>0</v>
      </c>
      <c r="AI77" s="56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4">IF(B61&lt;0,B61*-1,0)</f>
        <v>0</v>
      </c>
      <c r="C78" s="78">
        <f t="shared" ref="C78:AF78" si="25">IF(C61&lt;0,C61*-1,0)</f>
        <v>0</v>
      </c>
      <c r="D78" s="78">
        <f t="shared" si="25"/>
        <v>0</v>
      </c>
      <c r="E78" s="78">
        <f t="shared" si="25"/>
        <v>0</v>
      </c>
      <c r="F78" s="78">
        <f t="shared" si="25"/>
        <v>0</v>
      </c>
      <c r="G78" s="78">
        <f t="shared" si="25"/>
        <v>0</v>
      </c>
      <c r="H78" s="78">
        <f t="shared" si="25"/>
        <v>0</v>
      </c>
      <c r="I78" s="78">
        <f t="shared" si="25"/>
        <v>0</v>
      </c>
      <c r="J78" s="78">
        <f t="shared" si="25"/>
        <v>0</v>
      </c>
      <c r="K78" s="78">
        <f t="shared" si="25"/>
        <v>0</v>
      </c>
      <c r="L78" s="78">
        <f t="shared" si="25"/>
        <v>0</v>
      </c>
      <c r="M78" s="78">
        <f t="shared" si="25"/>
        <v>0</v>
      </c>
      <c r="N78" s="78">
        <f t="shared" si="25"/>
        <v>0</v>
      </c>
      <c r="O78" s="78">
        <f t="shared" si="25"/>
        <v>0</v>
      </c>
      <c r="P78" s="78">
        <f t="shared" si="25"/>
        <v>0</v>
      </c>
      <c r="Q78" s="78">
        <f t="shared" si="25"/>
        <v>0</v>
      </c>
      <c r="R78" s="78">
        <f t="shared" si="25"/>
        <v>0</v>
      </c>
      <c r="S78" s="78">
        <f t="shared" si="25"/>
        <v>0</v>
      </c>
      <c r="T78" s="78">
        <f t="shared" si="25"/>
        <v>0</v>
      </c>
      <c r="U78" s="78">
        <f t="shared" si="25"/>
        <v>0</v>
      </c>
      <c r="V78" s="78">
        <f t="shared" si="25"/>
        <v>0</v>
      </c>
      <c r="W78" s="78">
        <f t="shared" si="25"/>
        <v>0</v>
      </c>
      <c r="X78" s="78">
        <f t="shared" si="25"/>
        <v>0</v>
      </c>
      <c r="Y78" s="78">
        <f t="shared" si="25"/>
        <v>0</v>
      </c>
      <c r="Z78" s="78">
        <f t="shared" si="25"/>
        <v>0</v>
      </c>
      <c r="AA78" s="78">
        <f t="shared" si="25"/>
        <v>0</v>
      </c>
      <c r="AB78" s="78">
        <f t="shared" si="25"/>
        <v>0</v>
      </c>
      <c r="AC78" s="78">
        <f t="shared" si="25"/>
        <v>0</v>
      </c>
      <c r="AD78" s="78">
        <f t="shared" si="25"/>
        <v>0</v>
      </c>
      <c r="AE78" s="78">
        <f t="shared" si="25"/>
        <v>0</v>
      </c>
      <c r="AF78" s="78">
        <f t="shared" si="25"/>
        <v>0</v>
      </c>
      <c r="AG78" s="87"/>
      <c r="AH78" s="55">
        <f t="shared" si="20"/>
        <v>0</v>
      </c>
      <c r="AI78" s="56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v>-300</v>
      </c>
      <c r="C79" s="78">
        <f t="shared" ref="C79:AF79" si="26">IF(C59&lt;0,C59*-1,0)</f>
        <v>390</v>
      </c>
      <c r="D79" s="78">
        <f t="shared" si="26"/>
        <v>385.2</v>
      </c>
      <c r="E79" s="78">
        <f t="shared" si="26"/>
        <v>403.2</v>
      </c>
      <c r="F79" s="78">
        <f t="shared" si="26"/>
        <v>417</v>
      </c>
      <c r="G79" s="78">
        <f t="shared" si="26"/>
        <v>485</v>
      </c>
      <c r="H79" s="78">
        <f t="shared" si="26"/>
        <v>371</v>
      </c>
      <c r="I79" s="78">
        <f t="shared" si="26"/>
        <v>455</v>
      </c>
      <c r="J79" s="78">
        <f t="shared" si="26"/>
        <v>496</v>
      </c>
      <c r="K79" s="78">
        <f t="shared" si="26"/>
        <v>438</v>
      </c>
      <c r="L79" s="78">
        <f t="shared" si="26"/>
        <v>410.3</v>
      </c>
      <c r="M79" s="78">
        <f t="shared" si="26"/>
        <v>360.2</v>
      </c>
      <c r="N79" s="78">
        <f t="shared" si="26"/>
        <v>375</v>
      </c>
      <c r="O79" s="78">
        <f t="shared" si="26"/>
        <v>385</v>
      </c>
      <c r="P79" s="78">
        <f t="shared" si="26"/>
        <v>389</v>
      </c>
      <c r="Q79" s="78">
        <f t="shared" si="26"/>
        <v>382</v>
      </c>
      <c r="R79" s="78">
        <f t="shared" si="26"/>
        <v>354</v>
      </c>
      <c r="S79" s="78">
        <f t="shared" si="26"/>
        <v>351</v>
      </c>
      <c r="T79" s="78">
        <f t="shared" si="26"/>
        <v>378</v>
      </c>
      <c r="U79" s="78">
        <f t="shared" si="26"/>
        <v>390</v>
      </c>
      <c r="V79" s="78">
        <f t="shared" si="26"/>
        <v>388.1</v>
      </c>
      <c r="W79" s="78">
        <f t="shared" si="26"/>
        <v>400</v>
      </c>
      <c r="X79" s="78">
        <f t="shared" si="26"/>
        <v>410</v>
      </c>
      <c r="Y79" s="78">
        <f t="shared" si="26"/>
        <v>347</v>
      </c>
      <c r="Z79" s="78">
        <f t="shared" si="26"/>
        <v>314</v>
      </c>
      <c r="AA79" s="78">
        <f t="shared" si="26"/>
        <v>197</v>
      </c>
      <c r="AB79" s="78">
        <f t="shared" si="26"/>
        <v>198</v>
      </c>
      <c r="AC79" s="78">
        <f t="shared" si="26"/>
        <v>223.3</v>
      </c>
      <c r="AD79" s="78">
        <f t="shared" si="26"/>
        <v>287</v>
      </c>
      <c r="AE79" s="78">
        <f t="shared" si="26"/>
        <v>303.89999999999998</v>
      </c>
      <c r="AF79" s="78">
        <f t="shared" si="26"/>
        <v>364.6</v>
      </c>
      <c r="AG79" s="87"/>
      <c r="AH79" s="55">
        <f t="shared" si="20"/>
        <v>496</v>
      </c>
      <c r="AI79" s="56">
        <f t="shared" si="21"/>
        <v>-300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27">IF(B57&lt;0,B57*-1,0)</f>
        <v>0</v>
      </c>
      <c r="C80" s="78">
        <f t="shared" ref="C80:AF80" si="28">IF(C57&lt;0,C57*-1,0)</f>
        <v>0</v>
      </c>
      <c r="D80" s="78">
        <f t="shared" si="28"/>
        <v>0</v>
      </c>
      <c r="E80" s="78">
        <f t="shared" si="28"/>
        <v>0</v>
      </c>
      <c r="F80" s="78">
        <f t="shared" si="28"/>
        <v>0</v>
      </c>
      <c r="G80" s="78">
        <f t="shared" si="28"/>
        <v>0</v>
      </c>
      <c r="H80" s="78">
        <f t="shared" si="28"/>
        <v>0</v>
      </c>
      <c r="I80" s="78">
        <f t="shared" si="28"/>
        <v>0</v>
      </c>
      <c r="J80" s="78">
        <f t="shared" si="28"/>
        <v>0</v>
      </c>
      <c r="K80" s="78">
        <f t="shared" si="28"/>
        <v>0</v>
      </c>
      <c r="L80" s="78">
        <f t="shared" si="28"/>
        <v>0</v>
      </c>
      <c r="M80" s="78">
        <f t="shared" si="28"/>
        <v>0</v>
      </c>
      <c r="N80" s="78">
        <f t="shared" si="28"/>
        <v>0</v>
      </c>
      <c r="O80" s="78">
        <f t="shared" si="28"/>
        <v>0</v>
      </c>
      <c r="P80" s="78">
        <f t="shared" si="28"/>
        <v>0</v>
      </c>
      <c r="Q80" s="78">
        <f t="shared" si="28"/>
        <v>0</v>
      </c>
      <c r="R80" s="78">
        <f t="shared" si="28"/>
        <v>0</v>
      </c>
      <c r="S80" s="78">
        <f t="shared" si="28"/>
        <v>0</v>
      </c>
      <c r="T80" s="78">
        <f t="shared" si="28"/>
        <v>0</v>
      </c>
      <c r="U80" s="78">
        <f t="shared" si="28"/>
        <v>0</v>
      </c>
      <c r="V80" s="78">
        <f t="shared" si="28"/>
        <v>0</v>
      </c>
      <c r="W80" s="78">
        <f t="shared" si="28"/>
        <v>0</v>
      </c>
      <c r="X80" s="78">
        <f t="shared" si="28"/>
        <v>0</v>
      </c>
      <c r="Y80" s="78">
        <f t="shared" si="28"/>
        <v>0</v>
      </c>
      <c r="Z80" s="78">
        <f t="shared" si="28"/>
        <v>0</v>
      </c>
      <c r="AA80" s="78">
        <f t="shared" si="28"/>
        <v>0</v>
      </c>
      <c r="AB80" s="78">
        <f t="shared" si="28"/>
        <v>0</v>
      </c>
      <c r="AC80" s="78">
        <f t="shared" si="28"/>
        <v>0</v>
      </c>
      <c r="AD80" s="78">
        <f t="shared" si="28"/>
        <v>0</v>
      </c>
      <c r="AE80" s="78">
        <f t="shared" si="28"/>
        <v>0</v>
      </c>
      <c r="AF80" s="78">
        <f t="shared" si="28"/>
        <v>0</v>
      </c>
      <c r="AG80" s="87"/>
      <c r="AH80" s="55">
        <f t="shared" si="20"/>
        <v>0</v>
      </c>
      <c r="AI80" s="56">
        <f t="shared" si="21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0"/>
        <v>0</v>
      </c>
      <c r="AI81" s="56">
        <f t="shared" si="21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29">SUM(B76:B81)</f>
        <v>-300</v>
      </c>
      <c r="C82" s="70">
        <f t="shared" ref="C82:AG82" si="30">SUM(C76:C81)</f>
        <v>390</v>
      </c>
      <c r="D82" s="70">
        <f t="shared" si="30"/>
        <v>385.2</v>
      </c>
      <c r="E82" s="70">
        <f t="shared" si="30"/>
        <v>403.2</v>
      </c>
      <c r="F82" s="70">
        <f t="shared" si="30"/>
        <v>417</v>
      </c>
      <c r="G82" s="70">
        <f t="shared" si="30"/>
        <v>485</v>
      </c>
      <c r="H82" s="70">
        <f t="shared" si="30"/>
        <v>371</v>
      </c>
      <c r="I82" s="70">
        <f t="shared" si="30"/>
        <v>455</v>
      </c>
      <c r="J82" s="70">
        <f t="shared" si="30"/>
        <v>496</v>
      </c>
      <c r="K82" s="70">
        <f t="shared" si="30"/>
        <v>438</v>
      </c>
      <c r="L82" s="70">
        <f t="shared" si="30"/>
        <v>410.3</v>
      </c>
      <c r="M82" s="70">
        <f t="shared" si="30"/>
        <v>360.2</v>
      </c>
      <c r="N82" s="70">
        <f t="shared" si="30"/>
        <v>375</v>
      </c>
      <c r="O82" s="70">
        <f t="shared" si="30"/>
        <v>385</v>
      </c>
      <c r="P82" s="70">
        <f t="shared" si="30"/>
        <v>389</v>
      </c>
      <c r="Q82" s="70">
        <f t="shared" si="30"/>
        <v>382</v>
      </c>
      <c r="R82" s="70">
        <f t="shared" si="30"/>
        <v>354</v>
      </c>
      <c r="S82" s="70">
        <f t="shared" si="30"/>
        <v>351</v>
      </c>
      <c r="T82" s="70">
        <f t="shared" si="30"/>
        <v>378</v>
      </c>
      <c r="U82" s="70">
        <f t="shared" si="30"/>
        <v>390</v>
      </c>
      <c r="V82" s="70">
        <f t="shared" si="30"/>
        <v>388.1</v>
      </c>
      <c r="W82" s="70">
        <f t="shared" si="30"/>
        <v>400</v>
      </c>
      <c r="X82" s="70">
        <f t="shared" si="30"/>
        <v>410</v>
      </c>
      <c r="Y82" s="70">
        <f t="shared" si="30"/>
        <v>347</v>
      </c>
      <c r="Z82" s="70">
        <f t="shared" si="30"/>
        <v>314</v>
      </c>
      <c r="AA82" s="70">
        <f t="shared" si="30"/>
        <v>197</v>
      </c>
      <c r="AB82" s="70">
        <f t="shared" si="30"/>
        <v>198</v>
      </c>
      <c r="AC82" s="70">
        <f t="shared" si="30"/>
        <v>223.3</v>
      </c>
      <c r="AD82" s="70">
        <f t="shared" si="30"/>
        <v>287</v>
      </c>
      <c r="AE82" s="70">
        <f t="shared" si="30"/>
        <v>303.89999999999998</v>
      </c>
      <c r="AF82" s="70">
        <f t="shared" si="30"/>
        <v>364.6</v>
      </c>
      <c r="AG82" s="74">
        <f t="shared" si="30"/>
        <v>0</v>
      </c>
      <c r="AH82" s="55">
        <f t="shared" si="20"/>
        <v>496</v>
      </c>
      <c r="AI82" s="56">
        <f t="shared" si="21"/>
        <v>-300</v>
      </c>
      <c r="AK82" s="57"/>
    </row>
    <row r="83" spans="1:88" s="1" customFormat="1" ht="15.75" thickBot="1" x14ac:dyDescent="0.3">
      <c r="A83" s="69" t="s">
        <v>88</v>
      </c>
      <c r="B83" s="70">
        <f t="shared" ref="B83" si="31">B68-B82</f>
        <v>385.1</v>
      </c>
      <c r="C83" s="70">
        <f t="shared" ref="C83:AF83" si="32">C68-C82</f>
        <v>-305.89999999999998</v>
      </c>
      <c r="D83" s="70">
        <f t="shared" si="32"/>
        <v>-312.60000000000002</v>
      </c>
      <c r="E83" s="70">
        <f t="shared" si="32"/>
        <v>-330.79999999999995</v>
      </c>
      <c r="F83" s="70">
        <f t="shared" si="32"/>
        <v>-351</v>
      </c>
      <c r="G83" s="70">
        <f t="shared" si="32"/>
        <v>-435</v>
      </c>
      <c r="H83" s="70">
        <f t="shared" si="32"/>
        <v>-322</v>
      </c>
      <c r="I83" s="70">
        <f t="shared" si="32"/>
        <v>-415</v>
      </c>
      <c r="J83" s="70">
        <f t="shared" si="32"/>
        <v>-450</v>
      </c>
      <c r="K83" s="70">
        <f t="shared" si="32"/>
        <v>-393</v>
      </c>
      <c r="L83" s="70">
        <f t="shared" si="32"/>
        <v>-366.6</v>
      </c>
      <c r="M83" s="70">
        <f t="shared" si="32"/>
        <v>-320.3</v>
      </c>
      <c r="N83" s="70">
        <f t="shared" si="32"/>
        <v>-300</v>
      </c>
      <c r="O83" s="70">
        <f t="shared" si="32"/>
        <v>-307.5</v>
      </c>
      <c r="P83" s="70">
        <f t="shared" si="32"/>
        <v>-313.39999999999998</v>
      </c>
      <c r="Q83" s="70">
        <f t="shared" si="32"/>
        <v>-307.10000000000002</v>
      </c>
      <c r="R83" s="70">
        <f t="shared" si="32"/>
        <v>-294.7</v>
      </c>
      <c r="S83" s="70">
        <f t="shared" si="32"/>
        <v>-291</v>
      </c>
      <c r="T83" s="70">
        <f t="shared" si="32"/>
        <v>-319.81</v>
      </c>
      <c r="U83" s="70">
        <f t="shared" si="32"/>
        <v>-332.6</v>
      </c>
      <c r="V83" s="70">
        <f t="shared" si="32"/>
        <v>-324.93</v>
      </c>
      <c r="W83" s="70">
        <f t="shared" si="32"/>
        <v>-335.4</v>
      </c>
      <c r="X83" s="70">
        <f t="shared" si="32"/>
        <v>-348.76</v>
      </c>
      <c r="Y83" s="70">
        <f t="shared" si="32"/>
        <v>-283</v>
      </c>
      <c r="Z83" s="70">
        <f t="shared" si="32"/>
        <v>-243.4</v>
      </c>
      <c r="AA83" s="70">
        <f t="shared" si="32"/>
        <v>-133.9</v>
      </c>
      <c r="AB83" s="70">
        <f t="shared" si="32"/>
        <v>-116.4</v>
      </c>
      <c r="AC83" s="70">
        <f t="shared" si="32"/>
        <v>-129.4</v>
      </c>
      <c r="AD83" s="70">
        <f t="shared" si="32"/>
        <v>-192.6</v>
      </c>
      <c r="AE83" s="70">
        <f t="shared" si="32"/>
        <v>-213.89999999999998</v>
      </c>
      <c r="AF83" s="70">
        <f t="shared" si="32"/>
        <v>-270.5</v>
      </c>
      <c r="AG83" s="74">
        <f t="shared" ref="AG83" si="33">SUM(AG70:AG82)</f>
        <v>4360.08</v>
      </c>
      <c r="AH83" s="55">
        <f t="shared" si="20"/>
        <v>385.1</v>
      </c>
      <c r="AI83" s="56">
        <f t="shared" si="21"/>
        <v>-450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50.072000000000003</v>
      </c>
      <c r="C84" s="90">
        <v>50.005000000000003</v>
      </c>
      <c r="D84" s="90">
        <v>50.05</v>
      </c>
      <c r="E84" s="90">
        <v>49.987000000000002</v>
      </c>
      <c r="F84" s="90">
        <v>49.963000000000001</v>
      </c>
      <c r="G84" s="90">
        <v>49.924999999999997</v>
      </c>
      <c r="H84" s="90">
        <v>50.012</v>
      </c>
      <c r="I84" s="90">
        <v>49.99</v>
      </c>
      <c r="J84" s="90">
        <v>50.03</v>
      </c>
      <c r="K84" s="90">
        <v>49.981000000000002</v>
      </c>
      <c r="L84" s="90">
        <v>49.948999999999998</v>
      </c>
      <c r="M84" s="90">
        <v>50.08</v>
      </c>
      <c r="N84" s="90">
        <v>49.8</v>
      </c>
      <c r="O84" s="90">
        <v>49.976999999999997</v>
      </c>
      <c r="P84" s="90">
        <v>49.906999999999996</v>
      </c>
      <c r="Q84" s="90">
        <v>49.93</v>
      </c>
      <c r="R84" s="90">
        <v>50.134999999999998</v>
      </c>
      <c r="S84" s="90">
        <v>50.064</v>
      </c>
      <c r="T84" s="90">
        <v>49.993000000000002</v>
      </c>
      <c r="U84" s="90">
        <v>50.029000000000003</v>
      </c>
      <c r="V84" s="90">
        <v>49.853000000000002</v>
      </c>
      <c r="W84" s="90">
        <v>50.037999999999997</v>
      </c>
      <c r="X84" s="90">
        <v>49.963999999999999</v>
      </c>
      <c r="Y84" s="90">
        <v>50.061</v>
      </c>
      <c r="Z84" s="90">
        <v>49.951999999999998</v>
      </c>
      <c r="AA84" s="90">
        <v>49.923000000000002</v>
      </c>
      <c r="AB84" s="90">
        <v>49.8</v>
      </c>
      <c r="AC84" s="90">
        <v>50.036000000000001</v>
      </c>
      <c r="AD84" s="90">
        <v>50.008000000000003</v>
      </c>
      <c r="AE84" s="90">
        <v>49.972999999999999</v>
      </c>
      <c r="AF84" s="90">
        <v>49.781999999999996</v>
      </c>
      <c r="AG84" s="91"/>
      <c r="AH84" s="55">
        <f t="shared" si="20"/>
        <v>50.134999999999998</v>
      </c>
      <c r="AI84" s="56">
        <f t="shared" si="21"/>
        <v>49.781999999999996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125.3</v>
      </c>
      <c r="C85" s="49">
        <v>125.3</v>
      </c>
      <c r="D85" s="49">
        <v>123.4</v>
      </c>
      <c r="E85" s="49">
        <v>123.7</v>
      </c>
      <c r="F85" s="49">
        <v>123.7</v>
      </c>
      <c r="G85" s="49">
        <v>126</v>
      </c>
      <c r="H85" s="49">
        <v>126</v>
      </c>
      <c r="I85" s="49">
        <v>123</v>
      </c>
      <c r="J85" s="49">
        <v>123</v>
      </c>
      <c r="K85" s="49">
        <v>123</v>
      </c>
      <c r="L85" s="49">
        <v>123.9</v>
      </c>
      <c r="M85" s="49">
        <v>124.9</v>
      </c>
      <c r="N85" s="49">
        <v>124.4</v>
      </c>
      <c r="O85" s="49">
        <v>123.7</v>
      </c>
      <c r="P85" s="49">
        <v>124.4</v>
      </c>
      <c r="Q85" s="49">
        <v>124.3</v>
      </c>
      <c r="R85" s="49">
        <v>125.8</v>
      </c>
      <c r="S85" s="49">
        <v>125.9</v>
      </c>
      <c r="T85" s="49">
        <v>124.6</v>
      </c>
      <c r="U85" s="49">
        <v>124.5</v>
      </c>
      <c r="V85" s="49">
        <v>125.3</v>
      </c>
      <c r="W85" s="49">
        <v>125.5</v>
      </c>
      <c r="X85" s="49">
        <v>125.6</v>
      </c>
      <c r="Y85" s="49">
        <v>125.6</v>
      </c>
      <c r="Z85" s="49">
        <v>125.7</v>
      </c>
      <c r="AA85" s="49">
        <v>125</v>
      </c>
      <c r="AB85" s="49">
        <v>124.6</v>
      </c>
      <c r="AC85" s="49">
        <v>124.9</v>
      </c>
      <c r="AD85" s="49">
        <v>125.4</v>
      </c>
      <c r="AE85" s="49">
        <v>125.4</v>
      </c>
      <c r="AF85" s="49">
        <v>125.4</v>
      </c>
      <c r="AG85" s="93"/>
      <c r="AH85" s="55">
        <f t="shared" si="20"/>
        <v>126</v>
      </c>
      <c r="AI85" s="56">
        <f t="shared" si="21"/>
        <v>123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130.1</v>
      </c>
      <c r="C86" s="49">
        <v>130.30000000000001</v>
      </c>
      <c r="D86" s="49">
        <v>129</v>
      </c>
      <c r="E86" s="49">
        <v>128.80000000000001</v>
      </c>
      <c r="F86" s="49">
        <v>128.80000000000001</v>
      </c>
      <c r="G86" s="49">
        <v>130</v>
      </c>
      <c r="H86" s="49">
        <v>130</v>
      </c>
      <c r="I86" s="49">
        <v>128</v>
      </c>
      <c r="J86" s="49">
        <v>128</v>
      </c>
      <c r="K86" s="49">
        <v>128</v>
      </c>
      <c r="L86" s="49">
        <v>128.1</v>
      </c>
      <c r="M86" s="49">
        <v>128.30000000000001</v>
      </c>
      <c r="N86" s="49">
        <v>128.4</v>
      </c>
      <c r="O86" s="49">
        <v>127.7</v>
      </c>
      <c r="P86" s="49">
        <v>128.5</v>
      </c>
      <c r="Q86" s="49">
        <v>128.6</v>
      </c>
      <c r="R86" s="49">
        <v>129.80000000000001</v>
      </c>
      <c r="S86" s="49">
        <v>129.9</v>
      </c>
      <c r="T86" s="49">
        <v>129</v>
      </c>
      <c r="U86" s="49">
        <v>129.1</v>
      </c>
      <c r="V86" s="49">
        <v>129.5</v>
      </c>
      <c r="W86" s="49">
        <v>130</v>
      </c>
      <c r="X86" s="49">
        <v>129.80000000000001</v>
      </c>
      <c r="Y86" s="49">
        <v>129.80000000000001</v>
      </c>
      <c r="Z86" s="49">
        <v>129.6</v>
      </c>
      <c r="AA86" s="49">
        <v>128.5</v>
      </c>
      <c r="AB86" s="49">
        <v>128.1</v>
      </c>
      <c r="AC86" s="49">
        <v>129.1</v>
      </c>
      <c r="AD86" s="49">
        <v>130.19999999999999</v>
      </c>
      <c r="AE86" s="49">
        <v>130.19999999999999</v>
      </c>
      <c r="AF86" s="49">
        <v>130.19999999999999</v>
      </c>
      <c r="AG86" s="93"/>
      <c r="AH86" s="55">
        <f t="shared" si="20"/>
        <v>130.30000000000001</v>
      </c>
      <c r="AI86" s="56">
        <f t="shared" si="21"/>
        <v>127.7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</v>
      </c>
      <c r="C87" s="49">
        <v>129</v>
      </c>
      <c r="D87" s="49">
        <v>127.9</v>
      </c>
      <c r="E87" s="49">
        <v>128.80000000000001</v>
      </c>
      <c r="F87" s="49">
        <v>128.80000000000001</v>
      </c>
      <c r="G87" s="49">
        <v>131</v>
      </c>
      <c r="H87" s="49">
        <v>131</v>
      </c>
      <c r="I87" s="49">
        <v>127</v>
      </c>
      <c r="J87" s="49">
        <v>127</v>
      </c>
      <c r="K87" s="49">
        <v>127</v>
      </c>
      <c r="L87" s="49">
        <v>126.3</v>
      </c>
      <c r="M87" s="49">
        <v>127.3</v>
      </c>
      <c r="N87" s="49">
        <v>129.9</v>
      </c>
      <c r="O87" s="49">
        <v>127.5</v>
      </c>
      <c r="P87" s="49">
        <v>128.4</v>
      </c>
      <c r="Q87" s="49">
        <v>129.4</v>
      </c>
      <c r="R87" s="49">
        <v>128.80000000000001</v>
      </c>
      <c r="S87" s="49">
        <v>127.8</v>
      </c>
      <c r="T87" s="49">
        <v>128.30000000000001</v>
      </c>
      <c r="U87" s="49">
        <v>129</v>
      </c>
      <c r="V87" s="49">
        <v>129.5</v>
      </c>
      <c r="W87" s="49">
        <v>130.19999999999999</v>
      </c>
      <c r="X87" s="49">
        <v>130</v>
      </c>
      <c r="Y87" s="49">
        <v>131.5</v>
      </c>
      <c r="Z87" s="49">
        <v>124.8</v>
      </c>
      <c r="AA87" s="49">
        <v>127.1</v>
      </c>
      <c r="AB87" s="49">
        <v>126.8</v>
      </c>
      <c r="AC87" s="49">
        <v>124.9</v>
      </c>
      <c r="AD87" s="49">
        <v>127</v>
      </c>
      <c r="AE87" s="49">
        <v>127</v>
      </c>
      <c r="AF87" s="49">
        <v>127</v>
      </c>
      <c r="AG87" s="93"/>
      <c r="AH87" s="55">
        <f t="shared" si="20"/>
        <v>131.5</v>
      </c>
      <c r="AI87" s="56">
        <f t="shared" si="21"/>
        <v>124.8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10.6</v>
      </c>
      <c r="C88" s="49">
        <v>132.80000000000001</v>
      </c>
      <c r="D88" s="49">
        <v>132.1</v>
      </c>
      <c r="E88" s="49">
        <v>132.4</v>
      </c>
      <c r="F88" s="49">
        <v>132.4</v>
      </c>
      <c r="G88" s="49">
        <v>134</v>
      </c>
      <c r="H88" s="49">
        <v>134</v>
      </c>
      <c r="I88" s="49">
        <v>129</v>
      </c>
      <c r="J88" s="49">
        <v>129</v>
      </c>
      <c r="K88" s="49">
        <v>129</v>
      </c>
      <c r="L88" s="49">
        <v>128.80000000000001</v>
      </c>
      <c r="M88" s="49">
        <v>129.4</v>
      </c>
      <c r="N88" s="49">
        <v>132.19999999999999</v>
      </c>
      <c r="O88" s="49">
        <v>131.6</v>
      </c>
      <c r="P88" s="49">
        <v>131.69999999999999</v>
      </c>
      <c r="Q88" s="49">
        <v>132.80000000000001</v>
      </c>
      <c r="R88" s="49">
        <v>132.19999999999999</v>
      </c>
      <c r="S88" s="49">
        <v>131.69999999999999</v>
      </c>
      <c r="T88" s="49">
        <v>131.6</v>
      </c>
      <c r="U88" s="49">
        <v>132.30000000000001</v>
      </c>
      <c r="V88" s="49">
        <v>132.69999999999999</v>
      </c>
      <c r="W88" s="49">
        <v>132.80000000000001</v>
      </c>
      <c r="X88" s="49">
        <v>132</v>
      </c>
      <c r="Y88" s="49">
        <v>133.5</v>
      </c>
      <c r="Z88" s="49">
        <v>129.6</v>
      </c>
      <c r="AA88" s="49">
        <v>131.4</v>
      </c>
      <c r="AB88" s="49">
        <v>131.19999999999999</v>
      </c>
      <c r="AC88" s="49">
        <v>129.5</v>
      </c>
      <c r="AD88" s="49">
        <v>130.5</v>
      </c>
      <c r="AE88" s="49">
        <v>130.5</v>
      </c>
      <c r="AF88" s="49">
        <v>130.5</v>
      </c>
      <c r="AG88" s="93"/>
      <c r="AH88" s="55">
        <f t="shared" si="20"/>
        <v>134</v>
      </c>
      <c r="AI88" s="56">
        <f t="shared" si="21"/>
        <v>10.6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1342</v>
      </c>
      <c r="C89" s="95">
        <v>133.80000000000001</v>
      </c>
      <c r="D89" s="95">
        <v>132.19999999999999</v>
      </c>
      <c r="E89" s="95">
        <v>133.1</v>
      </c>
      <c r="F89" s="95">
        <v>133.1</v>
      </c>
      <c r="G89" s="95">
        <v>134</v>
      </c>
      <c r="H89" s="95">
        <v>134</v>
      </c>
      <c r="I89" s="95">
        <v>132</v>
      </c>
      <c r="J89" s="95">
        <v>132</v>
      </c>
      <c r="K89" s="95">
        <v>132</v>
      </c>
      <c r="L89" s="95">
        <v>134.5</v>
      </c>
      <c r="M89" s="95">
        <v>134</v>
      </c>
      <c r="N89" s="95">
        <v>130.5</v>
      </c>
      <c r="O89" s="95">
        <v>131.80000000000001</v>
      </c>
      <c r="P89" s="95">
        <v>133.19999999999999</v>
      </c>
      <c r="Q89" s="95">
        <v>132.1</v>
      </c>
      <c r="R89" s="95">
        <v>131.5</v>
      </c>
      <c r="S89" s="95">
        <v>125.9</v>
      </c>
      <c r="T89" s="95">
        <v>135</v>
      </c>
      <c r="U89" s="95">
        <v>135.5</v>
      </c>
      <c r="V89" s="95">
        <v>134.69999999999999</v>
      </c>
      <c r="W89" s="95">
        <v>132.4</v>
      </c>
      <c r="X89" s="95">
        <v>133.69999999999999</v>
      </c>
      <c r="Y89" s="95">
        <v>133.1</v>
      </c>
      <c r="Z89" s="95">
        <v>133.80000000000001</v>
      </c>
      <c r="AA89" s="95">
        <v>133.5</v>
      </c>
      <c r="AB89" s="95">
        <v>132</v>
      </c>
      <c r="AC89" s="95">
        <v>132.4</v>
      </c>
      <c r="AD89" s="95">
        <v>133.6</v>
      </c>
      <c r="AE89" s="95">
        <v>133.6</v>
      </c>
      <c r="AF89" s="95">
        <v>133.6</v>
      </c>
      <c r="AG89" s="96"/>
      <c r="AH89" s="55">
        <f t="shared" si="20"/>
        <v>1342</v>
      </c>
      <c r="AI89" s="56">
        <f t="shared" si="21"/>
        <v>125.9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128</v>
      </c>
      <c r="C90" s="49">
        <v>126.8</v>
      </c>
      <c r="D90" s="49">
        <v>123</v>
      </c>
      <c r="E90" s="49">
        <v>125.1</v>
      </c>
      <c r="F90" s="49">
        <v>125.1</v>
      </c>
      <c r="G90" s="49">
        <v>129</v>
      </c>
      <c r="H90" s="49">
        <v>129</v>
      </c>
      <c r="I90" s="49">
        <v>129</v>
      </c>
      <c r="J90" s="49">
        <v>129</v>
      </c>
      <c r="K90" s="49">
        <v>129</v>
      </c>
      <c r="L90" s="49">
        <v>132.5</v>
      </c>
      <c r="M90" s="49">
        <v>127.9</v>
      </c>
      <c r="N90" s="49">
        <v>123.7</v>
      </c>
      <c r="O90" s="49">
        <v>130.30000000000001</v>
      </c>
      <c r="P90" s="49">
        <v>128.5</v>
      </c>
      <c r="Q90" s="49">
        <v>129</v>
      </c>
      <c r="R90" s="49">
        <v>124.7</v>
      </c>
      <c r="S90" s="49">
        <v>124</v>
      </c>
      <c r="T90" s="49">
        <v>128</v>
      </c>
      <c r="U90" s="49">
        <v>131.5</v>
      </c>
      <c r="V90" s="49">
        <v>127.7</v>
      </c>
      <c r="W90" s="49">
        <v>132.4</v>
      </c>
      <c r="X90" s="49">
        <v>126.2</v>
      </c>
      <c r="Y90" s="49">
        <v>127.7</v>
      </c>
      <c r="Z90" s="49">
        <v>127.6</v>
      </c>
      <c r="AA90" s="49">
        <v>128.19999999999999</v>
      </c>
      <c r="AB90" s="49">
        <v>128</v>
      </c>
      <c r="AC90" s="49">
        <v>129.1</v>
      </c>
      <c r="AD90" s="49">
        <v>129.9</v>
      </c>
      <c r="AE90" s="49">
        <v>129.9</v>
      </c>
      <c r="AF90" s="49">
        <v>129.9</v>
      </c>
      <c r="AG90" s="93"/>
      <c r="AH90" s="55">
        <f t="shared" si="20"/>
        <v>132.5</v>
      </c>
      <c r="AI90" s="56">
        <f t="shared" si="21"/>
        <v>123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65.7</v>
      </c>
      <c r="C91" s="97">
        <v>65.599999999999994</v>
      </c>
      <c r="D91" s="97">
        <v>65.099999999999994</v>
      </c>
      <c r="E91" s="97">
        <v>65.2</v>
      </c>
      <c r="F91" s="97">
        <v>65.2</v>
      </c>
      <c r="G91" s="97">
        <v>65.8</v>
      </c>
      <c r="H91" s="97">
        <v>65.8</v>
      </c>
      <c r="I91" s="97">
        <v>64.8</v>
      </c>
      <c r="J91" s="97">
        <v>64.8</v>
      </c>
      <c r="K91" s="97">
        <v>64.8</v>
      </c>
      <c r="L91" s="97">
        <v>64.7</v>
      </c>
      <c r="M91" s="97">
        <v>64.7</v>
      </c>
      <c r="N91" s="97">
        <v>65.2</v>
      </c>
      <c r="O91" s="97">
        <v>64.599999999999994</v>
      </c>
      <c r="P91" s="97">
        <v>65</v>
      </c>
      <c r="Q91" s="97">
        <v>65.2</v>
      </c>
      <c r="R91" s="97">
        <v>65.599999999999994</v>
      </c>
      <c r="S91" s="97">
        <v>65</v>
      </c>
      <c r="T91" s="97">
        <v>65</v>
      </c>
      <c r="U91" s="97">
        <v>65.2</v>
      </c>
      <c r="V91" s="97">
        <v>65.400000000000006</v>
      </c>
      <c r="W91" s="97">
        <v>-65.7</v>
      </c>
      <c r="X91" s="97">
        <v>65.599999999999994</v>
      </c>
      <c r="Y91" s="97">
        <v>65.7</v>
      </c>
      <c r="Z91" s="97">
        <v>65.400000000000006</v>
      </c>
      <c r="AA91" s="97">
        <v>64.8</v>
      </c>
      <c r="AB91" s="97">
        <v>64.7</v>
      </c>
      <c r="AC91" s="97">
        <v>65.400000000000006</v>
      </c>
      <c r="AD91" s="97">
        <v>66</v>
      </c>
      <c r="AE91" s="97">
        <v>66</v>
      </c>
      <c r="AF91" s="97">
        <v>66</v>
      </c>
      <c r="AG91" s="98"/>
      <c r="AH91" s="55">
        <f t="shared" si="20"/>
        <v>66</v>
      </c>
      <c r="AI91" s="56">
        <f t="shared" si="21"/>
        <v>-65.7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34">SUM(B15,B18,B21:B22,B42,B44:B45,B47,B49,B94:B97,B103,B109,B115,B124,B126,B138,B145,B148:B149,B156,B158,B160,B164:B166,B168:B170,B175,B181:B182,B184:B186,B194,B199)</f>
        <v>205.13999999999996</v>
      </c>
      <c r="C93" s="103">
        <f t="shared" si="34"/>
        <v>129.43999999999994</v>
      </c>
      <c r="D93" s="103">
        <f t="shared" si="34"/>
        <v>88.839999999999961</v>
      </c>
      <c r="E93" s="103">
        <f t="shared" si="34"/>
        <v>328.24</v>
      </c>
      <c r="F93" s="103">
        <f t="shared" si="34"/>
        <v>109.13999999999997</v>
      </c>
      <c r="G93" s="103">
        <f t="shared" si="34"/>
        <v>129.33999999999997</v>
      </c>
      <c r="H93" s="103">
        <f t="shared" si="34"/>
        <v>147.13999999999999</v>
      </c>
      <c r="I93" s="103">
        <f t="shared" si="34"/>
        <v>161.03999999999994</v>
      </c>
      <c r="J93" s="103">
        <f t="shared" si="34"/>
        <v>180.73999999999995</v>
      </c>
      <c r="K93" s="103">
        <f t="shared" si="34"/>
        <v>206.53999999999996</v>
      </c>
      <c r="L93" s="103">
        <f t="shared" si="34"/>
        <v>223.73999999999992</v>
      </c>
      <c r="M93" s="103">
        <f t="shared" si="34"/>
        <v>269.84000000000003</v>
      </c>
      <c r="N93" s="103">
        <f t="shared" si="34"/>
        <v>277.94000000000005</v>
      </c>
      <c r="O93" s="103">
        <f t="shared" si="34"/>
        <v>278.44000000000005</v>
      </c>
      <c r="P93" s="103">
        <f t="shared" si="34"/>
        <v>251.33999999999995</v>
      </c>
      <c r="Q93" s="103">
        <f t="shared" si="34"/>
        <v>248.54</v>
      </c>
      <c r="R93" s="103">
        <f t="shared" si="34"/>
        <v>227.93999999999997</v>
      </c>
      <c r="S93" s="103">
        <f t="shared" si="34"/>
        <v>317.94000000000005</v>
      </c>
      <c r="T93" s="103">
        <f t="shared" si="34"/>
        <v>228.33999999999997</v>
      </c>
      <c r="U93" s="103">
        <f t="shared" si="34"/>
        <v>224.53999999999996</v>
      </c>
      <c r="V93" s="103">
        <f t="shared" si="34"/>
        <v>221.44</v>
      </c>
      <c r="W93" s="103">
        <f>SUM(W15,W18,W21:W22,W42,W44:W45,W47,W49,W94:W97,W103,W109,W115,W124,W126,W138,W145,W148:W149,W156,W158,W160,W164:W166,W168:W170,W175,W181:W182,W184:W186,W194,W199)</f>
        <v>228.44</v>
      </c>
      <c r="X93" s="103">
        <f>SUM(X15,X18,X21:X22,X42,X44:X45,X47,X49,X94:X97,X103,X109,X115,X124,X126,X138,X145,X148:X149,X156,X158,X160,X164:X166,X168:X170,X175,X181:X182,X184:X186,X194,X199)</f>
        <v>232.33999999999995</v>
      </c>
      <c r="Y93" s="103">
        <f t="shared" si="34"/>
        <v>246.93999999999997</v>
      </c>
      <c r="Z93" s="103">
        <f t="shared" si="34"/>
        <v>273.34000000000003</v>
      </c>
      <c r="AA93" s="103">
        <f t="shared" si="34"/>
        <v>320.74000000000007</v>
      </c>
      <c r="AB93" s="103">
        <f t="shared" si="34"/>
        <v>318.84000000000003</v>
      </c>
      <c r="AC93" s="103">
        <f t="shared" si="34"/>
        <v>288.14000000000004</v>
      </c>
      <c r="AD93" s="103">
        <f t="shared" si="34"/>
        <v>211.24</v>
      </c>
      <c r="AE93" s="103">
        <f t="shared" si="34"/>
        <v>207.94</v>
      </c>
      <c r="AF93" s="103">
        <f t="shared" si="34"/>
        <v>150.83999999999997</v>
      </c>
      <c r="AG93" s="104"/>
      <c r="AH93" s="55">
        <f>MAX(C93:AF93)</f>
        <v>328.24</v>
      </c>
      <c r="AI93" s="56">
        <f>MIN(C93:AF93)</f>
        <v>88.839999999999961</v>
      </c>
    </row>
    <row r="94" spans="1:88" x14ac:dyDescent="0.25">
      <c r="A94" s="105" t="s">
        <v>98</v>
      </c>
      <c r="B94" s="106">
        <v>44.4</v>
      </c>
      <c r="C94" s="106">
        <v>45.7</v>
      </c>
      <c r="D94" s="106">
        <v>17.2</v>
      </c>
      <c r="E94" s="106">
        <v>14.7</v>
      </c>
      <c r="F94" s="106">
        <v>13.7</v>
      </c>
      <c r="G94" s="106">
        <v>24.3</v>
      </c>
      <c r="H94" s="106">
        <v>25.3</v>
      </c>
      <c r="I94" s="106">
        <v>36.6</v>
      </c>
      <c r="J94" s="106">
        <v>50.5</v>
      </c>
      <c r="K94" s="106">
        <v>43.5</v>
      </c>
      <c r="L94" s="106">
        <v>38.6</v>
      </c>
      <c r="M94" s="106">
        <v>40.700000000000003</v>
      </c>
      <c r="N94" s="106">
        <v>58.7</v>
      </c>
      <c r="O94" s="106">
        <v>51</v>
      </c>
      <c r="P94" s="106">
        <v>45.8</v>
      </c>
      <c r="Q94" s="106">
        <v>46.9</v>
      </c>
      <c r="R94" s="106">
        <v>34.5</v>
      </c>
      <c r="S94" s="106">
        <v>0</v>
      </c>
      <c r="T94" s="106">
        <v>46.3</v>
      </c>
      <c r="U94" s="106">
        <v>47.1</v>
      </c>
      <c r="V94" s="106">
        <v>47.2</v>
      </c>
      <c r="W94" s="106">
        <v>52.5</v>
      </c>
      <c r="X94" s="106">
        <v>45.9</v>
      </c>
      <c r="Y94" s="106">
        <v>45.3</v>
      </c>
      <c r="Z94" s="106">
        <v>40.9</v>
      </c>
      <c r="AA94" s="106">
        <v>35</v>
      </c>
      <c r="AB94" s="106">
        <v>29.8</v>
      </c>
      <c r="AC94" s="106">
        <v>35.700000000000003</v>
      </c>
      <c r="AD94" s="106">
        <v>31.5</v>
      </c>
      <c r="AE94" s="106">
        <v>26.1</v>
      </c>
      <c r="AF94" s="106">
        <v>11</v>
      </c>
      <c r="AG94" s="107">
        <v>75</v>
      </c>
      <c r="AH94" s="55">
        <f t="shared" ref="AH94:AH100" si="35">IF(ABS(MAX(C94:AF94))&gt;ABS(MIN(C94:AF94)),MAX(C94:AF94),MIN(C94:AF94))</f>
        <v>58.7</v>
      </c>
      <c r="AI94" s="108">
        <f t="shared" ref="AI94:AI100" si="36">INDEX($C$9:$AF$9,1,MATCH(AH94,C94:AF94,0))</f>
        <v>0.375</v>
      </c>
    </row>
    <row r="95" spans="1:88" x14ac:dyDescent="0.25">
      <c r="A95" s="109" t="s">
        <v>99</v>
      </c>
      <c r="B95" s="110">
        <f>-48.8-5.8</f>
        <v>-54.599999999999994</v>
      </c>
      <c r="C95" s="110">
        <f>-45-50.8</f>
        <v>-95.8</v>
      </c>
      <c r="D95" s="110">
        <f>-53.8-59.7</f>
        <v>-113.5</v>
      </c>
      <c r="E95" s="110">
        <v>112.5</v>
      </c>
      <c r="F95" s="110">
        <v>-104</v>
      </c>
      <c r="G95" s="110">
        <v>-96</v>
      </c>
      <c r="H95" s="110">
        <v>-82</v>
      </c>
      <c r="I95" s="110">
        <v>-93</v>
      </c>
      <c r="J95" s="110">
        <v>-86</v>
      </c>
      <c r="K95" s="110">
        <v>-77</v>
      </c>
      <c r="L95" s="110">
        <f>-32.1-36.1</f>
        <v>-68.2</v>
      </c>
      <c r="M95" s="110">
        <f>-28.8-32.7</f>
        <v>-61.5</v>
      </c>
      <c r="N95" s="110">
        <f>-29-34</f>
        <v>-63</v>
      </c>
      <c r="O95" s="110">
        <v>-62</v>
      </c>
      <c r="P95" s="110">
        <v>-69</v>
      </c>
      <c r="Q95" s="110">
        <v>-73</v>
      </c>
      <c r="R95" s="110">
        <v>-84</v>
      </c>
      <c r="S95" s="110">
        <v>19.2</v>
      </c>
      <c r="T95" s="110">
        <f>-37.1-48.6</f>
        <v>-85.7</v>
      </c>
      <c r="U95" s="110">
        <f>-40.2-50.1</f>
        <v>-90.300000000000011</v>
      </c>
      <c r="V95" s="110">
        <f>-39.8-48.8</f>
        <v>-88.6</v>
      </c>
      <c r="W95" s="110">
        <f>-39-48.3</f>
        <v>-87.3</v>
      </c>
      <c r="X95" s="110">
        <f>-37.6-46.7</f>
        <v>-84.300000000000011</v>
      </c>
      <c r="Y95" s="110">
        <f>-34-43.1</f>
        <v>-77.099999999999994</v>
      </c>
      <c r="Z95" s="110">
        <f>-28.8-41.3</f>
        <v>-70.099999999999994</v>
      </c>
      <c r="AA95" s="110">
        <f>-19.8-31.7</f>
        <v>-51.5</v>
      </c>
      <c r="AB95" s="110">
        <v>-49</v>
      </c>
      <c r="AC95" s="110">
        <v>-64</v>
      </c>
      <c r="AD95" s="110">
        <v>-98</v>
      </c>
      <c r="AE95" s="110">
        <v>-99</v>
      </c>
      <c r="AF95" s="110">
        <v>-104</v>
      </c>
      <c r="AG95" s="107">
        <v>240</v>
      </c>
      <c r="AH95" s="55">
        <f t="shared" si="35"/>
        <v>-113.5</v>
      </c>
      <c r="AI95" s="108">
        <f t="shared" si="36"/>
        <v>8.3333333333333301E-2</v>
      </c>
    </row>
    <row r="96" spans="1:88" x14ac:dyDescent="0.25">
      <c r="A96" s="109" t="s">
        <v>100</v>
      </c>
      <c r="B96" s="110">
        <v>15.4</v>
      </c>
      <c r="C96" s="110">
        <v>3.5</v>
      </c>
      <c r="D96" s="110">
        <v>0.3</v>
      </c>
      <c r="E96" s="110">
        <v>0.4</v>
      </c>
      <c r="F96" s="110">
        <v>1.7</v>
      </c>
      <c r="G96" s="110">
        <v>4</v>
      </c>
      <c r="H96" s="110">
        <v>7.4</v>
      </c>
      <c r="I96" s="110">
        <v>4.5999999999999996</v>
      </c>
      <c r="J96" s="110">
        <v>2.5</v>
      </c>
      <c r="K96" s="110">
        <v>6.5</v>
      </c>
      <c r="L96" s="110">
        <v>8</v>
      </c>
      <c r="M96" s="110">
        <v>12.2</v>
      </c>
      <c r="N96" s="110">
        <v>18.7</v>
      </c>
      <c r="O96" s="110">
        <v>28.8</v>
      </c>
      <c r="P96" s="110">
        <v>20.399999999999999</v>
      </c>
      <c r="Q96" s="110">
        <v>19.399999999999999</v>
      </c>
      <c r="R96" s="110">
        <v>21.9</v>
      </c>
      <c r="S96" s="110">
        <v>44.7</v>
      </c>
      <c r="T96" s="110">
        <v>37.5</v>
      </c>
      <c r="U96" s="110">
        <v>30.8</v>
      </c>
      <c r="V96" s="110">
        <v>27.6</v>
      </c>
      <c r="W96" s="110">
        <v>30.5</v>
      </c>
      <c r="X96" s="110">
        <v>31.2</v>
      </c>
      <c r="Y96" s="110">
        <v>31.5</v>
      </c>
      <c r="Z96" s="110">
        <v>47.6</v>
      </c>
      <c r="AA96" s="110">
        <v>49.7</v>
      </c>
      <c r="AB96" s="110">
        <v>50.1</v>
      </c>
      <c r="AC96" s="110">
        <v>46.8</v>
      </c>
      <c r="AD96" s="110">
        <v>28.8</v>
      </c>
      <c r="AE96" s="110">
        <v>28.4</v>
      </c>
      <c r="AF96" s="110">
        <v>27.1</v>
      </c>
      <c r="AG96" s="107">
        <v>60</v>
      </c>
      <c r="AH96" s="55">
        <f t="shared" si="35"/>
        <v>50.1</v>
      </c>
      <c r="AI96" s="108">
        <f t="shared" si="36"/>
        <v>0.83333333333333337</v>
      </c>
    </row>
    <row r="97" spans="1:37" x14ac:dyDescent="0.25">
      <c r="A97" s="111" t="s">
        <v>101</v>
      </c>
      <c r="B97" s="112">
        <v>0</v>
      </c>
      <c r="C97" s="112">
        <v>-5.2</v>
      </c>
      <c r="D97" s="112">
        <v>-6.4</v>
      </c>
      <c r="E97" s="112">
        <v>0</v>
      </c>
      <c r="F97" s="112">
        <v>8.6999999999999993</v>
      </c>
      <c r="G97" s="112">
        <v>8</v>
      </c>
      <c r="H97" s="112">
        <v>17.399999999999999</v>
      </c>
      <c r="I97" s="112">
        <v>12.4</v>
      </c>
      <c r="J97" s="112">
        <v>13.3</v>
      </c>
      <c r="K97" s="112">
        <v>33.299999999999997</v>
      </c>
      <c r="L97" s="112">
        <v>45.1</v>
      </c>
      <c r="M97" s="112">
        <v>50.8</v>
      </c>
      <c r="N97" s="112">
        <v>35</v>
      </c>
      <c r="O97" s="112">
        <v>36.4</v>
      </c>
      <c r="P97" s="112">
        <v>29</v>
      </c>
      <c r="Q97" s="112">
        <v>30.3</v>
      </c>
      <c r="R97" s="112">
        <v>30.6</v>
      </c>
      <c r="S97" s="112">
        <v>29.1</v>
      </c>
      <c r="T97" s="112">
        <v>5.3</v>
      </c>
      <c r="U97" s="112">
        <v>12</v>
      </c>
      <c r="V97" s="112">
        <v>10.3</v>
      </c>
      <c r="W97" s="112">
        <v>7.8</v>
      </c>
      <c r="X97" s="112">
        <v>14.6</v>
      </c>
      <c r="Y97" s="112">
        <v>22.3</v>
      </c>
      <c r="Z97" s="112">
        <v>30</v>
      </c>
      <c r="AA97" s="112">
        <v>62.6</v>
      </c>
      <c r="AB97" s="112">
        <v>70.2</v>
      </c>
      <c r="AC97" s="112">
        <v>51.9</v>
      </c>
      <c r="AD97" s="112">
        <v>32.200000000000003</v>
      </c>
      <c r="AE97" s="112">
        <v>35.700000000000003</v>
      </c>
      <c r="AF97" s="112">
        <v>0</v>
      </c>
      <c r="AG97" s="113">
        <v>120</v>
      </c>
      <c r="AH97" s="55">
        <f t="shared" si="35"/>
        <v>70.2</v>
      </c>
      <c r="AI97" s="108">
        <f t="shared" si="36"/>
        <v>0.83333333333333337</v>
      </c>
    </row>
    <row r="98" spans="1:37" x14ac:dyDescent="0.25">
      <c r="A98" s="111" t="s">
        <v>102</v>
      </c>
      <c r="B98" s="112">
        <v>13.2</v>
      </c>
      <c r="C98" s="112">
        <v>-8.8000000000000007</v>
      </c>
      <c r="D98" s="112">
        <v>13.9</v>
      </c>
      <c r="E98" s="112">
        <v>13.5</v>
      </c>
      <c r="F98" s="112">
        <v>11.4</v>
      </c>
      <c r="G98" s="112">
        <v>-1</v>
      </c>
      <c r="H98" s="112">
        <v>12.5</v>
      </c>
      <c r="I98" s="112">
        <v>4</v>
      </c>
      <c r="J98" s="112">
        <v>5</v>
      </c>
      <c r="K98" s="112">
        <v>18.2</v>
      </c>
      <c r="L98" s="112">
        <v>22.8</v>
      </c>
      <c r="M98" s="112">
        <v>26.3</v>
      </c>
      <c r="N98" s="112">
        <v>13.5</v>
      </c>
      <c r="O98" s="112">
        <v>18.5</v>
      </c>
      <c r="P98" s="112">
        <v>18.600000000000001</v>
      </c>
      <c r="Q98" s="112">
        <v>18.100000000000001</v>
      </c>
      <c r="R98" s="112">
        <v>30.5</v>
      </c>
      <c r="S98" s="112">
        <v>26.1</v>
      </c>
      <c r="T98" s="112">
        <v>7.9</v>
      </c>
      <c r="U98" s="112">
        <v>10.4</v>
      </c>
      <c r="V98" s="112">
        <v>6.8</v>
      </c>
      <c r="W98" s="112">
        <v>3.9</v>
      </c>
      <c r="X98" s="112">
        <v>10.7</v>
      </c>
      <c r="Y98" s="112">
        <v>21</v>
      </c>
      <c r="Z98" s="112">
        <v>18.5</v>
      </c>
      <c r="AA98" s="112">
        <v>48.5</v>
      </c>
      <c r="AB98" s="112">
        <v>55.3</v>
      </c>
      <c r="AC98" s="112">
        <v>38.6</v>
      </c>
      <c r="AD98" s="112">
        <v>30.2</v>
      </c>
      <c r="AE98" s="112">
        <v>36.799999999999997</v>
      </c>
      <c r="AF98" s="112">
        <v>16.5</v>
      </c>
      <c r="AG98" s="113"/>
      <c r="AH98" s="55">
        <f t="shared" si="35"/>
        <v>55.3</v>
      </c>
      <c r="AI98" s="108">
        <f t="shared" si="36"/>
        <v>0.83333333333333337</v>
      </c>
    </row>
    <row r="99" spans="1:37" x14ac:dyDescent="0.25">
      <c r="A99" s="111" t="s">
        <v>103</v>
      </c>
      <c r="B99" s="112">
        <v>50.5</v>
      </c>
      <c r="C99" s="112">
        <v>26.2</v>
      </c>
      <c r="D99" s="112">
        <v>65.8</v>
      </c>
      <c r="E99" s="112">
        <v>79.8</v>
      </c>
      <c r="F99" s="112">
        <v>85</v>
      </c>
      <c r="G99" s="112">
        <v>62</v>
      </c>
      <c r="H99" s="112">
        <v>62</v>
      </c>
      <c r="I99" s="112">
        <v>40</v>
      </c>
      <c r="J99" s="112">
        <v>65</v>
      </c>
      <c r="K99" s="112">
        <v>54.3</v>
      </c>
      <c r="L99" s="112">
        <v>57.9</v>
      </c>
      <c r="M99" s="112">
        <v>56.4</v>
      </c>
      <c r="N99" s="112">
        <v>33</v>
      </c>
      <c r="O99" s="112">
        <v>41</v>
      </c>
      <c r="P99" s="112">
        <v>47.3</v>
      </c>
      <c r="Q99" s="112">
        <v>44.6</v>
      </c>
      <c r="R99" s="112">
        <v>65.3</v>
      </c>
      <c r="S99" s="112">
        <v>65.5</v>
      </c>
      <c r="T99" s="112">
        <v>35</v>
      </c>
      <c r="U99" s="112">
        <v>30.2</v>
      </c>
      <c r="V99" s="112">
        <v>42.6</v>
      </c>
      <c r="W99" s="112">
        <v>33.4</v>
      </c>
      <c r="X99" s="112">
        <v>47.6</v>
      </c>
      <c r="Y99" s="112">
        <v>43.7</v>
      </c>
      <c r="Z99" s="112">
        <v>62.6</v>
      </c>
      <c r="AA99" s="112">
        <v>73.599999999999994</v>
      </c>
      <c r="AB99" s="112">
        <v>87.8</v>
      </c>
      <c r="AC99" s="112">
        <v>74.2</v>
      </c>
      <c r="AD99" s="112">
        <v>78.599999999999994</v>
      </c>
      <c r="AE99" s="112">
        <v>72.099999999999994</v>
      </c>
      <c r="AF99" s="112">
        <v>81.3</v>
      </c>
      <c r="AG99" s="114"/>
      <c r="AH99" s="55">
        <f t="shared" si="35"/>
        <v>87.8</v>
      </c>
      <c r="AI99" s="108">
        <f t="shared" si="36"/>
        <v>0.83333333333333337</v>
      </c>
    </row>
    <row r="100" spans="1:37" ht="15.75" thickBot="1" x14ac:dyDescent="0.3">
      <c r="A100" s="115" t="s">
        <v>104</v>
      </c>
      <c r="B100" s="95">
        <v>50.9</v>
      </c>
      <c r="C100" s="95">
        <v>30.5</v>
      </c>
      <c r="D100" s="95">
        <v>24.9</v>
      </c>
      <c r="E100" s="95">
        <v>22</v>
      </c>
      <c r="F100" s="95">
        <v>1.6</v>
      </c>
      <c r="G100" s="95">
        <v>23.4</v>
      </c>
      <c r="H100" s="95">
        <v>15.9</v>
      </c>
      <c r="I100" s="95">
        <v>11.9</v>
      </c>
      <c r="J100" s="95">
        <v>10.7</v>
      </c>
      <c r="K100" s="95">
        <v>14.1</v>
      </c>
      <c r="L100" s="95">
        <v>18.2</v>
      </c>
      <c r="M100" s="95">
        <v>33.9</v>
      </c>
      <c r="N100" s="95">
        <v>32.299999999999997</v>
      </c>
      <c r="O100" s="95">
        <v>38.700000000000003</v>
      </c>
      <c r="P100" s="95">
        <v>27.9</v>
      </c>
      <c r="Q100" s="95">
        <v>25.9</v>
      </c>
      <c r="R100" s="95">
        <v>31</v>
      </c>
      <c r="S100" s="95">
        <v>26.1</v>
      </c>
      <c r="T100" s="95">
        <v>39.5</v>
      </c>
      <c r="U100" s="95">
        <v>33.799999999999997</v>
      </c>
      <c r="V100" s="95">
        <v>29.1</v>
      </c>
      <c r="W100" s="95">
        <v>30.6</v>
      </c>
      <c r="X100" s="95">
        <v>30.6</v>
      </c>
      <c r="Y100" s="95">
        <v>35.700000000000003</v>
      </c>
      <c r="Z100" s="95">
        <v>62</v>
      </c>
      <c r="AA100" s="95">
        <v>68.400000000000006</v>
      </c>
      <c r="AB100" s="95">
        <v>67</v>
      </c>
      <c r="AC100" s="95">
        <v>69.7</v>
      </c>
      <c r="AD100" s="95">
        <v>44.2</v>
      </c>
      <c r="AE100" s="95">
        <v>41.6</v>
      </c>
      <c r="AF100" s="95">
        <v>22.7</v>
      </c>
      <c r="AG100" s="114"/>
      <c r="AH100" s="55">
        <f t="shared" si="35"/>
        <v>69.7</v>
      </c>
      <c r="AI100" s="108">
        <f t="shared" si="36"/>
        <v>0.85416666666666663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37">AF102</f>
        <v>9.9</v>
      </c>
      <c r="C102" s="54">
        <v>9.9</v>
      </c>
      <c r="D102" s="121">
        <f t="shared" ref="D102:S107" si="38">C102</f>
        <v>9.9</v>
      </c>
      <c r="E102" s="121">
        <f t="shared" si="38"/>
        <v>9.9</v>
      </c>
      <c r="F102" s="121">
        <f t="shared" si="38"/>
        <v>9.9</v>
      </c>
      <c r="G102" s="121">
        <f t="shared" si="38"/>
        <v>9.9</v>
      </c>
      <c r="H102" s="121">
        <f t="shared" si="38"/>
        <v>9.9</v>
      </c>
      <c r="I102" s="121">
        <f t="shared" si="38"/>
        <v>9.9</v>
      </c>
      <c r="J102" s="121">
        <f t="shared" si="38"/>
        <v>9.9</v>
      </c>
      <c r="K102" s="121">
        <f t="shared" si="38"/>
        <v>9.9</v>
      </c>
      <c r="L102" s="121">
        <f t="shared" si="38"/>
        <v>9.9</v>
      </c>
      <c r="M102" s="121">
        <f t="shared" si="38"/>
        <v>9.9</v>
      </c>
      <c r="N102" s="121">
        <f t="shared" si="38"/>
        <v>9.9</v>
      </c>
      <c r="O102" s="121">
        <f t="shared" si="38"/>
        <v>9.9</v>
      </c>
      <c r="P102" s="121">
        <f t="shared" si="38"/>
        <v>9.9</v>
      </c>
      <c r="Q102" s="121">
        <f t="shared" si="38"/>
        <v>9.9</v>
      </c>
      <c r="R102" s="121">
        <f t="shared" si="38"/>
        <v>9.9</v>
      </c>
      <c r="S102" s="121">
        <f t="shared" si="38"/>
        <v>9.9</v>
      </c>
      <c r="T102" s="121">
        <f t="shared" ref="T102:AF107" si="39">S102</f>
        <v>9.9</v>
      </c>
      <c r="U102" s="121">
        <f t="shared" si="39"/>
        <v>9.9</v>
      </c>
      <c r="V102" s="121">
        <f t="shared" si="39"/>
        <v>9.9</v>
      </c>
      <c r="W102" s="121">
        <f t="shared" si="39"/>
        <v>9.9</v>
      </c>
      <c r="X102" s="121">
        <f t="shared" si="39"/>
        <v>9.9</v>
      </c>
      <c r="Y102" s="121">
        <f t="shared" si="39"/>
        <v>9.9</v>
      </c>
      <c r="Z102" s="121">
        <f t="shared" si="39"/>
        <v>9.9</v>
      </c>
      <c r="AA102" s="121">
        <f t="shared" si="39"/>
        <v>9.9</v>
      </c>
      <c r="AB102" s="121">
        <f t="shared" si="39"/>
        <v>9.9</v>
      </c>
      <c r="AC102" s="121">
        <f t="shared" si="39"/>
        <v>9.9</v>
      </c>
      <c r="AD102" s="121">
        <f t="shared" si="39"/>
        <v>9.9</v>
      </c>
      <c r="AE102" s="121">
        <f t="shared" si="39"/>
        <v>9.9</v>
      </c>
      <c r="AF102" s="121">
        <f t="shared" si="39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37"/>
        <v>9.6</v>
      </c>
      <c r="C103" s="124">
        <v>9.6</v>
      </c>
      <c r="D103" s="123">
        <f t="shared" si="38"/>
        <v>9.6</v>
      </c>
      <c r="E103" s="123">
        <f t="shared" si="38"/>
        <v>9.6</v>
      </c>
      <c r="F103" s="123">
        <f t="shared" si="38"/>
        <v>9.6</v>
      </c>
      <c r="G103" s="123">
        <f t="shared" si="38"/>
        <v>9.6</v>
      </c>
      <c r="H103" s="123">
        <f t="shared" si="38"/>
        <v>9.6</v>
      </c>
      <c r="I103" s="123">
        <f t="shared" si="38"/>
        <v>9.6</v>
      </c>
      <c r="J103" s="123">
        <f t="shared" si="38"/>
        <v>9.6</v>
      </c>
      <c r="K103" s="123">
        <f t="shared" si="38"/>
        <v>9.6</v>
      </c>
      <c r="L103" s="123">
        <f t="shared" si="38"/>
        <v>9.6</v>
      </c>
      <c r="M103" s="123">
        <f t="shared" si="38"/>
        <v>9.6</v>
      </c>
      <c r="N103" s="123">
        <f t="shared" si="38"/>
        <v>9.6</v>
      </c>
      <c r="O103" s="123">
        <f t="shared" si="38"/>
        <v>9.6</v>
      </c>
      <c r="P103" s="123">
        <f t="shared" si="38"/>
        <v>9.6</v>
      </c>
      <c r="Q103" s="123">
        <f t="shared" si="38"/>
        <v>9.6</v>
      </c>
      <c r="R103" s="123">
        <f t="shared" si="38"/>
        <v>9.6</v>
      </c>
      <c r="S103" s="123">
        <f t="shared" si="38"/>
        <v>9.6</v>
      </c>
      <c r="T103" s="123">
        <f t="shared" si="39"/>
        <v>9.6</v>
      </c>
      <c r="U103" s="123">
        <f t="shared" si="39"/>
        <v>9.6</v>
      </c>
      <c r="V103" s="123">
        <f t="shared" si="39"/>
        <v>9.6</v>
      </c>
      <c r="W103" s="123">
        <f t="shared" si="39"/>
        <v>9.6</v>
      </c>
      <c r="X103" s="123">
        <f t="shared" si="39"/>
        <v>9.6</v>
      </c>
      <c r="Y103" s="123">
        <f t="shared" si="39"/>
        <v>9.6</v>
      </c>
      <c r="Z103" s="123">
        <f t="shared" si="39"/>
        <v>9.6</v>
      </c>
      <c r="AA103" s="123">
        <f t="shared" si="39"/>
        <v>9.6</v>
      </c>
      <c r="AB103" s="123">
        <f t="shared" si="39"/>
        <v>9.6</v>
      </c>
      <c r="AC103" s="123">
        <f t="shared" si="39"/>
        <v>9.6</v>
      </c>
      <c r="AD103" s="123">
        <f t="shared" si="39"/>
        <v>9.6</v>
      </c>
      <c r="AE103" s="123">
        <f t="shared" si="39"/>
        <v>9.6</v>
      </c>
      <c r="AF103" s="123">
        <f t="shared" si="39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37"/>
        <v>9.98</v>
      </c>
      <c r="C104" s="124">
        <v>9.98</v>
      </c>
      <c r="D104" s="123">
        <f t="shared" si="38"/>
        <v>9.98</v>
      </c>
      <c r="E104" s="123">
        <f t="shared" si="38"/>
        <v>9.98</v>
      </c>
      <c r="F104" s="123">
        <f t="shared" si="38"/>
        <v>9.98</v>
      </c>
      <c r="G104" s="123">
        <f t="shared" si="38"/>
        <v>9.98</v>
      </c>
      <c r="H104" s="123">
        <f t="shared" si="38"/>
        <v>9.98</v>
      </c>
      <c r="I104" s="123">
        <f t="shared" si="38"/>
        <v>9.98</v>
      </c>
      <c r="J104" s="123">
        <f t="shared" si="38"/>
        <v>9.98</v>
      </c>
      <c r="K104" s="123">
        <f t="shared" si="38"/>
        <v>9.98</v>
      </c>
      <c r="L104" s="123">
        <f t="shared" si="38"/>
        <v>9.98</v>
      </c>
      <c r="M104" s="123">
        <f t="shared" si="38"/>
        <v>9.98</v>
      </c>
      <c r="N104" s="123">
        <f t="shared" si="38"/>
        <v>9.98</v>
      </c>
      <c r="O104" s="123">
        <f t="shared" si="38"/>
        <v>9.98</v>
      </c>
      <c r="P104" s="123">
        <f t="shared" si="38"/>
        <v>9.98</v>
      </c>
      <c r="Q104" s="123">
        <f t="shared" si="38"/>
        <v>9.98</v>
      </c>
      <c r="R104" s="123">
        <f t="shared" si="38"/>
        <v>9.98</v>
      </c>
      <c r="S104" s="123">
        <f t="shared" si="38"/>
        <v>9.98</v>
      </c>
      <c r="T104" s="123">
        <f t="shared" si="39"/>
        <v>9.98</v>
      </c>
      <c r="U104" s="123">
        <f t="shared" si="39"/>
        <v>9.98</v>
      </c>
      <c r="V104" s="123">
        <f t="shared" si="39"/>
        <v>9.98</v>
      </c>
      <c r="W104" s="123">
        <f t="shared" si="39"/>
        <v>9.98</v>
      </c>
      <c r="X104" s="123">
        <f t="shared" si="39"/>
        <v>9.98</v>
      </c>
      <c r="Y104" s="123">
        <f t="shared" si="39"/>
        <v>9.98</v>
      </c>
      <c r="Z104" s="123">
        <f t="shared" si="39"/>
        <v>9.98</v>
      </c>
      <c r="AA104" s="123">
        <f t="shared" si="39"/>
        <v>9.98</v>
      </c>
      <c r="AB104" s="123">
        <f t="shared" si="39"/>
        <v>9.98</v>
      </c>
      <c r="AC104" s="123">
        <f t="shared" si="39"/>
        <v>9.98</v>
      </c>
      <c r="AD104" s="123">
        <f t="shared" si="39"/>
        <v>9.98</v>
      </c>
      <c r="AE104" s="123">
        <f t="shared" si="39"/>
        <v>9.98</v>
      </c>
      <c r="AF104" s="123">
        <f t="shared" si="39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37"/>
        <v>9.1</v>
      </c>
      <c r="C105" s="124">
        <v>9.1</v>
      </c>
      <c r="D105" s="123">
        <f t="shared" si="38"/>
        <v>9.1</v>
      </c>
      <c r="E105" s="123">
        <f t="shared" si="38"/>
        <v>9.1</v>
      </c>
      <c r="F105" s="123">
        <f t="shared" si="38"/>
        <v>9.1</v>
      </c>
      <c r="G105" s="123">
        <f t="shared" si="38"/>
        <v>9.1</v>
      </c>
      <c r="H105" s="123">
        <f t="shared" si="38"/>
        <v>9.1</v>
      </c>
      <c r="I105" s="123">
        <f t="shared" si="38"/>
        <v>9.1</v>
      </c>
      <c r="J105" s="123">
        <f t="shared" si="38"/>
        <v>9.1</v>
      </c>
      <c r="K105" s="123">
        <f t="shared" si="38"/>
        <v>9.1</v>
      </c>
      <c r="L105" s="123">
        <f t="shared" si="38"/>
        <v>9.1</v>
      </c>
      <c r="M105" s="123">
        <f t="shared" si="38"/>
        <v>9.1</v>
      </c>
      <c r="N105" s="123">
        <f t="shared" si="38"/>
        <v>9.1</v>
      </c>
      <c r="O105" s="123">
        <f t="shared" si="38"/>
        <v>9.1</v>
      </c>
      <c r="P105" s="123">
        <f t="shared" si="38"/>
        <v>9.1</v>
      </c>
      <c r="Q105" s="123">
        <f t="shared" si="38"/>
        <v>9.1</v>
      </c>
      <c r="R105" s="123">
        <f t="shared" si="38"/>
        <v>9.1</v>
      </c>
      <c r="S105" s="123">
        <f t="shared" si="38"/>
        <v>9.1</v>
      </c>
      <c r="T105" s="123">
        <f t="shared" si="39"/>
        <v>9.1</v>
      </c>
      <c r="U105" s="123">
        <f t="shared" si="39"/>
        <v>9.1</v>
      </c>
      <c r="V105" s="123">
        <f t="shared" si="39"/>
        <v>9.1</v>
      </c>
      <c r="W105" s="123">
        <f t="shared" si="39"/>
        <v>9.1</v>
      </c>
      <c r="X105" s="123">
        <f t="shared" si="39"/>
        <v>9.1</v>
      </c>
      <c r="Y105" s="123">
        <f t="shared" si="39"/>
        <v>9.1</v>
      </c>
      <c r="Z105" s="123">
        <f t="shared" si="39"/>
        <v>9.1</v>
      </c>
      <c r="AA105" s="123">
        <f t="shared" si="39"/>
        <v>9.1</v>
      </c>
      <c r="AB105" s="123">
        <f t="shared" si="39"/>
        <v>9.1</v>
      </c>
      <c r="AC105" s="123">
        <f t="shared" si="39"/>
        <v>9.1</v>
      </c>
      <c r="AD105" s="123">
        <f t="shared" si="39"/>
        <v>9.1</v>
      </c>
      <c r="AE105" s="123">
        <f t="shared" si="39"/>
        <v>9.1</v>
      </c>
      <c r="AF105" s="123">
        <f t="shared" si="39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37"/>
        <v>9.18</v>
      </c>
      <c r="C106" s="124">
        <v>9.18</v>
      </c>
      <c r="D106" s="123">
        <f t="shared" si="38"/>
        <v>9.18</v>
      </c>
      <c r="E106" s="123">
        <f t="shared" si="38"/>
        <v>9.18</v>
      </c>
      <c r="F106" s="123">
        <f t="shared" si="38"/>
        <v>9.18</v>
      </c>
      <c r="G106" s="123">
        <f t="shared" si="38"/>
        <v>9.18</v>
      </c>
      <c r="H106" s="123">
        <f t="shared" si="38"/>
        <v>9.18</v>
      </c>
      <c r="I106" s="123">
        <f t="shared" si="38"/>
        <v>9.18</v>
      </c>
      <c r="J106" s="123">
        <f t="shared" si="38"/>
        <v>9.18</v>
      </c>
      <c r="K106" s="123">
        <f t="shared" si="38"/>
        <v>9.18</v>
      </c>
      <c r="L106" s="123">
        <f t="shared" si="38"/>
        <v>9.18</v>
      </c>
      <c r="M106" s="123">
        <f t="shared" si="38"/>
        <v>9.18</v>
      </c>
      <c r="N106" s="123">
        <f t="shared" si="38"/>
        <v>9.18</v>
      </c>
      <c r="O106" s="123">
        <f t="shared" si="38"/>
        <v>9.18</v>
      </c>
      <c r="P106" s="123">
        <f t="shared" si="38"/>
        <v>9.18</v>
      </c>
      <c r="Q106" s="123">
        <f t="shared" si="38"/>
        <v>9.18</v>
      </c>
      <c r="R106" s="123">
        <f t="shared" si="38"/>
        <v>9.18</v>
      </c>
      <c r="S106" s="123">
        <f t="shared" si="38"/>
        <v>9.18</v>
      </c>
      <c r="T106" s="123">
        <f t="shared" si="39"/>
        <v>9.18</v>
      </c>
      <c r="U106" s="123">
        <f t="shared" si="39"/>
        <v>9.18</v>
      </c>
      <c r="V106" s="123">
        <f t="shared" si="39"/>
        <v>9.18</v>
      </c>
      <c r="W106" s="123">
        <f t="shared" si="39"/>
        <v>9.18</v>
      </c>
      <c r="X106" s="123">
        <f t="shared" si="39"/>
        <v>9.18</v>
      </c>
      <c r="Y106" s="123">
        <f t="shared" si="39"/>
        <v>9.18</v>
      </c>
      <c r="Z106" s="123">
        <f t="shared" si="39"/>
        <v>9.18</v>
      </c>
      <c r="AA106" s="123">
        <f t="shared" si="39"/>
        <v>9.18</v>
      </c>
      <c r="AB106" s="123">
        <f t="shared" si="39"/>
        <v>9.18</v>
      </c>
      <c r="AC106" s="123">
        <f t="shared" si="39"/>
        <v>9.18</v>
      </c>
      <c r="AD106" s="123">
        <f t="shared" si="39"/>
        <v>9.18</v>
      </c>
      <c r="AE106" s="123">
        <f t="shared" si="39"/>
        <v>9.18</v>
      </c>
      <c r="AF106" s="123">
        <f t="shared" si="39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37"/>
        <v>7</v>
      </c>
      <c r="C107" s="124">
        <v>7</v>
      </c>
      <c r="D107" s="123">
        <f t="shared" si="38"/>
        <v>7</v>
      </c>
      <c r="E107" s="123">
        <f t="shared" si="38"/>
        <v>7</v>
      </c>
      <c r="F107" s="123">
        <f t="shared" si="38"/>
        <v>7</v>
      </c>
      <c r="G107" s="123">
        <f t="shared" si="38"/>
        <v>7</v>
      </c>
      <c r="H107" s="123">
        <f t="shared" si="38"/>
        <v>7</v>
      </c>
      <c r="I107" s="123">
        <f t="shared" si="38"/>
        <v>7</v>
      </c>
      <c r="J107" s="123">
        <f t="shared" si="38"/>
        <v>7</v>
      </c>
      <c r="K107" s="123">
        <f t="shared" si="38"/>
        <v>7</v>
      </c>
      <c r="L107" s="123">
        <f t="shared" si="38"/>
        <v>7</v>
      </c>
      <c r="M107" s="123">
        <f t="shared" si="38"/>
        <v>7</v>
      </c>
      <c r="N107" s="123">
        <f t="shared" si="38"/>
        <v>7</v>
      </c>
      <c r="O107" s="123">
        <f t="shared" si="38"/>
        <v>7</v>
      </c>
      <c r="P107" s="123">
        <f t="shared" si="38"/>
        <v>7</v>
      </c>
      <c r="Q107" s="123">
        <f t="shared" si="38"/>
        <v>7</v>
      </c>
      <c r="R107" s="123">
        <f t="shared" si="38"/>
        <v>7</v>
      </c>
      <c r="S107" s="123">
        <f t="shared" si="38"/>
        <v>7</v>
      </c>
      <c r="T107" s="123">
        <f t="shared" si="39"/>
        <v>7</v>
      </c>
      <c r="U107" s="123">
        <f t="shared" si="39"/>
        <v>7</v>
      </c>
      <c r="V107" s="123">
        <f t="shared" si="39"/>
        <v>7</v>
      </c>
      <c r="W107" s="123">
        <f t="shared" si="39"/>
        <v>7</v>
      </c>
      <c r="X107" s="123">
        <f t="shared" si="39"/>
        <v>7</v>
      </c>
      <c r="Y107" s="123">
        <f t="shared" si="39"/>
        <v>7</v>
      </c>
      <c r="Z107" s="123">
        <f t="shared" si="39"/>
        <v>7</v>
      </c>
      <c r="AA107" s="123">
        <f t="shared" si="39"/>
        <v>7</v>
      </c>
      <c r="AB107" s="123">
        <f t="shared" si="39"/>
        <v>7</v>
      </c>
      <c r="AC107" s="123">
        <f t="shared" si="39"/>
        <v>7</v>
      </c>
      <c r="AD107" s="123">
        <f t="shared" si="39"/>
        <v>7</v>
      </c>
      <c r="AE107" s="123">
        <f t="shared" si="39"/>
        <v>7</v>
      </c>
      <c r="AF107" s="123">
        <f t="shared" si="39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0">C109</f>
        <v>2.25</v>
      </c>
      <c r="E109" s="123">
        <f t="shared" si="40"/>
        <v>2.25</v>
      </c>
      <c r="F109" s="123">
        <f t="shared" si="40"/>
        <v>2.25</v>
      </c>
      <c r="G109" s="123">
        <f t="shared" si="40"/>
        <v>2.25</v>
      </c>
      <c r="H109" s="123">
        <f t="shared" si="40"/>
        <v>2.25</v>
      </c>
      <c r="I109" s="123">
        <f t="shared" si="40"/>
        <v>2.25</v>
      </c>
      <c r="J109" s="123">
        <f t="shared" si="40"/>
        <v>2.25</v>
      </c>
      <c r="K109" s="123">
        <f t="shared" si="40"/>
        <v>2.25</v>
      </c>
      <c r="L109" s="123">
        <f t="shared" si="40"/>
        <v>2.25</v>
      </c>
      <c r="M109" s="123">
        <f t="shared" si="40"/>
        <v>2.25</v>
      </c>
      <c r="N109" s="123">
        <f t="shared" si="40"/>
        <v>2.25</v>
      </c>
      <c r="O109" s="123">
        <f t="shared" si="40"/>
        <v>2.25</v>
      </c>
      <c r="P109" s="123">
        <f t="shared" si="40"/>
        <v>2.25</v>
      </c>
      <c r="Q109" s="123">
        <f t="shared" si="40"/>
        <v>2.25</v>
      </c>
      <c r="R109" s="123">
        <f t="shared" si="40"/>
        <v>2.25</v>
      </c>
      <c r="S109" s="123">
        <f t="shared" si="40"/>
        <v>2.25</v>
      </c>
      <c r="T109" s="123">
        <f t="shared" ref="T109:AF110" si="41">S109</f>
        <v>2.25</v>
      </c>
      <c r="U109" s="123">
        <f t="shared" si="41"/>
        <v>2.25</v>
      </c>
      <c r="V109" s="123">
        <f t="shared" si="41"/>
        <v>2.25</v>
      </c>
      <c r="W109" s="123">
        <f t="shared" si="41"/>
        <v>2.25</v>
      </c>
      <c r="X109" s="123">
        <f t="shared" si="41"/>
        <v>2.25</v>
      </c>
      <c r="Y109" s="123">
        <f t="shared" si="41"/>
        <v>2.25</v>
      </c>
      <c r="Z109" s="123">
        <f t="shared" si="41"/>
        <v>2.25</v>
      </c>
      <c r="AA109" s="123">
        <f t="shared" si="41"/>
        <v>2.25</v>
      </c>
      <c r="AB109" s="123">
        <f t="shared" si="41"/>
        <v>2.25</v>
      </c>
      <c r="AC109" s="123">
        <f t="shared" si="41"/>
        <v>2.25</v>
      </c>
      <c r="AD109" s="123">
        <f t="shared" si="41"/>
        <v>2.25</v>
      </c>
      <c r="AE109" s="123">
        <f t="shared" si="41"/>
        <v>2.25</v>
      </c>
      <c r="AF109" s="123">
        <f t="shared" si="41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0"/>
        <v>1.64</v>
      </c>
      <c r="E110" s="123">
        <f t="shared" si="40"/>
        <v>1.64</v>
      </c>
      <c r="F110" s="123">
        <f t="shared" si="40"/>
        <v>1.64</v>
      </c>
      <c r="G110" s="123">
        <f t="shared" si="40"/>
        <v>1.64</v>
      </c>
      <c r="H110" s="123">
        <f t="shared" si="40"/>
        <v>1.64</v>
      </c>
      <c r="I110" s="123">
        <f t="shared" si="40"/>
        <v>1.64</v>
      </c>
      <c r="J110" s="123">
        <f t="shared" si="40"/>
        <v>1.64</v>
      </c>
      <c r="K110" s="123">
        <f t="shared" si="40"/>
        <v>1.64</v>
      </c>
      <c r="L110" s="123">
        <f t="shared" si="40"/>
        <v>1.64</v>
      </c>
      <c r="M110" s="123">
        <f t="shared" si="40"/>
        <v>1.64</v>
      </c>
      <c r="N110" s="123">
        <f t="shared" si="40"/>
        <v>1.64</v>
      </c>
      <c r="O110" s="123">
        <f t="shared" si="40"/>
        <v>1.64</v>
      </c>
      <c r="P110" s="123">
        <f t="shared" si="40"/>
        <v>1.64</v>
      </c>
      <c r="Q110" s="123">
        <f t="shared" si="40"/>
        <v>1.64</v>
      </c>
      <c r="R110" s="123">
        <f t="shared" si="40"/>
        <v>1.64</v>
      </c>
      <c r="S110" s="123">
        <f t="shared" si="40"/>
        <v>1.64</v>
      </c>
      <c r="T110" s="123">
        <f t="shared" si="41"/>
        <v>1.64</v>
      </c>
      <c r="U110" s="123">
        <f t="shared" si="41"/>
        <v>1.64</v>
      </c>
      <c r="V110" s="123">
        <f t="shared" si="41"/>
        <v>1.64</v>
      </c>
      <c r="W110" s="123">
        <f t="shared" si="41"/>
        <v>1.64</v>
      </c>
      <c r="X110" s="123">
        <f t="shared" si="41"/>
        <v>1.64</v>
      </c>
      <c r="Y110" s="123">
        <f t="shared" si="41"/>
        <v>1.64</v>
      </c>
      <c r="Z110" s="123">
        <f t="shared" si="41"/>
        <v>1.64</v>
      </c>
      <c r="AA110" s="123">
        <f t="shared" si="41"/>
        <v>1.64</v>
      </c>
      <c r="AB110" s="123">
        <f t="shared" si="41"/>
        <v>1.64</v>
      </c>
      <c r="AC110" s="123">
        <f t="shared" si="41"/>
        <v>1.64</v>
      </c>
      <c r="AD110" s="123">
        <f t="shared" si="41"/>
        <v>1.64</v>
      </c>
      <c r="AE110" s="123">
        <f t="shared" si="41"/>
        <v>1.64</v>
      </c>
      <c r="AF110" s="123">
        <f t="shared" si="41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2">AF112</f>
        <v>1.62</v>
      </c>
      <c r="C112" s="124">
        <v>1.62</v>
      </c>
      <c r="D112" s="123">
        <f t="shared" ref="D112:S119" si="43">C112</f>
        <v>1.62</v>
      </c>
      <c r="E112" s="123">
        <f t="shared" si="43"/>
        <v>1.62</v>
      </c>
      <c r="F112" s="123">
        <f t="shared" si="43"/>
        <v>1.62</v>
      </c>
      <c r="G112" s="123">
        <f t="shared" si="43"/>
        <v>1.62</v>
      </c>
      <c r="H112" s="123">
        <f t="shared" si="43"/>
        <v>1.62</v>
      </c>
      <c r="I112" s="123">
        <f t="shared" si="43"/>
        <v>1.62</v>
      </c>
      <c r="J112" s="123">
        <f t="shared" si="43"/>
        <v>1.62</v>
      </c>
      <c r="K112" s="123">
        <f t="shared" si="43"/>
        <v>1.62</v>
      </c>
      <c r="L112" s="123">
        <f t="shared" si="43"/>
        <v>1.62</v>
      </c>
      <c r="M112" s="123">
        <f t="shared" si="43"/>
        <v>1.62</v>
      </c>
      <c r="N112" s="123">
        <f t="shared" si="43"/>
        <v>1.62</v>
      </c>
      <c r="O112" s="123">
        <f t="shared" si="43"/>
        <v>1.62</v>
      </c>
      <c r="P112" s="123">
        <f t="shared" si="43"/>
        <v>1.62</v>
      </c>
      <c r="Q112" s="123">
        <f t="shared" si="43"/>
        <v>1.62</v>
      </c>
      <c r="R112" s="123">
        <f t="shared" si="43"/>
        <v>1.62</v>
      </c>
      <c r="S112" s="123">
        <f t="shared" si="43"/>
        <v>1.62</v>
      </c>
      <c r="T112" s="123">
        <f t="shared" ref="T112:AF127" si="44">S112</f>
        <v>1.62</v>
      </c>
      <c r="U112" s="123">
        <f t="shared" si="44"/>
        <v>1.62</v>
      </c>
      <c r="V112" s="123">
        <f t="shared" si="44"/>
        <v>1.62</v>
      </c>
      <c r="W112" s="123">
        <f t="shared" si="44"/>
        <v>1.62</v>
      </c>
      <c r="X112" s="123">
        <f t="shared" si="44"/>
        <v>1.62</v>
      </c>
      <c r="Y112" s="123">
        <f t="shared" si="44"/>
        <v>1.62</v>
      </c>
      <c r="Z112" s="123">
        <f t="shared" si="44"/>
        <v>1.62</v>
      </c>
      <c r="AA112" s="123">
        <f t="shared" si="44"/>
        <v>1.62</v>
      </c>
      <c r="AB112" s="123">
        <f t="shared" si="44"/>
        <v>1.62</v>
      </c>
      <c r="AC112" s="123">
        <f t="shared" si="44"/>
        <v>1.62</v>
      </c>
      <c r="AD112" s="123">
        <f t="shared" si="44"/>
        <v>1.62</v>
      </c>
      <c r="AE112" s="123">
        <f t="shared" si="44"/>
        <v>1.62</v>
      </c>
      <c r="AF112" s="123">
        <f t="shared" si="44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2"/>
        <v>8.36</v>
      </c>
      <c r="C113" s="124">
        <v>8.36</v>
      </c>
      <c r="D113" s="123">
        <f t="shared" si="43"/>
        <v>8.36</v>
      </c>
      <c r="E113" s="123">
        <f t="shared" si="43"/>
        <v>8.36</v>
      </c>
      <c r="F113" s="123">
        <f t="shared" si="43"/>
        <v>8.36</v>
      </c>
      <c r="G113" s="123">
        <f t="shared" si="43"/>
        <v>8.36</v>
      </c>
      <c r="H113" s="123">
        <f t="shared" si="43"/>
        <v>8.36</v>
      </c>
      <c r="I113" s="123">
        <f t="shared" si="43"/>
        <v>8.36</v>
      </c>
      <c r="J113" s="123">
        <f t="shared" si="43"/>
        <v>8.36</v>
      </c>
      <c r="K113" s="123">
        <f t="shared" si="43"/>
        <v>8.36</v>
      </c>
      <c r="L113" s="123">
        <f t="shared" si="43"/>
        <v>8.36</v>
      </c>
      <c r="M113" s="123">
        <f t="shared" si="43"/>
        <v>8.36</v>
      </c>
      <c r="N113" s="123">
        <f t="shared" si="43"/>
        <v>8.36</v>
      </c>
      <c r="O113" s="123">
        <f t="shared" si="43"/>
        <v>8.36</v>
      </c>
      <c r="P113" s="123">
        <f t="shared" si="43"/>
        <v>8.36</v>
      </c>
      <c r="Q113" s="123">
        <f t="shared" si="43"/>
        <v>8.36</v>
      </c>
      <c r="R113" s="123">
        <f t="shared" si="43"/>
        <v>8.36</v>
      </c>
      <c r="S113" s="123">
        <f t="shared" si="43"/>
        <v>8.36</v>
      </c>
      <c r="T113" s="123">
        <f t="shared" si="44"/>
        <v>8.36</v>
      </c>
      <c r="U113" s="123">
        <f t="shared" si="44"/>
        <v>8.36</v>
      </c>
      <c r="V113" s="123">
        <f t="shared" si="44"/>
        <v>8.36</v>
      </c>
      <c r="W113" s="123">
        <f t="shared" si="44"/>
        <v>8.36</v>
      </c>
      <c r="X113" s="123">
        <f t="shared" si="44"/>
        <v>8.36</v>
      </c>
      <c r="Y113" s="123">
        <f t="shared" si="44"/>
        <v>8.36</v>
      </c>
      <c r="Z113" s="123">
        <f t="shared" si="44"/>
        <v>8.36</v>
      </c>
      <c r="AA113" s="123">
        <f t="shared" si="44"/>
        <v>8.36</v>
      </c>
      <c r="AB113" s="123">
        <f t="shared" si="44"/>
        <v>8.36</v>
      </c>
      <c r="AC113" s="123">
        <f t="shared" si="44"/>
        <v>8.36</v>
      </c>
      <c r="AD113" s="123">
        <f t="shared" si="44"/>
        <v>8.36</v>
      </c>
      <c r="AE113" s="123">
        <f t="shared" si="44"/>
        <v>8.36</v>
      </c>
      <c r="AF113" s="123">
        <f t="shared" si="44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2"/>
        <v>5.4</v>
      </c>
      <c r="C114" s="124">
        <v>8</v>
      </c>
      <c r="D114" s="123">
        <f t="shared" si="43"/>
        <v>8</v>
      </c>
      <c r="E114" s="123">
        <f t="shared" si="43"/>
        <v>8</v>
      </c>
      <c r="F114" s="123">
        <f t="shared" si="43"/>
        <v>8</v>
      </c>
      <c r="G114" s="123">
        <f t="shared" si="43"/>
        <v>8</v>
      </c>
      <c r="H114" s="123">
        <f t="shared" si="43"/>
        <v>8</v>
      </c>
      <c r="I114" s="123">
        <f t="shared" si="43"/>
        <v>8</v>
      </c>
      <c r="J114" s="123">
        <v>5.4</v>
      </c>
      <c r="K114" s="123">
        <f t="shared" si="43"/>
        <v>5.4</v>
      </c>
      <c r="L114" s="123">
        <f t="shared" si="43"/>
        <v>5.4</v>
      </c>
      <c r="M114" s="123">
        <f t="shared" si="43"/>
        <v>5.4</v>
      </c>
      <c r="N114" s="123">
        <f t="shared" si="43"/>
        <v>5.4</v>
      </c>
      <c r="O114" s="123">
        <f t="shared" si="43"/>
        <v>5.4</v>
      </c>
      <c r="P114" s="123">
        <f t="shared" si="43"/>
        <v>5.4</v>
      </c>
      <c r="Q114" s="123">
        <f t="shared" si="43"/>
        <v>5.4</v>
      </c>
      <c r="R114" s="123">
        <f t="shared" si="43"/>
        <v>5.4</v>
      </c>
      <c r="S114" s="123">
        <f t="shared" si="43"/>
        <v>5.4</v>
      </c>
      <c r="T114" s="123">
        <f t="shared" si="44"/>
        <v>5.4</v>
      </c>
      <c r="U114" s="123">
        <f t="shared" si="44"/>
        <v>5.4</v>
      </c>
      <c r="V114" s="123">
        <f t="shared" si="44"/>
        <v>5.4</v>
      </c>
      <c r="W114" s="123">
        <f t="shared" si="44"/>
        <v>5.4</v>
      </c>
      <c r="X114" s="123">
        <f t="shared" si="44"/>
        <v>5.4</v>
      </c>
      <c r="Y114" s="123">
        <f t="shared" si="44"/>
        <v>5.4</v>
      </c>
      <c r="Z114" s="123">
        <f t="shared" si="44"/>
        <v>5.4</v>
      </c>
      <c r="AA114" s="123">
        <f t="shared" si="44"/>
        <v>5.4</v>
      </c>
      <c r="AB114" s="123">
        <f t="shared" si="44"/>
        <v>5.4</v>
      </c>
      <c r="AC114" s="123">
        <f t="shared" si="44"/>
        <v>5.4</v>
      </c>
      <c r="AD114" s="123">
        <f t="shared" si="44"/>
        <v>5.4</v>
      </c>
      <c r="AE114" s="123">
        <f t="shared" si="44"/>
        <v>5.4</v>
      </c>
      <c r="AF114" s="123">
        <f t="shared" si="44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2"/>
        <v>6.57</v>
      </c>
      <c r="C115" s="124">
        <v>6.57</v>
      </c>
      <c r="D115" s="123">
        <f t="shared" si="43"/>
        <v>6.57</v>
      </c>
      <c r="E115" s="123">
        <f t="shared" si="43"/>
        <v>6.57</v>
      </c>
      <c r="F115" s="123">
        <f t="shared" si="43"/>
        <v>6.57</v>
      </c>
      <c r="G115" s="123">
        <f t="shared" si="43"/>
        <v>6.57</v>
      </c>
      <c r="H115" s="123">
        <f t="shared" si="43"/>
        <v>6.57</v>
      </c>
      <c r="I115" s="123">
        <f t="shared" si="43"/>
        <v>6.57</v>
      </c>
      <c r="J115" s="123">
        <f t="shared" si="43"/>
        <v>6.57</v>
      </c>
      <c r="K115" s="123">
        <f t="shared" si="43"/>
        <v>6.57</v>
      </c>
      <c r="L115" s="123">
        <f t="shared" si="43"/>
        <v>6.57</v>
      </c>
      <c r="M115" s="123">
        <f t="shared" si="43"/>
        <v>6.57</v>
      </c>
      <c r="N115" s="123">
        <f t="shared" si="43"/>
        <v>6.57</v>
      </c>
      <c r="O115" s="123">
        <f t="shared" si="43"/>
        <v>6.57</v>
      </c>
      <c r="P115" s="123">
        <f t="shared" si="43"/>
        <v>6.57</v>
      </c>
      <c r="Q115" s="123">
        <f t="shared" si="43"/>
        <v>6.57</v>
      </c>
      <c r="R115" s="123">
        <f t="shared" si="43"/>
        <v>6.57</v>
      </c>
      <c r="S115" s="123">
        <f t="shared" si="43"/>
        <v>6.57</v>
      </c>
      <c r="T115" s="123">
        <f t="shared" si="44"/>
        <v>6.57</v>
      </c>
      <c r="U115" s="123">
        <f t="shared" si="44"/>
        <v>6.57</v>
      </c>
      <c r="V115" s="123">
        <f t="shared" si="44"/>
        <v>6.57</v>
      </c>
      <c r="W115" s="123">
        <f t="shared" si="44"/>
        <v>6.57</v>
      </c>
      <c r="X115" s="123">
        <f t="shared" si="44"/>
        <v>6.57</v>
      </c>
      <c r="Y115" s="123">
        <f t="shared" si="44"/>
        <v>6.57</v>
      </c>
      <c r="Z115" s="123">
        <f t="shared" si="44"/>
        <v>6.57</v>
      </c>
      <c r="AA115" s="123">
        <f t="shared" si="44"/>
        <v>6.57</v>
      </c>
      <c r="AB115" s="123">
        <f t="shared" si="44"/>
        <v>6.57</v>
      </c>
      <c r="AC115" s="123">
        <f t="shared" si="44"/>
        <v>6.57</v>
      </c>
      <c r="AD115" s="123">
        <f t="shared" si="44"/>
        <v>6.57</v>
      </c>
      <c r="AE115" s="123">
        <f t="shared" si="44"/>
        <v>6.57</v>
      </c>
      <c r="AF115" s="123">
        <f t="shared" si="44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2"/>
        <v>3.43</v>
      </c>
      <c r="C116" s="124">
        <v>3.43</v>
      </c>
      <c r="D116" s="123">
        <f t="shared" si="43"/>
        <v>3.43</v>
      </c>
      <c r="E116" s="123">
        <f t="shared" si="43"/>
        <v>3.43</v>
      </c>
      <c r="F116" s="123">
        <f t="shared" si="43"/>
        <v>3.43</v>
      </c>
      <c r="G116" s="123">
        <f t="shared" si="43"/>
        <v>3.43</v>
      </c>
      <c r="H116" s="123">
        <f t="shared" si="43"/>
        <v>3.43</v>
      </c>
      <c r="I116" s="123">
        <f t="shared" si="43"/>
        <v>3.43</v>
      </c>
      <c r="J116" s="123">
        <f t="shared" si="43"/>
        <v>3.43</v>
      </c>
      <c r="K116" s="123">
        <f t="shared" si="43"/>
        <v>3.43</v>
      </c>
      <c r="L116" s="123">
        <f t="shared" si="43"/>
        <v>3.43</v>
      </c>
      <c r="M116" s="123">
        <f t="shared" si="43"/>
        <v>3.43</v>
      </c>
      <c r="N116" s="123">
        <f t="shared" si="43"/>
        <v>3.43</v>
      </c>
      <c r="O116" s="123">
        <f t="shared" si="43"/>
        <v>3.43</v>
      </c>
      <c r="P116" s="123">
        <f t="shared" si="43"/>
        <v>3.43</v>
      </c>
      <c r="Q116" s="123">
        <f t="shared" si="43"/>
        <v>3.43</v>
      </c>
      <c r="R116" s="123">
        <f t="shared" si="43"/>
        <v>3.43</v>
      </c>
      <c r="S116" s="123">
        <f t="shared" si="43"/>
        <v>3.43</v>
      </c>
      <c r="T116" s="123">
        <f t="shared" si="44"/>
        <v>3.43</v>
      </c>
      <c r="U116" s="123">
        <f t="shared" si="44"/>
        <v>3.43</v>
      </c>
      <c r="V116" s="123">
        <f t="shared" si="44"/>
        <v>3.43</v>
      </c>
      <c r="W116" s="123">
        <f t="shared" si="44"/>
        <v>3.43</v>
      </c>
      <c r="X116" s="123">
        <f t="shared" si="44"/>
        <v>3.43</v>
      </c>
      <c r="Y116" s="123">
        <f t="shared" si="44"/>
        <v>3.43</v>
      </c>
      <c r="Z116" s="123">
        <f t="shared" si="44"/>
        <v>3.43</v>
      </c>
      <c r="AA116" s="123">
        <f t="shared" si="44"/>
        <v>3.43</v>
      </c>
      <c r="AB116" s="123">
        <f t="shared" si="44"/>
        <v>3.43</v>
      </c>
      <c r="AC116" s="123">
        <f t="shared" si="44"/>
        <v>3.43</v>
      </c>
      <c r="AD116" s="123">
        <f t="shared" si="44"/>
        <v>3.43</v>
      </c>
      <c r="AE116" s="123">
        <f t="shared" si="44"/>
        <v>3.43</v>
      </c>
      <c r="AF116" s="123">
        <f t="shared" si="44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2"/>
        <v>2.96</v>
      </c>
      <c r="C117" s="124">
        <v>2.96</v>
      </c>
      <c r="D117" s="123">
        <f t="shared" si="43"/>
        <v>2.96</v>
      </c>
      <c r="E117" s="123">
        <f t="shared" si="43"/>
        <v>2.96</v>
      </c>
      <c r="F117" s="123">
        <f t="shared" si="43"/>
        <v>2.96</v>
      </c>
      <c r="G117" s="123">
        <f t="shared" si="43"/>
        <v>2.96</v>
      </c>
      <c r="H117" s="123">
        <f t="shared" si="43"/>
        <v>2.96</v>
      </c>
      <c r="I117" s="123">
        <f t="shared" si="43"/>
        <v>2.96</v>
      </c>
      <c r="J117" s="123">
        <f t="shared" si="43"/>
        <v>2.96</v>
      </c>
      <c r="K117" s="123">
        <f t="shared" si="43"/>
        <v>2.96</v>
      </c>
      <c r="L117" s="123">
        <f t="shared" si="43"/>
        <v>2.96</v>
      </c>
      <c r="M117" s="123">
        <f t="shared" si="43"/>
        <v>2.96</v>
      </c>
      <c r="N117" s="123">
        <f t="shared" si="43"/>
        <v>2.96</v>
      </c>
      <c r="O117" s="123">
        <f t="shared" si="43"/>
        <v>2.96</v>
      </c>
      <c r="P117" s="123">
        <f t="shared" si="43"/>
        <v>2.96</v>
      </c>
      <c r="Q117" s="123">
        <f t="shared" si="43"/>
        <v>2.96</v>
      </c>
      <c r="R117" s="123">
        <f t="shared" si="43"/>
        <v>2.96</v>
      </c>
      <c r="S117" s="123">
        <f t="shared" si="43"/>
        <v>2.96</v>
      </c>
      <c r="T117" s="123">
        <f t="shared" si="44"/>
        <v>2.96</v>
      </c>
      <c r="U117" s="123">
        <f t="shared" si="44"/>
        <v>2.96</v>
      </c>
      <c r="V117" s="123">
        <f t="shared" si="44"/>
        <v>2.96</v>
      </c>
      <c r="W117" s="123">
        <f t="shared" si="44"/>
        <v>2.96</v>
      </c>
      <c r="X117" s="123">
        <f t="shared" si="44"/>
        <v>2.96</v>
      </c>
      <c r="Y117" s="123">
        <f t="shared" si="44"/>
        <v>2.96</v>
      </c>
      <c r="Z117" s="123">
        <f t="shared" si="44"/>
        <v>2.96</v>
      </c>
      <c r="AA117" s="123">
        <f t="shared" si="44"/>
        <v>2.96</v>
      </c>
      <c r="AB117" s="123">
        <f t="shared" si="44"/>
        <v>2.96</v>
      </c>
      <c r="AC117" s="123">
        <f t="shared" si="44"/>
        <v>2.96</v>
      </c>
      <c r="AD117" s="123">
        <f t="shared" si="44"/>
        <v>2.96</v>
      </c>
      <c r="AE117" s="123">
        <f t="shared" si="44"/>
        <v>2.96</v>
      </c>
      <c r="AF117" s="123">
        <f t="shared" si="44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2"/>
        <v>8</v>
      </c>
      <c r="C118" s="124">
        <v>8</v>
      </c>
      <c r="D118" s="123">
        <f t="shared" si="43"/>
        <v>8</v>
      </c>
      <c r="E118" s="123">
        <f t="shared" si="43"/>
        <v>8</v>
      </c>
      <c r="F118" s="123">
        <f t="shared" si="43"/>
        <v>8</v>
      </c>
      <c r="G118" s="123">
        <f t="shared" si="43"/>
        <v>8</v>
      </c>
      <c r="H118" s="123">
        <f t="shared" si="43"/>
        <v>8</v>
      </c>
      <c r="I118" s="123">
        <f t="shared" si="43"/>
        <v>8</v>
      </c>
      <c r="J118" s="123">
        <f t="shared" si="43"/>
        <v>8</v>
      </c>
      <c r="K118" s="123">
        <f t="shared" si="43"/>
        <v>8</v>
      </c>
      <c r="L118" s="123">
        <f t="shared" si="43"/>
        <v>8</v>
      </c>
      <c r="M118" s="123">
        <f t="shared" si="43"/>
        <v>8</v>
      </c>
      <c r="N118" s="123">
        <f t="shared" si="43"/>
        <v>8</v>
      </c>
      <c r="O118" s="123">
        <f t="shared" si="43"/>
        <v>8</v>
      </c>
      <c r="P118" s="123">
        <f t="shared" si="43"/>
        <v>8</v>
      </c>
      <c r="Q118" s="123">
        <f t="shared" si="43"/>
        <v>8</v>
      </c>
      <c r="R118" s="123">
        <f t="shared" si="43"/>
        <v>8</v>
      </c>
      <c r="S118" s="123">
        <f t="shared" si="43"/>
        <v>8</v>
      </c>
      <c r="T118" s="123">
        <f t="shared" si="44"/>
        <v>8</v>
      </c>
      <c r="U118" s="123">
        <f t="shared" si="44"/>
        <v>8</v>
      </c>
      <c r="V118" s="123">
        <f t="shared" si="44"/>
        <v>8</v>
      </c>
      <c r="W118" s="123">
        <f t="shared" si="44"/>
        <v>8</v>
      </c>
      <c r="X118" s="123">
        <f t="shared" si="44"/>
        <v>8</v>
      </c>
      <c r="Y118" s="123">
        <f t="shared" si="44"/>
        <v>8</v>
      </c>
      <c r="Z118" s="123">
        <f t="shared" si="44"/>
        <v>8</v>
      </c>
      <c r="AA118" s="123">
        <f t="shared" si="44"/>
        <v>8</v>
      </c>
      <c r="AB118" s="123">
        <f t="shared" si="44"/>
        <v>8</v>
      </c>
      <c r="AC118" s="123">
        <f t="shared" si="44"/>
        <v>8</v>
      </c>
      <c r="AD118" s="123">
        <f t="shared" si="44"/>
        <v>8</v>
      </c>
      <c r="AE118" s="123">
        <f t="shared" si="44"/>
        <v>8</v>
      </c>
      <c r="AF118" s="123">
        <f t="shared" si="44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2"/>
        <v>7</v>
      </c>
      <c r="C119" s="124">
        <v>7</v>
      </c>
      <c r="D119" s="123">
        <f>C119</f>
        <v>7</v>
      </c>
      <c r="E119" s="123">
        <f t="shared" si="43"/>
        <v>7</v>
      </c>
      <c r="F119" s="123">
        <f t="shared" si="43"/>
        <v>7</v>
      </c>
      <c r="G119" s="123">
        <f t="shared" si="43"/>
        <v>7</v>
      </c>
      <c r="H119" s="123">
        <f t="shared" si="43"/>
        <v>7</v>
      </c>
      <c r="I119" s="123">
        <f t="shared" si="43"/>
        <v>7</v>
      </c>
      <c r="J119" s="123">
        <f t="shared" si="43"/>
        <v>7</v>
      </c>
      <c r="K119" s="123">
        <f t="shared" si="43"/>
        <v>7</v>
      </c>
      <c r="L119" s="123">
        <f t="shared" si="43"/>
        <v>7</v>
      </c>
      <c r="M119" s="123">
        <f t="shared" si="43"/>
        <v>7</v>
      </c>
      <c r="N119" s="123">
        <f t="shared" si="43"/>
        <v>7</v>
      </c>
      <c r="O119" s="123">
        <f t="shared" si="43"/>
        <v>7</v>
      </c>
      <c r="P119" s="123">
        <f t="shared" si="43"/>
        <v>7</v>
      </c>
      <c r="Q119" s="123">
        <f t="shared" si="43"/>
        <v>7</v>
      </c>
      <c r="R119" s="123">
        <f t="shared" si="43"/>
        <v>7</v>
      </c>
      <c r="S119" s="123">
        <f t="shared" si="43"/>
        <v>7</v>
      </c>
      <c r="T119" s="123">
        <f t="shared" si="44"/>
        <v>7</v>
      </c>
      <c r="U119" s="123">
        <f t="shared" si="44"/>
        <v>7</v>
      </c>
      <c r="V119" s="123">
        <f t="shared" si="44"/>
        <v>7</v>
      </c>
      <c r="W119" s="123">
        <f t="shared" si="44"/>
        <v>7</v>
      </c>
      <c r="X119" s="123">
        <f t="shared" si="44"/>
        <v>7</v>
      </c>
      <c r="Y119" s="123">
        <f t="shared" si="44"/>
        <v>7</v>
      </c>
      <c r="Z119" s="123">
        <f t="shared" si="44"/>
        <v>7</v>
      </c>
      <c r="AA119" s="123">
        <f t="shared" si="44"/>
        <v>7</v>
      </c>
      <c r="AB119" s="123">
        <f t="shared" si="44"/>
        <v>7</v>
      </c>
      <c r="AC119" s="123">
        <f t="shared" si="44"/>
        <v>7</v>
      </c>
      <c r="AD119" s="123">
        <f t="shared" si="44"/>
        <v>7</v>
      </c>
      <c r="AE119" s="123">
        <f t="shared" si="44"/>
        <v>7</v>
      </c>
      <c r="AF119" s="123">
        <f t="shared" si="44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2"/>
        <v>3.47</v>
      </c>
      <c r="C120" s="124">
        <v>3.47</v>
      </c>
      <c r="D120" s="123">
        <f t="shared" ref="D120:S129" si="45">C120</f>
        <v>3.47</v>
      </c>
      <c r="E120" s="123">
        <f t="shared" si="45"/>
        <v>3.47</v>
      </c>
      <c r="F120" s="123">
        <f t="shared" si="45"/>
        <v>3.47</v>
      </c>
      <c r="G120" s="123">
        <f t="shared" si="45"/>
        <v>3.47</v>
      </c>
      <c r="H120" s="123">
        <f t="shared" si="45"/>
        <v>3.47</v>
      </c>
      <c r="I120" s="123">
        <f t="shared" si="45"/>
        <v>3.47</v>
      </c>
      <c r="J120" s="123">
        <f t="shared" si="45"/>
        <v>3.47</v>
      </c>
      <c r="K120" s="123">
        <f t="shared" si="45"/>
        <v>3.47</v>
      </c>
      <c r="L120" s="123">
        <f t="shared" si="45"/>
        <v>3.47</v>
      </c>
      <c r="M120" s="123">
        <f t="shared" si="45"/>
        <v>3.47</v>
      </c>
      <c r="N120" s="123">
        <f t="shared" si="45"/>
        <v>3.47</v>
      </c>
      <c r="O120" s="123">
        <f t="shared" si="45"/>
        <v>3.47</v>
      </c>
      <c r="P120" s="123">
        <f t="shared" si="45"/>
        <v>3.47</v>
      </c>
      <c r="Q120" s="123">
        <f t="shared" si="45"/>
        <v>3.47</v>
      </c>
      <c r="R120" s="123">
        <f t="shared" si="45"/>
        <v>3.47</v>
      </c>
      <c r="S120" s="123">
        <f t="shared" si="45"/>
        <v>3.47</v>
      </c>
      <c r="T120" s="123">
        <f t="shared" si="44"/>
        <v>3.47</v>
      </c>
      <c r="U120" s="123">
        <f t="shared" si="44"/>
        <v>3.47</v>
      </c>
      <c r="V120" s="123">
        <f t="shared" si="44"/>
        <v>3.47</v>
      </c>
      <c r="W120" s="123">
        <f t="shared" si="44"/>
        <v>3.47</v>
      </c>
      <c r="X120" s="123">
        <f t="shared" si="44"/>
        <v>3.47</v>
      </c>
      <c r="Y120" s="123">
        <f t="shared" si="44"/>
        <v>3.47</v>
      </c>
      <c r="Z120" s="123">
        <f t="shared" si="44"/>
        <v>3.47</v>
      </c>
      <c r="AA120" s="123">
        <f t="shared" si="44"/>
        <v>3.47</v>
      </c>
      <c r="AB120" s="123">
        <f t="shared" si="44"/>
        <v>3.47</v>
      </c>
      <c r="AC120" s="123">
        <f t="shared" si="44"/>
        <v>3.47</v>
      </c>
      <c r="AD120" s="123">
        <f t="shared" si="44"/>
        <v>3.47</v>
      </c>
      <c r="AE120" s="123">
        <f t="shared" si="44"/>
        <v>3.47</v>
      </c>
      <c r="AF120" s="123">
        <f t="shared" si="44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2"/>
        <v>2.1</v>
      </c>
      <c r="C121" s="124">
        <v>2.1</v>
      </c>
      <c r="D121" s="123">
        <f t="shared" si="45"/>
        <v>2.1</v>
      </c>
      <c r="E121" s="123">
        <f t="shared" si="45"/>
        <v>2.1</v>
      </c>
      <c r="F121" s="123">
        <f t="shared" si="45"/>
        <v>2.1</v>
      </c>
      <c r="G121" s="123">
        <f t="shared" si="45"/>
        <v>2.1</v>
      </c>
      <c r="H121" s="123">
        <f t="shared" si="45"/>
        <v>2.1</v>
      </c>
      <c r="I121" s="123">
        <f t="shared" si="45"/>
        <v>2.1</v>
      </c>
      <c r="J121" s="123">
        <f t="shared" si="45"/>
        <v>2.1</v>
      </c>
      <c r="K121" s="123">
        <f t="shared" si="45"/>
        <v>2.1</v>
      </c>
      <c r="L121" s="123">
        <f t="shared" si="45"/>
        <v>2.1</v>
      </c>
      <c r="M121" s="123">
        <f t="shared" si="45"/>
        <v>2.1</v>
      </c>
      <c r="N121" s="123">
        <f t="shared" si="45"/>
        <v>2.1</v>
      </c>
      <c r="O121" s="123">
        <f t="shared" si="45"/>
        <v>2.1</v>
      </c>
      <c r="P121" s="123">
        <f t="shared" si="45"/>
        <v>2.1</v>
      </c>
      <c r="Q121" s="123">
        <f t="shared" si="45"/>
        <v>2.1</v>
      </c>
      <c r="R121" s="123">
        <f t="shared" si="45"/>
        <v>2.1</v>
      </c>
      <c r="S121" s="123">
        <f t="shared" si="45"/>
        <v>2.1</v>
      </c>
      <c r="T121" s="123">
        <f t="shared" si="44"/>
        <v>2.1</v>
      </c>
      <c r="U121" s="123">
        <f t="shared" si="44"/>
        <v>2.1</v>
      </c>
      <c r="V121" s="123">
        <f t="shared" si="44"/>
        <v>2.1</v>
      </c>
      <c r="W121" s="123">
        <f t="shared" si="44"/>
        <v>2.1</v>
      </c>
      <c r="X121" s="123">
        <f t="shared" si="44"/>
        <v>2.1</v>
      </c>
      <c r="Y121" s="123">
        <f t="shared" si="44"/>
        <v>2.1</v>
      </c>
      <c r="Z121" s="123">
        <f t="shared" si="44"/>
        <v>2.1</v>
      </c>
      <c r="AA121" s="123">
        <f t="shared" si="44"/>
        <v>2.1</v>
      </c>
      <c r="AB121" s="123">
        <f t="shared" si="44"/>
        <v>2.1</v>
      </c>
      <c r="AC121" s="123">
        <f t="shared" si="44"/>
        <v>2.1</v>
      </c>
      <c r="AD121" s="123">
        <f t="shared" si="44"/>
        <v>2.1</v>
      </c>
      <c r="AE121" s="123">
        <f t="shared" si="44"/>
        <v>2.1</v>
      </c>
      <c r="AF121" s="123">
        <f t="shared" si="44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2"/>
        <v>9.3000000000000007</v>
      </c>
      <c r="C122" s="124">
        <v>9.3000000000000007</v>
      </c>
      <c r="D122" s="123">
        <f t="shared" si="45"/>
        <v>9.3000000000000007</v>
      </c>
      <c r="E122" s="123">
        <f t="shared" si="45"/>
        <v>9.3000000000000007</v>
      </c>
      <c r="F122" s="123">
        <f t="shared" si="45"/>
        <v>9.3000000000000007</v>
      </c>
      <c r="G122" s="123">
        <f t="shared" si="45"/>
        <v>9.3000000000000007</v>
      </c>
      <c r="H122" s="123">
        <f t="shared" si="45"/>
        <v>9.3000000000000007</v>
      </c>
      <c r="I122" s="123">
        <f t="shared" si="45"/>
        <v>9.3000000000000007</v>
      </c>
      <c r="J122" s="123">
        <f t="shared" si="45"/>
        <v>9.3000000000000007</v>
      </c>
      <c r="K122" s="123">
        <f t="shared" si="45"/>
        <v>9.3000000000000007</v>
      </c>
      <c r="L122" s="123">
        <f t="shared" si="45"/>
        <v>9.3000000000000007</v>
      </c>
      <c r="M122" s="123">
        <f t="shared" si="45"/>
        <v>9.3000000000000007</v>
      </c>
      <c r="N122" s="123">
        <f t="shared" si="45"/>
        <v>9.3000000000000007</v>
      </c>
      <c r="O122" s="123">
        <f t="shared" si="45"/>
        <v>9.3000000000000007</v>
      </c>
      <c r="P122" s="123">
        <f t="shared" si="45"/>
        <v>9.3000000000000007</v>
      </c>
      <c r="Q122" s="123">
        <f t="shared" si="45"/>
        <v>9.3000000000000007</v>
      </c>
      <c r="R122" s="123">
        <f t="shared" si="45"/>
        <v>9.3000000000000007</v>
      </c>
      <c r="S122" s="123">
        <f t="shared" si="45"/>
        <v>9.3000000000000007</v>
      </c>
      <c r="T122" s="123">
        <f t="shared" si="44"/>
        <v>9.3000000000000007</v>
      </c>
      <c r="U122" s="123">
        <f t="shared" si="44"/>
        <v>9.3000000000000007</v>
      </c>
      <c r="V122" s="123">
        <f t="shared" si="44"/>
        <v>9.3000000000000007</v>
      </c>
      <c r="W122" s="123">
        <f t="shared" si="44"/>
        <v>9.3000000000000007</v>
      </c>
      <c r="X122" s="123">
        <f t="shared" si="44"/>
        <v>9.3000000000000007</v>
      </c>
      <c r="Y122" s="123">
        <f t="shared" si="44"/>
        <v>9.3000000000000007</v>
      </c>
      <c r="Z122" s="123">
        <f t="shared" si="44"/>
        <v>9.3000000000000007</v>
      </c>
      <c r="AA122" s="123">
        <f t="shared" si="44"/>
        <v>9.3000000000000007</v>
      </c>
      <c r="AB122" s="123">
        <f t="shared" si="44"/>
        <v>9.3000000000000007</v>
      </c>
      <c r="AC122" s="123">
        <f t="shared" si="44"/>
        <v>9.3000000000000007</v>
      </c>
      <c r="AD122" s="123">
        <f t="shared" si="44"/>
        <v>9.3000000000000007</v>
      </c>
      <c r="AE122" s="123">
        <f t="shared" si="44"/>
        <v>9.3000000000000007</v>
      </c>
      <c r="AF122" s="123">
        <f t="shared" si="44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2"/>
        <v>0</v>
      </c>
      <c r="C123" s="124">
        <v>0</v>
      </c>
      <c r="D123" s="123">
        <f t="shared" si="45"/>
        <v>0</v>
      </c>
      <c r="E123" s="123">
        <f t="shared" si="45"/>
        <v>0</v>
      </c>
      <c r="F123" s="123">
        <f t="shared" si="45"/>
        <v>0</v>
      </c>
      <c r="G123" s="123">
        <f t="shared" si="45"/>
        <v>0</v>
      </c>
      <c r="H123" s="123">
        <f t="shared" si="45"/>
        <v>0</v>
      </c>
      <c r="I123" s="123">
        <f t="shared" si="45"/>
        <v>0</v>
      </c>
      <c r="J123" s="123">
        <f t="shared" si="45"/>
        <v>0</v>
      </c>
      <c r="K123" s="123">
        <f t="shared" si="45"/>
        <v>0</v>
      </c>
      <c r="L123" s="123">
        <f t="shared" si="45"/>
        <v>0</v>
      </c>
      <c r="M123" s="123">
        <f t="shared" si="45"/>
        <v>0</v>
      </c>
      <c r="N123" s="123">
        <f t="shared" si="45"/>
        <v>0</v>
      </c>
      <c r="O123" s="123">
        <f t="shared" si="45"/>
        <v>0</v>
      </c>
      <c r="P123" s="123">
        <f t="shared" si="45"/>
        <v>0</v>
      </c>
      <c r="Q123" s="123">
        <f t="shared" si="45"/>
        <v>0</v>
      </c>
      <c r="R123" s="123">
        <f t="shared" si="45"/>
        <v>0</v>
      </c>
      <c r="S123" s="123">
        <f t="shared" si="45"/>
        <v>0</v>
      </c>
      <c r="T123" s="123">
        <f t="shared" si="44"/>
        <v>0</v>
      </c>
      <c r="U123" s="123">
        <f t="shared" si="44"/>
        <v>0</v>
      </c>
      <c r="V123" s="123">
        <f t="shared" si="44"/>
        <v>0</v>
      </c>
      <c r="W123" s="123">
        <f t="shared" si="44"/>
        <v>0</v>
      </c>
      <c r="X123" s="123">
        <f t="shared" si="44"/>
        <v>0</v>
      </c>
      <c r="Y123" s="123">
        <f t="shared" si="44"/>
        <v>0</v>
      </c>
      <c r="Z123" s="123">
        <f t="shared" si="44"/>
        <v>0</v>
      </c>
      <c r="AA123" s="123">
        <f t="shared" si="44"/>
        <v>0</v>
      </c>
      <c r="AB123" s="123">
        <f t="shared" si="44"/>
        <v>0</v>
      </c>
      <c r="AC123" s="123">
        <f t="shared" si="44"/>
        <v>0</v>
      </c>
      <c r="AD123" s="123">
        <f t="shared" si="44"/>
        <v>0</v>
      </c>
      <c r="AE123" s="123">
        <f t="shared" si="44"/>
        <v>0</v>
      </c>
      <c r="AF123" s="123">
        <f t="shared" si="44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2"/>
        <v>0</v>
      </c>
      <c r="C124" s="124">
        <v>0</v>
      </c>
      <c r="D124" s="123">
        <f t="shared" si="45"/>
        <v>0</v>
      </c>
      <c r="E124" s="123">
        <f t="shared" si="45"/>
        <v>0</v>
      </c>
      <c r="F124" s="123">
        <f t="shared" si="45"/>
        <v>0</v>
      </c>
      <c r="G124" s="123">
        <f t="shared" si="45"/>
        <v>0</v>
      </c>
      <c r="H124" s="123">
        <f t="shared" si="45"/>
        <v>0</v>
      </c>
      <c r="I124" s="123">
        <f t="shared" si="45"/>
        <v>0</v>
      </c>
      <c r="J124" s="123">
        <f t="shared" si="45"/>
        <v>0</v>
      </c>
      <c r="K124" s="123">
        <f t="shared" si="45"/>
        <v>0</v>
      </c>
      <c r="L124" s="123">
        <f t="shared" si="45"/>
        <v>0</v>
      </c>
      <c r="M124" s="123">
        <f t="shared" si="45"/>
        <v>0</v>
      </c>
      <c r="N124" s="123">
        <f t="shared" si="45"/>
        <v>0</v>
      </c>
      <c r="O124" s="123">
        <f t="shared" si="45"/>
        <v>0</v>
      </c>
      <c r="P124" s="123">
        <f t="shared" si="45"/>
        <v>0</v>
      </c>
      <c r="Q124" s="123">
        <f t="shared" si="45"/>
        <v>0</v>
      </c>
      <c r="R124" s="123">
        <f t="shared" si="45"/>
        <v>0</v>
      </c>
      <c r="S124" s="123">
        <f t="shared" si="45"/>
        <v>0</v>
      </c>
      <c r="T124" s="123">
        <f t="shared" si="44"/>
        <v>0</v>
      </c>
      <c r="U124" s="123">
        <f t="shared" si="44"/>
        <v>0</v>
      </c>
      <c r="V124" s="123">
        <f t="shared" si="44"/>
        <v>0</v>
      </c>
      <c r="W124" s="123">
        <f t="shared" si="44"/>
        <v>0</v>
      </c>
      <c r="X124" s="123">
        <f t="shared" si="44"/>
        <v>0</v>
      </c>
      <c r="Y124" s="123">
        <f t="shared" si="44"/>
        <v>0</v>
      </c>
      <c r="Z124" s="123">
        <f t="shared" si="44"/>
        <v>0</v>
      </c>
      <c r="AA124" s="123">
        <f t="shared" si="44"/>
        <v>0</v>
      </c>
      <c r="AB124" s="123">
        <f t="shared" si="44"/>
        <v>0</v>
      </c>
      <c r="AC124" s="123">
        <f t="shared" si="44"/>
        <v>0</v>
      </c>
      <c r="AD124" s="123">
        <f t="shared" si="44"/>
        <v>0</v>
      </c>
      <c r="AE124" s="123">
        <f t="shared" si="44"/>
        <v>0</v>
      </c>
      <c r="AF124" s="123">
        <f t="shared" si="4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2"/>
        <v>;/</v>
      </c>
      <c r="C125" s="124">
        <v>5</v>
      </c>
      <c r="D125" s="123">
        <f t="shared" si="45"/>
        <v>5</v>
      </c>
      <c r="E125" s="123">
        <f t="shared" si="45"/>
        <v>5</v>
      </c>
      <c r="F125" s="123">
        <f t="shared" si="45"/>
        <v>5</v>
      </c>
      <c r="G125" s="123">
        <f t="shared" si="45"/>
        <v>5</v>
      </c>
      <c r="H125" s="123">
        <f t="shared" si="45"/>
        <v>5</v>
      </c>
      <c r="I125" s="123" t="s">
        <v>130</v>
      </c>
      <c r="J125" s="123" t="str">
        <f t="shared" si="45"/>
        <v>;/</v>
      </c>
      <c r="K125" s="123" t="str">
        <f t="shared" si="45"/>
        <v>;/</v>
      </c>
      <c r="L125" s="123" t="str">
        <f t="shared" si="45"/>
        <v>;/</v>
      </c>
      <c r="M125" s="123" t="str">
        <f t="shared" si="45"/>
        <v>;/</v>
      </c>
      <c r="N125" s="123" t="str">
        <f t="shared" si="45"/>
        <v>;/</v>
      </c>
      <c r="O125" s="123" t="str">
        <f t="shared" si="45"/>
        <v>;/</v>
      </c>
      <c r="P125" s="123" t="str">
        <f t="shared" si="45"/>
        <v>;/</v>
      </c>
      <c r="Q125" s="123" t="str">
        <f t="shared" si="45"/>
        <v>;/</v>
      </c>
      <c r="R125" s="123" t="str">
        <f t="shared" si="45"/>
        <v>;/</v>
      </c>
      <c r="S125" s="123" t="str">
        <f t="shared" si="45"/>
        <v>;/</v>
      </c>
      <c r="T125" s="123" t="str">
        <f t="shared" si="44"/>
        <v>;/</v>
      </c>
      <c r="U125" s="123" t="str">
        <f t="shared" si="44"/>
        <v>;/</v>
      </c>
      <c r="V125" s="123" t="str">
        <f t="shared" si="44"/>
        <v>;/</v>
      </c>
      <c r="W125" s="123" t="str">
        <f t="shared" si="44"/>
        <v>;/</v>
      </c>
      <c r="X125" s="123" t="str">
        <f t="shared" si="44"/>
        <v>;/</v>
      </c>
      <c r="Y125" s="123" t="str">
        <f t="shared" si="44"/>
        <v>;/</v>
      </c>
      <c r="Z125" s="123" t="str">
        <f t="shared" si="44"/>
        <v>;/</v>
      </c>
      <c r="AA125" s="123" t="str">
        <f t="shared" si="44"/>
        <v>;/</v>
      </c>
      <c r="AB125" s="123" t="str">
        <f t="shared" si="44"/>
        <v>;/</v>
      </c>
      <c r="AC125" s="123" t="str">
        <f t="shared" si="44"/>
        <v>;/</v>
      </c>
      <c r="AD125" s="123" t="str">
        <f t="shared" si="44"/>
        <v>;/</v>
      </c>
      <c r="AE125" s="123" t="str">
        <f t="shared" si="44"/>
        <v>;/</v>
      </c>
      <c r="AF125" s="123" t="str">
        <f t="shared" si="44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2"/>
        <v>1</v>
      </c>
      <c r="C126" s="124">
        <v>1</v>
      </c>
      <c r="D126" s="123">
        <f t="shared" si="45"/>
        <v>1</v>
      </c>
      <c r="E126" s="123">
        <f t="shared" si="45"/>
        <v>1</v>
      </c>
      <c r="F126" s="123">
        <f t="shared" si="45"/>
        <v>1</v>
      </c>
      <c r="G126" s="123">
        <f t="shared" si="45"/>
        <v>1</v>
      </c>
      <c r="H126" s="123">
        <f t="shared" si="45"/>
        <v>1</v>
      </c>
      <c r="I126" s="123">
        <f t="shared" si="45"/>
        <v>1</v>
      </c>
      <c r="J126" s="123">
        <f t="shared" si="45"/>
        <v>1</v>
      </c>
      <c r="K126" s="123">
        <f t="shared" si="45"/>
        <v>1</v>
      </c>
      <c r="L126" s="123">
        <f t="shared" si="45"/>
        <v>1</v>
      </c>
      <c r="M126" s="123">
        <f t="shared" si="45"/>
        <v>1</v>
      </c>
      <c r="N126" s="123">
        <f t="shared" si="45"/>
        <v>1</v>
      </c>
      <c r="O126" s="123">
        <f t="shared" si="45"/>
        <v>1</v>
      </c>
      <c r="P126" s="123">
        <f t="shared" si="45"/>
        <v>1</v>
      </c>
      <c r="Q126" s="123">
        <f t="shared" si="45"/>
        <v>1</v>
      </c>
      <c r="R126" s="123">
        <f t="shared" si="45"/>
        <v>1</v>
      </c>
      <c r="S126" s="123">
        <f t="shared" si="45"/>
        <v>1</v>
      </c>
      <c r="T126" s="123">
        <f t="shared" si="44"/>
        <v>1</v>
      </c>
      <c r="U126" s="123">
        <f t="shared" si="44"/>
        <v>1</v>
      </c>
      <c r="V126" s="123">
        <f t="shared" si="44"/>
        <v>1</v>
      </c>
      <c r="W126" s="123">
        <f t="shared" si="44"/>
        <v>1</v>
      </c>
      <c r="X126" s="123">
        <f t="shared" si="44"/>
        <v>1</v>
      </c>
      <c r="Y126" s="123">
        <f t="shared" si="44"/>
        <v>1</v>
      </c>
      <c r="Z126" s="123">
        <f t="shared" si="44"/>
        <v>1</v>
      </c>
      <c r="AA126" s="123">
        <f t="shared" si="44"/>
        <v>1</v>
      </c>
      <c r="AB126" s="123">
        <f t="shared" si="44"/>
        <v>1</v>
      </c>
      <c r="AC126" s="123">
        <f t="shared" si="44"/>
        <v>1</v>
      </c>
      <c r="AD126" s="123">
        <f t="shared" si="44"/>
        <v>1</v>
      </c>
      <c r="AE126" s="123">
        <f t="shared" si="44"/>
        <v>1</v>
      </c>
      <c r="AF126" s="123">
        <f t="shared" si="44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2"/>
        <v>1.58</v>
      </c>
      <c r="C127" s="124">
        <v>1.58</v>
      </c>
      <c r="D127" s="123">
        <f t="shared" si="45"/>
        <v>1.58</v>
      </c>
      <c r="E127" s="123">
        <f t="shared" si="45"/>
        <v>1.58</v>
      </c>
      <c r="F127" s="123">
        <f t="shared" si="45"/>
        <v>1.58</v>
      </c>
      <c r="G127" s="123">
        <f t="shared" si="45"/>
        <v>1.58</v>
      </c>
      <c r="H127" s="123">
        <f t="shared" si="45"/>
        <v>1.58</v>
      </c>
      <c r="I127" s="123">
        <f t="shared" si="45"/>
        <v>1.58</v>
      </c>
      <c r="J127" s="123">
        <f t="shared" si="45"/>
        <v>1.58</v>
      </c>
      <c r="K127" s="123">
        <f t="shared" si="45"/>
        <v>1.58</v>
      </c>
      <c r="L127" s="123">
        <f t="shared" si="45"/>
        <v>1.58</v>
      </c>
      <c r="M127" s="123">
        <f t="shared" si="45"/>
        <v>1.58</v>
      </c>
      <c r="N127" s="123">
        <f t="shared" si="45"/>
        <v>1.58</v>
      </c>
      <c r="O127" s="123">
        <f t="shared" si="45"/>
        <v>1.58</v>
      </c>
      <c r="P127" s="123">
        <f t="shared" si="45"/>
        <v>1.58</v>
      </c>
      <c r="Q127" s="123">
        <f t="shared" si="45"/>
        <v>1.58</v>
      </c>
      <c r="R127" s="123">
        <f t="shared" si="45"/>
        <v>1.58</v>
      </c>
      <c r="S127" s="123">
        <f t="shared" si="45"/>
        <v>1.58</v>
      </c>
      <c r="T127" s="123">
        <f t="shared" si="44"/>
        <v>1.58</v>
      </c>
      <c r="U127" s="123">
        <f t="shared" si="44"/>
        <v>1.58</v>
      </c>
      <c r="V127" s="123">
        <f t="shared" si="44"/>
        <v>1.58</v>
      </c>
      <c r="W127" s="123">
        <f t="shared" si="44"/>
        <v>1.58</v>
      </c>
      <c r="X127" s="123">
        <f t="shared" si="44"/>
        <v>1.58</v>
      </c>
      <c r="Y127" s="123">
        <f t="shared" si="44"/>
        <v>1.58</v>
      </c>
      <c r="Z127" s="123">
        <f t="shared" si="44"/>
        <v>1.58</v>
      </c>
      <c r="AA127" s="123">
        <f t="shared" si="44"/>
        <v>1.58</v>
      </c>
      <c r="AB127" s="123">
        <f t="shared" si="44"/>
        <v>1.58</v>
      </c>
      <c r="AC127" s="123">
        <f t="shared" si="44"/>
        <v>1.58</v>
      </c>
      <c r="AD127" s="123">
        <f t="shared" si="44"/>
        <v>1.58</v>
      </c>
      <c r="AE127" s="123">
        <f t="shared" si="44"/>
        <v>1.58</v>
      </c>
      <c r="AF127" s="123">
        <f t="shared" si="44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2"/>
        <v>1.46</v>
      </c>
      <c r="C128" s="124">
        <v>1.46</v>
      </c>
      <c r="D128" s="123">
        <f t="shared" si="45"/>
        <v>1.46</v>
      </c>
      <c r="E128" s="123">
        <f t="shared" si="45"/>
        <v>1.46</v>
      </c>
      <c r="F128" s="123">
        <f t="shared" si="45"/>
        <v>1.46</v>
      </c>
      <c r="G128" s="123">
        <f t="shared" si="45"/>
        <v>1.46</v>
      </c>
      <c r="H128" s="123">
        <f t="shared" si="45"/>
        <v>1.46</v>
      </c>
      <c r="I128" s="123">
        <f t="shared" si="45"/>
        <v>1.46</v>
      </c>
      <c r="J128" s="123">
        <f t="shared" si="45"/>
        <v>1.46</v>
      </c>
      <c r="K128" s="123">
        <f t="shared" si="45"/>
        <v>1.46</v>
      </c>
      <c r="L128" s="123">
        <f t="shared" si="45"/>
        <v>1.46</v>
      </c>
      <c r="M128" s="123">
        <f t="shared" si="45"/>
        <v>1.46</v>
      </c>
      <c r="N128" s="123">
        <f t="shared" si="45"/>
        <v>1.46</v>
      </c>
      <c r="O128" s="123">
        <f t="shared" si="45"/>
        <v>1.46</v>
      </c>
      <c r="P128" s="123">
        <f t="shared" si="45"/>
        <v>1.46</v>
      </c>
      <c r="Q128" s="123">
        <f t="shared" si="45"/>
        <v>1.46</v>
      </c>
      <c r="R128" s="123">
        <f t="shared" si="45"/>
        <v>1.46</v>
      </c>
      <c r="S128" s="123">
        <f t="shared" si="45"/>
        <v>1.46</v>
      </c>
      <c r="T128" s="123">
        <f t="shared" ref="T128:AF129" si="46">S128</f>
        <v>1.46</v>
      </c>
      <c r="U128" s="123">
        <f t="shared" si="46"/>
        <v>1.46</v>
      </c>
      <c r="V128" s="123">
        <f t="shared" si="46"/>
        <v>1.46</v>
      </c>
      <c r="W128" s="123">
        <f t="shared" si="46"/>
        <v>1.46</v>
      </c>
      <c r="X128" s="123">
        <f t="shared" si="46"/>
        <v>1.46</v>
      </c>
      <c r="Y128" s="123">
        <f t="shared" si="46"/>
        <v>1.46</v>
      </c>
      <c r="Z128" s="123">
        <f t="shared" si="46"/>
        <v>1.46</v>
      </c>
      <c r="AA128" s="123">
        <f t="shared" si="46"/>
        <v>1.46</v>
      </c>
      <c r="AB128" s="123">
        <f t="shared" si="46"/>
        <v>1.46</v>
      </c>
      <c r="AC128" s="123">
        <f t="shared" si="46"/>
        <v>1.46</v>
      </c>
      <c r="AD128" s="123">
        <f t="shared" si="46"/>
        <v>1.46</v>
      </c>
      <c r="AE128" s="123">
        <f t="shared" si="46"/>
        <v>1.46</v>
      </c>
      <c r="AF128" s="123">
        <f t="shared" si="46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2"/>
        <v>1.48</v>
      </c>
      <c r="C129" s="124">
        <v>1.48</v>
      </c>
      <c r="D129" s="123">
        <f t="shared" si="45"/>
        <v>1.48</v>
      </c>
      <c r="E129" s="123">
        <f t="shared" si="45"/>
        <v>1.48</v>
      </c>
      <c r="F129" s="123">
        <f t="shared" si="45"/>
        <v>1.48</v>
      </c>
      <c r="G129" s="123">
        <f t="shared" si="45"/>
        <v>1.48</v>
      </c>
      <c r="H129" s="123">
        <f t="shared" si="45"/>
        <v>1.48</v>
      </c>
      <c r="I129" s="123">
        <f t="shared" si="45"/>
        <v>1.48</v>
      </c>
      <c r="J129" s="123">
        <f t="shared" si="45"/>
        <v>1.48</v>
      </c>
      <c r="K129" s="123">
        <f t="shared" si="45"/>
        <v>1.48</v>
      </c>
      <c r="L129" s="123">
        <f t="shared" si="45"/>
        <v>1.48</v>
      </c>
      <c r="M129" s="123">
        <f t="shared" si="45"/>
        <v>1.48</v>
      </c>
      <c r="N129" s="123">
        <f t="shared" si="45"/>
        <v>1.48</v>
      </c>
      <c r="O129" s="123">
        <f t="shared" si="45"/>
        <v>1.48</v>
      </c>
      <c r="P129" s="123">
        <f t="shared" si="45"/>
        <v>1.48</v>
      </c>
      <c r="Q129" s="123">
        <f t="shared" si="45"/>
        <v>1.48</v>
      </c>
      <c r="R129" s="123">
        <f t="shared" si="45"/>
        <v>1.48</v>
      </c>
      <c r="S129" s="123">
        <f t="shared" si="45"/>
        <v>1.48</v>
      </c>
      <c r="T129" s="123">
        <f t="shared" si="46"/>
        <v>1.48</v>
      </c>
      <c r="U129" s="123">
        <f t="shared" si="46"/>
        <v>1.48</v>
      </c>
      <c r="V129" s="123">
        <f t="shared" si="46"/>
        <v>1.48</v>
      </c>
      <c r="W129" s="123">
        <f t="shared" si="46"/>
        <v>1.48</v>
      </c>
      <c r="X129" s="123">
        <f t="shared" si="46"/>
        <v>1.48</v>
      </c>
      <c r="Y129" s="123">
        <f t="shared" si="46"/>
        <v>1.48</v>
      </c>
      <c r="Z129" s="123">
        <f t="shared" si="46"/>
        <v>1.48</v>
      </c>
      <c r="AA129" s="123">
        <f t="shared" si="46"/>
        <v>1.48</v>
      </c>
      <c r="AB129" s="123">
        <f t="shared" si="46"/>
        <v>1.48</v>
      </c>
      <c r="AC129" s="123">
        <f t="shared" si="46"/>
        <v>1.48</v>
      </c>
      <c r="AD129" s="123">
        <f t="shared" si="46"/>
        <v>1.48</v>
      </c>
      <c r="AE129" s="123">
        <f t="shared" si="46"/>
        <v>1.48</v>
      </c>
      <c r="AF129" s="123">
        <f t="shared" si="46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47">AF131</f>
        <v>2.2000000000000002</v>
      </c>
      <c r="C131" s="124">
        <v>2.2000000000000002</v>
      </c>
      <c r="D131" s="123">
        <f t="shared" ref="D131:S138" si="48">C131</f>
        <v>2.2000000000000002</v>
      </c>
      <c r="E131" s="123">
        <f t="shared" si="48"/>
        <v>2.2000000000000002</v>
      </c>
      <c r="F131" s="123">
        <f t="shared" si="48"/>
        <v>2.2000000000000002</v>
      </c>
      <c r="G131" s="123">
        <f t="shared" si="48"/>
        <v>2.2000000000000002</v>
      </c>
      <c r="H131" s="123">
        <f t="shared" si="48"/>
        <v>2.2000000000000002</v>
      </c>
      <c r="I131" s="123">
        <f t="shared" si="48"/>
        <v>2.2000000000000002</v>
      </c>
      <c r="J131" s="123">
        <f t="shared" si="48"/>
        <v>2.2000000000000002</v>
      </c>
      <c r="K131" s="123">
        <f t="shared" si="48"/>
        <v>2.2000000000000002</v>
      </c>
      <c r="L131" s="123">
        <f t="shared" si="48"/>
        <v>2.2000000000000002</v>
      </c>
      <c r="M131" s="123">
        <f t="shared" si="48"/>
        <v>2.2000000000000002</v>
      </c>
      <c r="N131" s="123">
        <f t="shared" si="48"/>
        <v>2.2000000000000002</v>
      </c>
      <c r="O131" s="123">
        <f t="shared" si="48"/>
        <v>2.2000000000000002</v>
      </c>
      <c r="P131" s="123">
        <f t="shared" si="48"/>
        <v>2.2000000000000002</v>
      </c>
      <c r="Q131" s="123">
        <f t="shared" si="48"/>
        <v>2.2000000000000002</v>
      </c>
      <c r="R131" s="123">
        <f t="shared" si="48"/>
        <v>2.2000000000000002</v>
      </c>
      <c r="S131" s="123">
        <f t="shared" si="48"/>
        <v>2.2000000000000002</v>
      </c>
      <c r="T131" s="123">
        <f t="shared" ref="T131:AF138" si="49">S131</f>
        <v>2.2000000000000002</v>
      </c>
      <c r="U131" s="123">
        <f t="shared" si="49"/>
        <v>2.2000000000000002</v>
      </c>
      <c r="V131" s="123">
        <f t="shared" si="49"/>
        <v>2.2000000000000002</v>
      </c>
      <c r="W131" s="123">
        <f t="shared" si="49"/>
        <v>2.2000000000000002</v>
      </c>
      <c r="X131" s="123">
        <f t="shared" si="49"/>
        <v>2.2000000000000002</v>
      </c>
      <c r="Y131" s="123">
        <f t="shared" si="49"/>
        <v>2.2000000000000002</v>
      </c>
      <c r="Z131" s="123">
        <f t="shared" si="49"/>
        <v>2.2000000000000002</v>
      </c>
      <c r="AA131" s="123">
        <f t="shared" si="49"/>
        <v>2.2000000000000002</v>
      </c>
      <c r="AB131" s="123">
        <f t="shared" si="49"/>
        <v>2.2000000000000002</v>
      </c>
      <c r="AC131" s="123">
        <f t="shared" si="49"/>
        <v>2.2000000000000002</v>
      </c>
      <c r="AD131" s="123">
        <f t="shared" si="49"/>
        <v>2.2000000000000002</v>
      </c>
      <c r="AE131" s="123">
        <f t="shared" si="49"/>
        <v>2.2000000000000002</v>
      </c>
      <c r="AF131" s="123">
        <f t="shared" si="49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47"/>
        <v>2</v>
      </c>
      <c r="C132" s="124">
        <v>2</v>
      </c>
      <c r="D132" s="123">
        <f t="shared" si="48"/>
        <v>2</v>
      </c>
      <c r="E132" s="123">
        <f t="shared" si="48"/>
        <v>2</v>
      </c>
      <c r="F132" s="123">
        <f t="shared" si="48"/>
        <v>2</v>
      </c>
      <c r="G132" s="123">
        <f t="shared" si="48"/>
        <v>2</v>
      </c>
      <c r="H132" s="123">
        <f t="shared" si="48"/>
        <v>2</v>
      </c>
      <c r="I132" s="123">
        <f t="shared" si="48"/>
        <v>2</v>
      </c>
      <c r="J132" s="123">
        <f t="shared" si="48"/>
        <v>2</v>
      </c>
      <c r="K132" s="123">
        <f t="shared" si="48"/>
        <v>2</v>
      </c>
      <c r="L132" s="123">
        <f t="shared" si="48"/>
        <v>2</v>
      </c>
      <c r="M132" s="123">
        <f t="shared" si="48"/>
        <v>2</v>
      </c>
      <c r="N132" s="123">
        <f t="shared" si="48"/>
        <v>2</v>
      </c>
      <c r="O132" s="123">
        <f t="shared" si="48"/>
        <v>2</v>
      </c>
      <c r="P132" s="123">
        <f t="shared" si="48"/>
        <v>2</v>
      </c>
      <c r="Q132" s="123">
        <f t="shared" si="48"/>
        <v>2</v>
      </c>
      <c r="R132" s="123">
        <f t="shared" si="48"/>
        <v>2</v>
      </c>
      <c r="S132" s="123">
        <f t="shared" si="48"/>
        <v>2</v>
      </c>
      <c r="T132" s="123">
        <f t="shared" si="49"/>
        <v>2</v>
      </c>
      <c r="U132" s="123">
        <f t="shared" si="49"/>
        <v>2</v>
      </c>
      <c r="V132" s="123">
        <f t="shared" si="49"/>
        <v>2</v>
      </c>
      <c r="W132" s="123">
        <f t="shared" si="49"/>
        <v>2</v>
      </c>
      <c r="X132" s="123">
        <f t="shared" si="49"/>
        <v>2</v>
      </c>
      <c r="Y132" s="123">
        <f t="shared" si="49"/>
        <v>2</v>
      </c>
      <c r="Z132" s="123">
        <f t="shared" si="49"/>
        <v>2</v>
      </c>
      <c r="AA132" s="123">
        <f t="shared" si="49"/>
        <v>2</v>
      </c>
      <c r="AB132" s="123">
        <f t="shared" si="49"/>
        <v>2</v>
      </c>
      <c r="AC132" s="123">
        <f t="shared" si="49"/>
        <v>2</v>
      </c>
      <c r="AD132" s="123">
        <f t="shared" si="49"/>
        <v>2</v>
      </c>
      <c r="AE132" s="123">
        <f t="shared" si="49"/>
        <v>2</v>
      </c>
      <c r="AF132" s="123">
        <f t="shared" si="49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47"/>
        <v>1.25</v>
      </c>
      <c r="C133" s="124">
        <v>1.25</v>
      </c>
      <c r="D133" s="123">
        <f t="shared" si="48"/>
        <v>1.25</v>
      </c>
      <c r="E133" s="123">
        <f t="shared" si="48"/>
        <v>1.25</v>
      </c>
      <c r="F133" s="123">
        <f t="shared" si="48"/>
        <v>1.25</v>
      </c>
      <c r="G133" s="123">
        <f t="shared" si="48"/>
        <v>1.25</v>
      </c>
      <c r="H133" s="123">
        <f t="shared" si="48"/>
        <v>1.25</v>
      </c>
      <c r="I133" s="123">
        <f t="shared" si="48"/>
        <v>1.25</v>
      </c>
      <c r="J133" s="123">
        <f t="shared" si="48"/>
        <v>1.25</v>
      </c>
      <c r="K133" s="123">
        <f t="shared" si="48"/>
        <v>1.25</v>
      </c>
      <c r="L133" s="123">
        <f t="shared" si="48"/>
        <v>1.25</v>
      </c>
      <c r="M133" s="123">
        <f t="shared" si="48"/>
        <v>1.25</v>
      </c>
      <c r="N133" s="123">
        <f t="shared" si="48"/>
        <v>1.25</v>
      </c>
      <c r="O133" s="123">
        <f t="shared" si="48"/>
        <v>1.25</v>
      </c>
      <c r="P133" s="123">
        <f t="shared" si="48"/>
        <v>1.25</v>
      </c>
      <c r="Q133" s="123">
        <f t="shared" si="48"/>
        <v>1.25</v>
      </c>
      <c r="R133" s="123">
        <f t="shared" si="48"/>
        <v>1.25</v>
      </c>
      <c r="S133" s="123">
        <f t="shared" si="48"/>
        <v>1.25</v>
      </c>
      <c r="T133" s="123">
        <f t="shared" si="49"/>
        <v>1.25</v>
      </c>
      <c r="U133" s="123">
        <f t="shared" si="49"/>
        <v>1.25</v>
      </c>
      <c r="V133" s="123">
        <f t="shared" si="49"/>
        <v>1.25</v>
      </c>
      <c r="W133" s="123">
        <f t="shared" si="49"/>
        <v>1.25</v>
      </c>
      <c r="X133" s="123">
        <f t="shared" si="49"/>
        <v>1.25</v>
      </c>
      <c r="Y133" s="123">
        <f t="shared" si="49"/>
        <v>1.25</v>
      </c>
      <c r="Z133" s="123">
        <f t="shared" si="49"/>
        <v>1.25</v>
      </c>
      <c r="AA133" s="123">
        <f t="shared" si="49"/>
        <v>1.25</v>
      </c>
      <c r="AB133" s="123">
        <f t="shared" si="49"/>
        <v>1.25</v>
      </c>
      <c r="AC133" s="123">
        <f t="shared" si="49"/>
        <v>1.25</v>
      </c>
      <c r="AD133" s="123">
        <f t="shared" si="49"/>
        <v>1.25</v>
      </c>
      <c r="AE133" s="123">
        <f t="shared" si="49"/>
        <v>1.25</v>
      </c>
      <c r="AF133" s="123">
        <f t="shared" si="49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47"/>
        <v>1.1499999999999999</v>
      </c>
      <c r="C134" s="124">
        <v>1.1499999999999999</v>
      </c>
      <c r="D134" s="123">
        <f t="shared" si="48"/>
        <v>1.1499999999999999</v>
      </c>
      <c r="E134" s="123">
        <f t="shared" si="48"/>
        <v>1.1499999999999999</v>
      </c>
      <c r="F134" s="123">
        <f t="shared" si="48"/>
        <v>1.1499999999999999</v>
      </c>
      <c r="G134" s="123">
        <f t="shared" si="48"/>
        <v>1.1499999999999999</v>
      </c>
      <c r="H134" s="123">
        <f t="shared" si="48"/>
        <v>1.1499999999999999</v>
      </c>
      <c r="I134" s="123">
        <f t="shared" si="48"/>
        <v>1.1499999999999999</v>
      </c>
      <c r="J134" s="123">
        <f t="shared" si="48"/>
        <v>1.1499999999999999</v>
      </c>
      <c r="K134" s="123">
        <f t="shared" si="48"/>
        <v>1.1499999999999999</v>
      </c>
      <c r="L134" s="123">
        <f t="shared" si="48"/>
        <v>1.1499999999999999</v>
      </c>
      <c r="M134" s="123">
        <f t="shared" si="48"/>
        <v>1.1499999999999999</v>
      </c>
      <c r="N134" s="123">
        <f t="shared" si="48"/>
        <v>1.1499999999999999</v>
      </c>
      <c r="O134" s="123">
        <f t="shared" si="48"/>
        <v>1.1499999999999999</v>
      </c>
      <c r="P134" s="123">
        <f t="shared" si="48"/>
        <v>1.1499999999999999</v>
      </c>
      <c r="Q134" s="123">
        <f t="shared" si="48"/>
        <v>1.1499999999999999</v>
      </c>
      <c r="R134" s="123">
        <f t="shared" si="48"/>
        <v>1.1499999999999999</v>
      </c>
      <c r="S134" s="123">
        <f t="shared" si="48"/>
        <v>1.1499999999999999</v>
      </c>
      <c r="T134" s="123">
        <f t="shared" si="49"/>
        <v>1.1499999999999999</v>
      </c>
      <c r="U134" s="123">
        <f t="shared" si="49"/>
        <v>1.1499999999999999</v>
      </c>
      <c r="V134" s="123">
        <f t="shared" si="49"/>
        <v>1.1499999999999999</v>
      </c>
      <c r="W134" s="123">
        <f t="shared" si="49"/>
        <v>1.1499999999999999</v>
      </c>
      <c r="X134" s="123">
        <f t="shared" si="49"/>
        <v>1.1499999999999999</v>
      </c>
      <c r="Y134" s="123">
        <f t="shared" si="49"/>
        <v>1.1499999999999999</v>
      </c>
      <c r="Z134" s="123">
        <f t="shared" si="49"/>
        <v>1.1499999999999999</v>
      </c>
      <c r="AA134" s="123">
        <f t="shared" si="49"/>
        <v>1.1499999999999999</v>
      </c>
      <c r="AB134" s="123">
        <f t="shared" si="49"/>
        <v>1.1499999999999999</v>
      </c>
      <c r="AC134" s="123">
        <f t="shared" si="49"/>
        <v>1.1499999999999999</v>
      </c>
      <c r="AD134" s="123">
        <f t="shared" si="49"/>
        <v>1.1499999999999999</v>
      </c>
      <c r="AE134" s="123">
        <f t="shared" si="49"/>
        <v>1.1499999999999999</v>
      </c>
      <c r="AF134" s="123">
        <f t="shared" si="49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47"/>
        <v>2.133</v>
      </c>
      <c r="C135" s="124">
        <v>2.133</v>
      </c>
      <c r="D135" s="123">
        <f t="shared" si="48"/>
        <v>2.133</v>
      </c>
      <c r="E135" s="123">
        <f t="shared" si="48"/>
        <v>2.133</v>
      </c>
      <c r="F135" s="123">
        <f t="shared" si="48"/>
        <v>2.133</v>
      </c>
      <c r="G135" s="123">
        <f t="shared" si="48"/>
        <v>2.133</v>
      </c>
      <c r="H135" s="123">
        <f t="shared" si="48"/>
        <v>2.133</v>
      </c>
      <c r="I135" s="123">
        <f t="shared" si="48"/>
        <v>2.133</v>
      </c>
      <c r="J135" s="123">
        <f t="shared" si="48"/>
        <v>2.133</v>
      </c>
      <c r="K135" s="123">
        <f t="shared" si="48"/>
        <v>2.133</v>
      </c>
      <c r="L135" s="123">
        <f t="shared" si="48"/>
        <v>2.133</v>
      </c>
      <c r="M135" s="123">
        <f t="shared" si="48"/>
        <v>2.133</v>
      </c>
      <c r="N135" s="123">
        <f t="shared" si="48"/>
        <v>2.133</v>
      </c>
      <c r="O135" s="123">
        <f t="shared" si="48"/>
        <v>2.133</v>
      </c>
      <c r="P135" s="123">
        <f t="shared" si="48"/>
        <v>2.133</v>
      </c>
      <c r="Q135" s="123">
        <f t="shared" si="48"/>
        <v>2.133</v>
      </c>
      <c r="R135" s="123">
        <f t="shared" si="48"/>
        <v>2.133</v>
      </c>
      <c r="S135" s="123">
        <f t="shared" si="48"/>
        <v>2.133</v>
      </c>
      <c r="T135" s="123">
        <f t="shared" si="49"/>
        <v>2.133</v>
      </c>
      <c r="U135" s="123">
        <f t="shared" si="49"/>
        <v>2.133</v>
      </c>
      <c r="V135" s="123">
        <f t="shared" si="49"/>
        <v>2.133</v>
      </c>
      <c r="W135" s="123">
        <f t="shared" si="49"/>
        <v>2.133</v>
      </c>
      <c r="X135" s="123">
        <f t="shared" si="49"/>
        <v>2.133</v>
      </c>
      <c r="Y135" s="123">
        <f t="shared" si="49"/>
        <v>2.133</v>
      </c>
      <c r="Z135" s="123">
        <f t="shared" si="49"/>
        <v>2.133</v>
      </c>
      <c r="AA135" s="123">
        <f t="shared" si="49"/>
        <v>2.133</v>
      </c>
      <c r="AB135" s="123">
        <f t="shared" si="49"/>
        <v>2.133</v>
      </c>
      <c r="AC135" s="123">
        <f t="shared" si="49"/>
        <v>2.133</v>
      </c>
      <c r="AD135" s="123">
        <f t="shared" si="49"/>
        <v>2.133</v>
      </c>
      <c r="AE135" s="123">
        <f t="shared" si="49"/>
        <v>2.133</v>
      </c>
      <c r="AF135" s="123">
        <f t="shared" si="49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47"/>
        <v>2.09</v>
      </c>
      <c r="C136" s="124">
        <v>2.09</v>
      </c>
      <c r="D136" s="123">
        <f t="shared" si="48"/>
        <v>2.09</v>
      </c>
      <c r="E136" s="123">
        <f t="shared" si="48"/>
        <v>2.09</v>
      </c>
      <c r="F136" s="123">
        <f t="shared" si="48"/>
        <v>2.09</v>
      </c>
      <c r="G136" s="123">
        <f t="shared" si="48"/>
        <v>2.09</v>
      </c>
      <c r="H136" s="123">
        <f t="shared" si="48"/>
        <v>2.09</v>
      </c>
      <c r="I136" s="123">
        <f t="shared" si="48"/>
        <v>2.09</v>
      </c>
      <c r="J136" s="123">
        <f t="shared" si="48"/>
        <v>2.09</v>
      </c>
      <c r="K136" s="123">
        <f t="shared" si="48"/>
        <v>2.09</v>
      </c>
      <c r="L136" s="123">
        <f t="shared" si="48"/>
        <v>2.09</v>
      </c>
      <c r="M136" s="123">
        <f t="shared" si="48"/>
        <v>2.09</v>
      </c>
      <c r="N136" s="123">
        <f t="shared" si="48"/>
        <v>2.09</v>
      </c>
      <c r="O136" s="123">
        <f t="shared" si="48"/>
        <v>2.09</v>
      </c>
      <c r="P136" s="123">
        <f t="shared" si="48"/>
        <v>2.09</v>
      </c>
      <c r="Q136" s="123">
        <f t="shared" si="48"/>
        <v>2.09</v>
      </c>
      <c r="R136" s="123">
        <f t="shared" si="48"/>
        <v>2.09</v>
      </c>
      <c r="S136" s="123">
        <f t="shared" si="48"/>
        <v>2.09</v>
      </c>
      <c r="T136" s="123">
        <f t="shared" si="49"/>
        <v>2.09</v>
      </c>
      <c r="U136" s="123">
        <f t="shared" si="49"/>
        <v>2.09</v>
      </c>
      <c r="V136" s="123">
        <f t="shared" si="49"/>
        <v>2.09</v>
      </c>
      <c r="W136" s="123">
        <f t="shared" si="49"/>
        <v>2.09</v>
      </c>
      <c r="X136" s="123">
        <f t="shared" si="49"/>
        <v>2.09</v>
      </c>
      <c r="Y136" s="123">
        <f t="shared" si="49"/>
        <v>2.09</v>
      </c>
      <c r="Z136" s="123">
        <f t="shared" si="49"/>
        <v>2.09</v>
      </c>
      <c r="AA136" s="123">
        <f t="shared" si="49"/>
        <v>2.09</v>
      </c>
      <c r="AB136" s="123">
        <f t="shared" si="49"/>
        <v>2.09</v>
      </c>
      <c r="AC136" s="123">
        <f t="shared" si="49"/>
        <v>2.09</v>
      </c>
      <c r="AD136" s="123">
        <f t="shared" si="49"/>
        <v>2.09</v>
      </c>
      <c r="AE136" s="123">
        <f t="shared" si="49"/>
        <v>2.09</v>
      </c>
      <c r="AF136" s="123">
        <f t="shared" si="49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47"/>
        <v>1.1399999999999999</v>
      </c>
      <c r="C137" s="124">
        <v>1.1399999999999999</v>
      </c>
      <c r="D137" s="123">
        <f t="shared" si="48"/>
        <v>1.1399999999999999</v>
      </c>
      <c r="E137" s="123">
        <f t="shared" si="48"/>
        <v>1.1399999999999999</v>
      </c>
      <c r="F137" s="123">
        <f t="shared" si="48"/>
        <v>1.1399999999999999</v>
      </c>
      <c r="G137" s="123">
        <f t="shared" si="48"/>
        <v>1.1399999999999999</v>
      </c>
      <c r="H137" s="123">
        <f t="shared" si="48"/>
        <v>1.1399999999999999</v>
      </c>
      <c r="I137" s="123">
        <f t="shared" si="48"/>
        <v>1.1399999999999999</v>
      </c>
      <c r="J137" s="123">
        <f t="shared" si="48"/>
        <v>1.1399999999999999</v>
      </c>
      <c r="K137" s="123">
        <f t="shared" si="48"/>
        <v>1.1399999999999999</v>
      </c>
      <c r="L137" s="123">
        <f t="shared" si="48"/>
        <v>1.1399999999999999</v>
      </c>
      <c r="M137" s="123">
        <f t="shared" si="48"/>
        <v>1.1399999999999999</v>
      </c>
      <c r="N137" s="123">
        <f t="shared" si="48"/>
        <v>1.1399999999999999</v>
      </c>
      <c r="O137" s="123">
        <f t="shared" si="48"/>
        <v>1.1399999999999999</v>
      </c>
      <c r="P137" s="123">
        <f t="shared" si="48"/>
        <v>1.1399999999999999</v>
      </c>
      <c r="Q137" s="123">
        <f t="shared" si="48"/>
        <v>1.1399999999999999</v>
      </c>
      <c r="R137" s="123">
        <f t="shared" si="48"/>
        <v>1.1399999999999999</v>
      </c>
      <c r="S137" s="123">
        <f t="shared" si="48"/>
        <v>1.1399999999999999</v>
      </c>
      <c r="T137" s="123">
        <f t="shared" si="49"/>
        <v>1.1399999999999999</v>
      </c>
      <c r="U137" s="123">
        <f t="shared" si="49"/>
        <v>1.1399999999999999</v>
      </c>
      <c r="V137" s="123">
        <f t="shared" si="49"/>
        <v>1.1399999999999999</v>
      </c>
      <c r="W137" s="123">
        <f t="shared" si="49"/>
        <v>1.1399999999999999</v>
      </c>
      <c r="X137" s="123">
        <f t="shared" si="49"/>
        <v>1.1399999999999999</v>
      </c>
      <c r="Y137" s="123">
        <f t="shared" si="49"/>
        <v>1.1399999999999999</v>
      </c>
      <c r="Z137" s="123">
        <f t="shared" si="49"/>
        <v>1.1399999999999999</v>
      </c>
      <c r="AA137" s="123">
        <f t="shared" si="49"/>
        <v>1.1399999999999999</v>
      </c>
      <c r="AB137" s="123">
        <f t="shared" si="49"/>
        <v>1.1399999999999999</v>
      </c>
      <c r="AC137" s="123">
        <f t="shared" si="49"/>
        <v>1.1399999999999999</v>
      </c>
      <c r="AD137" s="123">
        <f t="shared" si="49"/>
        <v>1.1399999999999999</v>
      </c>
      <c r="AE137" s="123">
        <f t="shared" si="49"/>
        <v>1.1399999999999999</v>
      </c>
      <c r="AF137" s="123">
        <f t="shared" si="49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47"/>
        <v>0.82</v>
      </c>
      <c r="C138" s="124">
        <v>0.82</v>
      </c>
      <c r="D138" s="123">
        <f t="shared" si="48"/>
        <v>0.82</v>
      </c>
      <c r="E138" s="123">
        <f t="shared" si="48"/>
        <v>0.82</v>
      </c>
      <c r="F138" s="123">
        <f t="shared" si="48"/>
        <v>0.82</v>
      </c>
      <c r="G138" s="123">
        <f t="shared" si="48"/>
        <v>0.82</v>
      </c>
      <c r="H138" s="123">
        <f t="shared" si="48"/>
        <v>0.82</v>
      </c>
      <c r="I138" s="123">
        <f t="shared" si="48"/>
        <v>0.82</v>
      </c>
      <c r="J138" s="123">
        <f t="shared" si="48"/>
        <v>0.82</v>
      </c>
      <c r="K138" s="123">
        <f t="shared" si="48"/>
        <v>0.82</v>
      </c>
      <c r="L138" s="123">
        <f t="shared" si="48"/>
        <v>0.82</v>
      </c>
      <c r="M138" s="123">
        <f t="shared" si="48"/>
        <v>0.82</v>
      </c>
      <c r="N138" s="123">
        <f t="shared" si="48"/>
        <v>0.82</v>
      </c>
      <c r="O138" s="123">
        <f t="shared" si="48"/>
        <v>0.82</v>
      </c>
      <c r="P138" s="123">
        <f t="shared" si="48"/>
        <v>0.82</v>
      </c>
      <c r="Q138" s="123">
        <f t="shared" si="48"/>
        <v>0.82</v>
      </c>
      <c r="R138" s="123">
        <f t="shared" si="48"/>
        <v>0.82</v>
      </c>
      <c r="S138" s="123">
        <f t="shared" si="48"/>
        <v>0.82</v>
      </c>
      <c r="T138" s="123">
        <f t="shared" si="49"/>
        <v>0.82</v>
      </c>
      <c r="U138" s="123">
        <f t="shared" si="49"/>
        <v>0.82</v>
      </c>
      <c r="V138" s="123">
        <f t="shared" si="49"/>
        <v>0.82</v>
      </c>
      <c r="W138" s="123">
        <f t="shared" si="49"/>
        <v>0.82</v>
      </c>
      <c r="X138" s="123">
        <f t="shared" si="49"/>
        <v>0.82</v>
      </c>
      <c r="Y138" s="123">
        <f t="shared" si="49"/>
        <v>0.82</v>
      </c>
      <c r="Z138" s="123">
        <f t="shared" si="49"/>
        <v>0.82</v>
      </c>
      <c r="AA138" s="123">
        <f t="shared" si="49"/>
        <v>0.82</v>
      </c>
      <c r="AB138" s="123">
        <f t="shared" si="49"/>
        <v>0.82</v>
      </c>
      <c r="AC138" s="123">
        <f t="shared" si="49"/>
        <v>0.82</v>
      </c>
      <c r="AD138" s="123">
        <f t="shared" si="49"/>
        <v>0.82</v>
      </c>
      <c r="AE138" s="123">
        <f t="shared" si="49"/>
        <v>0.82</v>
      </c>
      <c r="AF138" s="123">
        <f t="shared" si="49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0">AF140</f>
        <v>2</v>
      </c>
      <c r="C140" s="124">
        <v>2</v>
      </c>
      <c r="D140" s="123">
        <f t="shared" ref="D140:S146" si="51">C140</f>
        <v>2</v>
      </c>
      <c r="E140" s="123">
        <f t="shared" si="51"/>
        <v>2</v>
      </c>
      <c r="F140" s="123">
        <f t="shared" si="51"/>
        <v>2</v>
      </c>
      <c r="G140" s="123">
        <f t="shared" si="51"/>
        <v>2</v>
      </c>
      <c r="H140" s="123">
        <f t="shared" si="51"/>
        <v>2</v>
      </c>
      <c r="I140" s="123">
        <f t="shared" si="51"/>
        <v>2</v>
      </c>
      <c r="J140" s="123">
        <f t="shared" si="51"/>
        <v>2</v>
      </c>
      <c r="K140" s="123">
        <f t="shared" si="51"/>
        <v>2</v>
      </c>
      <c r="L140" s="123">
        <f t="shared" si="51"/>
        <v>2</v>
      </c>
      <c r="M140" s="123">
        <f t="shared" si="51"/>
        <v>2</v>
      </c>
      <c r="N140" s="123">
        <f t="shared" si="51"/>
        <v>2</v>
      </c>
      <c r="O140" s="123">
        <f t="shared" si="51"/>
        <v>2</v>
      </c>
      <c r="P140" s="123">
        <f t="shared" si="51"/>
        <v>2</v>
      </c>
      <c r="Q140" s="123">
        <f t="shared" si="51"/>
        <v>2</v>
      </c>
      <c r="R140" s="123">
        <f t="shared" si="51"/>
        <v>2</v>
      </c>
      <c r="S140" s="123">
        <f t="shared" si="51"/>
        <v>2</v>
      </c>
      <c r="T140" s="123">
        <f t="shared" ref="T140:AF146" si="52">S140</f>
        <v>2</v>
      </c>
      <c r="U140" s="123">
        <f t="shared" si="52"/>
        <v>2</v>
      </c>
      <c r="V140" s="123">
        <f t="shared" si="52"/>
        <v>2</v>
      </c>
      <c r="W140" s="123">
        <f t="shared" si="52"/>
        <v>2</v>
      </c>
      <c r="X140" s="123">
        <f t="shared" si="52"/>
        <v>2</v>
      </c>
      <c r="Y140" s="123">
        <f t="shared" si="52"/>
        <v>2</v>
      </c>
      <c r="Z140" s="123">
        <f t="shared" si="52"/>
        <v>2</v>
      </c>
      <c r="AA140" s="123">
        <f t="shared" si="52"/>
        <v>2</v>
      </c>
      <c r="AB140" s="123">
        <f t="shared" si="52"/>
        <v>2</v>
      </c>
      <c r="AC140" s="123">
        <f t="shared" si="52"/>
        <v>2</v>
      </c>
      <c r="AD140" s="123">
        <f t="shared" si="52"/>
        <v>2</v>
      </c>
      <c r="AE140" s="123">
        <f t="shared" si="52"/>
        <v>2</v>
      </c>
      <c r="AF140" s="123">
        <f t="shared" si="52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0"/>
        <v>5.61</v>
      </c>
      <c r="C141" s="124">
        <v>5.61</v>
      </c>
      <c r="D141" s="123">
        <f t="shared" si="51"/>
        <v>5.61</v>
      </c>
      <c r="E141" s="123">
        <f t="shared" si="51"/>
        <v>5.61</v>
      </c>
      <c r="F141" s="123">
        <f t="shared" si="51"/>
        <v>5.61</v>
      </c>
      <c r="G141" s="123">
        <f t="shared" si="51"/>
        <v>5.61</v>
      </c>
      <c r="H141" s="123">
        <f t="shared" si="51"/>
        <v>5.61</v>
      </c>
      <c r="I141" s="123">
        <f t="shared" si="51"/>
        <v>5.61</v>
      </c>
      <c r="J141" s="123">
        <f t="shared" si="51"/>
        <v>5.61</v>
      </c>
      <c r="K141" s="123">
        <f t="shared" si="51"/>
        <v>5.61</v>
      </c>
      <c r="L141" s="123">
        <f t="shared" si="51"/>
        <v>5.61</v>
      </c>
      <c r="M141" s="123">
        <f t="shared" si="51"/>
        <v>5.61</v>
      </c>
      <c r="N141" s="123">
        <f t="shared" si="51"/>
        <v>5.61</v>
      </c>
      <c r="O141" s="123">
        <f t="shared" si="51"/>
        <v>5.61</v>
      </c>
      <c r="P141" s="123">
        <f t="shared" si="51"/>
        <v>5.61</v>
      </c>
      <c r="Q141" s="123">
        <f t="shared" si="51"/>
        <v>5.61</v>
      </c>
      <c r="R141" s="123">
        <f t="shared" si="51"/>
        <v>5.61</v>
      </c>
      <c r="S141" s="123">
        <f t="shared" si="51"/>
        <v>5.61</v>
      </c>
      <c r="T141" s="123">
        <f t="shared" si="52"/>
        <v>5.61</v>
      </c>
      <c r="U141" s="123">
        <f t="shared" si="52"/>
        <v>5.61</v>
      </c>
      <c r="V141" s="123">
        <f t="shared" si="52"/>
        <v>5.61</v>
      </c>
      <c r="W141" s="123">
        <f t="shared" si="52"/>
        <v>5.61</v>
      </c>
      <c r="X141" s="123">
        <f t="shared" si="52"/>
        <v>5.61</v>
      </c>
      <c r="Y141" s="123">
        <f t="shared" si="52"/>
        <v>5.61</v>
      </c>
      <c r="Z141" s="123">
        <f t="shared" si="52"/>
        <v>5.61</v>
      </c>
      <c r="AA141" s="123">
        <f t="shared" si="52"/>
        <v>5.61</v>
      </c>
      <c r="AB141" s="123">
        <f t="shared" si="52"/>
        <v>5.61</v>
      </c>
      <c r="AC141" s="123">
        <f t="shared" si="52"/>
        <v>5.61</v>
      </c>
      <c r="AD141" s="123">
        <f t="shared" si="52"/>
        <v>5.61</v>
      </c>
      <c r="AE141" s="123">
        <f t="shared" si="52"/>
        <v>5.61</v>
      </c>
      <c r="AF141" s="123">
        <f t="shared" si="52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0"/>
        <v>1.25</v>
      </c>
      <c r="C142" s="124">
        <v>1.25</v>
      </c>
      <c r="D142" s="123">
        <f t="shared" si="51"/>
        <v>1.25</v>
      </c>
      <c r="E142" s="123">
        <f t="shared" si="51"/>
        <v>1.25</v>
      </c>
      <c r="F142" s="123">
        <f t="shared" si="51"/>
        <v>1.25</v>
      </c>
      <c r="G142" s="123">
        <f t="shared" si="51"/>
        <v>1.25</v>
      </c>
      <c r="H142" s="123">
        <f t="shared" si="51"/>
        <v>1.25</v>
      </c>
      <c r="I142" s="123">
        <f t="shared" si="51"/>
        <v>1.25</v>
      </c>
      <c r="J142" s="123">
        <f t="shared" si="51"/>
        <v>1.25</v>
      </c>
      <c r="K142" s="123">
        <f t="shared" si="51"/>
        <v>1.25</v>
      </c>
      <c r="L142" s="123">
        <f t="shared" si="51"/>
        <v>1.25</v>
      </c>
      <c r="M142" s="123">
        <f t="shared" si="51"/>
        <v>1.25</v>
      </c>
      <c r="N142" s="123">
        <f t="shared" si="51"/>
        <v>1.25</v>
      </c>
      <c r="O142" s="123">
        <f t="shared" si="51"/>
        <v>1.25</v>
      </c>
      <c r="P142" s="123">
        <f t="shared" si="51"/>
        <v>1.25</v>
      </c>
      <c r="Q142" s="123">
        <f t="shared" si="51"/>
        <v>1.25</v>
      </c>
      <c r="R142" s="123">
        <f t="shared" si="51"/>
        <v>1.25</v>
      </c>
      <c r="S142" s="123">
        <f t="shared" si="51"/>
        <v>1.25</v>
      </c>
      <c r="T142" s="123">
        <f t="shared" si="52"/>
        <v>1.25</v>
      </c>
      <c r="U142" s="123">
        <f t="shared" si="52"/>
        <v>1.25</v>
      </c>
      <c r="V142" s="123">
        <f t="shared" si="52"/>
        <v>1.25</v>
      </c>
      <c r="W142" s="123">
        <f t="shared" si="52"/>
        <v>1.25</v>
      </c>
      <c r="X142" s="123">
        <f t="shared" si="52"/>
        <v>1.25</v>
      </c>
      <c r="Y142" s="123">
        <f t="shared" si="52"/>
        <v>1.25</v>
      </c>
      <c r="Z142" s="123">
        <f t="shared" si="52"/>
        <v>1.25</v>
      </c>
      <c r="AA142" s="123">
        <f t="shared" si="52"/>
        <v>1.25</v>
      </c>
      <c r="AB142" s="123">
        <f t="shared" si="52"/>
        <v>1.25</v>
      </c>
      <c r="AC142" s="123">
        <f t="shared" si="52"/>
        <v>1.25</v>
      </c>
      <c r="AD142" s="123">
        <f t="shared" si="52"/>
        <v>1.25</v>
      </c>
      <c r="AE142" s="123">
        <f t="shared" si="52"/>
        <v>1.25</v>
      </c>
      <c r="AF142" s="123">
        <f t="shared" si="52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0"/>
        <v>1.25</v>
      </c>
      <c r="C143" s="124">
        <v>1.25</v>
      </c>
      <c r="D143" s="123">
        <f t="shared" si="51"/>
        <v>1.25</v>
      </c>
      <c r="E143" s="123">
        <f t="shared" si="51"/>
        <v>1.25</v>
      </c>
      <c r="F143" s="123">
        <f t="shared" si="51"/>
        <v>1.25</v>
      </c>
      <c r="G143" s="123">
        <f t="shared" si="51"/>
        <v>1.25</v>
      </c>
      <c r="H143" s="123">
        <f t="shared" si="51"/>
        <v>1.25</v>
      </c>
      <c r="I143" s="123">
        <f t="shared" si="51"/>
        <v>1.25</v>
      </c>
      <c r="J143" s="123">
        <f t="shared" si="51"/>
        <v>1.25</v>
      </c>
      <c r="K143" s="123">
        <f t="shared" si="51"/>
        <v>1.25</v>
      </c>
      <c r="L143" s="123">
        <f t="shared" si="51"/>
        <v>1.25</v>
      </c>
      <c r="M143" s="123">
        <f t="shared" si="51"/>
        <v>1.25</v>
      </c>
      <c r="N143" s="123">
        <f t="shared" si="51"/>
        <v>1.25</v>
      </c>
      <c r="O143" s="123">
        <f t="shared" si="51"/>
        <v>1.25</v>
      </c>
      <c r="P143" s="123">
        <f t="shared" si="51"/>
        <v>1.25</v>
      </c>
      <c r="Q143" s="123">
        <f t="shared" si="51"/>
        <v>1.25</v>
      </c>
      <c r="R143" s="123">
        <f t="shared" si="51"/>
        <v>1.25</v>
      </c>
      <c r="S143" s="123">
        <f t="shared" si="51"/>
        <v>1.25</v>
      </c>
      <c r="T143" s="123">
        <f t="shared" si="52"/>
        <v>1.25</v>
      </c>
      <c r="U143" s="123">
        <f t="shared" si="52"/>
        <v>1.25</v>
      </c>
      <c r="V143" s="123">
        <f t="shared" si="52"/>
        <v>1.25</v>
      </c>
      <c r="W143" s="123">
        <f t="shared" si="52"/>
        <v>1.25</v>
      </c>
      <c r="X143" s="123">
        <f t="shared" si="52"/>
        <v>1.25</v>
      </c>
      <c r="Y143" s="123">
        <f t="shared" si="52"/>
        <v>1.25</v>
      </c>
      <c r="Z143" s="123">
        <f t="shared" si="52"/>
        <v>1.25</v>
      </c>
      <c r="AA143" s="123">
        <f t="shared" si="52"/>
        <v>1.25</v>
      </c>
      <c r="AB143" s="123">
        <f t="shared" si="52"/>
        <v>1.25</v>
      </c>
      <c r="AC143" s="123">
        <f t="shared" si="52"/>
        <v>1.25</v>
      </c>
      <c r="AD143" s="123">
        <f t="shared" si="52"/>
        <v>1.25</v>
      </c>
      <c r="AE143" s="123">
        <f t="shared" si="52"/>
        <v>1.25</v>
      </c>
      <c r="AF143" s="123">
        <f t="shared" si="5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0"/>
        <v>1.46</v>
      </c>
      <c r="C144" s="124">
        <v>1.46</v>
      </c>
      <c r="D144" s="123">
        <f t="shared" si="51"/>
        <v>1.46</v>
      </c>
      <c r="E144" s="123">
        <f t="shared" si="51"/>
        <v>1.46</v>
      </c>
      <c r="F144" s="123">
        <f t="shared" si="51"/>
        <v>1.46</v>
      </c>
      <c r="G144" s="123">
        <f t="shared" si="51"/>
        <v>1.46</v>
      </c>
      <c r="H144" s="123">
        <f t="shared" si="51"/>
        <v>1.46</v>
      </c>
      <c r="I144" s="123">
        <f t="shared" si="51"/>
        <v>1.46</v>
      </c>
      <c r="J144" s="123">
        <f t="shared" si="51"/>
        <v>1.46</v>
      </c>
      <c r="K144" s="123">
        <f t="shared" si="51"/>
        <v>1.46</v>
      </c>
      <c r="L144" s="123">
        <f t="shared" si="51"/>
        <v>1.46</v>
      </c>
      <c r="M144" s="123">
        <f t="shared" si="51"/>
        <v>1.46</v>
      </c>
      <c r="N144" s="123">
        <f t="shared" si="51"/>
        <v>1.46</v>
      </c>
      <c r="O144" s="123">
        <f t="shared" si="51"/>
        <v>1.46</v>
      </c>
      <c r="P144" s="123">
        <f t="shared" si="51"/>
        <v>1.46</v>
      </c>
      <c r="Q144" s="123">
        <f t="shared" si="51"/>
        <v>1.46</v>
      </c>
      <c r="R144" s="123">
        <f t="shared" si="51"/>
        <v>1.46</v>
      </c>
      <c r="S144" s="123">
        <f t="shared" si="51"/>
        <v>1.46</v>
      </c>
      <c r="T144" s="123">
        <f t="shared" si="52"/>
        <v>1.46</v>
      </c>
      <c r="U144" s="123">
        <f t="shared" si="52"/>
        <v>1.46</v>
      </c>
      <c r="V144" s="123">
        <f t="shared" si="52"/>
        <v>1.46</v>
      </c>
      <c r="W144" s="123">
        <f t="shared" si="52"/>
        <v>1.46</v>
      </c>
      <c r="X144" s="123">
        <f t="shared" si="52"/>
        <v>1.46</v>
      </c>
      <c r="Y144" s="123">
        <f t="shared" si="52"/>
        <v>1.46</v>
      </c>
      <c r="Z144" s="123">
        <f t="shared" si="52"/>
        <v>1.46</v>
      </c>
      <c r="AA144" s="123">
        <f t="shared" si="52"/>
        <v>1.46</v>
      </c>
      <c r="AB144" s="123">
        <f t="shared" si="52"/>
        <v>1.46</v>
      </c>
      <c r="AC144" s="123">
        <f t="shared" si="52"/>
        <v>1.46</v>
      </c>
      <c r="AD144" s="123">
        <f t="shared" si="52"/>
        <v>1.46</v>
      </c>
      <c r="AE144" s="123">
        <f t="shared" si="52"/>
        <v>1.46</v>
      </c>
      <c r="AF144" s="123">
        <f t="shared" si="52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0"/>
        <v>3</v>
      </c>
      <c r="C145" s="124">
        <v>3</v>
      </c>
      <c r="D145" s="123">
        <f t="shared" si="51"/>
        <v>3</v>
      </c>
      <c r="E145" s="123">
        <f t="shared" si="51"/>
        <v>3</v>
      </c>
      <c r="F145" s="123">
        <f t="shared" si="51"/>
        <v>3</v>
      </c>
      <c r="G145" s="123">
        <f t="shared" si="51"/>
        <v>3</v>
      </c>
      <c r="H145" s="123">
        <f t="shared" si="51"/>
        <v>3</v>
      </c>
      <c r="I145" s="123">
        <f t="shared" si="51"/>
        <v>3</v>
      </c>
      <c r="J145" s="123">
        <f t="shared" si="51"/>
        <v>3</v>
      </c>
      <c r="K145" s="123">
        <f t="shared" si="51"/>
        <v>3</v>
      </c>
      <c r="L145" s="123">
        <f t="shared" si="51"/>
        <v>3</v>
      </c>
      <c r="M145" s="123">
        <f t="shared" si="51"/>
        <v>3</v>
      </c>
      <c r="N145" s="123">
        <f t="shared" si="51"/>
        <v>3</v>
      </c>
      <c r="O145" s="123">
        <f t="shared" si="51"/>
        <v>3</v>
      </c>
      <c r="P145" s="123">
        <f t="shared" si="51"/>
        <v>3</v>
      </c>
      <c r="Q145" s="123">
        <f t="shared" si="51"/>
        <v>3</v>
      </c>
      <c r="R145" s="123">
        <f t="shared" si="51"/>
        <v>3</v>
      </c>
      <c r="S145" s="123">
        <f t="shared" si="51"/>
        <v>3</v>
      </c>
      <c r="T145" s="123">
        <f t="shared" si="52"/>
        <v>3</v>
      </c>
      <c r="U145" s="123">
        <f t="shared" si="52"/>
        <v>3</v>
      </c>
      <c r="V145" s="123">
        <f t="shared" si="52"/>
        <v>3</v>
      </c>
      <c r="W145" s="123">
        <f t="shared" si="52"/>
        <v>3</v>
      </c>
      <c r="X145" s="123">
        <f t="shared" si="52"/>
        <v>3</v>
      </c>
      <c r="Y145" s="123">
        <f t="shared" si="52"/>
        <v>3</v>
      </c>
      <c r="Z145" s="123">
        <f t="shared" si="52"/>
        <v>3</v>
      </c>
      <c r="AA145" s="123">
        <f t="shared" si="52"/>
        <v>3</v>
      </c>
      <c r="AB145" s="123">
        <f t="shared" si="52"/>
        <v>3</v>
      </c>
      <c r="AC145" s="123">
        <f t="shared" si="52"/>
        <v>3</v>
      </c>
      <c r="AD145" s="123">
        <f t="shared" si="52"/>
        <v>3</v>
      </c>
      <c r="AE145" s="123">
        <f t="shared" si="52"/>
        <v>3</v>
      </c>
      <c r="AF145" s="123">
        <f t="shared" si="52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0"/>
        <v>3.3</v>
      </c>
      <c r="C146" s="124">
        <v>3.3</v>
      </c>
      <c r="D146" s="123">
        <f t="shared" si="51"/>
        <v>3.3</v>
      </c>
      <c r="E146" s="123">
        <f t="shared" si="51"/>
        <v>3.3</v>
      </c>
      <c r="F146" s="123">
        <f t="shared" si="51"/>
        <v>3.3</v>
      </c>
      <c r="G146" s="123">
        <f t="shared" si="51"/>
        <v>3.3</v>
      </c>
      <c r="H146" s="123">
        <f t="shared" si="51"/>
        <v>3.3</v>
      </c>
      <c r="I146" s="123">
        <f t="shared" si="51"/>
        <v>3.3</v>
      </c>
      <c r="J146" s="123">
        <f t="shared" si="51"/>
        <v>3.3</v>
      </c>
      <c r="K146" s="123">
        <f t="shared" si="51"/>
        <v>3.3</v>
      </c>
      <c r="L146" s="123">
        <f t="shared" si="51"/>
        <v>3.3</v>
      </c>
      <c r="M146" s="123">
        <f t="shared" si="51"/>
        <v>3.3</v>
      </c>
      <c r="N146" s="123">
        <f t="shared" si="51"/>
        <v>3.3</v>
      </c>
      <c r="O146" s="123">
        <f t="shared" si="51"/>
        <v>3.3</v>
      </c>
      <c r="P146" s="123">
        <f t="shared" si="51"/>
        <v>3.3</v>
      </c>
      <c r="Q146" s="123">
        <f t="shared" si="51"/>
        <v>3.3</v>
      </c>
      <c r="R146" s="123">
        <f t="shared" si="51"/>
        <v>3.3</v>
      </c>
      <c r="S146" s="123">
        <f t="shared" si="51"/>
        <v>3.3</v>
      </c>
      <c r="T146" s="123">
        <f t="shared" si="52"/>
        <v>3.3</v>
      </c>
      <c r="U146" s="123">
        <f t="shared" si="52"/>
        <v>3.3</v>
      </c>
      <c r="V146" s="123">
        <f t="shared" si="52"/>
        <v>3.3</v>
      </c>
      <c r="W146" s="123">
        <f t="shared" si="52"/>
        <v>3.3</v>
      </c>
      <c r="X146" s="123">
        <f t="shared" si="52"/>
        <v>3.3</v>
      </c>
      <c r="Y146" s="123">
        <f t="shared" si="52"/>
        <v>3.3</v>
      </c>
      <c r="Z146" s="123">
        <f t="shared" si="52"/>
        <v>3.3</v>
      </c>
      <c r="AA146" s="123">
        <f t="shared" si="52"/>
        <v>3.3</v>
      </c>
      <c r="AB146" s="123">
        <f t="shared" si="52"/>
        <v>3.3</v>
      </c>
      <c r="AC146" s="123">
        <f t="shared" si="52"/>
        <v>3.3</v>
      </c>
      <c r="AD146" s="123">
        <f t="shared" si="52"/>
        <v>3.3</v>
      </c>
      <c r="AE146" s="123">
        <f t="shared" si="52"/>
        <v>3.3</v>
      </c>
      <c r="AF146" s="123">
        <f t="shared" si="52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3">C148</f>
        <v>1.76</v>
      </c>
      <c r="E148" s="123">
        <f t="shared" si="53"/>
        <v>1.76</v>
      </c>
      <c r="F148" s="123">
        <f t="shared" si="53"/>
        <v>1.76</v>
      </c>
      <c r="G148" s="123">
        <f t="shared" si="53"/>
        <v>1.76</v>
      </c>
      <c r="H148" s="123">
        <f t="shared" si="53"/>
        <v>1.76</v>
      </c>
      <c r="I148" s="123">
        <f t="shared" si="53"/>
        <v>1.76</v>
      </c>
      <c r="J148" s="123">
        <f t="shared" si="53"/>
        <v>1.76</v>
      </c>
      <c r="K148" s="123">
        <f t="shared" si="53"/>
        <v>1.76</v>
      </c>
      <c r="L148" s="123">
        <f t="shared" si="53"/>
        <v>1.76</v>
      </c>
      <c r="M148" s="123">
        <f t="shared" si="53"/>
        <v>1.76</v>
      </c>
      <c r="N148" s="123">
        <f t="shared" si="53"/>
        <v>1.76</v>
      </c>
      <c r="O148" s="123">
        <f t="shared" si="53"/>
        <v>1.76</v>
      </c>
      <c r="P148" s="123">
        <f t="shared" si="53"/>
        <v>1.76</v>
      </c>
      <c r="Q148" s="123">
        <f t="shared" si="53"/>
        <v>1.76</v>
      </c>
      <c r="R148" s="123">
        <f t="shared" si="53"/>
        <v>1.76</v>
      </c>
      <c r="S148" s="123">
        <f t="shared" si="53"/>
        <v>1.76</v>
      </c>
      <c r="T148" s="123">
        <f t="shared" ref="T148:AF149" si="54">S148</f>
        <v>1.76</v>
      </c>
      <c r="U148" s="123">
        <f t="shared" si="54"/>
        <v>1.76</v>
      </c>
      <c r="V148" s="123">
        <f t="shared" si="54"/>
        <v>1.76</v>
      </c>
      <c r="W148" s="123">
        <f t="shared" si="54"/>
        <v>1.76</v>
      </c>
      <c r="X148" s="123">
        <f t="shared" si="54"/>
        <v>1.76</v>
      </c>
      <c r="Y148" s="123">
        <f t="shared" si="54"/>
        <v>1.76</v>
      </c>
      <c r="Z148" s="123">
        <f t="shared" si="54"/>
        <v>1.76</v>
      </c>
      <c r="AA148" s="123">
        <f t="shared" si="54"/>
        <v>1.76</v>
      </c>
      <c r="AB148" s="123">
        <f t="shared" si="54"/>
        <v>1.76</v>
      </c>
      <c r="AC148" s="123">
        <f t="shared" si="54"/>
        <v>1.76</v>
      </c>
      <c r="AD148" s="123">
        <f t="shared" si="54"/>
        <v>1.76</v>
      </c>
      <c r="AE148" s="123">
        <f t="shared" si="54"/>
        <v>1.76</v>
      </c>
      <c r="AF148" s="123">
        <f t="shared" si="54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3"/>
        <v>0</v>
      </c>
      <c r="E149" s="123">
        <f t="shared" si="53"/>
        <v>0</v>
      </c>
      <c r="F149" s="123">
        <f t="shared" si="53"/>
        <v>0</v>
      </c>
      <c r="G149" s="123">
        <f t="shared" si="53"/>
        <v>0</v>
      </c>
      <c r="H149" s="123">
        <f t="shared" si="53"/>
        <v>0</v>
      </c>
      <c r="I149" s="123">
        <f t="shared" si="53"/>
        <v>0</v>
      </c>
      <c r="J149" s="123">
        <f t="shared" si="53"/>
        <v>0</v>
      </c>
      <c r="K149" s="123">
        <f t="shared" si="53"/>
        <v>0</v>
      </c>
      <c r="L149" s="123">
        <f t="shared" si="53"/>
        <v>0</v>
      </c>
      <c r="M149" s="123">
        <f t="shared" si="53"/>
        <v>0</v>
      </c>
      <c r="N149" s="123">
        <f t="shared" si="53"/>
        <v>0</v>
      </c>
      <c r="O149" s="123">
        <f t="shared" si="53"/>
        <v>0</v>
      </c>
      <c r="P149" s="123">
        <f t="shared" si="53"/>
        <v>0</v>
      </c>
      <c r="Q149" s="123">
        <f t="shared" si="53"/>
        <v>0</v>
      </c>
      <c r="R149" s="123">
        <f t="shared" si="53"/>
        <v>0</v>
      </c>
      <c r="S149" s="123">
        <f t="shared" si="53"/>
        <v>0</v>
      </c>
      <c r="T149" s="123">
        <f t="shared" si="54"/>
        <v>0</v>
      </c>
      <c r="U149" s="123">
        <f t="shared" si="54"/>
        <v>0</v>
      </c>
      <c r="V149" s="123">
        <f t="shared" si="54"/>
        <v>0</v>
      </c>
      <c r="W149" s="123">
        <f t="shared" si="54"/>
        <v>0</v>
      </c>
      <c r="X149" s="123">
        <f t="shared" si="54"/>
        <v>0</v>
      </c>
      <c r="Y149" s="123">
        <f t="shared" si="54"/>
        <v>0</v>
      </c>
      <c r="Z149" s="123">
        <f t="shared" si="54"/>
        <v>0</v>
      </c>
      <c r="AA149" s="123">
        <f t="shared" si="54"/>
        <v>0</v>
      </c>
      <c r="AB149" s="123">
        <f t="shared" si="54"/>
        <v>0</v>
      </c>
      <c r="AC149" s="123">
        <f t="shared" si="54"/>
        <v>0</v>
      </c>
      <c r="AD149" s="123">
        <f t="shared" si="54"/>
        <v>0</v>
      </c>
      <c r="AE149" s="123">
        <f t="shared" si="54"/>
        <v>0</v>
      </c>
      <c r="AF149" s="123">
        <f t="shared" si="54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55">C151</f>
        <v>0.1</v>
      </c>
      <c r="E151" s="123">
        <f t="shared" si="55"/>
        <v>0.1</v>
      </c>
      <c r="F151" s="123">
        <f t="shared" si="55"/>
        <v>0.1</v>
      </c>
      <c r="G151" s="123">
        <f t="shared" si="55"/>
        <v>0.1</v>
      </c>
      <c r="H151" s="123">
        <f t="shared" si="55"/>
        <v>0.1</v>
      </c>
      <c r="I151" s="123">
        <f t="shared" si="55"/>
        <v>0.1</v>
      </c>
      <c r="J151" s="123">
        <f t="shared" si="55"/>
        <v>0.1</v>
      </c>
      <c r="K151" s="123">
        <f t="shared" si="55"/>
        <v>0.1</v>
      </c>
      <c r="L151" s="123">
        <f t="shared" si="55"/>
        <v>0.1</v>
      </c>
      <c r="M151" s="123">
        <f t="shared" si="55"/>
        <v>0.1</v>
      </c>
      <c r="N151" s="123">
        <f t="shared" si="55"/>
        <v>0.1</v>
      </c>
      <c r="O151" s="123">
        <f t="shared" si="55"/>
        <v>0.1</v>
      </c>
      <c r="P151" s="123">
        <f t="shared" si="55"/>
        <v>0.1</v>
      </c>
      <c r="Q151" s="123">
        <f t="shared" si="55"/>
        <v>0.1</v>
      </c>
      <c r="R151" s="123">
        <f t="shared" si="55"/>
        <v>0.1</v>
      </c>
      <c r="S151" s="123">
        <f t="shared" si="55"/>
        <v>0.1</v>
      </c>
      <c r="T151" s="123">
        <f t="shared" ref="T151:AF154" si="56">S151</f>
        <v>0.1</v>
      </c>
      <c r="U151" s="123">
        <f t="shared" si="56"/>
        <v>0.1</v>
      </c>
      <c r="V151" s="123">
        <f t="shared" si="56"/>
        <v>0.1</v>
      </c>
      <c r="W151" s="123">
        <f t="shared" si="56"/>
        <v>0.1</v>
      </c>
      <c r="X151" s="123">
        <f t="shared" si="56"/>
        <v>0.1</v>
      </c>
      <c r="Y151" s="123">
        <f t="shared" si="56"/>
        <v>0.1</v>
      </c>
      <c r="Z151" s="123">
        <f t="shared" si="56"/>
        <v>0.1</v>
      </c>
      <c r="AA151" s="123">
        <f t="shared" si="56"/>
        <v>0.1</v>
      </c>
      <c r="AB151" s="123">
        <f t="shared" si="56"/>
        <v>0.1</v>
      </c>
      <c r="AC151" s="123">
        <f t="shared" si="56"/>
        <v>0.1</v>
      </c>
      <c r="AD151" s="123">
        <f t="shared" si="56"/>
        <v>0.1</v>
      </c>
      <c r="AE151" s="123">
        <f t="shared" si="56"/>
        <v>0.1</v>
      </c>
      <c r="AF151" s="123">
        <f t="shared" si="56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55"/>
        <v>2.0499999999999998</v>
      </c>
      <c r="E152" s="123">
        <f t="shared" si="55"/>
        <v>2.0499999999999998</v>
      </c>
      <c r="F152" s="123">
        <f t="shared" si="55"/>
        <v>2.0499999999999998</v>
      </c>
      <c r="G152" s="123">
        <f t="shared" si="55"/>
        <v>2.0499999999999998</v>
      </c>
      <c r="H152" s="123">
        <f t="shared" si="55"/>
        <v>2.0499999999999998</v>
      </c>
      <c r="I152" s="123">
        <f t="shared" si="55"/>
        <v>2.0499999999999998</v>
      </c>
      <c r="J152" s="123">
        <f t="shared" si="55"/>
        <v>2.0499999999999998</v>
      </c>
      <c r="K152" s="123">
        <f t="shared" si="55"/>
        <v>2.0499999999999998</v>
      </c>
      <c r="L152" s="123">
        <f t="shared" si="55"/>
        <v>2.0499999999999998</v>
      </c>
      <c r="M152" s="123">
        <f t="shared" si="55"/>
        <v>2.0499999999999998</v>
      </c>
      <c r="N152" s="123">
        <f t="shared" si="55"/>
        <v>2.0499999999999998</v>
      </c>
      <c r="O152" s="123">
        <f t="shared" si="55"/>
        <v>2.0499999999999998</v>
      </c>
      <c r="P152" s="123">
        <f t="shared" si="55"/>
        <v>2.0499999999999998</v>
      </c>
      <c r="Q152" s="123">
        <f t="shared" si="55"/>
        <v>2.0499999999999998</v>
      </c>
      <c r="R152" s="123">
        <f t="shared" si="55"/>
        <v>2.0499999999999998</v>
      </c>
      <c r="S152" s="123">
        <f t="shared" si="55"/>
        <v>2.0499999999999998</v>
      </c>
      <c r="T152" s="123">
        <f t="shared" si="56"/>
        <v>2.0499999999999998</v>
      </c>
      <c r="U152" s="123">
        <f t="shared" si="56"/>
        <v>2.0499999999999998</v>
      </c>
      <c r="V152" s="123">
        <f t="shared" si="56"/>
        <v>2.0499999999999998</v>
      </c>
      <c r="W152" s="123">
        <f t="shared" si="56"/>
        <v>2.0499999999999998</v>
      </c>
      <c r="X152" s="123">
        <f t="shared" si="56"/>
        <v>2.0499999999999998</v>
      </c>
      <c r="Y152" s="123">
        <f t="shared" si="56"/>
        <v>2.0499999999999998</v>
      </c>
      <c r="Z152" s="123">
        <f t="shared" si="56"/>
        <v>2.0499999999999998</v>
      </c>
      <c r="AA152" s="123">
        <f t="shared" si="56"/>
        <v>2.0499999999999998</v>
      </c>
      <c r="AB152" s="123">
        <f t="shared" si="56"/>
        <v>2.0499999999999998</v>
      </c>
      <c r="AC152" s="123">
        <f t="shared" si="56"/>
        <v>2.0499999999999998</v>
      </c>
      <c r="AD152" s="123">
        <f t="shared" si="56"/>
        <v>2.0499999999999998</v>
      </c>
      <c r="AE152" s="123">
        <f t="shared" si="56"/>
        <v>2.0499999999999998</v>
      </c>
      <c r="AF152" s="123">
        <f t="shared" si="56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55"/>
        <v>2.7</v>
      </c>
      <c r="E153" s="123">
        <f t="shared" si="55"/>
        <v>2.7</v>
      </c>
      <c r="F153" s="123">
        <f t="shared" si="55"/>
        <v>2.7</v>
      </c>
      <c r="G153" s="123">
        <f t="shared" si="55"/>
        <v>2.7</v>
      </c>
      <c r="H153" s="123">
        <f t="shared" si="55"/>
        <v>2.7</v>
      </c>
      <c r="I153" s="123">
        <f t="shared" si="55"/>
        <v>2.7</v>
      </c>
      <c r="J153" s="123">
        <f t="shared" si="55"/>
        <v>2.7</v>
      </c>
      <c r="K153" s="123">
        <f t="shared" si="55"/>
        <v>2.7</v>
      </c>
      <c r="L153" s="123">
        <f t="shared" si="55"/>
        <v>2.7</v>
      </c>
      <c r="M153" s="123">
        <f t="shared" si="55"/>
        <v>2.7</v>
      </c>
      <c r="N153" s="123">
        <f t="shared" si="55"/>
        <v>2.7</v>
      </c>
      <c r="O153" s="123">
        <f t="shared" si="55"/>
        <v>2.7</v>
      </c>
      <c r="P153" s="123">
        <f t="shared" si="55"/>
        <v>2.7</v>
      </c>
      <c r="Q153" s="123">
        <f t="shared" si="55"/>
        <v>2.7</v>
      </c>
      <c r="R153" s="123">
        <f t="shared" si="55"/>
        <v>2.7</v>
      </c>
      <c r="S153" s="123">
        <f t="shared" si="55"/>
        <v>2.7</v>
      </c>
      <c r="T153" s="123">
        <f t="shared" si="56"/>
        <v>2.7</v>
      </c>
      <c r="U153" s="123">
        <f t="shared" si="56"/>
        <v>2.7</v>
      </c>
      <c r="V153" s="123">
        <f t="shared" si="56"/>
        <v>2.7</v>
      </c>
      <c r="W153" s="123">
        <f t="shared" si="56"/>
        <v>2.7</v>
      </c>
      <c r="X153" s="123">
        <f t="shared" si="56"/>
        <v>2.7</v>
      </c>
      <c r="Y153" s="123">
        <f t="shared" si="56"/>
        <v>2.7</v>
      </c>
      <c r="Z153" s="123">
        <f t="shared" si="56"/>
        <v>2.7</v>
      </c>
      <c r="AA153" s="123">
        <f t="shared" si="56"/>
        <v>2.7</v>
      </c>
      <c r="AB153" s="123">
        <f t="shared" si="56"/>
        <v>2.7</v>
      </c>
      <c r="AC153" s="123">
        <f t="shared" si="56"/>
        <v>2.7</v>
      </c>
      <c r="AD153" s="123">
        <f t="shared" si="56"/>
        <v>2.7</v>
      </c>
      <c r="AE153" s="123">
        <f t="shared" si="56"/>
        <v>2.7</v>
      </c>
      <c r="AF153" s="123">
        <f t="shared" si="56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55"/>
        <v>2.15</v>
      </c>
      <c r="E154" s="123">
        <f t="shared" si="55"/>
        <v>2.15</v>
      </c>
      <c r="F154" s="123">
        <f t="shared" si="55"/>
        <v>2.15</v>
      </c>
      <c r="G154" s="123">
        <f t="shared" si="55"/>
        <v>2.15</v>
      </c>
      <c r="H154" s="123">
        <f t="shared" si="55"/>
        <v>2.15</v>
      </c>
      <c r="I154" s="123">
        <f t="shared" si="55"/>
        <v>2.15</v>
      </c>
      <c r="J154" s="123">
        <f t="shared" si="55"/>
        <v>2.15</v>
      </c>
      <c r="K154" s="123">
        <f t="shared" si="55"/>
        <v>2.15</v>
      </c>
      <c r="L154" s="123">
        <f t="shared" si="55"/>
        <v>2.15</v>
      </c>
      <c r="M154" s="123">
        <f t="shared" si="55"/>
        <v>2.15</v>
      </c>
      <c r="N154" s="123">
        <f t="shared" si="55"/>
        <v>2.15</v>
      </c>
      <c r="O154" s="123">
        <f t="shared" si="55"/>
        <v>2.15</v>
      </c>
      <c r="P154" s="123">
        <f t="shared" si="55"/>
        <v>2.15</v>
      </c>
      <c r="Q154" s="123">
        <f t="shared" si="55"/>
        <v>2.15</v>
      </c>
      <c r="R154" s="123">
        <f t="shared" si="55"/>
        <v>2.15</v>
      </c>
      <c r="S154" s="123">
        <f t="shared" si="55"/>
        <v>2.15</v>
      </c>
      <c r="T154" s="123">
        <f t="shared" si="56"/>
        <v>2.15</v>
      </c>
      <c r="U154" s="123">
        <f t="shared" si="56"/>
        <v>2.15</v>
      </c>
      <c r="V154" s="123">
        <f t="shared" si="56"/>
        <v>2.15</v>
      </c>
      <c r="W154" s="123">
        <f t="shared" si="56"/>
        <v>2.15</v>
      </c>
      <c r="X154" s="123">
        <f t="shared" si="56"/>
        <v>2.15</v>
      </c>
      <c r="Y154" s="123">
        <f t="shared" si="56"/>
        <v>2.15</v>
      </c>
      <c r="Z154" s="123">
        <f t="shared" si="56"/>
        <v>2.15</v>
      </c>
      <c r="AA154" s="123">
        <f t="shared" si="56"/>
        <v>2.15</v>
      </c>
      <c r="AB154" s="123">
        <f t="shared" si="56"/>
        <v>2.15</v>
      </c>
      <c r="AC154" s="123">
        <f t="shared" si="56"/>
        <v>2.15</v>
      </c>
      <c r="AD154" s="123">
        <f t="shared" si="56"/>
        <v>2.15</v>
      </c>
      <c r="AE154" s="123">
        <f t="shared" si="56"/>
        <v>2.15</v>
      </c>
      <c r="AF154" s="123">
        <f t="shared" si="56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57">AF156</f>
        <v>0.9</v>
      </c>
      <c r="C156" s="124">
        <v>0.9</v>
      </c>
      <c r="D156" s="123">
        <f t="shared" ref="D156:S168" si="58">C156</f>
        <v>0.9</v>
      </c>
      <c r="E156" s="123">
        <f t="shared" si="58"/>
        <v>0.9</v>
      </c>
      <c r="F156" s="123">
        <f t="shared" si="58"/>
        <v>0.9</v>
      </c>
      <c r="G156" s="123">
        <f t="shared" si="58"/>
        <v>0.9</v>
      </c>
      <c r="H156" s="123">
        <f t="shared" si="58"/>
        <v>0.9</v>
      </c>
      <c r="I156" s="123">
        <f t="shared" si="58"/>
        <v>0.9</v>
      </c>
      <c r="J156" s="123">
        <f t="shared" si="58"/>
        <v>0.9</v>
      </c>
      <c r="K156" s="123">
        <f t="shared" si="58"/>
        <v>0.9</v>
      </c>
      <c r="L156" s="123">
        <f t="shared" si="58"/>
        <v>0.9</v>
      </c>
      <c r="M156" s="123">
        <f t="shared" si="58"/>
        <v>0.9</v>
      </c>
      <c r="N156" s="123">
        <f t="shared" si="58"/>
        <v>0.9</v>
      </c>
      <c r="O156" s="123">
        <f t="shared" si="58"/>
        <v>0.9</v>
      </c>
      <c r="P156" s="123">
        <f t="shared" si="58"/>
        <v>0.9</v>
      </c>
      <c r="Q156" s="123">
        <f t="shared" si="58"/>
        <v>0.9</v>
      </c>
      <c r="R156" s="123">
        <f t="shared" si="58"/>
        <v>0.9</v>
      </c>
      <c r="S156" s="123">
        <f t="shared" si="58"/>
        <v>0.9</v>
      </c>
      <c r="T156" s="123">
        <f t="shared" ref="S156:AF168" si="59">S156</f>
        <v>0.9</v>
      </c>
      <c r="U156" s="123">
        <f t="shared" si="59"/>
        <v>0.9</v>
      </c>
      <c r="V156" s="123">
        <f t="shared" si="59"/>
        <v>0.9</v>
      </c>
      <c r="W156" s="123">
        <f t="shared" si="59"/>
        <v>0.9</v>
      </c>
      <c r="X156" s="123">
        <f t="shared" si="59"/>
        <v>0.9</v>
      </c>
      <c r="Y156" s="123">
        <f t="shared" si="59"/>
        <v>0.9</v>
      </c>
      <c r="Z156" s="123">
        <f t="shared" si="59"/>
        <v>0.9</v>
      </c>
      <c r="AA156" s="123">
        <f t="shared" si="59"/>
        <v>0.9</v>
      </c>
      <c r="AB156" s="123">
        <f t="shared" si="59"/>
        <v>0.9</v>
      </c>
      <c r="AC156" s="123">
        <f t="shared" si="59"/>
        <v>0.9</v>
      </c>
      <c r="AD156" s="123">
        <f t="shared" si="59"/>
        <v>0.9</v>
      </c>
      <c r="AE156" s="123">
        <f t="shared" si="59"/>
        <v>0.9</v>
      </c>
      <c r="AF156" s="123">
        <f t="shared" si="59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57"/>
        <v>1.08</v>
      </c>
      <c r="C157" s="124">
        <v>1.08</v>
      </c>
      <c r="D157" s="123">
        <f t="shared" si="58"/>
        <v>1.08</v>
      </c>
      <c r="E157" s="123">
        <f t="shared" si="58"/>
        <v>1.08</v>
      </c>
      <c r="F157" s="123">
        <f t="shared" si="58"/>
        <v>1.08</v>
      </c>
      <c r="G157" s="123">
        <f t="shared" si="58"/>
        <v>1.08</v>
      </c>
      <c r="H157" s="123">
        <f t="shared" si="58"/>
        <v>1.08</v>
      </c>
      <c r="I157" s="123">
        <f t="shared" si="58"/>
        <v>1.08</v>
      </c>
      <c r="J157" s="123">
        <f t="shared" si="58"/>
        <v>1.08</v>
      </c>
      <c r="K157" s="123">
        <f t="shared" si="58"/>
        <v>1.08</v>
      </c>
      <c r="L157" s="123">
        <f t="shared" si="58"/>
        <v>1.08</v>
      </c>
      <c r="M157" s="123">
        <f t="shared" si="58"/>
        <v>1.08</v>
      </c>
      <c r="N157" s="123">
        <f t="shared" si="58"/>
        <v>1.08</v>
      </c>
      <c r="O157" s="123">
        <f t="shared" si="58"/>
        <v>1.08</v>
      </c>
      <c r="P157" s="123">
        <f t="shared" si="58"/>
        <v>1.08</v>
      </c>
      <c r="Q157" s="123">
        <f t="shared" si="58"/>
        <v>1.08</v>
      </c>
      <c r="R157" s="123">
        <f t="shared" si="58"/>
        <v>1.08</v>
      </c>
      <c r="S157" s="123">
        <f t="shared" si="58"/>
        <v>1.08</v>
      </c>
      <c r="T157" s="123">
        <f t="shared" si="59"/>
        <v>1.08</v>
      </c>
      <c r="U157" s="123">
        <f t="shared" si="59"/>
        <v>1.08</v>
      </c>
      <c r="V157" s="123">
        <f t="shared" si="59"/>
        <v>1.08</v>
      </c>
      <c r="W157" s="123">
        <f t="shared" si="59"/>
        <v>1.08</v>
      </c>
      <c r="X157" s="123">
        <f t="shared" si="59"/>
        <v>1.08</v>
      </c>
      <c r="Y157" s="123">
        <f t="shared" si="59"/>
        <v>1.08</v>
      </c>
      <c r="Z157" s="123">
        <f t="shared" si="59"/>
        <v>1.08</v>
      </c>
      <c r="AA157" s="123">
        <f t="shared" si="59"/>
        <v>1.08</v>
      </c>
      <c r="AB157" s="123">
        <f t="shared" si="59"/>
        <v>1.08</v>
      </c>
      <c r="AC157" s="123">
        <f t="shared" si="59"/>
        <v>1.08</v>
      </c>
      <c r="AD157" s="123">
        <f t="shared" si="59"/>
        <v>1.08</v>
      </c>
      <c r="AE157" s="123">
        <f t="shared" si="59"/>
        <v>1.08</v>
      </c>
      <c r="AF157" s="123">
        <f t="shared" si="59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57"/>
        <v>2.37</v>
      </c>
      <c r="C158" s="124">
        <v>2.37</v>
      </c>
      <c r="D158" s="123">
        <f t="shared" si="58"/>
        <v>2.37</v>
      </c>
      <c r="E158" s="123">
        <f t="shared" si="58"/>
        <v>2.37</v>
      </c>
      <c r="F158" s="123">
        <f t="shared" si="58"/>
        <v>2.37</v>
      </c>
      <c r="G158" s="123">
        <f t="shared" si="58"/>
        <v>2.37</v>
      </c>
      <c r="H158" s="123">
        <f t="shared" si="58"/>
        <v>2.37</v>
      </c>
      <c r="I158" s="123">
        <f t="shared" si="58"/>
        <v>2.37</v>
      </c>
      <c r="J158" s="123">
        <f t="shared" si="58"/>
        <v>2.37</v>
      </c>
      <c r="K158" s="123">
        <f t="shared" si="58"/>
        <v>2.37</v>
      </c>
      <c r="L158" s="123">
        <f t="shared" si="58"/>
        <v>2.37</v>
      </c>
      <c r="M158" s="123">
        <f t="shared" si="58"/>
        <v>2.37</v>
      </c>
      <c r="N158" s="123">
        <f t="shared" si="58"/>
        <v>2.37</v>
      </c>
      <c r="O158" s="123">
        <f t="shared" si="58"/>
        <v>2.37</v>
      </c>
      <c r="P158" s="123">
        <f t="shared" si="58"/>
        <v>2.37</v>
      </c>
      <c r="Q158" s="123">
        <f t="shared" si="58"/>
        <v>2.37</v>
      </c>
      <c r="R158" s="123">
        <f t="shared" si="58"/>
        <v>2.37</v>
      </c>
      <c r="S158" s="123">
        <f t="shared" si="58"/>
        <v>2.37</v>
      </c>
      <c r="T158" s="123">
        <f t="shared" si="59"/>
        <v>2.37</v>
      </c>
      <c r="U158" s="123">
        <f t="shared" si="59"/>
        <v>2.37</v>
      </c>
      <c r="V158" s="123">
        <f t="shared" si="59"/>
        <v>2.37</v>
      </c>
      <c r="W158" s="123">
        <f t="shared" si="59"/>
        <v>2.37</v>
      </c>
      <c r="X158" s="123">
        <f t="shared" si="59"/>
        <v>2.37</v>
      </c>
      <c r="Y158" s="123">
        <f t="shared" si="59"/>
        <v>2.37</v>
      </c>
      <c r="Z158" s="123">
        <f t="shared" si="59"/>
        <v>2.37</v>
      </c>
      <c r="AA158" s="123">
        <f t="shared" si="59"/>
        <v>2.37</v>
      </c>
      <c r="AB158" s="123">
        <f t="shared" si="59"/>
        <v>2.37</v>
      </c>
      <c r="AC158" s="123">
        <f t="shared" si="59"/>
        <v>2.37</v>
      </c>
      <c r="AD158" s="123">
        <f t="shared" si="59"/>
        <v>2.37</v>
      </c>
      <c r="AE158" s="123">
        <f t="shared" si="59"/>
        <v>2.37</v>
      </c>
      <c r="AF158" s="123">
        <f t="shared" si="59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57"/>
        <v>1.81</v>
      </c>
      <c r="C159" s="124">
        <v>1.81</v>
      </c>
      <c r="D159" s="123">
        <f t="shared" si="58"/>
        <v>1.81</v>
      </c>
      <c r="E159" s="123">
        <f t="shared" si="58"/>
        <v>1.81</v>
      </c>
      <c r="F159" s="123">
        <f t="shared" si="58"/>
        <v>1.81</v>
      </c>
      <c r="G159" s="123">
        <f t="shared" si="58"/>
        <v>1.81</v>
      </c>
      <c r="H159" s="123">
        <f t="shared" si="58"/>
        <v>1.81</v>
      </c>
      <c r="I159" s="123">
        <f t="shared" si="58"/>
        <v>1.81</v>
      </c>
      <c r="J159" s="123">
        <f t="shared" si="58"/>
        <v>1.81</v>
      </c>
      <c r="K159" s="123">
        <f t="shared" si="58"/>
        <v>1.81</v>
      </c>
      <c r="L159" s="123">
        <f t="shared" si="58"/>
        <v>1.81</v>
      </c>
      <c r="M159" s="123">
        <f t="shared" si="58"/>
        <v>1.81</v>
      </c>
      <c r="N159" s="123">
        <f t="shared" si="58"/>
        <v>1.81</v>
      </c>
      <c r="O159" s="123">
        <f t="shared" si="58"/>
        <v>1.81</v>
      </c>
      <c r="P159" s="123">
        <f t="shared" si="58"/>
        <v>1.81</v>
      </c>
      <c r="Q159" s="123">
        <f t="shared" si="58"/>
        <v>1.81</v>
      </c>
      <c r="R159" s="123">
        <f t="shared" si="58"/>
        <v>1.81</v>
      </c>
      <c r="S159" s="123">
        <f t="shared" si="58"/>
        <v>1.81</v>
      </c>
      <c r="T159" s="123">
        <f t="shared" si="59"/>
        <v>1.81</v>
      </c>
      <c r="U159" s="123">
        <f t="shared" si="59"/>
        <v>1.81</v>
      </c>
      <c r="V159" s="123">
        <f t="shared" si="59"/>
        <v>1.81</v>
      </c>
      <c r="W159" s="123">
        <f t="shared" si="59"/>
        <v>1.81</v>
      </c>
      <c r="X159" s="123">
        <f t="shared" si="59"/>
        <v>1.81</v>
      </c>
      <c r="Y159" s="123">
        <f t="shared" si="59"/>
        <v>1.81</v>
      </c>
      <c r="Z159" s="123">
        <f t="shared" si="59"/>
        <v>1.81</v>
      </c>
      <c r="AA159" s="123">
        <f t="shared" si="59"/>
        <v>1.81</v>
      </c>
      <c r="AB159" s="123">
        <f t="shared" si="59"/>
        <v>1.81</v>
      </c>
      <c r="AC159" s="123">
        <f t="shared" si="59"/>
        <v>1.81</v>
      </c>
      <c r="AD159" s="123">
        <f t="shared" si="59"/>
        <v>1.81</v>
      </c>
      <c r="AE159" s="123">
        <f t="shared" si="59"/>
        <v>1.81</v>
      </c>
      <c r="AF159" s="123">
        <f t="shared" si="59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57"/>
        <v>1.0900000000000001</v>
      </c>
      <c r="C160" s="124">
        <v>1.0900000000000001</v>
      </c>
      <c r="D160" s="123">
        <f t="shared" si="58"/>
        <v>1.0900000000000001</v>
      </c>
      <c r="E160" s="123">
        <f t="shared" si="58"/>
        <v>1.0900000000000001</v>
      </c>
      <c r="F160" s="123">
        <f t="shared" si="58"/>
        <v>1.0900000000000001</v>
      </c>
      <c r="G160" s="123">
        <f t="shared" si="58"/>
        <v>1.0900000000000001</v>
      </c>
      <c r="H160" s="123">
        <f t="shared" si="58"/>
        <v>1.0900000000000001</v>
      </c>
      <c r="I160" s="123">
        <f t="shared" si="58"/>
        <v>1.0900000000000001</v>
      </c>
      <c r="J160" s="123">
        <f t="shared" si="58"/>
        <v>1.0900000000000001</v>
      </c>
      <c r="K160" s="123">
        <f t="shared" si="58"/>
        <v>1.0900000000000001</v>
      </c>
      <c r="L160" s="123">
        <f t="shared" si="58"/>
        <v>1.0900000000000001</v>
      </c>
      <c r="M160" s="123">
        <f t="shared" si="58"/>
        <v>1.0900000000000001</v>
      </c>
      <c r="N160" s="123">
        <f t="shared" si="58"/>
        <v>1.0900000000000001</v>
      </c>
      <c r="O160" s="123">
        <f t="shared" si="58"/>
        <v>1.0900000000000001</v>
      </c>
      <c r="P160" s="123">
        <f t="shared" si="58"/>
        <v>1.0900000000000001</v>
      </c>
      <c r="Q160" s="123">
        <f t="shared" si="58"/>
        <v>1.0900000000000001</v>
      </c>
      <c r="R160" s="123">
        <f t="shared" si="58"/>
        <v>1.0900000000000001</v>
      </c>
      <c r="S160" s="123">
        <f t="shared" si="58"/>
        <v>1.0900000000000001</v>
      </c>
      <c r="T160" s="123">
        <f t="shared" si="59"/>
        <v>1.0900000000000001</v>
      </c>
      <c r="U160" s="123">
        <f t="shared" si="59"/>
        <v>1.0900000000000001</v>
      </c>
      <c r="V160" s="123">
        <f t="shared" si="59"/>
        <v>1.0900000000000001</v>
      </c>
      <c r="W160" s="123">
        <f t="shared" si="59"/>
        <v>1.0900000000000001</v>
      </c>
      <c r="X160" s="123">
        <f t="shared" si="59"/>
        <v>1.0900000000000001</v>
      </c>
      <c r="Y160" s="123">
        <f t="shared" si="59"/>
        <v>1.0900000000000001</v>
      </c>
      <c r="Z160" s="123">
        <f t="shared" si="59"/>
        <v>1.0900000000000001</v>
      </c>
      <c r="AA160" s="123">
        <f t="shared" si="59"/>
        <v>1.0900000000000001</v>
      </c>
      <c r="AB160" s="123">
        <f t="shared" si="59"/>
        <v>1.0900000000000001</v>
      </c>
      <c r="AC160" s="123">
        <f t="shared" si="59"/>
        <v>1.0900000000000001</v>
      </c>
      <c r="AD160" s="123">
        <f t="shared" si="59"/>
        <v>1.0900000000000001</v>
      </c>
      <c r="AE160" s="123">
        <f t="shared" si="59"/>
        <v>1.0900000000000001</v>
      </c>
      <c r="AF160" s="123">
        <f t="shared" si="59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57"/>
        <v>1.58</v>
      </c>
      <c r="C161" s="124">
        <v>1.58</v>
      </c>
      <c r="D161" s="123">
        <f t="shared" si="58"/>
        <v>1.58</v>
      </c>
      <c r="E161" s="123">
        <f t="shared" si="58"/>
        <v>1.58</v>
      </c>
      <c r="F161" s="123">
        <f t="shared" si="58"/>
        <v>1.58</v>
      </c>
      <c r="G161" s="123">
        <f t="shared" si="58"/>
        <v>1.58</v>
      </c>
      <c r="H161" s="123">
        <f t="shared" si="58"/>
        <v>1.58</v>
      </c>
      <c r="I161" s="123">
        <f t="shared" si="58"/>
        <v>1.58</v>
      </c>
      <c r="J161" s="123">
        <f t="shared" si="58"/>
        <v>1.58</v>
      </c>
      <c r="K161" s="123">
        <f t="shared" si="58"/>
        <v>1.58</v>
      </c>
      <c r="L161" s="123">
        <f t="shared" si="58"/>
        <v>1.58</v>
      </c>
      <c r="M161" s="123">
        <f t="shared" si="58"/>
        <v>1.58</v>
      </c>
      <c r="N161" s="123">
        <f t="shared" si="58"/>
        <v>1.58</v>
      </c>
      <c r="O161" s="123">
        <f t="shared" si="58"/>
        <v>1.58</v>
      </c>
      <c r="P161" s="123">
        <f t="shared" si="58"/>
        <v>1.58</v>
      </c>
      <c r="Q161" s="123">
        <f t="shared" si="58"/>
        <v>1.58</v>
      </c>
      <c r="R161" s="123">
        <f t="shared" si="58"/>
        <v>1.58</v>
      </c>
      <c r="S161" s="123">
        <f t="shared" si="58"/>
        <v>1.58</v>
      </c>
      <c r="T161" s="123">
        <f t="shared" si="59"/>
        <v>1.58</v>
      </c>
      <c r="U161" s="123">
        <f t="shared" si="59"/>
        <v>1.58</v>
      </c>
      <c r="V161" s="123">
        <f t="shared" si="59"/>
        <v>1.58</v>
      </c>
      <c r="W161" s="123">
        <f t="shared" si="59"/>
        <v>1.58</v>
      </c>
      <c r="X161" s="123">
        <f t="shared" si="59"/>
        <v>1.58</v>
      </c>
      <c r="Y161" s="123">
        <f t="shared" si="59"/>
        <v>1.58</v>
      </c>
      <c r="Z161" s="123">
        <f t="shared" si="59"/>
        <v>1.58</v>
      </c>
      <c r="AA161" s="123">
        <f t="shared" si="59"/>
        <v>1.58</v>
      </c>
      <c r="AB161" s="123">
        <f t="shared" si="59"/>
        <v>1.58</v>
      </c>
      <c r="AC161" s="123">
        <f t="shared" si="59"/>
        <v>1.58</v>
      </c>
      <c r="AD161" s="123">
        <f t="shared" si="59"/>
        <v>1.58</v>
      </c>
      <c r="AE161" s="123">
        <f t="shared" si="59"/>
        <v>1.58</v>
      </c>
      <c r="AF161" s="123">
        <f t="shared" si="59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57"/>
        <v>2</v>
      </c>
      <c r="C162" s="124">
        <v>2</v>
      </c>
      <c r="D162" s="123">
        <f t="shared" si="58"/>
        <v>2</v>
      </c>
      <c r="E162" s="123">
        <f t="shared" si="58"/>
        <v>2</v>
      </c>
      <c r="F162" s="123">
        <f t="shared" si="58"/>
        <v>2</v>
      </c>
      <c r="G162" s="123">
        <f t="shared" si="58"/>
        <v>2</v>
      </c>
      <c r="H162" s="123">
        <f t="shared" si="58"/>
        <v>2</v>
      </c>
      <c r="I162" s="123">
        <f t="shared" si="58"/>
        <v>2</v>
      </c>
      <c r="J162" s="123">
        <f t="shared" si="58"/>
        <v>2</v>
      </c>
      <c r="K162" s="123">
        <f t="shared" si="58"/>
        <v>2</v>
      </c>
      <c r="L162" s="123">
        <f t="shared" si="58"/>
        <v>2</v>
      </c>
      <c r="M162" s="123">
        <f t="shared" si="58"/>
        <v>2</v>
      </c>
      <c r="N162" s="123">
        <f t="shared" si="58"/>
        <v>2</v>
      </c>
      <c r="O162" s="123">
        <f t="shared" si="58"/>
        <v>2</v>
      </c>
      <c r="P162" s="123">
        <f t="shared" si="58"/>
        <v>2</v>
      </c>
      <c r="Q162" s="123">
        <f t="shared" si="58"/>
        <v>2</v>
      </c>
      <c r="R162" s="123">
        <f t="shared" si="58"/>
        <v>2</v>
      </c>
      <c r="S162" s="123">
        <f t="shared" si="58"/>
        <v>2</v>
      </c>
      <c r="T162" s="123">
        <f t="shared" si="59"/>
        <v>2</v>
      </c>
      <c r="U162" s="123">
        <f t="shared" si="59"/>
        <v>2</v>
      </c>
      <c r="V162" s="123">
        <f t="shared" si="59"/>
        <v>2</v>
      </c>
      <c r="W162" s="123">
        <f t="shared" si="59"/>
        <v>2</v>
      </c>
      <c r="X162" s="123">
        <f t="shared" si="59"/>
        <v>2</v>
      </c>
      <c r="Y162" s="123">
        <f t="shared" si="59"/>
        <v>2</v>
      </c>
      <c r="Z162" s="123">
        <f t="shared" si="59"/>
        <v>2</v>
      </c>
      <c r="AA162" s="123">
        <f t="shared" si="59"/>
        <v>2</v>
      </c>
      <c r="AB162" s="123">
        <f t="shared" si="59"/>
        <v>2</v>
      </c>
      <c r="AC162" s="123">
        <f t="shared" si="59"/>
        <v>2</v>
      </c>
      <c r="AD162" s="123">
        <f t="shared" si="59"/>
        <v>2</v>
      </c>
      <c r="AE162" s="123">
        <f t="shared" si="59"/>
        <v>2</v>
      </c>
      <c r="AF162" s="123">
        <f t="shared" si="59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57"/>
        <v>0.47</v>
      </c>
      <c r="C163" s="124">
        <v>0.47</v>
      </c>
      <c r="D163" s="123">
        <f t="shared" si="58"/>
        <v>0.47</v>
      </c>
      <c r="E163" s="123">
        <f t="shared" si="58"/>
        <v>0.47</v>
      </c>
      <c r="F163" s="123">
        <f t="shared" si="58"/>
        <v>0.47</v>
      </c>
      <c r="G163" s="123">
        <f t="shared" si="58"/>
        <v>0.47</v>
      </c>
      <c r="H163" s="123">
        <f t="shared" si="58"/>
        <v>0.47</v>
      </c>
      <c r="I163" s="123">
        <f t="shared" si="58"/>
        <v>0.47</v>
      </c>
      <c r="J163" s="123">
        <f t="shared" si="58"/>
        <v>0.47</v>
      </c>
      <c r="K163" s="123">
        <f t="shared" si="58"/>
        <v>0.47</v>
      </c>
      <c r="L163" s="123">
        <f t="shared" si="58"/>
        <v>0.47</v>
      </c>
      <c r="M163" s="123">
        <f t="shared" si="58"/>
        <v>0.47</v>
      </c>
      <c r="N163" s="123">
        <f t="shared" si="58"/>
        <v>0.47</v>
      </c>
      <c r="O163" s="123">
        <f t="shared" si="58"/>
        <v>0.47</v>
      </c>
      <c r="P163" s="123">
        <f t="shared" si="58"/>
        <v>0.47</v>
      </c>
      <c r="Q163" s="123">
        <f t="shared" si="58"/>
        <v>0.47</v>
      </c>
      <c r="R163" s="123">
        <f t="shared" si="58"/>
        <v>0.47</v>
      </c>
      <c r="S163" s="123">
        <f t="shared" si="58"/>
        <v>0.47</v>
      </c>
      <c r="T163" s="123">
        <f t="shared" si="59"/>
        <v>0.47</v>
      </c>
      <c r="U163" s="123">
        <f t="shared" si="59"/>
        <v>0.47</v>
      </c>
      <c r="V163" s="123">
        <f t="shared" si="59"/>
        <v>0.47</v>
      </c>
      <c r="W163" s="123">
        <f t="shared" si="59"/>
        <v>0.47</v>
      </c>
      <c r="X163" s="123">
        <f t="shared" si="59"/>
        <v>0.47</v>
      </c>
      <c r="Y163" s="123">
        <f t="shared" si="59"/>
        <v>0.47</v>
      </c>
      <c r="Z163" s="123">
        <f t="shared" si="59"/>
        <v>0.47</v>
      </c>
      <c r="AA163" s="123">
        <f t="shared" si="59"/>
        <v>0.47</v>
      </c>
      <c r="AB163" s="123">
        <f t="shared" si="59"/>
        <v>0.47</v>
      </c>
      <c r="AC163" s="123">
        <f t="shared" si="59"/>
        <v>0.47</v>
      </c>
      <c r="AD163" s="123">
        <f t="shared" si="59"/>
        <v>0.47</v>
      </c>
      <c r="AE163" s="123">
        <f t="shared" si="59"/>
        <v>0.47</v>
      </c>
      <c r="AF163" s="123">
        <f t="shared" si="59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57"/>
        <v>0</v>
      </c>
      <c r="C164" s="124"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9"/>
        <v>0</v>
      </c>
      <c r="U164" s="123">
        <f t="shared" si="59"/>
        <v>0</v>
      </c>
      <c r="V164" s="123">
        <f t="shared" si="59"/>
        <v>0</v>
      </c>
      <c r="W164" s="123">
        <f t="shared" si="59"/>
        <v>0</v>
      </c>
      <c r="X164" s="123">
        <f t="shared" si="59"/>
        <v>0</v>
      </c>
      <c r="Y164" s="123">
        <f t="shared" si="59"/>
        <v>0</v>
      </c>
      <c r="Z164" s="123">
        <f t="shared" si="59"/>
        <v>0</v>
      </c>
      <c r="AA164" s="123">
        <f t="shared" si="59"/>
        <v>0</v>
      </c>
      <c r="AB164" s="123">
        <f t="shared" si="59"/>
        <v>0</v>
      </c>
      <c r="AC164" s="123">
        <f t="shared" si="59"/>
        <v>0</v>
      </c>
      <c r="AD164" s="123">
        <f t="shared" si="59"/>
        <v>0</v>
      </c>
      <c r="AE164" s="123">
        <f t="shared" si="59"/>
        <v>0</v>
      </c>
      <c r="AF164" s="123">
        <f t="shared" si="59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57"/>
        <v>0</v>
      </c>
      <c r="C165" s="124">
        <v>0</v>
      </c>
      <c r="D165" s="123">
        <f t="shared" si="58"/>
        <v>0</v>
      </c>
      <c r="E165" s="123">
        <f t="shared" si="58"/>
        <v>0</v>
      </c>
      <c r="F165" s="123">
        <f t="shared" si="58"/>
        <v>0</v>
      </c>
      <c r="G165" s="123">
        <f t="shared" si="58"/>
        <v>0</v>
      </c>
      <c r="H165" s="123">
        <f t="shared" si="58"/>
        <v>0</v>
      </c>
      <c r="I165" s="123">
        <f t="shared" si="58"/>
        <v>0</v>
      </c>
      <c r="J165" s="123">
        <f t="shared" si="58"/>
        <v>0</v>
      </c>
      <c r="K165" s="123">
        <f t="shared" si="58"/>
        <v>0</v>
      </c>
      <c r="L165" s="123">
        <f t="shared" si="58"/>
        <v>0</v>
      </c>
      <c r="M165" s="123">
        <f t="shared" si="58"/>
        <v>0</v>
      </c>
      <c r="N165" s="123">
        <f t="shared" si="58"/>
        <v>0</v>
      </c>
      <c r="O165" s="123">
        <f t="shared" si="58"/>
        <v>0</v>
      </c>
      <c r="P165" s="123">
        <f t="shared" si="58"/>
        <v>0</v>
      </c>
      <c r="Q165" s="123">
        <f t="shared" si="58"/>
        <v>0</v>
      </c>
      <c r="R165" s="123">
        <f t="shared" si="58"/>
        <v>0</v>
      </c>
      <c r="S165" s="123">
        <f t="shared" si="59"/>
        <v>0</v>
      </c>
      <c r="T165" s="123">
        <f t="shared" si="59"/>
        <v>0</v>
      </c>
      <c r="U165" s="123">
        <f t="shared" si="59"/>
        <v>0</v>
      </c>
      <c r="V165" s="123">
        <f t="shared" si="59"/>
        <v>0</v>
      </c>
      <c r="W165" s="123">
        <f t="shared" si="59"/>
        <v>0</v>
      </c>
      <c r="X165" s="123">
        <f t="shared" si="59"/>
        <v>0</v>
      </c>
      <c r="Y165" s="123">
        <f t="shared" si="59"/>
        <v>0</v>
      </c>
      <c r="Z165" s="123">
        <f t="shared" si="59"/>
        <v>0</v>
      </c>
      <c r="AA165" s="123">
        <f t="shared" si="59"/>
        <v>0</v>
      </c>
      <c r="AB165" s="123">
        <f t="shared" si="59"/>
        <v>0</v>
      </c>
      <c r="AC165" s="123">
        <f t="shared" si="59"/>
        <v>0</v>
      </c>
      <c r="AD165" s="123">
        <f t="shared" si="59"/>
        <v>0</v>
      </c>
      <c r="AE165" s="123">
        <f t="shared" si="59"/>
        <v>0</v>
      </c>
      <c r="AF165" s="123">
        <f t="shared" si="5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57"/>
        <v>0.8</v>
      </c>
      <c r="C166" s="124">
        <v>0.8</v>
      </c>
      <c r="D166" s="123">
        <f t="shared" si="58"/>
        <v>0.8</v>
      </c>
      <c r="E166" s="123">
        <f t="shared" si="58"/>
        <v>0.8</v>
      </c>
      <c r="F166" s="123">
        <f t="shared" si="58"/>
        <v>0.8</v>
      </c>
      <c r="G166" s="123">
        <f t="shared" si="58"/>
        <v>0.8</v>
      </c>
      <c r="H166" s="123">
        <f t="shared" si="58"/>
        <v>0.8</v>
      </c>
      <c r="I166" s="123">
        <f t="shared" si="58"/>
        <v>0.8</v>
      </c>
      <c r="J166" s="123">
        <f t="shared" si="58"/>
        <v>0.8</v>
      </c>
      <c r="K166" s="123">
        <f t="shared" si="58"/>
        <v>0.8</v>
      </c>
      <c r="L166" s="123">
        <f t="shared" si="58"/>
        <v>0.8</v>
      </c>
      <c r="M166" s="123">
        <f t="shared" si="58"/>
        <v>0.8</v>
      </c>
      <c r="N166" s="123">
        <f t="shared" si="58"/>
        <v>0.8</v>
      </c>
      <c r="O166" s="123">
        <f t="shared" si="58"/>
        <v>0.8</v>
      </c>
      <c r="P166" s="123">
        <f t="shared" si="58"/>
        <v>0.8</v>
      </c>
      <c r="Q166" s="123">
        <f t="shared" si="58"/>
        <v>0.8</v>
      </c>
      <c r="R166" s="123">
        <f t="shared" si="58"/>
        <v>0.8</v>
      </c>
      <c r="S166" s="123">
        <f t="shared" si="59"/>
        <v>0.8</v>
      </c>
      <c r="T166" s="123">
        <f t="shared" si="59"/>
        <v>0.8</v>
      </c>
      <c r="U166" s="123">
        <f t="shared" si="59"/>
        <v>0.8</v>
      </c>
      <c r="V166" s="123">
        <f t="shared" si="59"/>
        <v>0.8</v>
      </c>
      <c r="W166" s="123">
        <f t="shared" si="59"/>
        <v>0.8</v>
      </c>
      <c r="X166" s="123">
        <f t="shared" si="59"/>
        <v>0.8</v>
      </c>
      <c r="Y166" s="123">
        <f t="shared" si="59"/>
        <v>0.8</v>
      </c>
      <c r="Z166" s="123">
        <f t="shared" si="59"/>
        <v>0.8</v>
      </c>
      <c r="AA166" s="123">
        <f t="shared" si="59"/>
        <v>0.8</v>
      </c>
      <c r="AB166" s="123">
        <f t="shared" si="59"/>
        <v>0.8</v>
      </c>
      <c r="AC166" s="123">
        <f t="shared" si="59"/>
        <v>0.8</v>
      </c>
      <c r="AD166" s="123">
        <f t="shared" si="59"/>
        <v>0.8</v>
      </c>
      <c r="AE166" s="123">
        <f t="shared" si="59"/>
        <v>0.8</v>
      </c>
      <c r="AF166" s="123">
        <f t="shared" si="59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57"/>
        <v>1.5</v>
      </c>
      <c r="C167" s="124">
        <v>1.5</v>
      </c>
      <c r="D167" s="123">
        <f t="shared" si="58"/>
        <v>1.5</v>
      </c>
      <c r="E167" s="123">
        <f t="shared" si="58"/>
        <v>1.5</v>
      </c>
      <c r="F167" s="123">
        <f t="shared" si="58"/>
        <v>1.5</v>
      </c>
      <c r="G167" s="123">
        <f t="shared" si="58"/>
        <v>1.5</v>
      </c>
      <c r="H167" s="123">
        <f t="shared" si="58"/>
        <v>1.5</v>
      </c>
      <c r="I167" s="123">
        <f t="shared" si="58"/>
        <v>1.5</v>
      </c>
      <c r="J167" s="123">
        <f t="shared" si="58"/>
        <v>1.5</v>
      </c>
      <c r="K167" s="123">
        <f t="shared" si="58"/>
        <v>1.5</v>
      </c>
      <c r="L167" s="123">
        <f t="shared" si="58"/>
        <v>1.5</v>
      </c>
      <c r="M167" s="123">
        <f t="shared" si="58"/>
        <v>1.5</v>
      </c>
      <c r="N167" s="123">
        <f t="shared" si="58"/>
        <v>1.5</v>
      </c>
      <c r="O167" s="123">
        <f t="shared" si="58"/>
        <v>1.5</v>
      </c>
      <c r="P167" s="123">
        <f t="shared" si="58"/>
        <v>1.5</v>
      </c>
      <c r="Q167" s="123">
        <f t="shared" si="58"/>
        <v>1.5</v>
      </c>
      <c r="R167" s="123">
        <f t="shared" si="58"/>
        <v>1.5</v>
      </c>
      <c r="S167" s="123">
        <f t="shared" si="59"/>
        <v>1.5</v>
      </c>
      <c r="T167" s="123">
        <f t="shared" si="59"/>
        <v>1.5</v>
      </c>
      <c r="U167" s="123">
        <f t="shared" si="59"/>
        <v>1.5</v>
      </c>
      <c r="V167" s="123">
        <f t="shared" si="59"/>
        <v>1.5</v>
      </c>
      <c r="W167" s="123">
        <f t="shared" si="59"/>
        <v>1.5</v>
      </c>
      <c r="X167" s="123">
        <f t="shared" si="59"/>
        <v>1.5</v>
      </c>
      <c r="Y167" s="123">
        <f t="shared" si="59"/>
        <v>1.5</v>
      </c>
      <c r="Z167" s="123">
        <f t="shared" si="59"/>
        <v>1.5</v>
      </c>
      <c r="AA167" s="123">
        <f t="shared" si="59"/>
        <v>1.5</v>
      </c>
      <c r="AB167" s="123">
        <f t="shared" si="59"/>
        <v>1.5</v>
      </c>
      <c r="AC167" s="123">
        <f t="shared" si="59"/>
        <v>1.5</v>
      </c>
      <c r="AD167" s="123">
        <f t="shared" si="59"/>
        <v>1.5</v>
      </c>
      <c r="AE167" s="123">
        <f t="shared" si="59"/>
        <v>1.5</v>
      </c>
      <c r="AF167" s="123">
        <f t="shared" si="59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57"/>
        <v>1</v>
      </c>
      <c r="C168" s="124">
        <v>1</v>
      </c>
      <c r="D168" s="123">
        <f t="shared" si="58"/>
        <v>1</v>
      </c>
      <c r="E168" s="123">
        <f t="shared" si="58"/>
        <v>1</v>
      </c>
      <c r="F168" s="123">
        <f t="shared" si="58"/>
        <v>1</v>
      </c>
      <c r="G168" s="123">
        <f t="shared" si="58"/>
        <v>1</v>
      </c>
      <c r="H168" s="123">
        <f t="shared" si="58"/>
        <v>1</v>
      </c>
      <c r="I168" s="123">
        <f t="shared" si="58"/>
        <v>1</v>
      </c>
      <c r="J168" s="123">
        <f t="shared" si="58"/>
        <v>1</v>
      </c>
      <c r="K168" s="123">
        <f t="shared" si="58"/>
        <v>1</v>
      </c>
      <c r="L168" s="123">
        <f t="shared" si="58"/>
        <v>1</v>
      </c>
      <c r="M168" s="123">
        <f t="shared" si="58"/>
        <v>1</v>
      </c>
      <c r="N168" s="123">
        <f t="shared" si="58"/>
        <v>1</v>
      </c>
      <c r="O168" s="123">
        <f t="shared" si="58"/>
        <v>1</v>
      </c>
      <c r="P168" s="123">
        <f t="shared" si="58"/>
        <v>1</v>
      </c>
      <c r="Q168" s="123">
        <f t="shared" si="58"/>
        <v>1</v>
      </c>
      <c r="R168" s="123">
        <f t="shared" si="58"/>
        <v>1</v>
      </c>
      <c r="S168" s="123">
        <f t="shared" si="59"/>
        <v>1</v>
      </c>
      <c r="T168" s="123">
        <f t="shared" si="59"/>
        <v>1</v>
      </c>
      <c r="U168" s="123">
        <f t="shared" si="59"/>
        <v>1</v>
      </c>
      <c r="V168" s="123">
        <f t="shared" si="59"/>
        <v>1</v>
      </c>
      <c r="W168" s="123">
        <f t="shared" si="59"/>
        <v>1</v>
      </c>
      <c r="X168" s="123">
        <f t="shared" si="59"/>
        <v>1</v>
      </c>
      <c r="Y168" s="123">
        <f t="shared" si="59"/>
        <v>1</v>
      </c>
      <c r="Z168" s="123">
        <f t="shared" si="59"/>
        <v>1</v>
      </c>
      <c r="AA168" s="123">
        <f t="shared" si="59"/>
        <v>1</v>
      </c>
      <c r="AB168" s="123">
        <f t="shared" si="59"/>
        <v>1</v>
      </c>
      <c r="AC168" s="123">
        <f t="shared" si="59"/>
        <v>1</v>
      </c>
      <c r="AD168" s="123">
        <f t="shared" si="59"/>
        <v>1</v>
      </c>
      <c r="AE168" s="123">
        <f t="shared" si="59"/>
        <v>1</v>
      </c>
      <c r="AF168" s="123">
        <f t="shared" si="59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0">AF170</f>
        <v>1</v>
      </c>
      <c r="C170" s="124">
        <v>1</v>
      </c>
      <c r="D170" s="123">
        <f t="shared" ref="D170:S177" si="61">C170</f>
        <v>1</v>
      </c>
      <c r="E170" s="123">
        <f t="shared" si="61"/>
        <v>1</v>
      </c>
      <c r="F170" s="123">
        <f t="shared" si="61"/>
        <v>1</v>
      </c>
      <c r="G170" s="123">
        <f t="shared" si="61"/>
        <v>1</v>
      </c>
      <c r="H170" s="123">
        <f t="shared" si="61"/>
        <v>1</v>
      </c>
      <c r="I170" s="123">
        <f t="shared" si="61"/>
        <v>1</v>
      </c>
      <c r="J170" s="123">
        <f t="shared" si="61"/>
        <v>1</v>
      </c>
      <c r="K170" s="123">
        <f t="shared" si="61"/>
        <v>1</v>
      </c>
      <c r="L170" s="123">
        <f t="shared" si="61"/>
        <v>1</v>
      </c>
      <c r="M170" s="123">
        <f t="shared" si="61"/>
        <v>1</v>
      </c>
      <c r="N170" s="123">
        <f t="shared" si="61"/>
        <v>1</v>
      </c>
      <c r="O170" s="123">
        <f t="shared" si="61"/>
        <v>1</v>
      </c>
      <c r="P170" s="123">
        <f t="shared" si="61"/>
        <v>1</v>
      </c>
      <c r="Q170" s="123">
        <f t="shared" si="61"/>
        <v>1</v>
      </c>
      <c r="R170" s="123">
        <f t="shared" si="61"/>
        <v>1</v>
      </c>
      <c r="S170" s="123">
        <f t="shared" si="61"/>
        <v>1</v>
      </c>
      <c r="T170" s="123">
        <f t="shared" ref="S170:AF177" si="62">S170</f>
        <v>1</v>
      </c>
      <c r="U170" s="123">
        <f t="shared" si="62"/>
        <v>1</v>
      </c>
      <c r="V170" s="123">
        <f t="shared" si="62"/>
        <v>1</v>
      </c>
      <c r="W170" s="123">
        <f t="shared" si="62"/>
        <v>1</v>
      </c>
      <c r="X170" s="123">
        <f t="shared" si="62"/>
        <v>1</v>
      </c>
      <c r="Y170" s="123">
        <f t="shared" si="62"/>
        <v>1</v>
      </c>
      <c r="Z170" s="123">
        <f t="shared" si="62"/>
        <v>1</v>
      </c>
      <c r="AA170" s="123">
        <f t="shared" si="62"/>
        <v>1</v>
      </c>
      <c r="AB170" s="123">
        <f t="shared" si="62"/>
        <v>1</v>
      </c>
      <c r="AC170" s="123">
        <f t="shared" si="62"/>
        <v>1</v>
      </c>
      <c r="AD170" s="123">
        <f t="shared" si="62"/>
        <v>1</v>
      </c>
      <c r="AE170" s="123">
        <f t="shared" si="62"/>
        <v>1</v>
      </c>
      <c r="AF170" s="123">
        <f t="shared" si="62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0"/>
        <v>0.42</v>
      </c>
      <c r="C171" s="124">
        <v>0.42</v>
      </c>
      <c r="D171" s="123">
        <f t="shared" si="61"/>
        <v>0.42</v>
      </c>
      <c r="E171" s="123">
        <f t="shared" si="61"/>
        <v>0.42</v>
      </c>
      <c r="F171" s="123">
        <f t="shared" si="61"/>
        <v>0.42</v>
      </c>
      <c r="G171" s="123">
        <f t="shared" si="61"/>
        <v>0.42</v>
      </c>
      <c r="H171" s="123">
        <f t="shared" si="61"/>
        <v>0.42</v>
      </c>
      <c r="I171" s="123">
        <f t="shared" si="61"/>
        <v>0.42</v>
      </c>
      <c r="J171" s="123">
        <f t="shared" si="61"/>
        <v>0.42</v>
      </c>
      <c r="K171" s="123">
        <f t="shared" si="61"/>
        <v>0.42</v>
      </c>
      <c r="L171" s="123">
        <f t="shared" si="61"/>
        <v>0.42</v>
      </c>
      <c r="M171" s="123">
        <f t="shared" si="61"/>
        <v>0.42</v>
      </c>
      <c r="N171" s="123">
        <f t="shared" si="61"/>
        <v>0.42</v>
      </c>
      <c r="O171" s="123">
        <f t="shared" si="61"/>
        <v>0.42</v>
      </c>
      <c r="P171" s="123">
        <f t="shared" si="61"/>
        <v>0.42</v>
      </c>
      <c r="Q171" s="123">
        <f t="shared" si="61"/>
        <v>0.42</v>
      </c>
      <c r="R171" s="123">
        <f t="shared" si="61"/>
        <v>0.42</v>
      </c>
      <c r="S171" s="123">
        <f t="shared" si="62"/>
        <v>0.42</v>
      </c>
      <c r="T171" s="123">
        <f t="shared" si="62"/>
        <v>0.42</v>
      </c>
      <c r="U171" s="123">
        <f t="shared" si="62"/>
        <v>0.42</v>
      </c>
      <c r="V171" s="123">
        <f t="shared" si="62"/>
        <v>0.42</v>
      </c>
      <c r="W171" s="123">
        <f t="shared" si="62"/>
        <v>0.42</v>
      </c>
      <c r="X171" s="123">
        <f t="shared" si="62"/>
        <v>0.42</v>
      </c>
      <c r="Y171" s="123">
        <f t="shared" si="62"/>
        <v>0.42</v>
      </c>
      <c r="Z171" s="123">
        <f t="shared" si="62"/>
        <v>0.42</v>
      </c>
      <c r="AA171" s="123">
        <f t="shared" si="62"/>
        <v>0.42</v>
      </c>
      <c r="AB171" s="123">
        <f t="shared" si="62"/>
        <v>0.42</v>
      </c>
      <c r="AC171" s="123">
        <f t="shared" si="62"/>
        <v>0.42</v>
      </c>
      <c r="AD171" s="123">
        <f t="shared" si="62"/>
        <v>0.42</v>
      </c>
      <c r="AE171" s="123">
        <f t="shared" si="62"/>
        <v>0.42</v>
      </c>
      <c r="AF171" s="123">
        <f t="shared" si="62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0"/>
        <v>0.46</v>
      </c>
      <c r="C172" s="124">
        <v>0.46</v>
      </c>
      <c r="D172" s="123">
        <f t="shared" si="61"/>
        <v>0.46</v>
      </c>
      <c r="E172" s="123">
        <f t="shared" si="61"/>
        <v>0.46</v>
      </c>
      <c r="F172" s="123">
        <f t="shared" si="61"/>
        <v>0.46</v>
      </c>
      <c r="G172" s="123">
        <f t="shared" si="61"/>
        <v>0.46</v>
      </c>
      <c r="H172" s="123">
        <f t="shared" si="61"/>
        <v>0.46</v>
      </c>
      <c r="I172" s="123">
        <f t="shared" si="61"/>
        <v>0.46</v>
      </c>
      <c r="J172" s="123">
        <f t="shared" si="61"/>
        <v>0.46</v>
      </c>
      <c r="K172" s="123">
        <f t="shared" si="61"/>
        <v>0.46</v>
      </c>
      <c r="L172" s="123">
        <f t="shared" si="61"/>
        <v>0.46</v>
      </c>
      <c r="M172" s="123">
        <f t="shared" si="61"/>
        <v>0.46</v>
      </c>
      <c r="N172" s="123">
        <f t="shared" si="61"/>
        <v>0.46</v>
      </c>
      <c r="O172" s="123">
        <f t="shared" si="61"/>
        <v>0.46</v>
      </c>
      <c r="P172" s="123">
        <f t="shared" si="61"/>
        <v>0.46</v>
      </c>
      <c r="Q172" s="123">
        <f t="shared" si="61"/>
        <v>0.46</v>
      </c>
      <c r="R172" s="123">
        <f t="shared" si="61"/>
        <v>0.46</v>
      </c>
      <c r="S172" s="123">
        <f t="shared" si="62"/>
        <v>0.46</v>
      </c>
      <c r="T172" s="123">
        <f t="shared" si="62"/>
        <v>0.46</v>
      </c>
      <c r="U172" s="123">
        <f t="shared" si="62"/>
        <v>0.46</v>
      </c>
      <c r="V172" s="123">
        <f t="shared" si="62"/>
        <v>0.46</v>
      </c>
      <c r="W172" s="123">
        <f t="shared" si="62"/>
        <v>0.46</v>
      </c>
      <c r="X172" s="123">
        <f t="shared" si="62"/>
        <v>0.46</v>
      </c>
      <c r="Y172" s="123">
        <f t="shared" si="62"/>
        <v>0.46</v>
      </c>
      <c r="Z172" s="123">
        <f t="shared" si="62"/>
        <v>0.46</v>
      </c>
      <c r="AA172" s="123">
        <f t="shared" si="62"/>
        <v>0.46</v>
      </c>
      <c r="AB172" s="123">
        <f t="shared" si="62"/>
        <v>0.46</v>
      </c>
      <c r="AC172" s="123">
        <f t="shared" si="62"/>
        <v>0.46</v>
      </c>
      <c r="AD172" s="123">
        <f t="shared" si="62"/>
        <v>0.46</v>
      </c>
      <c r="AE172" s="123">
        <f t="shared" si="62"/>
        <v>0.46</v>
      </c>
      <c r="AF172" s="123">
        <f t="shared" si="62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0"/>
        <v>0.85</v>
      </c>
      <c r="C173" s="124">
        <v>0.85</v>
      </c>
      <c r="D173" s="123">
        <f t="shared" si="61"/>
        <v>0.85</v>
      </c>
      <c r="E173" s="123">
        <f t="shared" si="61"/>
        <v>0.85</v>
      </c>
      <c r="F173" s="123">
        <f t="shared" si="61"/>
        <v>0.85</v>
      </c>
      <c r="G173" s="123">
        <f t="shared" si="61"/>
        <v>0.85</v>
      </c>
      <c r="H173" s="123">
        <f t="shared" si="61"/>
        <v>0.85</v>
      </c>
      <c r="I173" s="123">
        <f t="shared" si="61"/>
        <v>0.85</v>
      </c>
      <c r="J173" s="123">
        <f t="shared" si="61"/>
        <v>0.85</v>
      </c>
      <c r="K173" s="123">
        <f t="shared" si="61"/>
        <v>0.85</v>
      </c>
      <c r="L173" s="123">
        <f t="shared" si="61"/>
        <v>0.85</v>
      </c>
      <c r="M173" s="123">
        <f t="shared" si="61"/>
        <v>0.85</v>
      </c>
      <c r="N173" s="123">
        <f t="shared" si="61"/>
        <v>0.85</v>
      </c>
      <c r="O173" s="123">
        <f t="shared" si="61"/>
        <v>0.85</v>
      </c>
      <c r="P173" s="123">
        <f t="shared" si="61"/>
        <v>0.85</v>
      </c>
      <c r="Q173" s="123">
        <f t="shared" si="61"/>
        <v>0.85</v>
      </c>
      <c r="R173" s="123">
        <f t="shared" si="61"/>
        <v>0.85</v>
      </c>
      <c r="S173" s="123">
        <f t="shared" si="62"/>
        <v>0.85</v>
      </c>
      <c r="T173" s="123">
        <f t="shared" si="62"/>
        <v>0.85</v>
      </c>
      <c r="U173" s="123">
        <f t="shared" si="62"/>
        <v>0.85</v>
      </c>
      <c r="V173" s="123">
        <f t="shared" si="62"/>
        <v>0.85</v>
      </c>
      <c r="W173" s="123">
        <f t="shared" si="62"/>
        <v>0.85</v>
      </c>
      <c r="X173" s="123">
        <f t="shared" si="62"/>
        <v>0.85</v>
      </c>
      <c r="Y173" s="123">
        <f t="shared" si="62"/>
        <v>0.85</v>
      </c>
      <c r="Z173" s="123">
        <f t="shared" si="62"/>
        <v>0.85</v>
      </c>
      <c r="AA173" s="123">
        <f t="shared" si="62"/>
        <v>0.85</v>
      </c>
      <c r="AB173" s="123">
        <f t="shared" si="62"/>
        <v>0.85</v>
      </c>
      <c r="AC173" s="123">
        <f t="shared" si="62"/>
        <v>0.85</v>
      </c>
      <c r="AD173" s="123">
        <f t="shared" si="62"/>
        <v>0.85</v>
      </c>
      <c r="AE173" s="123">
        <f t="shared" si="62"/>
        <v>0.85</v>
      </c>
      <c r="AF173" s="123">
        <f t="shared" si="62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0"/>
        <v>0.9</v>
      </c>
      <c r="C174" s="124">
        <v>0.9</v>
      </c>
      <c r="D174" s="123">
        <f t="shared" si="61"/>
        <v>0.9</v>
      </c>
      <c r="E174" s="123">
        <f t="shared" si="61"/>
        <v>0.9</v>
      </c>
      <c r="F174" s="123">
        <f t="shared" si="61"/>
        <v>0.9</v>
      </c>
      <c r="G174" s="123">
        <f t="shared" si="61"/>
        <v>0.9</v>
      </c>
      <c r="H174" s="123">
        <f t="shared" si="61"/>
        <v>0.9</v>
      </c>
      <c r="I174" s="123">
        <f t="shared" si="61"/>
        <v>0.9</v>
      </c>
      <c r="J174" s="123">
        <f t="shared" si="61"/>
        <v>0.9</v>
      </c>
      <c r="K174" s="123">
        <f t="shared" si="61"/>
        <v>0.9</v>
      </c>
      <c r="L174" s="123">
        <f t="shared" si="61"/>
        <v>0.9</v>
      </c>
      <c r="M174" s="123">
        <f t="shared" si="61"/>
        <v>0.9</v>
      </c>
      <c r="N174" s="123">
        <f t="shared" si="61"/>
        <v>0.9</v>
      </c>
      <c r="O174" s="123">
        <f t="shared" si="61"/>
        <v>0.9</v>
      </c>
      <c r="P174" s="123">
        <f t="shared" si="61"/>
        <v>0.9</v>
      </c>
      <c r="Q174" s="123">
        <f t="shared" si="61"/>
        <v>0.9</v>
      </c>
      <c r="R174" s="123">
        <f t="shared" si="61"/>
        <v>0.9</v>
      </c>
      <c r="S174" s="123">
        <f t="shared" si="62"/>
        <v>0.9</v>
      </c>
      <c r="T174" s="123">
        <f t="shared" si="62"/>
        <v>0.9</v>
      </c>
      <c r="U174" s="123">
        <f t="shared" si="62"/>
        <v>0.9</v>
      </c>
      <c r="V174" s="123">
        <f t="shared" si="62"/>
        <v>0.9</v>
      </c>
      <c r="W174" s="123">
        <f t="shared" si="62"/>
        <v>0.9</v>
      </c>
      <c r="X174" s="123">
        <f t="shared" si="62"/>
        <v>0.9</v>
      </c>
      <c r="Y174" s="123">
        <f t="shared" si="62"/>
        <v>0.9</v>
      </c>
      <c r="Z174" s="123">
        <f t="shared" si="62"/>
        <v>0.9</v>
      </c>
      <c r="AA174" s="123">
        <f t="shared" si="62"/>
        <v>0.9</v>
      </c>
      <c r="AB174" s="123">
        <f t="shared" si="62"/>
        <v>0.9</v>
      </c>
      <c r="AC174" s="123">
        <f t="shared" si="62"/>
        <v>0.9</v>
      </c>
      <c r="AD174" s="123">
        <f t="shared" si="62"/>
        <v>0.9</v>
      </c>
      <c r="AE174" s="123">
        <f t="shared" si="62"/>
        <v>0.9</v>
      </c>
      <c r="AF174" s="123">
        <f t="shared" si="62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0"/>
        <v>0.44</v>
      </c>
      <c r="C175" s="124">
        <v>0.44</v>
      </c>
      <c r="D175" s="123">
        <f t="shared" si="61"/>
        <v>0.44</v>
      </c>
      <c r="E175" s="123">
        <f t="shared" si="61"/>
        <v>0.44</v>
      </c>
      <c r="F175" s="123">
        <f t="shared" si="61"/>
        <v>0.44</v>
      </c>
      <c r="G175" s="123">
        <f t="shared" si="61"/>
        <v>0.44</v>
      </c>
      <c r="H175" s="123">
        <f t="shared" si="61"/>
        <v>0.44</v>
      </c>
      <c r="I175" s="123">
        <f t="shared" si="61"/>
        <v>0.44</v>
      </c>
      <c r="J175" s="123">
        <f t="shared" si="61"/>
        <v>0.44</v>
      </c>
      <c r="K175" s="123">
        <f t="shared" si="61"/>
        <v>0.44</v>
      </c>
      <c r="L175" s="123">
        <f t="shared" si="61"/>
        <v>0.44</v>
      </c>
      <c r="M175" s="123">
        <f t="shared" si="61"/>
        <v>0.44</v>
      </c>
      <c r="N175" s="123">
        <f t="shared" si="61"/>
        <v>0.44</v>
      </c>
      <c r="O175" s="123">
        <f t="shared" si="61"/>
        <v>0.44</v>
      </c>
      <c r="P175" s="123">
        <f t="shared" si="61"/>
        <v>0.44</v>
      </c>
      <c r="Q175" s="123">
        <f t="shared" si="61"/>
        <v>0.44</v>
      </c>
      <c r="R175" s="123">
        <f t="shared" si="61"/>
        <v>0.44</v>
      </c>
      <c r="S175" s="123">
        <f t="shared" si="62"/>
        <v>0.44</v>
      </c>
      <c r="T175" s="123">
        <f t="shared" si="62"/>
        <v>0.44</v>
      </c>
      <c r="U175" s="123">
        <f t="shared" si="62"/>
        <v>0.44</v>
      </c>
      <c r="V175" s="123">
        <f t="shared" si="62"/>
        <v>0.44</v>
      </c>
      <c r="W175" s="123">
        <f t="shared" si="62"/>
        <v>0.44</v>
      </c>
      <c r="X175" s="123">
        <f t="shared" si="62"/>
        <v>0.44</v>
      </c>
      <c r="Y175" s="123">
        <f t="shared" si="62"/>
        <v>0.44</v>
      </c>
      <c r="Z175" s="123">
        <f t="shared" si="62"/>
        <v>0.44</v>
      </c>
      <c r="AA175" s="123">
        <f t="shared" si="62"/>
        <v>0.44</v>
      </c>
      <c r="AB175" s="123">
        <f t="shared" si="62"/>
        <v>0.44</v>
      </c>
      <c r="AC175" s="123">
        <f t="shared" si="62"/>
        <v>0.44</v>
      </c>
      <c r="AD175" s="123">
        <f t="shared" si="62"/>
        <v>0.44</v>
      </c>
      <c r="AE175" s="123">
        <f t="shared" si="62"/>
        <v>0.44</v>
      </c>
      <c r="AF175" s="123">
        <f t="shared" si="62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0"/>
        <v>2.1</v>
      </c>
      <c r="C176" s="124">
        <v>2.1</v>
      </c>
      <c r="D176" s="123">
        <f t="shared" si="61"/>
        <v>2.1</v>
      </c>
      <c r="E176" s="123">
        <f t="shared" si="61"/>
        <v>2.1</v>
      </c>
      <c r="F176" s="123">
        <f t="shared" si="61"/>
        <v>2.1</v>
      </c>
      <c r="G176" s="123">
        <f t="shared" si="61"/>
        <v>2.1</v>
      </c>
      <c r="H176" s="123">
        <f t="shared" si="61"/>
        <v>2.1</v>
      </c>
      <c r="I176" s="123">
        <f t="shared" si="61"/>
        <v>2.1</v>
      </c>
      <c r="J176" s="123">
        <f t="shared" si="61"/>
        <v>2.1</v>
      </c>
      <c r="K176" s="123">
        <f t="shared" si="61"/>
        <v>2.1</v>
      </c>
      <c r="L176" s="123">
        <f t="shared" si="61"/>
        <v>2.1</v>
      </c>
      <c r="M176" s="123">
        <f t="shared" si="61"/>
        <v>2.1</v>
      </c>
      <c r="N176" s="123">
        <f t="shared" si="61"/>
        <v>2.1</v>
      </c>
      <c r="O176" s="123">
        <f t="shared" si="61"/>
        <v>2.1</v>
      </c>
      <c r="P176" s="123">
        <f t="shared" si="61"/>
        <v>2.1</v>
      </c>
      <c r="Q176" s="123">
        <f t="shared" si="61"/>
        <v>2.1</v>
      </c>
      <c r="R176" s="123">
        <f t="shared" si="61"/>
        <v>2.1</v>
      </c>
      <c r="S176" s="123">
        <f t="shared" si="62"/>
        <v>2.1</v>
      </c>
      <c r="T176" s="123">
        <f t="shared" si="62"/>
        <v>2.1</v>
      </c>
      <c r="U176" s="123">
        <f t="shared" si="62"/>
        <v>2.1</v>
      </c>
      <c r="V176" s="123">
        <f t="shared" si="62"/>
        <v>2.1</v>
      </c>
      <c r="W176" s="123">
        <f t="shared" si="62"/>
        <v>2.1</v>
      </c>
      <c r="X176" s="123">
        <f t="shared" si="62"/>
        <v>2.1</v>
      </c>
      <c r="Y176" s="123">
        <f t="shared" si="62"/>
        <v>2.1</v>
      </c>
      <c r="Z176" s="123">
        <f t="shared" si="62"/>
        <v>2.1</v>
      </c>
      <c r="AA176" s="123">
        <f t="shared" si="62"/>
        <v>2.1</v>
      </c>
      <c r="AB176" s="123">
        <f t="shared" si="62"/>
        <v>2.1</v>
      </c>
      <c r="AC176" s="123">
        <f t="shared" si="62"/>
        <v>2.1</v>
      </c>
      <c r="AD176" s="123">
        <f t="shared" si="62"/>
        <v>2.1</v>
      </c>
      <c r="AE176" s="123">
        <f t="shared" si="62"/>
        <v>2.1</v>
      </c>
      <c r="AF176" s="123">
        <f t="shared" si="62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0"/>
        <v>0.9</v>
      </c>
      <c r="C177" s="124">
        <v>0.9</v>
      </c>
      <c r="D177" s="123">
        <f t="shared" si="61"/>
        <v>0.9</v>
      </c>
      <c r="E177" s="123">
        <f t="shared" si="61"/>
        <v>0.9</v>
      </c>
      <c r="F177" s="123">
        <f t="shared" si="61"/>
        <v>0.9</v>
      </c>
      <c r="G177" s="123">
        <f t="shared" si="61"/>
        <v>0.9</v>
      </c>
      <c r="H177" s="123">
        <f t="shared" si="61"/>
        <v>0.9</v>
      </c>
      <c r="I177" s="123">
        <f t="shared" si="61"/>
        <v>0.9</v>
      </c>
      <c r="J177" s="123">
        <f t="shared" si="61"/>
        <v>0.9</v>
      </c>
      <c r="K177" s="123">
        <f t="shared" si="61"/>
        <v>0.9</v>
      </c>
      <c r="L177" s="123">
        <f t="shared" si="61"/>
        <v>0.9</v>
      </c>
      <c r="M177" s="123">
        <f t="shared" si="61"/>
        <v>0.9</v>
      </c>
      <c r="N177" s="123">
        <f t="shared" si="61"/>
        <v>0.9</v>
      </c>
      <c r="O177" s="123">
        <f t="shared" si="61"/>
        <v>0.9</v>
      </c>
      <c r="P177" s="123">
        <f t="shared" si="61"/>
        <v>0.9</v>
      </c>
      <c r="Q177" s="123">
        <f t="shared" si="61"/>
        <v>0.9</v>
      </c>
      <c r="R177" s="123">
        <f t="shared" si="61"/>
        <v>0.9</v>
      </c>
      <c r="S177" s="123">
        <f t="shared" si="62"/>
        <v>0.9</v>
      </c>
      <c r="T177" s="123">
        <f t="shared" si="62"/>
        <v>0.9</v>
      </c>
      <c r="U177" s="123">
        <f t="shared" si="62"/>
        <v>0.9</v>
      </c>
      <c r="V177" s="123">
        <f t="shared" si="62"/>
        <v>0.9</v>
      </c>
      <c r="W177" s="123">
        <f t="shared" si="62"/>
        <v>0.9</v>
      </c>
      <c r="X177" s="123">
        <f t="shared" si="62"/>
        <v>0.9</v>
      </c>
      <c r="Y177" s="123">
        <f t="shared" si="62"/>
        <v>0.9</v>
      </c>
      <c r="Z177" s="123">
        <f t="shared" si="62"/>
        <v>0.9</v>
      </c>
      <c r="AA177" s="123">
        <f t="shared" si="62"/>
        <v>0.9</v>
      </c>
      <c r="AB177" s="123">
        <f t="shared" si="62"/>
        <v>0.9</v>
      </c>
      <c r="AC177" s="123">
        <f t="shared" si="62"/>
        <v>0.9</v>
      </c>
      <c r="AD177" s="123">
        <f t="shared" si="62"/>
        <v>0.9</v>
      </c>
      <c r="AE177" s="123">
        <f t="shared" si="62"/>
        <v>0.9</v>
      </c>
      <c r="AF177" s="123">
        <f t="shared" si="62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3">AF179</f>
        <v>0.57999999999999996</v>
      </c>
      <c r="C179" s="124">
        <v>0.57999999999999996</v>
      </c>
      <c r="D179" s="123">
        <f t="shared" ref="D179:S191" si="64">C179</f>
        <v>0.57999999999999996</v>
      </c>
      <c r="E179" s="123">
        <f t="shared" si="64"/>
        <v>0.57999999999999996</v>
      </c>
      <c r="F179" s="123">
        <f t="shared" si="64"/>
        <v>0.57999999999999996</v>
      </c>
      <c r="G179" s="123">
        <f t="shared" si="64"/>
        <v>0.57999999999999996</v>
      </c>
      <c r="H179" s="123">
        <f t="shared" si="64"/>
        <v>0.57999999999999996</v>
      </c>
      <c r="I179" s="123">
        <f t="shared" si="64"/>
        <v>0.57999999999999996</v>
      </c>
      <c r="J179" s="123">
        <f t="shared" si="64"/>
        <v>0.57999999999999996</v>
      </c>
      <c r="K179" s="123">
        <f t="shared" si="64"/>
        <v>0.57999999999999996</v>
      </c>
      <c r="L179" s="123">
        <f t="shared" si="64"/>
        <v>0.57999999999999996</v>
      </c>
      <c r="M179" s="123">
        <f t="shared" si="64"/>
        <v>0.57999999999999996</v>
      </c>
      <c r="N179" s="123">
        <f t="shared" si="64"/>
        <v>0.57999999999999996</v>
      </c>
      <c r="O179" s="123">
        <f t="shared" si="64"/>
        <v>0.57999999999999996</v>
      </c>
      <c r="P179" s="123">
        <f t="shared" si="64"/>
        <v>0.57999999999999996</v>
      </c>
      <c r="Q179" s="123">
        <f t="shared" si="64"/>
        <v>0.57999999999999996</v>
      </c>
      <c r="R179" s="123">
        <f t="shared" si="64"/>
        <v>0.57999999999999996</v>
      </c>
      <c r="S179" s="123">
        <f t="shared" si="64"/>
        <v>0.57999999999999996</v>
      </c>
      <c r="T179" s="123">
        <f t="shared" ref="S179:AF191" si="65">S179</f>
        <v>0.57999999999999996</v>
      </c>
      <c r="U179" s="123">
        <f t="shared" si="65"/>
        <v>0.57999999999999996</v>
      </c>
      <c r="V179" s="123">
        <f t="shared" si="65"/>
        <v>0.57999999999999996</v>
      </c>
      <c r="W179" s="123">
        <f t="shared" si="65"/>
        <v>0.57999999999999996</v>
      </c>
      <c r="X179" s="123">
        <f t="shared" si="65"/>
        <v>0.57999999999999996</v>
      </c>
      <c r="Y179" s="123">
        <f t="shared" si="65"/>
        <v>0.57999999999999996</v>
      </c>
      <c r="Z179" s="123">
        <f t="shared" si="65"/>
        <v>0.57999999999999996</v>
      </c>
      <c r="AA179" s="123">
        <f t="shared" si="65"/>
        <v>0.57999999999999996</v>
      </c>
      <c r="AB179" s="123">
        <f t="shared" si="65"/>
        <v>0.57999999999999996</v>
      </c>
      <c r="AC179" s="123">
        <f t="shared" si="65"/>
        <v>0.57999999999999996</v>
      </c>
      <c r="AD179" s="123">
        <f t="shared" si="65"/>
        <v>0.57999999999999996</v>
      </c>
      <c r="AE179" s="123">
        <f t="shared" si="65"/>
        <v>0.57999999999999996</v>
      </c>
      <c r="AF179" s="123">
        <f t="shared" si="65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3"/>
        <v>0.8</v>
      </c>
      <c r="C180" s="124">
        <v>0.8</v>
      </c>
      <c r="D180" s="123">
        <f t="shared" si="64"/>
        <v>0.8</v>
      </c>
      <c r="E180" s="123">
        <f t="shared" si="64"/>
        <v>0.8</v>
      </c>
      <c r="F180" s="123">
        <f t="shared" si="64"/>
        <v>0.8</v>
      </c>
      <c r="G180" s="123">
        <f t="shared" si="64"/>
        <v>0.8</v>
      </c>
      <c r="H180" s="123">
        <f t="shared" si="64"/>
        <v>0.8</v>
      </c>
      <c r="I180" s="123">
        <f t="shared" si="64"/>
        <v>0.8</v>
      </c>
      <c r="J180" s="123">
        <f t="shared" si="64"/>
        <v>0.8</v>
      </c>
      <c r="K180" s="123">
        <f t="shared" si="64"/>
        <v>0.8</v>
      </c>
      <c r="L180" s="123">
        <f t="shared" si="64"/>
        <v>0.8</v>
      </c>
      <c r="M180" s="123">
        <f t="shared" si="64"/>
        <v>0.8</v>
      </c>
      <c r="N180" s="123">
        <f t="shared" si="64"/>
        <v>0.8</v>
      </c>
      <c r="O180" s="123">
        <f t="shared" si="64"/>
        <v>0.8</v>
      </c>
      <c r="P180" s="123">
        <f t="shared" si="64"/>
        <v>0.8</v>
      </c>
      <c r="Q180" s="123">
        <f t="shared" si="64"/>
        <v>0.8</v>
      </c>
      <c r="R180" s="123">
        <f t="shared" si="64"/>
        <v>0.8</v>
      </c>
      <c r="S180" s="123">
        <f t="shared" si="64"/>
        <v>0.8</v>
      </c>
      <c r="T180" s="123">
        <f t="shared" si="65"/>
        <v>0.8</v>
      </c>
      <c r="U180" s="123">
        <f t="shared" si="65"/>
        <v>0.8</v>
      </c>
      <c r="V180" s="123">
        <f t="shared" si="65"/>
        <v>0.8</v>
      </c>
      <c r="W180" s="123">
        <f t="shared" si="65"/>
        <v>0.8</v>
      </c>
      <c r="X180" s="123">
        <f t="shared" si="65"/>
        <v>0.8</v>
      </c>
      <c r="Y180" s="123">
        <f t="shared" si="65"/>
        <v>0.8</v>
      </c>
      <c r="Z180" s="123">
        <f t="shared" si="65"/>
        <v>0.8</v>
      </c>
      <c r="AA180" s="123">
        <f t="shared" si="65"/>
        <v>0.8</v>
      </c>
      <c r="AB180" s="123">
        <f t="shared" si="65"/>
        <v>0.8</v>
      </c>
      <c r="AC180" s="123">
        <f t="shared" si="65"/>
        <v>0.8</v>
      </c>
      <c r="AD180" s="123">
        <f t="shared" si="65"/>
        <v>0.8</v>
      </c>
      <c r="AE180" s="123">
        <f t="shared" si="65"/>
        <v>0.8</v>
      </c>
      <c r="AF180" s="123">
        <f t="shared" si="65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3"/>
        <v>0</v>
      </c>
      <c r="C181" s="124">
        <v>0</v>
      </c>
      <c r="D181" s="123">
        <f t="shared" si="64"/>
        <v>0</v>
      </c>
      <c r="E181" s="123">
        <f t="shared" si="64"/>
        <v>0</v>
      </c>
      <c r="F181" s="123">
        <f t="shared" si="64"/>
        <v>0</v>
      </c>
      <c r="G181" s="123">
        <f t="shared" si="64"/>
        <v>0</v>
      </c>
      <c r="H181" s="123">
        <f t="shared" si="64"/>
        <v>0</v>
      </c>
      <c r="I181" s="123">
        <f t="shared" si="64"/>
        <v>0</v>
      </c>
      <c r="J181" s="123">
        <f t="shared" si="64"/>
        <v>0</v>
      </c>
      <c r="K181" s="123">
        <f t="shared" si="64"/>
        <v>0</v>
      </c>
      <c r="L181" s="123">
        <f t="shared" si="64"/>
        <v>0</v>
      </c>
      <c r="M181" s="123">
        <f t="shared" si="64"/>
        <v>0</v>
      </c>
      <c r="N181" s="123">
        <f t="shared" si="64"/>
        <v>0</v>
      </c>
      <c r="O181" s="123">
        <f t="shared" si="64"/>
        <v>0</v>
      </c>
      <c r="P181" s="123">
        <f t="shared" si="64"/>
        <v>0</v>
      </c>
      <c r="Q181" s="123">
        <f t="shared" si="64"/>
        <v>0</v>
      </c>
      <c r="R181" s="123">
        <f t="shared" si="64"/>
        <v>0</v>
      </c>
      <c r="S181" s="123">
        <f t="shared" si="64"/>
        <v>0</v>
      </c>
      <c r="T181" s="123">
        <f t="shared" si="65"/>
        <v>0</v>
      </c>
      <c r="U181" s="123">
        <f t="shared" si="65"/>
        <v>0</v>
      </c>
      <c r="V181" s="123">
        <f t="shared" si="65"/>
        <v>0</v>
      </c>
      <c r="W181" s="123">
        <f t="shared" si="65"/>
        <v>0</v>
      </c>
      <c r="X181" s="123">
        <f t="shared" si="65"/>
        <v>0</v>
      </c>
      <c r="Y181" s="123">
        <f t="shared" si="65"/>
        <v>0</v>
      </c>
      <c r="Z181" s="123">
        <f t="shared" si="65"/>
        <v>0</v>
      </c>
      <c r="AA181" s="123">
        <f t="shared" si="65"/>
        <v>0</v>
      </c>
      <c r="AB181" s="123">
        <f t="shared" si="65"/>
        <v>0</v>
      </c>
      <c r="AC181" s="123">
        <f t="shared" si="65"/>
        <v>0</v>
      </c>
      <c r="AD181" s="123">
        <f t="shared" si="65"/>
        <v>0</v>
      </c>
      <c r="AE181" s="123">
        <f t="shared" si="65"/>
        <v>0</v>
      </c>
      <c r="AF181" s="123">
        <f t="shared" si="65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3"/>
        <v>0.6</v>
      </c>
      <c r="C182" s="124">
        <v>0.6</v>
      </c>
      <c r="D182" s="123">
        <f t="shared" si="64"/>
        <v>0.6</v>
      </c>
      <c r="E182" s="123">
        <f t="shared" si="64"/>
        <v>0.6</v>
      </c>
      <c r="F182" s="123">
        <f t="shared" si="64"/>
        <v>0.6</v>
      </c>
      <c r="G182" s="123">
        <f t="shared" si="64"/>
        <v>0.6</v>
      </c>
      <c r="H182" s="123">
        <f t="shared" si="64"/>
        <v>0.6</v>
      </c>
      <c r="I182" s="123">
        <f t="shared" si="64"/>
        <v>0.6</v>
      </c>
      <c r="J182" s="123">
        <f t="shared" si="64"/>
        <v>0.6</v>
      </c>
      <c r="K182" s="123">
        <f t="shared" si="64"/>
        <v>0.6</v>
      </c>
      <c r="L182" s="123">
        <f t="shared" si="64"/>
        <v>0.6</v>
      </c>
      <c r="M182" s="123">
        <f t="shared" si="64"/>
        <v>0.6</v>
      </c>
      <c r="N182" s="123">
        <f t="shared" si="64"/>
        <v>0.6</v>
      </c>
      <c r="O182" s="123">
        <f t="shared" si="64"/>
        <v>0.6</v>
      </c>
      <c r="P182" s="123">
        <f t="shared" si="64"/>
        <v>0.6</v>
      </c>
      <c r="Q182" s="123">
        <f t="shared" si="64"/>
        <v>0.6</v>
      </c>
      <c r="R182" s="123">
        <f t="shared" si="64"/>
        <v>0.6</v>
      </c>
      <c r="S182" s="123">
        <f t="shared" si="64"/>
        <v>0.6</v>
      </c>
      <c r="T182" s="123">
        <f t="shared" si="65"/>
        <v>0.6</v>
      </c>
      <c r="U182" s="123">
        <f t="shared" si="65"/>
        <v>0.6</v>
      </c>
      <c r="V182" s="123">
        <f t="shared" si="65"/>
        <v>0.6</v>
      </c>
      <c r="W182" s="123">
        <f t="shared" si="65"/>
        <v>0.6</v>
      </c>
      <c r="X182" s="123">
        <f t="shared" si="65"/>
        <v>0.6</v>
      </c>
      <c r="Y182" s="123">
        <f t="shared" si="65"/>
        <v>0.6</v>
      </c>
      <c r="Z182" s="123">
        <f t="shared" si="65"/>
        <v>0.6</v>
      </c>
      <c r="AA182" s="123">
        <f t="shared" si="65"/>
        <v>0.6</v>
      </c>
      <c r="AB182" s="123">
        <f t="shared" si="65"/>
        <v>0.6</v>
      </c>
      <c r="AC182" s="123">
        <f t="shared" si="65"/>
        <v>0.6</v>
      </c>
      <c r="AD182" s="123">
        <f t="shared" si="65"/>
        <v>0.6</v>
      </c>
      <c r="AE182" s="123">
        <f t="shared" si="65"/>
        <v>0.6</v>
      </c>
      <c r="AF182" s="123">
        <f t="shared" si="65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3"/>
        <v>0.6</v>
      </c>
      <c r="C183" s="124">
        <v>0.6</v>
      </c>
      <c r="D183" s="123">
        <f t="shared" si="64"/>
        <v>0.6</v>
      </c>
      <c r="E183" s="123">
        <f t="shared" si="64"/>
        <v>0.6</v>
      </c>
      <c r="F183" s="123">
        <f t="shared" si="64"/>
        <v>0.6</v>
      </c>
      <c r="G183" s="123">
        <f t="shared" si="64"/>
        <v>0.6</v>
      </c>
      <c r="H183" s="123">
        <f t="shared" si="64"/>
        <v>0.6</v>
      </c>
      <c r="I183" s="123">
        <f t="shared" si="64"/>
        <v>0.6</v>
      </c>
      <c r="J183" s="123">
        <f t="shared" si="64"/>
        <v>0.6</v>
      </c>
      <c r="K183" s="123">
        <f t="shared" si="64"/>
        <v>0.6</v>
      </c>
      <c r="L183" s="123">
        <f t="shared" si="64"/>
        <v>0.6</v>
      </c>
      <c r="M183" s="123">
        <f t="shared" si="64"/>
        <v>0.6</v>
      </c>
      <c r="N183" s="123">
        <f t="shared" si="64"/>
        <v>0.6</v>
      </c>
      <c r="O183" s="123">
        <f t="shared" si="64"/>
        <v>0.6</v>
      </c>
      <c r="P183" s="123">
        <f t="shared" si="64"/>
        <v>0.6</v>
      </c>
      <c r="Q183" s="123">
        <f t="shared" si="64"/>
        <v>0.6</v>
      </c>
      <c r="R183" s="123">
        <f t="shared" si="64"/>
        <v>0.6</v>
      </c>
      <c r="S183" s="123">
        <f t="shared" si="64"/>
        <v>0.6</v>
      </c>
      <c r="T183" s="123">
        <f t="shared" si="65"/>
        <v>0.6</v>
      </c>
      <c r="U183" s="123">
        <f t="shared" si="65"/>
        <v>0.6</v>
      </c>
      <c r="V183" s="123">
        <f t="shared" si="65"/>
        <v>0.6</v>
      </c>
      <c r="W183" s="123">
        <f t="shared" si="65"/>
        <v>0.6</v>
      </c>
      <c r="X183" s="123">
        <f t="shared" si="65"/>
        <v>0.6</v>
      </c>
      <c r="Y183" s="123">
        <f t="shared" si="65"/>
        <v>0.6</v>
      </c>
      <c r="Z183" s="123">
        <f t="shared" si="65"/>
        <v>0.6</v>
      </c>
      <c r="AA183" s="123">
        <f t="shared" si="65"/>
        <v>0.6</v>
      </c>
      <c r="AB183" s="123">
        <f t="shared" si="65"/>
        <v>0.6</v>
      </c>
      <c r="AC183" s="123">
        <f t="shared" si="65"/>
        <v>0.6</v>
      </c>
      <c r="AD183" s="123">
        <f t="shared" si="65"/>
        <v>0.6</v>
      </c>
      <c r="AE183" s="123">
        <f t="shared" si="65"/>
        <v>0.6</v>
      </c>
      <c r="AF183" s="123">
        <f t="shared" si="65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3"/>
        <v>0.35</v>
      </c>
      <c r="C184" s="124">
        <v>0.35</v>
      </c>
      <c r="D184" s="123">
        <f t="shared" si="64"/>
        <v>0.35</v>
      </c>
      <c r="E184" s="123">
        <f t="shared" si="64"/>
        <v>0.35</v>
      </c>
      <c r="F184" s="123">
        <f t="shared" si="64"/>
        <v>0.35</v>
      </c>
      <c r="G184" s="123">
        <f t="shared" si="64"/>
        <v>0.35</v>
      </c>
      <c r="H184" s="123">
        <f t="shared" si="64"/>
        <v>0.35</v>
      </c>
      <c r="I184" s="123">
        <f t="shared" si="64"/>
        <v>0.35</v>
      </c>
      <c r="J184" s="123">
        <f t="shared" si="64"/>
        <v>0.35</v>
      </c>
      <c r="K184" s="123">
        <f t="shared" si="64"/>
        <v>0.35</v>
      </c>
      <c r="L184" s="123">
        <f t="shared" si="64"/>
        <v>0.35</v>
      </c>
      <c r="M184" s="123">
        <f t="shared" si="64"/>
        <v>0.35</v>
      </c>
      <c r="N184" s="123">
        <f t="shared" si="64"/>
        <v>0.35</v>
      </c>
      <c r="O184" s="123">
        <f t="shared" si="64"/>
        <v>0.35</v>
      </c>
      <c r="P184" s="123">
        <f t="shared" si="64"/>
        <v>0.35</v>
      </c>
      <c r="Q184" s="123">
        <f t="shared" si="64"/>
        <v>0.35</v>
      </c>
      <c r="R184" s="123">
        <f t="shared" si="64"/>
        <v>0.35</v>
      </c>
      <c r="S184" s="123">
        <f t="shared" si="64"/>
        <v>0.35</v>
      </c>
      <c r="T184" s="123">
        <f t="shared" si="65"/>
        <v>0.35</v>
      </c>
      <c r="U184" s="123">
        <f t="shared" si="65"/>
        <v>0.35</v>
      </c>
      <c r="V184" s="123">
        <f t="shared" si="65"/>
        <v>0.35</v>
      </c>
      <c r="W184" s="123">
        <f t="shared" si="65"/>
        <v>0.35</v>
      </c>
      <c r="X184" s="123">
        <f t="shared" si="65"/>
        <v>0.35</v>
      </c>
      <c r="Y184" s="123">
        <f t="shared" si="65"/>
        <v>0.35</v>
      </c>
      <c r="Z184" s="123">
        <f t="shared" si="65"/>
        <v>0.35</v>
      </c>
      <c r="AA184" s="123">
        <f t="shared" si="65"/>
        <v>0.35</v>
      </c>
      <c r="AB184" s="123">
        <f t="shared" si="65"/>
        <v>0.35</v>
      </c>
      <c r="AC184" s="123">
        <f t="shared" si="65"/>
        <v>0.35</v>
      </c>
      <c r="AD184" s="123">
        <f t="shared" si="65"/>
        <v>0.35</v>
      </c>
      <c r="AE184" s="123">
        <f t="shared" si="65"/>
        <v>0.35</v>
      </c>
      <c r="AF184" s="123">
        <f t="shared" si="65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3"/>
        <v>0.28999999999999998</v>
      </c>
      <c r="C185" s="124">
        <v>0.28999999999999998</v>
      </c>
      <c r="D185" s="123">
        <f t="shared" si="64"/>
        <v>0.28999999999999998</v>
      </c>
      <c r="E185" s="123">
        <f t="shared" si="64"/>
        <v>0.28999999999999998</v>
      </c>
      <c r="F185" s="123">
        <f t="shared" si="64"/>
        <v>0.28999999999999998</v>
      </c>
      <c r="G185" s="123">
        <f t="shared" si="64"/>
        <v>0.28999999999999998</v>
      </c>
      <c r="H185" s="123">
        <f t="shared" si="64"/>
        <v>0.28999999999999998</v>
      </c>
      <c r="I185" s="123">
        <f t="shared" si="64"/>
        <v>0.28999999999999998</v>
      </c>
      <c r="J185" s="123">
        <f t="shared" si="64"/>
        <v>0.28999999999999998</v>
      </c>
      <c r="K185" s="123">
        <f t="shared" si="64"/>
        <v>0.28999999999999998</v>
      </c>
      <c r="L185" s="123">
        <f t="shared" si="64"/>
        <v>0.28999999999999998</v>
      </c>
      <c r="M185" s="123">
        <f t="shared" si="64"/>
        <v>0.28999999999999998</v>
      </c>
      <c r="N185" s="123">
        <f t="shared" si="64"/>
        <v>0.28999999999999998</v>
      </c>
      <c r="O185" s="123">
        <f t="shared" si="64"/>
        <v>0.28999999999999998</v>
      </c>
      <c r="P185" s="123">
        <f t="shared" si="64"/>
        <v>0.28999999999999998</v>
      </c>
      <c r="Q185" s="123">
        <f t="shared" si="64"/>
        <v>0.28999999999999998</v>
      </c>
      <c r="R185" s="123">
        <f t="shared" si="64"/>
        <v>0.28999999999999998</v>
      </c>
      <c r="S185" s="123">
        <f t="shared" si="64"/>
        <v>0.28999999999999998</v>
      </c>
      <c r="T185" s="123">
        <f t="shared" si="65"/>
        <v>0.28999999999999998</v>
      </c>
      <c r="U185" s="123">
        <f t="shared" si="65"/>
        <v>0.28999999999999998</v>
      </c>
      <c r="V185" s="123">
        <f t="shared" si="65"/>
        <v>0.28999999999999998</v>
      </c>
      <c r="W185" s="123">
        <f t="shared" si="65"/>
        <v>0.28999999999999998</v>
      </c>
      <c r="X185" s="123">
        <f t="shared" si="65"/>
        <v>0.28999999999999998</v>
      </c>
      <c r="Y185" s="123">
        <f t="shared" si="65"/>
        <v>0.28999999999999998</v>
      </c>
      <c r="Z185" s="123">
        <f t="shared" si="65"/>
        <v>0.28999999999999998</v>
      </c>
      <c r="AA185" s="123">
        <f t="shared" si="65"/>
        <v>0.28999999999999998</v>
      </c>
      <c r="AB185" s="123">
        <f t="shared" si="65"/>
        <v>0.28999999999999998</v>
      </c>
      <c r="AC185" s="123">
        <f t="shared" si="65"/>
        <v>0.28999999999999998</v>
      </c>
      <c r="AD185" s="123">
        <f t="shared" si="65"/>
        <v>0.28999999999999998</v>
      </c>
      <c r="AE185" s="123">
        <f t="shared" si="65"/>
        <v>0.28999999999999998</v>
      </c>
      <c r="AF185" s="123">
        <f t="shared" si="65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3"/>
        <v>0.06</v>
      </c>
      <c r="C186" s="124">
        <v>0.06</v>
      </c>
      <c r="D186" s="123">
        <f t="shared" si="64"/>
        <v>0.06</v>
      </c>
      <c r="E186" s="123">
        <f t="shared" si="64"/>
        <v>0.06</v>
      </c>
      <c r="F186" s="123">
        <f t="shared" si="64"/>
        <v>0.06</v>
      </c>
      <c r="G186" s="123">
        <f t="shared" si="64"/>
        <v>0.06</v>
      </c>
      <c r="H186" s="123">
        <f t="shared" si="64"/>
        <v>0.06</v>
      </c>
      <c r="I186" s="123">
        <f t="shared" si="64"/>
        <v>0.06</v>
      </c>
      <c r="J186" s="123">
        <f t="shared" si="64"/>
        <v>0.06</v>
      </c>
      <c r="K186" s="123">
        <f t="shared" si="64"/>
        <v>0.06</v>
      </c>
      <c r="L186" s="123">
        <f t="shared" si="64"/>
        <v>0.06</v>
      </c>
      <c r="M186" s="123">
        <f t="shared" si="64"/>
        <v>0.06</v>
      </c>
      <c r="N186" s="123">
        <f t="shared" si="64"/>
        <v>0.06</v>
      </c>
      <c r="O186" s="123">
        <f t="shared" si="64"/>
        <v>0.06</v>
      </c>
      <c r="P186" s="123">
        <f t="shared" si="64"/>
        <v>0.06</v>
      </c>
      <c r="Q186" s="123">
        <f t="shared" si="64"/>
        <v>0.06</v>
      </c>
      <c r="R186" s="123">
        <f t="shared" si="64"/>
        <v>0.06</v>
      </c>
      <c r="S186" s="123">
        <f t="shared" si="64"/>
        <v>0.06</v>
      </c>
      <c r="T186" s="123">
        <f t="shared" si="65"/>
        <v>0.06</v>
      </c>
      <c r="U186" s="123">
        <f t="shared" si="65"/>
        <v>0.06</v>
      </c>
      <c r="V186" s="123">
        <f t="shared" si="65"/>
        <v>0.06</v>
      </c>
      <c r="W186" s="123">
        <f t="shared" si="65"/>
        <v>0.06</v>
      </c>
      <c r="X186" s="123">
        <f t="shared" si="65"/>
        <v>0.06</v>
      </c>
      <c r="Y186" s="123">
        <f t="shared" si="65"/>
        <v>0.06</v>
      </c>
      <c r="Z186" s="123">
        <f t="shared" si="65"/>
        <v>0.06</v>
      </c>
      <c r="AA186" s="123">
        <f t="shared" si="65"/>
        <v>0.06</v>
      </c>
      <c r="AB186" s="123">
        <f t="shared" si="65"/>
        <v>0.06</v>
      </c>
      <c r="AC186" s="123">
        <f t="shared" si="65"/>
        <v>0.06</v>
      </c>
      <c r="AD186" s="123">
        <f t="shared" si="65"/>
        <v>0.06</v>
      </c>
      <c r="AE186" s="123">
        <f t="shared" si="65"/>
        <v>0.06</v>
      </c>
      <c r="AF186" s="123">
        <f t="shared" si="65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3"/>
        <v>0.11</v>
      </c>
      <c r="C187" s="124">
        <v>0.11</v>
      </c>
      <c r="D187" s="123">
        <f t="shared" si="64"/>
        <v>0.11</v>
      </c>
      <c r="E187" s="123">
        <f t="shared" si="64"/>
        <v>0.11</v>
      </c>
      <c r="F187" s="123">
        <f t="shared" si="64"/>
        <v>0.11</v>
      </c>
      <c r="G187" s="123">
        <f t="shared" si="64"/>
        <v>0.11</v>
      </c>
      <c r="H187" s="123">
        <f t="shared" si="64"/>
        <v>0.11</v>
      </c>
      <c r="I187" s="123">
        <f t="shared" si="64"/>
        <v>0.11</v>
      </c>
      <c r="J187" s="123">
        <f t="shared" si="64"/>
        <v>0.11</v>
      </c>
      <c r="K187" s="123">
        <f t="shared" si="64"/>
        <v>0.11</v>
      </c>
      <c r="L187" s="123">
        <f t="shared" si="64"/>
        <v>0.11</v>
      </c>
      <c r="M187" s="123">
        <f t="shared" si="64"/>
        <v>0.11</v>
      </c>
      <c r="N187" s="123">
        <f t="shared" si="64"/>
        <v>0.11</v>
      </c>
      <c r="O187" s="123">
        <f t="shared" si="64"/>
        <v>0.11</v>
      </c>
      <c r="P187" s="123">
        <f t="shared" si="64"/>
        <v>0.11</v>
      </c>
      <c r="Q187" s="123">
        <f t="shared" si="64"/>
        <v>0.11</v>
      </c>
      <c r="R187" s="123">
        <f t="shared" si="64"/>
        <v>0.11</v>
      </c>
      <c r="S187" s="123">
        <f t="shared" si="64"/>
        <v>0.11</v>
      </c>
      <c r="T187" s="123">
        <f t="shared" si="65"/>
        <v>0.11</v>
      </c>
      <c r="U187" s="123">
        <f t="shared" si="65"/>
        <v>0.11</v>
      </c>
      <c r="V187" s="123">
        <f t="shared" si="65"/>
        <v>0.11</v>
      </c>
      <c r="W187" s="123">
        <f t="shared" si="65"/>
        <v>0.11</v>
      </c>
      <c r="X187" s="123">
        <f t="shared" si="65"/>
        <v>0.11</v>
      </c>
      <c r="Y187" s="123">
        <f t="shared" si="65"/>
        <v>0.11</v>
      </c>
      <c r="Z187" s="123">
        <f t="shared" si="65"/>
        <v>0.11</v>
      </c>
      <c r="AA187" s="123">
        <f t="shared" si="65"/>
        <v>0.11</v>
      </c>
      <c r="AB187" s="123">
        <f t="shared" si="65"/>
        <v>0.11</v>
      </c>
      <c r="AC187" s="123">
        <f t="shared" si="65"/>
        <v>0.11</v>
      </c>
      <c r="AD187" s="123">
        <f t="shared" si="65"/>
        <v>0.11</v>
      </c>
      <c r="AE187" s="123">
        <f t="shared" si="65"/>
        <v>0.11</v>
      </c>
      <c r="AF187" s="123">
        <f t="shared" si="65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3"/>
        <v>0.1</v>
      </c>
      <c r="C188" s="124">
        <v>0.1</v>
      </c>
      <c r="D188" s="123">
        <f t="shared" si="64"/>
        <v>0.1</v>
      </c>
      <c r="E188" s="123">
        <f t="shared" si="64"/>
        <v>0.1</v>
      </c>
      <c r="F188" s="123">
        <f t="shared" si="64"/>
        <v>0.1</v>
      </c>
      <c r="G188" s="123">
        <f t="shared" si="64"/>
        <v>0.1</v>
      </c>
      <c r="H188" s="123">
        <f t="shared" si="64"/>
        <v>0.1</v>
      </c>
      <c r="I188" s="123">
        <f t="shared" si="64"/>
        <v>0.1</v>
      </c>
      <c r="J188" s="123">
        <f t="shared" si="64"/>
        <v>0.1</v>
      </c>
      <c r="K188" s="123">
        <f t="shared" si="64"/>
        <v>0.1</v>
      </c>
      <c r="L188" s="123">
        <f t="shared" si="64"/>
        <v>0.1</v>
      </c>
      <c r="M188" s="123">
        <f t="shared" si="64"/>
        <v>0.1</v>
      </c>
      <c r="N188" s="123">
        <f t="shared" si="64"/>
        <v>0.1</v>
      </c>
      <c r="O188" s="123">
        <f t="shared" si="64"/>
        <v>0.1</v>
      </c>
      <c r="P188" s="123">
        <f t="shared" si="64"/>
        <v>0.1</v>
      </c>
      <c r="Q188" s="123">
        <f t="shared" si="64"/>
        <v>0.1</v>
      </c>
      <c r="R188" s="123">
        <f t="shared" si="64"/>
        <v>0.1</v>
      </c>
      <c r="S188" s="123">
        <f t="shared" si="65"/>
        <v>0.1</v>
      </c>
      <c r="T188" s="123">
        <f t="shared" si="65"/>
        <v>0.1</v>
      </c>
      <c r="U188" s="123">
        <f t="shared" si="65"/>
        <v>0.1</v>
      </c>
      <c r="V188" s="123">
        <f t="shared" si="65"/>
        <v>0.1</v>
      </c>
      <c r="W188" s="123">
        <f t="shared" si="65"/>
        <v>0.1</v>
      </c>
      <c r="X188" s="123">
        <f t="shared" si="65"/>
        <v>0.1</v>
      </c>
      <c r="Y188" s="123">
        <f t="shared" si="65"/>
        <v>0.1</v>
      </c>
      <c r="Z188" s="123">
        <f t="shared" si="65"/>
        <v>0.1</v>
      </c>
      <c r="AA188" s="123">
        <f t="shared" si="65"/>
        <v>0.1</v>
      </c>
      <c r="AB188" s="123">
        <f t="shared" si="65"/>
        <v>0.1</v>
      </c>
      <c r="AC188" s="123">
        <f t="shared" si="65"/>
        <v>0.1</v>
      </c>
      <c r="AD188" s="123">
        <f t="shared" si="65"/>
        <v>0.1</v>
      </c>
      <c r="AE188" s="123">
        <f t="shared" si="65"/>
        <v>0.1</v>
      </c>
      <c r="AF188" s="123">
        <f t="shared" si="65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3"/>
        <v>0.09</v>
      </c>
      <c r="C189" s="124">
        <v>0.09</v>
      </c>
      <c r="D189" s="123">
        <f t="shared" si="64"/>
        <v>0.09</v>
      </c>
      <c r="E189" s="123">
        <f t="shared" si="64"/>
        <v>0.09</v>
      </c>
      <c r="F189" s="123">
        <f t="shared" si="64"/>
        <v>0.09</v>
      </c>
      <c r="G189" s="123">
        <f t="shared" si="64"/>
        <v>0.09</v>
      </c>
      <c r="H189" s="123">
        <f t="shared" si="64"/>
        <v>0.09</v>
      </c>
      <c r="I189" s="123">
        <f t="shared" si="64"/>
        <v>0.09</v>
      </c>
      <c r="J189" s="123">
        <f t="shared" si="64"/>
        <v>0.09</v>
      </c>
      <c r="K189" s="123">
        <f t="shared" si="64"/>
        <v>0.09</v>
      </c>
      <c r="L189" s="123">
        <f t="shared" si="64"/>
        <v>0.09</v>
      </c>
      <c r="M189" s="123">
        <f t="shared" si="64"/>
        <v>0.09</v>
      </c>
      <c r="N189" s="123">
        <f t="shared" si="64"/>
        <v>0.09</v>
      </c>
      <c r="O189" s="123">
        <f t="shared" si="64"/>
        <v>0.09</v>
      </c>
      <c r="P189" s="123">
        <f t="shared" si="64"/>
        <v>0.09</v>
      </c>
      <c r="Q189" s="123">
        <f t="shared" si="64"/>
        <v>0.09</v>
      </c>
      <c r="R189" s="123">
        <f t="shared" si="64"/>
        <v>0.09</v>
      </c>
      <c r="S189" s="123">
        <f t="shared" si="65"/>
        <v>0.09</v>
      </c>
      <c r="T189" s="123">
        <f t="shared" si="65"/>
        <v>0.09</v>
      </c>
      <c r="U189" s="123">
        <f t="shared" si="65"/>
        <v>0.09</v>
      </c>
      <c r="V189" s="123">
        <f t="shared" si="65"/>
        <v>0.09</v>
      </c>
      <c r="W189" s="123">
        <f t="shared" si="65"/>
        <v>0.09</v>
      </c>
      <c r="X189" s="123">
        <f t="shared" si="65"/>
        <v>0.09</v>
      </c>
      <c r="Y189" s="123">
        <f t="shared" si="65"/>
        <v>0.09</v>
      </c>
      <c r="Z189" s="123">
        <f t="shared" si="65"/>
        <v>0.09</v>
      </c>
      <c r="AA189" s="123">
        <f t="shared" si="65"/>
        <v>0.09</v>
      </c>
      <c r="AB189" s="123">
        <f t="shared" si="65"/>
        <v>0.09</v>
      </c>
      <c r="AC189" s="123">
        <f t="shared" si="65"/>
        <v>0.09</v>
      </c>
      <c r="AD189" s="123">
        <f t="shared" si="65"/>
        <v>0.09</v>
      </c>
      <c r="AE189" s="123">
        <f t="shared" si="65"/>
        <v>0.09</v>
      </c>
      <c r="AF189" s="123">
        <f t="shared" si="65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3"/>
        <v>0.04</v>
      </c>
      <c r="C190" s="54">
        <v>0.04</v>
      </c>
      <c r="D190" s="123">
        <f t="shared" si="64"/>
        <v>0.04</v>
      </c>
      <c r="E190" s="123">
        <f t="shared" si="64"/>
        <v>0.04</v>
      </c>
      <c r="F190" s="123">
        <f t="shared" si="64"/>
        <v>0.04</v>
      </c>
      <c r="G190" s="123">
        <f t="shared" si="64"/>
        <v>0.04</v>
      </c>
      <c r="H190" s="123">
        <f t="shared" si="64"/>
        <v>0.04</v>
      </c>
      <c r="I190" s="123">
        <f t="shared" si="64"/>
        <v>0.04</v>
      </c>
      <c r="J190" s="123">
        <f t="shared" si="64"/>
        <v>0.04</v>
      </c>
      <c r="K190" s="123">
        <f t="shared" si="64"/>
        <v>0.04</v>
      </c>
      <c r="L190" s="123">
        <f t="shared" si="64"/>
        <v>0.04</v>
      </c>
      <c r="M190" s="123">
        <f t="shared" si="64"/>
        <v>0.04</v>
      </c>
      <c r="N190" s="123">
        <f t="shared" si="64"/>
        <v>0.04</v>
      </c>
      <c r="O190" s="123">
        <f t="shared" si="64"/>
        <v>0.04</v>
      </c>
      <c r="P190" s="123">
        <f t="shared" si="64"/>
        <v>0.04</v>
      </c>
      <c r="Q190" s="123">
        <f t="shared" si="64"/>
        <v>0.04</v>
      </c>
      <c r="R190" s="123">
        <f t="shared" si="64"/>
        <v>0.04</v>
      </c>
      <c r="S190" s="123">
        <f t="shared" si="65"/>
        <v>0.04</v>
      </c>
      <c r="T190" s="123">
        <f t="shared" si="65"/>
        <v>0.04</v>
      </c>
      <c r="U190" s="123">
        <f t="shared" si="65"/>
        <v>0.04</v>
      </c>
      <c r="V190" s="123">
        <f t="shared" si="65"/>
        <v>0.04</v>
      </c>
      <c r="W190" s="123">
        <f t="shared" si="65"/>
        <v>0.04</v>
      </c>
      <c r="X190" s="123">
        <f t="shared" si="65"/>
        <v>0.04</v>
      </c>
      <c r="Y190" s="123">
        <f t="shared" si="65"/>
        <v>0.04</v>
      </c>
      <c r="Z190" s="123">
        <f t="shared" si="65"/>
        <v>0.04</v>
      </c>
      <c r="AA190" s="123">
        <f t="shared" si="65"/>
        <v>0.04</v>
      </c>
      <c r="AB190" s="123">
        <f t="shared" si="65"/>
        <v>0.04</v>
      </c>
      <c r="AC190" s="123">
        <f t="shared" si="65"/>
        <v>0.04</v>
      </c>
      <c r="AD190" s="123">
        <f t="shared" si="65"/>
        <v>0.04</v>
      </c>
      <c r="AE190" s="123">
        <f t="shared" si="65"/>
        <v>0.04</v>
      </c>
      <c r="AF190" s="123">
        <f t="shared" si="65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3"/>
        <v>2.3E-2</v>
      </c>
      <c r="C191" s="54">
        <v>2.3E-2</v>
      </c>
      <c r="D191" s="123">
        <f>C191</f>
        <v>2.3E-2</v>
      </c>
      <c r="E191" s="123">
        <f t="shared" si="64"/>
        <v>2.3E-2</v>
      </c>
      <c r="F191" s="123">
        <f t="shared" si="64"/>
        <v>2.3E-2</v>
      </c>
      <c r="G191" s="123">
        <f t="shared" si="64"/>
        <v>2.3E-2</v>
      </c>
      <c r="H191" s="123">
        <f t="shared" si="64"/>
        <v>2.3E-2</v>
      </c>
      <c r="I191" s="123">
        <f t="shared" si="64"/>
        <v>2.3E-2</v>
      </c>
      <c r="J191" s="123">
        <f t="shared" si="64"/>
        <v>2.3E-2</v>
      </c>
      <c r="K191" s="123">
        <f t="shared" si="64"/>
        <v>2.3E-2</v>
      </c>
      <c r="L191" s="123">
        <f t="shared" si="64"/>
        <v>2.3E-2</v>
      </c>
      <c r="M191" s="123">
        <f t="shared" si="64"/>
        <v>2.3E-2</v>
      </c>
      <c r="N191" s="123">
        <f t="shared" si="64"/>
        <v>2.3E-2</v>
      </c>
      <c r="O191" s="123">
        <f t="shared" si="64"/>
        <v>2.3E-2</v>
      </c>
      <c r="P191" s="123">
        <f t="shared" si="64"/>
        <v>2.3E-2</v>
      </c>
      <c r="Q191" s="123">
        <f t="shared" si="64"/>
        <v>2.3E-2</v>
      </c>
      <c r="R191" s="123">
        <f t="shared" si="64"/>
        <v>2.3E-2</v>
      </c>
      <c r="S191" s="123">
        <f t="shared" si="65"/>
        <v>2.3E-2</v>
      </c>
      <c r="T191" s="123">
        <f t="shared" si="65"/>
        <v>2.3E-2</v>
      </c>
      <c r="U191" s="123">
        <f t="shared" si="65"/>
        <v>2.3E-2</v>
      </c>
      <c r="V191" s="123">
        <f t="shared" si="65"/>
        <v>2.3E-2</v>
      </c>
      <c r="W191" s="123">
        <f t="shared" si="65"/>
        <v>2.3E-2</v>
      </c>
      <c r="X191" s="123">
        <f t="shared" si="65"/>
        <v>2.3E-2</v>
      </c>
      <c r="Y191" s="123">
        <f t="shared" si="65"/>
        <v>2.3E-2</v>
      </c>
      <c r="Z191" s="123">
        <f t="shared" si="65"/>
        <v>2.3E-2</v>
      </c>
      <c r="AA191" s="123">
        <f t="shared" si="65"/>
        <v>2.3E-2</v>
      </c>
      <c r="AB191" s="123">
        <f t="shared" si="65"/>
        <v>2.3E-2</v>
      </c>
      <c r="AC191" s="123">
        <f t="shared" si="65"/>
        <v>2.3E-2</v>
      </c>
      <c r="AD191" s="123">
        <f t="shared" si="65"/>
        <v>2.3E-2</v>
      </c>
      <c r="AE191" s="123">
        <f t="shared" si="65"/>
        <v>2.3E-2</v>
      </c>
      <c r="AF191" s="123">
        <f t="shared" si="65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66">SUM(C102:C191)</f>
        <v>194.70600000000002</v>
      </c>
      <c r="D192" s="128">
        <f t="shared" si="66"/>
        <v>194.70600000000002</v>
      </c>
      <c r="E192" s="128">
        <f t="shared" si="66"/>
        <v>194.70600000000002</v>
      </c>
      <c r="F192" s="128">
        <f t="shared" si="66"/>
        <v>194.70600000000002</v>
      </c>
      <c r="G192" s="128">
        <f t="shared" si="66"/>
        <v>194.70600000000002</v>
      </c>
      <c r="H192" s="128">
        <f t="shared" si="66"/>
        <v>194.70600000000002</v>
      </c>
      <c r="I192" s="128">
        <f t="shared" si="66"/>
        <v>189.70600000000005</v>
      </c>
      <c r="J192" s="128">
        <f t="shared" si="66"/>
        <v>187.10600000000005</v>
      </c>
      <c r="K192" s="128">
        <f t="shared" si="66"/>
        <v>187.10600000000005</v>
      </c>
      <c r="L192" s="128">
        <f t="shared" si="66"/>
        <v>187.10600000000005</v>
      </c>
      <c r="M192" s="128">
        <f t="shared" si="66"/>
        <v>187.10600000000005</v>
      </c>
      <c r="N192" s="128">
        <f t="shared" si="66"/>
        <v>187.10600000000005</v>
      </c>
      <c r="O192" s="128">
        <f t="shared" si="66"/>
        <v>187.10600000000005</v>
      </c>
      <c r="P192" s="128">
        <f t="shared" si="66"/>
        <v>187.10600000000005</v>
      </c>
      <c r="Q192" s="128">
        <f t="shared" si="66"/>
        <v>187.10600000000005</v>
      </c>
      <c r="R192" s="128">
        <f t="shared" si="66"/>
        <v>187.10600000000005</v>
      </c>
      <c r="S192" s="128">
        <f t="shared" si="66"/>
        <v>187.10600000000005</v>
      </c>
      <c r="T192" s="128">
        <f t="shared" si="66"/>
        <v>187.10600000000005</v>
      </c>
      <c r="U192" s="128">
        <f t="shared" si="66"/>
        <v>187.10600000000005</v>
      </c>
      <c r="V192" s="128">
        <f t="shared" si="66"/>
        <v>187.10600000000005</v>
      </c>
      <c r="W192" s="128">
        <f t="shared" si="66"/>
        <v>187.10600000000005</v>
      </c>
      <c r="X192" s="128">
        <f t="shared" si="66"/>
        <v>187.10600000000005</v>
      </c>
      <c r="Y192" s="128">
        <f t="shared" si="66"/>
        <v>187.10600000000005</v>
      </c>
      <c r="Z192" s="128">
        <f t="shared" si="66"/>
        <v>187.10600000000005</v>
      </c>
      <c r="AA192" s="128">
        <f t="shared" si="66"/>
        <v>187.10600000000005</v>
      </c>
      <c r="AB192" s="128">
        <f t="shared" si="66"/>
        <v>187.10600000000005</v>
      </c>
      <c r="AC192" s="128">
        <f t="shared" si="66"/>
        <v>187.10600000000005</v>
      </c>
      <c r="AD192" s="128">
        <f t="shared" si="66"/>
        <v>187.10600000000005</v>
      </c>
      <c r="AE192" s="128">
        <f t="shared" si="66"/>
        <v>187.10600000000005</v>
      </c>
      <c r="AF192" s="128">
        <f t="shared" si="66"/>
        <v>187.10600000000005</v>
      </c>
      <c r="AG192" s="129">
        <f t="shared" si="66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67">AF194</f>
        <v>0.3</v>
      </c>
      <c r="C194" s="130">
        <v>0.3</v>
      </c>
      <c r="D194" s="130">
        <f t="shared" ref="D194:S199" si="68">C194</f>
        <v>0.3</v>
      </c>
      <c r="E194" s="130">
        <f t="shared" si="68"/>
        <v>0.3</v>
      </c>
      <c r="F194" s="130">
        <f t="shared" si="68"/>
        <v>0.3</v>
      </c>
      <c r="G194" s="130">
        <f t="shared" si="68"/>
        <v>0.3</v>
      </c>
      <c r="H194" s="130">
        <f t="shared" si="68"/>
        <v>0.3</v>
      </c>
      <c r="I194" s="130">
        <f t="shared" si="68"/>
        <v>0.3</v>
      </c>
      <c r="J194" s="130">
        <f t="shared" si="68"/>
        <v>0.3</v>
      </c>
      <c r="K194" s="130">
        <f t="shared" si="68"/>
        <v>0.3</v>
      </c>
      <c r="L194" s="130">
        <f t="shared" si="68"/>
        <v>0.3</v>
      </c>
      <c r="M194" s="130">
        <f t="shared" si="68"/>
        <v>0.3</v>
      </c>
      <c r="N194" s="130">
        <f t="shared" si="68"/>
        <v>0.3</v>
      </c>
      <c r="O194" s="130">
        <f t="shared" si="68"/>
        <v>0.3</v>
      </c>
      <c r="P194" s="130">
        <f t="shared" si="68"/>
        <v>0.3</v>
      </c>
      <c r="Q194" s="130">
        <f t="shared" si="68"/>
        <v>0.3</v>
      </c>
      <c r="R194" s="130">
        <f t="shared" si="68"/>
        <v>0.3</v>
      </c>
      <c r="S194" s="130">
        <f t="shared" si="68"/>
        <v>0.3</v>
      </c>
      <c r="T194" s="130">
        <f t="shared" ref="T194:AF199" si="69">S194</f>
        <v>0.3</v>
      </c>
      <c r="U194" s="130">
        <f t="shared" si="69"/>
        <v>0.3</v>
      </c>
      <c r="V194" s="130">
        <f t="shared" si="69"/>
        <v>0.3</v>
      </c>
      <c r="W194" s="130">
        <f t="shared" si="69"/>
        <v>0.3</v>
      </c>
      <c r="X194" s="130">
        <f t="shared" si="69"/>
        <v>0.3</v>
      </c>
      <c r="Y194" s="130">
        <f t="shared" si="69"/>
        <v>0.3</v>
      </c>
      <c r="Z194" s="130">
        <f t="shared" si="69"/>
        <v>0.3</v>
      </c>
      <c r="AA194" s="130">
        <f t="shared" si="69"/>
        <v>0.3</v>
      </c>
      <c r="AB194" s="130">
        <f t="shared" si="69"/>
        <v>0.3</v>
      </c>
      <c r="AC194" s="130">
        <f t="shared" si="69"/>
        <v>0.3</v>
      </c>
      <c r="AD194" s="130">
        <f t="shared" si="69"/>
        <v>0.3</v>
      </c>
      <c r="AE194" s="130">
        <f t="shared" si="69"/>
        <v>0.3</v>
      </c>
      <c r="AF194" s="130">
        <f t="shared" si="69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67"/>
        <v>0.4</v>
      </c>
      <c r="C195" s="123">
        <v>0.4</v>
      </c>
      <c r="D195" s="123">
        <f t="shared" si="68"/>
        <v>0.4</v>
      </c>
      <c r="E195" s="123">
        <f t="shared" si="68"/>
        <v>0.4</v>
      </c>
      <c r="F195" s="123">
        <f t="shared" si="68"/>
        <v>0.4</v>
      </c>
      <c r="G195" s="123">
        <f t="shared" si="68"/>
        <v>0.4</v>
      </c>
      <c r="H195" s="123">
        <f t="shared" si="68"/>
        <v>0.4</v>
      </c>
      <c r="I195" s="123">
        <f t="shared" si="68"/>
        <v>0.4</v>
      </c>
      <c r="J195" s="123">
        <f t="shared" si="68"/>
        <v>0.4</v>
      </c>
      <c r="K195" s="123">
        <f t="shared" si="68"/>
        <v>0.4</v>
      </c>
      <c r="L195" s="123">
        <f t="shared" si="68"/>
        <v>0.4</v>
      </c>
      <c r="M195" s="123">
        <f t="shared" si="68"/>
        <v>0.4</v>
      </c>
      <c r="N195" s="123">
        <f t="shared" si="68"/>
        <v>0.4</v>
      </c>
      <c r="O195" s="123">
        <f t="shared" si="68"/>
        <v>0.4</v>
      </c>
      <c r="P195" s="123">
        <f t="shared" si="68"/>
        <v>0.4</v>
      </c>
      <c r="Q195" s="123">
        <f t="shared" si="68"/>
        <v>0.4</v>
      </c>
      <c r="R195" s="123">
        <f t="shared" si="68"/>
        <v>0.4</v>
      </c>
      <c r="S195" s="123">
        <f t="shared" si="68"/>
        <v>0.4</v>
      </c>
      <c r="T195" s="123">
        <f t="shared" si="69"/>
        <v>0.4</v>
      </c>
      <c r="U195" s="123">
        <f t="shared" si="69"/>
        <v>0.4</v>
      </c>
      <c r="V195" s="123">
        <f t="shared" si="69"/>
        <v>0.4</v>
      </c>
      <c r="W195" s="123">
        <f>V195</f>
        <v>0.4</v>
      </c>
      <c r="X195" s="123">
        <f>W195</f>
        <v>0.4</v>
      </c>
      <c r="Y195" s="123">
        <f t="shared" si="69"/>
        <v>0.4</v>
      </c>
      <c r="Z195" s="123">
        <f t="shared" si="69"/>
        <v>0.4</v>
      </c>
      <c r="AA195" s="123">
        <f t="shared" si="69"/>
        <v>0.4</v>
      </c>
      <c r="AB195" s="123">
        <f t="shared" si="69"/>
        <v>0.4</v>
      </c>
      <c r="AC195" s="123">
        <f t="shared" si="69"/>
        <v>0.4</v>
      </c>
      <c r="AD195" s="123">
        <f t="shared" si="69"/>
        <v>0.4</v>
      </c>
      <c r="AE195" s="123">
        <f t="shared" si="69"/>
        <v>0.4</v>
      </c>
      <c r="AF195" s="123">
        <f t="shared" si="69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67"/>
        <v>1.5</v>
      </c>
      <c r="C196" s="123">
        <v>1.5</v>
      </c>
      <c r="D196" s="123">
        <f t="shared" si="68"/>
        <v>1.5</v>
      </c>
      <c r="E196" s="123">
        <f t="shared" si="68"/>
        <v>1.5</v>
      </c>
      <c r="F196" s="123">
        <f t="shared" si="68"/>
        <v>1.5</v>
      </c>
      <c r="G196" s="123">
        <f t="shared" si="68"/>
        <v>1.5</v>
      </c>
      <c r="H196" s="123">
        <f t="shared" si="68"/>
        <v>1.5</v>
      </c>
      <c r="I196" s="123">
        <f t="shared" si="68"/>
        <v>1.5</v>
      </c>
      <c r="J196" s="123">
        <f t="shared" si="68"/>
        <v>1.5</v>
      </c>
      <c r="K196" s="123">
        <f t="shared" si="68"/>
        <v>1.5</v>
      </c>
      <c r="L196" s="123">
        <f t="shared" si="68"/>
        <v>1.5</v>
      </c>
      <c r="M196" s="123">
        <f t="shared" si="68"/>
        <v>1.5</v>
      </c>
      <c r="N196" s="123">
        <f t="shared" si="68"/>
        <v>1.5</v>
      </c>
      <c r="O196" s="123">
        <f t="shared" si="68"/>
        <v>1.5</v>
      </c>
      <c r="P196" s="123">
        <f t="shared" si="68"/>
        <v>1.5</v>
      </c>
      <c r="Q196" s="123">
        <f t="shared" si="68"/>
        <v>1.5</v>
      </c>
      <c r="R196" s="123">
        <f t="shared" si="68"/>
        <v>1.5</v>
      </c>
      <c r="S196" s="123">
        <f t="shared" si="68"/>
        <v>1.5</v>
      </c>
      <c r="T196" s="123">
        <f t="shared" si="69"/>
        <v>1.5</v>
      </c>
      <c r="U196" s="123">
        <f t="shared" si="69"/>
        <v>1.5</v>
      </c>
      <c r="V196" s="123">
        <f t="shared" si="69"/>
        <v>1.5</v>
      </c>
      <c r="W196" s="123">
        <f t="shared" si="69"/>
        <v>1.5</v>
      </c>
      <c r="X196" s="123">
        <f t="shared" si="69"/>
        <v>1.5</v>
      </c>
      <c r="Y196" s="123">
        <f t="shared" si="69"/>
        <v>1.5</v>
      </c>
      <c r="Z196" s="123">
        <f t="shared" si="69"/>
        <v>1.5</v>
      </c>
      <c r="AA196" s="123">
        <f t="shared" si="69"/>
        <v>1.5</v>
      </c>
      <c r="AB196" s="123">
        <f t="shared" si="69"/>
        <v>1.5</v>
      </c>
      <c r="AC196" s="123">
        <f t="shared" si="69"/>
        <v>1.5</v>
      </c>
      <c r="AD196" s="123">
        <f t="shared" si="69"/>
        <v>1.5</v>
      </c>
      <c r="AE196" s="123">
        <f t="shared" si="69"/>
        <v>1.5</v>
      </c>
      <c r="AF196" s="123">
        <f t="shared" si="69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67"/>
        <v>0.3</v>
      </c>
      <c r="C197" s="123">
        <v>0.3</v>
      </c>
      <c r="D197" s="123">
        <f t="shared" si="68"/>
        <v>0.3</v>
      </c>
      <c r="E197" s="123">
        <f t="shared" si="68"/>
        <v>0.3</v>
      </c>
      <c r="F197" s="123">
        <f t="shared" si="68"/>
        <v>0.3</v>
      </c>
      <c r="G197" s="123">
        <f t="shared" si="68"/>
        <v>0.3</v>
      </c>
      <c r="H197" s="123">
        <f t="shared" si="68"/>
        <v>0.3</v>
      </c>
      <c r="I197" s="123">
        <f t="shared" si="68"/>
        <v>0.3</v>
      </c>
      <c r="J197" s="123">
        <f t="shared" si="68"/>
        <v>0.3</v>
      </c>
      <c r="K197" s="123">
        <f t="shared" si="68"/>
        <v>0.3</v>
      </c>
      <c r="L197" s="123">
        <f t="shared" si="68"/>
        <v>0.3</v>
      </c>
      <c r="M197" s="123">
        <f t="shared" si="68"/>
        <v>0.3</v>
      </c>
      <c r="N197" s="123">
        <f t="shared" si="68"/>
        <v>0.3</v>
      </c>
      <c r="O197" s="123">
        <f t="shared" si="68"/>
        <v>0.3</v>
      </c>
      <c r="P197" s="123">
        <f t="shared" si="68"/>
        <v>0.3</v>
      </c>
      <c r="Q197" s="123">
        <f t="shared" si="68"/>
        <v>0.3</v>
      </c>
      <c r="R197" s="123">
        <f t="shared" si="68"/>
        <v>0.3</v>
      </c>
      <c r="S197" s="123">
        <f t="shared" si="68"/>
        <v>0.3</v>
      </c>
      <c r="T197" s="123">
        <f t="shared" si="69"/>
        <v>0.3</v>
      </c>
      <c r="U197" s="123">
        <f t="shared" si="69"/>
        <v>0.3</v>
      </c>
      <c r="V197" s="123">
        <f t="shared" si="69"/>
        <v>0.3</v>
      </c>
      <c r="W197" s="123">
        <f t="shared" si="69"/>
        <v>0.3</v>
      </c>
      <c r="X197" s="123">
        <f t="shared" si="69"/>
        <v>0.3</v>
      </c>
      <c r="Y197" s="123">
        <f t="shared" si="69"/>
        <v>0.3</v>
      </c>
      <c r="Z197" s="123">
        <f t="shared" si="69"/>
        <v>0.3</v>
      </c>
      <c r="AA197" s="123">
        <f t="shared" si="69"/>
        <v>0.3</v>
      </c>
      <c r="AB197" s="123">
        <f t="shared" si="69"/>
        <v>0.3</v>
      </c>
      <c r="AC197" s="123">
        <f t="shared" si="69"/>
        <v>0.3</v>
      </c>
      <c r="AD197" s="123">
        <f t="shared" si="69"/>
        <v>0.3</v>
      </c>
      <c r="AE197" s="123">
        <f t="shared" si="69"/>
        <v>0.3</v>
      </c>
      <c r="AF197" s="123">
        <f t="shared" si="69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67"/>
        <v>0.4</v>
      </c>
      <c r="C198" s="123">
        <v>0.4</v>
      </c>
      <c r="D198" s="123">
        <f t="shared" si="68"/>
        <v>0.4</v>
      </c>
      <c r="E198" s="123">
        <f t="shared" si="68"/>
        <v>0.4</v>
      </c>
      <c r="F198" s="123">
        <f t="shared" si="68"/>
        <v>0.4</v>
      </c>
      <c r="G198" s="123">
        <f t="shared" si="68"/>
        <v>0.4</v>
      </c>
      <c r="H198" s="123">
        <f t="shared" si="68"/>
        <v>0.4</v>
      </c>
      <c r="I198" s="123">
        <f t="shared" si="68"/>
        <v>0.4</v>
      </c>
      <c r="J198" s="123">
        <f t="shared" si="68"/>
        <v>0.4</v>
      </c>
      <c r="K198" s="123">
        <f t="shared" si="68"/>
        <v>0.4</v>
      </c>
      <c r="L198" s="123">
        <f t="shared" si="68"/>
        <v>0.4</v>
      </c>
      <c r="M198" s="123">
        <f t="shared" si="68"/>
        <v>0.4</v>
      </c>
      <c r="N198" s="123">
        <f t="shared" si="68"/>
        <v>0.4</v>
      </c>
      <c r="O198" s="123">
        <f t="shared" si="68"/>
        <v>0.4</v>
      </c>
      <c r="P198" s="123">
        <f t="shared" si="68"/>
        <v>0.4</v>
      </c>
      <c r="Q198" s="123">
        <f t="shared" si="68"/>
        <v>0.4</v>
      </c>
      <c r="R198" s="123">
        <f t="shared" si="68"/>
        <v>0.4</v>
      </c>
      <c r="S198" s="123">
        <f t="shared" si="68"/>
        <v>0.4</v>
      </c>
      <c r="T198" s="123">
        <f t="shared" si="69"/>
        <v>0.4</v>
      </c>
      <c r="U198" s="123">
        <f t="shared" si="69"/>
        <v>0.4</v>
      </c>
      <c r="V198" s="123">
        <f t="shared" si="69"/>
        <v>0.4</v>
      </c>
      <c r="W198" s="123">
        <f t="shared" si="69"/>
        <v>0.4</v>
      </c>
      <c r="X198" s="123">
        <f t="shared" si="69"/>
        <v>0.4</v>
      </c>
      <c r="Y198" s="123">
        <f t="shared" si="69"/>
        <v>0.4</v>
      </c>
      <c r="Z198" s="123">
        <f t="shared" si="69"/>
        <v>0.4</v>
      </c>
      <c r="AA198" s="123">
        <f t="shared" si="69"/>
        <v>0.4</v>
      </c>
      <c r="AB198" s="123">
        <f t="shared" si="69"/>
        <v>0.4</v>
      </c>
      <c r="AC198" s="123">
        <f t="shared" si="69"/>
        <v>0.4</v>
      </c>
      <c r="AD198" s="123">
        <f t="shared" si="69"/>
        <v>0.4</v>
      </c>
      <c r="AE198" s="123">
        <f t="shared" si="69"/>
        <v>0.4</v>
      </c>
      <c r="AF198" s="123">
        <f t="shared" si="69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67"/>
        <v>0.64</v>
      </c>
      <c r="C199" s="133">
        <v>0.64</v>
      </c>
      <c r="D199" s="133">
        <f t="shared" si="68"/>
        <v>0.64</v>
      </c>
      <c r="E199" s="133">
        <f t="shared" si="68"/>
        <v>0.64</v>
      </c>
      <c r="F199" s="133">
        <f t="shared" si="68"/>
        <v>0.64</v>
      </c>
      <c r="G199" s="133">
        <f t="shared" si="68"/>
        <v>0.64</v>
      </c>
      <c r="H199" s="133">
        <f t="shared" si="68"/>
        <v>0.64</v>
      </c>
      <c r="I199" s="133">
        <f t="shared" si="68"/>
        <v>0.64</v>
      </c>
      <c r="J199" s="133">
        <f t="shared" si="68"/>
        <v>0.64</v>
      </c>
      <c r="K199" s="133">
        <f t="shared" si="68"/>
        <v>0.64</v>
      </c>
      <c r="L199" s="133">
        <f t="shared" si="68"/>
        <v>0.64</v>
      </c>
      <c r="M199" s="133">
        <f t="shared" si="68"/>
        <v>0.64</v>
      </c>
      <c r="N199" s="133">
        <f t="shared" si="68"/>
        <v>0.64</v>
      </c>
      <c r="O199" s="133">
        <f t="shared" si="68"/>
        <v>0.64</v>
      </c>
      <c r="P199" s="133">
        <f t="shared" si="68"/>
        <v>0.64</v>
      </c>
      <c r="Q199" s="133">
        <f t="shared" si="68"/>
        <v>0.64</v>
      </c>
      <c r="R199" s="133">
        <f t="shared" si="68"/>
        <v>0.64</v>
      </c>
      <c r="S199" s="133">
        <f t="shared" si="68"/>
        <v>0.64</v>
      </c>
      <c r="T199" s="133">
        <f t="shared" si="69"/>
        <v>0.64</v>
      </c>
      <c r="U199" s="133">
        <f t="shared" si="69"/>
        <v>0.64</v>
      </c>
      <c r="V199" s="133">
        <f t="shared" si="69"/>
        <v>0.64</v>
      </c>
      <c r="W199" s="133">
        <f t="shared" si="69"/>
        <v>0.64</v>
      </c>
      <c r="X199" s="133">
        <f t="shared" si="69"/>
        <v>0.64</v>
      </c>
      <c r="Y199" s="133">
        <f t="shared" si="69"/>
        <v>0.64</v>
      </c>
      <c r="Z199" s="133">
        <f t="shared" si="69"/>
        <v>0.64</v>
      </c>
      <c r="AA199" s="133">
        <f t="shared" si="69"/>
        <v>0.64</v>
      </c>
      <c r="AB199" s="133">
        <f t="shared" si="69"/>
        <v>0.64</v>
      </c>
      <c r="AC199" s="133">
        <f t="shared" si="69"/>
        <v>0.64</v>
      </c>
      <c r="AD199" s="133">
        <f t="shared" si="69"/>
        <v>0.64</v>
      </c>
      <c r="AE199" s="133">
        <f t="shared" si="69"/>
        <v>0.64</v>
      </c>
      <c r="AF199" s="133">
        <f t="shared" si="69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0">SUM(D194:D199)</f>
        <v>3.54</v>
      </c>
      <c r="E200" s="136">
        <f t="shared" si="70"/>
        <v>3.54</v>
      </c>
      <c r="F200" s="136">
        <f t="shared" si="70"/>
        <v>3.54</v>
      </c>
      <c r="G200" s="136">
        <f t="shared" si="70"/>
        <v>3.54</v>
      </c>
      <c r="H200" s="136">
        <f t="shared" si="70"/>
        <v>3.54</v>
      </c>
      <c r="I200" s="136">
        <f t="shared" si="70"/>
        <v>3.54</v>
      </c>
      <c r="J200" s="136">
        <f t="shared" si="70"/>
        <v>3.54</v>
      </c>
      <c r="K200" s="136">
        <f t="shared" si="70"/>
        <v>3.54</v>
      </c>
      <c r="L200" s="136">
        <f t="shared" si="70"/>
        <v>3.54</v>
      </c>
      <c r="M200" s="136">
        <f>SUM(M194:M199)</f>
        <v>3.54</v>
      </c>
      <c r="N200" s="136">
        <f t="shared" ref="N200:S200" si="71">SUM(N194:N199)</f>
        <v>3.54</v>
      </c>
      <c r="O200" s="136">
        <f t="shared" si="71"/>
        <v>3.54</v>
      </c>
      <c r="P200" s="136">
        <f t="shared" si="71"/>
        <v>3.54</v>
      </c>
      <c r="Q200" s="136">
        <f t="shared" si="71"/>
        <v>3.54</v>
      </c>
      <c r="R200" s="136">
        <f t="shared" si="71"/>
        <v>3.54</v>
      </c>
      <c r="S200" s="136">
        <f t="shared" si="71"/>
        <v>3.54</v>
      </c>
      <c r="T200" s="136">
        <f>SUM(T194:T199)</f>
        <v>3.54</v>
      </c>
      <c r="U200" s="136">
        <f t="shared" ref="U200:AG200" si="72">SUM(U194:U199)</f>
        <v>3.54</v>
      </c>
      <c r="V200" s="136">
        <f t="shared" si="72"/>
        <v>3.54</v>
      </c>
      <c r="W200" s="136">
        <f t="shared" si="72"/>
        <v>3.54</v>
      </c>
      <c r="X200" s="136">
        <f t="shared" si="72"/>
        <v>3.54</v>
      </c>
      <c r="Y200" s="136">
        <f t="shared" si="72"/>
        <v>3.54</v>
      </c>
      <c r="Z200" s="136">
        <f t="shared" si="72"/>
        <v>3.54</v>
      </c>
      <c r="AA200" s="136">
        <f t="shared" si="72"/>
        <v>3.54</v>
      </c>
      <c r="AB200" s="136">
        <f t="shared" si="72"/>
        <v>3.54</v>
      </c>
      <c r="AC200" s="136">
        <f t="shared" si="72"/>
        <v>3.54</v>
      </c>
      <c r="AD200" s="136">
        <f t="shared" si="72"/>
        <v>3.54</v>
      </c>
      <c r="AE200" s="136">
        <f t="shared" si="72"/>
        <v>3.54</v>
      </c>
      <c r="AF200" s="136">
        <f t="shared" si="72"/>
        <v>3.54</v>
      </c>
      <c r="AG200" s="137">
        <f t="shared" si="72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1651.9399999999998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4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2079/02/4)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2079/02/4)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3">B75</f>
        <v>1563.7399999999998</v>
      </c>
      <c r="U214" s="161">
        <f t="shared" si="73"/>
        <v>1550.4399999999996</v>
      </c>
      <c r="V214" s="161">
        <f t="shared" si="73"/>
        <v>1469.54</v>
      </c>
      <c r="W214" s="161">
        <f t="shared" si="73"/>
        <v>1483.44</v>
      </c>
      <c r="X214" s="161">
        <f t="shared" si="73"/>
        <v>1419.1399999999999</v>
      </c>
      <c r="Y214" s="161">
        <f t="shared" si="73"/>
        <v>1558.6399999999999</v>
      </c>
      <c r="Z214" s="161">
        <f t="shared" si="73"/>
        <v>1441.6399999999999</v>
      </c>
      <c r="AA214" s="161">
        <f t="shared" si="73"/>
        <v>1515.7399999999998</v>
      </c>
      <c r="AB214" s="161">
        <f t="shared" si="73"/>
        <v>1595.54</v>
      </c>
      <c r="AC214" s="161">
        <f t="shared" si="73"/>
        <v>1598.84</v>
      </c>
      <c r="AD214" s="161">
        <f t="shared" si="73"/>
        <v>1603.9399999999998</v>
      </c>
      <c r="AE214" s="161">
        <f t="shared" si="73"/>
        <v>1641.64</v>
      </c>
      <c r="AF214" s="161">
        <f t="shared" si="73"/>
        <v>1651.9399999999998</v>
      </c>
      <c r="AG214" s="161">
        <f t="shared" si="73"/>
        <v>1658.04</v>
      </c>
      <c r="AH214" s="161">
        <f t="shared" si="73"/>
        <v>1628.1399999999999</v>
      </c>
      <c r="AI214" s="161">
        <f t="shared" si="73"/>
        <v>1633.14</v>
      </c>
      <c r="AJ214" s="161">
        <f t="shared" si="73"/>
        <v>1597.24</v>
      </c>
      <c r="AK214" s="161">
        <f t="shared" si="73"/>
        <v>1451.1399999999999</v>
      </c>
      <c r="AL214" s="161">
        <f t="shared" si="73"/>
        <v>1574.73</v>
      </c>
      <c r="AM214" s="161">
        <f t="shared" si="73"/>
        <v>1589.94</v>
      </c>
      <c r="AN214" s="161">
        <f t="shared" si="73"/>
        <v>1595.71</v>
      </c>
      <c r="AO214" s="161">
        <f t="shared" si="73"/>
        <v>1597.1399999999999</v>
      </c>
      <c r="AP214" s="161">
        <f t="shared" si="73"/>
        <v>1597.78</v>
      </c>
      <c r="AQ214" s="161">
        <f t="shared" si="73"/>
        <v>1600.54</v>
      </c>
      <c r="AR214" s="161">
        <f t="shared" si="73"/>
        <v>1607.1399999999999</v>
      </c>
      <c r="AS214" s="161">
        <f t="shared" si="73"/>
        <v>1619.6399999999999</v>
      </c>
      <c r="AT214" s="161">
        <f t="shared" si="73"/>
        <v>1672.44</v>
      </c>
      <c r="AU214" s="161">
        <f t="shared" si="73"/>
        <v>1683.5400000000004</v>
      </c>
      <c r="AV214" s="161">
        <f t="shared" si="73"/>
        <v>1678.0400000000004</v>
      </c>
      <c r="AW214" s="161">
        <f t="shared" si="73"/>
        <v>1647.6400000000003</v>
      </c>
      <c r="AX214" s="161">
        <f t="shared" si="73"/>
        <v>1577.5400000000002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4">C199</f>
        <v>0.64</v>
      </c>
      <c r="C235" s="164">
        <f t="shared" si="74"/>
        <v>0.64</v>
      </c>
      <c r="D235" s="164">
        <f t="shared" si="74"/>
        <v>0.64</v>
      </c>
      <c r="E235" s="164">
        <f t="shared" si="74"/>
        <v>0.64</v>
      </c>
      <c r="F235" s="164">
        <f t="shared" si="74"/>
        <v>0.64</v>
      </c>
      <c r="G235" s="164">
        <f t="shared" si="74"/>
        <v>0.64</v>
      </c>
      <c r="H235" s="164">
        <f t="shared" si="74"/>
        <v>0.64</v>
      </c>
      <c r="I235" s="164">
        <f t="shared" si="74"/>
        <v>0.64</v>
      </c>
      <c r="J235" s="164">
        <f t="shared" si="74"/>
        <v>0.64</v>
      </c>
      <c r="K235" s="164">
        <f t="shared" si="74"/>
        <v>0.64</v>
      </c>
      <c r="L235" s="164">
        <f t="shared" si="74"/>
        <v>0.64</v>
      </c>
      <c r="M235" s="164">
        <f t="shared" si="74"/>
        <v>0.64</v>
      </c>
      <c r="N235" s="164">
        <f t="shared" si="74"/>
        <v>0.64</v>
      </c>
      <c r="O235" s="164">
        <f t="shared" si="74"/>
        <v>0.64</v>
      </c>
      <c r="P235" s="164">
        <f t="shared" si="74"/>
        <v>0.64</v>
      </c>
      <c r="Q235" s="164">
        <f t="shared" si="74"/>
        <v>0.64</v>
      </c>
      <c r="R235" s="164">
        <f t="shared" si="74"/>
        <v>0.64</v>
      </c>
      <c r="S235" s="164">
        <f t="shared" si="74"/>
        <v>0.64</v>
      </c>
      <c r="T235" s="164">
        <f t="shared" si="74"/>
        <v>0.64</v>
      </c>
      <c r="U235" s="164">
        <f t="shared" si="74"/>
        <v>0.64</v>
      </c>
      <c r="V235" s="164">
        <f t="shared" si="74"/>
        <v>0.64</v>
      </c>
      <c r="W235" s="164">
        <f t="shared" si="74"/>
        <v>0.64</v>
      </c>
      <c r="X235" s="164">
        <f t="shared" si="74"/>
        <v>0.64</v>
      </c>
      <c r="Y235" s="164">
        <f t="shared" si="74"/>
        <v>0.64</v>
      </c>
      <c r="Z235" s="164">
        <f t="shared" si="74"/>
        <v>0.64</v>
      </c>
      <c r="AA235" s="164">
        <f t="shared" si="74"/>
        <v>0.64</v>
      </c>
      <c r="AB235" s="164">
        <f t="shared" si="74"/>
        <v>0.64</v>
      </c>
      <c r="AC235" s="164">
        <f t="shared" si="74"/>
        <v>0.64</v>
      </c>
      <c r="AD235" s="164">
        <f t="shared" si="74"/>
        <v>0.64</v>
      </c>
      <c r="AE235" s="164">
        <f t="shared" si="7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75">IF(C203&lt;100,"",C203-520)</f>
        <v/>
      </c>
      <c r="D236" s="107" t="str">
        <f t="shared" si="75"/>
        <v/>
      </c>
      <c r="E236" s="107" t="str">
        <f t="shared" si="75"/>
        <v/>
      </c>
      <c r="F236" s="107" t="str">
        <f t="shared" si="75"/>
        <v/>
      </c>
      <c r="G236" s="107" t="str">
        <f t="shared" si="75"/>
        <v/>
      </c>
      <c r="H236" s="107" t="str">
        <f t="shared" si="75"/>
        <v/>
      </c>
      <c r="I236" s="107" t="str">
        <f t="shared" si="75"/>
        <v/>
      </c>
      <c r="J236" s="107" t="str">
        <f t="shared" si="75"/>
        <v/>
      </c>
      <c r="K236" s="107" t="str">
        <f t="shared" si="75"/>
        <v/>
      </c>
      <c r="L236" s="107" t="str">
        <f t="shared" si="75"/>
        <v/>
      </c>
      <c r="M236" s="107" t="str">
        <f t="shared" si="75"/>
        <v/>
      </c>
      <c r="N236" s="107" t="str">
        <f t="shared" si="75"/>
        <v/>
      </c>
      <c r="O236" s="107" t="str">
        <f t="shared" si="75"/>
        <v/>
      </c>
      <c r="P236" s="107" t="str">
        <f t="shared" si="75"/>
        <v/>
      </c>
      <c r="Q236" s="107" t="str">
        <f t="shared" si="75"/>
        <v/>
      </c>
      <c r="R236" s="107" t="str">
        <f t="shared" si="75"/>
        <v/>
      </c>
      <c r="S236" s="107" t="str">
        <f t="shared" si="75"/>
        <v/>
      </c>
      <c r="T236" s="107" t="str">
        <f t="shared" si="75"/>
        <v/>
      </c>
      <c r="U236" s="107" t="str">
        <f t="shared" si="75"/>
        <v/>
      </c>
      <c r="V236" s="107" t="str">
        <f t="shared" si="75"/>
        <v/>
      </c>
      <c r="W236" s="107" t="str">
        <f t="shared" si="75"/>
        <v/>
      </c>
      <c r="X236" s="107" t="str">
        <f t="shared" si="75"/>
        <v/>
      </c>
      <c r="Y236" s="107" t="str">
        <f t="shared" si="75"/>
        <v/>
      </c>
      <c r="Z236" s="107" t="str">
        <f t="shared" si="75"/>
        <v/>
      </c>
      <c r="AA236" s="107" t="str">
        <f t="shared" si="75"/>
        <v/>
      </c>
      <c r="AB236" s="107" t="str">
        <f t="shared" si="75"/>
        <v/>
      </c>
      <c r="AC236" s="107" t="str">
        <f t="shared" si="75"/>
        <v/>
      </c>
      <c r="AD236" s="107" t="str">
        <f t="shared" si="75"/>
        <v/>
      </c>
      <c r="AE236" s="107" t="str">
        <f t="shared" si="75"/>
        <v/>
      </c>
      <c r="AF236" s="107" t="str">
        <f t="shared" si="7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76">IF(B204&lt;100,"",B204-620)</f>
        <v/>
      </c>
      <c r="C237" s="107" t="str">
        <f t="shared" si="76"/>
        <v/>
      </c>
      <c r="D237" s="107" t="str">
        <f t="shared" si="76"/>
        <v/>
      </c>
      <c r="E237" s="107" t="str">
        <f t="shared" si="76"/>
        <v/>
      </c>
      <c r="F237" s="107" t="str">
        <f t="shared" si="76"/>
        <v/>
      </c>
      <c r="G237" s="107" t="str">
        <f t="shared" si="76"/>
        <v/>
      </c>
      <c r="H237" s="107" t="str">
        <f t="shared" si="76"/>
        <v/>
      </c>
      <c r="I237" s="107" t="str">
        <f t="shared" si="76"/>
        <v/>
      </c>
      <c r="J237" s="107" t="str">
        <f t="shared" si="76"/>
        <v/>
      </c>
      <c r="K237" s="107" t="str">
        <f t="shared" si="76"/>
        <v/>
      </c>
      <c r="L237" s="107" t="str">
        <f t="shared" si="76"/>
        <v/>
      </c>
      <c r="M237" s="107" t="str">
        <f t="shared" si="76"/>
        <v/>
      </c>
      <c r="N237" s="107" t="str">
        <f t="shared" si="76"/>
        <v/>
      </c>
      <c r="O237" s="107" t="str">
        <f t="shared" si="76"/>
        <v/>
      </c>
      <c r="P237" s="107" t="str">
        <f t="shared" si="76"/>
        <v/>
      </c>
      <c r="Q237" s="107" t="str">
        <f t="shared" si="76"/>
        <v/>
      </c>
      <c r="R237" s="107" t="str">
        <f t="shared" si="76"/>
        <v/>
      </c>
      <c r="S237" s="107" t="str">
        <f t="shared" si="76"/>
        <v/>
      </c>
      <c r="T237" s="107" t="str">
        <f t="shared" si="76"/>
        <v/>
      </c>
      <c r="U237" s="107" t="str">
        <f t="shared" si="76"/>
        <v/>
      </c>
      <c r="V237" s="107" t="str">
        <f t="shared" si="76"/>
        <v/>
      </c>
      <c r="W237" s="107" t="str">
        <f t="shared" si="76"/>
        <v/>
      </c>
      <c r="X237" s="107" t="str">
        <f t="shared" si="76"/>
        <v/>
      </c>
      <c r="Y237" s="107" t="str">
        <f t="shared" si="76"/>
        <v/>
      </c>
      <c r="Z237" s="107" t="str">
        <f t="shared" si="76"/>
        <v/>
      </c>
      <c r="AA237" s="107" t="str">
        <f t="shared" si="76"/>
        <v/>
      </c>
      <c r="AB237" s="107" t="str">
        <f t="shared" si="76"/>
        <v/>
      </c>
      <c r="AC237" s="107" t="str">
        <f t="shared" si="76"/>
        <v/>
      </c>
      <c r="AD237" s="107" t="str">
        <f t="shared" si="76"/>
        <v/>
      </c>
      <c r="AE237" s="107" t="str">
        <f t="shared" si="76"/>
        <v/>
      </c>
      <c r="AF237" s="107" t="str">
        <f t="shared" si="7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77">IF(B205&lt;100,"",B205-330)</f>
        <v/>
      </c>
      <c r="C238" s="107" t="str">
        <f t="shared" si="77"/>
        <v/>
      </c>
      <c r="D238" s="107" t="str">
        <f t="shared" si="77"/>
        <v/>
      </c>
      <c r="E238" s="107" t="str">
        <f t="shared" si="77"/>
        <v/>
      </c>
      <c r="F238" s="107" t="str">
        <f t="shared" si="77"/>
        <v/>
      </c>
      <c r="G238" s="107" t="str">
        <f t="shared" si="77"/>
        <v/>
      </c>
      <c r="H238" s="107" t="str">
        <f t="shared" si="77"/>
        <v/>
      </c>
      <c r="I238" s="107" t="str">
        <f t="shared" si="77"/>
        <v/>
      </c>
      <c r="J238" s="107" t="str">
        <f t="shared" si="77"/>
        <v/>
      </c>
      <c r="K238" s="107" t="str">
        <f t="shared" si="77"/>
        <v/>
      </c>
      <c r="L238" s="107" t="str">
        <f t="shared" si="77"/>
        <v/>
      </c>
      <c r="M238" s="107" t="str">
        <f t="shared" si="77"/>
        <v/>
      </c>
      <c r="N238" s="107" t="str">
        <f t="shared" si="77"/>
        <v/>
      </c>
      <c r="O238" s="107" t="str">
        <f t="shared" si="77"/>
        <v/>
      </c>
      <c r="P238" s="107" t="str">
        <f t="shared" si="77"/>
        <v/>
      </c>
      <c r="Q238" s="107" t="str">
        <f t="shared" si="77"/>
        <v/>
      </c>
      <c r="R238" s="107" t="str">
        <f t="shared" si="77"/>
        <v/>
      </c>
      <c r="S238" s="107" t="str">
        <f t="shared" si="77"/>
        <v/>
      </c>
      <c r="T238" s="107" t="str">
        <f t="shared" si="77"/>
        <v/>
      </c>
      <c r="U238" s="107" t="str">
        <f t="shared" si="77"/>
        <v/>
      </c>
      <c r="V238" s="107" t="str">
        <f t="shared" si="77"/>
        <v/>
      </c>
      <c r="W238" s="107" t="str">
        <f t="shared" si="77"/>
        <v/>
      </c>
      <c r="X238" s="107" t="str">
        <f t="shared" si="77"/>
        <v/>
      </c>
      <c r="Y238" s="107" t="str">
        <f t="shared" si="77"/>
        <v/>
      </c>
      <c r="Z238" s="107" t="str">
        <f t="shared" si="77"/>
        <v/>
      </c>
      <c r="AA238" s="107" t="str">
        <f t="shared" si="77"/>
        <v/>
      </c>
      <c r="AB238" s="107" t="str">
        <f t="shared" si="77"/>
        <v/>
      </c>
      <c r="AC238" s="107" t="str">
        <f t="shared" si="77"/>
        <v/>
      </c>
      <c r="AD238" s="107" t="str">
        <f t="shared" si="77"/>
        <v/>
      </c>
      <c r="AE238" s="107" t="str">
        <f t="shared" si="77"/>
        <v/>
      </c>
      <c r="AF238" s="107" t="str">
        <f t="shared" si="7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78">IF(C206&lt;100,"",C206-1500)</f>
        <v/>
      </c>
      <c r="D239" s="107" t="str">
        <f t="shared" si="78"/>
        <v/>
      </c>
      <c r="E239" s="107" t="str">
        <f t="shared" si="78"/>
        <v/>
      </c>
      <c r="F239" s="107" t="str">
        <f t="shared" si="78"/>
        <v/>
      </c>
      <c r="G239" s="107" t="str">
        <f t="shared" si="78"/>
        <v/>
      </c>
      <c r="H239" s="107" t="str">
        <f t="shared" si="78"/>
        <v/>
      </c>
      <c r="I239" s="107" t="str">
        <f t="shared" si="78"/>
        <v/>
      </c>
      <c r="J239" s="107" t="str">
        <f t="shared" si="78"/>
        <v/>
      </c>
      <c r="K239" s="107" t="str">
        <f t="shared" si="78"/>
        <v/>
      </c>
      <c r="L239" s="107" t="str">
        <f t="shared" si="78"/>
        <v/>
      </c>
      <c r="M239" s="107" t="str">
        <f t="shared" si="78"/>
        <v/>
      </c>
      <c r="N239" s="107" t="str">
        <f t="shared" si="78"/>
        <v/>
      </c>
      <c r="O239" s="107" t="str">
        <f t="shared" si="78"/>
        <v/>
      </c>
      <c r="P239" s="107" t="str">
        <f t="shared" si="78"/>
        <v/>
      </c>
      <c r="Q239" s="107" t="str">
        <f t="shared" si="78"/>
        <v/>
      </c>
      <c r="R239" s="107" t="str">
        <f t="shared" si="78"/>
        <v/>
      </c>
      <c r="S239" s="107" t="str">
        <f t="shared" si="78"/>
        <v/>
      </c>
      <c r="T239" s="107" t="str">
        <f t="shared" si="78"/>
        <v/>
      </c>
      <c r="U239" s="107" t="str">
        <f t="shared" si="78"/>
        <v/>
      </c>
      <c r="V239" s="107" t="str">
        <f t="shared" si="78"/>
        <v/>
      </c>
      <c r="W239" s="107" t="str">
        <f t="shared" si="78"/>
        <v/>
      </c>
      <c r="X239" s="107" t="str">
        <f t="shared" si="78"/>
        <v/>
      </c>
      <c r="Y239" s="107" t="str">
        <f t="shared" si="78"/>
        <v/>
      </c>
      <c r="Z239" s="107" t="str">
        <f t="shared" si="78"/>
        <v/>
      </c>
      <c r="AA239" s="107" t="str">
        <f t="shared" si="78"/>
        <v/>
      </c>
      <c r="AB239" s="107" t="str">
        <f t="shared" si="78"/>
        <v/>
      </c>
      <c r="AC239" s="107" t="str">
        <f t="shared" si="78"/>
        <v/>
      </c>
      <c r="AD239" s="107" t="str">
        <f t="shared" si="78"/>
        <v/>
      </c>
      <c r="AE239" s="107" t="str">
        <f t="shared" si="78"/>
        <v/>
      </c>
      <c r="AF239" s="107" t="str">
        <f t="shared" si="7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U11:AF11">
    <cfRule type="expression" dxfId="6080" priority="210">
      <formula>B$9&gt;=20/24</formula>
    </cfRule>
    <cfRule type="expression" dxfId="6079" priority="211">
      <formula>AND(B$9&gt;=14/24,B$9&lt;20/24)</formula>
    </cfRule>
    <cfRule type="expression" dxfId="6078" priority="212">
      <formula>AND(B$9&gt;=8/24,B$9&lt;14/24)</formula>
    </cfRule>
    <cfRule type="expression" dxfId="6077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6076" priority="205">
      <formula>S$9&gt;=20/24</formula>
    </cfRule>
    <cfRule type="expression" dxfId="6075" priority="206">
      <formula>AND(S$9&gt;=14/24,S$9&lt;20/24)</formula>
    </cfRule>
    <cfRule type="expression" dxfId="6074" priority="207">
      <formula>AND(S$9&gt;=8/24,S$9&lt;14/24)</formula>
    </cfRule>
    <cfRule type="expression" dxfId="6073" priority="208">
      <formula>S$9&lt;8/24</formula>
    </cfRule>
  </conditionalFormatting>
  <conditionalFormatting sqref="AG51 J11:AF11 S37:AF37">
    <cfRule type="expression" dxfId="6072" priority="204">
      <formula>J11&gt;$AG11</formula>
    </cfRule>
  </conditionalFormatting>
  <conditionalFormatting sqref="A101:A157 A84:A97 A11:A14 A16:A32 A45:A72 A80:A82 A74:A78 A35:A43 A170:A200">
    <cfRule type="expression" dxfId="6071" priority="203">
      <formula>$AH11=0</formula>
    </cfRule>
  </conditionalFormatting>
  <conditionalFormatting sqref="A98">
    <cfRule type="expression" dxfId="6070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069" priority="200">
      <formula>$AH34=0</formula>
    </cfRule>
  </conditionalFormatting>
  <conditionalFormatting sqref="A83">
    <cfRule type="expression" dxfId="6068" priority="199">
      <formula>$AH83=0</formula>
    </cfRule>
  </conditionalFormatting>
  <conditionalFormatting sqref="A15">
    <cfRule type="expression" dxfId="6067" priority="198">
      <formula>$AH15=0</formula>
    </cfRule>
  </conditionalFormatting>
  <conditionalFormatting sqref="A164:A169">
    <cfRule type="expression" dxfId="6066" priority="197">
      <formula>$AH164=0</formula>
    </cfRule>
  </conditionalFormatting>
  <conditionalFormatting sqref="A158:A163">
    <cfRule type="expression" dxfId="6065" priority="196">
      <formula>$AH158=0</formula>
    </cfRule>
  </conditionalFormatting>
  <conditionalFormatting sqref="A44">
    <cfRule type="expression" dxfId="6064" priority="195">
      <formula>$AH44=0</formula>
    </cfRule>
  </conditionalFormatting>
  <conditionalFormatting sqref="A79">
    <cfRule type="expression" dxfId="6063" priority="194">
      <formula>$AH79=0</formula>
    </cfRule>
  </conditionalFormatting>
  <conditionalFormatting sqref="A73">
    <cfRule type="expression" dxfId="6062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6061" priority="189">
      <formula>C$9&gt;=20/24</formula>
    </cfRule>
    <cfRule type="expression" dxfId="6060" priority="190">
      <formula>AND(C$9&gt;=14/24,C$9&lt;20/24)</formula>
    </cfRule>
    <cfRule type="expression" dxfId="6059" priority="191">
      <formula>AND(C$9&gt;=8/24,C$9&lt;14/24)</formula>
    </cfRule>
    <cfRule type="expression" dxfId="6058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057" priority="217">
      <formula>C$9&gt;=20/24</formula>
    </cfRule>
    <cfRule type="expression" dxfId="6056" priority="218">
      <formula>AND(C$9&gt;=14/24,C$9&lt;20/24)</formula>
    </cfRule>
    <cfRule type="expression" dxfId="6055" priority="219">
      <formula>AND(C$9&gt;=8/24,C$9&lt;14/24)</formula>
    </cfRule>
    <cfRule type="expression" dxfId="6054" priority="220">
      <formula>C$9&lt;8/24</formula>
    </cfRule>
  </conditionalFormatting>
  <conditionalFormatting sqref="A201">
    <cfRule type="expression" dxfId="6053" priority="221">
      <formula>$AH201=0</formula>
    </cfRule>
  </conditionalFormatting>
  <conditionalFormatting sqref="AG213">
    <cfRule type="expression" dxfId="6052" priority="222">
      <formula>B$9&gt;=20/24</formula>
    </cfRule>
    <cfRule type="expression" dxfId="6051" priority="223">
      <formula>AND(B$9&gt;=14/24,B$9&lt;20/24)</formula>
    </cfRule>
    <cfRule type="expression" dxfId="6050" priority="224">
      <formula>AND(B$9&gt;=8/24,B$9&lt;14/24)</formula>
    </cfRule>
    <cfRule type="expression" dxfId="6049" priority="225">
      <formula>B$9&lt;8/24</formula>
    </cfRule>
  </conditionalFormatting>
  <conditionalFormatting sqref="S8">
    <cfRule type="expression" dxfId="6048" priority="184">
      <formula>U$9&gt;=20/24</formula>
    </cfRule>
    <cfRule type="expression" dxfId="6047" priority="185">
      <formula>AND(U$9&gt;=14/24,U$9&lt;20/24)</formula>
    </cfRule>
    <cfRule type="expression" dxfId="6046" priority="186">
      <formula>AND(U$9&gt;=8/24,U$9&lt;14/24)</formula>
    </cfRule>
    <cfRule type="expression" dxfId="6045" priority="187">
      <formula>U$9&lt;8/24</formula>
    </cfRule>
  </conditionalFormatting>
  <conditionalFormatting sqref="AB8">
    <cfRule type="expression" dxfId="6044" priority="180">
      <formula>AD$9&gt;=20/24</formula>
    </cfRule>
    <cfRule type="expression" dxfId="6043" priority="181">
      <formula>AND(AD$9&gt;=14/24,AD$9&lt;20/24)</formula>
    </cfRule>
    <cfRule type="expression" dxfId="6042" priority="182">
      <formula>AND(AD$9&gt;=8/24,AD$9&lt;14/24)</formula>
    </cfRule>
    <cfRule type="expression" dxfId="6041" priority="183">
      <formula>AD$9&lt;8/24</formula>
    </cfRule>
  </conditionalFormatting>
  <conditionalFormatting sqref="AH213:AX213">
    <cfRule type="expression" dxfId="6040" priority="226">
      <formula>AG$9&gt;=20/24</formula>
    </cfRule>
    <cfRule type="expression" dxfId="6039" priority="227">
      <formula>AND(AG$9&gt;=14/24,AG$9&lt;20/24)</formula>
    </cfRule>
    <cfRule type="expression" dxfId="6038" priority="228">
      <formula>AND(AG$9&gt;=8/24,AG$9&lt;14/24)</formula>
    </cfRule>
    <cfRule type="expression" dxfId="6037" priority="229">
      <formula>AG$9&lt;8/24</formula>
    </cfRule>
  </conditionalFormatting>
  <conditionalFormatting sqref="T213">
    <cfRule type="expression" dxfId="6036" priority="230">
      <formula>AX$9&gt;=20/24</formula>
    </cfRule>
    <cfRule type="expression" dxfId="6035" priority="231">
      <formula>AND(AX$9&gt;=14/24,AX$9&lt;20/24)</formula>
    </cfRule>
    <cfRule type="expression" dxfId="6034" priority="232">
      <formula>AND(AX$9&gt;=8/24,AX$9&lt;14/24)</formula>
    </cfRule>
    <cfRule type="expression" dxfId="6033" priority="233">
      <formula>AX$9&lt;8/24</formula>
    </cfRule>
  </conditionalFormatting>
  <conditionalFormatting sqref="A99:A100">
    <cfRule type="expression" dxfId="6032" priority="179">
      <formula>$AH99=0</formula>
    </cfRule>
  </conditionalFormatting>
  <conditionalFormatting sqref="F11:I11 E40:L41 C57:AF57 AB36:AF36 S40:AF41">
    <cfRule type="expression" dxfId="6031" priority="175">
      <formula>C$9&gt;=20/24</formula>
    </cfRule>
    <cfRule type="expression" dxfId="6030" priority="176">
      <formula>AND(C$9&gt;=14/24,C$9&lt;20/24)</formula>
    </cfRule>
    <cfRule type="expression" dxfId="6029" priority="177">
      <formula>AND(C$9&gt;=8/24,C$9&lt;14/24)</formula>
    </cfRule>
    <cfRule type="expression" dxfId="6028" priority="178">
      <formula>C$9&lt;8/24</formula>
    </cfRule>
  </conditionalFormatting>
  <conditionalFormatting sqref="E39:L39 S39:AF39">
    <cfRule type="expression" dxfId="6027" priority="171">
      <formula>E$9&gt;=20/24</formula>
    </cfRule>
    <cfRule type="expression" dxfId="6026" priority="172">
      <formula>AND(E$9&gt;=14/24,E$9&lt;20/24)</formula>
    </cfRule>
    <cfRule type="expression" dxfId="6025" priority="173">
      <formula>AND(E$9&gt;=8/24,E$9&lt;14/24)</formula>
    </cfRule>
    <cfRule type="expression" dxfId="6024" priority="174">
      <formula>E$9&lt;8/24</formula>
    </cfRule>
  </conditionalFormatting>
  <conditionalFormatting sqref="F11:I11 E39:L41 AB36:AF36 S39:AF41">
    <cfRule type="expression" dxfId="6023" priority="170">
      <formula>E11&gt;$AG11</formula>
    </cfRule>
  </conditionalFormatting>
  <conditionalFormatting sqref="O11 C81:AF81 D58:S59 C69:AF72 I61:I62 D60:I60 J60:J62 O37:R37 K67:L67 K60:L63 F12:O14 P11:R14 M60:S67 V26:AA26 C53:AF56 T58:AF67 AB16:AF16 AB28:AF31 AB18:AF22 AB24:AF26 S12:AF14 C85:AF91">
    <cfRule type="expression" dxfId="6022" priority="166">
      <formula>C$9&gt;=20/24</formula>
    </cfRule>
    <cfRule type="expression" dxfId="6021" priority="167">
      <formula>AND(C$9&gt;=14/24,C$9&lt;20/24)</formula>
    </cfRule>
    <cfRule type="expression" dxfId="6020" priority="168">
      <formula>AND(C$9&gt;=8/24,C$9&lt;14/24)</formula>
    </cfRule>
    <cfRule type="expression" dxfId="6019" priority="169">
      <formula>C$9&lt;8/24</formula>
    </cfRule>
  </conditionalFormatting>
  <conditionalFormatting sqref="AB32:AF32">
    <cfRule type="expression" dxfId="6018" priority="162">
      <formula>AB$9&gt;=20/24</formula>
    </cfRule>
    <cfRule type="expression" dxfId="6017" priority="163">
      <formula>AND(AB$9&gt;=14/24,AB$9&lt;20/24)</formula>
    </cfRule>
    <cfRule type="expression" dxfId="6016" priority="164">
      <formula>AND(AB$9&gt;=8/24,AB$9&lt;14/24)</formula>
    </cfRule>
    <cfRule type="expression" dxfId="6015" priority="165">
      <formula>AB$9&lt;8/24</formula>
    </cfRule>
  </conditionalFormatting>
  <conditionalFormatting sqref="AB35:AF35">
    <cfRule type="expression" dxfId="6014" priority="158">
      <formula>AB$9&gt;=20/24</formula>
    </cfRule>
    <cfRule type="expression" dxfId="6013" priority="159">
      <formula>AND(AB$9&gt;=14/24,AB$9&lt;20/24)</formula>
    </cfRule>
    <cfRule type="expression" dxfId="6012" priority="160">
      <formula>AND(AB$9&gt;=8/24,AB$9&lt;14/24)</formula>
    </cfRule>
    <cfRule type="expression" dxfId="6011" priority="161">
      <formula>AB$9&lt;8/24</formula>
    </cfRule>
  </conditionalFormatting>
  <conditionalFormatting sqref="O11 C51:AF51 E42:L43 C37:R37 F12:O15 P11:R15 V26:AA26 S12:AA15 C53:AF56 AB34:AF35 AB18:AF22 AB12:AF16 AB24:AF32 AB42:AF43">
    <cfRule type="expression" dxfId="6010" priority="157">
      <formula>C11&gt;$AG11</formula>
    </cfRule>
  </conditionalFormatting>
  <conditionalFormatting sqref="AB34:AF34">
    <cfRule type="expression" dxfId="6009" priority="153">
      <formula>AB$9&gt;=20/24</formula>
    </cfRule>
    <cfRule type="expression" dxfId="6008" priority="154">
      <formula>AND(AB$9&gt;=14/24,AB$9&lt;20/24)</formula>
    </cfRule>
    <cfRule type="expression" dxfId="6007" priority="155">
      <formula>AND(AB$9&gt;=8/24,AB$9&lt;14/24)</formula>
    </cfRule>
    <cfRule type="expression" dxfId="6006" priority="156">
      <formula>AB$9&lt;8/24</formula>
    </cfRule>
  </conditionalFormatting>
  <conditionalFormatting sqref="F15:AF15">
    <cfRule type="expression" dxfId="6005" priority="149">
      <formula>F$9&gt;=20/24</formula>
    </cfRule>
    <cfRule type="expression" dxfId="6004" priority="150">
      <formula>AND(F$9&gt;=14/24,F$9&lt;20/24)</formula>
    </cfRule>
    <cfRule type="expression" dxfId="6003" priority="151">
      <formula>AND(F$9&gt;=8/24,F$9&lt;14/24)</formula>
    </cfRule>
    <cfRule type="expression" dxfId="6002" priority="152">
      <formula>F$9&lt;8/24</formula>
    </cfRule>
  </conditionalFormatting>
  <conditionalFormatting sqref="AB33:AF33">
    <cfRule type="expression" dxfId="6001" priority="145">
      <formula>AB$9&gt;=20/24</formula>
    </cfRule>
    <cfRule type="expression" dxfId="6000" priority="146">
      <formula>AND(AB$9&gt;=14/24,AB$9&lt;20/24)</formula>
    </cfRule>
    <cfRule type="expression" dxfId="5999" priority="147">
      <formula>AND(AB$9&gt;=8/24,AB$9&lt;14/24)</formula>
    </cfRule>
    <cfRule type="expression" dxfId="5998" priority="148">
      <formula>AB$9&lt;8/24</formula>
    </cfRule>
  </conditionalFormatting>
  <conditionalFormatting sqref="AB33:AF33">
    <cfRule type="expression" dxfId="5997" priority="144">
      <formula>AB33&gt;$AG33</formula>
    </cfRule>
  </conditionalFormatting>
  <conditionalFormatting sqref="S11:T11">
    <cfRule type="expression" dxfId="5996" priority="140">
      <formula>S$9&gt;=20/24</formula>
    </cfRule>
    <cfRule type="expression" dxfId="5995" priority="141">
      <formula>AND(S$9&gt;=14/24,S$9&lt;20/24)</formula>
    </cfRule>
    <cfRule type="expression" dxfId="5994" priority="142">
      <formula>AND(S$9&gt;=8/24,S$9&lt;14/24)</formula>
    </cfRule>
    <cfRule type="expression" dxfId="5993" priority="143">
      <formula>S$9&lt;8/24</formula>
    </cfRule>
  </conditionalFormatting>
  <conditionalFormatting sqref="AB44:AF50">
    <cfRule type="expression" dxfId="5992" priority="136">
      <formula>AB$9&gt;=20/24</formula>
    </cfRule>
    <cfRule type="expression" dxfId="5991" priority="137">
      <formula>AND(AB$9&gt;=14/24,AB$9&lt;20/24)</formula>
    </cfRule>
    <cfRule type="expression" dxfId="5990" priority="138">
      <formula>AND(AB$9&gt;=8/24,AB$9&lt;14/24)</formula>
    </cfRule>
    <cfRule type="expression" dxfId="5989" priority="139">
      <formula>AB$9&lt;8/24</formula>
    </cfRule>
  </conditionalFormatting>
  <conditionalFormatting sqref="AB44:AF50">
    <cfRule type="expression" dxfId="5988" priority="135">
      <formula>AB44&gt;$AG44</formula>
    </cfRule>
  </conditionalFormatting>
  <conditionalFormatting sqref="M39:R45 S42:U45 M46:U50 V42:AA50">
    <cfRule type="expression" dxfId="5987" priority="131">
      <formula>M$9&gt;=20/24</formula>
    </cfRule>
    <cfRule type="expression" dxfId="5986" priority="132">
      <formula>AND(M$9&gt;=14/24,M$9&lt;20/24)</formula>
    </cfRule>
    <cfRule type="expression" dxfId="5985" priority="133">
      <formula>AND(M$9&gt;=8/24,M$9&lt;14/24)</formula>
    </cfRule>
    <cfRule type="expression" dxfId="5984" priority="134">
      <formula>M$9&lt;8/24</formula>
    </cfRule>
  </conditionalFormatting>
  <conditionalFormatting sqref="M39:R45 S42:U45 M46:U50 V42:AA50">
    <cfRule type="expression" dxfId="5983" priority="130">
      <formula>M39&gt;$AG39</formula>
    </cfRule>
  </conditionalFormatting>
  <conditionalFormatting sqref="AB27:AF27">
    <cfRule type="expression" dxfId="5982" priority="126">
      <formula>AB$9&gt;=20/24</formula>
    </cfRule>
    <cfRule type="expression" dxfId="5981" priority="127">
      <formula>AND(AB$9&gt;=14/24,AB$9&lt;20/24)</formula>
    </cfRule>
    <cfRule type="expression" dxfId="5980" priority="128">
      <formula>AND(AB$9&gt;=8/24,AB$9&lt;14/24)</formula>
    </cfRule>
    <cfRule type="expression" dxfId="5979" priority="129">
      <formula>AB$9&lt;8/24</formula>
    </cfRule>
  </conditionalFormatting>
  <conditionalFormatting sqref="C11:E14 C16:E18 F16:U26 V16:AA25 AB17:AF17 AB23:AF23">
    <cfRule type="expression" dxfId="5978" priority="122">
      <formula>C$9&gt;=20/24</formula>
    </cfRule>
    <cfRule type="expression" dxfId="5977" priority="123">
      <formula>AND(C$9&gt;=14/24,C$9&lt;20/24)</formula>
    </cfRule>
    <cfRule type="expression" dxfId="5976" priority="124">
      <formula>AND(C$9&gt;=8/24,C$9&lt;14/24)</formula>
    </cfRule>
    <cfRule type="expression" dxfId="5975" priority="125">
      <formula>C$9&lt;8/24</formula>
    </cfRule>
  </conditionalFormatting>
  <conditionalFormatting sqref="C11:E18 F16:U26 V16:AA25 AB17:AF17 AB23:AF23">
    <cfRule type="expression" dxfId="5974" priority="113">
      <formula>C11&gt;$AG11</formula>
    </cfRule>
  </conditionalFormatting>
  <conditionalFormatting sqref="C15:E15">
    <cfRule type="expression" dxfId="5973" priority="105">
      <formula>C$9&gt;=20/24</formula>
    </cfRule>
    <cfRule type="expression" dxfId="5972" priority="106">
      <formula>AND(C$9&gt;=14/24,C$9&lt;20/24)</formula>
    </cfRule>
    <cfRule type="expression" dxfId="5971" priority="107">
      <formula>AND(C$9&gt;=8/24,C$9&lt;14/24)</formula>
    </cfRule>
    <cfRule type="expression" dxfId="5970" priority="108">
      <formula>C$9&lt;8/24</formula>
    </cfRule>
  </conditionalFormatting>
  <conditionalFormatting sqref="D40:D41">
    <cfRule type="expression" dxfId="5969" priority="96">
      <formula>D$9&gt;=20/24</formula>
    </cfRule>
    <cfRule type="expression" dxfId="5968" priority="97">
      <formula>AND(D$9&gt;=14/24,D$9&lt;20/24)</formula>
    </cfRule>
    <cfRule type="expression" dxfId="5967" priority="98">
      <formula>AND(D$9&gt;=8/24,D$9&lt;14/24)</formula>
    </cfRule>
    <cfRule type="expression" dxfId="5966" priority="99">
      <formula>D$9&lt;8/24</formula>
    </cfRule>
  </conditionalFormatting>
  <conditionalFormatting sqref="C39:D39">
    <cfRule type="expression" dxfId="5965" priority="92">
      <formula>C$9&gt;=20/24</formula>
    </cfRule>
    <cfRule type="expression" dxfId="5964" priority="93">
      <formula>AND(C$9&gt;=14/24,C$9&lt;20/24)</formula>
    </cfRule>
    <cfRule type="expression" dxfId="5963" priority="94">
      <formula>AND(C$9&gt;=8/24,C$9&lt;14/24)</formula>
    </cfRule>
    <cfRule type="expression" dxfId="5962" priority="95">
      <formula>C$9&lt;8/24</formula>
    </cfRule>
  </conditionalFormatting>
  <conditionalFormatting sqref="C39:D39 D40:D41">
    <cfRule type="expression" dxfId="5961" priority="91">
      <formula>C39&gt;$AG39</formula>
    </cfRule>
  </conditionalFormatting>
  <conditionalFormatting sqref="K64:L66">
    <cfRule type="expression" dxfId="5960" priority="87">
      <formula>K$9&gt;=20/24</formula>
    </cfRule>
    <cfRule type="expression" dxfId="5959" priority="88">
      <formula>AND(K$9&gt;=14/24,K$9&lt;20/24)</formula>
    </cfRule>
    <cfRule type="expression" dxfId="5958" priority="89">
      <formula>AND(K$9&gt;=8/24,K$9&lt;14/24)</formula>
    </cfRule>
    <cfRule type="expression" dxfId="5957" priority="90">
      <formula>K$9&lt;8/24</formula>
    </cfRule>
  </conditionalFormatting>
  <conditionalFormatting sqref="D42:D43">
    <cfRule type="expression" dxfId="5956" priority="86">
      <formula>D42&gt;$AG42</formula>
    </cfRule>
  </conditionalFormatting>
  <conditionalFormatting sqref="B94:B100 B11 B74:AF74 B82:AF82">
    <cfRule type="expression" dxfId="5955" priority="68">
      <formula>B$9&gt;=20/24</formula>
    </cfRule>
    <cfRule type="expression" dxfId="5954" priority="69">
      <formula>AND(B$9&gt;=14/24,B$9&lt;20/24)</formula>
    </cfRule>
    <cfRule type="expression" dxfId="5953" priority="70">
      <formula>AND(B$9&gt;=8/24,B$9&lt;14/24)</formula>
    </cfRule>
    <cfRule type="expression" dxfId="5952" priority="71">
      <formula>B$9&lt;8/24</formula>
    </cfRule>
  </conditionalFormatting>
  <conditionalFormatting sqref="B37">
    <cfRule type="expression" dxfId="5951" priority="64">
      <formula>B$9&gt;=20/24</formula>
    </cfRule>
    <cfRule type="expression" dxfId="5950" priority="65">
      <formula>AND(B$9&gt;=14/24,B$9&lt;20/24)</formula>
    </cfRule>
    <cfRule type="expression" dxfId="5949" priority="66">
      <formula>AND(B$9&gt;=8/24,B$9&lt;14/24)</formula>
    </cfRule>
    <cfRule type="expression" dxfId="5948" priority="67">
      <formula>B$9&lt;8/24</formula>
    </cfRule>
  </conditionalFormatting>
  <conditionalFormatting sqref="B37 B11">
    <cfRule type="expression" dxfId="5947" priority="63">
      <formula>B11&gt;$AG11</formula>
    </cfRule>
  </conditionalFormatting>
  <conditionalFormatting sqref="B84">
    <cfRule type="expression" dxfId="5946" priority="59">
      <formula>B$9&gt;=20/24</formula>
    </cfRule>
    <cfRule type="expression" dxfId="5945" priority="60">
      <formula>AND(B$9&gt;=14/24,B$9&lt;20/24)</formula>
    </cfRule>
    <cfRule type="expression" dxfId="5944" priority="61">
      <formula>AND(B$9&gt;=8/24,B$9&lt;14/24)</formula>
    </cfRule>
    <cfRule type="expression" dxfId="5943" priority="62">
      <formula>B$9&lt;8/24</formula>
    </cfRule>
  </conditionalFormatting>
  <conditionalFormatting sqref="B57 B40:C41 B36:AA36">
    <cfRule type="expression" dxfId="5942" priority="55">
      <formula>B$9&gt;=20/24</formula>
    </cfRule>
    <cfRule type="expression" dxfId="5941" priority="56">
      <formula>AND(B$9&gt;=14/24,B$9&lt;20/24)</formula>
    </cfRule>
    <cfRule type="expression" dxfId="5940" priority="57">
      <formula>AND(B$9&gt;=8/24,B$9&lt;14/24)</formula>
    </cfRule>
    <cfRule type="expression" dxfId="5939" priority="58">
      <formula>B$9&lt;8/24</formula>
    </cfRule>
  </conditionalFormatting>
  <conditionalFormatting sqref="B39">
    <cfRule type="expression" dxfId="5938" priority="51">
      <formula>B$9&gt;=20/24</formula>
    </cfRule>
    <cfRule type="expression" dxfId="5937" priority="52">
      <formula>AND(B$9&gt;=14/24,B$9&lt;20/24)</formula>
    </cfRule>
    <cfRule type="expression" dxfId="5936" priority="53">
      <formula>AND(B$9&gt;=8/24,B$9&lt;14/24)</formula>
    </cfRule>
    <cfRule type="expression" dxfId="5935" priority="54">
      <formula>B$9&lt;8/24</formula>
    </cfRule>
  </conditionalFormatting>
  <conditionalFormatting sqref="B39:B41 C40:C41 B36:AA36">
    <cfRule type="expression" dxfId="5934" priority="50">
      <formula>B36&gt;$AG36</formula>
    </cfRule>
  </conditionalFormatting>
  <conditionalFormatting sqref="B85:B91 B12:B14 B16 B18:B22 B53:B56 B69:B73 B75:AF75 C73:AF73 B81 B83:AF83 B58:C67 C19:E22 B24:E26 D61:H67 I63:J67 B28:AA31">
    <cfRule type="expression" dxfId="5933" priority="46">
      <formula>B$9&gt;=20/24</formula>
    </cfRule>
    <cfRule type="expression" dxfId="5932" priority="47">
      <formula>AND(B$9&gt;=14/24,B$9&lt;20/24)</formula>
    </cfRule>
    <cfRule type="expression" dxfId="5931" priority="48">
      <formula>AND(B$9&gt;=8/24,B$9&lt;14/24)</formula>
    </cfRule>
    <cfRule type="expression" dxfId="5930" priority="49">
      <formula>B$9&lt;8/24</formula>
    </cfRule>
  </conditionalFormatting>
  <conditionalFormatting sqref="B32:AA32">
    <cfRule type="expression" dxfId="5929" priority="42">
      <formula>B$9&gt;=20/24</formula>
    </cfRule>
    <cfRule type="expression" dxfId="5928" priority="43">
      <formula>AND(B$9&gt;=14/24,B$9&lt;20/24)</formula>
    </cfRule>
    <cfRule type="expression" dxfId="5927" priority="44">
      <formula>AND(B$9&gt;=8/24,B$9&lt;14/24)</formula>
    </cfRule>
    <cfRule type="expression" dxfId="5926" priority="45">
      <formula>B$9&lt;8/24</formula>
    </cfRule>
  </conditionalFormatting>
  <conditionalFormatting sqref="B35:AA35">
    <cfRule type="expression" dxfId="5925" priority="38">
      <formula>B$9&gt;=20/24</formula>
    </cfRule>
    <cfRule type="expression" dxfId="5924" priority="39">
      <formula>AND(B$9&gt;=14/24,B$9&lt;20/24)</formula>
    </cfRule>
    <cfRule type="expression" dxfId="5923" priority="40">
      <formula>AND(B$9&gt;=8/24,B$9&lt;14/24)</formula>
    </cfRule>
    <cfRule type="expression" dxfId="5922" priority="41">
      <formula>B$9&lt;8/24</formula>
    </cfRule>
  </conditionalFormatting>
  <conditionalFormatting sqref="B12:B16 B18:B22 B51:B56 B38:AF38 C52:AF52 B42:C43 C19:E22 B24:E32 F27:AA32 B34:AA35">
    <cfRule type="expression" dxfId="5921" priority="37">
      <formula>B12&gt;$AG12</formula>
    </cfRule>
  </conditionalFormatting>
  <conditionalFormatting sqref="B34:AA34">
    <cfRule type="expression" dxfId="5920" priority="33">
      <formula>B$9&gt;=20/24</formula>
    </cfRule>
    <cfRule type="expression" dxfId="5919" priority="34">
      <formula>AND(B$9&gt;=14/24,B$9&lt;20/24)</formula>
    </cfRule>
    <cfRule type="expression" dxfId="5918" priority="35">
      <formula>AND(B$9&gt;=8/24,B$9&lt;14/24)</formula>
    </cfRule>
    <cfRule type="expression" dxfId="5917" priority="36">
      <formula>B$9&lt;8/24</formula>
    </cfRule>
  </conditionalFormatting>
  <conditionalFormatting sqref="B15">
    <cfRule type="expression" dxfId="5916" priority="29">
      <formula>B$9&gt;=20/24</formula>
    </cfRule>
    <cfRule type="expression" dxfId="5915" priority="30">
      <formula>AND(B$9&gt;=14/24,B$9&lt;20/24)</formula>
    </cfRule>
    <cfRule type="expression" dxfId="5914" priority="31">
      <formula>AND(B$9&gt;=8/24,B$9&lt;14/24)</formula>
    </cfRule>
    <cfRule type="expression" dxfId="5913" priority="32">
      <formula>B$9&lt;8/24</formula>
    </cfRule>
  </conditionalFormatting>
  <conditionalFormatting sqref="B33:AA33">
    <cfRule type="expression" dxfId="5912" priority="25">
      <formula>B$9&gt;=20/24</formula>
    </cfRule>
    <cfRule type="expression" dxfId="5911" priority="26">
      <formula>AND(B$9&gt;=14/24,B$9&lt;20/24)</formula>
    </cfRule>
    <cfRule type="expression" dxfId="5910" priority="27">
      <formula>AND(B$9&gt;=8/24,B$9&lt;14/24)</formula>
    </cfRule>
    <cfRule type="expression" dxfId="5909" priority="28">
      <formula>B$9&lt;8/24</formula>
    </cfRule>
  </conditionalFormatting>
  <conditionalFormatting sqref="B33:AA33">
    <cfRule type="expression" dxfId="5908" priority="24">
      <formula>B33&gt;$AG33</formula>
    </cfRule>
  </conditionalFormatting>
  <conditionalFormatting sqref="B44:L50">
    <cfRule type="expression" dxfId="5907" priority="20">
      <formula>B$9&gt;=20/24</formula>
    </cfRule>
    <cfRule type="expression" dxfId="5906" priority="21">
      <formula>AND(B$9&gt;=14/24,B$9&lt;20/24)</formula>
    </cfRule>
    <cfRule type="expression" dxfId="5905" priority="22">
      <formula>AND(B$9&gt;=8/24,B$9&lt;14/24)</formula>
    </cfRule>
    <cfRule type="expression" dxfId="5904" priority="23">
      <formula>B$9&lt;8/24</formula>
    </cfRule>
  </conditionalFormatting>
  <conditionalFormatting sqref="B44:L50">
    <cfRule type="expression" dxfId="5903" priority="19">
      <formula>B44&gt;$AG44</formula>
    </cfRule>
  </conditionalFormatting>
  <conditionalFormatting sqref="B27:AA27">
    <cfRule type="expression" dxfId="5902" priority="15">
      <formula>B$9&gt;=20/24</formula>
    </cfRule>
    <cfRule type="expression" dxfId="5901" priority="16">
      <formula>AND(B$9&gt;=14/24,B$9&lt;20/24)</formula>
    </cfRule>
    <cfRule type="expression" dxfId="5900" priority="17">
      <formula>AND(B$9&gt;=8/24,B$9&lt;14/24)</formula>
    </cfRule>
    <cfRule type="expression" dxfId="5899" priority="18">
      <formula>B$9&lt;8/24</formula>
    </cfRule>
  </conditionalFormatting>
  <conditionalFormatting sqref="B17 B23:E23">
    <cfRule type="expression" dxfId="5898" priority="11">
      <formula>B$9&gt;=20/24</formula>
    </cfRule>
    <cfRule type="expression" dxfId="5897" priority="12">
      <formula>AND(B$9&gt;=14/24,B$9&lt;20/24)</formula>
    </cfRule>
    <cfRule type="expression" dxfId="5896" priority="13">
      <formula>AND(B$9&gt;=8/24,B$9&lt;14/24)</formula>
    </cfRule>
    <cfRule type="expression" dxfId="5895" priority="14">
      <formula>B$9&lt;8/24</formula>
    </cfRule>
  </conditionalFormatting>
  <conditionalFormatting sqref="B17 B23:E23">
    <cfRule type="expression" dxfId="5894" priority="10">
      <formula>B17&gt;$AG17</formula>
    </cfRule>
  </conditionalFormatting>
  <conditionalFormatting sqref="A33">
    <cfRule type="expression" dxfId="5893" priority="9">
      <formula>$AH33=0</formula>
    </cfRule>
  </conditionalFormatting>
  <conditionalFormatting sqref="B68:AF68">
    <cfRule type="expression" dxfId="5892" priority="5">
      <formula>B$9&gt;=20/24</formula>
    </cfRule>
    <cfRule type="expression" dxfId="5891" priority="6">
      <formula>AND(B$9&gt;=14/24,B$9&lt;20/24)</formula>
    </cfRule>
    <cfRule type="expression" dxfId="5890" priority="7">
      <formula>AND(B$9&gt;=8/24,B$9&lt;14/24)</formula>
    </cfRule>
    <cfRule type="expression" dxfId="5889" priority="8">
      <formula>B$9&lt;8/24</formula>
    </cfRule>
  </conditionalFormatting>
  <conditionalFormatting sqref="B76:AF80">
    <cfRule type="expression" dxfId="5888" priority="1">
      <formula>B$9&gt;=20/24</formula>
    </cfRule>
    <cfRule type="expression" dxfId="5887" priority="2">
      <formula>AND(B$9&gt;=14/24,B$9&lt;20/24)</formula>
    </cfRule>
    <cfRule type="expression" dxfId="5886" priority="3">
      <formula>AND(B$9&gt;=8/24,B$9&lt;14/24)</formula>
    </cfRule>
    <cfRule type="expression" dxfId="5885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W32" sqref="W3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2079/02/5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106.7</v>
      </c>
      <c r="C5" s="32">
        <f t="shared" si="0"/>
        <v>106.7</v>
      </c>
      <c r="D5" s="32">
        <f t="shared" si="0"/>
        <v>110</v>
      </c>
      <c r="E5" s="32">
        <f t="shared" si="0"/>
        <v>98</v>
      </c>
      <c r="F5" s="32">
        <f t="shared" si="0"/>
        <v>101</v>
      </c>
      <c r="G5" s="32">
        <f t="shared" si="0"/>
        <v>98</v>
      </c>
      <c r="H5" s="32">
        <f t="shared" si="0"/>
        <v>98</v>
      </c>
      <c r="I5" s="32">
        <f t="shared" si="0"/>
        <v>100</v>
      </c>
      <c r="J5" s="32">
        <f t="shared" si="0"/>
        <v>97</v>
      </c>
      <c r="K5" s="32">
        <f t="shared" si="0"/>
        <v>98</v>
      </c>
      <c r="L5" s="32">
        <f t="shared" si="0"/>
        <v>104.6</v>
      </c>
      <c r="M5" s="32">
        <f t="shared" si="0"/>
        <v>92</v>
      </c>
      <c r="N5" s="32">
        <f t="shared" si="0"/>
        <v>110.6</v>
      </c>
      <c r="O5" s="32">
        <f t="shared" si="0"/>
        <v>115.5</v>
      </c>
      <c r="P5" s="32">
        <f t="shared" si="0"/>
        <v>114.6</v>
      </c>
      <c r="Q5" s="32">
        <f t="shared" si="0"/>
        <v>102.6</v>
      </c>
      <c r="R5" s="32">
        <f t="shared" si="0"/>
        <v>91.7</v>
      </c>
      <c r="S5" s="32">
        <f t="shared" si="0"/>
        <v>105</v>
      </c>
      <c r="T5" s="32">
        <f t="shared" si="0"/>
        <v>99.5</v>
      </c>
      <c r="U5" s="32">
        <f t="shared" si="0"/>
        <v>96.9</v>
      </c>
      <c r="V5" s="32">
        <f t="shared" si="0"/>
        <v>97</v>
      </c>
      <c r="W5" s="32">
        <f t="shared" si="0"/>
        <v>95.9</v>
      </c>
      <c r="X5" s="32">
        <f t="shared" si="0"/>
        <v>107.6</v>
      </c>
      <c r="Y5" s="32">
        <f t="shared" si="0"/>
        <v>103.6</v>
      </c>
      <c r="Z5" s="32">
        <f t="shared" si="0"/>
        <v>80.3</v>
      </c>
      <c r="AA5" s="32">
        <f t="shared" si="0"/>
        <v>92.8</v>
      </c>
      <c r="AB5" s="32">
        <f t="shared" si="0"/>
        <v>83.8</v>
      </c>
      <c r="AC5" s="32">
        <f t="shared" si="0"/>
        <v>86.199999999999989</v>
      </c>
      <c r="AD5" s="32">
        <f t="shared" si="0"/>
        <v>107</v>
      </c>
      <c r="AE5" s="32">
        <f t="shared" si="0"/>
        <v>105.8</v>
      </c>
      <c r="AF5" s="32">
        <f>B68</f>
        <v>97.4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1701MW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Load=1567</v>
      </c>
      <c r="B7" s="37">
        <f>B75</f>
        <v>1597.1400000000003</v>
      </c>
      <c r="C7" s="37">
        <f t="shared" ref="C7:AF7" si="1">C75</f>
        <v>1601.8400000000004</v>
      </c>
      <c r="D7" s="37">
        <f t="shared" si="1"/>
        <v>1601.9400000000003</v>
      </c>
      <c r="E7" s="37">
        <f t="shared" si="1"/>
        <v>1642.4400000000003</v>
      </c>
      <c r="F7" s="37">
        <f t="shared" si="1"/>
        <v>1605.1400000000003</v>
      </c>
      <c r="G7" s="37">
        <f t="shared" si="1"/>
        <v>1606.5400000000002</v>
      </c>
      <c r="H7" s="37">
        <f t="shared" si="1"/>
        <v>1579.5400000000002</v>
      </c>
      <c r="I7" s="37">
        <f t="shared" si="1"/>
        <v>1629.4400000000003</v>
      </c>
      <c r="J7" s="37">
        <f t="shared" si="1"/>
        <v>1567.4400000000003</v>
      </c>
      <c r="K7" s="37">
        <f t="shared" si="1"/>
        <v>1587.5400000000002</v>
      </c>
      <c r="L7" s="37">
        <f t="shared" si="1"/>
        <v>1662.5400000000002</v>
      </c>
      <c r="M7" s="37">
        <f t="shared" si="1"/>
        <v>1654.44</v>
      </c>
      <c r="N7" s="37">
        <f t="shared" si="1"/>
        <v>1700.94</v>
      </c>
      <c r="O7" s="37">
        <f t="shared" si="1"/>
        <v>1713.44</v>
      </c>
      <c r="P7" s="37">
        <f t="shared" si="1"/>
        <v>1718.3400000000001</v>
      </c>
      <c r="Q7" s="37">
        <f t="shared" si="1"/>
        <v>1742.44</v>
      </c>
      <c r="R7" s="37">
        <f t="shared" si="1"/>
        <v>1730.44</v>
      </c>
      <c r="S7" s="37">
        <f t="shared" si="1"/>
        <v>1719.5400000000002</v>
      </c>
      <c r="T7" s="37">
        <f t="shared" si="1"/>
        <v>1709.14</v>
      </c>
      <c r="U7" s="37">
        <f t="shared" si="1"/>
        <v>1700.5400000000002</v>
      </c>
      <c r="V7" s="37">
        <f t="shared" si="1"/>
        <v>1627.8400000000001</v>
      </c>
      <c r="W7" s="37">
        <f t="shared" si="1"/>
        <v>1653.9399999999998</v>
      </c>
      <c r="X7" s="37">
        <f t="shared" si="1"/>
        <v>1652.84</v>
      </c>
      <c r="Y7" s="37">
        <f t="shared" si="1"/>
        <v>1624.5399999999997</v>
      </c>
      <c r="Z7" s="37">
        <f t="shared" si="1"/>
        <v>1632.5399999999997</v>
      </c>
      <c r="AA7" s="37">
        <f t="shared" si="1"/>
        <v>1715.4399999999998</v>
      </c>
      <c r="AB7" s="37">
        <f t="shared" si="1"/>
        <v>1767.24</v>
      </c>
      <c r="AC7" s="37">
        <f t="shared" si="1"/>
        <v>1759.44</v>
      </c>
      <c r="AD7" s="37">
        <f t="shared" si="1"/>
        <v>1761.8400000000001</v>
      </c>
      <c r="AE7" s="37">
        <f t="shared" si="1"/>
        <v>1743.1399999999999</v>
      </c>
      <c r="AF7" s="37">
        <f t="shared" si="1"/>
        <v>1670.6399999999999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400</v>
      </c>
      <c r="C11" s="49">
        <v>400</v>
      </c>
      <c r="D11" s="49">
        <v>400</v>
      </c>
      <c r="E11" s="49">
        <v>400</v>
      </c>
      <c r="F11" s="51">
        <v>390</v>
      </c>
      <c r="G11" s="51">
        <v>400</v>
      </c>
      <c r="H11" s="51">
        <v>380</v>
      </c>
      <c r="I11" s="51">
        <v>430</v>
      </c>
      <c r="J11" s="52">
        <v>370</v>
      </c>
      <c r="K11" s="52">
        <v>410</v>
      </c>
      <c r="L11" s="52">
        <v>456</v>
      </c>
      <c r="M11" s="51">
        <v>440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f>456-76</f>
        <v>380</v>
      </c>
      <c r="W11" s="51">
        <f>456-76</f>
        <v>380</v>
      </c>
      <c r="X11" s="51">
        <f>456-76</f>
        <v>380</v>
      </c>
      <c r="Y11" s="53">
        <v>340</v>
      </c>
      <c r="Z11" s="53">
        <v>360</v>
      </c>
      <c r="AA11" s="53">
        <v>456</v>
      </c>
      <c r="AB11" s="53">
        <v>456</v>
      </c>
      <c r="AC11" s="53">
        <v>456</v>
      </c>
      <c r="AD11" s="53">
        <v>456</v>
      </c>
      <c r="AE11" s="53">
        <v>400</v>
      </c>
      <c r="AF11" s="53">
        <v>400</v>
      </c>
      <c r="AG11" s="54">
        <v>456</v>
      </c>
      <c r="AH11" s="55">
        <f>MAX(B11:AF11)</f>
        <v>456</v>
      </c>
      <c r="AI11" s="56">
        <f>MIN(B11:AF11)</f>
        <v>340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52</v>
      </c>
      <c r="C13" s="51">
        <v>52</v>
      </c>
      <c r="D13" s="51">
        <v>52</v>
      </c>
      <c r="E13" s="51">
        <v>52</v>
      </c>
      <c r="F13" s="51">
        <v>54</v>
      </c>
      <c r="G13" s="51">
        <v>54</v>
      </c>
      <c r="H13" s="51">
        <v>54</v>
      </c>
      <c r="I13" s="51">
        <v>54</v>
      </c>
      <c r="J13" s="51">
        <v>54</v>
      </c>
      <c r="K13" s="51">
        <v>54</v>
      </c>
      <c r="L13" s="51">
        <v>54</v>
      </c>
      <c r="M13" s="51">
        <v>54.8</v>
      </c>
      <c r="N13" s="51">
        <v>54.8</v>
      </c>
      <c r="O13" s="51">
        <v>54.8</v>
      </c>
      <c r="P13" s="51">
        <v>54.8</v>
      </c>
      <c r="Q13" s="51">
        <v>54.8</v>
      </c>
      <c r="R13" s="51">
        <v>54.8</v>
      </c>
      <c r="S13" s="51">
        <v>54.8</v>
      </c>
      <c r="T13" s="51">
        <v>54.8</v>
      </c>
      <c r="U13" s="51">
        <v>54.8</v>
      </c>
      <c r="V13" s="51">
        <v>54.8</v>
      </c>
      <c r="W13" s="51">
        <v>54.8</v>
      </c>
      <c r="X13" s="51">
        <v>54.8</v>
      </c>
      <c r="Y13" s="51">
        <v>54.8</v>
      </c>
      <c r="Z13" s="51">
        <v>54.8</v>
      </c>
      <c r="AA13" s="51">
        <v>54.8</v>
      </c>
      <c r="AB13" s="51">
        <v>53.8</v>
      </c>
      <c r="AC13" s="51">
        <v>53.8</v>
      </c>
      <c r="AD13" s="51">
        <v>53.8</v>
      </c>
      <c r="AE13" s="51">
        <v>54</v>
      </c>
      <c r="AF13" s="51">
        <v>54</v>
      </c>
      <c r="AG13" s="59">
        <v>52.4</v>
      </c>
      <c r="AH13" s="55">
        <f t="shared" si="2"/>
        <v>54.8</v>
      </c>
      <c r="AI13" s="56">
        <f t="shared" si="3"/>
        <v>52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50.6</v>
      </c>
      <c r="C14" s="51">
        <v>50.6</v>
      </c>
      <c r="D14" s="51">
        <v>50.6</v>
      </c>
      <c r="E14" s="51">
        <v>50.6</v>
      </c>
      <c r="F14" s="51">
        <v>50.6</v>
      </c>
      <c r="G14" s="51">
        <v>50.6</v>
      </c>
      <c r="H14" s="51">
        <v>50.6</v>
      </c>
      <c r="I14" s="51">
        <v>50.6</v>
      </c>
      <c r="J14" s="51">
        <v>50.6</v>
      </c>
      <c r="K14" s="51">
        <v>50.6</v>
      </c>
      <c r="L14" s="51">
        <v>50.6</v>
      </c>
      <c r="M14" s="51">
        <v>50</v>
      </c>
      <c r="N14" s="51">
        <v>50</v>
      </c>
      <c r="O14" s="51">
        <v>50</v>
      </c>
      <c r="P14" s="51">
        <v>50</v>
      </c>
      <c r="Q14" s="51">
        <v>50</v>
      </c>
      <c r="R14" s="51">
        <v>50</v>
      </c>
      <c r="S14" s="51">
        <v>50</v>
      </c>
      <c r="T14" s="51">
        <v>50</v>
      </c>
      <c r="U14" s="51">
        <v>50</v>
      </c>
      <c r="V14" s="51">
        <v>50</v>
      </c>
      <c r="W14" s="51">
        <v>50</v>
      </c>
      <c r="X14" s="51">
        <v>50</v>
      </c>
      <c r="Y14" s="51">
        <v>50</v>
      </c>
      <c r="Z14" s="51">
        <v>50</v>
      </c>
      <c r="AA14" s="51">
        <v>50</v>
      </c>
      <c r="AB14" s="51">
        <v>50.6</v>
      </c>
      <c r="AC14" s="51">
        <v>50.6</v>
      </c>
      <c r="AD14" s="51">
        <v>50.6</v>
      </c>
      <c r="AE14" s="51">
        <v>50.3</v>
      </c>
      <c r="AF14" s="51">
        <v>50.4</v>
      </c>
      <c r="AG14" s="59">
        <v>50</v>
      </c>
      <c r="AH14" s="55">
        <f t="shared" si="2"/>
        <v>50.6</v>
      </c>
      <c r="AI14" s="56">
        <f t="shared" si="3"/>
        <v>50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45.6</v>
      </c>
      <c r="C15" s="51">
        <v>45.6</v>
      </c>
      <c r="D15" s="51">
        <v>45.6</v>
      </c>
      <c r="E15" s="51">
        <v>45.6</v>
      </c>
      <c r="F15" s="51">
        <v>45.6</v>
      </c>
      <c r="G15" s="51">
        <v>45.6</v>
      </c>
      <c r="H15" s="51">
        <v>45.6</v>
      </c>
      <c r="I15" s="51">
        <v>45.6</v>
      </c>
      <c r="J15" s="51">
        <v>45.6</v>
      </c>
      <c r="K15" s="51">
        <v>45.6</v>
      </c>
      <c r="L15" s="51">
        <v>45.6</v>
      </c>
      <c r="M15" s="51">
        <v>45.6</v>
      </c>
      <c r="N15" s="51">
        <v>45.6</v>
      </c>
      <c r="O15" s="51">
        <v>45.6</v>
      </c>
      <c r="P15" s="51">
        <v>45.6</v>
      </c>
      <c r="Q15" s="51">
        <v>45.6</v>
      </c>
      <c r="R15" s="51">
        <v>45.6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45.3</v>
      </c>
      <c r="AC15" s="51">
        <v>45.3</v>
      </c>
      <c r="AD15" s="51">
        <v>45.3</v>
      </c>
      <c r="AE15" s="51">
        <v>45.4</v>
      </c>
      <c r="AF15" s="51">
        <v>45.4</v>
      </c>
      <c r="AG15" s="60">
        <v>45</v>
      </c>
      <c r="AH15" s="55">
        <f t="shared" si="2"/>
        <v>45.6</v>
      </c>
      <c r="AI15" s="56">
        <f t="shared" si="3"/>
        <v>45.3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40</v>
      </c>
      <c r="D16" s="51">
        <v>40</v>
      </c>
      <c r="E16" s="51">
        <v>40</v>
      </c>
      <c r="F16" s="51">
        <v>40</v>
      </c>
      <c r="G16" s="51">
        <v>40</v>
      </c>
      <c r="H16" s="51">
        <v>40</v>
      </c>
      <c r="I16" s="51">
        <v>40</v>
      </c>
      <c r="J16" s="51">
        <v>40</v>
      </c>
      <c r="K16" s="51">
        <v>0</v>
      </c>
      <c r="L16" s="51">
        <v>0</v>
      </c>
      <c r="M16" s="51">
        <v>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0</v>
      </c>
      <c r="C18" s="51">
        <v>0</v>
      </c>
      <c r="D18" s="51">
        <v>0</v>
      </c>
      <c r="E18" s="51">
        <v>23</v>
      </c>
      <c r="F18" s="51">
        <v>23</v>
      </c>
      <c r="G18" s="51">
        <v>23</v>
      </c>
      <c r="H18" s="51">
        <v>23</v>
      </c>
      <c r="I18" s="51">
        <v>23</v>
      </c>
      <c r="J18" s="51">
        <v>23</v>
      </c>
      <c r="K18" s="51">
        <v>23</v>
      </c>
      <c r="L18" s="51">
        <v>23</v>
      </c>
      <c r="M18" s="51">
        <v>23</v>
      </c>
      <c r="N18" s="51">
        <v>23</v>
      </c>
      <c r="O18" s="51">
        <v>23</v>
      </c>
      <c r="P18" s="51">
        <v>23</v>
      </c>
      <c r="Q18" s="51">
        <v>23</v>
      </c>
      <c r="R18" s="51">
        <v>23</v>
      </c>
      <c r="S18" s="51">
        <v>23</v>
      </c>
      <c r="T18" s="51">
        <v>23</v>
      </c>
      <c r="U18" s="51">
        <v>23</v>
      </c>
      <c r="V18" s="51">
        <v>23</v>
      </c>
      <c r="W18" s="51">
        <v>23</v>
      </c>
      <c r="X18" s="51">
        <v>23</v>
      </c>
      <c r="Y18" s="51">
        <v>23</v>
      </c>
      <c r="Z18" s="51">
        <v>23</v>
      </c>
      <c r="AA18" s="51">
        <v>23</v>
      </c>
      <c r="AB18" s="51">
        <v>23</v>
      </c>
      <c r="AC18" s="51">
        <v>23</v>
      </c>
      <c r="AD18" s="51">
        <v>23</v>
      </c>
      <c r="AE18" s="51">
        <v>23</v>
      </c>
      <c r="AF18" s="51">
        <v>23</v>
      </c>
      <c r="AG18" s="59">
        <v>36</v>
      </c>
      <c r="AH18" s="55">
        <f t="shared" si="2"/>
        <v>23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25</v>
      </c>
      <c r="R19" s="51">
        <v>25</v>
      </c>
      <c r="S19" s="51">
        <v>25</v>
      </c>
      <c r="T19" s="51">
        <v>25</v>
      </c>
      <c r="U19" s="51">
        <v>25</v>
      </c>
      <c r="V19" s="51">
        <v>25</v>
      </c>
      <c r="W19" s="51">
        <v>25</v>
      </c>
      <c r="X19" s="51">
        <v>25</v>
      </c>
      <c r="Y19" s="51">
        <v>25</v>
      </c>
      <c r="Z19" s="51">
        <v>25</v>
      </c>
      <c r="AA19" s="51">
        <v>25</v>
      </c>
      <c r="AB19" s="51">
        <v>25</v>
      </c>
      <c r="AC19" s="51">
        <v>25</v>
      </c>
      <c r="AD19" s="51">
        <v>25</v>
      </c>
      <c r="AE19" s="51">
        <v>26.2</v>
      </c>
      <c r="AF19" s="51">
        <v>0</v>
      </c>
      <c r="AG19" s="59">
        <v>30</v>
      </c>
      <c r="AH19" s="55">
        <f t="shared" si="2"/>
        <v>26.2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5</v>
      </c>
      <c r="C20" s="51">
        <v>5</v>
      </c>
      <c r="D20" s="51">
        <v>5</v>
      </c>
      <c r="E20" s="51">
        <v>5</v>
      </c>
      <c r="F20" s="51">
        <v>5</v>
      </c>
      <c r="G20" s="51">
        <v>5</v>
      </c>
      <c r="H20" s="51">
        <v>5</v>
      </c>
      <c r="I20" s="51">
        <v>5</v>
      </c>
      <c r="J20" s="51">
        <v>5</v>
      </c>
      <c r="K20" s="51">
        <v>5</v>
      </c>
      <c r="L20" s="51">
        <v>5</v>
      </c>
      <c r="M20" s="51">
        <v>5</v>
      </c>
      <c r="N20" s="51">
        <v>5</v>
      </c>
      <c r="O20" s="51">
        <v>5</v>
      </c>
      <c r="P20" s="51">
        <v>5</v>
      </c>
      <c r="Q20" s="51">
        <v>5</v>
      </c>
      <c r="R20" s="51">
        <v>5</v>
      </c>
      <c r="S20" s="51">
        <v>5</v>
      </c>
      <c r="T20" s="51">
        <v>5</v>
      </c>
      <c r="U20" s="51">
        <v>5</v>
      </c>
      <c r="V20" s="51">
        <v>5</v>
      </c>
      <c r="W20" s="51">
        <v>5</v>
      </c>
      <c r="X20" s="51">
        <v>5</v>
      </c>
      <c r="Y20" s="51">
        <v>5</v>
      </c>
      <c r="Z20" s="51">
        <v>5</v>
      </c>
      <c r="AA20" s="51">
        <v>5</v>
      </c>
      <c r="AB20" s="51">
        <v>5</v>
      </c>
      <c r="AC20" s="51">
        <v>5</v>
      </c>
      <c r="AD20" s="51">
        <v>5</v>
      </c>
      <c r="AE20" s="51">
        <v>5</v>
      </c>
      <c r="AF20" s="51">
        <v>5</v>
      </c>
      <c r="AG20" s="59">
        <v>27</v>
      </c>
      <c r="AH20" s="55">
        <f t="shared" si="2"/>
        <v>5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12</v>
      </c>
      <c r="C21" s="51">
        <v>12</v>
      </c>
      <c r="D21" s="51">
        <v>12</v>
      </c>
      <c r="E21" s="51">
        <v>12</v>
      </c>
      <c r="F21" s="51">
        <v>12</v>
      </c>
      <c r="G21" s="51">
        <v>12</v>
      </c>
      <c r="H21" s="51">
        <v>12</v>
      </c>
      <c r="I21" s="51">
        <v>12</v>
      </c>
      <c r="J21" s="51">
        <v>12</v>
      </c>
      <c r="K21" s="51">
        <v>12</v>
      </c>
      <c r="L21" s="51">
        <v>12</v>
      </c>
      <c r="M21" s="51">
        <v>12</v>
      </c>
      <c r="N21" s="51">
        <v>12</v>
      </c>
      <c r="O21" s="51">
        <v>12</v>
      </c>
      <c r="P21" s="51">
        <v>12</v>
      </c>
      <c r="Q21" s="51">
        <v>12</v>
      </c>
      <c r="R21" s="51">
        <v>12</v>
      </c>
      <c r="S21" s="51">
        <v>12</v>
      </c>
      <c r="T21" s="51">
        <v>12</v>
      </c>
      <c r="U21" s="51">
        <v>12</v>
      </c>
      <c r="V21" s="51">
        <v>12</v>
      </c>
      <c r="W21" s="51">
        <v>12</v>
      </c>
      <c r="X21" s="51">
        <v>12</v>
      </c>
      <c r="Y21" s="51">
        <v>12</v>
      </c>
      <c r="Z21" s="51">
        <v>12</v>
      </c>
      <c r="AA21" s="51">
        <v>12</v>
      </c>
      <c r="AB21" s="51">
        <v>12</v>
      </c>
      <c r="AC21" s="51">
        <v>12</v>
      </c>
      <c r="AD21" s="51">
        <v>12</v>
      </c>
      <c r="AE21" s="51">
        <v>12</v>
      </c>
      <c r="AF21" s="51">
        <v>12</v>
      </c>
      <c r="AG21" s="59">
        <v>25</v>
      </c>
      <c r="AH21" s="55">
        <f t="shared" si="2"/>
        <v>12</v>
      </c>
      <c r="AI21" s="56">
        <f t="shared" si="3"/>
        <v>12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0</v>
      </c>
      <c r="C24" s="51">
        <v>0</v>
      </c>
      <c r="D24" s="51">
        <v>0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5</v>
      </c>
      <c r="D26" s="51">
        <v>5</v>
      </c>
      <c r="E26" s="51">
        <v>5</v>
      </c>
      <c r="F26" s="51">
        <v>5</v>
      </c>
      <c r="G26" s="51">
        <v>5</v>
      </c>
      <c r="H26" s="51">
        <v>5</v>
      </c>
      <c r="I26" s="51">
        <v>5</v>
      </c>
      <c r="J26" s="51">
        <v>5</v>
      </c>
      <c r="K26" s="51">
        <v>5</v>
      </c>
      <c r="L26" s="51">
        <v>5</v>
      </c>
      <c r="M26" s="51">
        <v>5</v>
      </c>
      <c r="N26" s="51">
        <v>5</v>
      </c>
      <c r="O26" s="51">
        <v>5</v>
      </c>
      <c r="P26" s="51">
        <v>5</v>
      </c>
      <c r="Q26" s="51">
        <v>5</v>
      </c>
      <c r="R26" s="51">
        <v>5</v>
      </c>
      <c r="S26" s="51">
        <v>5</v>
      </c>
      <c r="T26" s="51">
        <v>5</v>
      </c>
      <c r="U26" s="51">
        <v>5</v>
      </c>
      <c r="V26" s="51">
        <v>5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5</v>
      </c>
      <c r="AG26" s="59">
        <v>20</v>
      </c>
      <c r="AH26" s="55">
        <f t="shared" si="2"/>
        <v>10</v>
      </c>
      <c r="AI26" s="56">
        <f t="shared" si="3"/>
        <v>5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>
        <v>14.9</v>
      </c>
      <c r="AG27" s="59">
        <v>23.5</v>
      </c>
      <c r="AH27" s="55">
        <f t="shared" si="2"/>
        <v>14.9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12.5</v>
      </c>
      <c r="C29" s="51">
        <v>12.5</v>
      </c>
      <c r="D29" s="51">
        <v>12.5</v>
      </c>
      <c r="E29" s="51">
        <v>12.5</v>
      </c>
      <c r="F29" s="51">
        <v>12.5</v>
      </c>
      <c r="G29" s="51">
        <v>12.5</v>
      </c>
      <c r="H29" s="51">
        <v>12.5</v>
      </c>
      <c r="I29" s="51">
        <v>12.5</v>
      </c>
      <c r="J29" s="51">
        <v>12.5</v>
      </c>
      <c r="K29" s="51">
        <v>12.5</v>
      </c>
      <c r="L29" s="51">
        <v>12.5</v>
      </c>
      <c r="M29" s="51">
        <v>12.5</v>
      </c>
      <c r="N29" s="51">
        <v>12.5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12.5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8</v>
      </c>
      <c r="N30" s="51">
        <v>8</v>
      </c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51">
        <v>8</v>
      </c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8</v>
      </c>
      <c r="AB30" s="51">
        <v>8</v>
      </c>
      <c r="AC30" s="51">
        <v>8</v>
      </c>
      <c r="AD30" s="51">
        <v>8</v>
      </c>
      <c r="AE30" s="51">
        <v>8</v>
      </c>
      <c r="AF30" s="51">
        <v>8</v>
      </c>
      <c r="AG30" s="59">
        <v>22.1</v>
      </c>
      <c r="AH30" s="55">
        <f t="shared" si="2"/>
        <v>12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3.8</v>
      </c>
      <c r="X32" s="51">
        <v>3.8</v>
      </c>
      <c r="Y32" s="51">
        <v>3.8</v>
      </c>
      <c r="Z32" s="51">
        <v>3.8</v>
      </c>
      <c r="AA32" s="51">
        <v>3.8</v>
      </c>
      <c r="AB32" s="51">
        <v>3.8</v>
      </c>
      <c r="AC32" s="51">
        <v>3.8</v>
      </c>
      <c r="AD32" s="51">
        <v>3.8</v>
      </c>
      <c r="AE32" s="51">
        <v>3.8</v>
      </c>
      <c r="AF32" s="51">
        <v>3.8</v>
      </c>
      <c r="AG32" s="64">
        <v>22</v>
      </c>
      <c r="AH32" s="55">
        <f t="shared" si="2"/>
        <v>3.8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8.4</v>
      </c>
      <c r="C34" s="51">
        <v>8.4</v>
      </c>
      <c r="D34" s="51">
        <v>8.4</v>
      </c>
      <c r="E34" s="51">
        <v>8.4</v>
      </c>
      <c r="F34" s="51">
        <v>8.4</v>
      </c>
      <c r="G34" s="51">
        <v>8.4</v>
      </c>
      <c r="H34" s="51">
        <v>8.4</v>
      </c>
      <c r="I34" s="51">
        <v>8.4</v>
      </c>
      <c r="J34" s="51">
        <v>8.4</v>
      </c>
      <c r="K34" s="51">
        <v>8.4</v>
      </c>
      <c r="L34" s="51">
        <v>8.4</v>
      </c>
      <c r="M34" s="51">
        <v>8.4</v>
      </c>
      <c r="N34" s="51">
        <v>8.4</v>
      </c>
      <c r="O34" s="51">
        <v>8.4</v>
      </c>
      <c r="P34" s="51">
        <v>8.4</v>
      </c>
      <c r="Q34" s="51">
        <v>8.4</v>
      </c>
      <c r="R34" s="51">
        <v>8.4</v>
      </c>
      <c r="S34" s="51">
        <v>8.4</v>
      </c>
      <c r="T34" s="51">
        <v>8.4</v>
      </c>
      <c r="U34" s="51">
        <v>8.4</v>
      </c>
      <c r="V34" s="51">
        <v>8.4</v>
      </c>
      <c r="W34" s="51">
        <v>8.4</v>
      </c>
      <c r="X34" s="51">
        <v>8.4</v>
      </c>
      <c r="Y34" s="51">
        <v>8.4</v>
      </c>
      <c r="Z34" s="51">
        <v>8.4</v>
      </c>
      <c r="AA34" s="51">
        <v>8.4</v>
      </c>
      <c r="AB34" s="51">
        <v>8.4</v>
      </c>
      <c r="AC34" s="51">
        <v>8.4</v>
      </c>
      <c r="AD34" s="51">
        <v>8.4</v>
      </c>
      <c r="AE34" s="51">
        <v>8.4</v>
      </c>
      <c r="AF34" s="51">
        <v>8.4</v>
      </c>
      <c r="AG34" s="64">
        <v>20</v>
      </c>
      <c r="AH34" s="55">
        <f t="shared" si="2"/>
        <v>8.4</v>
      </c>
      <c r="AI34" s="56">
        <f t="shared" si="3"/>
        <v>8.4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51">
        <v>4</v>
      </c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4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32.4+86.3</f>
        <v>118.69999999999999</v>
      </c>
      <c r="C37" s="66">
        <f>32.3+88.3</f>
        <v>120.6</v>
      </c>
      <c r="D37" s="66">
        <f>33+93</f>
        <v>126</v>
      </c>
      <c r="E37" s="66">
        <v>126</v>
      </c>
      <c r="F37" s="66">
        <v>126</v>
      </c>
      <c r="G37" s="66">
        <f t="shared" ref="G37:L37" si="4">32+93</f>
        <v>125</v>
      </c>
      <c r="H37" s="66">
        <f t="shared" si="4"/>
        <v>125</v>
      </c>
      <c r="I37" s="66">
        <f t="shared" si="4"/>
        <v>125</v>
      </c>
      <c r="J37" s="66">
        <f t="shared" si="4"/>
        <v>125</v>
      </c>
      <c r="K37" s="66">
        <f t="shared" si="4"/>
        <v>125</v>
      </c>
      <c r="L37" s="66">
        <f t="shared" si="4"/>
        <v>125</v>
      </c>
      <c r="M37" s="66">
        <v>123</v>
      </c>
      <c r="N37" s="66">
        <v>124</v>
      </c>
      <c r="O37" s="66">
        <f>33.5+86</f>
        <v>119.5</v>
      </c>
      <c r="P37" s="66">
        <f t="shared" ref="P37:R37" si="5">33.5+86</f>
        <v>119.5</v>
      </c>
      <c r="Q37" s="66">
        <f t="shared" si="5"/>
        <v>119.5</v>
      </c>
      <c r="R37" s="66">
        <f t="shared" si="5"/>
        <v>119.5</v>
      </c>
      <c r="S37" s="68">
        <f>37.4+93.6</f>
        <v>131</v>
      </c>
      <c r="T37" s="68">
        <f>35.6+93.7</f>
        <v>129.30000000000001</v>
      </c>
      <c r="U37" s="68">
        <f>35.6+93.7</f>
        <v>129.30000000000001</v>
      </c>
      <c r="V37" s="68">
        <f>36.3+93</f>
        <v>129.30000000000001</v>
      </c>
      <c r="W37" s="68">
        <f>38+93</f>
        <v>131</v>
      </c>
      <c r="X37" s="68">
        <f>38.9+93</f>
        <v>131.9</v>
      </c>
      <c r="Y37" s="68">
        <f>38.4+93</f>
        <v>131.4</v>
      </c>
      <c r="Z37" s="68">
        <f>38.4+93</f>
        <v>131.4</v>
      </c>
      <c r="AA37" s="68">
        <f>38.4+93</f>
        <v>131.4</v>
      </c>
      <c r="AB37" s="68">
        <f>38.6+92.8</f>
        <v>131.4</v>
      </c>
      <c r="AC37" s="68">
        <f>37.7+92.8</f>
        <v>130.5</v>
      </c>
      <c r="AD37" s="68">
        <f>38.1+84.3</f>
        <v>122.4</v>
      </c>
      <c r="AE37" s="68">
        <f>38.5+95.4</f>
        <v>133.9</v>
      </c>
      <c r="AF37" s="68">
        <f>38.9+87.7</f>
        <v>126.6</v>
      </c>
      <c r="AG37" s="64">
        <v>240</v>
      </c>
      <c r="AH37" s="55">
        <f t="shared" si="2"/>
        <v>133.9</v>
      </c>
      <c r="AI37" s="56">
        <f t="shared" si="3"/>
        <v>118.69999999999999</v>
      </c>
      <c r="AK37" s="57"/>
    </row>
    <row r="38" spans="1:88" ht="15.75" thickBot="1" x14ac:dyDescent="0.3">
      <c r="A38" s="69" t="s">
        <v>46</v>
      </c>
      <c r="B38" s="70">
        <f>SUM(B11:B36)</f>
        <v>1086.3000000000002</v>
      </c>
      <c r="C38" s="70">
        <f t="shared" ref="C38:AF38" si="6">SUM(C11:C36)</f>
        <v>1086.3000000000002</v>
      </c>
      <c r="D38" s="70">
        <f t="shared" si="6"/>
        <v>1086.3000000000002</v>
      </c>
      <c r="E38" s="70">
        <f t="shared" si="6"/>
        <v>1131.3000000000002</v>
      </c>
      <c r="F38" s="70">
        <f t="shared" si="6"/>
        <v>1123.3000000000002</v>
      </c>
      <c r="G38" s="70">
        <f t="shared" si="6"/>
        <v>1133.3000000000002</v>
      </c>
      <c r="H38" s="70">
        <f t="shared" si="6"/>
        <v>1113.3000000000002</v>
      </c>
      <c r="I38" s="70">
        <f t="shared" si="6"/>
        <v>1163.3000000000002</v>
      </c>
      <c r="J38" s="70">
        <f t="shared" si="6"/>
        <v>1103.3000000000002</v>
      </c>
      <c r="K38" s="70">
        <f t="shared" si="6"/>
        <v>1103.3000000000002</v>
      </c>
      <c r="L38" s="70">
        <f t="shared" si="6"/>
        <v>1149.3000000000002</v>
      </c>
      <c r="M38" s="70">
        <f t="shared" si="6"/>
        <v>1129.5</v>
      </c>
      <c r="N38" s="70">
        <f t="shared" si="6"/>
        <v>1185.5</v>
      </c>
      <c r="O38" s="70">
        <f t="shared" si="6"/>
        <v>1173</v>
      </c>
      <c r="P38" s="70">
        <f t="shared" si="6"/>
        <v>1173</v>
      </c>
      <c r="Q38" s="70">
        <f t="shared" si="6"/>
        <v>1198</v>
      </c>
      <c r="R38" s="70">
        <f t="shared" si="6"/>
        <v>1198</v>
      </c>
      <c r="S38" s="70">
        <f t="shared" si="6"/>
        <v>1198</v>
      </c>
      <c r="T38" s="70">
        <f t="shared" si="6"/>
        <v>1198</v>
      </c>
      <c r="U38" s="70">
        <f t="shared" si="6"/>
        <v>1212.9000000000001</v>
      </c>
      <c r="V38" s="70">
        <f t="shared" si="6"/>
        <v>1136.9000000000001</v>
      </c>
      <c r="W38" s="70">
        <f t="shared" si="6"/>
        <v>1145.6999999999998</v>
      </c>
      <c r="X38" s="70">
        <f t="shared" si="6"/>
        <v>1145.6999999999998</v>
      </c>
      <c r="Y38" s="70">
        <f t="shared" si="6"/>
        <v>1105.6999999999998</v>
      </c>
      <c r="Z38" s="70">
        <f t="shared" si="6"/>
        <v>1125.6999999999998</v>
      </c>
      <c r="AA38" s="70">
        <f t="shared" si="6"/>
        <v>1221.6999999999998</v>
      </c>
      <c r="AB38" s="70">
        <f t="shared" si="6"/>
        <v>1221</v>
      </c>
      <c r="AC38" s="70">
        <f t="shared" si="6"/>
        <v>1221</v>
      </c>
      <c r="AD38" s="70">
        <f t="shared" si="6"/>
        <v>1221</v>
      </c>
      <c r="AE38" s="70">
        <f t="shared" si="6"/>
        <v>1166.1999999999998</v>
      </c>
      <c r="AF38" s="70">
        <f t="shared" si="6"/>
        <v>1135.0999999999999</v>
      </c>
      <c r="AG38" s="64">
        <f>SUM(AG11:AG37)</f>
        <v>1492.8299999999997</v>
      </c>
      <c r="AH38" s="55">
        <f t="shared" si="2"/>
        <v>1221.6999999999998</v>
      </c>
      <c r="AI38" s="56">
        <f t="shared" si="3"/>
        <v>1086.3000000000002</v>
      </c>
      <c r="AK38" s="57"/>
    </row>
    <row r="39" spans="1:88" x14ac:dyDescent="0.25">
      <c r="A39" s="58" t="s">
        <v>47</v>
      </c>
      <c r="B39" s="51">
        <v>145</v>
      </c>
      <c r="C39" s="51">
        <v>145</v>
      </c>
      <c r="D39" s="51">
        <v>145</v>
      </c>
      <c r="E39" s="51">
        <v>145</v>
      </c>
      <c r="F39" s="51">
        <v>144</v>
      </c>
      <c r="G39" s="51">
        <v>143.6</v>
      </c>
      <c r="H39" s="51">
        <v>143.6</v>
      </c>
      <c r="I39" s="51">
        <v>143.5</v>
      </c>
      <c r="J39" s="51">
        <v>143.5</v>
      </c>
      <c r="K39" s="51">
        <v>143.5</v>
      </c>
      <c r="L39" s="51">
        <v>143.5</v>
      </c>
      <c r="M39" s="51">
        <v>144.30000000000001</v>
      </c>
      <c r="N39" s="51">
        <v>144</v>
      </c>
      <c r="O39" s="51">
        <v>144</v>
      </c>
      <c r="P39" s="51">
        <v>144</v>
      </c>
      <c r="Q39" s="51">
        <v>144</v>
      </c>
      <c r="R39" s="51">
        <v>144</v>
      </c>
      <c r="S39" s="51">
        <v>144</v>
      </c>
      <c r="T39" s="51">
        <v>144</v>
      </c>
      <c r="U39" s="51">
        <v>144</v>
      </c>
      <c r="V39" s="51">
        <v>144</v>
      </c>
      <c r="W39" s="51">
        <v>144</v>
      </c>
      <c r="X39" s="51">
        <v>144</v>
      </c>
      <c r="Y39" s="51">
        <v>144</v>
      </c>
      <c r="Z39" s="51">
        <v>144</v>
      </c>
      <c r="AA39" s="51">
        <v>144</v>
      </c>
      <c r="AB39" s="51">
        <v>145.19999999999999</v>
      </c>
      <c r="AC39" s="51">
        <v>145.5</v>
      </c>
      <c r="AD39" s="51">
        <v>145.5</v>
      </c>
      <c r="AE39" s="51">
        <v>145.19999999999999</v>
      </c>
      <c r="AF39" s="51">
        <v>144.9</v>
      </c>
      <c r="AG39" s="60">
        <v>144</v>
      </c>
      <c r="AH39" s="55">
        <f t="shared" si="2"/>
        <v>145.5</v>
      </c>
      <c r="AI39" s="56">
        <f t="shared" si="3"/>
        <v>143.5</v>
      </c>
      <c r="AK39" s="57"/>
    </row>
    <row r="40" spans="1:88" x14ac:dyDescent="0.25">
      <c r="A40" s="63" t="s">
        <v>48</v>
      </c>
      <c r="B40" s="49">
        <v>71.5</v>
      </c>
      <c r="C40" s="49">
        <v>71.5</v>
      </c>
      <c r="D40" s="49">
        <v>71.5</v>
      </c>
      <c r="E40" s="49">
        <v>71.5</v>
      </c>
      <c r="F40" s="49">
        <v>60</v>
      </c>
      <c r="G40" s="49">
        <v>51</v>
      </c>
      <c r="H40" s="49">
        <v>46</v>
      </c>
      <c r="I40" s="49">
        <v>46</v>
      </c>
      <c r="J40" s="49">
        <v>42</v>
      </c>
      <c r="K40" s="49">
        <v>42</v>
      </c>
      <c r="L40" s="49">
        <v>70</v>
      </c>
      <c r="M40" s="51">
        <v>70.400000000000006</v>
      </c>
      <c r="N40" s="51">
        <v>70</v>
      </c>
      <c r="O40" s="51">
        <v>70</v>
      </c>
      <c r="P40" s="51">
        <v>70</v>
      </c>
      <c r="Q40" s="51">
        <v>70</v>
      </c>
      <c r="R40" s="51">
        <v>70</v>
      </c>
      <c r="S40" s="51">
        <v>70</v>
      </c>
      <c r="T40" s="51">
        <v>70</v>
      </c>
      <c r="U40" s="51">
        <v>70</v>
      </c>
      <c r="V40" s="51">
        <v>72</v>
      </c>
      <c r="W40" s="51">
        <v>72</v>
      </c>
      <c r="X40" s="51">
        <v>72</v>
      </c>
      <c r="Y40" s="51">
        <v>72</v>
      </c>
      <c r="Z40" s="51">
        <v>72</v>
      </c>
      <c r="AA40" s="51">
        <v>72</v>
      </c>
      <c r="AB40" s="51">
        <v>70.8</v>
      </c>
      <c r="AC40" s="49">
        <v>71.3</v>
      </c>
      <c r="AD40" s="49">
        <v>71.3</v>
      </c>
      <c r="AE40" s="49">
        <v>70.400000000000006</v>
      </c>
      <c r="AF40" s="49">
        <v>71.2</v>
      </c>
      <c r="AG40" s="64">
        <v>70</v>
      </c>
      <c r="AH40" s="55">
        <f t="shared" si="2"/>
        <v>72</v>
      </c>
      <c r="AI40" s="56">
        <f t="shared" si="3"/>
        <v>42</v>
      </c>
      <c r="AK40" s="57"/>
    </row>
    <row r="41" spans="1:88" x14ac:dyDescent="0.25">
      <c r="A41" s="63" t="s">
        <v>49</v>
      </c>
      <c r="B41" s="49">
        <v>45</v>
      </c>
      <c r="C41" s="49">
        <v>62.8</v>
      </c>
      <c r="D41" s="49">
        <v>62.8</v>
      </c>
      <c r="E41" s="49">
        <v>62.8</v>
      </c>
      <c r="F41" s="49">
        <v>58</v>
      </c>
      <c r="G41" s="49">
        <v>57</v>
      </c>
      <c r="H41" s="49">
        <v>58</v>
      </c>
      <c r="I41" s="49">
        <v>58</v>
      </c>
      <c r="J41" s="49">
        <v>58</v>
      </c>
      <c r="K41" s="49">
        <v>58</v>
      </c>
      <c r="L41" s="49">
        <v>58</v>
      </c>
      <c r="M41" s="51">
        <v>57.9</v>
      </c>
      <c r="N41" s="51">
        <v>57</v>
      </c>
      <c r="O41" s="51">
        <v>58.9</v>
      </c>
      <c r="P41" s="51">
        <v>58.9</v>
      </c>
      <c r="Q41" s="51">
        <v>58.9</v>
      </c>
      <c r="R41" s="51">
        <v>58.9</v>
      </c>
      <c r="S41" s="51">
        <v>58.9</v>
      </c>
      <c r="T41" s="51">
        <v>58.9</v>
      </c>
      <c r="U41" s="51">
        <v>40.9</v>
      </c>
      <c r="V41" s="51">
        <v>44.8</v>
      </c>
      <c r="W41" s="51">
        <v>62</v>
      </c>
      <c r="X41" s="51">
        <v>62</v>
      </c>
      <c r="Y41" s="51">
        <v>62</v>
      </c>
      <c r="Z41" s="51">
        <v>62</v>
      </c>
      <c r="AA41" s="51">
        <v>62</v>
      </c>
      <c r="AB41" s="51">
        <v>62</v>
      </c>
      <c r="AC41" s="49">
        <v>62.4</v>
      </c>
      <c r="AD41" s="49">
        <v>62.4</v>
      </c>
      <c r="AE41" s="49">
        <v>62</v>
      </c>
      <c r="AF41" s="49">
        <v>61.8</v>
      </c>
      <c r="AG41" s="64">
        <v>69</v>
      </c>
      <c r="AH41" s="55">
        <f t="shared" si="2"/>
        <v>62.8</v>
      </c>
      <c r="AI41" s="56">
        <f t="shared" si="3"/>
        <v>40.9</v>
      </c>
      <c r="AK41" s="57"/>
    </row>
    <row r="42" spans="1:88" x14ac:dyDescent="0.25">
      <c r="A42" s="63" t="s">
        <v>50</v>
      </c>
      <c r="B42" s="66">
        <v>61.2</v>
      </c>
      <c r="C42" s="66">
        <v>61.2</v>
      </c>
      <c r="D42" s="66">
        <v>61.2</v>
      </c>
      <c r="E42" s="66">
        <v>61.2</v>
      </c>
      <c r="F42" s="66">
        <v>61.2</v>
      </c>
      <c r="G42" s="66">
        <v>61.2</v>
      </c>
      <c r="H42" s="66">
        <v>61.2</v>
      </c>
      <c r="I42" s="66">
        <v>61.2</v>
      </c>
      <c r="J42" s="66">
        <v>61.2</v>
      </c>
      <c r="K42" s="66">
        <v>61.2</v>
      </c>
      <c r="L42" s="66">
        <v>61.2</v>
      </c>
      <c r="M42" s="51">
        <v>60</v>
      </c>
      <c r="N42" s="51">
        <v>60.9</v>
      </c>
      <c r="O42" s="51">
        <v>60.9</v>
      </c>
      <c r="P42" s="51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51">
        <v>60.9</v>
      </c>
      <c r="AB42" s="51">
        <v>60.9</v>
      </c>
      <c r="AC42" s="66">
        <v>60.9</v>
      </c>
      <c r="AD42" s="66">
        <v>60.9</v>
      </c>
      <c r="AE42" s="66">
        <v>61.2</v>
      </c>
      <c r="AF42" s="66">
        <v>60.9</v>
      </c>
      <c r="AG42" s="64">
        <v>60</v>
      </c>
      <c r="AH42" s="55">
        <f t="shared" si="2"/>
        <v>61.2</v>
      </c>
      <c r="AI42" s="56">
        <f t="shared" si="3"/>
        <v>60</v>
      </c>
      <c r="AK42" s="57"/>
    </row>
    <row r="43" spans="1:88" x14ac:dyDescent="0.25">
      <c r="A43" s="63" t="s">
        <v>51</v>
      </c>
      <c r="B43" s="66">
        <v>30</v>
      </c>
      <c r="C43" s="66">
        <v>7.6</v>
      </c>
      <c r="D43" s="66">
        <v>7.7</v>
      </c>
      <c r="E43" s="66">
        <v>7.7</v>
      </c>
      <c r="F43" s="66">
        <v>7.7</v>
      </c>
      <c r="G43" s="66">
        <v>6.5</v>
      </c>
      <c r="H43" s="66">
        <v>6.5</v>
      </c>
      <c r="I43" s="66">
        <v>6.5</v>
      </c>
      <c r="J43" s="66">
        <v>6.5</v>
      </c>
      <c r="K43" s="66">
        <v>20</v>
      </c>
      <c r="L43" s="66">
        <v>20</v>
      </c>
      <c r="M43" s="51">
        <v>21.2</v>
      </c>
      <c r="N43" s="51">
        <v>25</v>
      </c>
      <c r="O43" s="51">
        <v>29.5</v>
      </c>
      <c r="P43" s="51">
        <v>29.5</v>
      </c>
      <c r="Q43" s="51">
        <v>29.5</v>
      </c>
      <c r="R43" s="51">
        <v>29.5</v>
      </c>
      <c r="S43" s="51">
        <v>29.5</v>
      </c>
      <c r="T43" s="51">
        <v>5.8</v>
      </c>
      <c r="U43" s="51">
        <v>5.8</v>
      </c>
      <c r="V43" s="51">
        <v>5.8</v>
      </c>
      <c r="W43" s="51">
        <v>5.8</v>
      </c>
      <c r="X43" s="51">
        <v>5.8</v>
      </c>
      <c r="Y43" s="51">
        <v>5.8</v>
      </c>
      <c r="Z43" s="51">
        <v>5.8</v>
      </c>
      <c r="AA43" s="49">
        <v>16</v>
      </c>
      <c r="AB43" s="49">
        <v>16</v>
      </c>
      <c r="AC43" s="49">
        <v>16</v>
      </c>
      <c r="AD43" s="49">
        <v>16</v>
      </c>
      <c r="AE43" s="66">
        <v>29.7</v>
      </c>
      <c r="AF43" s="66">
        <v>29.3</v>
      </c>
      <c r="AG43" s="64">
        <v>30</v>
      </c>
      <c r="AH43" s="55">
        <f t="shared" si="2"/>
        <v>30</v>
      </c>
      <c r="AI43" s="56">
        <f t="shared" si="3"/>
        <v>5.8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49">
        <v>0</v>
      </c>
      <c r="AF44" s="49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16.600000000000001</v>
      </c>
      <c r="C45" s="49">
        <v>16.600000000000001</v>
      </c>
      <c r="D45" s="49">
        <v>16.600000000000001</v>
      </c>
      <c r="E45" s="49">
        <v>16.600000000000001</v>
      </c>
      <c r="F45" s="49">
        <v>16.600000000000001</v>
      </c>
      <c r="G45" s="49">
        <v>16.600000000000001</v>
      </c>
      <c r="H45" s="49">
        <v>16.600000000000001</v>
      </c>
      <c r="I45" s="49">
        <v>16.600000000000001</v>
      </c>
      <c r="J45" s="49">
        <v>16.600000000000001</v>
      </c>
      <c r="K45" s="49">
        <v>16.600000000000001</v>
      </c>
      <c r="L45" s="49">
        <v>16.600000000000001</v>
      </c>
      <c r="M45" s="51">
        <v>16.600000000000001</v>
      </c>
      <c r="N45" s="51">
        <v>16.600000000000001</v>
      </c>
      <c r="O45" s="51">
        <v>16.600000000000001</v>
      </c>
      <c r="P45" s="51">
        <v>16.600000000000001</v>
      </c>
      <c r="Q45" s="51">
        <v>16.600000000000001</v>
      </c>
      <c r="R45" s="51">
        <v>16.600000000000001</v>
      </c>
      <c r="S45" s="51">
        <v>16.600000000000001</v>
      </c>
      <c r="T45" s="51">
        <v>16.600000000000001</v>
      </c>
      <c r="U45" s="51">
        <v>16.600000000000001</v>
      </c>
      <c r="V45" s="51">
        <v>16.600000000000001</v>
      </c>
      <c r="W45" s="51">
        <v>16.600000000000001</v>
      </c>
      <c r="X45" s="51">
        <v>16.600000000000001</v>
      </c>
      <c r="Y45" s="51">
        <v>16.600000000000001</v>
      </c>
      <c r="Z45" s="51">
        <v>16.600000000000001</v>
      </c>
      <c r="AA45" s="51">
        <v>16.600000000000001</v>
      </c>
      <c r="AB45" s="51">
        <v>16.600000000000001</v>
      </c>
      <c r="AC45" s="51">
        <v>16.600000000000001</v>
      </c>
      <c r="AD45" s="51">
        <v>16.600000000000001</v>
      </c>
      <c r="AE45" s="49">
        <v>17</v>
      </c>
      <c r="AF45" s="49">
        <v>17.100000000000001</v>
      </c>
      <c r="AG45" s="64">
        <v>24</v>
      </c>
      <c r="AH45" s="55">
        <f t="shared" si="2"/>
        <v>17.100000000000001</v>
      </c>
      <c r="AI45" s="56">
        <f t="shared" si="3"/>
        <v>16.600000000000001</v>
      </c>
      <c r="AK45" s="57"/>
    </row>
    <row r="46" spans="1:88" x14ac:dyDescent="0.25">
      <c r="A46" s="63" t="s">
        <v>54</v>
      </c>
      <c r="B46" s="49">
        <v>2.4</v>
      </c>
      <c r="C46" s="49">
        <v>2.4</v>
      </c>
      <c r="D46" s="49">
        <v>2.4</v>
      </c>
      <c r="E46" s="49">
        <v>2.4</v>
      </c>
      <c r="F46" s="49">
        <v>2.4</v>
      </c>
      <c r="G46" s="49">
        <v>2.4</v>
      </c>
      <c r="H46" s="49">
        <v>2.4</v>
      </c>
      <c r="I46" s="49">
        <v>2.4</v>
      </c>
      <c r="J46" s="49">
        <v>2.4</v>
      </c>
      <c r="K46" s="49">
        <v>2.4</v>
      </c>
      <c r="L46" s="49">
        <v>2.4</v>
      </c>
      <c r="M46" s="51">
        <v>2.4</v>
      </c>
      <c r="N46" s="51">
        <v>2.4</v>
      </c>
      <c r="O46" s="51">
        <v>2.4</v>
      </c>
      <c r="P46" s="51">
        <v>2.4</v>
      </c>
      <c r="Q46" s="51">
        <v>2.4</v>
      </c>
      <c r="R46" s="51">
        <v>2.4</v>
      </c>
      <c r="S46" s="51">
        <v>2.4</v>
      </c>
      <c r="T46" s="51">
        <v>2.4</v>
      </c>
      <c r="U46" s="51">
        <v>2.4</v>
      </c>
      <c r="V46" s="51">
        <v>2.4</v>
      </c>
      <c r="W46" s="51">
        <v>2.4</v>
      </c>
      <c r="X46" s="51">
        <v>2.4</v>
      </c>
      <c r="Y46" s="51">
        <v>2.4</v>
      </c>
      <c r="Z46" s="51">
        <v>2.4</v>
      </c>
      <c r="AA46" s="51">
        <v>2.4</v>
      </c>
      <c r="AB46" s="51">
        <v>2.4</v>
      </c>
      <c r="AC46" s="51">
        <v>2.4</v>
      </c>
      <c r="AD46" s="51">
        <v>2.4</v>
      </c>
      <c r="AE46" s="49">
        <v>2.4</v>
      </c>
      <c r="AF46" s="49">
        <v>2.4</v>
      </c>
      <c r="AG46" s="64">
        <v>15</v>
      </c>
      <c r="AH46" s="55">
        <f t="shared" si="2"/>
        <v>2.4</v>
      </c>
      <c r="AI46" s="56">
        <f t="shared" si="3"/>
        <v>2.4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14</v>
      </c>
      <c r="C47" s="49">
        <v>14</v>
      </c>
      <c r="D47" s="49">
        <v>14</v>
      </c>
      <c r="E47" s="49">
        <v>14</v>
      </c>
      <c r="F47" s="49">
        <v>14</v>
      </c>
      <c r="G47" s="49">
        <v>14</v>
      </c>
      <c r="H47" s="49">
        <v>14</v>
      </c>
      <c r="I47" s="49">
        <v>14</v>
      </c>
      <c r="J47" s="49">
        <v>14</v>
      </c>
      <c r="K47" s="49">
        <v>14</v>
      </c>
      <c r="L47" s="49">
        <v>14</v>
      </c>
      <c r="M47" s="51">
        <v>10</v>
      </c>
      <c r="N47" s="51">
        <v>10</v>
      </c>
      <c r="O47" s="51">
        <v>10</v>
      </c>
      <c r="P47" s="51">
        <v>10</v>
      </c>
      <c r="Q47" s="51">
        <v>10</v>
      </c>
      <c r="R47" s="51">
        <v>10</v>
      </c>
      <c r="S47" s="51">
        <v>10</v>
      </c>
      <c r="T47" s="51">
        <v>10</v>
      </c>
      <c r="U47" s="51">
        <v>10</v>
      </c>
      <c r="V47" s="51">
        <v>10</v>
      </c>
      <c r="W47" s="51">
        <v>10</v>
      </c>
      <c r="X47" s="51">
        <v>10</v>
      </c>
      <c r="Y47" s="51">
        <v>10</v>
      </c>
      <c r="Z47" s="51">
        <v>10</v>
      </c>
      <c r="AA47" s="51">
        <v>10</v>
      </c>
      <c r="AB47" s="51">
        <v>10</v>
      </c>
      <c r="AC47" s="51">
        <v>10</v>
      </c>
      <c r="AD47" s="51">
        <v>10</v>
      </c>
      <c r="AE47" s="49">
        <v>12.3</v>
      </c>
      <c r="AF47" s="49">
        <v>12.5</v>
      </c>
      <c r="AG47" s="64">
        <v>14.1</v>
      </c>
      <c r="AH47" s="55">
        <f t="shared" si="2"/>
        <v>14</v>
      </c>
      <c r="AI47" s="56">
        <f t="shared" si="3"/>
        <v>10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13.3</v>
      </c>
      <c r="C48" s="49">
        <v>13.3</v>
      </c>
      <c r="D48" s="49">
        <v>13.3</v>
      </c>
      <c r="E48" s="49">
        <v>13.3</v>
      </c>
      <c r="F48" s="49">
        <v>13.3</v>
      </c>
      <c r="G48" s="49">
        <v>13.3</v>
      </c>
      <c r="H48" s="49">
        <v>13.3</v>
      </c>
      <c r="I48" s="49">
        <v>13.3</v>
      </c>
      <c r="J48" s="49">
        <v>13.3</v>
      </c>
      <c r="K48" s="49">
        <v>13.3</v>
      </c>
      <c r="L48" s="49">
        <v>13.3</v>
      </c>
      <c r="M48" s="51">
        <v>13.3</v>
      </c>
      <c r="N48" s="51">
        <v>13.3</v>
      </c>
      <c r="O48" s="51">
        <v>13.3</v>
      </c>
      <c r="P48" s="51">
        <v>13.3</v>
      </c>
      <c r="Q48" s="51">
        <v>13.3</v>
      </c>
      <c r="R48" s="51">
        <v>13.3</v>
      </c>
      <c r="S48" s="51">
        <v>13.3</v>
      </c>
      <c r="T48" s="51">
        <v>13.3</v>
      </c>
      <c r="U48" s="51">
        <v>13.3</v>
      </c>
      <c r="V48" s="51">
        <v>13.3</v>
      </c>
      <c r="W48" s="51">
        <v>13.3</v>
      </c>
      <c r="X48" s="51">
        <v>13.3</v>
      </c>
      <c r="Y48" s="51">
        <v>13.3</v>
      </c>
      <c r="Z48" s="51">
        <v>13.3</v>
      </c>
      <c r="AA48" s="51">
        <v>13.3</v>
      </c>
      <c r="AB48" s="51">
        <v>13.3</v>
      </c>
      <c r="AC48" s="51">
        <v>13.3</v>
      </c>
      <c r="AD48" s="51">
        <v>13.3</v>
      </c>
      <c r="AE48" s="49">
        <v>13.5</v>
      </c>
      <c r="AF48" s="49">
        <v>13.4</v>
      </c>
      <c r="AG48" s="64">
        <v>14</v>
      </c>
      <c r="AH48" s="55">
        <f t="shared" si="2"/>
        <v>13.5</v>
      </c>
      <c r="AI48" s="56">
        <f t="shared" si="3"/>
        <v>13.3</v>
      </c>
      <c r="AK48" s="57"/>
    </row>
    <row r="49" spans="1:37" x14ac:dyDescent="0.25">
      <c r="A49" s="63" t="s">
        <v>57</v>
      </c>
      <c r="B49" s="49">
        <v>7.8</v>
      </c>
      <c r="C49" s="49">
        <v>7.8</v>
      </c>
      <c r="D49" s="49">
        <v>7.8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9.6</v>
      </c>
      <c r="L49" s="49">
        <v>9.6</v>
      </c>
      <c r="M49" s="51">
        <v>9.6</v>
      </c>
      <c r="N49" s="51">
        <v>9.6</v>
      </c>
      <c r="O49" s="51">
        <v>9.6</v>
      </c>
      <c r="P49" s="51">
        <v>9.6</v>
      </c>
      <c r="Q49" s="51">
        <v>9.6</v>
      </c>
      <c r="R49" s="51">
        <v>9.6</v>
      </c>
      <c r="S49" s="51">
        <v>9.6</v>
      </c>
      <c r="T49" s="51">
        <v>9.6</v>
      </c>
      <c r="U49" s="51">
        <v>9.6</v>
      </c>
      <c r="V49" s="51">
        <v>9.6</v>
      </c>
      <c r="W49" s="51">
        <v>9.6</v>
      </c>
      <c r="X49" s="51">
        <v>9.6</v>
      </c>
      <c r="Y49" s="51">
        <v>9.6</v>
      </c>
      <c r="Z49" s="51">
        <v>9.6</v>
      </c>
      <c r="AA49" s="51">
        <v>9.6</v>
      </c>
      <c r="AB49" s="51">
        <v>9.6</v>
      </c>
      <c r="AC49" s="51">
        <v>9.6</v>
      </c>
      <c r="AD49" s="51">
        <v>9.6</v>
      </c>
      <c r="AE49" s="49">
        <v>9.6</v>
      </c>
      <c r="AF49" s="49">
        <v>9.6</v>
      </c>
      <c r="AG49" s="64">
        <v>10.050000000000001</v>
      </c>
      <c r="AH49" s="55">
        <f t="shared" si="2"/>
        <v>9.6</v>
      </c>
      <c r="AI49" s="56">
        <f t="shared" si="3"/>
        <v>0</v>
      </c>
      <c r="AK49" s="57"/>
    </row>
    <row r="50" spans="1:37" x14ac:dyDescent="0.25">
      <c r="A50" s="63" t="s">
        <v>58</v>
      </c>
      <c r="B50" s="49">
        <v>3.1</v>
      </c>
      <c r="C50" s="49">
        <v>3.1</v>
      </c>
      <c r="D50" s="49">
        <v>3.1</v>
      </c>
      <c r="E50" s="49">
        <v>3.1</v>
      </c>
      <c r="F50" s="49">
        <v>3.1</v>
      </c>
      <c r="G50" s="49">
        <v>3.1</v>
      </c>
      <c r="H50" s="49">
        <v>3.1</v>
      </c>
      <c r="I50" s="49">
        <v>3.1</v>
      </c>
      <c r="J50" s="49">
        <v>3.1</v>
      </c>
      <c r="K50" s="49">
        <v>3.1</v>
      </c>
      <c r="L50" s="49">
        <v>3.1</v>
      </c>
      <c r="M50" s="51">
        <v>3.1</v>
      </c>
      <c r="N50" s="51">
        <v>3.1</v>
      </c>
      <c r="O50" s="51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49">
        <v>3.1</v>
      </c>
      <c r="AF50" s="49">
        <v>3.1</v>
      </c>
      <c r="AG50" s="64">
        <v>6.2</v>
      </c>
      <c r="AH50" s="55">
        <f t="shared" si="2"/>
        <v>3.1</v>
      </c>
      <c r="AI50" s="56">
        <f t="shared" si="3"/>
        <v>3.1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413.44000000000005</v>
      </c>
      <c r="C52" s="70">
        <f t="shared" ref="C52:AF52" si="8">SUM(C39:C51)</f>
        <v>408.84000000000009</v>
      </c>
      <c r="D52" s="70">
        <f t="shared" si="8"/>
        <v>408.94000000000005</v>
      </c>
      <c r="E52" s="70">
        <f t="shared" si="8"/>
        <v>401.14000000000004</v>
      </c>
      <c r="F52" s="70">
        <f t="shared" si="8"/>
        <v>383.84000000000003</v>
      </c>
      <c r="G52" s="70">
        <f t="shared" si="8"/>
        <v>372.24000000000007</v>
      </c>
      <c r="H52" s="70">
        <f t="shared" si="8"/>
        <v>368.24000000000007</v>
      </c>
      <c r="I52" s="70">
        <f t="shared" si="8"/>
        <v>368.14000000000004</v>
      </c>
      <c r="J52" s="70">
        <f t="shared" si="8"/>
        <v>364.14000000000004</v>
      </c>
      <c r="K52" s="70">
        <f t="shared" si="8"/>
        <v>387.24000000000007</v>
      </c>
      <c r="L52" s="70">
        <f t="shared" si="8"/>
        <v>415.24000000000007</v>
      </c>
      <c r="M52" s="70">
        <f t="shared" si="8"/>
        <v>420.34000000000009</v>
      </c>
      <c r="N52" s="70">
        <f t="shared" si="8"/>
        <v>423.44000000000005</v>
      </c>
      <c r="O52" s="70">
        <f t="shared" si="8"/>
        <v>429.84000000000003</v>
      </c>
      <c r="P52" s="70">
        <f t="shared" si="8"/>
        <v>429.84000000000003</v>
      </c>
      <c r="Q52" s="70">
        <f t="shared" si="8"/>
        <v>429.84000000000003</v>
      </c>
      <c r="R52" s="70">
        <f t="shared" si="8"/>
        <v>429.84000000000003</v>
      </c>
      <c r="S52" s="70">
        <f t="shared" si="8"/>
        <v>429.84000000000003</v>
      </c>
      <c r="T52" s="70">
        <f t="shared" si="8"/>
        <v>406.14000000000004</v>
      </c>
      <c r="U52" s="70">
        <f t="shared" si="8"/>
        <v>388.1400000000001</v>
      </c>
      <c r="V52" s="70">
        <f t="shared" si="8"/>
        <v>394.04000000000008</v>
      </c>
      <c r="W52" s="70">
        <f t="shared" si="8"/>
        <v>411.24000000000007</v>
      </c>
      <c r="X52" s="70">
        <f t="shared" si="8"/>
        <v>411.24000000000007</v>
      </c>
      <c r="Y52" s="70">
        <f t="shared" si="8"/>
        <v>411.24000000000007</v>
      </c>
      <c r="Z52" s="70">
        <f t="shared" si="8"/>
        <v>403.24000000000007</v>
      </c>
      <c r="AA52" s="70">
        <f t="shared" si="8"/>
        <v>413.44000000000005</v>
      </c>
      <c r="AB52" s="70">
        <f t="shared" si="8"/>
        <v>413.44000000000005</v>
      </c>
      <c r="AC52" s="70">
        <f t="shared" si="8"/>
        <v>414.64000000000004</v>
      </c>
      <c r="AD52" s="70">
        <f t="shared" si="8"/>
        <v>414.64000000000004</v>
      </c>
      <c r="AE52" s="70">
        <f t="shared" si="8"/>
        <v>429.94000000000005</v>
      </c>
      <c r="AF52" s="70">
        <f t="shared" si="8"/>
        <v>429.74000000000007</v>
      </c>
      <c r="AG52" s="74">
        <f>SUM(AG39:AG51)</f>
        <v>489.91</v>
      </c>
      <c r="AH52" s="55">
        <f t="shared" si="2"/>
        <v>429.94000000000005</v>
      </c>
      <c r="AI52" s="56">
        <f t="shared" si="3"/>
        <v>364.14000000000004</v>
      </c>
      <c r="AK52" s="57"/>
    </row>
    <row r="53" spans="1:37" x14ac:dyDescent="0.25">
      <c r="A53" s="58" t="s">
        <v>61</v>
      </c>
      <c r="B53" s="51">
        <v>39.5</v>
      </c>
      <c r="C53" s="51">
        <v>0</v>
      </c>
      <c r="D53" s="51">
        <v>0</v>
      </c>
      <c r="E53" s="51">
        <v>20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19</v>
      </c>
      <c r="M53" s="51">
        <v>10</v>
      </c>
      <c r="N53" s="51">
        <v>22</v>
      </c>
      <c r="O53" s="51">
        <v>40</v>
      </c>
      <c r="P53" s="51">
        <v>40</v>
      </c>
      <c r="Q53" s="51">
        <v>40</v>
      </c>
      <c r="R53" s="51">
        <v>50</v>
      </c>
      <c r="S53" s="51">
        <v>38.799999999999997</v>
      </c>
      <c r="T53" s="51">
        <v>58.9</v>
      </c>
      <c r="U53" s="51">
        <v>58.9</v>
      </c>
      <c r="V53" s="51">
        <v>59.1</v>
      </c>
      <c r="W53" s="51">
        <v>49.2</v>
      </c>
      <c r="X53" s="51">
        <v>39.4</v>
      </c>
      <c r="Y53" s="51">
        <v>34</v>
      </c>
      <c r="Z53" s="51">
        <v>34</v>
      </c>
      <c r="AA53" s="51">
        <v>43.7</v>
      </c>
      <c r="AB53" s="51">
        <v>48.9</v>
      </c>
      <c r="AC53" s="51">
        <v>60</v>
      </c>
      <c r="AD53" s="51">
        <v>43.1</v>
      </c>
      <c r="AE53" s="51">
        <v>30.2</v>
      </c>
      <c r="AF53" s="51">
        <v>39.299999999999997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18.5</v>
      </c>
      <c r="C54" s="49">
        <v>0</v>
      </c>
      <c r="D54" s="49">
        <v>0</v>
      </c>
      <c r="E54" s="49">
        <v>7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7</v>
      </c>
      <c r="M54" s="49">
        <v>10.199999999999999</v>
      </c>
      <c r="N54" s="49">
        <v>10</v>
      </c>
      <c r="O54" s="49">
        <v>19.5</v>
      </c>
      <c r="P54" s="49">
        <v>19.5</v>
      </c>
      <c r="Q54" s="49">
        <v>19.5</v>
      </c>
      <c r="R54" s="49">
        <v>24.3</v>
      </c>
      <c r="S54" s="49">
        <v>22.2</v>
      </c>
      <c r="T54" s="49">
        <v>30.2</v>
      </c>
      <c r="U54" s="49">
        <v>30.2</v>
      </c>
      <c r="V54" s="49">
        <v>24.3</v>
      </c>
      <c r="W54" s="49">
        <v>24</v>
      </c>
      <c r="X54" s="49">
        <v>19.7</v>
      </c>
      <c r="Y54" s="49">
        <v>15</v>
      </c>
      <c r="Z54" s="49">
        <v>15</v>
      </c>
      <c r="AA54" s="49">
        <v>15.3</v>
      </c>
      <c r="AB54" s="49">
        <v>23.2</v>
      </c>
      <c r="AC54" s="49">
        <v>27.3</v>
      </c>
      <c r="AD54" s="49">
        <v>21.8</v>
      </c>
      <c r="AE54" s="49">
        <v>12.1</v>
      </c>
      <c r="AF54" s="49">
        <v>19.3</v>
      </c>
      <c r="AG54" s="64">
        <v>32</v>
      </c>
      <c r="AH54" s="55">
        <f t="shared" si="2"/>
        <v>30.2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6.8</v>
      </c>
      <c r="C55" s="75">
        <v>0</v>
      </c>
      <c r="D55" s="75">
        <v>0</v>
      </c>
      <c r="E55" s="75">
        <v>3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3</v>
      </c>
      <c r="M55" s="75">
        <v>3.7</v>
      </c>
      <c r="N55" s="75">
        <v>4</v>
      </c>
      <c r="O55" s="75">
        <v>7.1</v>
      </c>
      <c r="P55" s="75">
        <v>7.1</v>
      </c>
      <c r="Q55" s="75">
        <v>7.1</v>
      </c>
      <c r="R55" s="75">
        <v>8.9</v>
      </c>
      <c r="S55" s="75">
        <v>8.1</v>
      </c>
      <c r="T55" s="75">
        <v>11</v>
      </c>
      <c r="U55" s="75">
        <v>11</v>
      </c>
      <c r="V55" s="75">
        <v>8.9</v>
      </c>
      <c r="W55" s="75">
        <v>8.6999999999999993</v>
      </c>
      <c r="X55" s="75">
        <v>7.2</v>
      </c>
      <c r="Y55" s="75">
        <v>5.5</v>
      </c>
      <c r="Z55" s="75">
        <v>5.5</v>
      </c>
      <c r="AA55" s="75">
        <v>5.6</v>
      </c>
      <c r="AB55" s="75">
        <v>8.5</v>
      </c>
      <c r="AC55" s="75">
        <v>10</v>
      </c>
      <c r="AD55" s="75">
        <v>8</v>
      </c>
      <c r="AE55" s="75">
        <v>4.4000000000000004</v>
      </c>
      <c r="AF55" s="75">
        <v>7</v>
      </c>
      <c r="AG55" s="76">
        <v>14</v>
      </c>
      <c r="AH55" s="55">
        <f t="shared" si="2"/>
        <v>11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64.8</v>
      </c>
      <c r="C56" s="70">
        <f t="shared" si="9"/>
        <v>0</v>
      </c>
      <c r="D56" s="70">
        <f t="shared" si="9"/>
        <v>0</v>
      </c>
      <c r="E56" s="70">
        <f t="shared" si="9"/>
        <v>30</v>
      </c>
      <c r="F56" s="70">
        <f t="shared" si="9"/>
        <v>0</v>
      </c>
      <c r="G56" s="70">
        <f t="shared" si="9"/>
        <v>0</v>
      </c>
      <c r="H56" s="70">
        <f t="shared" si="9"/>
        <v>0</v>
      </c>
      <c r="I56" s="70">
        <f t="shared" si="9"/>
        <v>0</v>
      </c>
      <c r="J56" s="70">
        <f t="shared" si="9"/>
        <v>0</v>
      </c>
      <c r="K56" s="70">
        <f t="shared" si="9"/>
        <v>0</v>
      </c>
      <c r="L56" s="70">
        <f t="shared" si="9"/>
        <v>29</v>
      </c>
      <c r="M56" s="70">
        <f t="shared" si="9"/>
        <v>23.9</v>
      </c>
      <c r="N56" s="70">
        <f t="shared" si="9"/>
        <v>36</v>
      </c>
      <c r="O56" s="70">
        <f t="shared" si="9"/>
        <v>66.599999999999994</v>
      </c>
      <c r="P56" s="70">
        <f t="shared" si="9"/>
        <v>66.599999999999994</v>
      </c>
      <c r="Q56" s="70">
        <f t="shared" si="9"/>
        <v>66.599999999999994</v>
      </c>
      <c r="R56" s="70">
        <f t="shared" si="9"/>
        <v>83.2</v>
      </c>
      <c r="S56" s="70">
        <f t="shared" si="9"/>
        <v>69.099999999999994</v>
      </c>
      <c r="T56" s="70">
        <f t="shared" si="9"/>
        <v>100.1</v>
      </c>
      <c r="U56" s="70">
        <f t="shared" si="9"/>
        <v>100.1</v>
      </c>
      <c r="V56" s="70">
        <f t="shared" si="9"/>
        <v>92.300000000000011</v>
      </c>
      <c r="W56" s="70">
        <f t="shared" si="9"/>
        <v>81.900000000000006</v>
      </c>
      <c r="X56" s="70">
        <f t="shared" si="9"/>
        <v>66.3</v>
      </c>
      <c r="Y56" s="70">
        <f t="shared" si="9"/>
        <v>54.5</v>
      </c>
      <c r="Z56" s="70">
        <f t="shared" si="9"/>
        <v>54.5</v>
      </c>
      <c r="AA56" s="70">
        <f t="shared" si="9"/>
        <v>64.599999999999994</v>
      </c>
      <c r="AB56" s="70">
        <f t="shared" si="9"/>
        <v>80.599999999999994</v>
      </c>
      <c r="AC56" s="70">
        <f t="shared" si="9"/>
        <v>97.3</v>
      </c>
      <c r="AD56" s="70">
        <f t="shared" si="9"/>
        <v>72.900000000000006</v>
      </c>
      <c r="AE56" s="70">
        <f t="shared" si="9"/>
        <v>46.699999999999996</v>
      </c>
      <c r="AF56" s="70">
        <f t="shared" si="9"/>
        <v>65.599999999999994</v>
      </c>
      <c r="AG56" s="74">
        <f>SUM(AG53:AG55)</f>
        <v>106</v>
      </c>
      <c r="AH56" s="55">
        <f t="shared" si="2"/>
        <v>100.1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76.400000000000006</v>
      </c>
      <c r="C57" s="51">
        <v>75</v>
      </c>
      <c r="D57" s="51">
        <v>75</v>
      </c>
      <c r="E57" s="51">
        <v>72</v>
      </c>
      <c r="F57" s="51">
        <v>60</v>
      </c>
      <c r="G57" s="51">
        <v>59</v>
      </c>
      <c r="H57" s="51">
        <v>56</v>
      </c>
      <c r="I57" s="51">
        <v>58</v>
      </c>
      <c r="J57" s="51">
        <v>59</v>
      </c>
      <c r="K57" s="51">
        <v>59</v>
      </c>
      <c r="L57" s="51">
        <v>60</v>
      </c>
      <c r="M57" s="51">
        <v>62.9</v>
      </c>
      <c r="N57" s="51">
        <v>73</v>
      </c>
      <c r="O57" s="51">
        <v>68</v>
      </c>
      <c r="P57" s="51">
        <v>72.900000000000006</v>
      </c>
      <c r="Q57" s="51">
        <v>72</v>
      </c>
      <c r="R57" s="51">
        <v>60</v>
      </c>
      <c r="S57" s="51">
        <v>57.2</v>
      </c>
      <c r="T57" s="51">
        <v>70.5</v>
      </c>
      <c r="U57" s="51">
        <v>67</v>
      </c>
      <c r="V57" s="51">
        <v>68.7</v>
      </c>
      <c r="W57" s="51">
        <v>63.6</v>
      </c>
      <c r="X57" s="51">
        <v>59.3</v>
      </c>
      <c r="Y57" s="51">
        <v>69.8</v>
      </c>
      <c r="Z57" s="51">
        <v>68.5</v>
      </c>
      <c r="AA57" s="51">
        <v>42.9</v>
      </c>
      <c r="AB57" s="51">
        <v>62.8</v>
      </c>
      <c r="AC57" s="51">
        <v>56.3</v>
      </c>
      <c r="AD57" s="51">
        <v>57.3</v>
      </c>
      <c r="AE57" s="51">
        <v>78</v>
      </c>
      <c r="AF57" s="51">
        <v>77.8</v>
      </c>
      <c r="AG57" s="60"/>
      <c r="AH57" s="55">
        <f t="shared" si="2"/>
        <v>78</v>
      </c>
      <c r="AI57" s="56">
        <f t="shared" si="3"/>
        <v>42.9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-365</v>
      </c>
      <c r="C59" s="49">
        <v>-361.2</v>
      </c>
      <c r="D59" s="49">
        <v>-361.2</v>
      </c>
      <c r="E59" s="49">
        <v>-370</v>
      </c>
      <c r="F59" s="49">
        <v>-388</v>
      </c>
      <c r="G59" s="49">
        <v>-364</v>
      </c>
      <c r="H59" s="49">
        <v>-354</v>
      </c>
      <c r="I59" s="49">
        <v>-374</v>
      </c>
      <c r="J59" s="49">
        <v>-267</v>
      </c>
      <c r="K59" s="49">
        <v>-255</v>
      </c>
      <c r="L59" s="49">
        <v>-260</v>
      </c>
      <c r="M59" s="49">
        <v>-263</v>
      </c>
      <c r="N59" s="49">
        <v>-253</v>
      </c>
      <c r="O59" s="49">
        <v>-254.8</v>
      </c>
      <c r="P59" s="49">
        <v>-254.8</v>
      </c>
      <c r="Q59" s="49">
        <v>-250</v>
      </c>
      <c r="R59" s="49">
        <v>-250</v>
      </c>
      <c r="S59" s="49">
        <v>-214</v>
      </c>
      <c r="T59" s="49">
        <v>-256</v>
      </c>
      <c r="U59" s="49">
        <v>-219</v>
      </c>
      <c r="V59" s="49">
        <v>-206</v>
      </c>
      <c r="W59" s="49">
        <v>-258</v>
      </c>
      <c r="X59" s="49">
        <v>-294</v>
      </c>
      <c r="Y59" s="49">
        <v>-245</v>
      </c>
      <c r="Z59" s="49">
        <v>-244</v>
      </c>
      <c r="AA59" s="49">
        <v>-175</v>
      </c>
      <c r="AB59" s="49">
        <v>-188.8</v>
      </c>
      <c r="AC59" s="49">
        <v>-217.9</v>
      </c>
      <c r="AD59" s="49">
        <v>-246.8</v>
      </c>
      <c r="AE59" s="49">
        <v>-275</v>
      </c>
      <c r="AF59" s="49">
        <v>-274</v>
      </c>
      <c r="AG59" s="77"/>
      <c r="AH59" s="55">
        <f t="shared" si="2"/>
        <v>-175</v>
      </c>
      <c r="AI59" s="56">
        <f t="shared" si="3"/>
        <v>-388</v>
      </c>
      <c r="AK59" s="57"/>
    </row>
    <row r="60" spans="1:37" x14ac:dyDescent="0.25">
      <c r="A60" s="63" t="s">
        <v>68</v>
      </c>
      <c r="B60" s="78">
        <v>14</v>
      </c>
      <c r="C60" s="78">
        <v>24.7</v>
      </c>
      <c r="D60" s="78">
        <v>24.7</v>
      </c>
      <c r="E60" s="78">
        <v>31</v>
      </c>
      <c r="F60" s="78">
        <v>31</v>
      </c>
      <c r="G60" s="78">
        <v>35</v>
      </c>
      <c r="H60" s="78">
        <v>35</v>
      </c>
      <c r="I60" s="78">
        <v>33</v>
      </c>
      <c r="J60" s="78">
        <v>34</v>
      </c>
      <c r="K60" s="78">
        <v>31</v>
      </c>
      <c r="L60" s="78">
        <v>31</v>
      </c>
      <c r="M60" s="78">
        <v>34.700000000000003</v>
      </c>
      <c r="N60" s="78">
        <v>12</v>
      </c>
      <c r="O60" s="78">
        <v>35.6</v>
      </c>
      <c r="P60" s="78">
        <v>35.6</v>
      </c>
      <c r="Q60" s="78">
        <v>35.6</v>
      </c>
      <c r="R60" s="78">
        <v>35.6</v>
      </c>
      <c r="S60" s="78">
        <v>29.5</v>
      </c>
      <c r="T60" s="78">
        <v>29.5</v>
      </c>
      <c r="U60" s="78">
        <v>27.5</v>
      </c>
      <c r="V60" s="78">
        <v>23.2</v>
      </c>
      <c r="W60" s="78">
        <v>28.4</v>
      </c>
      <c r="X60" s="78">
        <v>31.6</v>
      </c>
      <c r="Y60" s="78">
        <v>32.799999999999997</v>
      </c>
      <c r="Z60" s="78">
        <v>30.1</v>
      </c>
      <c r="AA60" s="78">
        <v>32.4</v>
      </c>
      <c r="AB60" s="78">
        <v>25</v>
      </c>
      <c r="AC60" s="78">
        <v>22.5</v>
      </c>
      <c r="AD60" s="78">
        <v>23.9</v>
      </c>
      <c r="AE60" s="78">
        <v>24</v>
      </c>
      <c r="AF60" s="78">
        <v>23</v>
      </c>
      <c r="AG60" s="77"/>
      <c r="AH60" s="55">
        <f t="shared" si="2"/>
        <v>35.6</v>
      </c>
      <c r="AI60" s="56">
        <f t="shared" si="3"/>
        <v>12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9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9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2</v>
      </c>
      <c r="C66" s="81">
        <v>2</v>
      </c>
      <c r="D66" s="81">
        <v>2</v>
      </c>
      <c r="E66" s="81">
        <v>2</v>
      </c>
      <c r="F66" s="81">
        <v>2</v>
      </c>
      <c r="G66" s="81">
        <v>2</v>
      </c>
      <c r="H66" s="81">
        <v>2</v>
      </c>
      <c r="I66" s="81">
        <v>2</v>
      </c>
      <c r="J66" s="81">
        <v>2</v>
      </c>
      <c r="K66" s="81">
        <v>2</v>
      </c>
      <c r="L66" s="81">
        <v>2</v>
      </c>
      <c r="M66" s="81">
        <v>2</v>
      </c>
      <c r="N66" s="81">
        <v>2</v>
      </c>
      <c r="O66" s="81">
        <v>2</v>
      </c>
      <c r="P66" s="81">
        <v>2</v>
      </c>
      <c r="Q66" s="81">
        <v>2</v>
      </c>
      <c r="R66" s="81">
        <v>2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79">
        <v>0</v>
      </c>
      <c r="AG66" s="82"/>
      <c r="AH66" s="55">
        <f t="shared" si="2"/>
        <v>2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79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97.4</v>
      </c>
      <c r="C68" s="70">
        <f t="shared" ref="C68:AF68" si="10">SUMIF(C57:C67,"&gt;0")</f>
        <v>106.7</v>
      </c>
      <c r="D68" s="70">
        <f t="shared" si="10"/>
        <v>106.7</v>
      </c>
      <c r="E68" s="70">
        <f t="shared" si="10"/>
        <v>110</v>
      </c>
      <c r="F68" s="70">
        <f t="shared" si="10"/>
        <v>98</v>
      </c>
      <c r="G68" s="70">
        <f t="shared" si="10"/>
        <v>101</v>
      </c>
      <c r="H68" s="70">
        <f t="shared" si="10"/>
        <v>98</v>
      </c>
      <c r="I68" s="70">
        <f t="shared" si="10"/>
        <v>98</v>
      </c>
      <c r="J68" s="70">
        <f t="shared" si="10"/>
        <v>100</v>
      </c>
      <c r="K68" s="70">
        <f t="shared" si="10"/>
        <v>97</v>
      </c>
      <c r="L68" s="70">
        <f t="shared" si="10"/>
        <v>98</v>
      </c>
      <c r="M68" s="70">
        <f t="shared" si="10"/>
        <v>104.6</v>
      </c>
      <c r="N68" s="70">
        <f t="shared" si="10"/>
        <v>92</v>
      </c>
      <c r="O68" s="70">
        <f t="shared" si="10"/>
        <v>110.6</v>
      </c>
      <c r="P68" s="70">
        <f t="shared" si="10"/>
        <v>115.5</v>
      </c>
      <c r="Q68" s="70">
        <f t="shared" si="10"/>
        <v>114.6</v>
      </c>
      <c r="R68" s="70">
        <f t="shared" si="10"/>
        <v>102.6</v>
      </c>
      <c r="S68" s="70">
        <f t="shared" si="10"/>
        <v>91.7</v>
      </c>
      <c r="T68" s="70">
        <f t="shared" si="10"/>
        <v>105</v>
      </c>
      <c r="U68" s="70">
        <f t="shared" si="10"/>
        <v>99.5</v>
      </c>
      <c r="V68" s="70">
        <f t="shared" si="10"/>
        <v>96.9</v>
      </c>
      <c r="W68" s="70">
        <f t="shared" si="10"/>
        <v>97</v>
      </c>
      <c r="X68" s="70">
        <f t="shared" si="10"/>
        <v>95.9</v>
      </c>
      <c r="Y68" s="70">
        <f t="shared" si="10"/>
        <v>107.6</v>
      </c>
      <c r="Z68" s="70">
        <f t="shared" si="10"/>
        <v>103.6</v>
      </c>
      <c r="AA68" s="70">
        <f t="shared" si="10"/>
        <v>80.3</v>
      </c>
      <c r="AB68" s="70">
        <f t="shared" si="10"/>
        <v>92.8</v>
      </c>
      <c r="AC68" s="70">
        <f t="shared" si="10"/>
        <v>83.8</v>
      </c>
      <c r="AD68" s="70">
        <f t="shared" si="10"/>
        <v>86.199999999999989</v>
      </c>
      <c r="AE68" s="70">
        <f t="shared" si="10"/>
        <v>107</v>
      </c>
      <c r="AF68" s="70">
        <f t="shared" si="10"/>
        <v>105.8</v>
      </c>
      <c r="AG68" s="74">
        <f>SUM(AG57:AG67)</f>
        <v>0</v>
      </c>
      <c r="AH68" s="55">
        <f t="shared" si="2"/>
        <v>115.5</v>
      </c>
      <c r="AI68" s="56">
        <f t="shared" si="3"/>
        <v>80.3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1597.1400000000003</v>
      </c>
      <c r="C73" s="84">
        <f t="shared" ref="C73:AF73" si="11">C38+C52+C68+C72</f>
        <v>1601.8400000000004</v>
      </c>
      <c r="D73" s="84">
        <f t="shared" si="11"/>
        <v>1601.9400000000003</v>
      </c>
      <c r="E73" s="84">
        <f t="shared" si="11"/>
        <v>1642.4400000000003</v>
      </c>
      <c r="F73" s="84">
        <f t="shared" si="11"/>
        <v>1605.1400000000003</v>
      </c>
      <c r="G73" s="84">
        <f t="shared" si="11"/>
        <v>1606.5400000000002</v>
      </c>
      <c r="H73" s="84">
        <f t="shared" si="11"/>
        <v>1579.5400000000002</v>
      </c>
      <c r="I73" s="84">
        <f t="shared" si="11"/>
        <v>1629.4400000000003</v>
      </c>
      <c r="J73" s="84">
        <f t="shared" si="11"/>
        <v>1567.4400000000003</v>
      </c>
      <c r="K73" s="84">
        <f t="shared" si="11"/>
        <v>1587.5400000000002</v>
      </c>
      <c r="L73" s="84">
        <f t="shared" si="11"/>
        <v>1662.5400000000002</v>
      </c>
      <c r="M73" s="84">
        <f t="shared" si="11"/>
        <v>1654.44</v>
      </c>
      <c r="N73" s="84">
        <f t="shared" si="11"/>
        <v>1700.94</v>
      </c>
      <c r="O73" s="84">
        <f t="shared" si="11"/>
        <v>1713.44</v>
      </c>
      <c r="P73" s="84">
        <f t="shared" si="11"/>
        <v>1718.3400000000001</v>
      </c>
      <c r="Q73" s="84">
        <f t="shared" si="11"/>
        <v>1742.44</v>
      </c>
      <c r="R73" s="84">
        <f t="shared" si="11"/>
        <v>1730.44</v>
      </c>
      <c r="S73" s="84">
        <f t="shared" si="11"/>
        <v>1719.5400000000002</v>
      </c>
      <c r="T73" s="84">
        <f t="shared" si="11"/>
        <v>1709.14</v>
      </c>
      <c r="U73" s="84">
        <f t="shared" si="11"/>
        <v>1700.5400000000002</v>
      </c>
      <c r="V73" s="84">
        <f t="shared" si="11"/>
        <v>1627.8400000000001</v>
      </c>
      <c r="W73" s="84">
        <f t="shared" si="11"/>
        <v>1653.9399999999998</v>
      </c>
      <c r="X73" s="84">
        <f t="shared" si="11"/>
        <v>1652.84</v>
      </c>
      <c r="Y73" s="84">
        <f t="shared" si="11"/>
        <v>1624.5399999999997</v>
      </c>
      <c r="Z73" s="84">
        <f t="shared" si="11"/>
        <v>1632.5399999999997</v>
      </c>
      <c r="AA73" s="84">
        <f t="shared" si="11"/>
        <v>1715.4399999999998</v>
      </c>
      <c r="AB73" s="84">
        <f t="shared" si="11"/>
        <v>1727.24</v>
      </c>
      <c r="AC73" s="84">
        <f t="shared" si="11"/>
        <v>1719.44</v>
      </c>
      <c r="AD73" s="84">
        <f t="shared" si="11"/>
        <v>1721.8400000000001</v>
      </c>
      <c r="AE73" s="84">
        <f t="shared" si="11"/>
        <v>1703.1399999999999</v>
      </c>
      <c r="AF73" s="84">
        <f t="shared" si="11"/>
        <v>1670.6399999999999</v>
      </c>
      <c r="AG73" s="84">
        <f t="shared" ref="AG73" si="12">AG68+AG56+AG52+AG38+AG72</f>
        <v>2144.14</v>
      </c>
      <c r="AH73" s="55">
        <f t="shared" si="2"/>
        <v>1742.44</v>
      </c>
      <c r="AI73" s="56">
        <f t="shared" si="3"/>
        <v>1567.4400000000003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>
        <v>40</v>
      </c>
      <c r="AC74" s="86">
        <v>40</v>
      </c>
      <c r="AD74" s="86">
        <v>40</v>
      </c>
      <c r="AE74" s="86">
        <v>40</v>
      </c>
      <c r="AF74" s="86"/>
      <c r="AG74" s="74"/>
      <c r="AH74" s="55">
        <f t="shared" si="2"/>
        <v>40</v>
      </c>
      <c r="AI74" s="56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1597.1400000000003</v>
      </c>
      <c r="C75" s="84">
        <f t="shared" ref="C75:AF75" si="13">C73+C74</f>
        <v>1601.8400000000004</v>
      </c>
      <c r="D75" s="84">
        <f t="shared" si="13"/>
        <v>1601.9400000000003</v>
      </c>
      <c r="E75" s="84">
        <f t="shared" si="13"/>
        <v>1642.4400000000003</v>
      </c>
      <c r="F75" s="84">
        <f t="shared" si="13"/>
        <v>1605.1400000000003</v>
      </c>
      <c r="G75" s="84">
        <f t="shared" si="13"/>
        <v>1606.5400000000002</v>
      </c>
      <c r="H75" s="84">
        <f t="shared" si="13"/>
        <v>1579.5400000000002</v>
      </c>
      <c r="I75" s="84">
        <f t="shared" si="13"/>
        <v>1629.4400000000003</v>
      </c>
      <c r="J75" s="84">
        <f t="shared" si="13"/>
        <v>1567.4400000000003</v>
      </c>
      <c r="K75" s="84">
        <f t="shared" si="13"/>
        <v>1587.5400000000002</v>
      </c>
      <c r="L75" s="84">
        <f t="shared" si="13"/>
        <v>1662.5400000000002</v>
      </c>
      <c r="M75" s="84">
        <f t="shared" si="13"/>
        <v>1654.44</v>
      </c>
      <c r="N75" s="84">
        <f t="shared" si="13"/>
        <v>1700.94</v>
      </c>
      <c r="O75" s="84">
        <f t="shared" si="13"/>
        <v>1713.44</v>
      </c>
      <c r="P75" s="84">
        <f t="shared" si="13"/>
        <v>1718.3400000000001</v>
      </c>
      <c r="Q75" s="84">
        <f t="shared" si="13"/>
        <v>1742.44</v>
      </c>
      <c r="R75" s="84">
        <f t="shared" si="13"/>
        <v>1730.44</v>
      </c>
      <c r="S75" s="84">
        <f t="shared" si="13"/>
        <v>1719.5400000000002</v>
      </c>
      <c r="T75" s="84">
        <f t="shared" si="13"/>
        <v>1709.14</v>
      </c>
      <c r="U75" s="84">
        <f t="shared" si="13"/>
        <v>1700.5400000000002</v>
      </c>
      <c r="V75" s="84">
        <f t="shared" si="13"/>
        <v>1627.8400000000001</v>
      </c>
      <c r="W75" s="84">
        <f t="shared" si="13"/>
        <v>1653.9399999999998</v>
      </c>
      <c r="X75" s="84">
        <f t="shared" si="13"/>
        <v>1652.84</v>
      </c>
      <c r="Y75" s="84">
        <f t="shared" si="13"/>
        <v>1624.5399999999997</v>
      </c>
      <c r="Z75" s="84">
        <f t="shared" si="13"/>
        <v>1632.5399999999997</v>
      </c>
      <c r="AA75" s="84">
        <f t="shared" si="13"/>
        <v>1715.4399999999998</v>
      </c>
      <c r="AB75" s="84">
        <f t="shared" si="13"/>
        <v>1767.24</v>
      </c>
      <c r="AC75" s="84">
        <f t="shared" si="13"/>
        <v>1759.44</v>
      </c>
      <c r="AD75" s="84">
        <f t="shared" si="13"/>
        <v>1761.8400000000001</v>
      </c>
      <c r="AE75" s="84">
        <f t="shared" si="13"/>
        <v>1743.1399999999999</v>
      </c>
      <c r="AF75" s="84">
        <f t="shared" si="13"/>
        <v>1670.6399999999999</v>
      </c>
      <c r="AG75" s="74">
        <f>AG72+AG68+AG56+AG52+AG38+AG74</f>
        <v>2144.14</v>
      </c>
      <c r="AH75" s="55">
        <f t="shared" si="2"/>
        <v>1767.24</v>
      </c>
      <c r="AI75" s="56">
        <f t="shared" si="3"/>
        <v>1567.4400000000003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365</v>
      </c>
      <c r="C79" s="78">
        <f t="shared" ref="C79:AF79" si="19">IF(C59&lt;0,C59*-1,0)</f>
        <v>361.2</v>
      </c>
      <c r="D79" s="78">
        <f t="shared" si="19"/>
        <v>361.2</v>
      </c>
      <c r="E79" s="78">
        <f t="shared" si="19"/>
        <v>370</v>
      </c>
      <c r="F79" s="78">
        <f t="shared" si="19"/>
        <v>388</v>
      </c>
      <c r="G79" s="78">
        <f t="shared" si="19"/>
        <v>364</v>
      </c>
      <c r="H79" s="78">
        <f t="shared" si="19"/>
        <v>354</v>
      </c>
      <c r="I79" s="78">
        <f t="shared" si="19"/>
        <v>374</v>
      </c>
      <c r="J79" s="78">
        <f t="shared" si="19"/>
        <v>267</v>
      </c>
      <c r="K79" s="78">
        <f t="shared" si="19"/>
        <v>255</v>
      </c>
      <c r="L79" s="78">
        <f t="shared" si="19"/>
        <v>260</v>
      </c>
      <c r="M79" s="78">
        <f t="shared" si="19"/>
        <v>263</v>
      </c>
      <c r="N79" s="78">
        <f t="shared" si="19"/>
        <v>253</v>
      </c>
      <c r="O79" s="78">
        <f t="shared" si="19"/>
        <v>254.8</v>
      </c>
      <c r="P79" s="78">
        <f t="shared" si="19"/>
        <v>254.8</v>
      </c>
      <c r="Q79" s="78">
        <f t="shared" si="19"/>
        <v>250</v>
      </c>
      <c r="R79" s="78">
        <f t="shared" si="19"/>
        <v>250</v>
      </c>
      <c r="S79" s="78">
        <f t="shared" si="19"/>
        <v>214</v>
      </c>
      <c r="T79" s="78">
        <f t="shared" si="19"/>
        <v>256</v>
      </c>
      <c r="U79" s="78">
        <f t="shared" si="19"/>
        <v>219</v>
      </c>
      <c r="V79" s="78">
        <f t="shared" si="19"/>
        <v>206</v>
      </c>
      <c r="W79" s="78">
        <f t="shared" si="19"/>
        <v>258</v>
      </c>
      <c r="X79" s="78">
        <f t="shared" si="19"/>
        <v>294</v>
      </c>
      <c r="Y79" s="78">
        <f t="shared" si="19"/>
        <v>245</v>
      </c>
      <c r="Z79" s="78">
        <f t="shared" si="19"/>
        <v>244</v>
      </c>
      <c r="AA79" s="78">
        <f t="shared" si="19"/>
        <v>175</v>
      </c>
      <c r="AB79" s="78">
        <f t="shared" si="19"/>
        <v>188.8</v>
      </c>
      <c r="AC79" s="78">
        <f t="shared" si="19"/>
        <v>217.9</v>
      </c>
      <c r="AD79" s="78">
        <f t="shared" si="19"/>
        <v>246.8</v>
      </c>
      <c r="AE79" s="78">
        <f t="shared" si="19"/>
        <v>275</v>
      </c>
      <c r="AF79" s="78">
        <f t="shared" si="19"/>
        <v>274</v>
      </c>
      <c r="AG79" s="87"/>
      <c r="AH79" s="55">
        <f t="shared" si="15"/>
        <v>388</v>
      </c>
      <c r="AI79" s="56">
        <f t="shared" si="16"/>
        <v>175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365</v>
      </c>
      <c r="C82" s="70">
        <f t="shared" ref="C82:AG82" si="21">SUM(C76:C81)</f>
        <v>361.2</v>
      </c>
      <c r="D82" s="70">
        <f t="shared" si="21"/>
        <v>361.2</v>
      </c>
      <c r="E82" s="70">
        <f t="shared" si="21"/>
        <v>370</v>
      </c>
      <c r="F82" s="70">
        <f t="shared" si="21"/>
        <v>388</v>
      </c>
      <c r="G82" s="70">
        <f t="shared" si="21"/>
        <v>364</v>
      </c>
      <c r="H82" s="70">
        <f t="shared" si="21"/>
        <v>354</v>
      </c>
      <c r="I82" s="70">
        <f t="shared" si="21"/>
        <v>374</v>
      </c>
      <c r="J82" s="70">
        <f t="shared" si="21"/>
        <v>267</v>
      </c>
      <c r="K82" s="70">
        <f t="shared" si="21"/>
        <v>255</v>
      </c>
      <c r="L82" s="70">
        <f t="shared" si="21"/>
        <v>260</v>
      </c>
      <c r="M82" s="70">
        <f t="shared" si="21"/>
        <v>263</v>
      </c>
      <c r="N82" s="70">
        <f t="shared" si="21"/>
        <v>253</v>
      </c>
      <c r="O82" s="70">
        <f t="shared" si="21"/>
        <v>254.8</v>
      </c>
      <c r="P82" s="70">
        <f t="shared" si="21"/>
        <v>254.8</v>
      </c>
      <c r="Q82" s="70">
        <f t="shared" si="21"/>
        <v>250</v>
      </c>
      <c r="R82" s="70">
        <f t="shared" si="21"/>
        <v>250</v>
      </c>
      <c r="S82" s="70">
        <f t="shared" si="21"/>
        <v>214</v>
      </c>
      <c r="T82" s="70">
        <f t="shared" si="21"/>
        <v>256</v>
      </c>
      <c r="U82" s="70">
        <f t="shared" si="21"/>
        <v>219</v>
      </c>
      <c r="V82" s="70">
        <f t="shared" si="21"/>
        <v>206</v>
      </c>
      <c r="W82" s="70">
        <f t="shared" si="21"/>
        <v>258</v>
      </c>
      <c r="X82" s="70">
        <f t="shared" si="21"/>
        <v>294</v>
      </c>
      <c r="Y82" s="70">
        <f t="shared" si="21"/>
        <v>245</v>
      </c>
      <c r="Z82" s="70">
        <f t="shared" si="21"/>
        <v>244</v>
      </c>
      <c r="AA82" s="70">
        <f t="shared" si="21"/>
        <v>175</v>
      </c>
      <c r="AB82" s="70">
        <f t="shared" si="21"/>
        <v>188.8</v>
      </c>
      <c r="AC82" s="70">
        <f t="shared" si="21"/>
        <v>217.9</v>
      </c>
      <c r="AD82" s="70">
        <f t="shared" si="21"/>
        <v>246.8</v>
      </c>
      <c r="AE82" s="70">
        <f t="shared" si="21"/>
        <v>275</v>
      </c>
      <c r="AF82" s="70">
        <f t="shared" si="21"/>
        <v>274</v>
      </c>
      <c r="AG82" s="74">
        <f t="shared" si="21"/>
        <v>0</v>
      </c>
      <c r="AH82" s="55">
        <f t="shared" si="15"/>
        <v>388</v>
      </c>
      <c r="AI82" s="56">
        <f t="shared" si="16"/>
        <v>175</v>
      </c>
      <c r="AK82" s="57"/>
    </row>
    <row r="83" spans="1:88" s="1" customFormat="1" ht="15.75" thickBot="1" x14ac:dyDescent="0.3">
      <c r="A83" s="69" t="s">
        <v>88</v>
      </c>
      <c r="B83" s="70">
        <f>B68-B82</f>
        <v>-267.60000000000002</v>
      </c>
      <c r="C83" s="70">
        <f t="shared" ref="C83:AF83" si="22">C68-C82</f>
        <v>-254.5</v>
      </c>
      <c r="D83" s="70">
        <f t="shared" si="22"/>
        <v>-254.5</v>
      </c>
      <c r="E83" s="70">
        <f t="shared" si="22"/>
        <v>-260</v>
      </c>
      <c r="F83" s="70">
        <f t="shared" si="22"/>
        <v>-290</v>
      </c>
      <c r="G83" s="70">
        <f t="shared" si="22"/>
        <v>-263</v>
      </c>
      <c r="H83" s="70">
        <f t="shared" si="22"/>
        <v>-256</v>
      </c>
      <c r="I83" s="70">
        <f t="shared" si="22"/>
        <v>-276</v>
      </c>
      <c r="J83" s="70">
        <f t="shared" si="22"/>
        <v>-167</v>
      </c>
      <c r="K83" s="70">
        <f t="shared" si="22"/>
        <v>-158</v>
      </c>
      <c r="L83" s="70">
        <f t="shared" si="22"/>
        <v>-162</v>
      </c>
      <c r="M83" s="70">
        <f t="shared" si="22"/>
        <v>-158.4</v>
      </c>
      <c r="N83" s="70">
        <f t="shared" si="22"/>
        <v>-161</v>
      </c>
      <c r="O83" s="70">
        <f t="shared" si="22"/>
        <v>-144.20000000000002</v>
      </c>
      <c r="P83" s="70">
        <f t="shared" si="22"/>
        <v>-139.30000000000001</v>
      </c>
      <c r="Q83" s="70">
        <f t="shared" si="22"/>
        <v>-135.4</v>
      </c>
      <c r="R83" s="70">
        <f t="shared" si="22"/>
        <v>-147.4</v>
      </c>
      <c r="S83" s="70">
        <f t="shared" si="22"/>
        <v>-122.3</v>
      </c>
      <c r="T83" s="70">
        <f t="shared" si="22"/>
        <v>-151</v>
      </c>
      <c r="U83" s="70">
        <f t="shared" si="22"/>
        <v>-119.5</v>
      </c>
      <c r="V83" s="70">
        <f t="shared" si="22"/>
        <v>-109.1</v>
      </c>
      <c r="W83" s="70">
        <f t="shared" si="22"/>
        <v>-161</v>
      </c>
      <c r="X83" s="70">
        <f t="shared" si="22"/>
        <v>-198.1</v>
      </c>
      <c r="Y83" s="70">
        <f t="shared" si="22"/>
        <v>-137.4</v>
      </c>
      <c r="Z83" s="70">
        <f t="shared" si="22"/>
        <v>-140.4</v>
      </c>
      <c r="AA83" s="70">
        <f t="shared" si="22"/>
        <v>-94.7</v>
      </c>
      <c r="AB83" s="70">
        <f t="shared" si="22"/>
        <v>-96.000000000000014</v>
      </c>
      <c r="AC83" s="70">
        <f t="shared" si="22"/>
        <v>-134.10000000000002</v>
      </c>
      <c r="AD83" s="70">
        <f t="shared" si="22"/>
        <v>-160.60000000000002</v>
      </c>
      <c r="AE83" s="70">
        <f t="shared" si="22"/>
        <v>-168</v>
      </c>
      <c r="AF83" s="70">
        <f t="shared" si="22"/>
        <v>-168.2</v>
      </c>
      <c r="AG83" s="74">
        <f t="shared" ref="AG83" si="23">SUM(AG70:AG82)</f>
        <v>4360.08</v>
      </c>
      <c r="AH83" s="55">
        <f t="shared" si="15"/>
        <v>-94.7</v>
      </c>
      <c r="AI83" s="56">
        <f t="shared" si="16"/>
        <v>-290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50.070999999999998</v>
      </c>
      <c r="C84" s="90">
        <v>50.029000000000003</v>
      </c>
      <c r="D84" s="90">
        <v>50.029000000000003</v>
      </c>
      <c r="E84" s="90">
        <v>50.029000000000003</v>
      </c>
      <c r="F84" s="90">
        <v>50.02</v>
      </c>
      <c r="G84" s="90">
        <v>50.003999999999998</v>
      </c>
      <c r="H84" s="90">
        <v>50.003999999999998</v>
      </c>
      <c r="I84" s="90">
        <v>49.91</v>
      </c>
      <c r="J84" s="90">
        <v>50.021999999999998</v>
      </c>
      <c r="K84" s="90">
        <v>50.021999999999998</v>
      </c>
      <c r="L84" s="90">
        <v>49.966000000000001</v>
      </c>
      <c r="M84" s="90">
        <v>50.03</v>
      </c>
      <c r="N84" s="90">
        <v>50.033999999999999</v>
      </c>
      <c r="O84" s="90">
        <v>49.85</v>
      </c>
      <c r="P84" s="90">
        <v>49.87</v>
      </c>
      <c r="Q84" s="90">
        <v>49.98</v>
      </c>
      <c r="R84" s="90">
        <v>50.2</v>
      </c>
      <c r="S84" s="90">
        <v>50.046999999999997</v>
      </c>
      <c r="T84" s="90">
        <v>49.976999999999997</v>
      </c>
      <c r="U84" s="90">
        <v>50.140999999999998</v>
      </c>
      <c r="V84" s="90">
        <v>50.076999999999998</v>
      </c>
      <c r="W84" s="90">
        <v>49.948</v>
      </c>
      <c r="X84" s="90">
        <v>49.953000000000003</v>
      </c>
      <c r="Y84" s="90">
        <v>49.999000000000002</v>
      </c>
      <c r="Z84" s="90">
        <v>50.052999999999997</v>
      </c>
      <c r="AA84" s="90">
        <v>50.005000000000003</v>
      </c>
      <c r="AB84" s="90">
        <v>50.012</v>
      </c>
      <c r="AC84" s="90">
        <v>50.003999999999998</v>
      </c>
      <c r="AD84" s="90">
        <v>49.996000000000002</v>
      </c>
      <c r="AE84" s="90">
        <v>49.89</v>
      </c>
      <c r="AF84" s="90">
        <v>49.99</v>
      </c>
      <c r="AG84" s="91"/>
      <c r="AH84" s="55">
        <f t="shared" si="15"/>
        <v>50.2</v>
      </c>
      <c r="AI84" s="56">
        <f t="shared" si="16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126.3</v>
      </c>
      <c r="C85" s="49">
        <v>125.6</v>
      </c>
      <c r="D85" s="49">
        <v>125.6</v>
      </c>
      <c r="E85" s="49">
        <v>125.6</v>
      </c>
      <c r="F85" s="49">
        <v>126.6</v>
      </c>
      <c r="G85" s="49">
        <v>127</v>
      </c>
      <c r="H85" s="49">
        <v>127</v>
      </c>
      <c r="I85" s="49">
        <v>125</v>
      </c>
      <c r="J85" s="49">
        <v>124</v>
      </c>
      <c r="K85" s="49">
        <v>124</v>
      </c>
      <c r="L85" s="49">
        <v>125</v>
      </c>
      <c r="M85" s="49">
        <v>123.8</v>
      </c>
      <c r="N85" s="49">
        <v>123.8</v>
      </c>
      <c r="O85" s="49">
        <v>123.8</v>
      </c>
      <c r="P85" s="49">
        <v>123.4</v>
      </c>
      <c r="Q85" s="49">
        <v>123.8</v>
      </c>
      <c r="R85" s="49">
        <v>123.6</v>
      </c>
      <c r="S85" s="49">
        <v>123.4</v>
      </c>
      <c r="T85" s="49">
        <v>121.1</v>
      </c>
      <c r="U85" s="49">
        <v>122.8</v>
      </c>
      <c r="V85" s="49">
        <v>124.8</v>
      </c>
      <c r="W85" s="49">
        <v>125.8</v>
      </c>
      <c r="X85" s="49">
        <v>126.5</v>
      </c>
      <c r="Y85" s="49">
        <v>126.3</v>
      </c>
      <c r="Z85" s="49">
        <v>126.1</v>
      </c>
      <c r="AA85" s="49">
        <v>125</v>
      </c>
      <c r="AB85" s="49">
        <v>124.4</v>
      </c>
      <c r="AC85" s="49">
        <v>125.3</v>
      </c>
      <c r="AD85" s="49">
        <v>125.1</v>
      </c>
      <c r="AE85" s="49">
        <v>126.1</v>
      </c>
      <c r="AF85" s="49">
        <v>124.3</v>
      </c>
      <c r="AG85" s="93"/>
      <c r="AH85" s="55">
        <f t="shared" si="15"/>
        <v>127</v>
      </c>
      <c r="AI85" s="56">
        <f t="shared" si="16"/>
        <v>121.1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130.4</v>
      </c>
      <c r="C86" s="49">
        <v>129.5</v>
      </c>
      <c r="D86" s="49">
        <v>129.5</v>
      </c>
      <c r="E86" s="49">
        <v>129.5</v>
      </c>
      <c r="F86" s="49">
        <v>130</v>
      </c>
      <c r="G86" s="49">
        <v>131</v>
      </c>
      <c r="H86" s="49">
        <v>131</v>
      </c>
      <c r="I86" s="49">
        <v>131</v>
      </c>
      <c r="J86" s="49">
        <v>127</v>
      </c>
      <c r="K86" s="49">
        <v>127</v>
      </c>
      <c r="L86" s="49">
        <v>128</v>
      </c>
      <c r="M86" s="49">
        <v>126.9</v>
      </c>
      <c r="N86" s="49">
        <v>126.9</v>
      </c>
      <c r="O86" s="49">
        <v>123.8</v>
      </c>
      <c r="P86" s="49">
        <v>124</v>
      </c>
      <c r="Q86" s="49">
        <v>127.9</v>
      </c>
      <c r="R86" s="49">
        <v>127.9</v>
      </c>
      <c r="S86" s="49">
        <v>127.2</v>
      </c>
      <c r="T86" s="49">
        <v>125.5</v>
      </c>
      <c r="U86" s="49">
        <v>126.3</v>
      </c>
      <c r="V86" s="49">
        <v>128.30000000000001</v>
      </c>
      <c r="W86" s="49">
        <v>129.19999999999999</v>
      </c>
      <c r="X86" s="49">
        <v>129.5</v>
      </c>
      <c r="Y86" s="49">
        <v>129.5</v>
      </c>
      <c r="Z86" s="49">
        <v>129.19999999999999</v>
      </c>
      <c r="AA86" s="49">
        <v>128.19999999999999</v>
      </c>
      <c r="AB86" s="49">
        <v>128.30000000000001</v>
      </c>
      <c r="AC86" s="49">
        <v>129.4</v>
      </c>
      <c r="AD86" s="49">
        <v>129.69999999999999</v>
      </c>
      <c r="AE86" s="49">
        <v>130.30000000000001</v>
      </c>
      <c r="AF86" s="49">
        <v>129.30000000000001</v>
      </c>
      <c r="AG86" s="93"/>
      <c r="AH86" s="55">
        <f t="shared" si="15"/>
        <v>131</v>
      </c>
      <c r="AI86" s="56">
        <f t="shared" si="16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128.30000000000001</v>
      </c>
      <c r="C87" s="49">
        <v>129.9</v>
      </c>
      <c r="D87" s="49">
        <v>129.9</v>
      </c>
      <c r="E87" s="49">
        <v>129.9</v>
      </c>
      <c r="F87" s="49">
        <v>131</v>
      </c>
      <c r="G87" s="49">
        <v>130</v>
      </c>
      <c r="H87" s="49">
        <v>130</v>
      </c>
      <c r="I87" s="49">
        <v>130</v>
      </c>
      <c r="J87" s="49">
        <v>127</v>
      </c>
      <c r="K87" s="49">
        <v>127</v>
      </c>
      <c r="L87" s="49">
        <v>126</v>
      </c>
      <c r="M87" s="49">
        <v>125.1</v>
      </c>
      <c r="N87" s="49">
        <v>125.1</v>
      </c>
      <c r="O87" s="49">
        <v>123.8</v>
      </c>
      <c r="P87" s="49">
        <v>123.8</v>
      </c>
      <c r="Q87" s="49">
        <v>125.8</v>
      </c>
      <c r="R87" s="49">
        <v>125.8</v>
      </c>
      <c r="S87" s="49">
        <v>124.5</v>
      </c>
      <c r="T87" s="49">
        <v>126.4</v>
      </c>
      <c r="U87" s="49">
        <v>127.1</v>
      </c>
      <c r="V87" s="49">
        <v>128.69999999999999</v>
      </c>
      <c r="W87" s="49">
        <v>129</v>
      </c>
      <c r="X87" s="49">
        <v>129.6</v>
      </c>
      <c r="Y87" s="49">
        <v>128.69999999999999</v>
      </c>
      <c r="Z87" s="49">
        <v>128.19999999999999</v>
      </c>
      <c r="AA87" s="49">
        <v>127.3</v>
      </c>
      <c r="AB87" s="49">
        <v>126.6</v>
      </c>
      <c r="AC87" s="49">
        <v>126.6</v>
      </c>
      <c r="AD87" s="49">
        <v>126.6</v>
      </c>
      <c r="AE87" s="49">
        <v>129.1</v>
      </c>
      <c r="AF87" s="49">
        <v>127.5</v>
      </c>
      <c r="AG87" s="93"/>
      <c r="AH87" s="55">
        <f t="shared" si="15"/>
        <v>131</v>
      </c>
      <c r="AI87" s="56">
        <f t="shared" si="16"/>
        <v>123.8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131.9</v>
      </c>
      <c r="C88" s="49">
        <v>133.80000000000001</v>
      </c>
      <c r="D88" s="49">
        <v>133.80000000000001</v>
      </c>
      <c r="E88" s="49">
        <v>133.80000000000001</v>
      </c>
      <c r="F88" s="49">
        <v>134</v>
      </c>
      <c r="G88" s="49">
        <v>134</v>
      </c>
      <c r="H88" s="49">
        <v>134</v>
      </c>
      <c r="I88" s="49">
        <v>134</v>
      </c>
      <c r="J88" s="49">
        <v>130</v>
      </c>
      <c r="K88" s="49">
        <v>130</v>
      </c>
      <c r="L88" s="49">
        <v>129</v>
      </c>
      <c r="M88" s="49">
        <v>128.6</v>
      </c>
      <c r="N88" s="49">
        <v>128.6</v>
      </c>
      <c r="O88" s="49">
        <v>128.30000000000001</v>
      </c>
      <c r="P88" s="49">
        <v>128.30000000000001</v>
      </c>
      <c r="Q88" s="49">
        <v>130</v>
      </c>
      <c r="R88" s="49">
        <v>130</v>
      </c>
      <c r="S88" s="49">
        <v>127.6</v>
      </c>
      <c r="T88" s="49">
        <v>128.9</v>
      </c>
      <c r="U88" s="49">
        <v>129.69999999999999</v>
      </c>
      <c r="V88" s="49">
        <v>131.1</v>
      </c>
      <c r="W88" s="49">
        <v>131.19999999999999</v>
      </c>
      <c r="X88" s="49">
        <v>132</v>
      </c>
      <c r="Y88" s="49">
        <v>132.5</v>
      </c>
      <c r="Z88" s="49">
        <v>132.80000000000001</v>
      </c>
      <c r="AA88" s="49">
        <v>130.9</v>
      </c>
      <c r="AB88" s="49">
        <v>131</v>
      </c>
      <c r="AC88" s="49">
        <v>131</v>
      </c>
      <c r="AD88" s="49">
        <v>131</v>
      </c>
      <c r="AE88" s="49">
        <v>133.6</v>
      </c>
      <c r="AF88" s="49">
        <v>131.1</v>
      </c>
      <c r="AG88" s="93"/>
      <c r="AH88" s="55">
        <f t="shared" si="15"/>
        <v>134</v>
      </c>
      <c r="AI88" s="56">
        <f t="shared" si="16"/>
        <v>127.6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131.6</v>
      </c>
      <c r="C89" s="95">
        <v>133.30000000000001</v>
      </c>
      <c r="D89" s="95">
        <v>133.30000000000001</v>
      </c>
      <c r="E89" s="95">
        <v>133.30000000000001</v>
      </c>
      <c r="F89" s="95">
        <v>129</v>
      </c>
      <c r="G89" s="95">
        <v>132</v>
      </c>
      <c r="H89" s="95">
        <v>132</v>
      </c>
      <c r="I89" s="95">
        <v>132</v>
      </c>
      <c r="J89" s="95">
        <v>132</v>
      </c>
      <c r="K89" s="95">
        <v>132</v>
      </c>
      <c r="L89" s="95">
        <v>130</v>
      </c>
      <c r="M89" s="95">
        <v>134.69999999999999</v>
      </c>
      <c r="N89" s="95">
        <v>134.69999999999999</v>
      </c>
      <c r="O89" s="95">
        <v>134.5</v>
      </c>
      <c r="P89" s="95">
        <v>134.5</v>
      </c>
      <c r="Q89" s="95">
        <v>132.6</v>
      </c>
      <c r="R89" s="95">
        <v>132.6</v>
      </c>
      <c r="S89" s="95">
        <v>131.4</v>
      </c>
      <c r="T89" s="95">
        <v>131.4</v>
      </c>
      <c r="U89" s="95">
        <v>130.19999999999999</v>
      </c>
      <c r="V89" s="95">
        <v>132.80000000000001</v>
      </c>
      <c r="W89" s="95">
        <v>128.5</v>
      </c>
      <c r="X89" s="95">
        <v>135.80000000000001</v>
      </c>
      <c r="Y89" s="95">
        <v>132.5</v>
      </c>
      <c r="Z89" s="95">
        <v>130.6</v>
      </c>
      <c r="AA89" s="95">
        <v>135.1</v>
      </c>
      <c r="AB89" s="95">
        <v>133.5</v>
      </c>
      <c r="AC89" s="95">
        <v>133.5</v>
      </c>
      <c r="AD89" s="95">
        <v>133.5</v>
      </c>
      <c r="AE89" s="95">
        <v>131.80000000000001</v>
      </c>
      <c r="AF89" s="95">
        <v>132.5</v>
      </c>
      <c r="AG89" s="96"/>
      <c r="AH89" s="55">
        <f t="shared" si="15"/>
        <v>135.80000000000001</v>
      </c>
      <c r="AI89" s="56">
        <f t="shared" si="16"/>
        <v>128.5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123.8</v>
      </c>
      <c r="C90" s="49">
        <v>129</v>
      </c>
      <c r="D90" s="49">
        <v>129</v>
      </c>
      <c r="E90" s="49">
        <v>129</v>
      </c>
      <c r="F90" s="49">
        <v>123</v>
      </c>
      <c r="G90" s="49">
        <v>127</v>
      </c>
      <c r="H90" s="49">
        <v>127</v>
      </c>
      <c r="I90" s="49">
        <v>127</v>
      </c>
      <c r="J90" s="49">
        <v>127</v>
      </c>
      <c r="K90" s="49">
        <v>127</v>
      </c>
      <c r="L90" s="49">
        <v>128</v>
      </c>
      <c r="M90" s="49">
        <v>131.1</v>
      </c>
      <c r="N90" s="49">
        <v>131.1</v>
      </c>
      <c r="O90" s="49">
        <v>130.1</v>
      </c>
      <c r="P90" s="49">
        <v>130.1</v>
      </c>
      <c r="Q90" s="49">
        <v>127.2</v>
      </c>
      <c r="R90" s="49">
        <v>127.3</v>
      </c>
      <c r="S90" s="49">
        <v>131.80000000000001</v>
      </c>
      <c r="T90" s="49">
        <v>122.4</v>
      </c>
      <c r="U90" s="49">
        <v>122.7</v>
      </c>
      <c r="V90" s="49">
        <v>120.1</v>
      </c>
      <c r="W90" s="49">
        <v>118.2</v>
      </c>
      <c r="X90" s="49">
        <v>129.5</v>
      </c>
      <c r="Y90" s="49">
        <v>126.2</v>
      </c>
      <c r="Z90" s="49">
        <v>124.2</v>
      </c>
      <c r="AA90" s="49">
        <v>130.1</v>
      </c>
      <c r="AB90" s="49">
        <v>125.8</v>
      </c>
      <c r="AC90" s="49">
        <v>125.8</v>
      </c>
      <c r="AD90" s="49">
        <v>125.8</v>
      </c>
      <c r="AE90" s="49">
        <v>125.1</v>
      </c>
      <c r="AF90" s="49">
        <v>124.2</v>
      </c>
      <c r="AG90" s="93"/>
      <c r="AH90" s="55">
        <f t="shared" si="15"/>
        <v>131.80000000000001</v>
      </c>
      <c r="AI90" s="56">
        <f t="shared" si="16"/>
        <v>118.2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65.8</v>
      </c>
      <c r="C91" s="97">
        <v>65</v>
      </c>
      <c r="D91" s="97">
        <v>65</v>
      </c>
      <c r="E91" s="97">
        <v>65</v>
      </c>
      <c r="F91" s="97">
        <v>66</v>
      </c>
      <c r="G91" s="97">
        <v>66</v>
      </c>
      <c r="H91" s="97">
        <v>66</v>
      </c>
      <c r="I91" s="97">
        <v>66</v>
      </c>
      <c r="J91" s="97">
        <v>64.3</v>
      </c>
      <c r="K91" s="97">
        <v>64.3</v>
      </c>
      <c r="L91" s="97">
        <v>64.400000000000006</v>
      </c>
      <c r="M91" s="97">
        <v>63.8</v>
      </c>
      <c r="N91" s="97">
        <v>64</v>
      </c>
      <c r="O91" s="97">
        <v>64.2</v>
      </c>
      <c r="P91" s="97">
        <v>64.2</v>
      </c>
      <c r="Q91" s="97">
        <v>64.5</v>
      </c>
      <c r="R91" s="97">
        <v>64.5</v>
      </c>
      <c r="S91" s="97">
        <v>64.2</v>
      </c>
      <c r="T91" s="97">
        <v>63.1</v>
      </c>
      <c r="U91" s="97">
        <v>63.5</v>
      </c>
      <c r="V91" s="97">
        <v>64.2</v>
      </c>
      <c r="W91" s="97">
        <v>64.8</v>
      </c>
      <c r="X91" s="97">
        <v>65</v>
      </c>
      <c r="Y91" s="97">
        <v>65.3</v>
      </c>
      <c r="Z91" s="97">
        <v>65.099999999999994</v>
      </c>
      <c r="AA91" s="97">
        <v>64.599999999999994</v>
      </c>
      <c r="AB91" s="97">
        <v>64.900000000000006</v>
      </c>
      <c r="AC91" s="97">
        <v>65.400000000000006</v>
      </c>
      <c r="AD91" s="97">
        <v>65.8</v>
      </c>
      <c r="AE91" s="97">
        <v>65.8</v>
      </c>
      <c r="AF91" s="97">
        <v>65.5</v>
      </c>
      <c r="AG91" s="98"/>
      <c r="AH91" s="55">
        <f t="shared" si="15"/>
        <v>66</v>
      </c>
      <c r="AI91" s="56">
        <f t="shared" si="16"/>
        <v>63.1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SUM(B15,B18,B21:B22,B42,B44:B45,B47,B49,B94:B97,B103,B109,B115,B124,B126,B138,B145,B148:B149,B156,B158,B160,B164:B166,B168:B170,B175,B181:B182,B184:B186,B194,B199)</f>
        <v>141.04</v>
      </c>
      <c r="C93" s="103">
        <f t="shared" si="24"/>
        <v>126.14</v>
      </c>
      <c r="D93" s="103">
        <f t="shared" si="24"/>
        <v>126.14</v>
      </c>
      <c r="E93" s="103">
        <f t="shared" si="24"/>
        <v>152.23999999999998</v>
      </c>
      <c r="F93" s="103">
        <f t="shared" si="24"/>
        <v>140.13999999999999</v>
      </c>
      <c r="G93" s="103">
        <f t="shared" si="24"/>
        <v>156.83999999999997</v>
      </c>
      <c r="H93" s="103">
        <f t="shared" si="24"/>
        <v>179.23999999999998</v>
      </c>
      <c r="I93" s="103">
        <f t="shared" si="24"/>
        <v>209.64</v>
      </c>
      <c r="J93" s="103">
        <f t="shared" si="24"/>
        <v>234.43999999999997</v>
      </c>
      <c r="K93" s="103">
        <f t="shared" si="24"/>
        <v>278.84000000000003</v>
      </c>
      <c r="L93" s="103">
        <f t="shared" si="24"/>
        <v>297.84000000000003</v>
      </c>
      <c r="M93" s="103">
        <f t="shared" si="24"/>
        <v>310.14</v>
      </c>
      <c r="N93" s="103">
        <f t="shared" si="24"/>
        <v>301.74</v>
      </c>
      <c r="O93" s="103">
        <f t="shared" si="24"/>
        <v>307.14</v>
      </c>
      <c r="P93" s="103">
        <f t="shared" si="24"/>
        <v>308.14</v>
      </c>
      <c r="Q93" s="103">
        <f t="shared" si="24"/>
        <v>299.14000000000004</v>
      </c>
      <c r="R93" s="103">
        <f t="shared" si="24"/>
        <v>299.74</v>
      </c>
      <c r="S93" s="103">
        <f t="shared" si="24"/>
        <v>310.84000000000003</v>
      </c>
      <c r="T93" s="103">
        <f t="shared" si="24"/>
        <v>311.44</v>
      </c>
      <c r="U93" s="103">
        <f t="shared" si="24"/>
        <v>300.74</v>
      </c>
      <c r="V93" s="103">
        <f t="shared" si="24"/>
        <v>302.44</v>
      </c>
      <c r="W93" s="103">
        <f>SUM(W15,W18,W21:W22,W42,W44:W45,W47,W49,W94:W97,W103,W109,W115,W124,W126,W138,W145,W148:W149,W156,W158,W160,W164:W166,W168:W170,W175,W181:W182,W184:W186,W194,W199)</f>
        <v>295.44</v>
      </c>
      <c r="X93" s="103">
        <f>SUM(X15,X18,X21:X22,X42,X44:X45,X47,X49,X94:X97,X103,X109,X115,X124,X126,X138,X145,X148:X149,X156,X158,X160,X164:X166,X168:X170,X175,X181:X182,X184:X186,X194,X199)</f>
        <v>282.24</v>
      </c>
      <c r="Y93" s="103">
        <f t="shared" si="24"/>
        <v>290.14</v>
      </c>
      <c r="Z93" s="103">
        <f t="shared" si="24"/>
        <v>307.14</v>
      </c>
      <c r="AA93" s="103">
        <f t="shared" si="24"/>
        <v>357.74</v>
      </c>
      <c r="AB93" s="103">
        <f t="shared" si="24"/>
        <v>335.14</v>
      </c>
      <c r="AC93" s="103">
        <f t="shared" si="24"/>
        <v>314.04000000000002</v>
      </c>
      <c r="AD93" s="103">
        <f t="shared" si="24"/>
        <v>309.74</v>
      </c>
      <c r="AE93" s="103">
        <f t="shared" si="24"/>
        <v>220.54000000000002</v>
      </c>
      <c r="AF93" s="103">
        <f t="shared" si="24"/>
        <v>176.93999999999997</v>
      </c>
      <c r="AG93" s="104"/>
      <c r="AH93" s="55">
        <f>MAX(C93:AF93)</f>
        <v>357.74</v>
      </c>
      <c r="AI93" s="56">
        <f>MIN(C93:AF93)</f>
        <v>126.14</v>
      </c>
    </row>
    <row r="94" spans="1:88" x14ac:dyDescent="0.25">
      <c r="A94" s="105" t="s">
        <v>98</v>
      </c>
      <c r="B94" s="106">
        <v>19</v>
      </c>
      <c r="C94" s="106">
        <v>28.1</v>
      </c>
      <c r="D94" s="106">
        <v>28.1</v>
      </c>
      <c r="E94" s="106">
        <v>25</v>
      </c>
      <c r="F94" s="106">
        <v>21</v>
      </c>
      <c r="G94" s="106">
        <v>16</v>
      </c>
      <c r="H94" s="106">
        <v>13</v>
      </c>
      <c r="I94" s="106">
        <v>19</v>
      </c>
      <c r="J94" s="106">
        <v>18</v>
      </c>
      <c r="K94" s="106">
        <v>11</v>
      </c>
      <c r="L94" s="106">
        <v>16</v>
      </c>
      <c r="M94" s="106">
        <v>34.4</v>
      </c>
      <c r="N94" s="106">
        <v>27.7</v>
      </c>
      <c r="O94" s="106">
        <v>13.1</v>
      </c>
      <c r="P94" s="106">
        <v>14.1</v>
      </c>
      <c r="Q94" s="106">
        <v>25.6</v>
      </c>
      <c r="R94" s="106">
        <v>23.9</v>
      </c>
      <c r="S94" s="106">
        <v>21.5</v>
      </c>
      <c r="T94" s="106">
        <v>31.6</v>
      </c>
      <c r="U94" s="106">
        <v>12.3</v>
      </c>
      <c r="V94" s="106">
        <v>24</v>
      </c>
      <c r="W94" s="106">
        <v>35.1</v>
      </c>
      <c r="X94" s="106">
        <v>43.5</v>
      </c>
      <c r="Y94" s="106">
        <v>54.8</v>
      </c>
      <c r="Z94" s="106">
        <v>53.5</v>
      </c>
      <c r="AA94" s="106">
        <v>36.5</v>
      </c>
      <c r="AB94" s="106">
        <v>36.700000000000003</v>
      </c>
      <c r="AC94" s="106">
        <v>38.700000000000003</v>
      </c>
      <c r="AD94" s="106">
        <v>39.5</v>
      </c>
      <c r="AE94" s="106">
        <v>40.9</v>
      </c>
      <c r="AF94" s="106">
        <v>31.1</v>
      </c>
      <c r="AG94" s="107">
        <v>75</v>
      </c>
      <c r="AH94" s="55">
        <f t="shared" ref="AH94:AH100" si="25">IF(ABS(MAX(C94:AF94))&gt;ABS(MIN(C94:AF94)),MAX(C94:AF94),MIN(C94:AF94))</f>
        <v>54.8</v>
      </c>
      <c r="AI94" s="108">
        <f t="shared" ref="AI94:AI100" si="26">INDEX($C$9:$AF$9,1,MATCH(AH94,C94:AF94,0))</f>
        <v>0.77083333333333337</v>
      </c>
    </row>
    <row r="95" spans="1:88" x14ac:dyDescent="0.25">
      <c r="A95" s="109" t="s">
        <v>99</v>
      </c>
      <c r="B95" s="110">
        <v>-115</v>
      </c>
      <c r="C95" s="110">
        <v>-116</v>
      </c>
      <c r="D95" s="110">
        <v>-116</v>
      </c>
      <c r="E95" s="110">
        <v>-110</v>
      </c>
      <c r="F95" s="110">
        <v>-114</v>
      </c>
      <c r="G95" s="110">
        <v>-106</v>
      </c>
      <c r="H95" s="110">
        <v>-96</v>
      </c>
      <c r="I95" s="110">
        <v>-86</v>
      </c>
      <c r="J95" s="110">
        <v>-73</v>
      </c>
      <c r="K95" s="110">
        <v>-54</v>
      </c>
      <c r="L95" s="110">
        <v>-51</v>
      </c>
      <c r="M95" s="110">
        <f>-23.8-28.6</f>
        <v>-52.400000000000006</v>
      </c>
      <c r="N95" s="110">
        <v>-62</v>
      </c>
      <c r="O95" s="110">
        <f>-26.2-35.4</f>
        <v>-61.599999999999994</v>
      </c>
      <c r="P95" s="110">
        <f t="shared" ref="P95" si="27">-26.2-35.4</f>
        <v>-61.599999999999994</v>
      </c>
      <c r="Q95" s="110">
        <f>-26.7-39.1</f>
        <v>-65.8</v>
      </c>
      <c r="R95" s="110">
        <f>-27.4-38.5</f>
        <v>-65.900000000000006</v>
      </c>
      <c r="S95" s="110">
        <f>-27-37</f>
        <v>-64</v>
      </c>
      <c r="T95" s="110">
        <f>-28.8-40.9</f>
        <v>-69.7</v>
      </c>
      <c r="U95" s="110">
        <f>-28.8-36.6</f>
        <v>-65.400000000000006</v>
      </c>
      <c r="V95" s="110">
        <f>-33-43.4</f>
        <v>-76.400000000000006</v>
      </c>
      <c r="W95" s="110">
        <f>-31.7-42.9</f>
        <v>-74.599999999999994</v>
      </c>
      <c r="X95" s="110">
        <f>-36-45.7</f>
        <v>-81.7</v>
      </c>
      <c r="Y95" s="110">
        <f>-33.6-41.8</f>
        <v>-75.400000000000006</v>
      </c>
      <c r="Z95" s="110">
        <f>-23.6-31.8</f>
        <v>-55.400000000000006</v>
      </c>
      <c r="AA95" s="110">
        <f>-17-24</f>
        <v>-41</v>
      </c>
      <c r="AB95" s="110">
        <v>-51.8</v>
      </c>
      <c r="AC95" s="110">
        <v>-60</v>
      </c>
      <c r="AD95" s="110">
        <v>-72</v>
      </c>
      <c r="AE95" s="110">
        <f>-46.2-55.4</f>
        <v>-101.6</v>
      </c>
      <c r="AF95" s="110">
        <f>-50.7-62.1</f>
        <v>-112.80000000000001</v>
      </c>
      <c r="AG95" s="107">
        <v>240</v>
      </c>
      <c r="AH95" s="55">
        <f t="shared" si="25"/>
        <v>-116</v>
      </c>
      <c r="AI95" s="108">
        <f t="shared" si="26"/>
        <v>4.1666666666666664E-2</v>
      </c>
    </row>
    <row r="96" spans="1:88" x14ac:dyDescent="0.25">
      <c r="A96" s="109" t="s">
        <v>100</v>
      </c>
      <c r="B96" s="110">
        <v>23</v>
      </c>
      <c r="C96" s="110">
        <v>0</v>
      </c>
      <c r="D96" s="110">
        <v>0</v>
      </c>
      <c r="E96" s="110">
        <v>0</v>
      </c>
      <c r="F96" s="110">
        <v>-1.4</v>
      </c>
      <c r="G96" s="110">
        <v>1.2</v>
      </c>
      <c r="H96" s="110">
        <v>0</v>
      </c>
      <c r="I96" s="110">
        <v>6.4</v>
      </c>
      <c r="J96" s="110">
        <v>8.1999999999999993</v>
      </c>
      <c r="K96" s="110">
        <v>10</v>
      </c>
      <c r="L96" s="110">
        <v>18</v>
      </c>
      <c r="M96" s="110">
        <v>15.7</v>
      </c>
      <c r="N96" s="110">
        <v>19.5</v>
      </c>
      <c r="O96" s="110">
        <v>37.6</v>
      </c>
      <c r="P96" s="110">
        <v>37.6</v>
      </c>
      <c r="Q96" s="110">
        <v>37.9</v>
      </c>
      <c r="R96" s="110">
        <v>35</v>
      </c>
      <c r="S96" s="110">
        <v>38</v>
      </c>
      <c r="T96" s="110">
        <v>41.4</v>
      </c>
      <c r="U96" s="110">
        <v>33.6</v>
      </c>
      <c r="V96" s="110">
        <v>56.8</v>
      </c>
      <c r="W96" s="110">
        <v>44.2</v>
      </c>
      <c r="X96" s="110">
        <v>40.5</v>
      </c>
      <c r="Y96" s="110">
        <v>33.799999999999997</v>
      </c>
      <c r="Z96" s="110">
        <v>31.5</v>
      </c>
      <c r="AA96" s="110">
        <v>40.700000000000003</v>
      </c>
      <c r="AB96" s="110">
        <v>40.6</v>
      </c>
      <c r="AC96" s="110">
        <v>42.9</v>
      </c>
      <c r="AD96" s="110">
        <v>58.4</v>
      </c>
      <c r="AE96" s="110">
        <v>18.600000000000001</v>
      </c>
      <c r="AF96" s="110">
        <v>21.3</v>
      </c>
      <c r="AG96" s="107">
        <v>60</v>
      </c>
      <c r="AH96" s="55">
        <f t="shared" si="25"/>
        <v>58.4</v>
      </c>
      <c r="AI96" s="108">
        <f t="shared" si="26"/>
        <v>0.875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8</v>
      </c>
      <c r="F97" s="112">
        <v>5.3</v>
      </c>
      <c r="G97" s="112">
        <v>16.399999999999999</v>
      </c>
      <c r="H97" s="112">
        <v>33</v>
      </c>
      <c r="I97" s="112">
        <v>41</v>
      </c>
      <c r="J97" s="112">
        <v>52</v>
      </c>
      <c r="K97" s="112">
        <v>73</v>
      </c>
      <c r="L97" s="112">
        <v>76</v>
      </c>
      <c r="M97" s="112">
        <v>70.8</v>
      </c>
      <c r="N97" s="112">
        <v>74</v>
      </c>
      <c r="O97" s="112">
        <v>75.5</v>
      </c>
      <c r="P97" s="112">
        <v>75.5</v>
      </c>
      <c r="Q97" s="112">
        <v>58.9</v>
      </c>
      <c r="R97" s="112">
        <v>64.2</v>
      </c>
      <c r="S97" s="112">
        <v>72.8</v>
      </c>
      <c r="T97" s="112">
        <v>65.599999999999994</v>
      </c>
      <c r="U97" s="112">
        <v>77.7</v>
      </c>
      <c r="V97" s="112">
        <v>55.5</v>
      </c>
      <c r="W97" s="112">
        <v>48.2</v>
      </c>
      <c r="X97" s="112">
        <v>37.4</v>
      </c>
      <c r="Y97" s="112">
        <v>34.4</v>
      </c>
      <c r="Z97" s="112">
        <v>43</v>
      </c>
      <c r="AA97" s="112">
        <v>87</v>
      </c>
      <c r="AB97" s="112">
        <v>75.400000000000006</v>
      </c>
      <c r="AC97" s="112">
        <v>58.2</v>
      </c>
      <c r="AD97" s="112">
        <v>49.6</v>
      </c>
      <c r="AE97" s="112">
        <v>25.3</v>
      </c>
      <c r="AF97" s="112">
        <v>0</v>
      </c>
      <c r="AG97" s="113">
        <v>120</v>
      </c>
      <c r="AH97" s="55">
        <f t="shared" si="25"/>
        <v>87</v>
      </c>
      <c r="AI97" s="108">
        <f t="shared" si="26"/>
        <v>0.8125</v>
      </c>
    </row>
    <row r="98" spans="1:37" x14ac:dyDescent="0.25">
      <c r="A98" s="111" t="s">
        <v>102</v>
      </c>
      <c r="B98" s="112">
        <v>5</v>
      </c>
      <c r="C98" s="112">
        <v>15.4</v>
      </c>
      <c r="D98" s="112">
        <v>15.4</v>
      </c>
      <c r="E98" s="112">
        <v>2</v>
      </c>
      <c r="F98" s="112">
        <v>4</v>
      </c>
      <c r="G98" s="112">
        <v>13</v>
      </c>
      <c r="H98" s="112">
        <v>27</v>
      </c>
      <c r="I98" s="112">
        <v>28</v>
      </c>
      <c r="J98" s="112">
        <v>45</v>
      </c>
      <c r="K98" s="112">
        <v>51</v>
      </c>
      <c r="L98" s="112">
        <v>57</v>
      </c>
      <c r="M98" s="112">
        <v>52</v>
      </c>
      <c r="N98" s="112">
        <v>63.7</v>
      </c>
      <c r="O98" s="112">
        <v>62.3</v>
      </c>
      <c r="P98" s="112">
        <v>62.3</v>
      </c>
      <c r="Q98" s="112">
        <v>62.3</v>
      </c>
      <c r="R98" s="112">
        <v>57.2</v>
      </c>
      <c r="S98" s="112">
        <v>64</v>
      </c>
      <c r="T98" s="112">
        <v>62.2</v>
      </c>
      <c r="U98" s="112">
        <v>76.3</v>
      </c>
      <c r="V98" s="112">
        <v>57.3</v>
      </c>
      <c r="W98" s="112">
        <v>47.4</v>
      </c>
      <c r="X98" s="112">
        <v>40.5</v>
      </c>
      <c r="Y98" s="112">
        <v>35</v>
      </c>
      <c r="Z98" s="112">
        <v>32</v>
      </c>
      <c r="AA98" s="112">
        <v>67</v>
      </c>
      <c r="AB98" s="112">
        <v>59.9</v>
      </c>
      <c r="AC98" s="112">
        <v>47.4</v>
      </c>
      <c r="AD98" s="112">
        <v>49.2</v>
      </c>
      <c r="AE98" s="112">
        <v>33.6</v>
      </c>
      <c r="AF98" s="112">
        <v>42.3</v>
      </c>
      <c r="AG98" s="113"/>
      <c r="AH98" s="55">
        <f t="shared" si="25"/>
        <v>76.3</v>
      </c>
      <c r="AI98" s="108">
        <f t="shared" si="26"/>
        <v>0.66666666666666696</v>
      </c>
    </row>
    <row r="99" spans="1:37" x14ac:dyDescent="0.25">
      <c r="A99" s="111" t="s">
        <v>103</v>
      </c>
      <c r="B99" s="112">
        <v>63.6</v>
      </c>
      <c r="C99" s="112">
        <v>72</v>
      </c>
      <c r="D99" s="112">
        <v>72</v>
      </c>
      <c r="E99" s="112">
        <v>60</v>
      </c>
      <c r="F99" s="112">
        <v>72</v>
      </c>
      <c r="G99" s="112">
        <v>70</v>
      </c>
      <c r="H99" s="112">
        <v>74</v>
      </c>
      <c r="I99" s="112">
        <v>60</v>
      </c>
      <c r="J99" s="112">
        <v>67</v>
      </c>
      <c r="K99" s="112">
        <v>82</v>
      </c>
      <c r="L99" s="112">
        <v>66</v>
      </c>
      <c r="M99" s="112">
        <v>42</v>
      </c>
      <c r="N99" s="112">
        <v>59</v>
      </c>
      <c r="O99" s="112">
        <v>71.400000000000006</v>
      </c>
      <c r="P99" s="112">
        <v>71.400000000000006</v>
      </c>
      <c r="Q99" s="112">
        <v>71.400000000000006</v>
      </c>
      <c r="R99" s="112">
        <v>67.2</v>
      </c>
      <c r="S99" s="112">
        <v>68</v>
      </c>
      <c r="T99" s="112">
        <v>46.1</v>
      </c>
      <c r="U99" s="112">
        <v>73.3</v>
      </c>
      <c r="V99" s="112">
        <v>64</v>
      </c>
      <c r="W99" s="112">
        <v>58.3</v>
      </c>
      <c r="X99" s="112">
        <v>37</v>
      </c>
      <c r="Y99" s="112">
        <v>24</v>
      </c>
      <c r="Z99" s="112">
        <v>33</v>
      </c>
      <c r="AA99" s="112">
        <v>65</v>
      </c>
      <c r="AB99" s="112">
        <v>71.099999999999994</v>
      </c>
      <c r="AC99" s="112">
        <v>64.2</v>
      </c>
      <c r="AD99" s="112">
        <v>62.8</v>
      </c>
      <c r="AE99" s="112">
        <v>48.4</v>
      </c>
      <c r="AF99" s="112">
        <v>84.6</v>
      </c>
      <c r="AG99" s="114"/>
      <c r="AH99" s="55">
        <f t="shared" si="25"/>
        <v>84.6</v>
      </c>
      <c r="AI99" s="108">
        <f t="shared" si="26"/>
        <v>0.95833333333333304</v>
      </c>
    </row>
    <row r="100" spans="1:37" ht="15.75" thickBot="1" x14ac:dyDescent="0.3">
      <c r="A100" s="115" t="s">
        <v>104</v>
      </c>
      <c r="B100" s="95">
        <v>34.9</v>
      </c>
      <c r="C100" s="95">
        <v>31</v>
      </c>
      <c r="D100" s="95">
        <v>31</v>
      </c>
      <c r="E100" s="95">
        <v>29</v>
      </c>
      <c r="F100" s="95">
        <v>29</v>
      </c>
      <c r="G100" s="95">
        <v>32</v>
      </c>
      <c r="H100" s="95">
        <v>26</v>
      </c>
      <c r="I100" s="95">
        <v>23</v>
      </c>
      <c r="J100" s="95">
        <v>30</v>
      </c>
      <c r="K100" s="95">
        <v>33</v>
      </c>
      <c r="L100" s="95">
        <v>41</v>
      </c>
      <c r="M100" s="95">
        <v>38.700000000000003</v>
      </c>
      <c r="N100" s="95">
        <v>40.5</v>
      </c>
      <c r="O100" s="95">
        <v>45.6</v>
      </c>
      <c r="P100" s="95">
        <v>45.6</v>
      </c>
      <c r="Q100" s="95">
        <v>45.6</v>
      </c>
      <c r="R100" s="95">
        <v>44.7</v>
      </c>
      <c r="S100" s="95">
        <v>48</v>
      </c>
      <c r="T100" s="95">
        <v>42.4</v>
      </c>
      <c r="U100" s="95">
        <v>40.5</v>
      </c>
      <c r="V100" s="95">
        <v>41</v>
      </c>
      <c r="W100" s="95">
        <v>34.6</v>
      </c>
      <c r="X100" s="95">
        <v>34.299999999999997</v>
      </c>
      <c r="Y100" s="95">
        <v>37</v>
      </c>
      <c r="Z100" s="95">
        <v>43.2</v>
      </c>
      <c r="AA100" s="95">
        <v>61.2</v>
      </c>
      <c r="AB100" s="95">
        <v>59.5</v>
      </c>
      <c r="AC100" s="95">
        <v>60</v>
      </c>
      <c r="AD100" s="95">
        <v>51.8</v>
      </c>
      <c r="AE100" s="95">
        <v>35.9</v>
      </c>
      <c r="AF100" s="95">
        <v>42.9</v>
      </c>
      <c r="AG100" s="114"/>
      <c r="AH100" s="55">
        <f t="shared" si="25"/>
        <v>61.2</v>
      </c>
      <c r="AI100" s="108">
        <f t="shared" si="26"/>
        <v>0.8125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8">AF102</f>
        <v>9.9</v>
      </c>
      <c r="C102" s="54">
        <v>9.9</v>
      </c>
      <c r="D102" s="121">
        <f t="shared" ref="D102:S107" si="29">C102</f>
        <v>9.9</v>
      </c>
      <c r="E102" s="121">
        <f t="shared" si="29"/>
        <v>9.9</v>
      </c>
      <c r="F102" s="121">
        <f t="shared" si="29"/>
        <v>9.9</v>
      </c>
      <c r="G102" s="121">
        <f t="shared" si="29"/>
        <v>9.9</v>
      </c>
      <c r="H102" s="121">
        <f t="shared" si="29"/>
        <v>9.9</v>
      </c>
      <c r="I102" s="121">
        <f t="shared" si="29"/>
        <v>9.9</v>
      </c>
      <c r="J102" s="121">
        <f t="shared" si="29"/>
        <v>9.9</v>
      </c>
      <c r="K102" s="121">
        <f t="shared" si="29"/>
        <v>9.9</v>
      </c>
      <c r="L102" s="121">
        <f t="shared" si="29"/>
        <v>9.9</v>
      </c>
      <c r="M102" s="121">
        <f t="shared" si="29"/>
        <v>9.9</v>
      </c>
      <c r="N102" s="121">
        <f t="shared" si="29"/>
        <v>9.9</v>
      </c>
      <c r="O102" s="121">
        <f t="shared" si="29"/>
        <v>9.9</v>
      </c>
      <c r="P102" s="121">
        <f t="shared" si="29"/>
        <v>9.9</v>
      </c>
      <c r="Q102" s="121">
        <f t="shared" si="29"/>
        <v>9.9</v>
      </c>
      <c r="R102" s="121">
        <f t="shared" si="29"/>
        <v>9.9</v>
      </c>
      <c r="S102" s="121">
        <f t="shared" si="29"/>
        <v>9.9</v>
      </c>
      <c r="T102" s="121">
        <f t="shared" ref="T102:AF107" si="30">S102</f>
        <v>9.9</v>
      </c>
      <c r="U102" s="121">
        <f t="shared" si="30"/>
        <v>9.9</v>
      </c>
      <c r="V102" s="121">
        <f t="shared" si="30"/>
        <v>9.9</v>
      </c>
      <c r="W102" s="121">
        <f t="shared" si="30"/>
        <v>9.9</v>
      </c>
      <c r="X102" s="121">
        <f t="shared" si="30"/>
        <v>9.9</v>
      </c>
      <c r="Y102" s="121">
        <f t="shared" si="30"/>
        <v>9.9</v>
      </c>
      <c r="Z102" s="121">
        <f t="shared" si="30"/>
        <v>9.9</v>
      </c>
      <c r="AA102" s="121">
        <f t="shared" si="30"/>
        <v>9.9</v>
      </c>
      <c r="AB102" s="121">
        <f t="shared" si="30"/>
        <v>9.9</v>
      </c>
      <c r="AC102" s="121">
        <f t="shared" si="30"/>
        <v>9.9</v>
      </c>
      <c r="AD102" s="121">
        <f t="shared" si="30"/>
        <v>9.9</v>
      </c>
      <c r="AE102" s="121">
        <f t="shared" si="30"/>
        <v>9.9</v>
      </c>
      <c r="AF102" s="121">
        <f t="shared" si="30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8"/>
        <v>9.6</v>
      </c>
      <c r="C103" s="124">
        <v>9.6</v>
      </c>
      <c r="D103" s="123">
        <f t="shared" si="29"/>
        <v>9.6</v>
      </c>
      <c r="E103" s="123">
        <f t="shared" si="29"/>
        <v>9.6</v>
      </c>
      <c r="F103" s="123">
        <f t="shared" si="29"/>
        <v>9.6</v>
      </c>
      <c r="G103" s="123">
        <f t="shared" si="29"/>
        <v>9.6</v>
      </c>
      <c r="H103" s="123">
        <f t="shared" si="29"/>
        <v>9.6</v>
      </c>
      <c r="I103" s="123">
        <f t="shared" si="29"/>
        <v>9.6</v>
      </c>
      <c r="J103" s="123">
        <f t="shared" si="29"/>
        <v>9.6</v>
      </c>
      <c r="K103" s="123">
        <f t="shared" si="29"/>
        <v>9.6</v>
      </c>
      <c r="L103" s="123">
        <f t="shared" si="29"/>
        <v>9.6</v>
      </c>
      <c r="M103" s="123">
        <f t="shared" si="29"/>
        <v>9.6</v>
      </c>
      <c r="N103" s="123">
        <f t="shared" si="29"/>
        <v>9.6</v>
      </c>
      <c r="O103" s="123">
        <f t="shared" si="29"/>
        <v>9.6</v>
      </c>
      <c r="P103" s="123">
        <f t="shared" si="29"/>
        <v>9.6</v>
      </c>
      <c r="Q103" s="123">
        <f t="shared" si="29"/>
        <v>9.6</v>
      </c>
      <c r="R103" s="123">
        <f t="shared" si="29"/>
        <v>9.6</v>
      </c>
      <c r="S103" s="123">
        <f t="shared" si="29"/>
        <v>9.6</v>
      </c>
      <c r="T103" s="123">
        <f t="shared" si="30"/>
        <v>9.6</v>
      </c>
      <c r="U103" s="123">
        <f t="shared" si="30"/>
        <v>9.6</v>
      </c>
      <c r="V103" s="123">
        <f t="shared" si="30"/>
        <v>9.6</v>
      </c>
      <c r="W103" s="123">
        <f t="shared" si="30"/>
        <v>9.6</v>
      </c>
      <c r="X103" s="123">
        <f t="shared" si="30"/>
        <v>9.6</v>
      </c>
      <c r="Y103" s="123">
        <f t="shared" si="30"/>
        <v>9.6</v>
      </c>
      <c r="Z103" s="123">
        <f t="shared" si="30"/>
        <v>9.6</v>
      </c>
      <c r="AA103" s="123">
        <f t="shared" si="30"/>
        <v>9.6</v>
      </c>
      <c r="AB103" s="123">
        <f t="shared" si="30"/>
        <v>9.6</v>
      </c>
      <c r="AC103" s="123">
        <f t="shared" si="30"/>
        <v>9.6</v>
      </c>
      <c r="AD103" s="123">
        <f t="shared" si="30"/>
        <v>9.6</v>
      </c>
      <c r="AE103" s="123">
        <f t="shared" si="30"/>
        <v>9.6</v>
      </c>
      <c r="AF103" s="123">
        <f t="shared" si="30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8"/>
        <v>9.98</v>
      </c>
      <c r="C104" s="124">
        <v>9.98</v>
      </c>
      <c r="D104" s="123">
        <f t="shared" si="29"/>
        <v>9.98</v>
      </c>
      <c r="E104" s="123">
        <f t="shared" si="29"/>
        <v>9.98</v>
      </c>
      <c r="F104" s="123">
        <f t="shared" si="29"/>
        <v>9.98</v>
      </c>
      <c r="G104" s="123">
        <f t="shared" si="29"/>
        <v>9.98</v>
      </c>
      <c r="H104" s="123">
        <f t="shared" si="29"/>
        <v>9.98</v>
      </c>
      <c r="I104" s="123">
        <f t="shared" si="29"/>
        <v>9.98</v>
      </c>
      <c r="J104" s="123">
        <f t="shared" si="29"/>
        <v>9.98</v>
      </c>
      <c r="K104" s="123">
        <f t="shared" si="29"/>
        <v>9.98</v>
      </c>
      <c r="L104" s="123">
        <f t="shared" si="29"/>
        <v>9.98</v>
      </c>
      <c r="M104" s="123">
        <f t="shared" si="29"/>
        <v>9.98</v>
      </c>
      <c r="N104" s="123">
        <f t="shared" si="29"/>
        <v>9.98</v>
      </c>
      <c r="O104" s="123">
        <f t="shared" si="29"/>
        <v>9.98</v>
      </c>
      <c r="P104" s="123">
        <f t="shared" si="29"/>
        <v>9.98</v>
      </c>
      <c r="Q104" s="123">
        <f t="shared" si="29"/>
        <v>9.98</v>
      </c>
      <c r="R104" s="123">
        <f t="shared" si="29"/>
        <v>9.98</v>
      </c>
      <c r="S104" s="123">
        <f t="shared" si="29"/>
        <v>9.98</v>
      </c>
      <c r="T104" s="123">
        <f t="shared" si="30"/>
        <v>9.98</v>
      </c>
      <c r="U104" s="123">
        <f t="shared" si="30"/>
        <v>9.98</v>
      </c>
      <c r="V104" s="123">
        <f t="shared" si="30"/>
        <v>9.98</v>
      </c>
      <c r="W104" s="123">
        <f t="shared" si="30"/>
        <v>9.98</v>
      </c>
      <c r="X104" s="123">
        <f t="shared" si="30"/>
        <v>9.98</v>
      </c>
      <c r="Y104" s="123">
        <f t="shared" si="30"/>
        <v>9.98</v>
      </c>
      <c r="Z104" s="123">
        <f t="shared" si="30"/>
        <v>9.98</v>
      </c>
      <c r="AA104" s="123">
        <f t="shared" si="30"/>
        <v>9.98</v>
      </c>
      <c r="AB104" s="123">
        <f t="shared" si="30"/>
        <v>9.98</v>
      </c>
      <c r="AC104" s="123">
        <f t="shared" si="30"/>
        <v>9.98</v>
      </c>
      <c r="AD104" s="123">
        <f t="shared" si="30"/>
        <v>9.98</v>
      </c>
      <c r="AE104" s="123">
        <f t="shared" si="30"/>
        <v>9.98</v>
      </c>
      <c r="AF104" s="123">
        <f t="shared" si="30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8"/>
        <v>9.1</v>
      </c>
      <c r="C105" s="124">
        <v>9.1</v>
      </c>
      <c r="D105" s="123">
        <f t="shared" si="29"/>
        <v>9.1</v>
      </c>
      <c r="E105" s="123">
        <f t="shared" si="29"/>
        <v>9.1</v>
      </c>
      <c r="F105" s="123">
        <f t="shared" si="29"/>
        <v>9.1</v>
      </c>
      <c r="G105" s="123">
        <f t="shared" si="29"/>
        <v>9.1</v>
      </c>
      <c r="H105" s="123">
        <f t="shared" si="29"/>
        <v>9.1</v>
      </c>
      <c r="I105" s="123">
        <f t="shared" si="29"/>
        <v>9.1</v>
      </c>
      <c r="J105" s="123">
        <f t="shared" si="29"/>
        <v>9.1</v>
      </c>
      <c r="K105" s="123">
        <f t="shared" si="29"/>
        <v>9.1</v>
      </c>
      <c r="L105" s="123">
        <f t="shared" si="29"/>
        <v>9.1</v>
      </c>
      <c r="M105" s="123">
        <f t="shared" si="29"/>
        <v>9.1</v>
      </c>
      <c r="N105" s="123">
        <f t="shared" si="29"/>
        <v>9.1</v>
      </c>
      <c r="O105" s="123">
        <f t="shared" si="29"/>
        <v>9.1</v>
      </c>
      <c r="P105" s="123">
        <f t="shared" si="29"/>
        <v>9.1</v>
      </c>
      <c r="Q105" s="123">
        <f t="shared" si="29"/>
        <v>9.1</v>
      </c>
      <c r="R105" s="123">
        <f t="shared" si="29"/>
        <v>9.1</v>
      </c>
      <c r="S105" s="123">
        <f t="shared" si="29"/>
        <v>9.1</v>
      </c>
      <c r="T105" s="123">
        <f t="shared" si="30"/>
        <v>9.1</v>
      </c>
      <c r="U105" s="123">
        <f t="shared" si="30"/>
        <v>9.1</v>
      </c>
      <c r="V105" s="123">
        <f t="shared" si="30"/>
        <v>9.1</v>
      </c>
      <c r="W105" s="123">
        <f t="shared" si="30"/>
        <v>9.1</v>
      </c>
      <c r="X105" s="123">
        <f t="shared" si="30"/>
        <v>9.1</v>
      </c>
      <c r="Y105" s="123">
        <f t="shared" si="30"/>
        <v>9.1</v>
      </c>
      <c r="Z105" s="123">
        <f t="shared" si="30"/>
        <v>9.1</v>
      </c>
      <c r="AA105" s="123">
        <f t="shared" si="30"/>
        <v>9.1</v>
      </c>
      <c r="AB105" s="123">
        <f t="shared" si="30"/>
        <v>9.1</v>
      </c>
      <c r="AC105" s="123">
        <f t="shared" si="30"/>
        <v>9.1</v>
      </c>
      <c r="AD105" s="123">
        <f t="shared" si="30"/>
        <v>9.1</v>
      </c>
      <c r="AE105" s="123">
        <f t="shared" si="30"/>
        <v>9.1</v>
      </c>
      <c r="AF105" s="123">
        <f t="shared" si="30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8"/>
        <v>9.18</v>
      </c>
      <c r="C106" s="124">
        <v>9.18</v>
      </c>
      <c r="D106" s="123">
        <f t="shared" si="29"/>
        <v>9.18</v>
      </c>
      <c r="E106" s="123">
        <f t="shared" si="29"/>
        <v>9.18</v>
      </c>
      <c r="F106" s="123">
        <f t="shared" si="29"/>
        <v>9.18</v>
      </c>
      <c r="G106" s="123">
        <f t="shared" si="29"/>
        <v>9.18</v>
      </c>
      <c r="H106" s="123">
        <f t="shared" si="29"/>
        <v>9.18</v>
      </c>
      <c r="I106" s="123">
        <f t="shared" si="29"/>
        <v>9.18</v>
      </c>
      <c r="J106" s="123">
        <f t="shared" si="29"/>
        <v>9.18</v>
      </c>
      <c r="K106" s="123">
        <f t="shared" si="29"/>
        <v>9.18</v>
      </c>
      <c r="L106" s="123">
        <f t="shared" si="29"/>
        <v>9.18</v>
      </c>
      <c r="M106" s="123">
        <f t="shared" si="29"/>
        <v>9.18</v>
      </c>
      <c r="N106" s="123">
        <f t="shared" si="29"/>
        <v>9.18</v>
      </c>
      <c r="O106" s="123">
        <f t="shared" si="29"/>
        <v>9.18</v>
      </c>
      <c r="P106" s="123">
        <f t="shared" si="29"/>
        <v>9.18</v>
      </c>
      <c r="Q106" s="123">
        <f t="shared" si="29"/>
        <v>9.18</v>
      </c>
      <c r="R106" s="123">
        <f t="shared" si="29"/>
        <v>9.18</v>
      </c>
      <c r="S106" s="123">
        <f t="shared" si="29"/>
        <v>9.18</v>
      </c>
      <c r="T106" s="123">
        <f t="shared" si="30"/>
        <v>9.18</v>
      </c>
      <c r="U106" s="123">
        <f t="shared" si="30"/>
        <v>9.18</v>
      </c>
      <c r="V106" s="123">
        <f t="shared" si="30"/>
        <v>9.18</v>
      </c>
      <c r="W106" s="123">
        <f t="shared" si="30"/>
        <v>9.18</v>
      </c>
      <c r="X106" s="123">
        <f t="shared" si="30"/>
        <v>9.18</v>
      </c>
      <c r="Y106" s="123">
        <f t="shared" si="30"/>
        <v>9.18</v>
      </c>
      <c r="Z106" s="123">
        <f t="shared" si="30"/>
        <v>9.18</v>
      </c>
      <c r="AA106" s="123">
        <f t="shared" si="30"/>
        <v>9.18</v>
      </c>
      <c r="AB106" s="123">
        <f t="shared" si="30"/>
        <v>9.18</v>
      </c>
      <c r="AC106" s="123">
        <f t="shared" si="30"/>
        <v>9.18</v>
      </c>
      <c r="AD106" s="123">
        <f t="shared" si="30"/>
        <v>9.18</v>
      </c>
      <c r="AE106" s="123">
        <f t="shared" si="30"/>
        <v>9.18</v>
      </c>
      <c r="AF106" s="123">
        <f t="shared" si="30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8"/>
        <v>7</v>
      </c>
      <c r="C107" s="124">
        <v>7</v>
      </c>
      <c r="D107" s="123">
        <f t="shared" si="29"/>
        <v>7</v>
      </c>
      <c r="E107" s="123">
        <f t="shared" si="29"/>
        <v>7</v>
      </c>
      <c r="F107" s="123">
        <f t="shared" si="29"/>
        <v>7</v>
      </c>
      <c r="G107" s="123">
        <f t="shared" si="29"/>
        <v>7</v>
      </c>
      <c r="H107" s="123">
        <f t="shared" si="29"/>
        <v>7</v>
      </c>
      <c r="I107" s="123">
        <f t="shared" si="29"/>
        <v>7</v>
      </c>
      <c r="J107" s="123">
        <f t="shared" si="29"/>
        <v>7</v>
      </c>
      <c r="K107" s="123">
        <f t="shared" si="29"/>
        <v>7</v>
      </c>
      <c r="L107" s="123">
        <f t="shared" si="29"/>
        <v>7</v>
      </c>
      <c r="M107" s="123">
        <f t="shared" si="29"/>
        <v>7</v>
      </c>
      <c r="N107" s="123">
        <f t="shared" si="29"/>
        <v>7</v>
      </c>
      <c r="O107" s="123">
        <f t="shared" si="29"/>
        <v>7</v>
      </c>
      <c r="P107" s="123">
        <f t="shared" si="29"/>
        <v>7</v>
      </c>
      <c r="Q107" s="123">
        <f t="shared" si="29"/>
        <v>7</v>
      </c>
      <c r="R107" s="123">
        <f t="shared" si="29"/>
        <v>7</v>
      </c>
      <c r="S107" s="123">
        <f t="shared" si="29"/>
        <v>7</v>
      </c>
      <c r="T107" s="123">
        <f t="shared" si="30"/>
        <v>7</v>
      </c>
      <c r="U107" s="123">
        <f t="shared" si="30"/>
        <v>7</v>
      </c>
      <c r="V107" s="123">
        <f t="shared" si="30"/>
        <v>7</v>
      </c>
      <c r="W107" s="123">
        <f t="shared" si="30"/>
        <v>7</v>
      </c>
      <c r="X107" s="123">
        <f t="shared" si="30"/>
        <v>7</v>
      </c>
      <c r="Y107" s="123">
        <f t="shared" si="30"/>
        <v>7</v>
      </c>
      <c r="Z107" s="123">
        <f t="shared" si="30"/>
        <v>7</v>
      </c>
      <c r="AA107" s="123">
        <f t="shared" si="30"/>
        <v>7</v>
      </c>
      <c r="AB107" s="123">
        <f t="shared" si="30"/>
        <v>7</v>
      </c>
      <c r="AC107" s="123">
        <f t="shared" si="30"/>
        <v>7</v>
      </c>
      <c r="AD107" s="123">
        <f t="shared" si="30"/>
        <v>7</v>
      </c>
      <c r="AE107" s="123">
        <f t="shared" si="30"/>
        <v>7</v>
      </c>
      <c r="AF107" s="123">
        <f t="shared" si="30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1">C109</f>
        <v>2.25</v>
      </c>
      <c r="E109" s="123">
        <f t="shared" si="31"/>
        <v>2.25</v>
      </c>
      <c r="F109" s="123">
        <f t="shared" si="31"/>
        <v>2.25</v>
      </c>
      <c r="G109" s="123">
        <f t="shared" si="31"/>
        <v>2.25</v>
      </c>
      <c r="H109" s="123">
        <f t="shared" si="31"/>
        <v>2.25</v>
      </c>
      <c r="I109" s="123">
        <f t="shared" si="31"/>
        <v>2.25</v>
      </c>
      <c r="J109" s="123">
        <f t="shared" si="31"/>
        <v>2.25</v>
      </c>
      <c r="K109" s="123">
        <f t="shared" si="31"/>
        <v>2.25</v>
      </c>
      <c r="L109" s="123">
        <f t="shared" si="31"/>
        <v>2.25</v>
      </c>
      <c r="M109" s="123">
        <f t="shared" si="31"/>
        <v>2.25</v>
      </c>
      <c r="N109" s="123">
        <f t="shared" si="31"/>
        <v>2.25</v>
      </c>
      <c r="O109" s="123">
        <f t="shared" si="31"/>
        <v>2.25</v>
      </c>
      <c r="P109" s="123">
        <f t="shared" si="31"/>
        <v>2.25</v>
      </c>
      <c r="Q109" s="123">
        <f t="shared" si="31"/>
        <v>2.25</v>
      </c>
      <c r="R109" s="123">
        <f t="shared" si="31"/>
        <v>2.25</v>
      </c>
      <c r="S109" s="123">
        <f t="shared" si="31"/>
        <v>2.25</v>
      </c>
      <c r="T109" s="123">
        <f t="shared" ref="T109:AF110" si="32">S109</f>
        <v>2.25</v>
      </c>
      <c r="U109" s="123">
        <f t="shared" si="32"/>
        <v>2.25</v>
      </c>
      <c r="V109" s="123">
        <f t="shared" si="32"/>
        <v>2.25</v>
      </c>
      <c r="W109" s="123">
        <f t="shared" si="32"/>
        <v>2.25</v>
      </c>
      <c r="X109" s="123">
        <f t="shared" si="32"/>
        <v>2.25</v>
      </c>
      <c r="Y109" s="123">
        <f t="shared" si="32"/>
        <v>2.25</v>
      </c>
      <c r="Z109" s="123">
        <f t="shared" si="32"/>
        <v>2.25</v>
      </c>
      <c r="AA109" s="123">
        <f t="shared" si="32"/>
        <v>2.25</v>
      </c>
      <c r="AB109" s="123">
        <f t="shared" si="32"/>
        <v>2.25</v>
      </c>
      <c r="AC109" s="123">
        <f t="shared" si="32"/>
        <v>2.25</v>
      </c>
      <c r="AD109" s="123">
        <f t="shared" si="32"/>
        <v>2.25</v>
      </c>
      <c r="AE109" s="123">
        <f t="shared" si="32"/>
        <v>2.25</v>
      </c>
      <c r="AF109" s="123">
        <f t="shared" si="32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1"/>
        <v>1.64</v>
      </c>
      <c r="E110" s="123">
        <f t="shared" si="31"/>
        <v>1.64</v>
      </c>
      <c r="F110" s="123">
        <f t="shared" si="31"/>
        <v>1.64</v>
      </c>
      <c r="G110" s="123">
        <f t="shared" si="31"/>
        <v>1.64</v>
      </c>
      <c r="H110" s="123">
        <f t="shared" si="31"/>
        <v>1.64</v>
      </c>
      <c r="I110" s="123">
        <f t="shared" si="31"/>
        <v>1.64</v>
      </c>
      <c r="J110" s="123">
        <f t="shared" si="31"/>
        <v>1.64</v>
      </c>
      <c r="K110" s="123">
        <f t="shared" si="31"/>
        <v>1.64</v>
      </c>
      <c r="L110" s="123">
        <f t="shared" si="31"/>
        <v>1.64</v>
      </c>
      <c r="M110" s="123">
        <f t="shared" si="31"/>
        <v>1.64</v>
      </c>
      <c r="N110" s="123">
        <f t="shared" si="31"/>
        <v>1.64</v>
      </c>
      <c r="O110" s="123">
        <f t="shared" si="31"/>
        <v>1.64</v>
      </c>
      <c r="P110" s="123">
        <f t="shared" si="31"/>
        <v>1.64</v>
      </c>
      <c r="Q110" s="123">
        <f t="shared" si="31"/>
        <v>1.64</v>
      </c>
      <c r="R110" s="123">
        <f t="shared" si="31"/>
        <v>1.64</v>
      </c>
      <c r="S110" s="123">
        <f t="shared" si="31"/>
        <v>1.64</v>
      </c>
      <c r="T110" s="123">
        <f t="shared" si="32"/>
        <v>1.64</v>
      </c>
      <c r="U110" s="123">
        <f t="shared" si="32"/>
        <v>1.64</v>
      </c>
      <c r="V110" s="123">
        <f t="shared" si="32"/>
        <v>1.64</v>
      </c>
      <c r="W110" s="123">
        <f t="shared" si="32"/>
        <v>1.64</v>
      </c>
      <c r="X110" s="123">
        <f t="shared" si="32"/>
        <v>1.64</v>
      </c>
      <c r="Y110" s="123">
        <f t="shared" si="32"/>
        <v>1.64</v>
      </c>
      <c r="Z110" s="123">
        <f t="shared" si="32"/>
        <v>1.64</v>
      </c>
      <c r="AA110" s="123">
        <f t="shared" si="32"/>
        <v>1.64</v>
      </c>
      <c r="AB110" s="123">
        <f t="shared" si="32"/>
        <v>1.64</v>
      </c>
      <c r="AC110" s="123">
        <f t="shared" si="32"/>
        <v>1.64</v>
      </c>
      <c r="AD110" s="123">
        <f t="shared" si="32"/>
        <v>1.64</v>
      </c>
      <c r="AE110" s="123">
        <f t="shared" si="32"/>
        <v>1.64</v>
      </c>
      <c r="AF110" s="123">
        <f t="shared" si="32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3">AF112</f>
        <v>1.62</v>
      </c>
      <c r="C112" s="124">
        <v>1.62</v>
      </c>
      <c r="D112" s="123">
        <f t="shared" ref="D112:S119" si="34">C112</f>
        <v>1.62</v>
      </c>
      <c r="E112" s="123">
        <f t="shared" si="34"/>
        <v>1.62</v>
      </c>
      <c r="F112" s="123">
        <f t="shared" si="34"/>
        <v>1.62</v>
      </c>
      <c r="G112" s="123">
        <f t="shared" si="34"/>
        <v>1.62</v>
      </c>
      <c r="H112" s="123">
        <f t="shared" si="34"/>
        <v>1.62</v>
      </c>
      <c r="I112" s="123">
        <f t="shared" si="34"/>
        <v>1.62</v>
      </c>
      <c r="J112" s="123">
        <f t="shared" si="34"/>
        <v>1.62</v>
      </c>
      <c r="K112" s="123">
        <f t="shared" si="34"/>
        <v>1.62</v>
      </c>
      <c r="L112" s="123">
        <f t="shared" si="34"/>
        <v>1.62</v>
      </c>
      <c r="M112" s="123">
        <f t="shared" si="34"/>
        <v>1.62</v>
      </c>
      <c r="N112" s="123">
        <f t="shared" si="34"/>
        <v>1.62</v>
      </c>
      <c r="O112" s="123">
        <f t="shared" si="34"/>
        <v>1.62</v>
      </c>
      <c r="P112" s="123">
        <f t="shared" si="34"/>
        <v>1.62</v>
      </c>
      <c r="Q112" s="123">
        <f t="shared" si="34"/>
        <v>1.62</v>
      </c>
      <c r="R112" s="123">
        <f t="shared" si="34"/>
        <v>1.62</v>
      </c>
      <c r="S112" s="123">
        <f t="shared" si="34"/>
        <v>1.62</v>
      </c>
      <c r="T112" s="123">
        <f t="shared" ref="T112:AF127" si="35">S112</f>
        <v>1.62</v>
      </c>
      <c r="U112" s="123">
        <f t="shared" si="35"/>
        <v>1.62</v>
      </c>
      <c r="V112" s="123">
        <f t="shared" si="35"/>
        <v>1.62</v>
      </c>
      <c r="W112" s="123">
        <f t="shared" si="35"/>
        <v>1.62</v>
      </c>
      <c r="X112" s="123">
        <f t="shared" si="35"/>
        <v>1.62</v>
      </c>
      <c r="Y112" s="123">
        <f t="shared" si="35"/>
        <v>1.62</v>
      </c>
      <c r="Z112" s="123">
        <f t="shared" si="35"/>
        <v>1.62</v>
      </c>
      <c r="AA112" s="123">
        <f t="shared" si="35"/>
        <v>1.62</v>
      </c>
      <c r="AB112" s="123">
        <f t="shared" si="35"/>
        <v>1.62</v>
      </c>
      <c r="AC112" s="123">
        <f t="shared" si="35"/>
        <v>1.62</v>
      </c>
      <c r="AD112" s="123">
        <f t="shared" si="35"/>
        <v>1.62</v>
      </c>
      <c r="AE112" s="123">
        <f t="shared" si="35"/>
        <v>1.62</v>
      </c>
      <c r="AF112" s="123">
        <f t="shared" si="35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3"/>
        <v>8.36</v>
      </c>
      <c r="C113" s="124">
        <v>8.36</v>
      </c>
      <c r="D113" s="123">
        <f t="shared" si="34"/>
        <v>8.36</v>
      </c>
      <c r="E113" s="123">
        <f t="shared" si="34"/>
        <v>8.36</v>
      </c>
      <c r="F113" s="123">
        <f t="shared" si="34"/>
        <v>8.36</v>
      </c>
      <c r="G113" s="123">
        <f t="shared" si="34"/>
        <v>8.36</v>
      </c>
      <c r="H113" s="123">
        <f t="shared" si="34"/>
        <v>8.36</v>
      </c>
      <c r="I113" s="123">
        <f t="shared" si="34"/>
        <v>8.36</v>
      </c>
      <c r="J113" s="123">
        <f t="shared" si="34"/>
        <v>8.36</v>
      </c>
      <c r="K113" s="123">
        <f t="shared" si="34"/>
        <v>8.36</v>
      </c>
      <c r="L113" s="123">
        <f t="shared" si="34"/>
        <v>8.36</v>
      </c>
      <c r="M113" s="123">
        <f t="shared" si="34"/>
        <v>8.36</v>
      </c>
      <c r="N113" s="123">
        <f t="shared" si="34"/>
        <v>8.36</v>
      </c>
      <c r="O113" s="123">
        <f t="shared" si="34"/>
        <v>8.36</v>
      </c>
      <c r="P113" s="123">
        <f t="shared" si="34"/>
        <v>8.36</v>
      </c>
      <c r="Q113" s="123">
        <f t="shared" si="34"/>
        <v>8.36</v>
      </c>
      <c r="R113" s="123">
        <f t="shared" si="34"/>
        <v>8.36</v>
      </c>
      <c r="S113" s="123">
        <f t="shared" si="34"/>
        <v>8.36</v>
      </c>
      <c r="T113" s="123">
        <f t="shared" si="35"/>
        <v>8.36</v>
      </c>
      <c r="U113" s="123">
        <f t="shared" si="35"/>
        <v>8.36</v>
      </c>
      <c r="V113" s="123">
        <f t="shared" si="35"/>
        <v>8.36</v>
      </c>
      <c r="W113" s="123">
        <f t="shared" si="35"/>
        <v>8.36</v>
      </c>
      <c r="X113" s="123">
        <f t="shared" si="35"/>
        <v>8.36</v>
      </c>
      <c r="Y113" s="123">
        <f t="shared" si="35"/>
        <v>8.36</v>
      </c>
      <c r="Z113" s="123">
        <f t="shared" si="35"/>
        <v>8.36</v>
      </c>
      <c r="AA113" s="123">
        <f t="shared" si="35"/>
        <v>8.36</v>
      </c>
      <c r="AB113" s="123">
        <f t="shared" si="35"/>
        <v>8.36</v>
      </c>
      <c r="AC113" s="123">
        <f t="shared" si="35"/>
        <v>8.36</v>
      </c>
      <c r="AD113" s="123">
        <f t="shared" si="35"/>
        <v>8.36</v>
      </c>
      <c r="AE113" s="123">
        <f t="shared" si="35"/>
        <v>8.36</v>
      </c>
      <c r="AF113" s="123">
        <f t="shared" si="35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3"/>
        <v>5.4</v>
      </c>
      <c r="C114" s="124">
        <v>8</v>
      </c>
      <c r="D114" s="123">
        <f t="shared" si="34"/>
        <v>8</v>
      </c>
      <c r="E114" s="123">
        <f t="shared" si="34"/>
        <v>8</v>
      </c>
      <c r="F114" s="123">
        <f t="shared" si="34"/>
        <v>8</v>
      </c>
      <c r="G114" s="123">
        <f t="shared" si="34"/>
        <v>8</v>
      </c>
      <c r="H114" s="123">
        <f t="shared" si="34"/>
        <v>8</v>
      </c>
      <c r="I114" s="123">
        <f t="shared" si="34"/>
        <v>8</v>
      </c>
      <c r="J114" s="123">
        <v>5.4</v>
      </c>
      <c r="K114" s="123">
        <f t="shared" si="34"/>
        <v>5.4</v>
      </c>
      <c r="L114" s="123">
        <f t="shared" si="34"/>
        <v>5.4</v>
      </c>
      <c r="M114" s="123">
        <f t="shared" si="34"/>
        <v>5.4</v>
      </c>
      <c r="N114" s="123">
        <f t="shared" si="34"/>
        <v>5.4</v>
      </c>
      <c r="O114" s="123">
        <f t="shared" si="34"/>
        <v>5.4</v>
      </c>
      <c r="P114" s="123">
        <f t="shared" si="34"/>
        <v>5.4</v>
      </c>
      <c r="Q114" s="123">
        <f t="shared" si="34"/>
        <v>5.4</v>
      </c>
      <c r="R114" s="123">
        <f t="shared" si="34"/>
        <v>5.4</v>
      </c>
      <c r="S114" s="123">
        <f t="shared" si="34"/>
        <v>5.4</v>
      </c>
      <c r="T114" s="123">
        <f t="shared" si="35"/>
        <v>5.4</v>
      </c>
      <c r="U114" s="123">
        <f t="shared" si="35"/>
        <v>5.4</v>
      </c>
      <c r="V114" s="123">
        <f t="shared" si="35"/>
        <v>5.4</v>
      </c>
      <c r="W114" s="123">
        <f t="shared" si="35"/>
        <v>5.4</v>
      </c>
      <c r="X114" s="123">
        <f t="shared" si="35"/>
        <v>5.4</v>
      </c>
      <c r="Y114" s="123">
        <f t="shared" si="35"/>
        <v>5.4</v>
      </c>
      <c r="Z114" s="123">
        <f t="shared" si="35"/>
        <v>5.4</v>
      </c>
      <c r="AA114" s="123">
        <f t="shared" si="35"/>
        <v>5.4</v>
      </c>
      <c r="AB114" s="123">
        <f t="shared" si="35"/>
        <v>5.4</v>
      </c>
      <c r="AC114" s="123">
        <f t="shared" si="35"/>
        <v>5.4</v>
      </c>
      <c r="AD114" s="123">
        <f t="shared" si="35"/>
        <v>5.4</v>
      </c>
      <c r="AE114" s="123">
        <f t="shared" si="35"/>
        <v>5.4</v>
      </c>
      <c r="AF114" s="123">
        <f t="shared" si="35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3"/>
        <v>6.57</v>
      </c>
      <c r="C115" s="124">
        <v>6.57</v>
      </c>
      <c r="D115" s="123">
        <f t="shared" si="34"/>
        <v>6.57</v>
      </c>
      <c r="E115" s="123">
        <f t="shared" si="34"/>
        <v>6.57</v>
      </c>
      <c r="F115" s="123">
        <f t="shared" si="34"/>
        <v>6.57</v>
      </c>
      <c r="G115" s="123">
        <f t="shared" si="34"/>
        <v>6.57</v>
      </c>
      <c r="H115" s="123">
        <f t="shared" si="34"/>
        <v>6.57</v>
      </c>
      <c r="I115" s="123">
        <f t="shared" si="34"/>
        <v>6.57</v>
      </c>
      <c r="J115" s="123">
        <f t="shared" si="34"/>
        <v>6.57</v>
      </c>
      <c r="K115" s="123">
        <f t="shared" si="34"/>
        <v>6.57</v>
      </c>
      <c r="L115" s="123">
        <f t="shared" si="34"/>
        <v>6.57</v>
      </c>
      <c r="M115" s="123">
        <f t="shared" si="34"/>
        <v>6.57</v>
      </c>
      <c r="N115" s="123">
        <f t="shared" si="34"/>
        <v>6.57</v>
      </c>
      <c r="O115" s="123">
        <f t="shared" si="34"/>
        <v>6.57</v>
      </c>
      <c r="P115" s="123">
        <f t="shared" si="34"/>
        <v>6.57</v>
      </c>
      <c r="Q115" s="123">
        <f t="shared" si="34"/>
        <v>6.57</v>
      </c>
      <c r="R115" s="123">
        <f t="shared" si="34"/>
        <v>6.57</v>
      </c>
      <c r="S115" s="123">
        <f t="shared" si="34"/>
        <v>6.57</v>
      </c>
      <c r="T115" s="123">
        <f t="shared" si="35"/>
        <v>6.57</v>
      </c>
      <c r="U115" s="123">
        <f t="shared" si="35"/>
        <v>6.57</v>
      </c>
      <c r="V115" s="123">
        <f t="shared" si="35"/>
        <v>6.57</v>
      </c>
      <c r="W115" s="123">
        <f t="shared" si="35"/>
        <v>6.57</v>
      </c>
      <c r="X115" s="123">
        <f t="shared" si="35"/>
        <v>6.57</v>
      </c>
      <c r="Y115" s="123">
        <f t="shared" si="35"/>
        <v>6.57</v>
      </c>
      <c r="Z115" s="123">
        <f t="shared" si="35"/>
        <v>6.57</v>
      </c>
      <c r="AA115" s="123">
        <f t="shared" si="35"/>
        <v>6.57</v>
      </c>
      <c r="AB115" s="123">
        <f t="shared" si="35"/>
        <v>6.57</v>
      </c>
      <c r="AC115" s="123">
        <f t="shared" si="35"/>
        <v>6.57</v>
      </c>
      <c r="AD115" s="123">
        <f t="shared" si="35"/>
        <v>6.57</v>
      </c>
      <c r="AE115" s="123">
        <f t="shared" si="35"/>
        <v>6.57</v>
      </c>
      <c r="AF115" s="123">
        <f t="shared" si="35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3"/>
        <v>3.43</v>
      </c>
      <c r="C116" s="124">
        <v>3.43</v>
      </c>
      <c r="D116" s="123">
        <f t="shared" si="34"/>
        <v>3.43</v>
      </c>
      <c r="E116" s="123">
        <f t="shared" si="34"/>
        <v>3.43</v>
      </c>
      <c r="F116" s="123">
        <f t="shared" si="34"/>
        <v>3.43</v>
      </c>
      <c r="G116" s="123">
        <f t="shared" si="34"/>
        <v>3.43</v>
      </c>
      <c r="H116" s="123">
        <f t="shared" si="34"/>
        <v>3.43</v>
      </c>
      <c r="I116" s="123">
        <f t="shared" si="34"/>
        <v>3.43</v>
      </c>
      <c r="J116" s="123">
        <f t="shared" si="34"/>
        <v>3.43</v>
      </c>
      <c r="K116" s="123">
        <f t="shared" si="34"/>
        <v>3.43</v>
      </c>
      <c r="L116" s="123">
        <f t="shared" si="34"/>
        <v>3.43</v>
      </c>
      <c r="M116" s="123">
        <f t="shared" si="34"/>
        <v>3.43</v>
      </c>
      <c r="N116" s="123">
        <f t="shared" si="34"/>
        <v>3.43</v>
      </c>
      <c r="O116" s="123">
        <f t="shared" si="34"/>
        <v>3.43</v>
      </c>
      <c r="P116" s="123">
        <f t="shared" si="34"/>
        <v>3.43</v>
      </c>
      <c r="Q116" s="123">
        <f t="shared" si="34"/>
        <v>3.43</v>
      </c>
      <c r="R116" s="123">
        <f t="shared" si="34"/>
        <v>3.43</v>
      </c>
      <c r="S116" s="123">
        <f t="shared" si="34"/>
        <v>3.43</v>
      </c>
      <c r="T116" s="123">
        <f t="shared" si="35"/>
        <v>3.43</v>
      </c>
      <c r="U116" s="123">
        <f t="shared" si="35"/>
        <v>3.43</v>
      </c>
      <c r="V116" s="123">
        <f t="shared" si="35"/>
        <v>3.43</v>
      </c>
      <c r="W116" s="123">
        <f t="shared" si="35"/>
        <v>3.43</v>
      </c>
      <c r="X116" s="123">
        <f t="shared" si="35"/>
        <v>3.43</v>
      </c>
      <c r="Y116" s="123">
        <f t="shared" si="35"/>
        <v>3.43</v>
      </c>
      <c r="Z116" s="123">
        <f t="shared" si="35"/>
        <v>3.43</v>
      </c>
      <c r="AA116" s="123">
        <f t="shared" si="35"/>
        <v>3.43</v>
      </c>
      <c r="AB116" s="123">
        <f t="shared" si="35"/>
        <v>3.43</v>
      </c>
      <c r="AC116" s="123">
        <f t="shared" si="35"/>
        <v>3.43</v>
      </c>
      <c r="AD116" s="123">
        <f t="shared" si="35"/>
        <v>3.43</v>
      </c>
      <c r="AE116" s="123">
        <f t="shared" si="35"/>
        <v>3.43</v>
      </c>
      <c r="AF116" s="123">
        <f t="shared" si="35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3"/>
        <v>2.96</v>
      </c>
      <c r="C117" s="124">
        <v>2.96</v>
      </c>
      <c r="D117" s="123">
        <f t="shared" si="34"/>
        <v>2.96</v>
      </c>
      <c r="E117" s="123">
        <f t="shared" si="34"/>
        <v>2.96</v>
      </c>
      <c r="F117" s="123">
        <f t="shared" si="34"/>
        <v>2.96</v>
      </c>
      <c r="G117" s="123">
        <f t="shared" si="34"/>
        <v>2.96</v>
      </c>
      <c r="H117" s="123">
        <f t="shared" si="34"/>
        <v>2.96</v>
      </c>
      <c r="I117" s="123">
        <f t="shared" si="34"/>
        <v>2.96</v>
      </c>
      <c r="J117" s="123">
        <f t="shared" si="34"/>
        <v>2.96</v>
      </c>
      <c r="K117" s="123">
        <f t="shared" si="34"/>
        <v>2.96</v>
      </c>
      <c r="L117" s="123">
        <f t="shared" si="34"/>
        <v>2.96</v>
      </c>
      <c r="M117" s="123">
        <f t="shared" si="34"/>
        <v>2.96</v>
      </c>
      <c r="N117" s="123">
        <f t="shared" si="34"/>
        <v>2.96</v>
      </c>
      <c r="O117" s="123">
        <f t="shared" si="34"/>
        <v>2.96</v>
      </c>
      <c r="P117" s="123">
        <f t="shared" si="34"/>
        <v>2.96</v>
      </c>
      <c r="Q117" s="123">
        <f t="shared" si="34"/>
        <v>2.96</v>
      </c>
      <c r="R117" s="123">
        <f t="shared" si="34"/>
        <v>2.96</v>
      </c>
      <c r="S117" s="123">
        <f t="shared" si="34"/>
        <v>2.96</v>
      </c>
      <c r="T117" s="123">
        <f t="shared" si="35"/>
        <v>2.96</v>
      </c>
      <c r="U117" s="123">
        <f t="shared" si="35"/>
        <v>2.96</v>
      </c>
      <c r="V117" s="123">
        <f t="shared" si="35"/>
        <v>2.96</v>
      </c>
      <c r="W117" s="123">
        <f t="shared" si="35"/>
        <v>2.96</v>
      </c>
      <c r="X117" s="123">
        <f t="shared" si="35"/>
        <v>2.96</v>
      </c>
      <c r="Y117" s="123">
        <f t="shared" si="35"/>
        <v>2.96</v>
      </c>
      <c r="Z117" s="123">
        <f t="shared" si="35"/>
        <v>2.96</v>
      </c>
      <c r="AA117" s="123">
        <f t="shared" si="35"/>
        <v>2.96</v>
      </c>
      <c r="AB117" s="123">
        <f t="shared" si="35"/>
        <v>2.96</v>
      </c>
      <c r="AC117" s="123">
        <f t="shared" si="35"/>
        <v>2.96</v>
      </c>
      <c r="AD117" s="123">
        <f t="shared" si="35"/>
        <v>2.96</v>
      </c>
      <c r="AE117" s="123">
        <f t="shared" si="35"/>
        <v>2.96</v>
      </c>
      <c r="AF117" s="123">
        <f t="shared" si="35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3"/>
        <v>8</v>
      </c>
      <c r="C118" s="124">
        <v>8</v>
      </c>
      <c r="D118" s="123">
        <f t="shared" si="34"/>
        <v>8</v>
      </c>
      <c r="E118" s="123">
        <f t="shared" si="34"/>
        <v>8</v>
      </c>
      <c r="F118" s="123">
        <f t="shared" si="34"/>
        <v>8</v>
      </c>
      <c r="G118" s="123">
        <f t="shared" si="34"/>
        <v>8</v>
      </c>
      <c r="H118" s="123">
        <f t="shared" si="34"/>
        <v>8</v>
      </c>
      <c r="I118" s="123">
        <f t="shared" si="34"/>
        <v>8</v>
      </c>
      <c r="J118" s="123">
        <f t="shared" si="34"/>
        <v>8</v>
      </c>
      <c r="K118" s="123">
        <f t="shared" si="34"/>
        <v>8</v>
      </c>
      <c r="L118" s="123">
        <f t="shared" si="34"/>
        <v>8</v>
      </c>
      <c r="M118" s="123">
        <f t="shared" si="34"/>
        <v>8</v>
      </c>
      <c r="N118" s="123">
        <f t="shared" si="34"/>
        <v>8</v>
      </c>
      <c r="O118" s="123">
        <f t="shared" si="34"/>
        <v>8</v>
      </c>
      <c r="P118" s="123">
        <f t="shared" si="34"/>
        <v>8</v>
      </c>
      <c r="Q118" s="123">
        <f t="shared" si="34"/>
        <v>8</v>
      </c>
      <c r="R118" s="123">
        <f t="shared" si="34"/>
        <v>8</v>
      </c>
      <c r="S118" s="123">
        <f t="shared" si="34"/>
        <v>8</v>
      </c>
      <c r="T118" s="123">
        <f t="shared" si="35"/>
        <v>8</v>
      </c>
      <c r="U118" s="123">
        <f t="shared" si="35"/>
        <v>8</v>
      </c>
      <c r="V118" s="123">
        <f t="shared" si="35"/>
        <v>8</v>
      </c>
      <c r="W118" s="123">
        <f t="shared" si="35"/>
        <v>8</v>
      </c>
      <c r="X118" s="123">
        <f t="shared" si="35"/>
        <v>8</v>
      </c>
      <c r="Y118" s="123">
        <f t="shared" si="35"/>
        <v>8</v>
      </c>
      <c r="Z118" s="123">
        <f t="shared" si="35"/>
        <v>8</v>
      </c>
      <c r="AA118" s="123">
        <f t="shared" si="35"/>
        <v>8</v>
      </c>
      <c r="AB118" s="123">
        <f t="shared" si="35"/>
        <v>8</v>
      </c>
      <c r="AC118" s="123">
        <f t="shared" si="35"/>
        <v>8</v>
      </c>
      <c r="AD118" s="123">
        <f t="shared" si="35"/>
        <v>8</v>
      </c>
      <c r="AE118" s="123">
        <f t="shared" si="35"/>
        <v>8</v>
      </c>
      <c r="AF118" s="123">
        <f t="shared" si="35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3"/>
        <v>7</v>
      </c>
      <c r="C119" s="124">
        <v>7</v>
      </c>
      <c r="D119" s="123">
        <f>C119</f>
        <v>7</v>
      </c>
      <c r="E119" s="123">
        <f t="shared" si="34"/>
        <v>7</v>
      </c>
      <c r="F119" s="123">
        <f t="shared" si="34"/>
        <v>7</v>
      </c>
      <c r="G119" s="123">
        <f t="shared" si="34"/>
        <v>7</v>
      </c>
      <c r="H119" s="123">
        <f t="shared" si="34"/>
        <v>7</v>
      </c>
      <c r="I119" s="123">
        <f t="shared" si="34"/>
        <v>7</v>
      </c>
      <c r="J119" s="123">
        <f t="shared" si="34"/>
        <v>7</v>
      </c>
      <c r="K119" s="123">
        <f t="shared" si="34"/>
        <v>7</v>
      </c>
      <c r="L119" s="123">
        <f t="shared" si="34"/>
        <v>7</v>
      </c>
      <c r="M119" s="123">
        <f t="shared" si="34"/>
        <v>7</v>
      </c>
      <c r="N119" s="123">
        <f t="shared" si="34"/>
        <v>7</v>
      </c>
      <c r="O119" s="123">
        <f t="shared" si="34"/>
        <v>7</v>
      </c>
      <c r="P119" s="123">
        <f t="shared" si="34"/>
        <v>7</v>
      </c>
      <c r="Q119" s="123">
        <f t="shared" si="34"/>
        <v>7</v>
      </c>
      <c r="R119" s="123">
        <f t="shared" si="34"/>
        <v>7</v>
      </c>
      <c r="S119" s="123">
        <f t="shared" si="34"/>
        <v>7</v>
      </c>
      <c r="T119" s="123">
        <f t="shared" si="35"/>
        <v>7</v>
      </c>
      <c r="U119" s="123">
        <f t="shared" si="35"/>
        <v>7</v>
      </c>
      <c r="V119" s="123">
        <f t="shared" si="35"/>
        <v>7</v>
      </c>
      <c r="W119" s="123">
        <f t="shared" si="35"/>
        <v>7</v>
      </c>
      <c r="X119" s="123">
        <f t="shared" si="35"/>
        <v>7</v>
      </c>
      <c r="Y119" s="123">
        <f t="shared" si="35"/>
        <v>7</v>
      </c>
      <c r="Z119" s="123">
        <f t="shared" si="35"/>
        <v>7</v>
      </c>
      <c r="AA119" s="123">
        <f t="shared" si="35"/>
        <v>7</v>
      </c>
      <c r="AB119" s="123">
        <f t="shared" si="35"/>
        <v>7</v>
      </c>
      <c r="AC119" s="123">
        <f t="shared" si="35"/>
        <v>7</v>
      </c>
      <c r="AD119" s="123">
        <f t="shared" si="35"/>
        <v>7</v>
      </c>
      <c r="AE119" s="123">
        <f t="shared" si="35"/>
        <v>7</v>
      </c>
      <c r="AF119" s="123">
        <f t="shared" si="35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3"/>
        <v>3.47</v>
      </c>
      <c r="C120" s="124">
        <v>3.47</v>
      </c>
      <c r="D120" s="123">
        <f t="shared" ref="D120:S129" si="36">C120</f>
        <v>3.47</v>
      </c>
      <c r="E120" s="123">
        <f t="shared" si="36"/>
        <v>3.47</v>
      </c>
      <c r="F120" s="123">
        <f t="shared" si="36"/>
        <v>3.47</v>
      </c>
      <c r="G120" s="123">
        <f t="shared" si="36"/>
        <v>3.47</v>
      </c>
      <c r="H120" s="123">
        <f t="shared" si="36"/>
        <v>3.47</v>
      </c>
      <c r="I120" s="123">
        <f t="shared" si="36"/>
        <v>3.47</v>
      </c>
      <c r="J120" s="123">
        <f t="shared" si="36"/>
        <v>3.47</v>
      </c>
      <c r="K120" s="123">
        <f t="shared" si="36"/>
        <v>3.47</v>
      </c>
      <c r="L120" s="123">
        <f t="shared" si="36"/>
        <v>3.47</v>
      </c>
      <c r="M120" s="123">
        <f t="shared" si="36"/>
        <v>3.47</v>
      </c>
      <c r="N120" s="123">
        <f t="shared" si="36"/>
        <v>3.47</v>
      </c>
      <c r="O120" s="123">
        <f t="shared" si="36"/>
        <v>3.47</v>
      </c>
      <c r="P120" s="123">
        <f t="shared" si="36"/>
        <v>3.47</v>
      </c>
      <c r="Q120" s="123">
        <f t="shared" si="36"/>
        <v>3.47</v>
      </c>
      <c r="R120" s="123">
        <f t="shared" si="36"/>
        <v>3.47</v>
      </c>
      <c r="S120" s="123">
        <f t="shared" si="36"/>
        <v>3.47</v>
      </c>
      <c r="T120" s="123">
        <f t="shared" si="35"/>
        <v>3.47</v>
      </c>
      <c r="U120" s="123">
        <f t="shared" si="35"/>
        <v>3.47</v>
      </c>
      <c r="V120" s="123">
        <f t="shared" si="35"/>
        <v>3.47</v>
      </c>
      <c r="W120" s="123">
        <f t="shared" si="35"/>
        <v>3.47</v>
      </c>
      <c r="X120" s="123">
        <f t="shared" si="35"/>
        <v>3.47</v>
      </c>
      <c r="Y120" s="123">
        <f t="shared" si="35"/>
        <v>3.47</v>
      </c>
      <c r="Z120" s="123">
        <f t="shared" si="35"/>
        <v>3.47</v>
      </c>
      <c r="AA120" s="123">
        <f t="shared" si="35"/>
        <v>3.47</v>
      </c>
      <c r="AB120" s="123">
        <f t="shared" si="35"/>
        <v>3.47</v>
      </c>
      <c r="AC120" s="123">
        <f t="shared" si="35"/>
        <v>3.47</v>
      </c>
      <c r="AD120" s="123">
        <f t="shared" si="35"/>
        <v>3.47</v>
      </c>
      <c r="AE120" s="123">
        <f t="shared" si="35"/>
        <v>3.47</v>
      </c>
      <c r="AF120" s="123">
        <f t="shared" si="35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3"/>
        <v>2.1</v>
      </c>
      <c r="C121" s="124">
        <v>2.1</v>
      </c>
      <c r="D121" s="123">
        <f t="shared" si="36"/>
        <v>2.1</v>
      </c>
      <c r="E121" s="123">
        <f t="shared" si="36"/>
        <v>2.1</v>
      </c>
      <c r="F121" s="123">
        <f t="shared" si="36"/>
        <v>2.1</v>
      </c>
      <c r="G121" s="123">
        <f t="shared" si="36"/>
        <v>2.1</v>
      </c>
      <c r="H121" s="123">
        <f t="shared" si="36"/>
        <v>2.1</v>
      </c>
      <c r="I121" s="123">
        <f t="shared" si="36"/>
        <v>2.1</v>
      </c>
      <c r="J121" s="123">
        <f t="shared" si="36"/>
        <v>2.1</v>
      </c>
      <c r="K121" s="123">
        <f t="shared" si="36"/>
        <v>2.1</v>
      </c>
      <c r="L121" s="123">
        <f t="shared" si="36"/>
        <v>2.1</v>
      </c>
      <c r="M121" s="123">
        <f t="shared" si="36"/>
        <v>2.1</v>
      </c>
      <c r="N121" s="123">
        <f t="shared" si="36"/>
        <v>2.1</v>
      </c>
      <c r="O121" s="123">
        <f t="shared" si="36"/>
        <v>2.1</v>
      </c>
      <c r="P121" s="123">
        <f t="shared" si="36"/>
        <v>2.1</v>
      </c>
      <c r="Q121" s="123">
        <f t="shared" si="36"/>
        <v>2.1</v>
      </c>
      <c r="R121" s="123">
        <f t="shared" si="36"/>
        <v>2.1</v>
      </c>
      <c r="S121" s="123">
        <f t="shared" si="36"/>
        <v>2.1</v>
      </c>
      <c r="T121" s="123">
        <f t="shared" si="35"/>
        <v>2.1</v>
      </c>
      <c r="U121" s="123">
        <f t="shared" si="35"/>
        <v>2.1</v>
      </c>
      <c r="V121" s="123">
        <f t="shared" si="35"/>
        <v>2.1</v>
      </c>
      <c r="W121" s="123">
        <f t="shared" si="35"/>
        <v>2.1</v>
      </c>
      <c r="X121" s="123">
        <f t="shared" si="35"/>
        <v>2.1</v>
      </c>
      <c r="Y121" s="123">
        <f t="shared" si="35"/>
        <v>2.1</v>
      </c>
      <c r="Z121" s="123">
        <f t="shared" si="35"/>
        <v>2.1</v>
      </c>
      <c r="AA121" s="123">
        <f t="shared" si="35"/>
        <v>2.1</v>
      </c>
      <c r="AB121" s="123">
        <f t="shared" si="35"/>
        <v>2.1</v>
      </c>
      <c r="AC121" s="123">
        <f t="shared" si="35"/>
        <v>2.1</v>
      </c>
      <c r="AD121" s="123">
        <f t="shared" si="35"/>
        <v>2.1</v>
      </c>
      <c r="AE121" s="123">
        <f t="shared" si="35"/>
        <v>2.1</v>
      </c>
      <c r="AF121" s="123">
        <f t="shared" si="35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3"/>
        <v>9.3000000000000007</v>
      </c>
      <c r="C122" s="124">
        <v>9.3000000000000007</v>
      </c>
      <c r="D122" s="123">
        <f t="shared" si="36"/>
        <v>9.3000000000000007</v>
      </c>
      <c r="E122" s="123">
        <f t="shared" si="36"/>
        <v>9.3000000000000007</v>
      </c>
      <c r="F122" s="123">
        <f t="shared" si="36"/>
        <v>9.3000000000000007</v>
      </c>
      <c r="G122" s="123">
        <f t="shared" si="36"/>
        <v>9.3000000000000007</v>
      </c>
      <c r="H122" s="123">
        <f t="shared" si="36"/>
        <v>9.3000000000000007</v>
      </c>
      <c r="I122" s="123">
        <f t="shared" si="36"/>
        <v>9.3000000000000007</v>
      </c>
      <c r="J122" s="123">
        <f t="shared" si="36"/>
        <v>9.3000000000000007</v>
      </c>
      <c r="K122" s="123">
        <f t="shared" si="36"/>
        <v>9.3000000000000007</v>
      </c>
      <c r="L122" s="123">
        <f t="shared" si="36"/>
        <v>9.3000000000000007</v>
      </c>
      <c r="M122" s="123">
        <f t="shared" si="36"/>
        <v>9.3000000000000007</v>
      </c>
      <c r="N122" s="123">
        <f t="shared" si="36"/>
        <v>9.3000000000000007</v>
      </c>
      <c r="O122" s="123">
        <f t="shared" si="36"/>
        <v>9.3000000000000007</v>
      </c>
      <c r="P122" s="123">
        <f t="shared" si="36"/>
        <v>9.3000000000000007</v>
      </c>
      <c r="Q122" s="123">
        <f t="shared" si="36"/>
        <v>9.3000000000000007</v>
      </c>
      <c r="R122" s="123">
        <f t="shared" si="36"/>
        <v>9.3000000000000007</v>
      </c>
      <c r="S122" s="123">
        <f t="shared" si="36"/>
        <v>9.3000000000000007</v>
      </c>
      <c r="T122" s="123">
        <f t="shared" si="35"/>
        <v>9.3000000000000007</v>
      </c>
      <c r="U122" s="123">
        <f t="shared" si="35"/>
        <v>9.3000000000000007</v>
      </c>
      <c r="V122" s="123">
        <f t="shared" si="35"/>
        <v>9.3000000000000007</v>
      </c>
      <c r="W122" s="123">
        <f t="shared" si="35"/>
        <v>9.3000000000000007</v>
      </c>
      <c r="X122" s="123">
        <f t="shared" si="35"/>
        <v>9.3000000000000007</v>
      </c>
      <c r="Y122" s="123">
        <f t="shared" si="35"/>
        <v>9.3000000000000007</v>
      </c>
      <c r="Z122" s="123">
        <f t="shared" si="35"/>
        <v>9.3000000000000007</v>
      </c>
      <c r="AA122" s="123">
        <f t="shared" si="35"/>
        <v>9.3000000000000007</v>
      </c>
      <c r="AB122" s="123">
        <f t="shared" si="35"/>
        <v>9.3000000000000007</v>
      </c>
      <c r="AC122" s="123">
        <f t="shared" si="35"/>
        <v>9.3000000000000007</v>
      </c>
      <c r="AD122" s="123">
        <f t="shared" si="35"/>
        <v>9.3000000000000007</v>
      </c>
      <c r="AE122" s="123">
        <f t="shared" si="35"/>
        <v>9.3000000000000007</v>
      </c>
      <c r="AF122" s="123">
        <f t="shared" si="35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3"/>
        <v>0</v>
      </c>
      <c r="C123" s="124">
        <v>0</v>
      </c>
      <c r="D123" s="123">
        <f t="shared" si="36"/>
        <v>0</v>
      </c>
      <c r="E123" s="123">
        <f t="shared" si="36"/>
        <v>0</v>
      </c>
      <c r="F123" s="123">
        <f t="shared" si="36"/>
        <v>0</v>
      </c>
      <c r="G123" s="123">
        <f t="shared" si="36"/>
        <v>0</v>
      </c>
      <c r="H123" s="123">
        <f t="shared" si="36"/>
        <v>0</v>
      </c>
      <c r="I123" s="123">
        <f t="shared" si="36"/>
        <v>0</v>
      </c>
      <c r="J123" s="123">
        <f t="shared" si="36"/>
        <v>0</v>
      </c>
      <c r="K123" s="123">
        <f t="shared" si="36"/>
        <v>0</v>
      </c>
      <c r="L123" s="123">
        <f t="shared" si="36"/>
        <v>0</v>
      </c>
      <c r="M123" s="123">
        <f t="shared" si="36"/>
        <v>0</v>
      </c>
      <c r="N123" s="123">
        <f t="shared" si="36"/>
        <v>0</v>
      </c>
      <c r="O123" s="123">
        <f t="shared" si="36"/>
        <v>0</v>
      </c>
      <c r="P123" s="123">
        <f t="shared" si="36"/>
        <v>0</v>
      </c>
      <c r="Q123" s="123">
        <f t="shared" si="36"/>
        <v>0</v>
      </c>
      <c r="R123" s="123">
        <f t="shared" si="36"/>
        <v>0</v>
      </c>
      <c r="S123" s="123">
        <f t="shared" si="36"/>
        <v>0</v>
      </c>
      <c r="T123" s="123">
        <f t="shared" si="35"/>
        <v>0</v>
      </c>
      <c r="U123" s="123">
        <f t="shared" si="35"/>
        <v>0</v>
      </c>
      <c r="V123" s="123">
        <f t="shared" si="35"/>
        <v>0</v>
      </c>
      <c r="W123" s="123">
        <f t="shared" si="35"/>
        <v>0</v>
      </c>
      <c r="X123" s="123">
        <f t="shared" si="35"/>
        <v>0</v>
      </c>
      <c r="Y123" s="123">
        <f t="shared" si="35"/>
        <v>0</v>
      </c>
      <c r="Z123" s="123">
        <f t="shared" si="35"/>
        <v>0</v>
      </c>
      <c r="AA123" s="123">
        <f t="shared" si="35"/>
        <v>0</v>
      </c>
      <c r="AB123" s="123">
        <f t="shared" si="35"/>
        <v>0</v>
      </c>
      <c r="AC123" s="123">
        <f t="shared" si="35"/>
        <v>0</v>
      </c>
      <c r="AD123" s="123">
        <f t="shared" si="35"/>
        <v>0</v>
      </c>
      <c r="AE123" s="123">
        <f t="shared" si="35"/>
        <v>0</v>
      </c>
      <c r="AF123" s="123">
        <f t="shared" si="35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3"/>
        <v>0</v>
      </c>
      <c r="C124" s="124">
        <v>0</v>
      </c>
      <c r="D124" s="123">
        <f t="shared" si="36"/>
        <v>0</v>
      </c>
      <c r="E124" s="123">
        <f t="shared" si="36"/>
        <v>0</v>
      </c>
      <c r="F124" s="123">
        <f t="shared" si="36"/>
        <v>0</v>
      </c>
      <c r="G124" s="123">
        <f t="shared" si="36"/>
        <v>0</v>
      </c>
      <c r="H124" s="123">
        <f t="shared" si="36"/>
        <v>0</v>
      </c>
      <c r="I124" s="123">
        <f t="shared" si="36"/>
        <v>0</v>
      </c>
      <c r="J124" s="123">
        <f t="shared" si="36"/>
        <v>0</v>
      </c>
      <c r="K124" s="123">
        <f t="shared" si="36"/>
        <v>0</v>
      </c>
      <c r="L124" s="123">
        <f t="shared" si="36"/>
        <v>0</v>
      </c>
      <c r="M124" s="123">
        <f t="shared" si="36"/>
        <v>0</v>
      </c>
      <c r="N124" s="123">
        <f t="shared" si="36"/>
        <v>0</v>
      </c>
      <c r="O124" s="123">
        <f t="shared" si="36"/>
        <v>0</v>
      </c>
      <c r="P124" s="123">
        <f t="shared" si="36"/>
        <v>0</v>
      </c>
      <c r="Q124" s="123">
        <f t="shared" si="36"/>
        <v>0</v>
      </c>
      <c r="R124" s="123">
        <f t="shared" si="36"/>
        <v>0</v>
      </c>
      <c r="S124" s="123">
        <f t="shared" si="36"/>
        <v>0</v>
      </c>
      <c r="T124" s="123">
        <f t="shared" si="35"/>
        <v>0</v>
      </c>
      <c r="U124" s="123">
        <f t="shared" si="35"/>
        <v>0</v>
      </c>
      <c r="V124" s="123">
        <f t="shared" si="35"/>
        <v>0</v>
      </c>
      <c r="W124" s="123">
        <f t="shared" si="35"/>
        <v>0</v>
      </c>
      <c r="X124" s="123">
        <f t="shared" si="35"/>
        <v>0</v>
      </c>
      <c r="Y124" s="123">
        <f t="shared" si="35"/>
        <v>0</v>
      </c>
      <c r="Z124" s="123">
        <f t="shared" si="35"/>
        <v>0</v>
      </c>
      <c r="AA124" s="123">
        <f t="shared" si="35"/>
        <v>0</v>
      </c>
      <c r="AB124" s="123">
        <f t="shared" si="35"/>
        <v>0</v>
      </c>
      <c r="AC124" s="123">
        <f t="shared" si="35"/>
        <v>0</v>
      </c>
      <c r="AD124" s="123">
        <f t="shared" si="35"/>
        <v>0</v>
      </c>
      <c r="AE124" s="123">
        <f t="shared" si="35"/>
        <v>0</v>
      </c>
      <c r="AF124" s="123">
        <f t="shared" si="35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3"/>
        <v>;/</v>
      </c>
      <c r="C125" s="124">
        <v>5</v>
      </c>
      <c r="D125" s="123">
        <f t="shared" si="36"/>
        <v>5</v>
      </c>
      <c r="E125" s="123">
        <f t="shared" si="36"/>
        <v>5</v>
      </c>
      <c r="F125" s="123">
        <f t="shared" si="36"/>
        <v>5</v>
      </c>
      <c r="G125" s="123">
        <f t="shared" si="36"/>
        <v>5</v>
      </c>
      <c r="H125" s="123">
        <f t="shared" si="36"/>
        <v>5</v>
      </c>
      <c r="I125" s="123" t="s">
        <v>130</v>
      </c>
      <c r="J125" s="123" t="str">
        <f t="shared" si="36"/>
        <v>;/</v>
      </c>
      <c r="K125" s="123" t="str">
        <f t="shared" si="36"/>
        <v>;/</v>
      </c>
      <c r="L125" s="123" t="str">
        <f t="shared" si="36"/>
        <v>;/</v>
      </c>
      <c r="M125" s="123" t="str">
        <f t="shared" si="36"/>
        <v>;/</v>
      </c>
      <c r="N125" s="123" t="str">
        <f t="shared" si="36"/>
        <v>;/</v>
      </c>
      <c r="O125" s="123" t="str">
        <f t="shared" si="36"/>
        <v>;/</v>
      </c>
      <c r="P125" s="123" t="str">
        <f t="shared" si="36"/>
        <v>;/</v>
      </c>
      <c r="Q125" s="123" t="str">
        <f t="shared" si="36"/>
        <v>;/</v>
      </c>
      <c r="R125" s="123" t="str">
        <f t="shared" si="36"/>
        <v>;/</v>
      </c>
      <c r="S125" s="123" t="str">
        <f t="shared" si="36"/>
        <v>;/</v>
      </c>
      <c r="T125" s="123" t="str">
        <f t="shared" si="35"/>
        <v>;/</v>
      </c>
      <c r="U125" s="123" t="str">
        <f t="shared" si="35"/>
        <v>;/</v>
      </c>
      <c r="V125" s="123" t="str">
        <f t="shared" si="35"/>
        <v>;/</v>
      </c>
      <c r="W125" s="123" t="str">
        <f t="shared" si="35"/>
        <v>;/</v>
      </c>
      <c r="X125" s="123" t="str">
        <f t="shared" si="35"/>
        <v>;/</v>
      </c>
      <c r="Y125" s="123" t="str">
        <f t="shared" si="35"/>
        <v>;/</v>
      </c>
      <c r="Z125" s="123" t="str">
        <f t="shared" si="35"/>
        <v>;/</v>
      </c>
      <c r="AA125" s="123" t="str">
        <f t="shared" si="35"/>
        <v>;/</v>
      </c>
      <c r="AB125" s="123" t="str">
        <f t="shared" si="35"/>
        <v>;/</v>
      </c>
      <c r="AC125" s="123" t="str">
        <f t="shared" si="35"/>
        <v>;/</v>
      </c>
      <c r="AD125" s="123" t="str">
        <f t="shared" si="35"/>
        <v>;/</v>
      </c>
      <c r="AE125" s="123" t="str">
        <f t="shared" si="35"/>
        <v>;/</v>
      </c>
      <c r="AF125" s="123" t="str">
        <f t="shared" si="35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3"/>
        <v>1</v>
      </c>
      <c r="C126" s="124">
        <v>1</v>
      </c>
      <c r="D126" s="123">
        <f t="shared" si="36"/>
        <v>1</v>
      </c>
      <c r="E126" s="123">
        <f t="shared" si="36"/>
        <v>1</v>
      </c>
      <c r="F126" s="123">
        <f t="shared" si="36"/>
        <v>1</v>
      </c>
      <c r="G126" s="123">
        <f t="shared" si="36"/>
        <v>1</v>
      </c>
      <c r="H126" s="123">
        <f t="shared" si="36"/>
        <v>1</v>
      </c>
      <c r="I126" s="123">
        <f t="shared" si="36"/>
        <v>1</v>
      </c>
      <c r="J126" s="123">
        <f t="shared" si="36"/>
        <v>1</v>
      </c>
      <c r="K126" s="123">
        <f t="shared" si="36"/>
        <v>1</v>
      </c>
      <c r="L126" s="123">
        <f t="shared" si="36"/>
        <v>1</v>
      </c>
      <c r="M126" s="123">
        <f t="shared" si="36"/>
        <v>1</v>
      </c>
      <c r="N126" s="123">
        <f t="shared" si="36"/>
        <v>1</v>
      </c>
      <c r="O126" s="123">
        <f t="shared" si="36"/>
        <v>1</v>
      </c>
      <c r="P126" s="123">
        <f t="shared" si="36"/>
        <v>1</v>
      </c>
      <c r="Q126" s="123">
        <f t="shared" si="36"/>
        <v>1</v>
      </c>
      <c r="R126" s="123">
        <f t="shared" si="36"/>
        <v>1</v>
      </c>
      <c r="S126" s="123">
        <f t="shared" si="36"/>
        <v>1</v>
      </c>
      <c r="T126" s="123">
        <f t="shared" si="35"/>
        <v>1</v>
      </c>
      <c r="U126" s="123">
        <f t="shared" si="35"/>
        <v>1</v>
      </c>
      <c r="V126" s="123">
        <f t="shared" si="35"/>
        <v>1</v>
      </c>
      <c r="W126" s="123">
        <f t="shared" si="35"/>
        <v>1</v>
      </c>
      <c r="X126" s="123">
        <f t="shared" si="35"/>
        <v>1</v>
      </c>
      <c r="Y126" s="123">
        <f t="shared" si="35"/>
        <v>1</v>
      </c>
      <c r="Z126" s="123">
        <f t="shared" si="35"/>
        <v>1</v>
      </c>
      <c r="AA126" s="123">
        <f t="shared" si="35"/>
        <v>1</v>
      </c>
      <c r="AB126" s="123">
        <f t="shared" si="35"/>
        <v>1</v>
      </c>
      <c r="AC126" s="123">
        <f t="shared" si="35"/>
        <v>1</v>
      </c>
      <c r="AD126" s="123">
        <f t="shared" si="35"/>
        <v>1</v>
      </c>
      <c r="AE126" s="123">
        <f t="shared" si="35"/>
        <v>1</v>
      </c>
      <c r="AF126" s="123">
        <f t="shared" si="35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3"/>
        <v>1.58</v>
      </c>
      <c r="C127" s="124">
        <v>1.58</v>
      </c>
      <c r="D127" s="123">
        <f t="shared" si="36"/>
        <v>1.58</v>
      </c>
      <c r="E127" s="123">
        <f t="shared" si="36"/>
        <v>1.58</v>
      </c>
      <c r="F127" s="123">
        <f t="shared" si="36"/>
        <v>1.58</v>
      </c>
      <c r="G127" s="123">
        <f t="shared" si="36"/>
        <v>1.58</v>
      </c>
      <c r="H127" s="123">
        <f t="shared" si="36"/>
        <v>1.58</v>
      </c>
      <c r="I127" s="123">
        <f t="shared" si="36"/>
        <v>1.58</v>
      </c>
      <c r="J127" s="123">
        <f t="shared" si="36"/>
        <v>1.58</v>
      </c>
      <c r="K127" s="123">
        <f t="shared" si="36"/>
        <v>1.58</v>
      </c>
      <c r="L127" s="123">
        <f t="shared" si="36"/>
        <v>1.58</v>
      </c>
      <c r="M127" s="123">
        <f t="shared" si="36"/>
        <v>1.58</v>
      </c>
      <c r="N127" s="123">
        <f t="shared" si="36"/>
        <v>1.58</v>
      </c>
      <c r="O127" s="123">
        <f t="shared" si="36"/>
        <v>1.58</v>
      </c>
      <c r="P127" s="123">
        <f t="shared" si="36"/>
        <v>1.58</v>
      </c>
      <c r="Q127" s="123">
        <f t="shared" si="36"/>
        <v>1.58</v>
      </c>
      <c r="R127" s="123">
        <f t="shared" si="36"/>
        <v>1.58</v>
      </c>
      <c r="S127" s="123">
        <f t="shared" si="36"/>
        <v>1.58</v>
      </c>
      <c r="T127" s="123">
        <f t="shared" si="35"/>
        <v>1.58</v>
      </c>
      <c r="U127" s="123">
        <f t="shared" si="35"/>
        <v>1.58</v>
      </c>
      <c r="V127" s="123">
        <f t="shared" si="35"/>
        <v>1.58</v>
      </c>
      <c r="W127" s="123">
        <f t="shared" si="35"/>
        <v>1.58</v>
      </c>
      <c r="X127" s="123">
        <f t="shared" si="35"/>
        <v>1.58</v>
      </c>
      <c r="Y127" s="123">
        <f t="shared" si="35"/>
        <v>1.58</v>
      </c>
      <c r="Z127" s="123">
        <f t="shared" si="35"/>
        <v>1.58</v>
      </c>
      <c r="AA127" s="123">
        <f t="shared" si="35"/>
        <v>1.58</v>
      </c>
      <c r="AB127" s="123">
        <f t="shared" si="35"/>
        <v>1.58</v>
      </c>
      <c r="AC127" s="123">
        <f t="shared" si="35"/>
        <v>1.58</v>
      </c>
      <c r="AD127" s="123">
        <f t="shared" si="35"/>
        <v>1.58</v>
      </c>
      <c r="AE127" s="123">
        <f t="shared" si="35"/>
        <v>1.58</v>
      </c>
      <c r="AF127" s="123">
        <f t="shared" si="35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3"/>
        <v>1.46</v>
      </c>
      <c r="C128" s="124">
        <v>1.46</v>
      </c>
      <c r="D128" s="123">
        <f t="shared" si="36"/>
        <v>1.46</v>
      </c>
      <c r="E128" s="123">
        <f t="shared" si="36"/>
        <v>1.46</v>
      </c>
      <c r="F128" s="123">
        <f t="shared" si="36"/>
        <v>1.46</v>
      </c>
      <c r="G128" s="123">
        <f t="shared" si="36"/>
        <v>1.46</v>
      </c>
      <c r="H128" s="123">
        <f t="shared" si="36"/>
        <v>1.46</v>
      </c>
      <c r="I128" s="123">
        <f t="shared" si="36"/>
        <v>1.46</v>
      </c>
      <c r="J128" s="123">
        <f t="shared" si="36"/>
        <v>1.46</v>
      </c>
      <c r="K128" s="123">
        <f t="shared" si="36"/>
        <v>1.46</v>
      </c>
      <c r="L128" s="123">
        <f t="shared" si="36"/>
        <v>1.46</v>
      </c>
      <c r="M128" s="123">
        <f t="shared" si="36"/>
        <v>1.46</v>
      </c>
      <c r="N128" s="123">
        <f t="shared" si="36"/>
        <v>1.46</v>
      </c>
      <c r="O128" s="123">
        <f t="shared" si="36"/>
        <v>1.46</v>
      </c>
      <c r="P128" s="123">
        <f t="shared" si="36"/>
        <v>1.46</v>
      </c>
      <c r="Q128" s="123">
        <f t="shared" si="36"/>
        <v>1.46</v>
      </c>
      <c r="R128" s="123">
        <f t="shared" si="36"/>
        <v>1.46</v>
      </c>
      <c r="S128" s="123">
        <f t="shared" si="36"/>
        <v>1.46</v>
      </c>
      <c r="T128" s="123">
        <f t="shared" ref="T128:AF129" si="37">S128</f>
        <v>1.46</v>
      </c>
      <c r="U128" s="123">
        <f t="shared" si="37"/>
        <v>1.46</v>
      </c>
      <c r="V128" s="123">
        <f t="shared" si="37"/>
        <v>1.46</v>
      </c>
      <c r="W128" s="123">
        <f t="shared" si="37"/>
        <v>1.46</v>
      </c>
      <c r="X128" s="123">
        <f t="shared" si="37"/>
        <v>1.46</v>
      </c>
      <c r="Y128" s="123">
        <f t="shared" si="37"/>
        <v>1.46</v>
      </c>
      <c r="Z128" s="123">
        <f t="shared" si="37"/>
        <v>1.46</v>
      </c>
      <c r="AA128" s="123">
        <f t="shared" si="37"/>
        <v>1.46</v>
      </c>
      <c r="AB128" s="123">
        <f t="shared" si="37"/>
        <v>1.46</v>
      </c>
      <c r="AC128" s="123">
        <f t="shared" si="37"/>
        <v>1.46</v>
      </c>
      <c r="AD128" s="123">
        <f t="shared" si="37"/>
        <v>1.46</v>
      </c>
      <c r="AE128" s="123">
        <f t="shared" si="37"/>
        <v>1.46</v>
      </c>
      <c r="AF128" s="123">
        <f t="shared" si="37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3"/>
        <v>1.48</v>
      </c>
      <c r="C129" s="124">
        <v>1.48</v>
      </c>
      <c r="D129" s="123">
        <f t="shared" si="36"/>
        <v>1.48</v>
      </c>
      <c r="E129" s="123">
        <f t="shared" si="36"/>
        <v>1.48</v>
      </c>
      <c r="F129" s="123">
        <f t="shared" si="36"/>
        <v>1.48</v>
      </c>
      <c r="G129" s="123">
        <f t="shared" si="36"/>
        <v>1.48</v>
      </c>
      <c r="H129" s="123">
        <f t="shared" si="36"/>
        <v>1.48</v>
      </c>
      <c r="I129" s="123">
        <f t="shared" si="36"/>
        <v>1.48</v>
      </c>
      <c r="J129" s="123">
        <f t="shared" si="36"/>
        <v>1.48</v>
      </c>
      <c r="K129" s="123">
        <f t="shared" si="36"/>
        <v>1.48</v>
      </c>
      <c r="L129" s="123">
        <f t="shared" si="36"/>
        <v>1.48</v>
      </c>
      <c r="M129" s="123">
        <f t="shared" si="36"/>
        <v>1.48</v>
      </c>
      <c r="N129" s="123">
        <f t="shared" si="36"/>
        <v>1.48</v>
      </c>
      <c r="O129" s="123">
        <f t="shared" si="36"/>
        <v>1.48</v>
      </c>
      <c r="P129" s="123">
        <f t="shared" si="36"/>
        <v>1.48</v>
      </c>
      <c r="Q129" s="123">
        <f t="shared" si="36"/>
        <v>1.48</v>
      </c>
      <c r="R129" s="123">
        <f t="shared" si="36"/>
        <v>1.48</v>
      </c>
      <c r="S129" s="123">
        <f t="shared" si="36"/>
        <v>1.48</v>
      </c>
      <c r="T129" s="123">
        <f t="shared" si="37"/>
        <v>1.48</v>
      </c>
      <c r="U129" s="123">
        <f t="shared" si="37"/>
        <v>1.48</v>
      </c>
      <c r="V129" s="123">
        <f t="shared" si="37"/>
        <v>1.48</v>
      </c>
      <c r="W129" s="123">
        <f t="shared" si="37"/>
        <v>1.48</v>
      </c>
      <c r="X129" s="123">
        <f t="shared" si="37"/>
        <v>1.48</v>
      </c>
      <c r="Y129" s="123">
        <f t="shared" si="37"/>
        <v>1.48</v>
      </c>
      <c r="Z129" s="123">
        <f t="shared" si="37"/>
        <v>1.48</v>
      </c>
      <c r="AA129" s="123">
        <f t="shared" si="37"/>
        <v>1.48</v>
      </c>
      <c r="AB129" s="123">
        <f t="shared" si="37"/>
        <v>1.48</v>
      </c>
      <c r="AC129" s="123">
        <f t="shared" si="37"/>
        <v>1.48</v>
      </c>
      <c r="AD129" s="123">
        <f t="shared" si="37"/>
        <v>1.48</v>
      </c>
      <c r="AE129" s="123">
        <f t="shared" si="37"/>
        <v>1.48</v>
      </c>
      <c r="AF129" s="123">
        <f t="shared" si="37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8">AF131</f>
        <v>2.2000000000000002</v>
      </c>
      <c r="C131" s="124">
        <v>2.2000000000000002</v>
      </c>
      <c r="D131" s="123">
        <f t="shared" ref="D131:S138" si="39">C131</f>
        <v>2.2000000000000002</v>
      </c>
      <c r="E131" s="123">
        <f t="shared" si="39"/>
        <v>2.2000000000000002</v>
      </c>
      <c r="F131" s="123">
        <f t="shared" si="39"/>
        <v>2.2000000000000002</v>
      </c>
      <c r="G131" s="123">
        <f t="shared" si="39"/>
        <v>2.2000000000000002</v>
      </c>
      <c r="H131" s="123">
        <f t="shared" si="39"/>
        <v>2.2000000000000002</v>
      </c>
      <c r="I131" s="123">
        <f t="shared" si="39"/>
        <v>2.2000000000000002</v>
      </c>
      <c r="J131" s="123">
        <f t="shared" si="39"/>
        <v>2.2000000000000002</v>
      </c>
      <c r="K131" s="123">
        <f t="shared" si="39"/>
        <v>2.2000000000000002</v>
      </c>
      <c r="L131" s="123">
        <f t="shared" si="39"/>
        <v>2.2000000000000002</v>
      </c>
      <c r="M131" s="123">
        <f t="shared" si="39"/>
        <v>2.2000000000000002</v>
      </c>
      <c r="N131" s="123">
        <f t="shared" si="39"/>
        <v>2.2000000000000002</v>
      </c>
      <c r="O131" s="123">
        <f t="shared" si="39"/>
        <v>2.2000000000000002</v>
      </c>
      <c r="P131" s="123">
        <f t="shared" si="39"/>
        <v>2.2000000000000002</v>
      </c>
      <c r="Q131" s="123">
        <f t="shared" si="39"/>
        <v>2.2000000000000002</v>
      </c>
      <c r="R131" s="123">
        <f t="shared" si="39"/>
        <v>2.2000000000000002</v>
      </c>
      <c r="S131" s="123">
        <f t="shared" si="39"/>
        <v>2.2000000000000002</v>
      </c>
      <c r="T131" s="123">
        <f t="shared" ref="T131:AF138" si="40">S131</f>
        <v>2.2000000000000002</v>
      </c>
      <c r="U131" s="123">
        <f t="shared" si="40"/>
        <v>2.2000000000000002</v>
      </c>
      <c r="V131" s="123">
        <f t="shared" si="40"/>
        <v>2.2000000000000002</v>
      </c>
      <c r="W131" s="123">
        <f t="shared" si="40"/>
        <v>2.2000000000000002</v>
      </c>
      <c r="X131" s="123">
        <f t="shared" si="40"/>
        <v>2.2000000000000002</v>
      </c>
      <c r="Y131" s="123">
        <f t="shared" si="40"/>
        <v>2.2000000000000002</v>
      </c>
      <c r="Z131" s="123">
        <f t="shared" si="40"/>
        <v>2.2000000000000002</v>
      </c>
      <c r="AA131" s="123">
        <f t="shared" si="40"/>
        <v>2.2000000000000002</v>
      </c>
      <c r="AB131" s="123">
        <f t="shared" si="40"/>
        <v>2.2000000000000002</v>
      </c>
      <c r="AC131" s="123">
        <f t="shared" si="40"/>
        <v>2.2000000000000002</v>
      </c>
      <c r="AD131" s="123">
        <f t="shared" si="40"/>
        <v>2.2000000000000002</v>
      </c>
      <c r="AE131" s="123">
        <f t="shared" si="40"/>
        <v>2.2000000000000002</v>
      </c>
      <c r="AF131" s="123">
        <f t="shared" si="40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8"/>
        <v>2</v>
      </c>
      <c r="C132" s="124">
        <v>2</v>
      </c>
      <c r="D132" s="123">
        <f t="shared" si="39"/>
        <v>2</v>
      </c>
      <c r="E132" s="123">
        <f t="shared" si="39"/>
        <v>2</v>
      </c>
      <c r="F132" s="123">
        <f t="shared" si="39"/>
        <v>2</v>
      </c>
      <c r="G132" s="123">
        <f t="shared" si="39"/>
        <v>2</v>
      </c>
      <c r="H132" s="123">
        <f t="shared" si="39"/>
        <v>2</v>
      </c>
      <c r="I132" s="123">
        <f t="shared" si="39"/>
        <v>2</v>
      </c>
      <c r="J132" s="123">
        <f t="shared" si="39"/>
        <v>2</v>
      </c>
      <c r="K132" s="123">
        <f t="shared" si="39"/>
        <v>2</v>
      </c>
      <c r="L132" s="123">
        <f t="shared" si="39"/>
        <v>2</v>
      </c>
      <c r="M132" s="123">
        <f t="shared" si="39"/>
        <v>2</v>
      </c>
      <c r="N132" s="123">
        <f t="shared" si="39"/>
        <v>2</v>
      </c>
      <c r="O132" s="123">
        <f t="shared" si="39"/>
        <v>2</v>
      </c>
      <c r="P132" s="123">
        <f t="shared" si="39"/>
        <v>2</v>
      </c>
      <c r="Q132" s="123">
        <f t="shared" si="39"/>
        <v>2</v>
      </c>
      <c r="R132" s="123">
        <f t="shared" si="39"/>
        <v>2</v>
      </c>
      <c r="S132" s="123">
        <f t="shared" si="39"/>
        <v>2</v>
      </c>
      <c r="T132" s="123">
        <f t="shared" si="40"/>
        <v>2</v>
      </c>
      <c r="U132" s="123">
        <f t="shared" si="40"/>
        <v>2</v>
      </c>
      <c r="V132" s="123">
        <f t="shared" si="40"/>
        <v>2</v>
      </c>
      <c r="W132" s="123">
        <f t="shared" si="40"/>
        <v>2</v>
      </c>
      <c r="X132" s="123">
        <f t="shared" si="40"/>
        <v>2</v>
      </c>
      <c r="Y132" s="123">
        <f t="shared" si="40"/>
        <v>2</v>
      </c>
      <c r="Z132" s="123">
        <f t="shared" si="40"/>
        <v>2</v>
      </c>
      <c r="AA132" s="123">
        <f t="shared" si="40"/>
        <v>2</v>
      </c>
      <c r="AB132" s="123">
        <f t="shared" si="40"/>
        <v>2</v>
      </c>
      <c r="AC132" s="123">
        <f t="shared" si="40"/>
        <v>2</v>
      </c>
      <c r="AD132" s="123">
        <f t="shared" si="40"/>
        <v>2</v>
      </c>
      <c r="AE132" s="123">
        <f t="shared" si="40"/>
        <v>2</v>
      </c>
      <c r="AF132" s="123">
        <f t="shared" si="40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8"/>
        <v>1.25</v>
      </c>
      <c r="C133" s="124">
        <v>1.25</v>
      </c>
      <c r="D133" s="123">
        <f t="shared" si="39"/>
        <v>1.25</v>
      </c>
      <c r="E133" s="123">
        <f t="shared" si="39"/>
        <v>1.25</v>
      </c>
      <c r="F133" s="123">
        <f t="shared" si="39"/>
        <v>1.25</v>
      </c>
      <c r="G133" s="123">
        <f t="shared" si="39"/>
        <v>1.25</v>
      </c>
      <c r="H133" s="123">
        <f t="shared" si="39"/>
        <v>1.25</v>
      </c>
      <c r="I133" s="123">
        <f t="shared" si="39"/>
        <v>1.25</v>
      </c>
      <c r="J133" s="123">
        <f t="shared" si="39"/>
        <v>1.25</v>
      </c>
      <c r="K133" s="123">
        <f t="shared" si="39"/>
        <v>1.25</v>
      </c>
      <c r="L133" s="123">
        <f t="shared" si="39"/>
        <v>1.25</v>
      </c>
      <c r="M133" s="123">
        <f t="shared" si="39"/>
        <v>1.25</v>
      </c>
      <c r="N133" s="123">
        <f t="shared" si="39"/>
        <v>1.25</v>
      </c>
      <c r="O133" s="123">
        <f t="shared" si="39"/>
        <v>1.25</v>
      </c>
      <c r="P133" s="123">
        <f t="shared" si="39"/>
        <v>1.25</v>
      </c>
      <c r="Q133" s="123">
        <f t="shared" si="39"/>
        <v>1.25</v>
      </c>
      <c r="R133" s="123">
        <f t="shared" si="39"/>
        <v>1.25</v>
      </c>
      <c r="S133" s="123">
        <f t="shared" si="39"/>
        <v>1.25</v>
      </c>
      <c r="T133" s="123">
        <f t="shared" si="40"/>
        <v>1.25</v>
      </c>
      <c r="U133" s="123">
        <f t="shared" si="40"/>
        <v>1.25</v>
      </c>
      <c r="V133" s="123">
        <f t="shared" si="40"/>
        <v>1.25</v>
      </c>
      <c r="W133" s="123">
        <f t="shared" si="40"/>
        <v>1.25</v>
      </c>
      <c r="X133" s="123">
        <f t="shared" si="40"/>
        <v>1.25</v>
      </c>
      <c r="Y133" s="123">
        <f t="shared" si="40"/>
        <v>1.25</v>
      </c>
      <c r="Z133" s="123">
        <f t="shared" si="40"/>
        <v>1.25</v>
      </c>
      <c r="AA133" s="123">
        <f t="shared" si="40"/>
        <v>1.25</v>
      </c>
      <c r="AB133" s="123">
        <f t="shared" si="40"/>
        <v>1.25</v>
      </c>
      <c r="AC133" s="123">
        <f t="shared" si="40"/>
        <v>1.25</v>
      </c>
      <c r="AD133" s="123">
        <f t="shared" si="40"/>
        <v>1.25</v>
      </c>
      <c r="AE133" s="123">
        <f t="shared" si="40"/>
        <v>1.25</v>
      </c>
      <c r="AF133" s="123">
        <f t="shared" si="40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8"/>
        <v>1.1499999999999999</v>
      </c>
      <c r="C134" s="124">
        <v>1.1499999999999999</v>
      </c>
      <c r="D134" s="123">
        <f t="shared" si="39"/>
        <v>1.1499999999999999</v>
      </c>
      <c r="E134" s="123">
        <f t="shared" si="39"/>
        <v>1.1499999999999999</v>
      </c>
      <c r="F134" s="123">
        <f t="shared" si="39"/>
        <v>1.1499999999999999</v>
      </c>
      <c r="G134" s="123">
        <f t="shared" si="39"/>
        <v>1.1499999999999999</v>
      </c>
      <c r="H134" s="123">
        <f t="shared" si="39"/>
        <v>1.1499999999999999</v>
      </c>
      <c r="I134" s="123">
        <f t="shared" si="39"/>
        <v>1.1499999999999999</v>
      </c>
      <c r="J134" s="123">
        <f t="shared" si="39"/>
        <v>1.1499999999999999</v>
      </c>
      <c r="K134" s="123">
        <f t="shared" si="39"/>
        <v>1.1499999999999999</v>
      </c>
      <c r="L134" s="123">
        <f t="shared" si="39"/>
        <v>1.1499999999999999</v>
      </c>
      <c r="M134" s="123">
        <f t="shared" si="39"/>
        <v>1.1499999999999999</v>
      </c>
      <c r="N134" s="123">
        <f t="shared" si="39"/>
        <v>1.1499999999999999</v>
      </c>
      <c r="O134" s="123">
        <f t="shared" si="39"/>
        <v>1.1499999999999999</v>
      </c>
      <c r="P134" s="123">
        <f t="shared" si="39"/>
        <v>1.1499999999999999</v>
      </c>
      <c r="Q134" s="123">
        <f t="shared" si="39"/>
        <v>1.1499999999999999</v>
      </c>
      <c r="R134" s="123">
        <f t="shared" si="39"/>
        <v>1.1499999999999999</v>
      </c>
      <c r="S134" s="123">
        <f t="shared" si="39"/>
        <v>1.1499999999999999</v>
      </c>
      <c r="T134" s="123">
        <f t="shared" si="40"/>
        <v>1.1499999999999999</v>
      </c>
      <c r="U134" s="123">
        <f t="shared" si="40"/>
        <v>1.1499999999999999</v>
      </c>
      <c r="V134" s="123">
        <f t="shared" si="40"/>
        <v>1.1499999999999999</v>
      </c>
      <c r="W134" s="123">
        <f t="shared" si="40"/>
        <v>1.1499999999999999</v>
      </c>
      <c r="X134" s="123">
        <f t="shared" si="40"/>
        <v>1.1499999999999999</v>
      </c>
      <c r="Y134" s="123">
        <f t="shared" si="40"/>
        <v>1.1499999999999999</v>
      </c>
      <c r="Z134" s="123">
        <f t="shared" si="40"/>
        <v>1.1499999999999999</v>
      </c>
      <c r="AA134" s="123">
        <f t="shared" si="40"/>
        <v>1.1499999999999999</v>
      </c>
      <c r="AB134" s="123">
        <f t="shared" si="40"/>
        <v>1.1499999999999999</v>
      </c>
      <c r="AC134" s="123">
        <f t="shared" si="40"/>
        <v>1.1499999999999999</v>
      </c>
      <c r="AD134" s="123">
        <f t="shared" si="40"/>
        <v>1.1499999999999999</v>
      </c>
      <c r="AE134" s="123">
        <f t="shared" si="40"/>
        <v>1.1499999999999999</v>
      </c>
      <c r="AF134" s="123">
        <f t="shared" si="40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8"/>
        <v>2.133</v>
      </c>
      <c r="C135" s="124">
        <v>2.133</v>
      </c>
      <c r="D135" s="123">
        <f t="shared" si="39"/>
        <v>2.133</v>
      </c>
      <c r="E135" s="123">
        <f t="shared" si="39"/>
        <v>2.133</v>
      </c>
      <c r="F135" s="123">
        <f t="shared" si="39"/>
        <v>2.133</v>
      </c>
      <c r="G135" s="123">
        <f t="shared" si="39"/>
        <v>2.133</v>
      </c>
      <c r="H135" s="123">
        <f t="shared" si="39"/>
        <v>2.133</v>
      </c>
      <c r="I135" s="123">
        <f t="shared" si="39"/>
        <v>2.133</v>
      </c>
      <c r="J135" s="123">
        <f t="shared" si="39"/>
        <v>2.133</v>
      </c>
      <c r="K135" s="123">
        <f t="shared" si="39"/>
        <v>2.133</v>
      </c>
      <c r="L135" s="123">
        <f t="shared" si="39"/>
        <v>2.133</v>
      </c>
      <c r="M135" s="123">
        <f t="shared" si="39"/>
        <v>2.133</v>
      </c>
      <c r="N135" s="123">
        <f t="shared" si="39"/>
        <v>2.133</v>
      </c>
      <c r="O135" s="123">
        <f t="shared" si="39"/>
        <v>2.133</v>
      </c>
      <c r="P135" s="123">
        <f t="shared" si="39"/>
        <v>2.133</v>
      </c>
      <c r="Q135" s="123">
        <f t="shared" si="39"/>
        <v>2.133</v>
      </c>
      <c r="R135" s="123">
        <f t="shared" si="39"/>
        <v>2.133</v>
      </c>
      <c r="S135" s="123">
        <f t="shared" si="39"/>
        <v>2.133</v>
      </c>
      <c r="T135" s="123">
        <f t="shared" si="40"/>
        <v>2.133</v>
      </c>
      <c r="U135" s="123">
        <f t="shared" si="40"/>
        <v>2.133</v>
      </c>
      <c r="V135" s="123">
        <f t="shared" si="40"/>
        <v>2.133</v>
      </c>
      <c r="W135" s="123">
        <f t="shared" si="40"/>
        <v>2.133</v>
      </c>
      <c r="X135" s="123">
        <f t="shared" si="40"/>
        <v>2.133</v>
      </c>
      <c r="Y135" s="123">
        <f t="shared" si="40"/>
        <v>2.133</v>
      </c>
      <c r="Z135" s="123">
        <f t="shared" si="40"/>
        <v>2.133</v>
      </c>
      <c r="AA135" s="123">
        <f t="shared" si="40"/>
        <v>2.133</v>
      </c>
      <c r="AB135" s="123">
        <f t="shared" si="40"/>
        <v>2.133</v>
      </c>
      <c r="AC135" s="123">
        <f t="shared" si="40"/>
        <v>2.133</v>
      </c>
      <c r="AD135" s="123">
        <f t="shared" si="40"/>
        <v>2.133</v>
      </c>
      <c r="AE135" s="123">
        <f t="shared" si="40"/>
        <v>2.133</v>
      </c>
      <c r="AF135" s="123">
        <f t="shared" si="40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8"/>
        <v>2.09</v>
      </c>
      <c r="C136" s="124">
        <v>2.09</v>
      </c>
      <c r="D136" s="123">
        <f t="shared" si="39"/>
        <v>2.09</v>
      </c>
      <c r="E136" s="123">
        <f t="shared" si="39"/>
        <v>2.09</v>
      </c>
      <c r="F136" s="123">
        <f t="shared" si="39"/>
        <v>2.09</v>
      </c>
      <c r="G136" s="123">
        <f t="shared" si="39"/>
        <v>2.09</v>
      </c>
      <c r="H136" s="123">
        <f t="shared" si="39"/>
        <v>2.09</v>
      </c>
      <c r="I136" s="123">
        <f t="shared" si="39"/>
        <v>2.09</v>
      </c>
      <c r="J136" s="123">
        <f t="shared" si="39"/>
        <v>2.09</v>
      </c>
      <c r="K136" s="123">
        <f t="shared" si="39"/>
        <v>2.09</v>
      </c>
      <c r="L136" s="123">
        <f t="shared" si="39"/>
        <v>2.09</v>
      </c>
      <c r="M136" s="123">
        <f t="shared" si="39"/>
        <v>2.09</v>
      </c>
      <c r="N136" s="123">
        <f t="shared" si="39"/>
        <v>2.09</v>
      </c>
      <c r="O136" s="123">
        <f t="shared" si="39"/>
        <v>2.09</v>
      </c>
      <c r="P136" s="123">
        <f t="shared" si="39"/>
        <v>2.09</v>
      </c>
      <c r="Q136" s="123">
        <f t="shared" si="39"/>
        <v>2.09</v>
      </c>
      <c r="R136" s="123">
        <f t="shared" si="39"/>
        <v>2.09</v>
      </c>
      <c r="S136" s="123">
        <f t="shared" si="39"/>
        <v>2.09</v>
      </c>
      <c r="T136" s="123">
        <f t="shared" si="40"/>
        <v>2.09</v>
      </c>
      <c r="U136" s="123">
        <f t="shared" si="40"/>
        <v>2.09</v>
      </c>
      <c r="V136" s="123">
        <f t="shared" si="40"/>
        <v>2.09</v>
      </c>
      <c r="W136" s="123">
        <f t="shared" si="40"/>
        <v>2.09</v>
      </c>
      <c r="X136" s="123">
        <f t="shared" si="40"/>
        <v>2.09</v>
      </c>
      <c r="Y136" s="123">
        <f t="shared" si="40"/>
        <v>2.09</v>
      </c>
      <c r="Z136" s="123">
        <f t="shared" si="40"/>
        <v>2.09</v>
      </c>
      <c r="AA136" s="123">
        <f t="shared" si="40"/>
        <v>2.09</v>
      </c>
      <c r="AB136" s="123">
        <f t="shared" si="40"/>
        <v>2.09</v>
      </c>
      <c r="AC136" s="123">
        <f t="shared" si="40"/>
        <v>2.09</v>
      </c>
      <c r="AD136" s="123">
        <f t="shared" si="40"/>
        <v>2.09</v>
      </c>
      <c r="AE136" s="123">
        <f t="shared" si="40"/>
        <v>2.09</v>
      </c>
      <c r="AF136" s="123">
        <f t="shared" si="40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8"/>
        <v>1.1399999999999999</v>
      </c>
      <c r="C137" s="124">
        <v>1.1399999999999999</v>
      </c>
      <c r="D137" s="123">
        <f t="shared" si="39"/>
        <v>1.1399999999999999</v>
      </c>
      <c r="E137" s="123">
        <f t="shared" si="39"/>
        <v>1.1399999999999999</v>
      </c>
      <c r="F137" s="123">
        <f t="shared" si="39"/>
        <v>1.1399999999999999</v>
      </c>
      <c r="G137" s="123">
        <f t="shared" si="39"/>
        <v>1.1399999999999999</v>
      </c>
      <c r="H137" s="123">
        <f t="shared" si="39"/>
        <v>1.1399999999999999</v>
      </c>
      <c r="I137" s="123">
        <f t="shared" si="39"/>
        <v>1.1399999999999999</v>
      </c>
      <c r="J137" s="123">
        <f t="shared" si="39"/>
        <v>1.1399999999999999</v>
      </c>
      <c r="K137" s="123">
        <f t="shared" si="39"/>
        <v>1.1399999999999999</v>
      </c>
      <c r="L137" s="123">
        <f t="shared" si="39"/>
        <v>1.1399999999999999</v>
      </c>
      <c r="M137" s="123">
        <f t="shared" si="39"/>
        <v>1.1399999999999999</v>
      </c>
      <c r="N137" s="123">
        <f t="shared" si="39"/>
        <v>1.1399999999999999</v>
      </c>
      <c r="O137" s="123">
        <f t="shared" si="39"/>
        <v>1.1399999999999999</v>
      </c>
      <c r="P137" s="123">
        <f t="shared" si="39"/>
        <v>1.1399999999999999</v>
      </c>
      <c r="Q137" s="123">
        <f t="shared" si="39"/>
        <v>1.1399999999999999</v>
      </c>
      <c r="R137" s="123">
        <f t="shared" si="39"/>
        <v>1.1399999999999999</v>
      </c>
      <c r="S137" s="123">
        <f t="shared" si="39"/>
        <v>1.1399999999999999</v>
      </c>
      <c r="T137" s="123">
        <f t="shared" si="40"/>
        <v>1.1399999999999999</v>
      </c>
      <c r="U137" s="123">
        <f t="shared" si="40"/>
        <v>1.1399999999999999</v>
      </c>
      <c r="V137" s="123">
        <f t="shared" si="40"/>
        <v>1.1399999999999999</v>
      </c>
      <c r="W137" s="123">
        <f t="shared" si="40"/>
        <v>1.1399999999999999</v>
      </c>
      <c r="X137" s="123">
        <f t="shared" si="40"/>
        <v>1.1399999999999999</v>
      </c>
      <c r="Y137" s="123">
        <f t="shared" si="40"/>
        <v>1.1399999999999999</v>
      </c>
      <c r="Z137" s="123">
        <f t="shared" si="40"/>
        <v>1.1399999999999999</v>
      </c>
      <c r="AA137" s="123">
        <f t="shared" si="40"/>
        <v>1.1399999999999999</v>
      </c>
      <c r="AB137" s="123">
        <f t="shared" si="40"/>
        <v>1.1399999999999999</v>
      </c>
      <c r="AC137" s="123">
        <f t="shared" si="40"/>
        <v>1.1399999999999999</v>
      </c>
      <c r="AD137" s="123">
        <f t="shared" si="40"/>
        <v>1.1399999999999999</v>
      </c>
      <c r="AE137" s="123">
        <f t="shared" si="40"/>
        <v>1.1399999999999999</v>
      </c>
      <c r="AF137" s="123">
        <f t="shared" si="40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8"/>
        <v>0.82</v>
      </c>
      <c r="C138" s="124">
        <v>0.82</v>
      </c>
      <c r="D138" s="123">
        <f t="shared" si="39"/>
        <v>0.82</v>
      </c>
      <c r="E138" s="123">
        <f t="shared" si="39"/>
        <v>0.82</v>
      </c>
      <c r="F138" s="123">
        <f t="shared" si="39"/>
        <v>0.82</v>
      </c>
      <c r="G138" s="123">
        <f t="shared" si="39"/>
        <v>0.82</v>
      </c>
      <c r="H138" s="123">
        <f t="shared" si="39"/>
        <v>0.82</v>
      </c>
      <c r="I138" s="123">
        <f t="shared" si="39"/>
        <v>0.82</v>
      </c>
      <c r="J138" s="123">
        <f t="shared" si="39"/>
        <v>0.82</v>
      </c>
      <c r="K138" s="123">
        <f t="shared" si="39"/>
        <v>0.82</v>
      </c>
      <c r="L138" s="123">
        <f t="shared" si="39"/>
        <v>0.82</v>
      </c>
      <c r="M138" s="123">
        <f t="shared" si="39"/>
        <v>0.82</v>
      </c>
      <c r="N138" s="123">
        <f t="shared" si="39"/>
        <v>0.82</v>
      </c>
      <c r="O138" s="123">
        <f t="shared" si="39"/>
        <v>0.82</v>
      </c>
      <c r="P138" s="123">
        <f t="shared" si="39"/>
        <v>0.82</v>
      </c>
      <c r="Q138" s="123">
        <f t="shared" si="39"/>
        <v>0.82</v>
      </c>
      <c r="R138" s="123">
        <f t="shared" si="39"/>
        <v>0.82</v>
      </c>
      <c r="S138" s="123">
        <f t="shared" si="39"/>
        <v>0.82</v>
      </c>
      <c r="T138" s="123">
        <f t="shared" si="40"/>
        <v>0.82</v>
      </c>
      <c r="U138" s="123">
        <f t="shared" si="40"/>
        <v>0.82</v>
      </c>
      <c r="V138" s="123">
        <f t="shared" si="40"/>
        <v>0.82</v>
      </c>
      <c r="W138" s="123">
        <f t="shared" si="40"/>
        <v>0.82</v>
      </c>
      <c r="X138" s="123">
        <f t="shared" si="40"/>
        <v>0.82</v>
      </c>
      <c r="Y138" s="123">
        <f t="shared" si="40"/>
        <v>0.82</v>
      </c>
      <c r="Z138" s="123">
        <f t="shared" si="40"/>
        <v>0.82</v>
      </c>
      <c r="AA138" s="123">
        <f t="shared" si="40"/>
        <v>0.82</v>
      </c>
      <c r="AB138" s="123">
        <f t="shared" si="40"/>
        <v>0.82</v>
      </c>
      <c r="AC138" s="123">
        <f t="shared" si="40"/>
        <v>0.82</v>
      </c>
      <c r="AD138" s="123">
        <f t="shared" si="40"/>
        <v>0.82</v>
      </c>
      <c r="AE138" s="123">
        <f t="shared" si="40"/>
        <v>0.82</v>
      </c>
      <c r="AF138" s="123">
        <f t="shared" si="40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1">AF140</f>
        <v>2</v>
      </c>
      <c r="C140" s="124">
        <v>2</v>
      </c>
      <c r="D140" s="123">
        <f t="shared" ref="D140:S146" si="42">C140</f>
        <v>2</v>
      </c>
      <c r="E140" s="123">
        <f t="shared" si="42"/>
        <v>2</v>
      </c>
      <c r="F140" s="123">
        <f t="shared" si="42"/>
        <v>2</v>
      </c>
      <c r="G140" s="123">
        <f t="shared" si="42"/>
        <v>2</v>
      </c>
      <c r="H140" s="123">
        <f t="shared" si="42"/>
        <v>2</v>
      </c>
      <c r="I140" s="123">
        <f t="shared" si="42"/>
        <v>2</v>
      </c>
      <c r="J140" s="123">
        <f t="shared" si="42"/>
        <v>2</v>
      </c>
      <c r="K140" s="123">
        <f t="shared" si="42"/>
        <v>2</v>
      </c>
      <c r="L140" s="123">
        <f t="shared" si="42"/>
        <v>2</v>
      </c>
      <c r="M140" s="123">
        <f t="shared" si="42"/>
        <v>2</v>
      </c>
      <c r="N140" s="123">
        <f t="shared" si="42"/>
        <v>2</v>
      </c>
      <c r="O140" s="123">
        <f t="shared" si="42"/>
        <v>2</v>
      </c>
      <c r="P140" s="123">
        <f t="shared" si="42"/>
        <v>2</v>
      </c>
      <c r="Q140" s="123">
        <f t="shared" si="42"/>
        <v>2</v>
      </c>
      <c r="R140" s="123">
        <f t="shared" si="42"/>
        <v>2</v>
      </c>
      <c r="S140" s="123">
        <f t="shared" si="42"/>
        <v>2</v>
      </c>
      <c r="T140" s="123">
        <f t="shared" ref="T140:AF146" si="43">S140</f>
        <v>2</v>
      </c>
      <c r="U140" s="123">
        <f t="shared" si="43"/>
        <v>2</v>
      </c>
      <c r="V140" s="123">
        <f t="shared" si="43"/>
        <v>2</v>
      </c>
      <c r="W140" s="123">
        <f t="shared" si="43"/>
        <v>2</v>
      </c>
      <c r="X140" s="123">
        <f t="shared" si="43"/>
        <v>2</v>
      </c>
      <c r="Y140" s="123">
        <f t="shared" si="43"/>
        <v>2</v>
      </c>
      <c r="Z140" s="123">
        <f t="shared" si="43"/>
        <v>2</v>
      </c>
      <c r="AA140" s="123">
        <f t="shared" si="43"/>
        <v>2</v>
      </c>
      <c r="AB140" s="123">
        <f t="shared" si="43"/>
        <v>2</v>
      </c>
      <c r="AC140" s="123">
        <f t="shared" si="43"/>
        <v>2</v>
      </c>
      <c r="AD140" s="123">
        <f t="shared" si="43"/>
        <v>2</v>
      </c>
      <c r="AE140" s="123">
        <f t="shared" si="43"/>
        <v>2</v>
      </c>
      <c r="AF140" s="123">
        <f t="shared" si="43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1"/>
        <v>5.61</v>
      </c>
      <c r="C141" s="124">
        <v>5.61</v>
      </c>
      <c r="D141" s="123">
        <f t="shared" si="42"/>
        <v>5.61</v>
      </c>
      <c r="E141" s="123">
        <f t="shared" si="42"/>
        <v>5.61</v>
      </c>
      <c r="F141" s="123">
        <f t="shared" si="42"/>
        <v>5.61</v>
      </c>
      <c r="G141" s="123">
        <f t="shared" si="42"/>
        <v>5.61</v>
      </c>
      <c r="H141" s="123">
        <f t="shared" si="42"/>
        <v>5.61</v>
      </c>
      <c r="I141" s="123">
        <f t="shared" si="42"/>
        <v>5.61</v>
      </c>
      <c r="J141" s="123">
        <f t="shared" si="42"/>
        <v>5.61</v>
      </c>
      <c r="K141" s="123">
        <f t="shared" si="42"/>
        <v>5.61</v>
      </c>
      <c r="L141" s="123">
        <f t="shared" si="42"/>
        <v>5.61</v>
      </c>
      <c r="M141" s="123">
        <f t="shared" si="42"/>
        <v>5.61</v>
      </c>
      <c r="N141" s="123">
        <f t="shared" si="42"/>
        <v>5.61</v>
      </c>
      <c r="O141" s="123">
        <f t="shared" si="42"/>
        <v>5.61</v>
      </c>
      <c r="P141" s="123">
        <f t="shared" si="42"/>
        <v>5.61</v>
      </c>
      <c r="Q141" s="123">
        <f t="shared" si="42"/>
        <v>5.61</v>
      </c>
      <c r="R141" s="123">
        <f t="shared" si="42"/>
        <v>5.61</v>
      </c>
      <c r="S141" s="123">
        <f t="shared" si="42"/>
        <v>5.61</v>
      </c>
      <c r="T141" s="123">
        <f t="shared" si="43"/>
        <v>5.61</v>
      </c>
      <c r="U141" s="123">
        <f t="shared" si="43"/>
        <v>5.61</v>
      </c>
      <c r="V141" s="123">
        <f t="shared" si="43"/>
        <v>5.61</v>
      </c>
      <c r="W141" s="123">
        <f t="shared" si="43"/>
        <v>5.61</v>
      </c>
      <c r="X141" s="123">
        <f t="shared" si="43"/>
        <v>5.61</v>
      </c>
      <c r="Y141" s="123">
        <f t="shared" si="43"/>
        <v>5.61</v>
      </c>
      <c r="Z141" s="123">
        <f t="shared" si="43"/>
        <v>5.61</v>
      </c>
      <c r="AA141" s="123">
        <f t="shared" si="43"/>
        <v>5.61</v>
      </c>
      <c r="AB141" s="123">
        <f t="shared" si="43"/>
        <v>5.61</v>
      </c>
      <c r="AC141" s="123">
        <f t="shared" si="43"/>
        <v>5.61</v>
      </c>
      <c r="AD141" s="123">
        <f t="shared" si="43"/>
        <v>5.61</v>
      </c>
      <c r="AE141" s="123">
        <f t="shared" si="43"/>
        <v>5.61</v>
      </c>
      <c r="AF141" s="123">
        <f t="shared" si="43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1"/>
        <v>1.25</v>
      </c>
      <c r="C142" s="124">
        <v>1.25</v>
      </c>
      <c r="D142" s="123">
        <f t="shared" si="42"/>
        <v>1.25</v>
      </c>
      <c r="E142" s="123">
        <f t="shared" si="42"/>
        <v>1.25</v>
      </c>
      <c r="F142" s="123">
        <f t="shared" si="42"/>
        <v>1.25</v>
      </c>
      <c r="G142" s="123">
        <f t="shared" si="42"/>
        <v>1.25</v>
      </c>
      <c r="H142" s="123">
        <f t="shared" si="42"/>
        <v>1.25</v>
      </c>
      <c r="I142" s="123">
        <f t="shared" si="42"/>
        <v>1.25</v>
      </c>
      <c r="J142" s="123">
        <f t="shared" si="42"/>
        <v>1.25</v>
      </c>
      <c r="K142" s="123">
        <f t="shared" si="42"/>
        <v>1.25</v>
      </c>
      <c r="L142" s="123">
        <f t="shared" si="42"/>
        <v>1.25</v>
      </c>
      <c r="M142" s="123">
        <f t="shared" si="42"/>
        <v>1.25</v>
      </c>
      <c r="N142" s="123">
        <f t="shared" si="42"/>
        <v>1.25</v>
      </c>
      <c r="O142" s="123">
        <f t="shared" si="42"/>
        <v>1.25</v>
      </c>
      <c r="P142" s="123">
        <f t="shared" si="42"/>
        <v>1.25</v>
      </c>
      <c r="Q142" s="123">
        <f t="shared" si="42"/>
        <v>1.25</v>
      </c>
      <c r="R142" s="123">
        <f t="shared" si="42"/>
        <v>1.25</v>
      </c>
      <c r="S142" s="123">
        <f t="shared" si="42"/>
        <v>1.25</v>
      </c>
      <c r="T142" s="123">
        <f t="shared" si="43"/>
        <v>1.25</v>
      </c>
      <c r="U142" s="123">
        <f t="shared" si="43"/>
        <v>1.25</v>
      </c>
      <c r="V142" s="123">
        <f t="shared" si="43"/>
        <v>1.25</v>
      </c>
      <c r="W142" s="123">
        <f t="shared" si="43"/>
        <v>1.25</v>
      </c>
      <c r="X142" s="123">
        <f t="shared" si="43"/>
        <v>1.25</v>
      </c>
      <c r="Y142" s="123">
        <f t="shared" si="43"/>
        <v>1.25</v>
      </c>
      <c r="Z142" s="123">
        <f t="shared" si="43"/>
        <v>1.25</v>
      </c>
      <c r="AA142" s="123">
        <f t="shared" si="43"/>
        <v>1.25</v>
      </c>
      <c r="AB142" s="123">
        <f t="shared" si="43"/>
        <v>1.25</v>
      </c>
      <c r="AC142" s="123">
        <f t="shared" si="43"/>
        <v>1.25</v>
      </c>
      <c r="AD142" s="123">
        <f t="shared" si="43"/>
        <v>1.25</v>
      </c>
      <c r="AE142" s="123">
        <f t="shared" si="43"/>
        <v>1.25</v>
      </c>
      <c r="AF142" s="123">
        <f t="shared" si="43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1"/>
        <v>1.25</v>
      </c>
      <c r="C143" s="124">
        <v>1.25</v>
      </c>
      <c r="D143" s="123">
        <f t="shared" si="42"/>
        <v>1.25</v>
      </c>
      <c r="E143" s="123">
        <f t="shared" si="42"/>
        <v>1.25</v>
      </c>
      <c r="F143" s="123">
        <f t="shared" si="42"/>
        <v>1.25</v>
      </c>
      <c r="G143" s="123">
        <f t="shared" si="42"/>
        <v>1.25</v>
      </c>
      <c r="H143" s="123">
        <f t="shared" si="42"/>
        <v>1.25</v>
      </c>
      <c r="I143" s="123">
        <f t="shared" si="42"/>
        <v>1.25</v>
      </c>
      <c r="J143" s="123">
        <f t="shared" si="42"/>
        <v>1.25</v>
      </c>
      <c r="K143" s="123">
        <f t="shared" si="42"/>
        <v>1.25</v>
      </c>
      <c r="L143" s="123">
        <f t="shared" si="42"/>
        <v>1.25</v>
      </c>
      <c r="M143" s="123">
        <f t="shared" si="42"/>
        <v>1.25</v>
      </c>
      <c r="N143" s="123">
        <f t="shared" si="42"/>
        <v>1.25</v>
      </c>
      <c r="O143" s="123">
        <f t="shared" si="42"/>
        <v>1.25</v>
      </c>
      <c r="P143" s="123">
        <f t="shared" si="42"/>
        <v>1.25</v>
      </c>
      <c r="Q143" s="123">
        <f t="shared" si="42"/>
        <v>1.25</v>
      </c>
      <c r="R143" s="123">
        <f t="shared" si="42"/>
        <v>1.25</v>
      </c>
      <c r="S143" s="123">
        <f t="shared" si="42"/>
        <v>1.25</v>
      </c>
      <c r="T143" s="123">
        <f t="shared" si="43"/>
        <v>1.25</v>
      </c>
      <c r="U143" s="123">
        <f t="shared" si="43"/>
        <v>1.25</v>
      </c>
      <c r="V143" s="123">
        <f t="shared" si="43"/>
        <v>1.25</v>
      </c>
      <c r="W143" s="123">
        <f t="shared" si="43"/>
        <v>1.25</v>
      </c>
      <c r="X143" s="123">
        <f t="shared" si="43"/>
        <v>1.25</v>
      </c>
      <c r="Y143" s="123">
        <f t="shared" si="43"/>
        <v>1.25</v>
      </c>
      <c r="Z143" s="123">
        <f t="shared" si="43"/>
        <v>1.25</v>
      </c>
      <c r="AA143" s="123">
        <f t="shared" si="43"/>
        <v>1.25</v>
      </c>
      <c r="AB143" s="123">
        <f t="shared" si="43"/>
        <v>1.25</v>
      </c>
      <c r="AC143" s="123">
        <f t="shared" si="43"/>
        <v>1.25</v>
      </c>
      <c r="AD143" s="123">
        <f t="shared" si="43"/>
        <v>1.25</v>
      </c>
      <c r="AE143" s="123">
        <f t="shared" si="43"/>
        <v>1.25</v>
      </c>
      <c r="AF143" s="123">
        <f t="shared" si="43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1"/>
        <v>1.46</v>
      </c>
      <c r="C144" s="124">
        <v>1.46</v>
      </c>
      <c r="D144" s="123">
        <f t="shared" si="42"/>
        <v>1.46</v>
      </c>
      <c r="E144" s="123">
        <f t="shared" si="42"/>
        <v>1.46</v>
      </c>
      <c r="F144" s="123">
        <f t="shared" si="42"/>
        <v>1.46</v>
      </c>
      <c r="G144" s="123">
        <f t="shared" si="42"/>
        <v>1.46</v>
      </c>
      <c r="H144" s="123">
        <f t="shared" si="42"/>
        <v>1.46</v>
      </c>
      <c r="I144" s="123">
        <f t="shared" si="42"/>
        <v>1.46</v>
      </c>
      <c r="J144" s="123">
        <f t="shared" si="42"/>
        <v>1.46</v>
      </c>
      <c r="K144" s="123">
        <f t="shared" si="42"/>
        <v>1.46</v>
      </c>
      <c r="L144" s="123">
        <f t="shared" si="42"/>
        <v>1.46</v>
      </c>
      <c r="M144" s="123">
        <f t="shared" si="42"/>
        <v>1.46</v>
      </c>
      <c r="N144" s="123">
        <f t="shared" si="42"/>
        <v>1.46</v>
      </c>
      <c r="O144" s="123">
        <f t="shared" si="42"/>
        <v>1.46</v>
      </c>
      <c r="P144" s="123">
        <f t="shared" si="42"/>
        <v>1.46</v>
      </c>
      <c r="Q144" s="123">
        <f t="shared" si="42"/>
        <v>1.46</v>
      </c>
      <c r="R144" s="123">
        <f t="shared" si="42"/>
        <v>1.46</v>
      </c>
      <c r="S144" s="123">
        <f t="shared" si="42"/>
        <v>1.46</v>
      </c>
      <c r="T144" s="123">
        <f t="shared" si="43"/>
        <v>1.46</v>
      </c>
      <c r="U144" s="123">
        <f t="shared" si="43"/>
        <v>1.46</v>
      </c>
      <c r="V144" s="123">
        <f t="shared" si="43"/>
        <v>1.46</v>
      </c>
      <c r="W144" s="123">
        <f t="shared" si="43"/>
        <v>1.46</v>
      </c>
      <c r="X144" s="123">
        <f t="shared" si="43"/>
        <v>1.46</v>
      </c>
      <c r="Y144" s="123">
        <f t="shared" si="43"/>
        <v>1.46</v>
      </c>
      <c r="Z144" s="123">
        <f t="shared" si="43"/>
        <v>1.46</v>
      </c>
      <c r="AA144" s="123">
        <f t="shared" si="43"/>
        <v>1.46</v>
      </c>
      <c r="AB144" s="123">
        <f t="shared" si="43"/>
        <v>1.46</v>
      </c>
      <c r="AC144" s="123">
        <f t="shared" si="43"/>
        <v>1.46</v>
      </c>
      <c r="AD144" s="123">
        <f t="shared" si="43"/>
        <v>1.46</v>
      </c>
      <c r="AE144" s="123">
        <f t="shared" si="43"/>
        <v>1.46</v>
      </c>
      <c r="AF144" s="123">
        <f t="shared" si="43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1"/>
        <v>3</v>
      </c>
      <c r="C145" s="124">
        <v>3</v>
      </c>
      <c r="D145" s="123">
        <f t="shared" si="42"/>
        <v>3</v>
      </c>
      <c r="E145" s="123">
        <f t="shared" si="42"/>
        <v>3</v>
      </c>
      <c r="F145" s="123">
        <f t="shared" si="42"/>
        <v>3</v>
      </c>
      <c r="G145" s="123">
        <f t="shared" si="42"/>
        <v>3</v>
      </c>
      <c r="H145" s="123">
        <f t="shared" si="42"/>
        <v>3</v>
      </c>
      <c r="I145" s="123">
        <f t="shared" si="42"/>
        <v>3</v>
      </c>
      <c r="J145" s="123">
        <f t="shared" si="42"/>
        <v>3</v>
      </c>
      <c r="K145" s="123">
        <f t="shared" si="42"/>
        <v>3</v>
      </c>
      <c r="L145" s="123">
        <f t="shared" si="42"/>
        <v>3</v>
      </c>
      <c r="M145" s="123">
        <f t="shared" si="42"/>
        <v>3</v>
      </c>
      <c r="N145" s="123">
        <f t="shared" si="42"/>
        <v>3</v>
      </c>
      <c r="O145" s="123">
        <f t="shared" si="42"/>
        <v>3</v>
      </c>
      <c r="P145" s="123">
        <f t="shared" si="42"/>
        <v>3</v>
      </c>
      <c r="Q145" s="123">
        <f t="shared" si="42"/>
        <v>3</v>
      </c>
      <c r="R145" s="123">
        <f t="shared" si="42"/>
        <v>3</v>
      </c>
      <c r="S145" s="123">
        <f t="shared" si="42"/>
        <v>3</v>
      </c>
      <c r="T145" s="123">
        <f t="shared" si="43"/>
        <v>3</v>
      </c>
      <c r="U145" s="123">
        <f t="shared" si="43"/>
        <v>3</v>
      </c>
      <c r="V145" s="123">
        <f t="shared" si="43"/>
        <v>3</v>
      </c>
      <c r="W145" s="123">
        <f t="shared" si="43"/>
        <v>3</v>
      </c>
      <c r="X145" s="123">
        <f t="shared" si="43"/>
        <v>3</v>
      </c>
      <c r="Y145" s="123">
        <f t="shared" si="43"/>
        <v>3</v>
      </c>
      <c r="Z145" s="123">
        <f t="shared" si="43"/>
        <v>3</v>
      </c>
      <c r="AA145" s="123">
        <f t="shared" si="43"/>
        <v>3</v>
      </c>
      <c r="AB145" s="123">
        <f t="shared" si="43"/>
        <v>3</v>
      </c>
      <c r="AC145" s="123">
        <f t="shared" si="43"/>
        <v>3</v>
      </c>
      <c r="AD145" s="123">
        <f t="shared" si="43"/>
        <v>3</v>
      </c>
      <c r="AE145" s="123">
        <f t="shared" si="43"/>
        <v>3</v>
      </c>
      <c r="AF145" s="123">
        <f t="shared" si="43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1"/>
        <v>3.3</v>
      </c>
      <c r="C146" s="124">
        <v>3.3</v>
      </c>
      <c r="D146" s="123">
        <f t="shared" si="42"/>
        <v>3.3</v>
      </c>
      <c r="E146" s="123">
        <f t="shared" si="42"/>
        <v>3.3</v>
      </c>
      <c r="F146" s="123">
        <f t="shared" si="42"/>
        <v>3.3</v>
      </c>
      <c r="G146" s="123">
        <f t="shared" si="42"/>
        <v>3.3</v>
      </c>
      <c r="H146" s="123">
        <f t="shared" si="42"/>
        <v>3.3</v>
      </c>
      <c r="I146" s="123">
        <f t="shared" si="42"/>
        <v>3.3</v>
      </c>
      <c r="J146" s="123">
        <f t="shared" si="42"/>
        <v>3.3</v>
      </c>
      <c r="K146" s="123">
        <f t="shared" si="42"/>
        <v>3.3</v>
      </c>
      <c r="L146" s="123">
        <f t="shared" si="42"/>
        <v>3.3</v>
      </c>
      <c r="M146" s="123">
        <f t="shared" si="42"/>
        <v>3.3</v>
      </c>
      <c r="N146" s="123">
        <f t="shared" si="42"/>
        <v>3.3</v>
      </c>
      <c r="O146" s="123">
        <f t="shared" si="42"/>
        <v>3.3</v>
      </c>
      <c r="P146" s="123">
        <f t="shared" si="42"/>
        <v>3.3</v>
      </c>
      <c r="Q146" s="123">
        <f t="shared" si="42"/>
        <v>3.3</v>
      </c>
      <c r="R146" s="123">
        <f t="shared" si="42"/>
        <v>3.3</v>
      </c>
      <c r="S146" s="123">
        <f t="shared" si="42"/>
        <v>3.3</v>
      </c>
      <c r="T146" s="123">
        <f t="shared" si="43"/>
        <v>3.3</v>
      </c>
      <c r="U146" s="123">
        <f t="shared" si="43"/>
        <v>3.3</v>
      </c>
      <c r="V146" s="123">
        <f t="shared" si="43"/>
        <v>3.3</v>
      </c>
      <c r="W146" s="123">
        <f t="shared" si="43"/>
        <v>3.3</v>
      </c>
      <c r="X146" s="123">
        <f t="shared" si="43"/>
        <v>3.3</v>
      </c>
      <c r="Y146" s="123">
        <f t="shared" si="43"/>
        <v>3.3</v>
      </c>
      <c r="Z146" s="123">
        <f t="shared" si="43"/>
        <v>3.3</v>
      </c>
      <c r="AA146" s="123">
        <f t="shared" si="43"/>
        <v>3.3</v>
      </c>
      <c r="AB146" s="123">
        <f t="shared" si="43"/>
        <v>3.3</v>
      </c>
      <c r="AC146" s="123">
        <f t="shared" si="43"/>
        <v>3.3</v>
      </c>
      <c r="AD146" s="123">
        <f t="shared" si="43"/>
        <v>3.3</v>
      </c>
      <c r="AE146" s="123">
        <f t="shared" si="43"/>
        <v>3.3</v>
      </c>
      <c r="AF146" s="123">
        <f t="shared" si="43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4">C148</f>
        <v>1.76</v>
      </c>
      <c r="E148" s="123">
        <f t="shared" si="44"/>
        <v>1.76</v>
      </c>
      <c r="F148" s="123">
        <f t="shared" si="44"/>
        <v>1.76</v>
      </c>
      <c r="G148" s="123">
        <f t="shared" si="44"/>
        <v>1.76</v>
      </c>
      <c r="H148" s="123">
        <f t="shared" si="44"/>
        <v>1.76</v>
      </c>
      <c r="I148" s="123">
        <f t="shared" si="44"/>
        <v>1.76</v>
      </c>
      <c r="J148" s="123">
        <f t="shared" si="44"/>
        <v>1.76</v>
      </c>
      <c r="K148" s="123">
        <f t="shared" si="44"/>
        <v>1.76</v>
      </c>
      <c r="L148" s="123">
        <f t="shared" si="44"/>
        <v>1.76</v>
      </c>
      <c r="M148" s="123">
        <f t="shared" si="44"/>
        <v>1.76</v>
      </c>
      <c r="N148" s="123">
        <f t="shared" si="44"/>
        <v>1.76</v>
      </c>
      <c r="O148" s="123">
        <f t="shared" si="44"/>
        <v>1.76</v>
      </c>
      <c r="P148" s="123">
        <f t="shared" si="44"/>
        <v>1.76</v>
      </c>
      <c r="Q148" s="123">
        <f t="shared" si="44"/>
        <v>1.76</v>
      </c>
      <c r="R148" s="123">
        <f t="shared" si="44"/>
        <v>1.76</v>
      </c>
      <c r="S148" s="123">
        <f t="shared" si="44"/>
        <v>1.76</v>
      </c>
      <c r="T148" s="123">
        <f t="shared" ref="T148:AF149" si="45">S148</f>
        <v>1.76</v>
      </c>
      <c r="U148" s="123">
        <f t="shared" si="45"/>
        <v>1.76</v>
      </c>
      <c r="V148" s="123">
        <f t="shared" si="45"/>
        <v>1.76</v>
      </c>
      <c r="W148" s="123">
        <f t="shared" si="45"/>
        <v>1.76</v>
      </c>
      <c r="X148" s="123">
        <f t="shared" si="45"/>
        <v>1.76</v>
      </c>
      <c r="Y148" s="123">
        <f t="shared" si="45"/>
        <v>1.76</v>
      </c>
      <c r="Z148" s="123">
        <f t="shared" si="45"/>
        <v>1.76</v>
      </c>
      <c r="AA148" s="123">
        <f t="shared" si="45"/>
        <v>1.76</v>
      </c>
      <c r="AB148" s="123">
        <f t="shared" si="45"/>
        <v>1.76</v>
      </c>
      <c r="AC148" s="123">
        <f t="shared" si="45"/>
        <v>1.76</v>
      </c>
      <c r="AD148" s="123">
        <f t="shared" si="45"/>
        <v>1.76</v>
      </c>
      <c r="AE148" s="123">
        <f t="shared" si="45"/>
        <v>1.76</v>
      </c>
      <c r="AF148" s="123">
        <f t="shared" si="45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4"/>
        <v>0</v>
      </c>
      <c r="E149" s="123">
        <f t="shared" si="44"/>
        <v>0</v>
      </c>
      <c r="F149" s="123">
        <f t="shared" si="44"/>
        <v>0</v>
      </c>
      <c r="G149" s="123">
        <f t="shared" si="44"/>
        <v>0</v>
      </c>
      <c r="H149" s="123">
        <f t="shared" si="44"/>
        <v>0</v>
      </c>
      <c r="I149" s="123">
        <f t="shared" si="44"/>
        <v>0</v>
      </c>
      <c r="J149" s="123">
        <f t="shared" si="44"/>
        <v>0</v>
      </c>
      <c r="K149" s="123">
        <f t="shared" si="44"/>
        <v>0</v>
      </c>
      <c r="L149" s="123">
        <f t="shared" si="44"/>
        <v>0</v>
      </c>
      <c r="M149" s="123">
        <f t="shared" si="44"/>
        <v>0</v>
      </c>
      <c r="N149" s="123">
        <f t="shared" si="44"/>
        <v>0</v>
      </c>
      <c r="O149" s="123">
        <f t="shared" si="44"/>
        <v>0</v>
      </c>
      <c r="P149" s="123">
        <f t="shared" si="44"/>
        <v>0</v>
      </c>
      <c r="Q149" s="123">
        <f t="shared" si="44"/>
        <v>0</v>
      </c>
      <c r="R149" s="123">
        <f t="shared" si="44"/>
        <v>0</v>
      </c>
      <c r="S149" s="123">
        <f t="shared" si="44"/>
        <v>0</v>
      </c>
      <c r="T149" s="123">
        <f t="shared" si="45"/>
        <v>0</v>
      </c>
      <c r="U149" s="123">
        <f t="shared" si="45"/>
        <v>0</v>
      </c>
      <c r="V149" s="123">
        <f t="shared" si="45"/>
        <v>0</v>
      </c>
      <c r="W149" s="123">
        <f t="shared" si="45"/>
        <v>0</v>
      </c>
      <c r="X149" s="123">
        <f t="shared" si="45"/>
        <v>0</v>
      </c>
      <c r="Y149" s="123">
        <f t="shared" si="45"/>
        <v>0</v>
      </c>
      <c r="Z149" s="123">
        <f t="shared" si="45"/>
        <v>0</v>
      </c>
      <c r="AA149" s="123">
        <f t="shared" si="45"/>
        <v>0</v>
      </c>
      <c r="AB149" s="123">
        <f t="shared" si="45"/>
        <v>0</v>
      </c>
      <c r="AC149" s="123">
        <f t="shared" si="45"/>
        <v>0</v>
      </c>
      <c r="AD149" s="123">
        <f t="shared" si="45"/>
        <v>0</v>
      </c>
      <c r="AE149" s="123">
        <f t="shared" si="45"/>
        <v>0</v>
      </c>
      <c r="AF149" s="123">
        <f t="shared" si="45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6">C151</f>
        <v>0.1</v>
      </c>
      <c r="E151" s="123">
        <f t="shared" si="46"/>
        <v>0.1</v>
      </c>
      <c r="F151" s="123">
        <f t="shared" si="46"/>
        <v>0.1</v>
      </c>
      <c r="G151" s="123">
        <f t="shared" si="46"/>
        <v>0.1</v>
      </c>
      <c r="H151" s="123">
        <f t="shared" si="46"/>
        <v>0.1</v>
      </c>
      <c r="I151" s="123">
        <f t="shared" si="46"/>
        <v>0.1</v>
      </c>
      <c r="J151" s="123">
        <f t="shared" si="46"/>
        <v>0.1</v>
      </c>
      <c r="K151" s="123">
        <f t="shared" si="46"/>
        <v>0.1</v>
      </c>
      <c r="L151" s="123">
        <f t="shared" si="46"/>
        <v>0.1</v>
      </c>
      <c r="M151" s="123">
        <f t="shared" si="46"/>
        <v>0.1</v>
      </c>
      <c r="N151" s="123">
        <f t="shared" si="46"/>
        <v>0.1</v>
      </c>
      <c r="O151" s="123">
        <f t="shared" si="46"/>
        <v>0.1</v>
      </c>
      <c r="P151" s="123">
        <f t="shared" si="46"/>
        <v>0.1</v>
      </c>
      <c r="Q151" s="123">
        <f t="shared" si="46"/>
        <v>0.1</v>
      </c>
      <c r="R151" s="123">
        <f t="shared" si="46"/>
        <v>0.1</v>
      </c>
      <c r="S151" s="123">
        <f t="shared" si="46"/>
        <v>0.1</v>
      </c>
      <c r="T151" s="123">
        <f t="shared" ref="T151:AF154" si="47">S151</f>
        <v>0.1</v>
      </c>
      <c r="U151" s="123">
        <f t="shared" si="47"/>
        <v>0.1</v>
      </c>
      <c r="V151" s="123">
        <f t="shared" si="47"/>
        <v>0.1</v>
      </c>
      <c r="W151" s="123">
        <f t="shared" si="47"/>
        <v>0.1</v>
      </c>
      <c r="X151" s="123">
        <f t="shared" si="47"/>
        <v>0.1</v>
      </c>
      <c r="Y151" s="123">
        <f t="shared" si="47"/>
        <v>0.1</v>
      </c>
      <c r="Z151" s="123">
        <f t="shared" si="47"/>
        <v>0.1</v>
      </c>
      <c r="AA151" s="123">
        <f t="shared" si="47"/>
        <v>0.1</v>
      </c>
      <c r="AB151" s="123">
        <f t="shared" si="47"/>
        <v>0.1</v>
      </c>
      <c r="AC151" s="123">
        <f t="shared" si="47"/>
        <v>0.1</v>
      </c>
      <c r="AD151" s="123">
        <f t="shared" si="47"/>
        <v>0.1</v>
      </c>
      <c r="AE151" s="123">
        <f t="shared" si="47"/>
        <v>0.1</v>
      </c>
      <c r="AF151" s="123">
        <f t="shared" si="47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6"/>
        <v>2.0499999999999998</v>
      </c>
      <c r="E152" s="123">
        <f t="shared" si="46"/>
        <v>2.0499999999999998</v>
      </c>
      <c r="F152" s="123">
        <f t="shared" si="46"/>
        <v>2.0499999999999998</v>
      </c>
      <c r="G152" s="123">
        <f t="shared" si="46"/>
        <v>2.0499999999999998</v>
      </c>
      <c r="H152" s="123">
        <f t="shared" si="46"/>
        <v>2.0499999999999998</v>
      </c>
      <c r="I152" s="123">
        <f t="shared" si="46"/>
        <v>2.0499999999999998</v>
      </c>
      <c r="J152" s="123">
        <f t="shared" si="46"/>
        <v>2.0499999999999998</v>
      </c>
      <c r="K152" s="123">
        <f t="shared" si="46"/>
        <v>2.0499999999999998</v>
      </c>
      <c r="L152" s="123">
        <f t="shared" si="46"/>
        <v>2.0499999999999998</v>
      </c>
      <c r="M152" s="123">
        <f t="shared" si="46"/>
        <v>2.0499999999999998</v>
      </c>
      <c r="N152" s="123">
        <f t="shared" si="46"/>
        <v>2.0499999999999998</v>
      </c>
      <c r="O152" s="123">
        <f t="shared" si="46"/>
        <v>2.0499999999999998</v>
      </c>
      <c r="P152" s="123">
        <f t="shared" si="46"/>
        <v>2.0499999999999998</v>
      </c>
      <c r="Q152" s="123">
        <f t="shared" si="46"/>
        <v>2.0499999999999998</v>
      </c>
      <c r="R152" s="123">
        <f t="shared" si="46"/>
        <v>2.0499999999999998</v>
      </c>
      <c r="S152" s="123">
        <f t="shared" si="46"/>
        <v>2.0499999999999998</v>
      </c>
      <c r="T152" s="123">
        <f t="shared" si="47"/>
        <v>2.0499999999999998</v>
      </c>
      <c r="U152" s="123">
        <f t="shared" si="47"/>
        <v>2.0499999999999998</v>
      </c>
      <c r="V152" s="123">
        <f t="shared" si="47"/>
        <v>2.0499999999999998</v>
      </c>
      <c r="W152" s="123">
        <f t="shared" si="47"/>
        <v>2.0499999999999998</v>
      </c>
      <c r="X152" s="123">
        <f t="shared" si="47"/>
        <v>2.0499999999999998</v>
      </c>
      <c r="Y152" s="123">
        <f t="shared" si="47"/>
        <v>2.0499999999999998</v>
      </c>
      <c r="Z152" s="123">
        <f t="shared" si="47"/>
        <v>2.0499999999999998</v>
      </c>
      <c r="AA152" s="123">
        <f t="shared" si="47"/>
        <v>2.0499999999999998</v>
      </c>
      <c r="AB152" s="123">
        <f t="shared" si="47"/>
        <v>2.0499999999999998</v>
      </c>
      <c r="AC152" s="123">
        <f t="shared" si="47"/>
        <v>2.0499999999999998</v>
      </c>
      <c r="AD152" s="123">
        <f t="shared" si="47"/>
        <v>2.0499999999999998</v>
      </c>
      <c r="AE152" s="123">
        <f t="shared" si="47"/>
        <v>2.0499999999999998</v>
      </c>
      <c r="AF152" s="123">
        <f t="shared" si="47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6"/>
        <v>2.7</v>
      </c>
      <c r="E153" s="123">
        <f t="shared" si="46"/>
        <v>2.7</v>
      </c>
      <c r="F153" s="123">
        <f t="shared" si="46"/>
        <v>2.7</v>
      </c>
      <c r="G153" s="123">
        <f t="shared" si="46"/>
        <v>2.7</v>
      </c>
      <c r="H153" s="123">
        <f t="shared" si="46"/>
        <v>2.7</v>
      </c>
      <c r="I153" s="123">
        <f t="shared" si="46"/>
        <v>2.7</v>
      </c>
      <c r="J153" s="123">
        <f t="shared" si="46"/>
        <v>2.7</v>
      </c>
      <c r="K153" s="123">
        <f t="shared" si="46"/>
        <v>2.7</v>
      </c>
      <c r="L153" s="123">
        <f t="shared" si="46"/>
        <v>2.7</v>
      </c>
      <c r="M153" s="123">
        <f t="shared" si="46"/>
        <v>2.7</v>
      </c>
      <c r="N153" s="123">
        <f t="shared" si="46"/>
        <v>2.7</v>
      </c>
      <c r="O153" s="123">
        <f t="shared" si="46"/>
        <v>2.7</v>
      </c>
      <c r="P153" s="123">
        <f t="shared" si="46"/>
        <v>2.7</v>
      </c>
      <c r="Q153" s="123">
        <f t="shared" si="46"/>
        <v>2.7</v>
      </c>
      <c r="R153" s="123">
        <f t="shared" si="46"/>
        <v>2.7</v>
      </c>
      <c r="S153" s="123">
        <f t="shared" si="46"/>
        <v>2.7</v>
      </c>
      <c r="T153" s="123">
        <f t="shared" si="47"/>
        <v>2.7</v>
      </c>
      <c r="U153" s="123">
        <f t="shared" si="47"/>
        <v>2.7</v>
      </c>
      <c r="V153" s="123">
        <f t="shared" si="47"/>
        <v>2.7</v>
      </c>
      <c r="W153" s="123">
        <f t="shared" si="47"/>
        <v>2.7</v>
      </c>
      <c r="X153" s="123">
        <f t="shared" si="47"/>
        <v>2.7</v>
      </c>
      <c r="Y153" s="123">
        <f t="shared" si="47"/>
        <v>2.7</v>
      </c>
      <c r="Z153" s="123">
        <f t="shared" si="47"/>
        <v>2.7</v>
      </c>
      <c r="AA153" s="123">
        <f t="shared" si="47"/>
        <v>2.7</v>
      </c>
      <c r="AB153" s="123">
        <f t="shared" si="47"/>
        <v>2.7</v>
      </c>
      <c r="AC153" s="123">
        <f t="shared" si="47"/>
        <v>2.7</v>
      </c>
      <c r="AD153" s="123">
        <f t="shared" si="47"/>
        <v>2.7</v>
      </c>
      <c r="AE153" s="123">
        <f t="shared" si="47"/>
        <v>2.7</v>
      </c>
      <c r="AF153" s="123">
        <f t="shared" si="47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6"/>
        <v>2.15</v>
      </c>
      <c r="E154" s="123">
        <f t="shared" si="46"/>
        <v>2.15</v>
      </c>
      <c r="F154" s="123">
        <f t="shared" si="46"/>
        <v>2.15</v>
      </c>
      <c r="G154" s="123">
        <f t="shared" si="46"/>
        <v>2.15</v>
      </c>
      <c r="H154" s="123">
        <f t="shared" si="46"/>
        <v>2.15</v>
      </c>
      <c r="I154" s="123">
        <f t="shared" si="46"/>
        <v>2.15</v>
      </c>
      <c r="J154" s="123">
        <f t="shared" si="46"/>
        <v>2.15</v>
      </c>
      <c r="K154" s="123">
        <f t="shared" si="46"/>
        <v>2.15</v>
      </c>
      <c r="L154" s="123">
        <f t="shared" si="46"/>
        <v>2.15</v>
      </c>
      <c r="M154" s="123">
        <f t="shared" si="46"/>
        <v>2.15</v>
      </c>
      <c r="N154" s="123">
        <f t="shared" si="46"/>
        <v>2.15</v>
      </c>
      <c r="O154" s="123">
        <f t="shared" si="46"/>
        <v>2.15</v>
      </c>
      <c r="P154" s="123">
        <f t="shared" si="46"/>
        <v>2.15</v>
      </c>
      <c r="Q154" s="123">
        <f t="shared" si="46"/>
        <v>2.15</v>
      </c>
      <c r="R154" s="123">
        <f t="shared" si="46"/>
        <v>2.15</v>
      </c>
      <c r="S154" s="123">
        <f t="shared" si="46"/>
        <v>2.15</v>
      </c>
      <c r="T154" s="123">
        <f t="shared" si="47"/>
        <v>2.15</v>
      </c>
      <c r="U154" s="123">
        <f t="shared" si="47"/>
        <v>2.15</v>
      </c>
      <c r="V154" s="123">
        <f t="shared" si="47"/>
        <v>2.15</v>
      </c>
      <c r="W154" s="123">
        <f t="shared" si="47"/>
        <v>2.15</v>
      </c>
      <c r="X154" s="123">
        <f t="shared" si="47"/>
        <v>2.15</v>
      </c>
      <c r="Y154" s="123">
        <f t="shared" si="47"/>
        <v>2.15</v>
      </c>
      <c r="Z154" s="123">
        <f t="shared" si="47"/>
        <v>2.15</v>
      </c>
      <c r="AA154" s="123">
        <f t="shared" si="47"/>
        <v>2.15</v>
      </c>
      <c r="AB154" s="123">
        <f t="shared" si="47"/>
        <v>2.15</v>
      </c>
      <c r="AC154" s="123">
        <f t="shared" si="47"/>
        <v>2.15</v>
      </c>
      <c r="AD154" s="123">
        <f t="shared" si="47"/>
        <v>2.15</v>
      </c>
      <c r="AE154" s="123">
        <f t="shared" si="47"/>
        <v>2.15</v>
      </c>
      <c r="AF154" s="123">
        <f t="shared" si="47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8">AF156</f>
        <v>0.9</v>
      </c>
      <c r="C156" s="124">
        <v>0.9</v>
      </c>
      <c r="D156" s="123">
        <f t="shared" ref="D156:S168" si="49">C156</f>
        <v>0.9</v>
      </c>
      <c r="E156" s="123">
        <f t="shared" si="49"/>
        <v>0.9</v>
      </c>
      <c r="F156" s="123">
        <f t="shared" si="49"/>
        <v>0.9</v>
      </c>
      <c r="G156" s="123">
        <f t="shared" si="49"/>
        <v>0.9</v>
      </c>
      <c r="H156" s="123">
        <f t="shared" si="49"/>
        <v>0.9</v>
      </c>
      <c r="I156" s="123">
        <f t="shared" si="49"/>
        <v>0.9</v>
      </c>
      <c r="J156" s="123">
        <f t="shared" si="49"/>
        <v>0.9</v>
      </c>
      <c r="K156" s="123">
        <f t="shared" si="49"/>
        <v>0.9</v>
      </c>
      <c r="L156" s="123">
        <f t="shared" si="49"/>
        <v>0.9</v>
      </c>
      <c r="M156" s="123">
        <f t="shared" si="49"/>
        <v>0.9</v>
      </c>
      <c r="N156" s="123">
        <f t="shared" si="49"/>
        <v>0.9</v>
      </c>
      <c r="O156" s="123">
        <f t="shared" si="49"/>
        <v>0.9</v>
      </c>
      <c r="P156" s="123">
        <f t="shared" si="49"/>
        <v>0.9</v>
      </c>
      <c r="Q156" s="123">
        <f t="shared" si="49"/>
        <v>0.9</v>
      </c>
      <c r="R156" s="123">
        <f t="shared" si="49"/>
        <v>0.9</v>
      </c>
      <c r="S156" s="123">
        <f t="shared" si="49"/>
        <v>0.9</v>
      </c>
      <c r="T156" s="123">
        <f t="shared" ref="S156:AF168" si="50">S156</f>
        <v>0.9</v>
      </c>
      <c r="U156" s="123">
        <f t="shared" si="50"/>
        <v>0.9</v>
      </c>
      <c r="V156" s="123">
        <f t="shared" si="50"/>
        <v>0.9</v>
      </c>
      <c r="W156" s="123">
        <f t="shared" si="50"/>
        <v>0.9</v>
      </c>
      <c r="X156" s="123">
        <f t="shared" si="50"/>
        <v>0.9</v>
      </c>
      <c r="Y156" s="123">
        <f t="shared" si="50"/>
        <v>0.9</v>
      </c>
      <c r="Z156" s="123">
        <f t="shared" si="50"/>
        <v>0.9</v>
      </c>
      <c r="AA156" s="123">
        <f t="shared" si="50"/>
        <v>0.9</v>
      </c>
      <c r="AB156" s="123">
        <f t="shared" si="50"/>
        <v>0.9</v>
      </c>
      <c r="AC156" s="123">
        <f t="shared" si="50"/>
        <v>0.9</v>
      </c>
      <c r="AD156" s="123">
        <f t="shared" si="50"/>
        <v>0.9</v>
      </c>
      <c r="AE156" s="123">
        <f t="shared" si="50"/>
        <v>0.9</v>
      </c>
      <c r="AF156" s="123">
        <f t="shared" si="50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8"/>
        <v>1.08</v>
      </c>
      <c r="C157" s="124">
        <v>1.08</v>
      </c>
      <c r="D157" s="123">
        <f t="shared" si="49"/>
        <v>1.08</v>
      </c>
      <c r="E157" s="123">
        <f t="shared" si="49"/>
        <v>1.08</v>
      </c>
      <c r="F157" s="123">
        <f t="shared" si="49"/>
        <v>1.08</v>
      </c>
      <c r="G157" s="123">
        <f t="shared" si="49"/>
        <v>1.08</v>
      </c>
      <c r="H157" s="123">
        <f t="shared" si="49"/>
        <v>1.08</v>
      </c>
      <c r="I157" s="123">
        <f t="shared" si="49"/>
        <v>1.08</v>
      </c>
      <c r="J157" s="123">
        <f t="shared" si="49"/>
        <v>1.08</v>
      </c>
      <c r="K157" s="123">
        <f t="shared" si="49"/>
        <v>1.08</v>
      </c>
      <c r="L157" s="123">
        <f t="shared" si="49"/>
        <v>1.08</v>
      </c>
      <c r="M157" s="123">
        <f t="shared" si="49"/>
        <v>1.08</v>
      </c>
      <c r="N157" s="123">
        <f t="shared" si="49"/>
        <v>1.08</v>
      </c>
      <c r="O157" s="123">
        <f t="shared" si="49"/>
        <v>1.08</v>
      </c>
      <c r="P157" s="123">
        <f t="shared" si="49"/>
        <v>1.08</v>
      </c>
      <c r="Q157" s="123">
        <f t="shared" si="49"/>
        <v>1.08</v>
      </c>
      <c r="R157" s="123">
        <f t="shared" si="49"/>
        <v>1.08</v>
      </c>
      <c r="S157" s="123">
        <f t="shared" si="49"/>
        <v>1.08</v>
      </c>
      <c r="T157" s="123">
        <f t="shared" si="50"/>
        <v>1.08</v>
      </c>
      <c r="U157" s="123">
        <f t="shared" si="50"/>
        <v>1.08</v>
      </c>
      <c r="V157" s="123">
        <f t="shared" si="50"/>
        <v>1.08</v>
      </c>
      <c r="W157" s="123">
        <f t="shared" si="50"/>
        <v>1.08</v>
      </c>
      <c r="X157" s="123">
        <f t="shared" si="50"/>
        <v>1.08</v>
      </c>
      <c r="Y157" s="123">
        <f t="shared" si="50"/>
        <v>1.08</v>
      </c>
      <c r="Z157" s="123">
        <f t="shared" si="50"/>
        <v>1.08</v>
      </c>
      <c r="AA157" s="123">
        <f t="shared" si="50"/>
        <v>1.08</v>
      </c>
      <c r="AB157" s="123">
        <f t="shared" si="50"/>
        <v>1.08</v>
      </c>
      <c r="AC157" s="123">
        <f t="shared" si="50"/>
        <v>1.08</v>
      </c>
      <c r="AD157" s="123">
        <f t="shared" si="50"/>
        <v>1.08</v>
      </c>
      <c r="AE157" s="123">
        <f t="shared" si="50"/>
        <v>1.08</v>
      </c>
      <c r="AF157" s="123">
        <f t="shared" si="50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8"/>
        <v>2.37</v>
      </c>
      <c r="C158" s="124">
        <v>2.37</v>
      </c>
      <c r="D158" s="123">
        <f t="shared" si="49"/>
        <v>2.37</v>
      </c>
      <c r="E158" s="123">
        <f t="shared" si="49"/>
        <v>2.37</v>
      </c>
      <c r="F158" s="123">
        <f t="shared" si="49"/>
        <v>2.37</v>
      </c>
      <c r="G158" s="123">
        <f t="shared" si="49"/>
        <v>2.37</v>
      </c>
      <c r="H158" s="123">
        <f t="shared" si="49"/>
        <v>2.37</v>
      </c>
      <c r="I158" s="123">
        <f t="shared" si="49"/>
        <v>2.37</v>
      </c>
      <c r="J158" s="123">
        <f t="shared" si="49"/>
        <v>2.37</v>
      </c>
      <c r="K158" s="123">
        <f t="shared" si="49"/>
        <v>2.37</v>
      </c>
      <c r="L158" s="123">
        <f t="shared" si="49"/>
        <v>2.37</v>
      </c>
      <c r="M158" s="123">
        <f t="shared" si="49"/>
        <v>2.37</v>
      </c>
      <c r="N158" s="123">
        <f t="shared" si="49"/>
        <v>2.37</v>
      </c>
      <c r="O158" s="123">
        <f t="shared" si="49"/>
        <v>2.37</v>
      </c>
      <c r="P158" s="123">
        <f t="shared" si="49"/>
        <v>2.37</v>
      </c>
      <c r="Q158" s="123">
        <f t="shared" si="49"/>
        <v>2.37</v>
      </c>
      <c r="R158" s="123">
        <f t="shared" si="49"/>
        <v>2.37</v>
      </c>
      <c r="S158" s="123">
        <f t="shared" si="49"/>
        <v>2.37</v>
      </c>
      <c r="T158" s="123">
        <f t="shared" si="50"/>
        <v>2.37</v>
      </c>
      <c r="U158" s="123">
        <f t="shared" si="50"/>
        <v>2.37</v>
      </c>
      <c r="V158" s="123">
        <f t="shared" si="50"/>
        <v>2.37</v>
      </c>
      <c r="W158" s="123">
        <f t="shared" si="50"/>
        <v>2.37</v>
      </c>
      <c r="X158" s="123">
        <f t="shared" si="50"/>
        <v>2.37</v>
      </c>
      <c r="Y158" s="123">
        <f t="shared" si="50"/>
        <v>2.37</v>
      </c>
      <c r="Z158" s="123">
        <f t="shared" si="50"/>
        <v>2.37</v>
      </c>
      <c r="AA158" s="123">
        <f t="shared" si="50"/>
        <v>2.37</v>
      </c>
      <c r="AB158" s="123">
        <f t="shared" si="50"/>
        <v>2.37</v>
      </c>
      <c r="AC158" s="123">
        <f t="shared" si="50"/>
        <v>2.37</v>
      </c>
      <c r="AD158" s="123">
        <f t="shared" si="50"/>
        <v>2.37</v>
      </c>
      <c r="AE158" s="123">
        <f t="shared" si="50"/>
        <v>2.37</v>
      </c>
      <c r="AF158" s="123">
        <f t="shared" si="50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8"/>
        <v>1.81</v>
      </c>
      <c r="C159" s="124">
        <v>1.81</v>
      </c>
      <c r="D159" s="123">
        <f t="shared" si="49"/>
        <v>1.81</v>
      </c>
      <c r="E159" s="123">
        <f t="shared" si="49"/>
        <v>1.81</v>
      </c>
      <c r="F159" s="123">
        <f t="shared" si="49"/>
        <v>1.81</v>
      </c>
      <c r="G159" s="123">
        <f t="shared" si="49"/>
        <v>1.81</v>
      </c>
      <c r="H159" s="123">
        <f t="shared" si="49"/>
        <v>1.81</v>
      </c>
      <c r="I159" s="123">
        <f t="shared" si="49"/>
        <v>1.81</v>
      </c>
      <c r="J159" s="123">
        <f t="shared" si="49"/>
        <v>1.81</v>
      </c>
      <c r="K159" s="123">
        <f t="shared" si="49"/>
        <v>1.81</v>
      </c>
      <c r="L159" s="123">
        <f t="shared" si="49"/>
        <v>1.81</v>
      </c>
      <c r="M159" s="123">
        <f t="shared" si="49"/>
        <v>1.81</v>
      </c>
      <c r="N159" s="123">
        <f t="shared" si="49"/>
        <v>1.81</v>
      </c>
      <c r="O159" s="123">
        <f t="shared" si="49"/>
        <v>1.81</v>
      </c>
      <c r="P159" s="123">
        <f t="shared" si="49"/>
        <v>1.81</v>
      </c>
      <c r="Q159" s="123">
        <f t="shared" si="49"/>
        <v>1.81</v>
      </c>
      <c r="R159" s="123">
        <f t="shared" si="49"/>
        <v>1.81</v>
      </c>
      <c r="S159" s="123">
        <f t="shared" si="49"/>
        <v>1.81</v>
      </c>
      <c r="T159" s="123">
        <f t="shared" si="50"/>
        <v>1.81</v>
      </c>
      <c r="U159" s="123">
        <f t="shared" si="50"/>
        <v>1.81</v>
      </c>
      <c r="V159" s="123">
        <f t="shared" si="50"/>
        <v>1.81</v>
      </c>
      <c r="W159" s="123">
        <f t="shared" si="50"/>
        <v>1.81</v>
      </c>
      <c r="X159" s="123">
        <f t="shared" si="50"/>
        <v>1.81</v>
      </c>
      <c r="Y159" s="123">
        <f t="shared" si="50"/>
        <v>1.81</v>
      </c>
      <c r="Z159" s="123">
        <f t="shared" si="50"/>
        <v>1.81</v>
      </c>
      <c r="AA159" s="123">
        <f t="shared" si="50"/>
        <v>1.81</v>
      </c>
      <c r="AB159" s="123">
        <f t="shared" si="50"/>
        <v>1.81</v>
      </c>
      <c r="AC159" s="123">
        <f t="shared" si="50"/>
        <v>1.81</v>
      </c>
      <c r="AD159" s="123">
        <f t="shared" si="50"/>
        <v>1.81</v>
      </c>
      <c r="AE159" s="123">
        <f t="shared" si="50"/>
        <v>1.81</v>
      </c>
      <c r="AF159" s="123">
        <f t="shared" si="50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8"/>
        <v>1.0900000000000001</v>
      </c>
      <c r="C160" s="124">
        <v>1.0900000000000001</v>
      </c>
      <c r="D160" s="123">
        <f t="shared" si="49"/>
        <v>1.0900000000000001</v>
      </c>
      <c r="E160" s="123">
        <f t="shared" si="49"/>
        <v>1.0900000000000001</v>
      </c>
      <c r="F160" s="123">
        <f t="shared" si="49"/>
        <v>1.0900000000000001</v>
      </c>
      <c r="G160" s="123">
        <f t="shared" si="49"/>
        <v>1.0900000000000001</v>
      </c>
      <c r="H160" s="123">
        <f t="shared" si="49"/>
        <v>1.0900000000000001</v>
      </c>
      <c r="I160" s="123">
        <f t="shared" si="49"/>
        <v>1.0900000000000001</v>
      </c>
      <c r="J160" s="123">
        <f t="shared" si="49"/>
        <v>1.0900000000000001</v>
      </c>
      <c r="K160" s="123">
        <f t="shared" si="49"/>
        <v>1.0900000000000001</v>
      </c>
      <c r="L160" s="123">
        <f t="shared" si="49"/>
        <v>1.0900000000000001</v>
      </c>
      <c r="M160" s="123">
        <f t="shared" si="49"/>
        <v>1.0900000000000001</v>
      </c>
      <c r="N160" s="123">
        <f t="shared" si="49"/>
        <v>1.0900000000000001</v>
      </c>
      <c r="O160" s="123">
        <f t="shared" si="49"/>
        <v>1.0900000000000001</v>
      </c>
      <c r="P160" s="123">
        <f t="shared" si="49"/>
        <v>1.0900000000000001</v>
      </c>
      <c r="Q160" s="123">
        <f t="shared" si="49"/>
        <v>1.0900000000000001</v>
      </c>
      <c r="R160" s="123">
        <f t="shared" si="49"/>
        <v>1.0900000000000001</v>
      </c>
      <c r="S160" s="123">
        <f t="shared" si="49"/>
        <v>1.0900000000000001</v>
      </c>
      <c r="T160" s="123">
        <f t="shared" si="50"/>
        <v>1.0900000000000001</v>
      </c>
      <c r="U160" s="123">
        <f t="shared" si="50"/>
        <v>1.0900000000000001</v>
      </c>
      <c r="V160" s="123">
        <f t="shared" si="50"/>
        <v>1.0900000000000001</v>
      </c>
      <c r="W160" s="123">
        <f t="shared" si="50"/>
        <v>1.0900000000000001</v>
      </c>
      <c r="X160" s="123">
        <f t="shared" si="50"/>
        <v>1.0900000000000001</v>
      </c>
      <c r="Y160" s="123">
        <f t="shared" si="50"/>
        <v>1.0900000000000001</v>
      </c>
      <c r="Z160" s="123">
        <f t="shared" si="50"/>
        <v>1.0900000000000001</v>
      </c>
      <c r="AA160" s="123">
        <f t="shared" si="50"/>
        <v>1.0900000000000001</v>
      </c>
      <c r="AB160" s="123">
        <f t="shared" si="50"/>
        <v>1.0900000000000001</v>
      </c>
      <c r="AC160" s="123">
        <f t="shared" si="50"/>
        <v>1.0900000000000001</v>
      </c>
      <c r="AD160" s="123">
        <f t="shared" si="50"/>
        <v>1.0900000000000001</v>
      </c>
      <c r="AE160" s="123">
        <f t="shared" si="50"/>
        <v>1.0900000000000001</v>
      </c>
      <c r="AF160" s="123">
        <f t="shared" si="50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8"/>
        <v>1.58</v>
      </c>
      <c r="C161" s="124">
        <v>1.58</v>
      </c>
      <c r="D161" s="123">
        <f t="shared" si="49"/>
        <v>1.58</v>
      </c>
      <c r="E161" s="123">
        <f t="shared" si="49"/>
        <v>1.58</v>
      </c>
      <c r="F161" s="123">
        <f t="shared" si="49"/>
        <v>1.58</v>
      </c>
      <c r="G161" s="123">
        <f t="shared" si="49"/>
        <v>1.58</v>
      </c>
      <c r="H161" s="123">
        <f t="shared" si="49"/>
        <v>1.58</v>
      </c>
      <c r="I161" s="123">
        <f t="shared" si="49"/>
        <v>1.58</v>
      </c>
      <c r="J161" s="123">
        <f t="shared" si="49"/>
        <v>1.58</v>
      </c>
      <c r="K161" s="123">
        <f t="shared" si="49"/>
        <v>1.58</v>
      </c>
      <c r="L161" s="123">
        <f t="shared" si="49"/>
        <v>1.58</v>
      </c>
      <c r="M161" s="123">
        <f t="shared" si="49"/>
        <v>1.58</v>
      </c>
      <c r="N161" s="123">
        <f t="shared" si="49"/>
        <v>1.58</v>
      </c>
      <c r="O161" s="123">
        <f t="shared" si="49"/>
        <v>1.58</v>
      </c>
      <c r="P161" s="123">
        <f t="shared" si="49"/>
        <v>1.58</v>
      </c>
      <c r="Q161" s="123">
        <f t="shared" si="49"/>
        <v>1.58</v>
      </c>
      <c r="R161" s="123">
        <f t="shared" si="49"/>
        <v>1.58</v>
      </c>
      <c r="S161" s="123">
        <f t="shared" si="49"/>
        <v>1.58</v>
      </c>
      <c r="T161" s="123">
        <f t="shared" si="50"/>
        <v>1.58</v>
      </c>
      <c r="U161" s="123">
        <f t="shared" si="50"/>
        <v>1.58</v>
      </c>
      <c r="V161" s="123">
        <f t="shared" si="50"/>
        <v>1.58</v>
      </c>
      <c r="W161" s="123">
        <f t="shared" si="50"/>
        <v>1.58</v>
      </c>
      <c r="X161" s="123">
        <f t="shared" si="50"/>
        <v>1.58</v>
      </c>
      <c r="Y161" s="123">
        <f t="shared" si="50"/>
        <v>1.58</v>
      </c>
      <c r="Z161" s="123">
        <f t="shared" si="50"/>
        <v>1.58</v>
      </c>
      <c r="AA161" s="123">
        <f t="shared" si="50"/>
        <v>1.58</v>
      </c>
      <c r="AB161" s="123">
        <f t="shared" si="50"/>
        <v>1.58</v>
      </c>
      <c r="AC161" s="123">
        <f t="shared" si="50"/>
        <v>1.58</v>
      </c>
      <c r="AD161" s="123">
        <f t="shared" si="50"/>
        <v>1.58</v>
      </c>
      <c r="AE161" s="123">
        <f t="shared" si="50"/>
        <v>1.58</v>
      </c>
      <c r="AF161" s="123">
        <f t="shared" si="50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8"/>
        <v>2</v>
      </c>
      <c r="C162" s="124">
        <v>2</v>
      </c>
      <c r="D162" s="123">
        <f t="shared" si="49"/>
        <v>2</v>
      </c>
      <c r="E162" s="123">
        <f t="shared" si="49"/>
        <v>2</v>
      </c>
      <c r="F162" s="123">
        <f t="shared" si="49"/>
        <v>2</v>
      </c>
      <c r="G162" s="123">
        <f t="shared" si="49"/>
        <v>2</v>
      </c>
      <c r="H162" s="123">
        <f t="shared" si="49"/>
        <v>2</v>
      </c>
      <c r="I162" s="123">
        <f t="shared" si="49"/>
        <v>2</v>
      </c>
      <c r="J162" s="123">
        <f t="shared" si="49"/>
        <v>2</v>
      </c>
      <c r="K162" s="123">
        <f t="shared" si="49"/>
        <v>2</v>
      </c>
      <c r="L162" s="123">
        <f t="shared" si="49"/>
        <v>2</v>
      </c>
      <c r="M162" s="123">
        <f t="shared" si="49"/>
        <v>2</v>
      </c>
      <c r="N162" s="123">
        <f t="shared" si="49"/>
        <v>2</v>
      </c>
      <c r="O162" s="123">
        <f t="shared" si="49"/>
        <v>2</v>
      </c>
      <c r="P162" s="123">
        <f t="shared" si="49"/>
        <v>2</v>
      </c>
      <c r="Q162" s="123">
        <f t="shared" si="49"/>
        <v>2</v>
      </c>
      <c r="R162" s="123">
        <f t="shared" si="49"/>
        <v>2</v>
      </c>
      <c r="S162" s="123">
        <f t="shared" si="49"/>
        <v>2</v>
      </c>
      <c r="T162" s="123">
        <f t="shared" si="50"/>
        <v>2</v>
      </c>
      <c r="U162" s="123">
        <f t="shared" si="50"/>
        <v>2</v>
      </c>
      <c r="V162" s="123">
        <f t="shared" si="50"/>
        <v>2</v>
      </c>
      <c r="W162" s="123">
        <f t="shared" si="50"/>
        <v>2</v>
      </c>
      <c r="X162" s="123">
        <f t="shared" si="50"/>
        <v>2</v>
      </c>
      <c r="Y162" s="123">
        <f t="shared" si="50"/>
        <v>2</v>
      </c>
      <c r="Z162" s="123">
        <f t="shared" si="50"/>
        <v>2</v>
      </c>
      <c r="AA162" s="123">
        <f t="shared" si="50"/>
        <v>2</v>
      </c>
      <c r="AB162" s="123">
        <f t="shared" si="50"/>
        <v>2</v>
      </c>
      <c r="AC162" s="123">
        <f t="shared" si="50"/>
        <v>2</v>
      </c>
      <c r="AD162" s="123">
        <f t="shared" si="50"/>
        <v>2</v>
      </c>
      <c r="AE162" s="123">
        <f t="shared" si="50"/>
        <v>2</v>
      </c>
      <c r="AF162" s="123">
        <f t="shared" si="50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8"/>
        <v>0.47</v>
      </c>
      <c r="C163" s="124">
        <v>0.47</v>
      </c>
      <c r="D163" s="123">
        <f t="shared" si="49"/>
        <v>0.47</v>
      </c>
      <c r="E163" s="123">
        <f t="shared" si="49"/>
        <v>0.47</v>
      </c>
      <c r="F163" s="123">
        <f t="shared" si="49"/>
        <v>0.47</v>
      </c>
      <c r="G163" s="123">
        <f t="shared" si="49"/>
        <v>0.47</v>
      </c>
      <c r="H163" s="123">
        <f t="shared" si="49"/>
        <v>0.47</v>
      </c>
      <c r="I163" s="123">
        <f t="shared" si="49"/>
        <v>0.47</v>
      </c>
      <c r="J163" s="123">
        <f t="shared" si="49"/>
        <v>0.47</v>
      </c>
      <c r="K163" s="123">
        <f t="shared" si="49"/>
        <v>0.47</v>
      </c>
      <c r="L163" s="123">
        <f t="shared" si="49"/>
        <v>0.47</v>
      </c>
      <c r="M163" s="123">
        <f t="shared" si="49"/>
        <v>0.47</v>
      </c>
      <c r="N163" s="123">
        <f t="shared" si="49"/>
        <v>0.47</v>
      </c>
      <c r="O163" s="123">
        <f t="shared" si="49"/>
        <v>0.47</v>
      </c>
      <c r="P163" s="123">
        <f t="shared" si="49"/>
        <v>0.47</v>
      </c>
      <c r="Q163" s="123">
        <f t="shared" si="49"/>
        <v>0.47</v>
      </c>
      <c r="R163" s="123">
        <f t="shared" si="49"/>
        <v>0.47</v>
      </c>
      <c r="S163" s="123">
        <f t="shared" si="49"/>
        <v>0.47</v>
      </c>
      <c r="T163" s="123">
        <f t="shared" si="50"/>
        <v>0.47</v>
      </c>
      <c r="U163" s="123">
        <f t="shared" si="50"/>
        <v>0.47</v>
      </c>
      <c r="V163" s="123">
        <f t="shared" si="50"/>
        <v>0.47</v>
      </c>
      <c r="W163" s="123">
        <f t="shared" si="50"/>
        <v>0.47</v>
      </c>
      <c r="X163" s="123">
        <f t="shared" si="50"/>
        <v>0.47</v>
      </c>
      <c r="Y163" s="123">
        <f t="shared" si="50"/>
        <v>0.47</v>
      </c>
      <c r="Z163" s="123">
        <f t="shared" si="50"/>
        <v>0.47</v>
      </c>
      <c r="AA163" s="123">
        <f t="shared" si="50"/>
        <v>0.47</v>
      </c>
      <c r="AB163" s="123">
        <f t="shared" si="50"/>
        <v>0.47</v>
      </c>
      <c r="AC163" s="123">
        <f t="shared" si="50"/>
        <v>0.47</v>
      </c>
      <c r="AD163" s="123">
        <f t="shared" si="50"/>
        <v>0.47</v>
      </c>
      <c r="AE163" s="123">
        <f t="shared" si="50"/>
        <v>0.47</v>
      </c>
      <c r="AF163" s="123">
        <f t="shared" si="50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8"/>
        <v>0</v>
      </c>
      <c r="C164" s="124">
        <v>0</v>
      </c>
      <c r="D164" s="123">
        <f t="shared" si="49"/>
        <v>0</v>
      </c>
      <c r="E164" s="123">
        <f t="shared" si="49"/>
        <v>0</v>
      </c>
      <c r="F164" s="123">
        <f t="shared" si="49"/>
        <v>0</v>
      </c>
      <c r="G164" s="123">
        <f t="shared" si="49"/>
        <v>0</v>
      </c>
      <c r="H164" s="123">
        <f t="shared" si="49"/>
        <v>0</v>
      </c>
      <c r="I164" s="123">
        <f t="shared" si="49"/>
        <v>0</v>
      </c>
      <c r="J164" s="123">
        <f t="shared" si="49"/>
        <v>0</v>
      </c>
      <c r="K164" s="123">
        <f t="shared" si="49"/>
        <v>0</v>
      </c>
      <c r="L164" s="123">
        <f t="shared" si="49"/>
        <v>0</v>
      </c>
      <c r="M164" s="123">
        <f t="shared" si="49"/>
        <v>0</v>
      </c>
      <c r="N164" s="123">
        <f t="shared" si="49"/>
        <v>0</v>
      </c>
      <c r="O164" s="123">
        <f t="shared" si="49"/>
        <v>0</v>
      </c>
      <c r="P164" s="123">
        <f t="shared" si="49"/>
        <v>0</v>
      </c>
      <c r="Q164" s="123">
        <f t="shared" si="49"/>
        <v>0</v>
      </c>
      <c r="R164" s="123">
        <f t="shared" si="49"/>
        <v>0</v>
      </c>
      <c r="S164" s="123">
        <f t="shared" si="49"/>
        <v>0</v>
      </c>
      <c r="T164" s="123">
        <f t="shared" si="50"/>
        <v>0</v>
      </c>
      <c r="U164" s="123">
        <f t="shared" si="50"/>
        <v>0</v>
      </c>
      <c r="V164" s="123">
        <f t="shared" si="50"/>
        <v>0</v>
      </c>
      <c r="W164" s="123">
        <f t="shared" si="50"/>
        <v>0</v>
      </c>
      <c r="X164" s="123">
        <f t="shared" si="50"/>
        <v>0</v>
      </c>
      <c r="Y164" s="123">
        <f t="shared" si="50"/>
        <v>0</v>
      </c>
      <c r="Z164" s="123">
        <f t="shared" si="50"/>
        <v>0</v>
      </c>
      <c r="AA164" s="123">
        <f t="shared" si="50"/>
        <v>0</v>
      </c>
      <c r="AB164" s="123">
        <f t="shared" si="50"/>
        <v>0</v>
      </c>
      <c r="AC164" s="123">
        <f t="shared" si="50"/>
        <v>0</v>
      </c>
      <c r="AD164" s="123">
        <f t="shared" si="50"/>
        <v>0</v>
      </c>
      <c r="AE164" s="123">
        <f t="shared" si="50"/>
        <v>0</v>
      </c>
      <c r="AF164" s="123">
        <f t="shared" si="50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8"/>
        <v>0</v>
      </c>
      <c r="C165" s="124">
        <v>0</v>
      </c>
      <c r="D165" s="123">
        <f t="shared" si="49"/>
        <v>0</v>
      </c>
      <c r="E165" s="123">
        <f t="shared" si="49"/>
        <v>0</v>
      </c>
      <c r="F165" s="123">
        <f t="shared" si="49"/>
        <v>0</v>
      </c>
      <c r="G165" s="123">
        <f t="shared" si="49"/>
        <v>0</v>
      </c>
      <c r="H165" s="123">
        <f t="shared" si="49"/>
        <v>0</v>
      </c>
      <c r="I165" s="123">
        <f t="shared" si="49"/>
        <v>0</v>
      </c>
      <c r="J165" s="123">
        <f t="shared" si="49"/>
        <v>0</v>
      </c>
      <c r="K165" s="123">
        <f t="shared" si="49"/>
        <v>0</v>
      </c>
      <c r="L165" s="123">
        <f t="shared" si="49"/>
        <v>0</v>
      </c>
      <c r="M165" s="123">
        <f t="shared" si="49"/>
        <v>0</v>
      </c>
      <c r="N165" s="123">
        <f t="shared" si="49"/>
        <v>0</v>
      </c>
      <c r="O165" s="123">
        <f t="shared" si="49"/>
        <v>0</v>
      </c>
      <c r="P165" s="123">
        <f t="shared" si="49"/>
        <v>0</v>
      </c>
      <c r="Q165" s="123">
        <f t="shared" si="49"/>
        <v>0</v>
      </c>
      <c r="R165" s="123">
        <f t="shared" si="49"/>
        <v>0</v>
      </c>
      <c r="S165" s="123">
        <f t="shared" si="50"/>
        <v>0</v>
      </c>
      <c r="T165" s="123">
        <f t="shared" si="50"/>
        <v>0</v>
      </c>
      <c r="U165" s="123">
        <f t="shared" si="50"/>
        <v>0</v>
      </c>
      <c r="V165" s="123">
        <f t="shared" si="50"/>
        <v>0</v>
      </c>
      <c r="W165" s="123">
        <f t="shared" si="50"/>
        <v>0</v>
      </c>
      <c r="X165" s="123">
        <f t="shared" si="50"/>
        <v>0</v>
      </c>
      <c r="Y165" s="123">
        <f t="shared" si="50"/>
        <v>0</v>
      </c>
      <c r="Z165" s="123">
        <f t="shared" si="50"/>
        <v>0</v>
      </c>
      <c r="AA165" s="123">
        <f t="shared" si="50"/>
        <v>0</v>
      </c>
      <c r="AB165" s="123">
        <f t="shared" si="50"/>
        <v>0</v>
      </c>
      <c r="AC165" s="123">
        <f t="shared" si="50"/>
        <v>0</v>
      </c>
      <c r="AD165" s="123">
        <f t="shared" si="50"/>
        <v>0</v>
      </c>
      <c r="AE165" s="123">
        <f t="shared" si="50"/>
        <v>0</v>
      </c>
      <c r="AF165" s="123">
        <f t="shared" si="50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8"/>
        <v>0.8</v>
      </c>
      <c r="C166" s="124">
        <v>0.8</v>
      </c>
      <c r="D166" s="123">
        <f t="shared" si="49"/>
        <v>0.8</v>
      </c>
      <c r="E166" s="123">
        <f t="shared" si="49"/>
        <v>0.8</v>
      </c>
      <c r="F166" s="123">
        <f t="shared" si="49"/>
        <v>0.8</v>
      </c>
      <c r="G166" s="123">
        <f t="shared" si="49"/>
        <v>0.8</v>
      </c>
      <c r="H166" s="123">
        <f t="shared" si="49"/>
        <v>0.8</v>
      </c>
      <c r="I166" s="123">
        <f t="shared" si="49"/>
        <v>0.8</v>
      </c>
      <c r="J166" s="123">
        <f t="shared" si="49"/>
        <v>0.8</v>
      </c>
      <c r="K166" s="123">
        <f t="shared" si="49"/>
        <v>0.8</v>
      </c>
      <c r="L166" s="123">
        <f t="shared" si="49"/>
        <v>0.8</v>
      </c>
      <c r="M166" s="123">
        <f t="shared" si="49"/>
        <v>0.8</v>
      </c>
      <c r="N166" s="123">
        <f t="shared" si="49"/>
        <v>0.8</v>
      </c>
      <c r="O166" s="123">
        <f t="shared" si="49"/>
        <v>0.8</v>
      </c>
      <c r="P166" s="123">
        <f t="shared" si="49"/>
        <v>0.8</v>
      </c>
      <c r="Q166" s="123">
        <f t="shared" si="49"/>
        <v>0.8</v>
      </c>
      <c r="R166" s="123">
        <f t="shared" si="49"/>
        <v>0.8</v>
      </c>
      <c r="S166" s="123">
        <f t="shared" si="50"/>
        <v>0.8</v>
      </c>
      <c r="T166" s="123">
        <f t="shared" si="50"/>
        <v>0.8</v>
      </c>
      <c r="U166" s="123">
        <f t="shared" si="50"/>
        <v>0.8</v>
      </c>
      <c r="V166" s="123">
        <f t="shared" si="50"/>
        <v>0.8</v>
      </c>
      <c r="W166" s="123">
        <f t="shared" si="50"/>
        <v>0.8</v>
      </c>
      <c r="X166" s="123">
        <f t="shared" si="50"/>
        <v>0.8</v>
      </c>
      <c r="Y166" s="123">
        <f t="shared" si="50"/>
        <v>0.8</v>
      </c>
      <c r="Z166" s="123">
        <f t="shared" si="50"/>
        <v>0.8</v>
      </c>
      <c r="AA166" s="123">
        <f t="shared" si="50"/>
        <v>0.8</v>
      </c>
      <c r="AB166" s="123">
        <f t="shared" si="50"/>
        <v>0.8</v>
      </c>
      <c r="AC166" s="123">
        <f t="shared" si="50"/>
        <v>0.8</v>
      </c>
      <c r="AD166" s="123">
        <f t="shared" si="50"/>
        <v>0.8</v>
      </c>
      <c r="AE166" s="123">
        <f t="shared" si="50"/>
        <v>0.8</v>
      </c>
      <c r="AF166" s="123">
        <f t="shared" si="50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8"/>
        <v>1.5</v>
      </c>
      <c r="C167" s="124">
        <v>1.5</v>
      </c>
      <c r="D167" s="123">
        <f t="shared" si="49"/>
        <v>1.5</v>
      </c>
      <c r="E167" s="123">
        <f t="shared" si="49"/>
        <v>1.5</v>
      </c>
      <c r="F167" s="123">
        <f t="shared" si="49"/>
        <v>1.5</v>
      </c>
      <c r="G167" s="123">
        <f t="shared" si="49"/>
        <v>1.5</v>
      </c>
      <c r="H167" s="123">
        <f t="shared" si="49"/>
        <v>1.5</v>
      </c>
      <c r="I167" s="123">
        <f t="shared" si="49"/>
        <v>1.5</v>
      </c>
      <c r="J167" s="123">
        <f t="shared" si="49"/>
        <v>1.5</v>
      </c>
      <c r="K167" s="123">
        <f t="shared" si="49"/>
        <v>1.5</v>
      </c>
      <c r="L167" s="123">
        <f t="shared" si="49"/>
        <v>1.5</v>
      </c>
      <c r="M167" s="123">
        <f t="shared" si="49"/>
        <v>1.5</v>
      </c>
      <c r="N167" s="123">
        <f t="shared" si="49"/>
        <v>1.5</v>
      </c>
      <c r="O167" s="123">
        <f t="shared" si="49"/>
        <v>1.5</v>
      </c>
      <c r="P167" s="123">
        <f t="shared" si="49"/>
        <v>1.5</v>
      </c>
      <c r="Q167" s="123">
        <f t="shared" si="49"/>
        <v>1.5</v>
      </c>
      <c r="R167" s="123">
        <f t="shared" si="49"/>
        <v>1.5</v>
      </c>
      <c r="S167" s="123">
        <f t="shared" si="50"/>
        <v>1.5</v>
      </c>
      <c r="T167" s="123">
        <f t="shared" si="50"/>
        <v>1.5</v>
      </c>
      <c r="U167" s="123">
        <f t="shared" si="50"/>
        <v>1.5</v>
      </c>
      <c r="V167" s="123">
        <f t="shared" si="50"/>
        <v>1.5</v>
      </c>
      <c r="W167" s="123">
        <f t="shared" si="50"/>
        <v>1.5</v>
      </c>
      <c r="X167" s="123">
        <f t="shared" si="50"/>
        <v>1.5</v>
      </c>
      <c r="Y167" s="123">
        <f t="shared" si="50"/>
        <v>1.5</v>
      </c>
      <c r="Z167" s="123">
        <f t="shared" si="50"/>
        <v>1.5</v>
      </c>
      <c r="AA167" s="123">
        <f t="shared" si="50"/>
        <v>1.5</v>
      </c>
      <c r="AB167" s="123">
        <f t="shared" si="50"/>
        <v>1.5</v>
      </c>
      <c r="AC167" s="123">
        <f t="shared" si="50"/>
        <v>1.5</v>
      </c>
      <c r="AD167" s="123">
        <f t="shared" si="50"/>
        <v>1.5</v>
      </c>
      <c r="AE167" s="123">
        <f t="shared" si="50"/>
        <v>1.5</v>
      </c>
      <c r="AF167" s="123">
        <f t="shared" si="50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8"/>
        <v>1</v>
      </c>
      <c r="C168" s="124">
        <v>1</v>
      </c>
      <c r="D168" s="123">
        <f t="shared" si="49"/>
        <v>1</v>
      </c>
      <c r="E168" s="123">
        <f t="shared" si="49"/>
        <v>1</v>
      </c>
      <c r="F168" s="123">
        <f t="shared" si="49"/>
        <v>1</v>
      </c>
      <c r="G168" s="123">
        <f t="shared" si="49"/>
        <v>1</v>
      </c>
      <c r="H168" s="123">
        <f t="shared" si="49"/>
        <v>1</v>
      </c>
      <c r="I168" s="123">
        <f t="shared" si="49"/>
        <v>1</v>
      </c>
      <c r="J168" s="123">
        <f t="shared" si="49"/>
        <v>1</v>
      </c>
      <c r="K168" s="123">
        <f t="shared" si="49"/>
        <v>1</v>
      </c>
      <c r="L168" s="123">
        <f t="shared" si="49"/>
        <v>1</v>
      </c>
      <c r="M168" s="123">
        <f t="shared" si="49"/>
        <v>1</v>
      </c>
      <c r="N168" s="123">
        <f t="shared" si="49"/>
        <v>1</v>
      </c>
      <c r="O168" s="123">
        <f t="shared" si="49"/>
        <v>1</v>
      </c>
      <c r="P168" s="123">
        <f t="shared" si="49"/>
        <v>1</v>
      </c>
      <c r="Q168" s="123">
        <f t="shared" si="49"/>
        <v>1</v>
      </c>
      <c r="R168" s="123">
        <f t="shared" si="49"/>
        <v>1</v>
      </c>
      <c r="S168" s="123">
        <f t="shared" si="50"/>
        <v>1</v>
      </c>
      <c r="T168" s="123">
        <f t="shared" si="50"/>
        <v>1</v>
      </c>
      <c r="U168" s="123">
        <f t="shared" si="50"/>
        <v>1</v>
      </c>
      <c r="V168" s="123">
        <f t="shared" si="50"/>
        <v>1</v>
      </c>
      <c r="W168" s="123">
        <f t="shared" si="50"/>
        <v>1</v>
      </c>
      <c r="X168" s="123">
        <f t="shared" si="50"/>
        <v>1</v>
      </c>
      <c r="Y168" s="123">
        <f t="shared" si="50"/>
        <v>1</v>
      </c>
      <c r="Z168" s="123">
        <f t="shared" si="50"/>
        <v>1</v>
      </c>
      <c r="AA168" s="123">
        <f t="shared" si="50"/>
        <v>1</v>
      </c>
      <c r="AB168" s="123">
        <f t="shared" si="50"/>
        <v>1</v>
      </c>
      <c r="AC168" s="123">
        <f t="shared" si="50"/>
        <v>1</v>
      </c>
      <c r="AD168" s="123">
        <f t="shared" si="50"/>
        <v>1</v>
      </c>
      <c r="AE168" s="123">
        <f t="shared" si="50"/>
        <v>1</v>
      </c>
      <c r="AF168" s="123">
        <f t="shared" si="50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1">AF170</f>
        <v>1</v>
      </c>
      <c r="C170" s="124">
        <v>1</v>
      </c>
      <c r="D170" s="123">
        <f t="shared" ref="D170:S177" si="52">C170</f>
        <v>1</v>
      </c>
      <c r="E170" s="123">
        <f t="shared" si="52"/>
        <v>1</v>
      </c>
      <c r="F170" s="123">
        <f t="shared" si="52"/>
        <v>1</v>
      </c>
      <c r="G170" s="123">
        <f t="shared" si="52"/>
        <v>1</v>
      </c>
      <c r="H170" s="123">
        <f t="shared" si="52"/>
        <v>1</v>
      </c>
      <c r="I170" s="123">
        <f t="shared" si="52"/>
        <v>1</v>
      </c>
      <c r="J170" s="123">
        <f t="shared" si="52"/>
        <v>1</v>
      </c>
      <c r="K170" s="123">
        <f t="shared" si="52"/>
        <v>1</v>
      </c>
      <c r="L170" s="123">
        <f t="shared" si="52"/>
        <v>1</v>
      </c>
      <c r="M170" s="123">
        <f t="shared" si="52"/>
        <v>1</v>
      </c>
      <c r="N170" s="123">
        <f t="shared" si="52"/>
        <v>1</v>
      </c>
      <c r="O170" s="123">
        <f t="shared" si="52"/>
        <v>1</v>
      </c>
      <c r="P170" s="123">
        <f t="shared" si="52"/>
        <v>1</v>
      </c>
      <c r="Q170" s="123">
        <f t="shared" si="52"/>
        <v>1</v>
      </c>
      <c r="R170" s="123">
        <f t="shared" si="52"/>
        <v>1</v>
      </c>
      <c r="S170" s="123">
        <f t="shared" si="52"/>
        <v>1</v>
      </c>
      <c r="T170" s="123">
        <f t="shared" ref="S170:AF177" si="53">S170</f>
        <v>1</v>
      </c>
      <c r="U170" s="123">
        <f t="shared" si="53"/>
        <v>1</v>
      </c>
      <c r="V170" s="123">
        <f t="shared" si="53"/>
        <v>1</v>
      </c>
      <c r="W170" s="123">
        <f t="shared" si="53"/>
        <v>1</v>
      </c>
      <c r="X170" s="123">
        <f t="shared" si="53"/>
        <v>1</v>
      </c>
      <c r="Y170" s="123">
        <f t="shared" si="53"/>
        <v>1</v>
      </c>
      <c r="Z170" s="123">
        <f t="shared" si="53"/>
        <v>1</v>
      </c>
      <c r="AA170" s="123">
        <f t="shared" si="53"/>
        <v>1</v>
      </c>
      <c r="AB170" s="123">
        <f t="shared" si="53"/>
        <v>1</v>
      </c>
      <c r="AC170" s="123">
        <f t="shared" si="53"/>
        <v>1</v>
      </c>
      <c r="AD170" s="123">
        <f t="shared" si="53"/>
        <v>1</v>
      </c>
      <c r="AE170" s="123">
        <f t="shared" si="53"/>
        <v>1</v>
      </c>
      <c r="AF170" s="123">
        <f t="shared" si="53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1"/>
        <v>0.42</v>
      </c>
      <c r="C171" s="124">
        <v>0.42</v>
      </c>
      <c r="D171" s="123">
        <f t="shared" si="52"/>
        <v>0.42</v>
      </c>
      <c r="E171" s="123">
        <f t="shared" si="52"/>
        <v>0.42</v>
      </c>
      <c r="F171" s="123">
        <f t="shared" si="52"/>
        <v>0.42</v>
      </c>
      <c r="G171" s="123">
        <f t="shared" si="52"/>
        <v>0.42</v>
      </c>
      <c r="H171" s="123">
        <f t="shared" si="52"/>
        <v>0.42</v>
      </c>
      <c r="I171" s="123">
        <f t="shared" si="52"/>
        <v>0.42</v>
      </c>
      <c r="J171" s="123">
        <f t="shared" si="52"/>
        <v>0.42</v>
      </c>
      <c r="K171" s="123">
        <f t="shared" si="52"/>
        <v>0.42</v>
      </c>
      <c r="L171" s="123">
        <f t="shared" si="52"/>
        <v>0.42</v>
      </c>
      <c r="M171" s="123">
        <f t="shared" si="52"/>
        <v>0.42</v>
      </c>
      <c r="N171" s="123">
        <f t="shared" si="52"/>
        <v>0.42</v>
      </c>
      <c r="O171" s="123">
        <f t="shared" si="52"/>
        <v>0.42</v>
      </c>
      <c r="P171" s="123">
        <f t="shared" si="52"/>
        <v>0.42</v>
      </c>
      <c r="Q171" s="123">
        <f t="shared" si="52"/>
        <v>0.42</v>
      </c>
      <c r="R171" s="123">
        <f t="shared" si="52"/>
        <v>0.42</v>
      </c>
      <c r="S171" s="123">
        <f t="shared" si="53"/>
        <v>0.42</v>
      </c>
      <c r="T171" s="123">
        <f t="shared" si="53"/>
        <v>0.42</v>
      </c>
      <c r="U171" s="123">
        <f t="shared" si="53"/>
        <v>0.42</v>
      </c>
      <c r="V171" s="123">
        <f t="shared" si="53"/>
        <v>0.42</v>
      </c>
      <c r="W171" s="123">
        <f t="shared" si="53"/>
        <v>0.42</v>
      </c>
      <c r="X171" s="123">
        <f t="shared" si="53"/>
        <v>0.42</v>
      </c>
      <c r="Y171" s="123">
        <f t="shared" si="53"/>
        <v>0.42</v>
      </c>
      <c r="Z171" s="123">
        <f t="shared" si="53"/>
        <v>0.42</v>
      </c>
      <c r="AA171" s="123">
        <f t="shared" si="53"/>
        <v>0.42</v>
      </c>
      <c r="AB171" s="123">
        <f t="shared" si="53"/>
        <v>0.42</v>
      </c>
      <c r="AC171" s="123">
        <f t="shared" si="53"/>
        <v>0.42</v>
      </c>
      <c r="AD171" s="123">
        <f t="shared" si="53"/>
        <v>0.42</v>
      </c>
      <c r="AE171" s="123">
        <f t="shared" si="53"/>
        <v>0.42</v>
      </c>
      <c r="AF171" s="123">
        <f t="shared" si="53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1"/>
        <v>0.46</v>
      </c>
      <c r="C172" s="124">
        <v>0.46</v>
      </c>
      <c r="D172" s="123">
        <f t="shared" si="52"/>
        <v>0.46</v>
      </c>
      <c r="E172" s="123">
        <f t="shared" si="52"/>
        <v>0.46</v>
      </c>
      <c r="F172" s="123">
        <f t="shared" si="52"/>
        <v>0.46</v>
      </c>
      <c r="G172" s="123">
        <f t="shared" si="52"/>
        <v>0.46</v>
      </c>
      <c r="H172" s="123">
        <f t="shared" si="52"/>
        <v>0.46</v>
      </c>
      <c r="I172" s="123">
        <f t="shared" si="52"/>
        <v>0.46</v>
      </c>
      <c r="J172" s="123">
        <f t="shared" si="52"/>
        <v>0.46</v>
      </c>
      <c r="K172" s="123">
        <f t="shared" si="52"/>
        <v>0.46</v>
      </c>
      <c r="L172" s="123">
        <f t="shared" si="52"/>
        <v>0.46</v>
      </c>
      <c r="M172" s="123">
        <f t="shared" si="52"/>
        <v>0.46</v>
      </c>
      <c r="N172" s="123">
        <f t="shared" si="52"/>
        <v>0.46</v>
      </c>
      <c r="O172" s="123">
        <f t="shared" si="52"/>
        <v>0.46</v>
      </c>
      <c r="P172" s="123">
        <f t="shared" si="52"/>
        <v>0.46</v>
      </c>
      <c r="Q172" s="123">
        <f t="shared" si="52"/>
        <v>0.46</v>
      </c>
      <c r="R172" s="123">
        <f t="shared" si="52"/>
        <v>0.46</v>
      </c>
      <c r="S172" s="123">
        <f t="shared" si="53"/>
        <v>0.46</v>
      </c>
      <c r="T172" s="123">
        <f t="shared" si="53"/>
        <v>0.46</v>
      </c>
      <c r="U172" s="123">
        <f t="shared" si="53"/>
        <v>0.46</v>
      </c>
      <c r="V172" s="123">
        <f t="shared" si="53"/>
        <v>0.46</v>
      </c>
      <c r="W172" s="123">
        <f t="shared" si="53"/>
        <v>0.46</v>
      </c>
      <c r="X172" s="123">
        <f t="shared" si="53"/>
        <v>0.46</v>
      </c>
      <c r="Y172" s="123">
        <f t="shared" si="53"/>
        <v>0.46</v>
      </c>
      <c r="Z172" s="123">
        <f t="shared" si="53"/>
        <v>0.46</v>
      </c>
      <c r="AA172" s="123">
        <f t="shared" si="53"/>
        <v>0.46</v>
      </c>
      <c r="AB172" s="123">
        <f t="shared" si="53"/>
        <v>0.46</v>
      </c>
      <c r="AC172" s="123">
        <f t="shared" si="53"/>
        <v>0.46</v>
      </c>
      <c r="AD172" s="123">
        <f t="shared" si="53"/>
        <v>0.46</v>
      </c>
      <c r="AE172" s="123">
        <f t="shared" si="53"/>
        <v>0.46</v>
      </c>
      <c r="AF172" s="123">
        <f t="shared" si="53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1"/>
        <v>0.85</v>
      </c>
      <c r="C173" s="124">
        <v>0.85</v>
      </c>
      <c r="D173" s="123">
        <f t="shared" si="52"/>
        <v>0.85</v>
      </c>
      <c r="E173" s="123">
        <f t="shared" si="52"/>
        <v>0.85</v>
      </c>
      <c r="F173" s="123">
        <f t="shared" si="52"/>
        <v>0.85</v>
      </c>
      <c r="G173" s="123">
        <f t="shared" si="52"/>
        <v>0.85</v>
      </c>
      <c r="H173" s="123">
        <f t="shared" si="52"/>
        <v>0.85</v>
      </c>
      <c r="I173" s="123">
        <f t="shared" si="52"/>
        <v>0.85</v>
      </c>
      <c r="J173" s="123">
        <f t="shared" si="52"/>
        <v>0.85</v>
      </c>
      <c r="K173" s="123">
        <f t="shared" si="52"/>
        <v>0.85</v>
      </c>
      <c r="L173" s="123">
        <f t="shared" si="52"/>
        <v>0.85</v>
      </c>
      <c r="M173" s="123">
        <f t="shared" si="52"/>
        <v>0.85</v>
      </c>
      <c r="N173" s="123">
        <f t="shared" si="52"/>
        <v>0.85</v>
      </c>
      <c r="O173" s="123">
        <f t="shared" si="52"/>
        <v>0.85</v>
      </c>
      <c r="P173" s="123">
        <f t="shared" si="52"/>
        <v>0.85</v>
      </c>
      <c r="Q173" s="123">
        <f t="shared" si="52"/>
        <v>0.85</v>
      </c>
      <c r="R173" s="123">
        <f t="shared" si="52"/>
        <v>0.85</v>
      </c>
      <c r="S173" s="123">
        <f t="shared" si="53"/>
        <v>0.85</v>
      </c>
      <c r="T173" s="123">
        <f t="shared" si="53"/>
        <v>0.85</v>
      </c>
      <c r="U173" s="123">
        <f t="shared" si="53"/>
        <v>0.85</v>
      </c>
      <c r="V173" s="123">
        <f t="shared" si="53"/>
        <v>0.85</v>
      </c>
      <c r="W173" s="123">
        <f t="shared" si="53"/>
        <v>0.85</v>
      </c>
      <c r="X173" s="123">
        <f t="shared" si="53"/>
        <v>0.85</v>
      </c>
      <c r="Y173" s="123">
        <f t="shared" si="53"/>
        <v>0.85</v>
      </c>
      <c r="Z173" s="123">
        <f t="shared" si="53"/>
        <v>0.85</v>
      </c>
      <c r="AA173" s="123">
        <f t="shared" si="53"/>
        <v>0.85</v>
      </c>
      <c r="AB173" s="123">
        <f t="shared" si="53"/>
        <v>0.85</v>
      </c>
      <c r="AC173" s="123">
        <f t="shared" si="53"/>
        <v>0.85</v>
      </c>
      <c r="AD173" s="123">
        <f t="shared" si="53"/>
        <v>0.85</v>
      </c>
      <c r="AE173" s="123">
        <f t="shared" si="53"/>
        <v>0.85</v>
      </c>
      <c r="AF173" s="123">
        <f t="shared" si="53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1"/>
        <v>0.9</v>
      </c>
      <c r="C174" s="124">
        <v>0.9</v>
      </c>
      <c r="D174" s="123">
        <f t="shared" si="52"/>
        <v>0.9</v>
      </c>
      <c r="E174" s="123">
        <f t="shared" si="52"/>
        <v>0.9</v>
      </c>
      <c r="F174" s="123">
        <f t="shared" si="52"/>
        <v>0.9</v>
      </c>
      <c r="G174" s="123">
        <f t="shared" si="52"/>
        <v>0.9</v>
      </c>
      <c r="H174" s="123">
        <f t="shared" si="52"/>
        <v>0.9</v>
      </c>
      <c r="I174" s="123">
        <f t="shared" si="52"/>
        <v>0.9</v>
      </c>
      <c r="J174" s="123">
        <f t="shared" si="52"/>
        <v>0.9</v>
      </c>
      <c r="K174" s="123">
        <f t="shared" si="52"/>
        <v>0.9</v>
      </c>
      <c r="L174" s="123">
        <f t="shared" si="52"/>
        <v>0.9</v>
      </c>
      <c r="M174" s="123">
        <f t="shared" si="52"/>
        <v>0.9</v>
      </c>
      <c r="N174" s="123">
        <f t="shared" si="52"/>
        <v>0.9</v>
      </c>
      <c r="O174" s="123">
        <f t="shared" si="52"/>
        <v>0.9</v>
      </c>
      <c r="P174" s="123">
        <f t="shared" si="52"/>
        <v>0.9</v>
      </c>
      <c r="Q174" s="123">
        <f t="shared" si="52"/>
        <v>0.9</v>
      </c>
      <c r="R174" s="123">
        <f t="shared" si="52"/>
        <v>0.9</v>
      </c>
      <c r="S174" s="123">
        <f t="shared" si="53"/>
        <v>0.9</v>
      </c>
      <c r="T174" s="123">
        <f t="shared" si="53"/>
        <v>0.9</v>
      </c>
      <c r="U174" s="123">
        <f t="shared" si="53"/>
        <v>0.9</v>
      </c>
      <c r="V174" s="123">
        <f t="shared" si="53"/>
        <v>0.9</v>
      </c>
      <c r="W174" s="123">
        <f t="shared" si="53"/>
        <v>0.9</v>
      </c>
      <c r="X174" s="123">
        <f t="shared" si="53"/>
        <v>0.9</v>
      </c>
      <c r="Y174" s="123">
        <f t="shared" si="53"/>
        <v>0.9</v>
      </c>
      <c r="Z174" s="123">
        <f t="shared" si="53"/>
        <v>0.9</v>
      </c>
      <c r="AA174" s="123">
        <f t="shared" si="53"/>
        <v>0.9</v>
      </c>
      <c r="AB174" s="123">
        <f t="shared" si="53"/>
        <v>0.9</v>
      </c>
      <c r="AC174" s="123">
        <f t="shared" si="53"/>
        <v>0.9</v>
      </c>
      <c r="AD174" s="123">
        <f t="shared" si="53"/>
        <v>0.9</v>
      </c>
      <c r="AE174" s="123">
        <f t="shared" si="53"/>
        <v>0.9</v>
      </c>
      <c r="AF174" s="123">
        <f t="shared" si="53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1"/>
        <v>0.44</v>
      </c>
      <c r="C175" s="124">
        <v>0.44</v>
      </c>
      <c r="D175" s="123">
        <f t="shared" si="52"/>
        <v>0.44</v>
      </c>
      <c r="E175" s="123">
        <f t="shared" si="52"/>
        <v>0.44</v>
      </c>
      <c r="F175" s="123">
        <f t="shared" si="52"/>
        <v>0.44</v>
      </c>
      <c r="G175" s="123">
        <f t="shared" si="52"/>
        <v>0.44</v>
      </c>
      <c r="H175" s="123">
        <f t="shared" si="52"/>
        <v>0.44</v>
      </c>
      <c r="I175" s="123">
        <f t="shared" si="52"/>
        <v>0.44</v>
      </c>
      <c r="J175" s="123">
        <f t="shared" si="52"/>
        <v>0.44</v>
      </c>
      <c r="K175" s="123">
        <f t="shared" si="52"/>
        <v>0.44</v>
      </c>
      <c r="L175" s="123">
        <f t="shared" si="52"/>
        <v>0.44</v>
      </c>
      <c r="M175" s="123">
        <f t="shared" si="52"/>
        <v>0.44</v>
      </c>
      <c r="N175" s="123">
        <f t="shared" si="52"/>
        <v>0.44</v>
      </c>
      <c r="O175" s="123">
        <f t="shared" si="52"/>
        <v>0.44</v>
      </c>
      <c r="P175" s="123">
        <f t="shared" si="52"/>
        <v>0.44</v>
      </c>
      <c r="Q175" s="123">
        <f t="shared" si="52"/>
        <v>0.44</v>
      </c>
      <c r="R175" s="123">
        <f t="shared" si="52"/>
        <v>0.44</v>
      </c>
      <c r="S175" s="123">
        <f t="shared" si="53"/>
        <v>0.44</v>
      </c>
      <c r="T175" s="123">
        <f t="shared" si="53"/>
        <v>0.44</v>
      </c>
      <c r="U175" s="123">
        <f t="shared" si="53"/>
        <v>0.44</v>
      </c>
      <c r="V175" s="123">
        <f t="shared" si="53"/>
        <v>0.44</v>
      </c>
      <c r="W175" s="123">
        <f t="shared" si="53"/>
        <v>0.44</v>
      </c>
      <c r="X175" s="123">
        <f t="shared" si="53"/>
        <v>0.44</v>
      </c>
      <c r="Y175" s="123">
        <f t="shared" si="53"/>
        <v>0.44</v>
      </c>
      <c r="Z175" s="123">
        <f t="shared" si="53"/>
        <v>0.44</v>
      </c>
      <c r="AA175" s="123">
        <f t="shared" si="53"/>
        <v>0.44</v>
      </c>
      <c r="AB175" s="123">
        <f t="shared" si="53"/>
        <v>0.44</v>
      </c>
      <c r="AC175" s="123">
        <f t="shared" si="53"/>
        <v>0.44</v>
      </c>
      <c r="AD175" s="123">
        <f t="shared" si="53"/>
        <v>0.44</v>
      </c>
      <c r="AE175" s="123">
        <f t="shared" si="53"/>
        <v>0.44</v>
      </c>
      <c r="AF175" s="123">
        <f t="shared" si="53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1"/>
        <v>2.1</v>
      </c>
      <c r="C176" s="124">
        <v>2.1</v>
      </c>
      <c r="D176" s="123">
        <f t="shared" si="52"/>
        <v>2.1</v>
      </c>
      <c r="E176" s="123">
        <f t="shared" si="52"/>
        <v>2.1</v>
      </c>
      <c r="F176" s="123">
        <f t="shared" si="52"/>
        <v>2.1</v>
      </c>
      <c r="G176" s="123">
        <f t="shared" si="52"/>
        <v>2.1</v>
      </c>
      <c r="H176" s="123">
        <f t="shared" si="52"/>
        <v>2.1</v>
      </c>
      <c r="I176" s="123">
        <f t="shared" si="52"/>
        <v>2.1</v>
      </c>
      <c r="J176" s="123">
        <f t="shared" si="52"/>
        <v>2.1</v>
      </c>
      <c r="K176" s="123">
        <f t="shared" si="52"/>
        <v>2.1</v>
      </c>
      <c r="L176" s="123">
        <f t="shared" si="52"/>
        <v>2.1</v>
      </c>
      <c r="M176" s="123">
        <f t="shared" si="52"/>
        <v>2.1</v>
      </c>
      <c r="N176" s="123">
        <f t="shared" si="52"/>
        <v>2.1</v>
      </c>
      <c r="O176" s="123">
        <f t="shared" si="52"/>
        <v>2.1</v>
      </c>
      <c r="P176" s="123">
        <f t="shared" si="52"/>
        <v>2.1</v>
      </c>
      <c r="Q176" s="123">
        <f t="shared" si="52"/>
        <v>2.1</v>
      </c>
      <c r="R176" s="123">
        <f t="shared" si="52"/>
        <v>2.1</v>
      </c>
      <c r="S176" s="123">
        <f t="shared" si="53"/>
        <v>2.1</v>
      </c>
      <c r="T176" s="123">
        <f t="shared" si="53"/>
        <v>2.1</v>
      </c>
      <c r="U176" s="123">
        <f t="shared" si="53"/>
        <v>2.1</v>
      </c>
      <c r="V176" s="123">
        <f t="shared" si="53"/>
        <v>2.1</v>
      </c>
      <c r="W176" s="123">
        <f t="shared" si="53"/>
        <v>2.1</v>
      </c>
      <c r="X176" s="123">
        <f t="shared" si="53"/>
        <v>2.1</v>
      </c>
      <c r="Y176" s="123">
        <f t="shared" si="53"/>
        <v>2.1</v>
      </c>
      <c r="Z176" s="123">
        <f t="shared" si="53"/>
        <v>2.1</v>
      </c>
      <c r="AA176" s="123">
        <f t="shared" si="53"/>
        <v>2.1</v>
      </c>
      <c r="AB176" s="123">
        <f t="shared" si="53"/>
        <v>2.1</v>
      </c>
      <c r="AC176" s="123">
        <f t="shared" si="53"/>
        <v>2.1</v>
      </c>
      <c r="AD176" s="123">
        <f t="shared" si="53"/>
        <v>2.1</v>
      </c>
      <c r="AE176" s="123">
        <f t="shared" si="53"/>
        <v>2.1</v>
      </c>
      <c r="AF176" s="123">
        <f t="shared" si="53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1"/>
        <v>0.9</v>
      </c>
      <c r="C177" s="124">
        <v>0.9</v>
      </c>
      <c r="D177" s="123">
        <f t="shared" si="52"/>
        <v>0.9</v>
      </c>
      <c r="E177" s="123">
        <f t="shared" si="52"/>
        <v>0.9</v>
      </c>
      <c r="F177" s="123">
        <f t="shared" si="52"/>
        <v>0.9</v>
      </c>
      <c r="G177" s="123">
        <f t="shared" si="52"/>
        <v>0.9</v>
      </c>
      <c r="H177" s="123">
        <f t="shared" si="52"/>
        <v>0.9</v>
      </c>
      <c r="I177" s="123">
        <f t="shared" si="52"/>
        <v>0.9</v>
      </c>
      <c r="J177" s="123">
        <f t="shared" si="52"/>
        <v>0.9</v>
      </c>
      <c r="K177" s="123">
        <f t="shared" si="52"/>
        <v>0.9</v>
      </c>
      <c r="L177" s="123">
        <f t="shared" si="52"/>
        <v>0.9</v>
      </c>
      <c r="M177" s="123">
        <f t="shared" si="52"/>
        <v>0.9</v>
      </c>
      <c r="N177" s="123">
        <f t="shared" si="52"/>
        <v>0.9</v>
      </c>
      <c r="O177" s="123">
        <f t="shared" si="52"/>
        <v>0.9</v>
      </c>
      <c r="P177" s="123">
        <f t="shared" si="52"/>
        <v>0.9</v>
      </c>
      <c r="Q177" s="123">
        <f t="shared" si="52"/>
        <v>0.9</v>
      </c>
      <c r="R177" s="123">
        <f t="shared" si="52"/>
        <v>0.9</v>
      </c>
      <c r="S177" s="123">
        <f t="shared" si="53"/>
        <v>0.9</v>
      </c>
      <c r="T177" s="123">
        <f t="shared" si="53"/>
        <v>0.9</v>
      </c>
      <c r="U177" s="123">
        <f t="shared" si="53"/>
        <v>0.9</v>
      </c>
      <c r="V177" s="123">
        <f t="shared" si="53"/>
        <v>0.9</v>
      </c>
      <c r="W177" s="123">
        <f t="shared" si="53"/>
        <v>0.9</v>
      </c>
      <c r="X177" s="123">
        <f t="shared" si="53"/>
        <v>0.9</v>
      </c>
      <c r="Y177" s="123">
        <f t="shared" si="53"/>
        <v>0.9</v>
      </c>
      <c r="Z177" s="123">
        <f t="shared" si="53"/>
        <v>0.9</v>
      </c>
      <c r="AA177" s="123">
        <f t="shared" si="53"/>
        <v>0.9</v>
      </c>
      <c r="AB177" s="123">
        <f t="shared" si="53"/>
        <v>0.9</v>
      </c>
      <c r="AC177" s="123">
        <f t="shared" si="53"/>
        <v>0.9</v>
      </c>
      <c r="AD177" s="123">
        <f t="shared" si="53"/>
        <v>0.9</v>
      </c>
      <c r="AE177" s="123">
        <f t="shared" si="53"/>
        <v>0.9</v>
      </c>
      <c r="AF177" s="123">
        <f t="shared" si="53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4">AF179</f>
        <v>0.57999999999999996</v>
      </c>
      <c r="C179" s="124">
        <v>0.57999999999999996</v>
      </c>
      <c r="D179" s="123">
        <f t="shared" ref="D179:S191" si="55">C179</f>
        <v>0.57999999999999996</v>
      </c>
      <c r="E179" s="123">
        <f t="shared" si="55"/>
        <v>0.57999999999999996</v>
      </c>
      <c r="F179" s="123">
        <f t="shared" si="55"/>
        <v>0.57999999999999996</v>
      </c>
      <c r="G179" s="123">
        <f t="shared" si="55"/>
        <v>0.57999999999999996</v>
      </c>
      <c r="H179" s="123">
        <f t="shared" si="55"/>
        <v>0.57999999999999996</v>
      </c>
      <c r="I179" s="123">
        <f t="shared" si="55"/>
        <v>0.57999999999999996</v>
      </c>
      <c r="J179" s="123">
        <f t="shared" si="55"/>
        <v>0.57999999999999996</v>
      </c>
      <c r="K179" s="123">
        <f t="shared" si="55"/>
        <v>0.57999999999999996</v>
      </c>
      <c r="L179" s="123">
        <f t="shared" si="55"/>
        <v>0.57999999999999996</v>
      </c>
      <c r="M179" s="123">
        <f t="shared" si="55"/>
        <v>0.57999999999999996</v>
      </c>
      <c r="N179" s="123">
        <f t="shared" si="55"/>
        <v>0.57999999999999996</v>
      </c>
      <c r="O179" s="123">
        <f t="shared" si="55"/>
        <v>0.57999999999999996</v>
      </c>
      <c r="P179" s="123">
        <f t="shared" si="55"/>
        <v>0.57999999999999996</v>
      </c>
      <c r="Q179" s="123">
        <f t="shared" si="55"/>
        <v>0.57999999999999996</v>
      </c>
      <c r="R179" s="123">
        <f t="shared" si="55"/>
        <v>0.57999999999999996</v>
      </c>
      <c r="S179" s="123">
        <f t="shared" si="55"/>
        <v>0.57999999999999996</v>
      </c>
      <c r="T179" s="123">
        <f t="shared" ref="S179:AF191" si="56">S179</f>
        <v>0.57999999999999996</v>
      </c>
      <c r="U179" s="123">
        <f t="shared" si="56"/>
        <v>0.57999999999999996</v>
      </c>
      <c r="V179" s="123">
        <f t="shared" si="56"/>
        <v>0.57999999999999996</v>
      </c>
      <c r="W179" s="123">
        <f t="shared" si="56"/>
        <v>0.57999999999999996</v>
      </c>
      <c r="X179" s="123">
        <f t="shared" si="56"/>
        <v>0.57999999999999996</v>
      </c>
      <c r="Y179" s="123">
        <f t="shared" si="56"/>
        <v>0.57999999999999996</v>
      </c>
      <c r="Z179" s="123">
        <f t="shared" si="56"/>
        <v>0.57999999999999996</v>
      </c>
      <c r="AA179" s="123">
        <f t="shared" si="56"/>
        <v>0.57999999999999996</v>
      </c>
      <c r="AB179" s="123">
        <f t="shared" si="56"/>
        <v>0.57999999999999996</v>
      </c>
      <c r="AC179" s="123">
        <f t="shared" si="56"/>
        <v>0.57999999999999996</v>
      </c>
      <c r="AD179" s="123">
        <f t="shared" si="56"/>
        <v>0.57999999999999996</v>
      </c>
      <c r="AE179" s="123">
        <f t="shared" si="56"/>
        <v>0.57999999999999996</v>
      </c>
      <c r="AF179" s="123">
        <f t="shared" si="56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4"/>
        <v>0.8</v>
      </c>
      <c r="C180" s="124">
        <v>0.8</v>
      </c>
      <c r="D180" s="123">
        <f t="shared" si="55"/>
        <v>0.8</v>
      </c>
      <c r="E180" s="123">
        <f t="shared" si="55"/>
        <v>0.8</v>
      </c>
      <c r="F180" s="123">
        <f t="shared" si="55"/>
        <v>0.8</v>
      </c>
      <c r="G180" s="123">
        <f t="shared" si="55"/>
        <v>0.8</v>
      </c>
      <c r="H180" s="123">
        <f t="shared" si="55"/>
        <v>0.8</v>
      </c>
      <c r="I180" s="123">
        <f t="shared" si="55"/>
        <v>0.8</v>
      </c>
      <c r="J180" s="123">
        <f t="shared" si="55"/>
        <v>0.8</v>
      </c>
      <c r="K180" s="123">
        <f t="shared" si="55"/>
        <v>0.8</v>
      </c>
      <c r="L180" s="123">
        <f t="shared" si="55"/>
        <v>0.8</v>
      </c>
      <c r="M180" s="123">
        <f t="shared" si="55"/>
        <v>0.8</v>
      </c>
      <c r="N180" s="123">
        <f t="shared" si="55"/>
        <v>0.8</v>
      </c>
      <c r="O180" s="123">
        <f t="shared" si="55"/>
        <v>0.8</v>
      </c>
      <c r="P180" s="123">
        <f t="shared" si="55"/>
        <v>0.8</v>
      </c>
      <c r="Q180" s="123">
        <f t="shared" si="55"/>
        <v>0.8</v>
      </c>
      <c r="R180" s="123">
        <f t="shared" si="55"/>
        <v>0.8</v>
      </c>
      <c r="S180" s="123">
        <f t="shared" si="55"/>
        <v>0.8</v>
      </c>
      <c r="T180" s="123">
        <f t="shared" si="56"/>
        <v>0.8</v>
      </c>
      <c r="U180" s="123">
        <f t="shared" si="56"/>
        <v>0.8</v>
      </c>
      <c r="V180" s="123">
        <f t="shared" si="56"/>
        <v>0.8</v>
      </c>
      <c r="W180" s="123">
        <f t="shared" si="56"/>
        <v>0.8</v>
      </c>
      <c r="X180" s="123">
        <f t="shared" si="56"/>
        <v>0.8</v>
      </c>
      <c r="Y180" s="123">
        <f t="shared" si="56"/>
        <v>0.8</v>
      </c>
      <c r="Z180" s="123">
        <f t="shared" si="56"/>
        <v>0.8</v>
      </c>
      <c r="AA180" s="123">
        <f t="shared" si="56"/>
        <v>0.8</v>
      </c>
      <c r="AB180" s="123">
        <f t="shared" si="56"/>
        <v>0.8</v>
      </c>
      <c r="AC180" s="123">
        <f t="shared" si="56"/>
        <v>0.8</v>
      </c>
      <c r="AD180" s="123">
        <f t="shared" si="56"/>
        <v>0.8</v>
      </c>
      <c r="AE180" s="123">
        <f t="shared" si="56"/>
        <v>0.8</v>
      </c>
      <c r="AF180" s="123">
        <f t="shared" si="56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4"/>
        <v>0</v>
      </c>
      <c r="C181" s="124">
        <v>0</v>
      </c>
      <c r="D181" s="123">
        <f t="shared" si="55"/>
        <v>0</v>
      </c>
      <c r="E181" s="123">
        <f t="shared" si="55"/>
        <v>0</v>
      </c>
      <c r="F181" s="123">
        <f t="shared" si="55"/>
        <v>0</v>
      </c>
      <c r="G181" s="123">
        <f t="shared" si="55"/>
        <v>0</v>
      </c>
      <c r="H181" s="123">
        <f t="shared" si="55"/>
        <v>0</v>
      </c>
      <c r="I181" s="123">
        <f t="shared" si="55"/>
        <v>0</v>
      </c>
      <c r="J181" s="123">
        <f t="shared" si="55"/>
        <v>0</v>
      </c>
      <c r="K181" s="123">
        <f t="shared" si="55"/>
        <v>0</v>
      </c>
      <c r="L181" s="123">
        <f t="shared" si="55"/>
        <v>0</v>
      </c>
      <c r="M181" s="123">
        <f t="shared" si="55"/>
        <v>0</v>
      </c>
      <c r="N181" s="123">
        <f t="shared" si="55"/>
        <v>0</v>
      </c>
      <c r="O181" s="123">
        <f t="shared" si="55"/>
        <v>0</v>
      </c>
      <c r="P181" s="123">
        <f t="shared" si="55"/>
        <v>0</v>
      </c>
      <c r="Q181" s="123">
        <f t="shared" si="55"/>
        <v>0</v>
      </c>
      <c r="R181" s="123">
        <f t="shared" si="55"/>
        <v>0</v>
      </c>
      <c r="S181" s="123">
        <f t="shared" si="55"/>
        <v>0</v>
      </c>
      <c r="T181" s="123">
        <f t="shared" si="56"/>
        <v>0</v>
      </c>
      <c r="U181" s="123">
        <f t="shared" si="56"/>
        <v>0</v>
      </c>
      <c r="V181" s="123">
        <f t="shared" si="56"/>
        <v>0</v>
      </c>
      <c r="W181" s="123">
        <f t="shared" si="56"/>
        <v>0</v>
      </c>
      <c r="X181" s="123">
        <f t="shared" si="56"/>
        <v>0</v>
      </c>
      <c r="Y181" s="123">
        <f t="shared" si="56"/>
        <v>0</v>
      </c>
      <c r="Z181" s="123">
        <f t="shared" si="56"/>
        <v>0</v>
      </c>
      <c r="AA181" s="123">
        <f t="shared" si="56"/>
        <v>0</v>
      </c>
      <c r="AB181" s="123">
        <f t="shared" si="56"/>
        <v>0</v>
      </c>
      <c r="AC181" s="123">
        <f t="shared" si="56"/>
        <v>0</v>
      </c>
      <c r="AD181" s="123">
        <f t="shared" si="56"/>
        <v>0</v>
      </c>
      <c r="AE181" s="123">
        <f t="shared" si="56"/>
        <v>0</v>
      </c>
      <c r="AF181" s="123">
        <f t="shared" si="56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4"/>
        <v>0.6</v>
      </c>
      <c r="C182" s="124">
        <v>0.6</v>
      </c>
      <c r="D182" s="123">
        <f t="shared" si="55"/>
        <v>0.6</v>
      </c>
      <c r="E182" s="123">
        <f t="shared" si="55"/>
        <v>0.6</v>
      </c>
      <c r="F182" s="123">
        <f t="shared" si="55"/>
        <v>0.6</v>
      </c>
      <c r="G182" s="123">
        <f t="shared" si="55"/>
        <v>0.6</v>
      </c>
      <c r="H182" s="123">
        <f t="shared" si="55"/>
        <v>0.6</v>
      </c>
      <c r="I182" s="123">
        <f t="shared" si="55"/>
        <v>0.6</v>
      </c>
      <c r="J182" s="123">
        <f t="shared" si="55"/>
        <v>0.6</v>
      </c>
      <c r="K182" s="123">
        <f t="shared" si="55"/>
        <v>0.6</v>
      </c>
      <c r="L182" s="123">
        <f t="shared" si="55"/>
        <v>0.6</v>
      </c>
      <c r="M182" s="123">
        <f t="shared" si="55"/>
        <v>0.6</v>
      </c>
      <c r="N182" s="123">
        <f t="shared" si="55"/>
        <v>0.6</v>
      </c>
      <c r="O182" s="123">
        <f t="shared" si="55"/>
        <v>0.6</v>
      </c>
      <c r="P182" s="123">
        <f t="shared" si="55"/>
        <v>0.6</v>
      </c>
      <c r="Q182" s="123">
        <f t="shared" si="55"/>
        <v>0.6</v>
      </c>
      <c r="R182" s="123">
        <f t="shared" si="55"/>
        <v>0.6</v>
      </c>
      <c r="S182" s="123">
        <f t="shared" si="55"/>
        <v>0.6</v>
      </c>
      <c r="T182" s="123">
        <f t="shared" si="56"/>
        <v>0.6</v>
      </c>
      <c r="U182" s="123">
        <f t="shared" si="56"/>
        <v>0.6</v>
      </c>
      <c r="V182" s="123">
        <f t="shared" si="56"/>
        <v>0.6</v>
      </c>
      <c r="W182" s="123">
        <f t="shared" si="56"/>
        <v>0.6</v>
      </c>
      <c r="X182" s="123">
        <f t="shared" si="56"/>
        <v>0.6</v>
      </c>
      <c r="Y182" s="123">
        <f t="shared" si="56"/>
        <v>0.6</v>
      </c>
      <c r="Z182" s="123">
        <f t="shared" si="56"/>
        <v>0.6</v>
      </c>
      <c r="AA182" s="123">
        <f t="shared" si="56"/>
        <v>0.6</v>
      </c>
      <c r="AB182" s="123">
        <f t="shared" si="56"/>
        <v>0.6</v>
      </c>
      <c r="AC182" s="123">
        <f t="shared" si="56"/>
        <v>0.6</v>
      </c>
      <c r="AD182" s="123">
        <f t="shared" si="56"/>
        <v>0.6</v>
      </c>
      <c r="AE182" s="123">
        <f t="shared" si="56"/>
        <v>0.6</v>
      </c>
      <c r="AF182" s="123">
        <f t="shared" si="56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4"/>
        <v>0.6</v>
      </c>
      <c r="C183" s="124">
        <v>0.6</v>
      </c>
      <c r="D183" s="123">
        <f t="shared" si="55"/>
        <v>0.6</v>
      </c>
      <c r="E183" s="123">
        <f t="shared" si="55"/>
        <v>0.6</v>
      </c>
      <c r="F183" s="123">
        <f t="shared" si="55"/>
        <v>0.6</v>
      </c>
      <c r="G183" s="123">
        <f t="shared" si="55"/>
        <v>0.6</v>
      </c>
      <c r="H183" s="123">
        <f t="shared" si="55"/>
        <v>0.6</v>
      </c>
      <c r="I183" s="123">
        <f t="shared" si="55"/>
        <v>0.6</v>
      </c>
      <c r="J183" s="123">
        <f t="shared" si="55"/>
        <v>0.6</v>
      </c>
      <c r="K183" s="123">
        <f t="shared" si="55"/>
        <v>0.6</v>
      </c>
      <c r="L183" s="123">
        <f t="shared" si="55"/>
        <v>0.6</v>
      </c>
      <c r="M183" s="123">
        <f t="shared" si="55"/>
        <v>0.6</v>
      </c>
      <c r="N183" s="123">
        <f t="shared" si="55"/>
        <v>0.6</v>
      </c>
      <c r="O183" s="123">
        <f t="shared" si="55"/>
        <v>0.6</v>
      </c>
      <c r="P183" s="123">
        <f t="shared" si="55"/>
        <v>0.6</v>
      </c>
      <c r="Q183" s="123">
        <f t="shared" si="55"/>
        <v>0.6</v>
      </c>
      <c r="R183" s="123">
        <f t="shared" si="55"/>
        <v>0.6</v>
      </c>
      <c r="S183" s="123">
        <f t="shared" si="55"/>
        <v>0.6</v>
      </c>
      <c r="T183" s="123">
        <f t="shared" si="56"/>
        <v>0.6</v>
      </c>
      <c r="U183" s="123">
        <f t="shared" si="56"/>
        <v>0.6</v>
      </c>
      <c r="V183" s="123">
        <f t="shared" si="56"/>
        <v>0.6</v>
      </c>
      <c r="W183" s="123">
        <f t="shared" si="56"/>
        <v>0.6</v>
      </c>
      <c r="X183" s="123">
        <f t="shared" si="56"/>
        <v>0.6</v>
      </c>
      <c r="Y183" s="123">
        <f t="shared" si="56"/>
        <v>0.6</v>
      </c>
      <c r="Z183" s="123">
        <f t="shared" si="56"/>
        <v>0.6</v>
      </c>
      <c r="AA183" s="123">
        <f t="shared" si="56"/>
        <v>0.6</v>
      </c>
      <c r="AB183" s="123">
        <f t="shared" si="56"/>
        <v>0.6</v>
      </c>
      <c r="AC183" s="123">
        <f t="shared" si="56"/>
        <v>0.6</v>
      </c>
      <c r="AD183" s="123">
        <f t="shared" si="56"/>
        <v>0.6</v>
      </c>
      <c r="AE183" s="123">
        <f t="shared" si="56"/>
        <v>0.6</v>
      </c>
      <c r="AF183" s="123">
        <f t="shared" si="56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4"/>
        <v>0.35</v>
      </c>
      <c r="C184" s="124">
        <v>0.35</v>
      </c>
      <c r="D184" s="123">
        <f t="shared" si="55"/>
        <v>0.35</v>
      </c>
      <c r="E184" s="123">
        <f t="shared" si="55"/>
        <v>0.35</v>
      </c>
      <c r="F184" s="123">
        <f t="shared" si="55"/>
        <v>0.35</v>
      </c>
      <c r="G184" s="123">
        <f t="shared" si="55"/>
        <v>0.35</v>
      </c>
      <c r="H184" s="123">
        <f t="shared" si="55"/>
        <v>0.35</v>
      </c>
      <c r="I184" s="123">
        <f t="shared" si="55"/>
        <v>0.35</v>
      </c>
      <c r="J184" s="123">
        <f t="shared" si="55"/>
        <v>0.35</v>
      </c>
      <c r="K184" s="123">
        <f t="shared" si="55"/>
        <v>0.35</v>
      </c>
      <c r="L184" s="123">
        <f t="shared" si="55"/>
        <v>0.35</v>
      </c>
      <c r="M184" s="123">
        <f t="shared" si="55"/>
        <v>0.35</v>
      </c>
      <c r="N184" s="123">
        <f t="shared" si="55"/>
        <v>0.35</v>
      </c>
      <c r="O184" s="123">
        <f t="shared" si="55"/>
        <v>0.35</v>
      </c>
      <c r="P184" s="123">
        <f t="shared" si="55"/>
        <v>0.35</v>
      </c>
      <c r="Q184" s="123">
        <f t="shared" si="55"/>
        <v>0.35</v>
      </c>
      <c r="R184" s="123">
        <f t="shared" si="55"/>
        <v>0.35</v>
      </c>
      <c r="S184" s="123">
        <f t="shared" si="55"/>
        <v>0.35</v>
      </c>
      <c r="T184" s="123">
        <f t="shared" si="56"/>
        <v>0.35</v>
      </c>
      <c r="U184" s="123">
        <f t="shared" si="56"/>
        <v>0.35</v>
      </c>
      <c r="V184" s="123">
        <f t="shared" si="56"/>
        <v>0.35</v>
      </c>
      <c r="W184" s="123">
        <f t="shared" si="56"/>
        <v>0.35</v>
      </c>
      <c r="X184" s="123">
        <f t="shared" si="56"/>
        <v>0.35</v>
      </c>
      <c r="Y184" s="123">
        <f t="shared" si="56"/>
        <v>0.35</v>
      </c>
      <c r="Z184" s="123">
        <f t="shared" si="56"/>
        <v>0.35</v>
      </c>
      <c r="AA184" s="123">
        <f t="shared" si="56"/>
        <v>0.35</v>
      </c>
      <c r="AB184" s="123">
        <f t="shared" si="56"/>
        <v>0.35</v>
      </c>
      <c r="AC184" s="123">
        <f t="shared" si="56"/>
        <v>0.35</v>
      </c>
      <c r="AD184" s="123">
        <f t="shared" si="56"/>
        <v>0.35</v>
      </c>
      <c r="AE184" s="123">
        <f t="shared" si="56"/>
        <v>0.35</v>
      </c>
      <c r="AF184" s="123">
        <f t="shared" si="56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4"/>
        <v>0.28999999999999998</v>
      </c>
      <c r="C185" s="124">
        <v>0.28999999999999998</v>
      </c>
      <c r="D185" s="123">
        <f t="shared" si="55"/>
        <v>0.28999999999999998</v>
      </c>
      <c r="E185" s="123">
        <f t="shared" si="55"/>
        <v>0.28999999999999998</v>
      </c>
      <c r="F185" s="123">
        <f t="shared" si="55"/>
        <v>0.28999999999999998</v>
      </c>
      <c r="G185" s="123">
        <f t="shared" si="55"/>
        <v>0.28999999999999998</v>
      </c>
      <c r="H185" s="123">
        <f t="shared" si="55"/>
        <v>0.28999999999999998</v>
      </c>
      <c r="I185" s="123">
        <f t="shared" si="55"/>
        <v>0.28999999999999998</v>
      </c>
      <c r="J185" s="123">
        <f t="shared" si="55"/>
        <v>0.28999999999999998</v>
      </c>
      <c r="K185" s="123">
        <f t="shared" si="55"/>
        <v>0.28999999999999998</v>
      </c>
      <c r="L185" s="123">
        <f t="shared" si="55"/>
        <v>0.28999999999999998</v>
      </c>
      <c r="M185" s="123">
        <f t="shared" si="55"/>
        <v>0.28999999999999998</v>
      </c>
      <c r="N185" s="123">
        <f t="shared" si="55"/>
        <v>0.28999999999999998</v>
      </c>
      <c r="O185" s="123">
        <f t="shared" si="55"/>
        <v>0.28999999999999998</v>
      </c>
      <c r="P185" s="123">
        <f t="shared" si="55"/>
        <v>0.28999999999999998</v>
      </c>
      <c r="Q185" s="123">
        <f t="shared" si="55"/>
        <v>0.28999999999999998</v>
      </c>
      <c r="R185" s="123">
        <f t="shared" si="55"/>
        <v>0.28999999999999998</v>
      </c>
      <c r="S185" s="123">
        <f t="shared" si="55"/>
        <v>0.28999999999999998</v>
      </c>
      <c r="T185" s="123">
        <f t="shared" si="56"/>
        <v>0.28999999999999998</v>
      </c>
      <c r="U185" s="123">
        <f t="shared" si="56"/>
        <v>0.28999999999999998</v>
      </c>
      <c r="V185" s="123">
        <f t="shared" si="56"/>
        <v>0.28999999999999998</v>
      </c>
      <c r="W185" s="123">
        <f t="shared" si="56"/>
        <v>0.28999999999999998</v>
      </c>
      <c r="X185" s="123">
        <f t="shared" si="56"/>
        <v>0.28999999999999998</v>
      </c>
      <c r="Y185" s="123">
        <f t="shared" si="56"/>
        <v>0.28999999999999998</v>
      </c>
      <c r="Z185" s="123">
        <f t="shared" si="56"/>
        <v>0.28999999999999998</v>
      </c>
      <c r="AA185" s="123">
        <f t="shared" si="56"/>
        <v>0.28999999999999998</v>
      </c>
      <c r="AB185" s="123">
        <f t="shared" si="56"/>
        <v>0.28999999999999998</v>
      </c>
      <c r="AC185" s="123">
        <f t="shared" si="56"/>
        <v>0.28999999999999998</v>
      </c>
      <c r="AD185" s="123">
        <f t="shared" si="56"/>
        <v>0.28999999999999998</v>
      </c>
      <c r="AE185" s="123">
        <f t="shared" si="56"/>
        <v>0.28999999999999998</v>
      </c>
      <c r="AF185" s="123">
        <f t="shared" si="56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4"/>
        <v>0.06</v>
      </c>
      <c r="C186" s="124">
        <v>0.06</v>
      </c>
      <c r="D186" s="123">
        <f t="shared" si="55"/>
        <v>0.06</v>
      </c>
      <c r="E186" s="123">
        <f t="shared" si="55"/>
        <v>0.06</v>
      </c>
      <c r="F186" s="123">
        <f t="shared" si="55"/>
        <v>0.06</v>
      </c>
      <c r="G186" s="123">
        <f t="shared" si="55"/>
        <v>0.06</v>
      </c>
      <c r="H186" s="123">
        <f t="shared" si="55"/>
        <v>0.06</v>
      </c>
      <c r="I186" s="123">
        <f t="shared" si="55"/>
        <v>0.06</v>
      </c>
      <c r="J186" s="123">
        <f t="shared" si="55"/>
        <v>0.06</v>
      </c>
      <c r="K186" s="123">
        <f t="shared" si="55"/>
        <v>0.06</v>
      </c>
      <c r="L186" s="123">
        <f t="shared" si="55"/>
        <v>0.06</v>
      </c>
      <c r="M186" s="123">
        <f t="shared" si="55"/>
        <v>0.06</v>
      </c>
      <c r="N186" s="123">
        <f t="shared" si="55"/>
        <v>0.06</v>
      </c>
      <c r="O186" s="123">
        <f t="shared" si="55"/>
        <v>0.06</v>
      </c>
      <c r="P186" s="123">
        <f t="shared" si="55"/>
        <v>0.06</v>
      </c>
      <c r="Q186" s="123">
        <f t="shared" si="55"/>
        <v>0.06</v>
      </c>
      <c r="R186" s="123">
        <f t="shared" si="55"/>
        <v>0.06</v>
      </c>
      <c r="S186" s="123">
        <f t="shared" si="55"/>
        <v>0.06</v>
      </c>
      <c r="T186" s="123">
        <f t="shared" si="56"/>
        <v>0.06</v>
      </c>
      <c r="U186" s="123">
        <f t="shared" si="56"/>
        <v>0.06</v>
      </c>
      <c r="V186" s="123">
        <f t="shared" si="56"/>
        <v>0.06</v>
      </c>
      <c r="W186" s="123">
        <f t="shared" si="56"/>
        <v>0.06</v>
      </c>
      <c r="X186" s="123">
        <f t="shared" si="56"/>
        <v>0.06</v>
      </c>
      <c r="Y186" s="123">
        <f t="shared" si="56"/>
        <v>0.06</v>
      </c>
      <c r="Z186" s="123">
        <f t="shared" si="56"/>
        <v>0.06</v>
      </c>
      <c r="AA186" s="123">
        <f t="shared" si="56"/>
        <v>0.06</v>
      </c>
      <c r="AB186" s="123">
        <f t="shared" si="56"/>
        <v>0.06</v>
      </c>
      <c r="AC186" s="123">
        <f t="shared" si="56"/>
        <v>0.06</v>
      </c>
      <c r="AD186" s="123">
        <f t="shared" si="56"/>
        <v>0.06</v>
      </c>
      <c r="AE186" s="123">
        <f t="shared" si="56"/>
        <v>0.06</v>
      </c>
      <c r="AF186" s="123">
        <f t="shared" si="56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4"/>
        <v>0.11</v>
      </c>
      <c r="C187" s="124">
        <v>0.11</v>
      </c>
      <c r="D187" s="123">
        <f t="shared" si="55"/>
        <v>0.11</v>
      </c>
      <c r="E187" s="123">
        <f t="shared" si="55"/>
        <v>0.11</v>
      </c>
      <c r="F187" s="123">
        <f t="shared" si="55"/>
        <v>0.11</v>
      </c>
      <c r="G187" s="123">
        <f t="shared" si="55"/>
        <v>0.11</v>
      </c>
      <c r="H187" s="123">
        <f t="shared" si="55"/>
        <v>0.11</v>
      </c>
      <c r="I187" s="123">
        <f t="shared" si="55"/>
        <v>0.11</v>
      </c>
      <c r="J187" s="123">
        <f t="shared" si="55"/>
        <v>0.11</v>
      </c>
      <c r="K187" s="123">
        <f t="shared" si="55"/>
        <v>0.11</v>
      </c>
      <c r="L187" s="123">
        <f t="shared" si="55"/>
        <v>0.11</v>
      </c>
      <c r="M187" s="123">
        <f t="shared" si="55"/>
        <v>0.11</v>
      </c>
      <c r="N187" s="123">
        <f t="shared" si="55"/>
        <v>0.11</v>
      </c>
      <c r="O187" s="123">
        <f t="shared" si="55"/>
        <v>0.11</v>
      </c>
      <c r="P187" s="123">
        <f t="shared" si="55"/>
        <v>0.11</v>
      </c>
      <c r="Q187" s="123">
        <f t="shared" si="55"/>
        <v>0.11</v>
      </c>
      <c r="R187" s="123">
        <f t="shared" si="55"/>
        <v>0.11</v>
      </c>
      <c r="S187" s="123">
        <f t="shared" si="55"/>
        <v>0.11</v>
      </c>
      <c r="T187" s="123">
        <f t="shared" si="56"/>
        <v>0.11</v>
      </c>
      <c r="U187" s="123">
        <f t="shared" si="56"/>
        <v>0.11</v>
      </c>
      <c r="V187" s="123">
        <f t="shared" si="56"/>
        <v>0.11</v>
      </c>
      <c r="W187" s="123">
        <f t="shared" si="56"/>
        <v>0.11</v>
      </c>
      <c r="X187" s="123">
        <f t="shared" si="56"/>
        <v>0.11</v>
      </c>
      <c r="Y187" s="123">
        <f t="shared" si="56"/>
        <v>0.11</v>
      </c>
      <c r="Z187" s="123">
        <f t="shared" si="56"/>
        <v>0.11</v>
      </c>
      <c r="AA187" s="123">
        <f t="shared" si="56"/>
        <v>0.11</v>
      </c>
      <c r="AB187" s="123">
        <f t="shared" si="56"/>
        <v>0.11</v>
      </c>
      <c r="AC187" s="123">
        <f t="shared" si="56"/>
        <v>0.11</v>
      </c>
      <c r="AD187" s="123">
        <f t="shared" si="56"/>
        <v>0.11</v>
      </c>
      <c r="AE187" s="123">
        <f t="shared" si="56"/>
        <v>0.11</v>
      </c>
      <c r="AF187" s="123">
        <f t="shared" si="56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4"/>
        <v>0.1</v>
      </c>
      <c r="C188" s="124">
        <v>0.1</v>
      </c>
      <c r="D188" s="123">
        <f t="shared" si="55"/>
        <v>0.1</v>
      </c>
      <c r="E188" s="123">
        <f t="shared" si="55"/>
        <v>0.1</v>
      </c>
      <c r="F188" s="123">
        <f t="shared" si="55"/>
        <v>0.1</v>
      </c>
      <c r="G188" s="123">
        <f t="shared" si="55"/>
        <v>0.1</v>
      </c>
      <c r="H188" s="123">
        <f t="shared" si="55"/>
        <v>0.1</v>
      </c>
      <c r="I188" s="123">
        <f t="shared" si="55"/>
        <v>0.1</v>
      </c>
      <c r="J188" s="123">
        <f t="shared" si="55"/>
        <v>0.1</v>
      </c>
      <c r="K188" s="123">
        <f t="shared" si="55"/>
        <v>0.1</v>
      </c>
      <c r="L188" s="123">
        <f t="shared" si="55"/>
        <v>0.1</v>
      </c>
      <c r="M188" s="123">
        <f t="shared" si="55"/>
        <v>0.1</v>
      </c>
      <c r="N188" s="123">
        <f t="shared" si="55"/>
        <v>0.1</v>
      </c>
      <c r="O188" s="123">
        <f t="shared" si="55"/>
        <v>0.1</v>
      </c>
      <c r="P188" s="123">
        <f t="shared" si="55"/>
        <v>0.1</v>
      </c>
      <c r="Q188" s="123">
        <f t="shared" si="55"/>
        <v>0.1</v>
      </c>
      <c r="R188" s="123">
        <f t="shared" si="55"/>
        <v>0.1</v>
      </c>
      <c r="S188" s="123">
        <f t="shared" si="56"/>
        <v>0.1</v>
      </c>
      <c r="T188" s="123">
        <f t="shared" si="56"/>
        <v>0.1</v>
      </c>
      <c r="U188" s="123">
        <f t="shared" si="56"/>
        <v>0.1</v>
      </c>
      <c r="V188" s="123">
        <f t="shared" si="56"/>
        <v>0.1</v>
      </c>
      <c r="W188" s="123">
        <f t="shared" si="56"/>
        <v>0.1</v>
      </c>
      <c r="X188" s="123">
        <f t="shared" si="56"/>
        <v>0.1</v>
      </c>
      <c r="Y188" s="123">
        <f t="shared" si="56"/>
        <v>0.1</v>
      </c>
      <c r="Z188" s="123">
        <f t="shared" si="56"/>
        <v>0.1</v>
      </c>
      <c r="AA188" s="123">
        <f t="shared" si="56"/>
        <v>0.1</v>
      </c>
      <c r="AB188" s="123">
        <f t="shared" si="56"/>
        <v>0.1</v>
      </c>
      <c r="AC188" s="123">
        <f t="shared" si="56"/>
        <v>0.1</v>
      </c>
      <c r="AD188" s="123">
        <f t="shared" si="56"/>
        <v>0.1</v>
      </c>
      <c r="AE188" s="123">
        <f t="shared" si="56"/>
        <v>0.1</v>
      </c>
      <c r="AF188" s="123">
        <f t="shared" si="56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4"/>
        <v>0.09</v>
      </c>
      <c r="C189" s="124">
        <v>0.09</v>
      </c>
      <c r="D189" s="123">
        <f t="shared" si="55"/>
        <v>0.09</v>
      </c>
      <c r="E189" s="123">
        <f t="shared" si="55"/>
        <v>0.09</v>
      </c>
      <c r="F189" s="123">
        <f t="shared" si="55"/>
        <v>0.09</v>
      </c>
      <c r="G189" s="123">
        <f t="shared" si="55"/>
        <v>0.09</v>
      </c>
      <c r="H189" s="123">
        <f t="shared" si="55"/>
        <v>0.09</v>
      </c>
      <c r="I189" s="123">
        <f t="shared" si="55"/>
        <v>0.09</v>
      </c>
      <c r="J189" s="123">
        <f t="shared" si="55"/>
        <v>0.09</v>
      </c>
      <c r="K189" s="123">
        <f t="shared" si="55"/>
        <v>0.09</v>
      </c>
      <c r="L189" s="123">
        <f t="shared" si="55"/>
        <v>0.09</v>
      </c>
      <c r="M189" s="123">
        <f t="shared" si="55"/>
        <v>0.09</v>
      </c>
      <c r="N189" s="123">
        <f t="shared" si="55"/>
        <v>0.09</v>
      </c>
      <c r="O189" s="123">
        <f t="shared" si="55"/>
        <v>0.09</v>
      </c>
      <c r="P189" s="123">
        <f t="shared" si="55"/>
        <v>0.09</v>
      </c>
      <c r="Q189" s="123">
        <f t="shared" si="55"/>
        <v>0.09</v>
      </c>
      <c r="R189" s="123">
        <f t="shared" si="55"/>
        <v>0.09</v>
      </c>
      <c r="S189" s="123">
        <f t="shared" si="56"/>
        <v>0.09</v>
      </c>
      <c r="T189" s="123">
        <f t="shared" si="56"/>
        <v>0.09</v>
      </c>
      <c r="U189" s="123">
        <f t="shared" si="56"/>
        <v>0.09</v>
      </c>
      <c r="V189" s="123">
        <f t="shared" si="56"/>
        <v>0.09</v>
      </c>
      <c r="W189" s="123">
        <f t="shared" si="56"/>
        <v>0.09</v>
      </c>
      <c r="X189" s="123">
        <f t="shared" si="56"/>
        <v>0.09</v>
      </c>
      <c r="Y189" s="123">
        <f t="shared" si="56"/>
        <v>0.09</v>
      </c>
      <c r="Z189" s="123">
        <f t="shared" si="56"/>
        <v>0.09</v>
      </c>
      <c r="AA189" s="123">
        <f t="shared" si="56"/>
        <v>0.09</v>
      </c>
      <c r="AB189" s="123">
        <f t="shared" si="56"/>
        <v>0.09</v>
      </c>
      <c r="AC189" s="123">
        <f t="shared" si="56"/>
        <v>0.09</v>
      </c>
      <c r="AD189" s="123">
        <f t="shared" si="56"/>
        <v>0.09</v>
      </c>
      <c r="AE189" s="123">
        <f t="shared" si="56"/>
        <v>0.09</v>
      </c>
      <c r="AF189" s="123">
        <f t="shared" si="56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4"/>
        <v>0.04</v>
      </c>
      <c r="C190" s="54">
        <v>0.04</v>
      </c>
      <c r="D190" s="123">
        <f t="shared" si="55"/>
        <v>0.04</v>
      </c>
      <c r="E190" s="123">
        <f t="shared" si="55"/>
        <v>0.04</v>
      </c>
      <c r="F190" s="123">
        <f t="shared" si="55"/>
        <v>0.04</v>
      </c>
      <c r="G190" s="123">
        <f t="shared" si="55"/>
        <v>0.04</v>
      </c>
      <c r="H190" s="123">
        <f t="shared" si="55"/>
        <v>0.04</v>
      </c>
      <c r="I190" s="123">
        <f t="shared" si="55"/>
        <v>0.04</v>
      </c>
      <c r="J190" s="123">
        <f t="shared" si="55"/>
        <v>0.04</v>
      </c>
      <c r="K190" s="123">
        <f t="shared" si="55"/>
        <v>0.04</v>
      </c>
      <c r="L190" s="123">
        <f t="shared" si="55"/>
        <v>0.04</v>
      </c>
      <c r="M190" s="123">
        <f t="shared" si="55"/>
        <v>0.04</v>
      </c>
      <c r="N190" s="123">
        <f t="shared" si="55"/>
        <v>0.04</v>
      </c>
      <c r="O190" s="123">
        <f t="shared" si="55"/>
        <v>0.04</v>
      </c>
      <c r="P190" s="123">
        <f t="shared" si="55"/>
        <v>0.04</v>
      </c>
      <c r="Q190" s="123">
        <f t="shared" si="55"/>
        <v>0.04</v>
      </c>
      <c r="R190" s="123">
        <f t="shared" si="55"/>
        <v>0.04</v>
      </c>
      <c r="S190" s="123">
        <f t="shared" si="56"/>
        <v>0.04</v>
      </c>
      <c r="T190" s="123">
        <f t="shared" si="56"/>
        <v>0.04</v>
      </c>
      <c r="U190" s="123">
        <f t="shared" si="56"/>
        <v>0.04</v>
      </c>
      <c r="V190" s="123">
        <f t="shared" si="56"/>
        <v>0.04</v>
      </c>
      <c r="W190" s="123">
        <f t="shared" si="56"/>
        <v>0.04</v>
      </c>
      <c r="X190" s="123">
        <f t="shared" si="56"/>
        <v>0.04</v>
      </c>
      <c r="Y190" s="123">
        <f t="shared" si="56"/>
        <v>0.04</v>
      </c>
      <c r="Z190" s="123">
        <f t="shared" si="56"/>
        <v>0.04</v>
      </c>
      <c r="AA190" s="123">
        <f t="shared" si="56"/>
        <v>0.04</v>
      </c>
      <c r="AB190" s="123">
        <f t="shared" si="56"/>
        <v>0.04</v>
      </c>
      <c r="AC190" s="123">
        <f t="shared" si="56"/>
        <v>0.04</v>
      </c>
      <c r="AD190" s="123">
        <f t="shared" si="56"/>
        <v>0.04</v>
      </c>
      <c r="AE190" s="123">
        <f t="shared" si="56"/>
        <v>0.04</v>
      </c>
      <c r="AF190" s="123">
        <f t="shared" si="56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4"/>
        <v>2.3E-2</v>
      </c>
      <c r="C191" s="54">
        <v>2.3E-2</v>
      </c>
      <c r="D191" s="123">
        <f>C191</f>
        <v>2.3E-2</v>
      </c>
      <c r="E191" s="123">
        <f t="shared" si="55"/>
        <v>2.3E-2</v>
      </c>
      <c r="F191" s="123">
        <f t="shared" si="55"/>
        <v>2.3E-2</v>
      </c>
      <c r="G191" s="123">
        <f t="shared" si="55"/>
        <v>2.3E-2</v>
      </c>
      <c r="H191" s="123">
        <f t="shared" si="55"/>
        <v>2.3E-2</v>
      </c>
      <c r="I191" s="123">
        <f t="shared" si="55"/>
        <v>2.3E-2</v>
      </c>
      <c r="J191" s="123">
        <f t="shared" si="55"/>
        <v>2.3E-2</v>
      </c>
      <c r="K191" s="123">
        <f t="shared" si="55"/>
        <v>2.3E-2</v>
      </c>
      <c r="L191" s="123">
        <f t="shared" si="55"/>
        <v>2.3E-2</v>
      </c>
      <c r="M191" s="123">
        <f t="shared" si="55"/>
        <v>2.3E-2</v>
      </c>
      <c r="N191" s="123">
        <f t="shared" si="55"/>
        <v>2.3E-2</v>
      </c>
      <c r="O191" s="123">
        <f t="shared" si="55"/>
        <v>2.3E-2</v>
      </c>
      <c r="P191" s="123">
        <f t="shared" si="55"/>
        <v>2.3E-2</v>
      </c>
      <c r="Q191" s="123">
        <f t="shared" si="55"/>
        <v>2.3E-2</v>
      </c>
      <c r="R191" s="123">
        <f t="shared" si="55"/>
        <v>2.3E-2</v>
      </c>
      <c r="S191" s="123">
        <f t="shared" si="56"/>
        <v>2.3E-2</v>
      </c>
      <c r="T191" s="123">
        <f t="shared" si="56"/>
        <v>2.3E-2</v>
      </c>
      <c r="U191" s="123">
        <f t="shared" si="56"/>
        <v>2.3E-2</v>
      </c>
      <c r="V191" s="123">
        <f t="shared" si="56"/>
        <v>2.3E-2</v>
      </c>
      <c r="W191" s="123">
        <f t="shared" si="56"/>
        <v>2.3E-2</v>
      </c>
      <c r="X191" s="123">
        <f t="shared" si="56"/>
        <v>2.3E-2</v>
      </c>
      <c r="Y191" s="123">
        <f t="shared" si="56"/>
        <v>2.3E-2</v>
      </c>
      <c r="Z191" s="123">
        <f t="shared" si="56"/>
        <v>2.3E-2</v>
      </c>
      <c r="AA191" s="123">
        <f t="shared" si="56"/>
        <v>2.3E-2</v>
      </c>
      <c r="AB191" s="123">
        <f t="shared" si="56"/>
        <v>2.3E-2</v>
      </c>
      <c r="AC191" s="123">
        <f t="shared" si="56"/>
        <v>2.3E-2</v>
      </c>
      <c r="AD191" s="123">
        <f t="shared" si="56"/>
        <v>2.3E-2</v>
      </c>
      <c r="AE191" s="123">
        <f t="shared" si="56"/>
        <v>2.3E-2</v>
      </c>
      <c r="AF191" s="123">
        <f t="shared" si="56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7">SUM(C102:C191)</f>
        <v>194.70600000000002</v>
      </c>
      <c r="D192" s="128">
        <f t="shared" si="57"/>
        <v>194.70600000000002</v>
      </c>
      <c r="E192" s="128">
        <f t="shared" si="57"/>
        <v>194.70600000000002</v>
      </c>
      <c r="F192" s="128">
        <f t="shared" si="57"/>
        <v>194.70600000000002</v>
      </c>
      <c r="G192" s="128">
        <f t="shared" si="57"/>
        <v>194.70600000000002</v>
      </c>
      <c r="H192" s="128">
        <f t="shared" si="57"/>
        <v>194.70600000000002</v>
      </c>
      <c r="I192" s="128">
        <f t="shared" si="57"/>
        <v>189.70600000000005</v>
      </c>
      <c r="J192" s="128">
        <f t="shared" si="57"/>
        <v>187.10600000000005</v>
      </c>
      <c r="K192" s="128">
        <f t="shared" si="57"/>
        <v>187.10600000000005</v>
      </c>
      <c r="L192" s="128">
        <f t="shared" si="57"/>
        <v>187.10600000000005</v>
      </c>
      <c r="M192" s="128">
        <f t="shared" si="57"/>
        <v>187.10600000000005</v>
      </c>
      <c r="N192" s="128">
        <f t="shared" si="57"/>
        <v>187.10600000000005</v>
      </c>
      <c r="O192" s="128">
        <f t="shared" si="57"/>
        <v>187.10600000000005</v>
      </c>
      <c r="P192" s="128">
        <f t="shared" si="57"/>
        <v>187.10600000000005</v>
      </c>
      <c r="Q192" s="128">
        <f t="shared" si="57"/>
        <v>187.10600000000005</v>
      </c>
      <c r="R192" s="128">
        <f t="shared" si="57"/>
        <v>187.10600000000005</v>
      </c>
      <c r="S192" s="128">
        <f t="shared" si="57"/>
        <v>187.10600000000005</v>
      </c>
      <c r="T192" s="128">
        <f t="shared" si="57"/>
        <v>187.10600000000005</v>
      </c>
      <c r="U192" s="128">
        <f t="shared" si="57"/>
        <v>187.10600000000005</v>
      </c>
      <c r="V192" s="128">
        <f t="shared" si="57"/>
        <v>187.10600000000005</v>
      </c>
      <c r="W192" s="128">
        <f t="shared" si="57"/>
        <v>187.10600000000005</v>
      </c>
      <c r="X192" s="128">
        <f t="shared" si="57"/>
        <v>187.10600000000005</v>
      </c>
      <c r="Y192" s="128">
        <f t="shared" si="57"/>
        <v>187.10600000000005</v>
      </c>
      <c r="Z192" s="128">
        <f t="shared" si="57"/>
        <v>187.10600000000005</v>
      </c>
      <c r="AA192" s="128">
        <f t="shared" si="57"/>
        <v>187.10600000000005</v>
      </c>
      <c r="AB192" s="128">
        <f t="shared" si="57"/>
        <v>187.10600000000005</v>
      </c>
      <c r="AC192" s="128">
        <f t="shared" si="57"/>
        <v>187.10600000000005</v>
      </c>
      <c r="AD192" s="128">
        <f t="shared" si="57"/>
        <v>187.10600000000005</v>
      </c>
      <c r="AE192" s="128">
        <f t="shared" si="57"/>
        <v>187.10600000000005</v>
      </c>
      <c r="AF192" s="128">
        <f t="shared" si="57"/>
        <v>187.10600000000005</v>
      </c>
      <c r="AG192" s="129">
        <f t="shared" si="57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8">AF194</f>
        <v>0.3</v>
      </c>
      <c r="C194" s="130">
        <v>0.3</v>
      </c>
      <c r="D194" s="130">
        <f t="shared" ref="D194:S199" si="59">C194</f>
        <v>0.3</v>
      </c>
      <c r="E194" s="130">
        <f t="shared" si="59"/>
        <v>0.3</v>
      </c>
      <c r="F194" s="130">
        <f t="shared" si="59"/>
        <v>0.3</v>
      </c>
      <c r="G194" s="130">
        <f t="shared" si="59"/>
        <v>0.3</v>
      </c>
      <c r="H194" s="130">
        <f t="shared" si="59"/>
        <v>0.3</v>
      </c>
      <c r="I194" s="130">
        <f t="shared" si="59"/>
        <v>0.3</v>
      </c>
      <c r="J194" s="130">
        <f t="shared" si="59"/>
        <v>0.3</v>
      </c>
      <c r="K194" s="130">
        <f t="shared" si="59"/>
        <v>0.3</v>
      </c>
      <c r="L194" s="130">
        <f t="shared" si="59"/>
        <v>0.3</v>
      </c>
      <c r="M194" s="130">
        <f t="shared" si="59"/>
        <v>0.3</v>
      </c>
      <c r="N194" s="130">
        <f t="shared" si="59"/>
        <v>0.3</v>
      </c>
      <c r="O194" s="130">
        <f t="shared" si="59"/>
        <v>0.3</v>
      </c>
      <c r="P194" s="130">
        <f t="shared" si="59"/>
        <v>0.3</v>
      </c>
      <c r="Q194" s="130">
        <f t="shared" si="59"/>
        <v>0.3</v>
      </c>
      <c r="R194" s="130">
        <f t="shared" si="59"/>
        <v>0.3</v>
      </c>
      <c r="S194" s="130">
        <f t="shared" si="59"/>
        <v>0.3</v>
      </c>
      <c r="T194" s="130">
        <f t="shared" ref="T194:AF199" si="60">S194</f>
        <v>0.3</v>
      </c>
      <c r="U194" s="130">
        <f t="shared" si="60"/>
        <v>0.3</v>
      </c>
      <c r="V194" s="130">
        <f t="shared" si="60"/>
        <v>0.3</v>
      </c>
      <c r="W194" s="130">
        <f t="shared" si="60"/>
        <v>0.3</v>
      </c>
      <c r="X194" s="130">
        <f t="shared" si="60"/>
        <v>0.3</v>
      </c>
      <c r="Y194" s="130">
        <f t="shared" si="60"/>
        <v>0.3</v>
      </c>
      <c r="Z194" s="130">
        <f t="shared" si="60"/>
        <v>0.3</v>
      </c>
      <c r="AA194" s="130">
        <f t="shared" si="60"/>
        <v>0.3</v>
      </c>
      <c r="AB194" s="130">
        <f t="shared" si="60"/>
        <v>0.3</v>
      </c>
      <c r="AC194" s="130">
        <f t="shared" si="60"/>
        <v>0.3</v>
      </c>
      <c r="AD194" s="130">
        <f t="shared" si="60"/>
        <v>0.3</v>
      </c>
      <c r="AE194" s="130">
        <f t="shared" si="60"/>
        <v>0.3</v>
      </c>
      <c r="AF194" s="130">
        <f t="shared" si="60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8"/>
        <v>0.4</v>
      </c>
      <c r="C195" s="123">
        <v>0.4</v>
      </c>
      <c r="D195" s="123">
        <f t="shared" si="59"/>
        <v>0.4</v>
      </c>
      <c r="E195" s="123">
        <f t="shared" si="59"/>
        <v>0.4</v>
      </c>
      <c r="F195" s="123">
        <f t="shared" si="59"/>
        <v>0.4</v>
      </c>
      <c r="G195" s="123">
        <f t="shared" si="59"/>
        <v>0.4</v>
      </c>
      <c r="H195" s="123">
        <f t="shared" si="59"/>
        <v>0.4</v>
      </c>
      <c r="I195" s="123">
        <f t="shared" si="59"/>
        <v>0.4</v>
      </c>
      <c r="J195" s="123">
        <f t="shared" si="59"/>
        <v>0.4</v>
      </c>
      <c r="K195" s="123">
        <f t="shared" si="59"/>
        <v>0.4</v>
      </c>
      <c r="L195" s="123">
        <f t="shared" si="59"/>
        <v>0.4</v>
      </c>
      <c r="M195" s="123">
        <f t="shared" si="59"/>
        <v>0.4</v>
      </c>
      <c r="N195" s="123">
        <f t="shared" si="59"/>
        <v>0.4</v>
      </c>
      <c r="O195" s="123">
        <f t="shared" si="59"/>
        <v>0.4</v>
      </c>
      <c r="P195" s="123">
        <f t="shared" si="59"/>
        <v>0.4</v>
      </c>
      <c r="Q195" s="123">
        <f t="shared" si="59"/>
        <v>0.4</v>
      </c>
      <c r="R195" s="123">
        <f t="shared" si="59"/>
        <v>0.4</v>
      </c>
      <c r="S195" s="123">
        <f t="shared" si="59"/>
        <v>0.4</v>
      </c>
      <c r="T195" s="123">
        <f t="shared" si="60"/>
        <v>0.4</v>
      </c>
      <c r="U195" s="123">
        <f t="shared" si="60"/>
        <v>0.4</v>
      </c>
      <c r="V195" s="123">
        <f t="shared" si="60"/>
        <v>0.4</v>
      </c>
      <c r="W195" s="123">
        <f>V195</f>
        <v>0.4</v>
      </c>
      <c r="X195" s="123">
        <f>W195</f>
        <v>0.4</v>
      </c>
      <c r="Y195" s="123">
        <f t="shared" si="60"/>
        <v>0.4</v>
      </c>
      <c r="Z195" s="123">
        <f t="shared" si="60"/>
        <v>0.4</v>
      </c>
      <c r="AA195" s="123">
        <f t="shared" si="60"/>
        <v>0.4</v>
      </c>
      <c r="AB195" s="123">
        <f t="shared" si="60"/>
        <v>0.4</v>
      </c>
      <c r="AC195" s="123">
        <f t="shared" si="60"/>
        <v>0.4</v>
      </c>
      <c r="AD195" s="123">
        <f t="shared" si="60"/>
        <v>0.4</v>
      </c>
      <c r="AE195" s="123">
        <f t="shared" si="60"/>
        <v>0.4</v>
      </c>
      <c r="AF195" s="123">
        <f t="shared" si="60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8"/>
        <v>1.5</v>
      </c>
      <c r="C196" s="123">
        <v>1.5</v>
      </c>
      <c r="D196" s="123">
        <f t="shared" si="59"/>
        <v>1.5</v>
      </c>
      <c r="E196" s="123">
        <f t="shared" si="59"/>
        <v>1.5</v>
      </c>
      <c r="F196" s="123">
        <f t="shared" si="59"/>
        <v>1.5</v>
      </c>
      <c r="G196" s="123">
        <f t="shared" si="59"/>
        <v>1.5</v>
      </c>
      <c r="H196" s="123">
        <f t="shared" si="59"/>
        <v>1.5</v>
      </c>
      <c r="I196" s="123">
        <f t="shared" si="59"/>
        <v>1.5</v>
      </c>
      <c r="J196" s="123">
        <f t="shared" si="59"/>
        <v>1.5</v>
      </c>
      <c r="K196" s="123">
        <f t="shared" si="59"/>
        <v>1.5</v>
      </c>
      <c r="L196" s="123">
        <f t="shared" si="59"/>
        <v>1.5</v>
      </c>
      <c r="M196" s="123">
        <f t="shared" si="59"/>
        <v>1.5</v>
      </c>
      <c r="N196" s="123">
        <f t="shared" si="59"/>
        <v>1.5</v>
      </c>
      <c r="O196" s="123">
        <f t="shared" si="59"/>
        <v>1.5</v>
      </c>
      <c r="P196" s="123">
        <f t="shared" si="59"/>
        <v>1.5</v>
      </c>
      <c r="Q196" s="123">
        <f t="shared" si="59"/>
        <v>1.5</v>
      </c>
      <c r="R196" s="123">
        <f t="shared" si="59"/>
        <v>1.5</v>
      </c>
      <c r="S196" s="123">
        <f t="shared" si="59"/>
        <v>1.5</v>
      </c>
      <c r="T196" s="123">
        <f t="shared" si="60"/>
        <v>1.5</v>
      </c>
      <c r="U196" s="123">
        <f t="shared" si="60"/>
        <v>1.5</v>
      </c>
      <c r="V196" s="123">
        <f t="shared" si="60"/>
        <v>1.5</v>
      </c>
      <c r="W196" s="123">
        <f t="shared" si="60"/>
        <v>1.5</v>
      </c>
      <c r="X196" s="123">
        <f t="shared" si="60"/>
        <v>1.5</v>
      </c>
      <c r="Y196" s="123">
        <f t="shared" si="60"/>
        <v>1.5</v>
      </c>
      <c r="Z196" s="123">
        <f t="shared" si="60"/>
        <v>1.5</v>
      </c>
      <c r="AA196" s="123">
        <f t="shared" si="60"/>
        <v>1.5</v>
      </c>
      <c r="AB196" s="123">
        <f t="shared" si="60"/>
        <v>1.5</v>
      </c>
      <c r="AC196" s="123">
        <f t="shared" si="60"/>
        <v>1.5</v>
      </c>
      <c r="AD196" s="123">
        <f t="shared" si="60"/>
        <v>1.5</v>
      </c>
      <c r="AE196" s="123">
        <f t="shared" si="60"/>
        <v>1.5</v>
      </c>
      <c r="AF196" s="123">
        <f t="shared" si="60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8"/>
        <v>0.3</v>
      </c>
      <c r="C197" s="123">
        <v>0.3</v>
      </c>
      <c r="D197" s="123">
        <f t="shared" si="59"/>
        <v>0.3</v>
      </c>
      <c r="E197" s="123">
        <f t="shared" si="59"/>
        <v>0.3</v>
      </c>
      <c r="F197" s="123">
        <f t="shared" si="59"/>
        <v>0.3</v>
      </c>
      <c r="G197" s="123">
        <f t="shared" si="59"/>
        <v>0.3</v>
      </c>
      <c r="H197" s="123">
        <f t="shared" si="59"/>
        <v>0.3</v>
      </c>
      <c r="I197" s="123">
        <f t="shared" si="59"/>
        <v>0.3</v>
      </c>
      <c r="J197" s="123">
        <f t="shared" si="59"/>
        <v>0.3</v>
      </c>
      <c r="K197" s="123">
        <f t="shared" si="59"/>
        <v>0.3</v>
      </c>
      <c r="L197" s="123">
        <f t="shared" si="59"/>
        <v>0.3</v>
      </c>
      <c r="M197" s="123">
        <f t="shared" si="59"/>
        <v>0.3</v>
      </c>
      <c r="N197" s="123">
        <f t="shared" si="59"/>
        <v>0.3</v>
      </c>
      <c r="O197" s="123">
        <f t="shared" si="59"/>
        <v>0.3</v>
      </c>
      <c r="P197" s="123">
        <f t="shared" si="59"/>
        <v>0.3</v>
      </c>
      <c r="Q197" s="123">
        <f t="shared" si="59"/>
        <v>0.3</v>
      </c>
      <c r="R197" s="123">
        <f t="shared" si="59"/>
        <v>0.3</v>
      </c>
      <c r="S197" s="123">
        <f t="shared" si="59"/>
        <v>0.3</v>
      </c>
      <c r="T197" s="123">
        <f t="shared" si="60"/>
        <v>0.3</v>
      </c>
      <c r="U197" s="123">
        <f t="shared" si="60"/>
        <v>0.3</v>
      </c>
      <c r="V197" s="123">
        <f t="shared" si="60"/>
        <v>0.3</v>
      </c>
      <c r="W197" s="123">
        <f t="shared" si="60"/>
        <v>0.3</v>
      </c>
      <c r="X197" s="123">
        <f t="shared" si="60"/>
        <v>0.3</v>
      </c>
      <c r="Y197" s="123">
        <f t="shared" si="60"/>
        <v>0.3</v>
      </c>
      <c r="Z197" s="123">
        <f t="shared" si="60"/>
        <v>0.3</v>
      </c>
      <c r="AA197" s="123">
        <f t="shared" si="60"/>
        <v>0.3</v>
      </c>
      <c r="AB197" s="123">
        <f t="shared" si="60"/>
        <v>0.3</v>
      </c>
      <c r="AC197" s="123">
        <f t="shared" si="60"/>
        <v>0.3</v>
      </c>
      <c r="AD197" s="123">
        <f t="shared" si="60"/>
        <v>0.3</v>
      </c>
      <c r="AE197" s="123">
        <f t="shared" si="60"/>
        <v>0.3</v>
      </c>
      <c r="AF197" s="123">
        <f t="shared" si="60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8"/>
        <v>0.4</v>
      </c>
      <c r="C198" s="123">
        <v>0.4</v>
      </c>
      <c r="D198" s="123">
        <f t="shared" si="59"/>
        <v>0.4</v>
      </c>
      <c r="E198" s="123">
        <f t="shared" si="59"/>
        <v>0.4</v>
      </c>
      <c r="F198" s="123">
        <f t="shared" si="59"/>
        <v>0.4</v>
      </c>
      <c r="G198" s="123">
        <f t="shared" si="59"/>
        <v>0.4</v>
      </c>
      <c r="H198" s="123">
        <f t="shared" si="59"/>
        <v>0.4</v>
      </c>
      <c r="I198" s="123">
        <f t="shared" si="59"/>
        <v>0.4</v>
      </c>
      <c r="J198" s="123">
        <f t="shared" si="59"/>
        <v>0.4</v>
      </c>
      <c r="K198" s="123">
        <f t="shared" si="59"/>
        <v>0.4</v>
      </c>
      <c r="L198" s="123">
        <f t="shared" si="59"/>
        <v>0.4</v>
      </c>
      <c r="M198" s="123">
        <f t="shared" si="59"/>
        <v>0.4</v>
      </c>
      <c r="N198" s="123">
        <f t="shared" si="59"/>
        <v>0.4</v>
      </c>
      <c r="O198" s="123">
        <f t="shared" si="59"/>
        <v>0.4</v>
      </c>
      <c r="P198" s="123">
        <f t="shared" si="59"/>
        <v>0.4</v>
      </c>
      <c r="Q198" s="123">
        <f t="shared" si="59"/>
        <v>0.4</v>
      </c>
      <c r="R198" s="123">
        <f t="shared" si="59"/>
        <v>0.4</v>
      </c>
      <c r="S198" s="123">
        <f t="shared" si="59"/>
        <v>0.4</v>
      </c>
      <c r="T198" s="123">
        <f t="shared" si="60"/>
        <v>0.4</v>
      </c>
      <c r="U198" s="123">
        <f t="shared" si="60"/>
        <v>0.4</v>
      </c>
      <c r="V198" s="123">
        <f t="shared" si="60"/>
        <v>0.4</v>
      </c>
      <c r="W198" s="123">
        <f t="shared" si="60"/>
        <v>0.4</v>
      </c>
      <c r="X198" s="123">
        <f t="shared" si="60"/>
        <v>0.4</v>
      </c>
      <c r="Y198" s="123">
        <f t="shared" si="60"/>
        <v>0.4</v>
      </c>
      <c r="Z198" s="123">
        <f t="shared" si="60"/>
        <v>0.4</v>
      </c>
      <c r="AA198" s="123">
        <f t="shared" si="60"/>
        <v>0.4</v>
      </c>
      <c r="AB198" s="123">
        <f t="shared" si="60"/>
        <v>0.4</v>
      </c>
      <c r="AC198" s="123">
        <f t="shared" si="60"/>
        <v>0.4</v>
      </c>
      <c r="AD198" s="123">
        <f t="shared" si="60"/>
        <v>0.4</v>
      </c>
      <c r="AE198" s="123">
        <f t="shared" si="60"/>
        <v>0.4</v>
      </c>
      <c r="AF198" s="123">
        <f t="shared" si="60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8"/>
        <v>0.64</v>
      </c>
      <c r="C199" s="133">
        <v>0.64</v>
      </c>
      <c r="D199" s="133">
        <f t="shared" si="59"/>
        <v>0.64</v>
      </c>
      <c r="E199" s="133">
        <f t="shared" si="59"/>
        <v>0.64</v>
      </c>
      <c r="F199" s="133">
        <f t="shared" si="59"/>
        <v>0.64</v>
      </c>
      <c r="G199" s="133">
        <f t="shared" si="59"/>
        <v>0.64</v>
      </c>
      <c r="H199" s="133">
        <f t="shared" si="59"/>
        <v>0.64</v>
      </c>
      <c r="I199" s="133">
        <f t="shared" si="59"/>
        <v>0.64</v>
      </c>
      <c r="J199" s="133">
        <f t="shared" si="59"/>
        <v>0.64</v>
      </c>
      <c r="K199" s="133">
        <f t="shared" si="59"/>
        <v>0.64</v>
      </c>
      <c r="L199" s="133">
        <f t="shared" si="59"/>
        <v>0.64</v>
      </c>
      <c r="M199" s="133">
        <f t="shared" si="59"/>
        <v>0.64</v>
      </c>
      <c r="N199" s="133">
        <f t="shared" si="59"/>
        <v>0.64</v>
      </c>
      <c r="O199" s="133">
        <f t="shared" si="59"/>
        <v>0.64</v>
      </c>
      <c r="P199" s="133">
        <f t="shared" si="59"/>
        <v>0.64</v>
      </c>
      <c r="Q199" s="133">
        <f t="shared" si="59"/>
        <v>0.64</v>
      </c>
      <c r="R199" s="133">
        <f t="shared" si="59"/>
        <v>0.64</v>
      </c>
      <c r="S199" s="133">
        <f t="shared" si="59"/>
        <v>0.64</v>
      </c>
      <c r="T199" s="133">
        <f t="shared" si="60"/>
        <v>0.64</v>
      </c>
      <c r="U199" s="133">
        <f t="shared" si="60"/>
        <v>0.64</v>
      </c>
      <c r="V199" s="133">
        <f t="shared" si="60"/>
        <v>0.64</v>
      </c>
      <c r="W199" s="133">
        <f t="shared" si="60"/>
        <v>0.64</v>
      </c>
      <c r="X199" s="133">
        <f t="shared" si="60"/>
        <v>0.64</v>
      </c>
      <c r="Y199" s="133">
        <f t="shared" si="60"/>
        <v>0.64</v>
      </c>
      <c r="Z199" s="133">
        <f t="shared" si="60"/>
        <v>0.64</v>
      </c>
      <c r="AA199" s="133">
        <f t="shared" si="60"/>
        <v>0.64</v>
      </c>
      <c r="AB199" s="133">
        <f t="shared" si="60"/>
        <v>0.64</v>
      </c>
      <c r="AC199" s="133">
        <f t="shared" si="60"/>
        <v>0.64</v>
      </c>
      <c r="AD199" s="133">
        <f t="shared" si="60"/>
        <v>0.64</v>
      </c>
      <c r="AE199" s="133">
        <f t="shared" si="60"/>
        <v>0.64</v>
      </c>
      <c r="AF199" s="133">
        <f t="shared" si="60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1">SUM(D194:D199)</f>
        <v>3.54</v>
      </c>
      <c r="E200" s="136">
        <f t="shared" si="61"/>
        <v>3.54</v>
      </c>
      <c r="F200" s="136">
        <f t="shared" si="61"/>
        <v>3.54</v>
      </c>
      <c r="G200" s="136">
        <f t="shared" si="61"/>
        <v>3.54</v>
      </c>
      <c r="H200" s="136">
        <f t="shared" si="61"/>
        <v>3.54</v>
      </c>
      <c r="I200" s="136">
        <f t="shared" si="61"/>
        <v>3.54</v>
      </c>
      <c r="J200" s="136">
        <f t="shared" si="61"/>
        <v>3.54</v>
      </c>
      <c r="K200" s="136">
        <f t="shared" si="61"/>
        <v>3.54</v>
      </c>
      <c r="L200" s="136">
        <f t="shared" si="61"/>
        <v>3.54</v>
      </c>
      <c r="M200" s="136">
        <f>SUM(M194:M199)</f>
        <v>3.54</v>
      </c>
      <c r="N200" s="136">
        <f t="shared" ref="N200:S200" si="62">SUM(N194:N199)</f>
        <v>3.54</v>
      </c>
      <c r="O200" s="136">
        <f t="shared" si="62"/>
        <v>3.54</v>
      </c>
      <c r="P200" s="136">
        <f t="shared" si="62"/>
        <v>3.54</v>
      </c>
      <c r="Q200" s="136">
        <f t="shared" si="62"/>
        <v>3.54</v>
      </c>
      <c r="R200" s="136">
        <f t="shared" si="62"/>
        <v>3.54</v>
      </c>
      <c r="S200" s="136">
        <f t="shared" si="62"/>
        <v>3.54</v>
      </c>
      <c r="T200" s="136">
        <f>SUM(T194:T199)</f>
        <v>3.54</v>
      </c>
      <c r="U200" s="136">
        <f t="shared" ref="U200:AG200" si="63">SUM(U194:U199)</f>
        <v>3.54</v>
      </c>
      <c r="V200" s="136">
        <f t="shared" si="63"/>
        <v>3.54</v>
      </c>
      <c r="W200" s="136">
        <f t="shared" si="63"/>
        <v>3.54</v>
      </c>
      <c r="X200" s="136">
        <f t="shared" si="63"/>
        <v>3.54</v>
      </c>
      <c r="Y200" s="136">
        <f t="shared" si="63"/>
        <v>3.54</v>
      </c>
      <c r="Z200" s="136">
        <f t="shared" si="63"/>
        <v>3.54</v>
      </c>
      <c r="AA200" s="136">
        <f t="shared" si="63"/>
        <v>3.54</v>
      </c>
      <c r="AB200" s="136">
        <f t="shared" si="63"/>
        <v>3.54</v>
      </c>
      <c r="AC200" s="136">
        <f t="shared" si="63"/>
        <v>3.54</v>
      </c>
      <c r="AD200" s="136">
        <f t="shared" si="63"/>
        <v>3.54</v>
      </c>
      <c r="AE200" s="136">
        <f t="shared" si="63"/>
        <v>3.54</v>
      </c>
      <c r="AF200" s="136">
        <f t="shared" si="63"/>
        <v>3.54</v>
      </c>
      <c r="AG200" s="137">
        <f t="shared" si="63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1700.94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5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2079/02/5)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2079/02/5)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4">B75</f>
        <v>1597.1400000000003</v>
      </c>
      <c r="U214" s="161">
        <f t="shared" si="64"/>
        <v>1601.8400000000004</v>
      </c>
      <c r="V214" s="161">
        <f t="shared" si="64"/>
        <v>1601.9400000000003</v>
      </c>
      <c r="W214" s="161">
        <f t="shared" si="64"/>
        <v>1642.4400000000003</v>
      </c>
      <c r="X214" s="161">
        <f t="shared" si="64"/>
        <v>1605.1400000000003</v>
      </c>
      <c r="Y214" s="161">
        <f t="shared" si="64"/>
        <v>1606.5400000000002</v>
      </c>
      <c r="Z214" s="161">
        <f t="shared" si="64"/>
        <v>1579.5400000000002</v>
      </c>
      <c r="AA214" s="161">
        <f t="shared" si="64"/>
        <v>1629.4400000000003</v>
      </c>
      <c r="AB214" s="161">
        <f t="shared" si="64"/>
        <v>1567.4400000000003</v>
      </c>
      <c r="AC214" s="161">
        <f t="shared" si="64"/>
        <v>1587.5400000000002</v>
      </c>
      <c r="AD214" s="161">
        <f t="shared" si="64"/>
        <v>1662.5400000000002</v>
      </c>
      <c r="AE214" s="161">
        <f t="shared" si="64"/>
        <v>1654.44</v>
      </c>
      <c r="AF214" s="161">
        <f t="shared" si="64"/>
        <v>1700.94</v>
      </c>
      <c r="AG214" s="161">
        <f t="shared" si="64"/>
        <v>1713.44</v>
      </c>
      <c r="AH214" s="161">
        <f t="shared" si="64"/>
        <v>1718.3400000000001</v>
      </c>
      <c r="AI214" s="161">
        <f t="shared" si="64"/>
        <v>1742.44</v>
      </c>
      <c r="AJ214" s="161">
        <f t="shared" si="64"/>
        <v>1730.44</v>
      </c>
      <c r="AK214" s="161">
        <f t="shared" si="64"/>
        <v>1719.5400000000002</v>
      </c>
      <c r="AL214" s="161">
        <f t="shared" si="64"/>
        <v>1709.14</v>
      </c>
      <c r="AM214" s="161">
        <f t="shared" si="64"/>
        <v>1700.5400000000002</v>
      </c>
      <c r="AN214" s="161">
        <f t="shared" si="64"/>
        <v>1627.8400000000001</v>
      </c>
      <c r="AO214" s="161">
        <f t="shared" si="64"/>
        <v>1653.9399999999998</v>
      </c>
      <c r="AP214" s="161">
        <f t="shared" si="64"/>
        <v>1652.84</v>
      </c>
      <c r="AQ214" s="161">
        <f t="shared" si="64"/>
        <v>1624.5399999999997</v>
      </c>
      <c r="AR214" s="161">
        <f t="shared" si="64"/>
        <v>1632.5399999999997</v>
      </c>
      <c r="AS214" s="161">
        <f t="shared" si="64"/>
        <v>1715.4399999999998</v>
      </c>
      <c r="AT214" s="161">
        <f t="shared" si="64"/>
        <v>1767.24</v>
      </c>
      <c r="AU214" s="161">
        <f t="shared" si="64"/>
        <v>1759.44</v>
      </c>
      <c r="AV214" s="161">
        <f t="shared" si="64"/>
        <v>1761.8400000000001</v>
      </c>
      <c r="AW214" s="161">
        <f t="shared" si="64"/>
        <v>1743.1399999999999</v>
      </c>
      <c r="AX214" s="161">
        <f t="shared" si="64"/>
        <v>1670.6399999999999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5">C199</f>
        <v>0.64</v>
      </c>
      <c r="C235" s="164">
        <f t="shared" si="65"/>
        <v>0.64</v>
      </c>
      <c r="D235" s="164">
        <f t="shared" si="65"/>
        <v>0.64</v>
      </c>
      <c r="E235" s="164">
        <f t="shared" si="65"/>
        <v>0.64</v>
      </c>
      <c r="F235" s="164">
        <f t="shared" si="65"/>
        <v>0.64</v>
      </c>
      <c r="G235" s="164">
        <f t="shared" si="65"/>
        <v>0.64</v>
      </c>
      <c r="H235" s="164">
        <f t="shared" si="65"/>
        <v>0.64</v>
      </c>
      <c r="I235" s="164">
        <f t="shared" si="65"/>
        <v>0.64</v>
      </c>
      <c r="J235" s="164">
        <f t="shared" si="65"/>
        <v>0.64</v>
      </c>
      <c r="K235" s="164">
        <f t="shared" si="65"/>
        <v>0.64</v>
      </c>
      <c r="L235" s="164">
        <f t="shared" si="65"/>
        <v>0.64</v>
      </c>
      <c r="M235" s="164">
        <f t="shared" si="65"/>
        <v>0.64</v>
      </c>
      <c r="N235" s="164">
        <f t="shared" si="65"/>
        <v>0.64</v>
      </c>
      <c r="O235" s="164">
        <f t="shared" si="65"/>
        <v>0.64</v>
      </c>
      <c r="P235" s="164">
        <f t="shared" si="65"/>
        <v>0.64</v>
      </c>
      <c r="Q235" s="164">
        <f t="shared" si="65"/>
        <v>0.64</v>
      </c>
      <c r="R235" s="164">
        <f t="shared" si="65"/>
        <v>0.64</v>
      </c>
      <c r="S235" s="164">
        <f t="shared" si="65"/>
        <v>0.64</v>
      </c>
      <c r="T235" s="164">
        <f t="shared" si="65"/>
        <v>0.64</v>
      </c>
      <c r="U235" s="164">
        <f t="shared" si="65"/>
        <v>0.64</v>
      </c>
      <c r="V235" s="164">
        <f t="shared" si="65"/>
        <v>0.64</v>
      </c>
      <c r="W235" s="164">
        <f t="shared" si="65"/>
        <v>0.64</v>
      </c>
      <c r="X235" s="164">
        <f t="shared" si="65"/>
        <v>0.64</v>
      </c>
      <c r="Y235" s="164">
        <f t="shared" si="65"/>
        <v>0.64</v>
      </c>
      <c r="Z235" s="164">
        <f t="shared" si="65"/>
        <v>0.64</v>
      </c>
      <c r="AA235" s="164">
        <f t="shared" si="65"/>
        <v>0.64</v>
      </c>
      <c r="AB235" s="164">
        <f t="shared" si="65"/>
        <v>0.64</v>
      </c>
      <c r="AC235" s="164">
        <f t="shared" si="65"/>
        <v>0.64</v>
      </c>
      <c r="AD235" s="164">
        <f t="shared" si="65"/>
        <v>0.64</v>
      </c>
      <c r="AE235" s="164">
        <f t="shared" si="6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6">IF(C203&lt;100,"",C203-520)</f>
        <v/>
      </c>
      <c r="D236" s="107" t="str">
        <f t="shared" si="66"/>
        <v/>
      </c>
      <c r="E236" s="107" t="str">
        <f t="shared" si="66"/>
        <v/>
      </c>
      <c r="F236" s="107" t="str">
        <f t="shared" si="66"/>
        <v/>
      </c>
      <c r="G236" s="107" t="str">
        <f t="shared" si="66"/>
        <v/>
      </c>
      <c r="H236" s="107" t="str">
        <f t="shared" si="66"/>
        <v/>
      </c>
      <c r="I236" s="107" t="str">
        <f t="shared" si="66"/>
        <v/>
      </c>
      <c r="J236" s="107" t="str">
        <f t="shared" si="66"/>
        <v/>
      </c>
      <c r="K236" s="107" t="str">
        <f t="shared" si="66"/>
        <v/>
      </c>
      <c r="L236" s="107" t="str">
        <f t="shared" si="66"/>
        <v/>
      </c>
      <c r="M236" s="107" t="str">
        <f t="shared" si="66"/>
        <v/>
      </c>
      <c r="N236" s="107" t="str">
        <f t="shared" si="66"/>
        <v/>
      </c>
      <c r="O236" s="107" t="str">
        <f t="shared" si="66"/>
        <v/>
      </c>
      <c r="P236" s="107" t="str">
        <f t="shared" si="66"/>
        <v/>
      </c>
      <c r="Q236" s="107" t="str">
        <f t="shared" si="66"/>
        <v/>
      </c>
      <c r="R236" s="107" t="str">
        <f t="shared" si="66"/>
        <v/>
      </c>
      <c r="S236" s="107" t="str">
        <f t="shared" si="66"/>
        <v/>
      </c>
      <c r="T236" s="107" t="str">
        <f t="shared" si="66"/>
        <v/>
      </c>
      <c r="U236" s="107" t="str">
        <f t="shared" si="66"/>
        <v/>
      </c>
      <c r="V236" s="107" t="str">
        <f t="shared" si="66"/>
        <v/>
      </c>
      <c r="W236" s="107" t="str">
        <f t="shared" si="66"/>
        <v/>
      </c>
      <c r="X236" s="107" t="str">
        <f t="shared" si="66"/>
        <v/>
      </c>
      <c r="Y236" s="107" t="str">
        <f t="shared" si="66"/>
        <v/>
      </c>
      <c r="Z236" s="107" t="str">
        <f t="shared" si="66"/>
        <v/>
      </c>
      <c r="AA236" s="107" t="str">
        <f t="shared" si="66"/>
        <v/>
      </c>
      <c r="AB236" s="107" t="str">
        <f t="shared" si="66"/>
        <v/>
      </c>
      <c r="AC236" s="107" t="str">
        <f t="shared" si="66"/>
        <v/>
      </c>
      <c r="AD236" s="107" t="str">
        <f t="shared" si="66"/>
        <v/>
      </c>
      <c r="AE236" s="107" t="str">
        <f t="shared" si="66"/>
        <v/>
      </c>
      <c r="AF236" s="107" t="str">
        <f t="shared" si="6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7">IF(B204&lt;100,"",B204-620)</f>
        <v/>
      </c>
      <c r="C237" s="107" t="str">
        <f t="shared" si="67"/>
        <v/>
      </c>
      <c r="D237" s="107" t="str">
        <f t="shared" si="67"/>
        <v/>
      </c>
      <c r="E237" s="107" t="str">
        <f t="shared" si="67"/>
        <v/>
      </c>
      <c r="F237" s="107" t="str">
        <f t="shared" si="67"/>
        <v/>
      </c>
      <c r="G237" s="107" t="str">
        <f t="shared" si="67"/>
        <v/>
      </c>
      <c r="H237" s="107" t="str">
        <f t="shared" si="67"/>
        <v/>
      </c>
      <c r="I237" s="107" t="str">
        <f t="shared" si="67"/>
        <v/>
      </c>
      <c r="J237" s="107" t="str">
        <f t="shared" si="67"/>
        <v/>
      </c>
      <c r="K237" s="107" t="str">
        <f t="shared" si="67"/>
        <v/>
      </c>
      <c r="L237" s="107" t="str">
        <f t="shared" si="67"/>
        <v/>
      </c>
      <c r="M237" s="107" t="str">
        <f t="shared" si="67"/>
        <v/>
      </c>
      <c r="N237" s="107" t="str">
        <f t="shared" si="67"/>
        <v/>
      </c>
      <c r="O237" s="107" t="str">
        <f t="shared" si="67"/>
        <v/>
      </c>
      <c r="P237" s="107" t="str">
        <f t="shared" si="67"/>
        <v/>
      </c>
      <c r="Q237" s="107" t="str">
        <f t="shared" si="67"/>
        <v/>
      </c>
      <c r="R237" s="107" t="str">
        <f t="shared" si="67"/>
        <v/>
      </c>
      <c r="S237" s="107" t="str">
        <f t="shared" si="67"/>
        <v/>
      </c>
      <c r="T237" s="107" t="str">
        <f t="shared" si="67"/>
        <v/>
      </c>
      <c r="U237" s="107" t="str">
        <f t="shared" si="67"/>
        <v/>
      </c>
      <c r="V237" s="107" t="str">
        <f t="shared" si="67"/>
        <v/>
      </c>
      <c r="W237" s="107" t="str">
        <f t="shared" si="67"/>
        <v/>
      </c>
      <c r="X237" s="107" t="str">
        <f t="shared" si="67"/>
        <v/>
      </c>
      <c r="Y237" s="107" t="str">
        <f t="shared" si="67"/>
        <v/>
      </c>
      <c r="Z237" s="107" t="str">
        <f t="shared" si="67"/>
        <v/>
      </c>
      <c r="AA237" s="107" t="str">
        <f t="shared" si="67"/>
        <v/>
      </c>
      <c r="AB237" s="107" t="str">
        <f t="shared" si="67"/>
        <v/>
      </c>
      <c r="AC237" s="107" t="str">
        <f t="shared" si="67"/>
        <v/>
      </c>
      <c r="AD237" s="107" t="str">
        <f t="shared" si="67"/>
        <v/>
      </c>
      <c r="AE237" s="107" t="str">
        <f t="shared" si="67"/>
        <v/>
      </c>
      <c r="AF237" s="107" t="str">
        <f t="shared" si="6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8">IF(B205&lt;100,"",B205-330)</f>
        <v/>
      </c>
      <c r="C238" s="107" t="str">
        <f t="shared" si="68"/>
        <v/>
      </c>
      <c r="D238" s="107" t="str">
        <f t="shared" si="68"/>
        <v/>
      </c>
      <c r="E238" s="107" t="str">
        <f t="shared" si="68"/>
        <v/>
      </c>
      <c r="F238" s="107" t="str">
        <f t="shared" si="68"/>
        <v/>
      </c>
      <c r="G238" s="107" t="str">
        <f t="shared" si="68"/>
        <v/>
      </c>
      <c r="H238" s="107" t="str">
        <f t="shared" si="68"/>
        <v/>
      </c>
      <c r="I238" s="107" t="str">
        <f t="shared" si="68"/>
        <v/>
      </c>
      <c r="J238" s="107" t="str">
        <f t="shared" si="68"/>
        <v/>
      </c>
      <c r="K238" s="107" t="str">
        <f t="shared" si="68"/>
        <v/>
      </c>
      <c r="L238" s="107" t="str">
        <f t="shared" si="68"/>
        <v/>
      </c>
      <c r="M238" s="107" t="str">
        <f t="shared" si="68"/>
        <v/>
      </c>
      <c r="N238" s="107" t="str">
        <f t="shared" si="68"/>
        <v/>
      </c>
      <c r="O238" s="107" t="str">
        <f t="shared" si="68"/>
        <v/>
      </c>
      <c r="P238" s="107" t="str">
        <f t="shared" si="68"/>
        <v/>
      </c>
      <c r="Q238" s="107" t="str">
        <f t="shared" si="68"/>
        <v/>
      </c>
      <c r="R238" s="107" t="str">
        <f t="shared" si="68"/>
        <v/>
      </c>
      <c r="S238" s="107" t="str">
        <f t="shared" si="68"/>
        <v/>
      </c>
      <c r="T238" s="107" t="str">
        <f t="shared" si="68"/>
        <v/>
      </c>
      <c r="U238" s="107" t="str">
        <f t="shared" si="68"/>
        <v/>
      </c>
      <c r="V238" s="107" t="str">
        <f t="shared" si="68"/>
        <v/>
      </c>
      <c r="W238" s="107" t="str">
        <f t="shared" si="68"/>
        <v/>
      </c>
      <c r="X238" s="107" t="str">
        <f t="shared" si="68"/>
        <v/>
      </c>
      <c r="Y238" s="107" t="str">
        <f t="shared" si="68"/>
        <v/>
      </c>
      <c r="Z238" s="107" t="str">
        <f t="shared" si="68"/>
        <v/>
      </c>
      <c r="AA238" s="107" t="str">
        <f t="shared" si="68"/>
        <v/>
      </c>
      <c r="AB238" s="107" t="str">
        <f t="shared" si="68"/>
        <v/>
      </c>
      <c r="AC238" s="107" t="str">
        <f t="shared" si="68"/>
        <v/>
      </c>
      <c r="AD238" s="107" t="str">
        <f t="shared" si="68"/>
        <v/>
      </c>
      <c r="AE238" s="107" t="str">
        <f t="shared" si="68"/>
        <v/>
      </c>
      <c r="AF238" s="107" t="str">
        <f t="shared" si="6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9">IF(C206&lt;100,"",C206-1500)</f>
        <v/>
      </c>
      <c r="D239" s="107" t="str">
        <f t="shared" si="69"/>
        <v/>
      </c>
      <c r="E239" s="107" t="str">
        <f t="shared" si="69"/>
        <v/>
      </c>
      <c r="F239" s="107" t="str">
        <f t="shared" si="69"/>
        <v/>
      </c>
      <c r="G239" s="107" t="str">
        <f t="shared" si="69"/>
        <v/>
      </c>
      <c r="H239" s="107" t="str">
        <f t="shared" si="69"/>
        <v/>
      </c>
      <c r="I239" s="107" t="str">
        <f t="shared" si="69"/>
        <v/>
      </c>
      <c r="J239" s="107" t="str">
        <f t="shared" si="69"/>
        <v/>
      </c>
      <c r="K239" s="107" t="str">
        <f t="shared" si="69"/>
        <v/>
      </c>
      <c r="L239" s="107" t="str">
        <f t="shared" si="69"/>
        <v/>
      </c>
      <c r="M239" s="107" t="str">
        <f t="shared" si="69"/>
        <v/>
      </c>
      <c r="N239" s="107" t="str">
        <f t="shared" si="69"/>
        <v/>
      </c>
      <c r="O239" s="107" t="str">
        <f t="shared" si="69"/>
        <v/>
      </c>
      <c r="P239" s="107" t="str">
        <f t="shared" si="69"/>
        <v/>
      </c>
      <c r="Q239" s="107" t="str">
        <f t="shared" si="69"/>
        <v/>
      </c>
      <c r="R239" s="107" t="str">
        <f t="shared" si="69"/>
        <v/>
      </c>
      <c r="S239" s="107" t="str">
        <f t="shared" si="69"/>
        <v/>
      </c>
      <c r="T239" s="107" t="str">
        <f t="shared" si="69"/>
        <v/>
      </c>
      <c r="U239" s="107" t="str">
        <f t="shared" si="69"/>
        <v/>
      </c>
      <c r="V239" s="107" t="str">
        <f t="shared" si="69"/>
        <v/>
      </c>
      <c r="W239" s="107" t="str">
        <f t="shared" si="69"/>
        <v/>
      </c>
      <c r="X239" s="107" t="str">
        <f t="shared" si="69"/>
        <v/>
      </c>
      <c r="Y239" s="107" t="str">
        <f t="shared" si="69"/>
        <v/>
      </c>
      <c r="Z239" s="107" t="str">
        <f t="shared" si="69"/>
        <v/>
      </c>
      <c r="AA239" s="107" t="str">
        <f t="shared" si="69"/>
        <v/>
      </c>
      <c r="AB239" s="107" t="str">
        <f t="shared" si="69"/>
        <v/>
      </c>
      <c r="AC239" s="107" t="str">
        <f t="shared" si="69"/>
        <v/>
      </c>
      <c r="AD239" s="107" t="str">
        <f t="shared" si="69"/>
        <v/>
      </c>
      <c r="AE239" s="107" t="str">
        <f t="shared" si="69"/>
        <v/>
      </c>
      <c r="AF239" s="107" t="str">
        <f t="shared" si="6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Y11:AF11">
    <cfRule type="expression" dxfId="5884" priority="210">
      <formula>B$9&gt;=20/24</formula>
    </cfRule>
    <cfRule type="expression" dxfId="5883" priority="211">
      <formula>AND(B$9&gt;=14/24,B$9&lt;20/24)</formula>
    </cfRule>
    <cfRule type="expression" dxfId="5882" priority="212">
      <formula>AND(B$9&gt;=8/24,B$9&lt;14/24)</formula>
    </cfRule>
    <cfRule type="expression" dxfId="5881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880" priority="205">
      <formula>S$9&gt;=20/24</formula>
    </cfRule>
    <cfRule type="expression" dxfId="5879" priority="206">
      <formula>AND(S$9&gt;=14/24,S$9&lt;20/24)</formula>
    </cfRule>
    <cfRule type="expression" dxfId="5878" priority="207">
      <formula>AND(S$9&gt;=8/24,S$9&lt;14/24)</formula>
    </cfRule>
    <cfRule type="expression" dxfId="5877" priority="208">
      <formula>S$9&lt;8/24</formula>
    </cfRule>
  </conditionalFormatting>
  <conditionalFormatting sqref="AG51 S37:AF37 J11:AF11">
    <cfRule type="expression" dxfId="5876" priority="204">
      <formula>J11&gt;$AG11</formula>
    </cfRule>
  </conditionalFormatting>
  <conditionalFormatting sqref="A101:A157 A84:A97 A11:A14 A16:A32 A45:A72 A80:A82 A74:A78 A35:A43 A170:A200">
    <cfRule type="expression" dxfId="5875" priority="203">
      <formula>$AH11=0</formula>
    </cfRule>
  </conditionalFormatting>
  <conditionalFormatting sqref="A98">
    <cfRule type="expression" dxfId="5874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873" priority="200">
      <formula>$AH34=0</formula>
    </cfRule>
  </conditionalFormatting>
  <conditionalFormatting sqref="A83">
    <cfRule type="expression" dxfId="5872" priority="199">
      <formula>$AH83=0</formula>
    </cfRule>
  </conditionalFormatting>
  <conditionalFormatting sqref="A15">
    <cfRule type="expression" dxfId="5871" priority="198">
      <formula>$AH15=0</formula>
    </cfRule>
  </conditionalFormatting>
  <conditionalFormatting sqref="A164:A169">
    <cfRule type="expression" dxfId="5870" priority="197">
      <formula>$AH164=0</formula>
    </cfRule>
  </conditionalFormatting>
  <conditionalFormatting sqref="A158:A163">
    <cfRule type="expression" dxfId="5869" priority="196">
      <formula>$AH158=0</formula>
    </cfRule>
  </conditionalFormatting>
  <conditionalFormatting sqref="A44">
    <cfRule type="expression" dxfId="5868" priority="195">
      <formula>$AH44=0</formula>
    </cfRule>
  </conditionalFormatting>
  <conditionalFormatting sqref="A79">
    <cfRule type="expression" dxfId="5867" priority="194">
      <formula>$AH79=0</formula>
    </cfRule>
  </conditionalFormatting>
  <conditionalFormatting sqref="A73">
    <cfRule type="expression" dxfId="5866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865" priority="189">
      <formula>C$9&gt;=20/24</formula>
    </cfRule>
    <cfRule type="expression" dxfId="5864" priority="190">
      <formula>AND(C$9&gt;=14/24,C$9&lt;20/24)</formula>
    </cfRule>
    <cfRule type="expression" dxfId="5863" priority="191">
      <formula>AND(C$9&gt;=8/24,C$9&lt;14/24)</formula>
    </cfRule>
    <cfRule type="expression" dxfId="5862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861" priority="217">
      <formula>C$9&gt;=20/24</formula>
    </cfRule>
    <cfRule type="expression" dxfId="5860" priority="218">
      <formula>AND(C$9&gt;=14/24,C$9&lt;20/24)</formula>
    </cfRule>
    <cfRule type="expression" dxfId="5859" priority="219">
      <formula>AND(C$9&gt;=8/24,C$9&lt;14/24)</formula>
    </cfRule>
    <cfRule type="expression" dxfId="5858" priority="220">
      <formula>C$9&lt;8/24</formula>
    </cfRule>
  </conditionalFormatting>
  <conditionalFormatting sqref="A201">
    <cfRule type="expression" dxfId="5857" priority="221">
      <formula>$AH201=0</formula>
    </cfRule>
  </conditionalFormatting>
  <conditionalFormatting sqref="AG213">
    <cfRule type="expression" dxfId="5856" priority="222">
      <formula>B$9&gt;=20/24</formula>
    </cfRule>
    <cfRule type="expression" dxfId="5855" priority="223">
      <formula>AND(B$9&gt;=14/24,B$9&lt;20/24)</formula>
    </cfRule>
    <cfRule type="expression" dxfId="5854" priority="224">
      <formula>AND(B$9&gt;=8/24,B$9&lt;14/24)</formula>
    </cfRule>
    <cfRule type="expression" dxfId="5853" priority="225">
      <formula>B$9&lt;8/24</formula>
    </cfRule>
  </conditionalFormatting>
  <conditionalFormatting sqref="S8">
    <cfRule type="expression" dxfId="5852" priority="184">
      <formula>U$9&gt;=20/24</formula>
    </cfRule>
    <cfRule type="expression" dxfId="5851" priority="185">
      <formula>AND(U$9&gt;=14/24,U$9&lt;20/24)</formula>
    </cfRule>
    <cfRule type="expression" dxfId="5850" priority="186">
      <formula>AND(U$9&gt;=8/24,U$9&lt;14/24)</formula>
    </cfRule>
    <cfRule type="expression" dxfId="5849" priority="187">
      <formula>U$9&lt;8/24</formula>
    </cfRule>
  </conditionalFormatting>
  <conditionalFormatting sqref="AB8">
    <cfRule type="expression" dxfId="5848" priority="180">
      <formula>AD$9&gt;=20/24</formula>
    </cfRule>
    <cfRule type="expression" dxfId="5847" priority="181">
      <formula>AND(AD$9&gt;=14/24,AD$9&lt;20/24)</formula>
    </cfRule>
    <cfRule type="expression" dxfId="5846" priority="182">
      <formula>AND(AD$9&gt;=8/24,AD$9&lt;14/24)</formula>
    </cfRule>
    <cfRule type="expression" dxfId="5845" priority="183">
      <formula>AD$9&lt;8/24</formula>
    </cfRule>
  </conditionalFormatting>
  <conditionalFormatting sqref="AH213:AX213">
    <cfRule type="expression" dxfId="5844" priority="226">
      <formula>AG$9&gt;=20/24</formula>
    </cfRule>
    <cfRule type="expression" dxfId="5843" priority="227">
      <formula>AND(AG$9&gt;=14/24,AG$9&lt;20/24)</formula>
    </cfRule>
    <cfRule type="expression" dxfId="5842" priority="228">
      <formula>AND(AG$9&gt;=8/24,AG$9&lt;14/24)</formula>
    </cfRule>
    <cfRule type="expression" dxfId="5841" priority="229">
      <formula>AG$9&lt;8/24</formula>
    </cfRule>
  </conditionalFormatting>
  <conditionalFormatting sqref="T213">
    <cfRule type="expression" dxfId="5840" priority="230">
      <formula>AX$9&gt;=20/24</formula>
    </cfRule>
    <cfRule type="expression" dxfId="5839" priority="231">
      <formula>AND(AX$9&gt;=14/24,AX$9&lt;20/24)</formula>
    </cfRule>
    <cfRule type="expression" dxfId="5838" priority="232">
      <formula>AND(AX$9&gt;=8/24,AX$9&lt;14/24)</formula>
    </cfRule>
    <cfRule type="expression" dxfId="5837" priority="233">
      <formula>AX$9&lt;8/24</formula>
    </cfRule>
  </conditionalFormatting>
  <conditionalFormatting sqref="A99:A100">
    <cfRule type="expression" dxfId="5836" priority="179">
      <formula>$AH99=0</formula>
    </cfRule>
  </conditionalFormatting>
  <conditionalFormatting sqref="F11:I11 F40:L41 C57:AF57 AC40:AF41">
    <cfRule type="expression" dxfId="5835" priority="175">
      <formula>C$9&gt;=20/24</formula>
    </cfRule>
    <cfRule type="expression" dxfId="5834" priority="176">
      <formula>AND(C$9&gt;=14/24,C$9&lt;20/24)</formula>
    </cfRule>
    <cfRule type="expression" dxfId="5833" priority="177">
      <formula>AND(C$9&gt;=8/24,C$9&lt;14/24)</formula>
    </cfRule>
    <cfRule type="expression" dxfId="5832" priority="178">
      <formula>C$9&lt;8/24</formula>
    </cfRule>
  </conditionalFormatting>
  <conditionalFormatting sqref="F39:L39 AB39:AF39">
    <cfRule type="expression" dxfId="5831" priority="171">
      <formula>F$9&gt;=20/24</formula>
    </cfRule>
    <cfRule type="expression" dxfId="5830" priority="172">
      <formula>AND(F$9&gt;=14/24,F$9&lt;20/24)</formula>
    </cfRule>
    <cfRule type="expression" dxfId="5829" priority="173">
      <formula>AND(F$9&gt;=8/24,F$9&lt;14/24)</formula>
    </cfRule>
    <cfRule type="expression" dxfId="5828" priority="174">
      <formula>F$9&lt;8/24</formula>
    </cfRule>
  </conditionalFormatting>
  <conditionalFormatting sqref="F11:I11 AB39:AC39 F39:L41 AC40:AC41 AD39:AF41">
    <cfRule type="expression" dxfId="5827" priority="170">
      <formula>F11&gt;$AG11</formula>
    </cfRule>
  </conditionalFormatting>
  <conditionalFormatting sqref="C81:AF81 C69:AF72 C58:D63 C67:L67 E61:L63 E58:Q60 M61:Q67 M37:R37 M11:X11 C53:AF56 M13:AA14 C85:AF91 AB12:AF14 AB16:AF16 R58:AF67">
    <cfRule type="expression" dxfId="5826" priority="166">
      <formula>C$9&gt;=20/24</formula>
    </cfRule>
    <cfRule type="expression" dxfId="5825" priority="167">
      <formula>AND(C$9&gt;=14/24,C$9&lt;20/24)</formula>
    </cfRule>
    <cfRule type="expression" dxfId="5824" priority="168">
      <formula>AND(C$9&gt;=8/24,C$9&lt;14/24)</formula>
    </cfRule>
    <cfRule type="expression" dxfId="5823" priority="169">
      <formula>C$9&lt;8/24</formula>
    </cfRule>
  </conditionalFormatting>
  <conditionalFormatting sqref="W32:AF32">
    <cfRule type="expression" dxfId="5822" priority="162">
      <formula>W$9&gt;=20/24</formula>
    </cfRule>
    <cfRule type="expression" dxfId="5821" priority="163">
      <formula>AND(W$9&gt;=14/24,W$9&lt;20/24)</formula>
    </cfRule>
    <cfRule type="expression" dxfId="5820" priority="164">
      <formula>AND(W$9&gt;=8/24,W$9&lt;14/24)</formula>
    </cfRule>
    <cfRule type="expression" dxfId="5819" priority="165">
      <formula>W$9&lt;8/24</formula>
    </cfRule>
  </conditionalFormatting>
  <conditionalFormatting sqref="C51:AF51 C37:R37 M11:X11 C53:AF56 M13:AA14 AE42:AF43 AC42:AD42 AB12:AF16 W32:AF32">
    <cfRule type="expression" dxfId="5818" priority="157">
      <formula>C11&gt;$AG11</formula>
    </cfRule>
  </conditionalFormatting>
  <conditionalFormatting sqref="AB15:AF15">
    <cfRule type="expression" dxfId="5817" priority="149">
      <formula>AB$9&gt;=20/24</formula>
    </cfRule>
    <cfRule type="expression" dxfId="5816" priority="150">
      <formula>AND(AB$9&gt;=14/24,AB$9&lt;20/24)</formula>
    </cfRule>
    <cfRule type="expression" dxfId="5815" priority="151">
      <formula>AND(AB$9&gt;=8/24,AB$9&lt;14/24)</formula>
    </cfRule>
    <cfRule type="expression" dxfId="5814" priority="152">
      <formula>AB$9&lt;8/24</formula>
    </cfRule>
  </conditionalFormatting>
  <conditionalFormatting sqref="AE44:AF50 AA43:AD43">
    <cfRule type="expression" dxfId="5813" priority="136">
      <formula>AA$9&gt;=20/24</formula>
    </cfRule>
    <cfRule type="expression" dxfId="5812" priority="137">
      <formula>AND(AA$9&gt;=14/24,AA$9&lt;20/24)</formula>
    </cfRule>
    <cfRule type="expression" dxfId="5811" priority="138">
      <formula>AND(AA$9&gt;=8/24,AA$9&lt;14/24)</formula>
    </cfRule>
    <cfRule type="expression" dxfId="5810" priority="139">
      <formula>AA$9&lt;8/24</formula>
    </cfRule>
  </conditionalFormatting>
  <conditionalFormatting sqref="AE44:AF50 AA43:AD43">
    <cfRule type="expression" dxfId="5809" priority="135">
      <formula>AA43&gt;$AG43</formula>
    </cfRule>
  </conditionalFormatting>
  <conditionalFormatting sqref="M39:Z50 AA39:AA42 AB40:AB42 AA44:AD50">
    <cfRule type="expression" dxfId="5808" priority="131">
      <formula>M$9&gt;=20/24</formula>
    </cfRule>
    <cfRule type="expression" dxfId="5807" priority="132">
      <formula>AND(M$9&gt;=14/24,M$9&lt;20/24)</formula>
    </cfRule>
    <cfRule type="expression" dxfId="5806" priority="133">
      <formula>AND(M$9&gt;=8/24,M$9&lt;14/24)</formula>
    </cfRule>
    <cfRule type="expression" dxfId="5805" priority="134">
      <formula>M$9&lt;8/24</formula>
    </cfRule>
  </conditionalFormatting>
  <conditionalFormatting sqref="M39:Z50 AA39:AA42 AB40:AB42 AA44:AD50">
    <cfRule type="expression" dxfId="5804" priority="130">
      <formula>M39&gt;$AG39</formula>
    </cfRule>
  </conditionalFormatting>
  <conditionalFormatting sqref="C64:L66">
    <cfRule type="expression" dxfId="5803" priority="87">
      <formula>C$9&gt;=20/24</formula>
    </cfRule>
    <cfRule type="expression" dxfId="5802" priority="88">
      <formula>AND(C$9&gt;=14/24,C$9&lt;20/24)</formula>
    </cfRule>
    <cfRule type="expression" dxfId="5801" priority="89">
      <formula>AND(C$9&gt;=8/24,C$9&lt;14/24)</formula>
    </cfRule>
    <cfRule type="expression" dxfId="5800" priority="90">
      <formula>C$9&lt;8/24</formula>
    </cfRule>
  </conditionalFormatting>
  <conditionalFormatting sqref="K49:L50">
    <cfRule type="expression" dxfId="5799" priority="82">
      <formula>K$9&gt;=20/24</formula>
    </cfRule>
    <cfRule type="expression" dxfId="5798" priority="83">
      <formula>AND(K$9&gt;=14/24,K$9&lt;20/24)</formula>
    </cfRule>
    <cfRule type="expression" dxfId="5797" priority="84">
      <formula>AND(K$9&gt;=8/24,K$9&lt;14/24)</formula>
    </cfRule>
    <cfRule type="expression" dxfId="5796" priority="85">
      <formula>K$9&lt;8/24</formula>
    </cfRule>
  </conditionalFormatting>
  <conditionalFormatting sqref="K49:L50">
    <cfRule type="expression" dxfId="5795" priority="81">
      <formula>K49&gt;$AG49</formula>
    </cfRule>
  </conditionalFormatting>
  <conditionalFormatting sqref="B94:B100 B82:AF82 B11:E11 B74:AF74">
    <cfRule type="expression" dxfId="5794" priority="68">
      <formula>B$9&gt;=20/24</formula>
    </cfRule>
    <cfRule type="expression" dxfId="5793" priority="69">
      <formula>AND(B$9&gt;=14/24,B$9&lt;20/24)</formula>
    </cfRule>
    <cfRule type="expression" dxfId="5792" priority="70">
      <formula>AND(B$9&gt;=8/24,B$9&lt;14/24)</formula>
    </cfRule>
    <cfRule type="expression" dxfId="5791" priority="71">
      <formula>B$9&lt;8/24</formula>
    </cfRule>
  </conditionalFormatting>
  <conditionalFormatting sqref="B37">
    <cfRule type="expression" dxfId="5790" priority="64">
      <formula>B$9&gt;=20/24</formula>
    </cfRule>
    <cfRule type="expression" dxfId="5789" priority="65">
      <formula>AND(B$9&gt;=14/24,B$9&lt;20/24)</formula>
    </cfRule>
    <cfRule type="expression" dxfId="5788" priority="66">
      <formula>AND(B$9&gt;=8/24,B$9&lt;14/24)</formula>
    </cfRule>
    <cfRule type="expression" dxfId="5787" priority="67">
      <formula>B$9&lt;8/24</formula>
    </cfRule>
  </conditionalFormatting>
  <conditionalFormatting sqref="B37 B11:E11">
    <cfRule type="expression" dxfId="5786" priority="63">
      <formula>B11&gt;$AG11</formula>
    </cfRule>
  </conditionalFormatting>
  <conditionalFormatting sqref="B84">
    <cfRule type="expression" dxfId="5785" priority="59">
      <formula>B$9&gt;=20/24</formula>
    </cfRule>
    <cfRule type="expression" dxfId="5784" priority="60">
      <formula>AND(B$9&gt;=14/24,B$9&lt;20/24)</formula>
    </cfRule>
    <cfRule type="expression" dxfId="5783" priority="61">
      <formula>AND(B$9&gt;=8/24,B$9&lt;14/24)</formula>
    </cfRule>
    <cfRule type="expression" dxfId="5782" priority="62">
      <formula>B$9&lt;8/24</formula>
    </cfRule>
  </conditionalFormatting>
  <conditionalFormatting sqref="B57 B40:E41 B36:AF36">
    <cfRule type="expression" dxfId="5781" priority="55">
      <formula>B$9&gt;=20/24</formula>
    </cfRule>
    <cfRule type="expression" dxfId="5780" priority="56">
      <formula>AND(B$9&gt;=14/24,B$9&lt;20/24)</formula>
    </cfRule>
    <cfRule type="expression" dxfId="5779" priority="57">
      <formula>AND(B$9&gt;=8/24,B$9&lt;14/24)</formula>
    </cfRule>
    <cfRule type="expression" dxfId="5778" priority="58">
      <formula>B$9&lt;8/24</formula>
    </cfRule>
  </conditionalFormatting>
  <conditionalFormatting sqref="B39:E39">
    <cfRule type="expression" dxfId="5777" priority="51">
      <formula>B$9&gt;=20/24</formula>
    </cfRule>
    <cfRule type="expression" dxfId="5776" priority="52">
      <formula>AND(B$9&gt;=14/24,B$9&lt;20/24)</formula>
    </cfRule>
    <cfRule type="expression" dxfId="5775" priority="53">
      <formula>AND(B$9&gt;=8/24,B$9&lt;14/24)</formula>
    </cfRule>
    <cfRule type="expression" dxfId="5774" priority="54">
      <formula>B$9&lt;8/24</formula>
    </cfRule>
  </conditionalFormatting>
  <conditionalFormatting sqref="B39:E41 B36:AF36">
    <cfRule type="expression" dxfId="5773" priority="50">
      <formula>B36&gt;$AG36</formula>
    </cfRule>
  </conditionalFormatting>
  <conditionalFormatting sqref="B85:B91 B53:B56 B58:B67 B69:B73 B75:AF75 C73:AF73 B81 B83:AF83 B13:L14 B12:AA12 B16:AA16 B24:AF26 B28:AF31 B18:AF22">
    <cfRule type="expression" dxfId="5772" priority="46">
      <formula>B$9&gt;=20/24</formula>
    </cfRule>
    <cfRule type="expression" dxfId="5771" priority="47">
      <formula>AND(B$9&gt;=14/24,B$9&lt;20/24)</formula>
    </cfRule>
    <cfRule type="expression" dxfId="5770" priority="48">
      <formula>AND(B$9&gt;=8/24,B$9&lt;14/24)</formula>
    </cfRule>
    <cfRule type="expression" dxfId="5769" priority="49">
      <formula>B$9&lt;8/24</formula>
    </cfRule>
  </conditionalFormatting>
  <conditionalFormatting sqref="B32:V32">
    <cfRule type="expression" dxfId="5768" priority="42">
      <formula>B$9&gt;=20/24</formula>
    </cfRule>
    <cfRule type="expression" dxfId="5767" priority="43">
      <formula>AND(B$9&gt;=14/24,B$9&lt;20/24)</formula>
    </cfRule>
    <cfRule type="expression" dxfId="5766" priority="44">
      <formula>AND(B$9&gt;=8/24,B$9&lt;14/24)</formula>
    </cfRule>
    <cfRule type="expression" dxfId="5765" priority="45">
      <formula>B$9&lt;8/24</formula>
    </cfRule>
  </conditionalFormatting>
  <conditionalFormatting sqref="B35:AF35">
    <cfRule type="expression" dxfId="5764" priority="38">
      <formula>B$9&gt;=20/24</formula>
    </cfRule>
    <cfRule type="expression" dxfId="5763" priority="39">
      <formula>AND(B$9&gt;=14/24,B$9&lt;20/24)</formula>
    </cfRule>
    <cfRule type="expression" dxfId="5762" priority="40">
      <formula>AND(B$9&gt;=8/24,B$9&lt;14/24)</formula>
    </cfRule>
    <cfRule type="expression" dxfId="5761" priority="41">
      <formula>B$9&lt;8/24</formula>
    </cfRule>
  </conditionalFormatting>
  <conditionalFormatting sqref="B51:B56 B38:AF38 C52:AF52 B42:L43 B13:L14 B12:AA12 B15:AA16 V27:AA27 B34:AF35 W24:AF31 C31:AF31 B24:V32 B18:AF22">
    <cfRule type="expression" dxfId="5760" priority="37">
      <formula>B12&gt;$AG12</formula>
    </cfRule>
  </conditionalFormatting>
  <conditionalFormatting sqref="B34:AF34">
    <cfRule type="expression" dxfId="5759" priority="33">
      <formula>B$9&gt;=20/24</formula>
    </cfRule>
    <cfRule type="expression" dxfId="5758" priority="34">
      <formula>AND(B$9&gt;=14/24,B$9&lt;20/24)</formula>
    </cfRule>
    <cfRule type="expression" dxfId="5757" priority="35">
      <formula>AND(B$9&gt;=8/24,B$9&lt;14/24)</formula>
    </cfRule>
    <cfRule type="expression" dxfId="5756" priority="36">
      <formula>B$9&lt;8/24</formula>
    </cfRule>
  </conditionalFormatting>
  <conditionalFormatting sqref="B15:AA15">
    <cfRule type="expression" dxfId="5755" priority="29">
      <formula>B$9&gt;=20/24</formula>
    </cfRule>
    <cfRule type="expression" dxfId="5754" priority="30">
      <formula>AND(B$9&gt;=14/24,B$9&lt;20/24)</formula>
    </cfRule>
    <cfRule type="expression" dxfId="5753" priority="31">
      <formula>AND(B$9&gt;=8/24,B$9&lt;14/24)</formula>
    </cfRule>
    <cfRule type="expression" dxfId="5752" priority="32">
      <formula>B$9&lt;8/24</formula>
    </cfRule>
  </conditionalFormatting>
  <conditionalFormatting sqref="B33:AF33">
    <cfRule type="expression" dxfId="5751" priority="25">
      <formula>B$9&gt;=20/24</formula>
    </cfRule>
    <cfRule type="expression" dxfId="5750" priority="26">
      <formula>AND(B$9&gt;=14/24,B$9&lt;20/24)</formula>
    </cfRule>
    <cfRule type="expression" dxfId="5749" priority="27">
      <formula>AND(B$9&gt;=8/24,B$9&lt;14/24)</formula>
    </cfRule>
    <cfRule type="expression" dxfId="5748" priority="28">
      <formula>B$9&lt;8/24</formula>
    </cfRule>
  </conditionalFormatting>
  <conditionalFormatting sqref="B33:AF33">
    <cfRule type="expression" dxfId="5747" priority="24">
      <formula>B33&gt;$AG33</formula>
    </cfRule>
  </conditionalFormatting>
  <conditionalFormatting sqref="B44:J50 K44:L48">
    <cfRule type="expression" dxfId="5746" priority="20">
      <formula>B$9&gt;=20/24</formula>
    </cfRule>
    <cfRule type="expression" dxfId="5745" priority="21">
      <formula>AND(B$9&gt;=14/24,B$9&lt;20/24)</formula>
    </cfRule>
    <cfRule type="expression" dxfId="5744" priority="22">
      <formula>AND(B$9&gt;=8/24,B$9&lt;14/24)</formula>
    </cfRule>
    <cfRule type="expression" dxfId="5743" priority="23">
      <formula>B$9&lt;8/24</formula>
    </cfRule>
  </conditionalFormatting>
  <conditionalFormatting sqref="B44:J50 K44:L48">
    <cfRule type="expression" dxfId="5742" priority="19">
      <formula>B44&gt;$AG44</formula>
    </cfRule>
  </conditionalFormatting>
  <conditionalFormatting sqref="B27:AF27">
    <cfRule type="expression" dxfId="5741" priority="15">
      <formula>B$9&gt;=20/24</formula>
    </cfRule>
    <cfRule type="expression" dxfId="5740" priority="16">
      <formula>AND(B$9&gt;=14/24,B$9&lt;20/24)</formula>
    </cfRule>
    <cfRule type="expression" dxfId="5739" priority="17">
      <formula>AND(B$9&gt;=8/24,B$9&lt;14/24)</formula>
    </cfRule>
    <cfRule type="expression" dxfId="5738" priority="18">
      <formula>B$9&lt;8/24</formula>
    </cfRule>
  </conditionalFormatting>
  <conditionalFormatting sqref="B17:AF17 B23:AF23">
    <cfRule type="expression" dxfId="5737" priority="11">
      <formula>B$9&gt;=20/24</formula>
    </cfRule>
    <cfRule type="expression" dxfId="5736" priority="12">
      <formula>AND(B$9&gt;=14/24,B$9&lt;20/24)</formula>
    </cfRule>
    <cfRule type="expression" dxfId="5735" priority="13">
      <formula>AND(B$9&gt;=8/24,B$9&lt;14/24)</formula>
    </cfRule>
    <cfRule type="expression" dxfId="5734" priority="14">
      <formula>B$9&lt;8/24</formula>
    </cfRule>
  </conditionalFormatting>
  <conditionalFormatting sqref="B17:AF17 B23:AF23">
    <cfRule type="expression" dxfId="5733" priority="10">
      <formula>B17&gt;$AG17</formula>
    </cfRule>
  </conditionalFormatting>
  <conditionalFormatting sqref="A33">
    <cfRule type="expression" dxfId="5732" priority="9">
      <formula>$AH33=0</formula>
    </cfRule>
  </conditionalFormatting>
  <conditionalFormatting sqref="B68:AF68">
    <cfRule type="expression" dxfId="5731" priority="5">
      <formula>B$9&gt;=20/24</formula>
    </cfRule>
    <cfRule type="expression" dxfId="5730" priority="6">
      <formula>AND(B$9&gt;=14/24,B$9&lt;20/24)</formula>
    </cfRule>
    <cfRule type="expression" dxfId="5729" priority="7">
      <formula>AND(B$9&gt;=8/24,B$9&lt;14/24)</formula>
    </cfRule>
    <cfRule type="expression" dxfId="5728" priority="8">
      <formula>B$9&lt;8/24</formula>
    </cfRule>
  </conditionalFormatting>
  <conditionalFormatting sqref="B76:AF80">
    <cfRule type="expression" dxfId="5727" priority="1">
      <formula>B$9&gt;=20/24</formula>
    </cfRule>
    <cfRule type="expression" dxfId="5726" priority="2">
      <formula>AND(B$9&gt;=14/24,B$9&lt;20/24)</formula>
    </cfRule>
    <cfRule type="expression" dxfId="5725" priority="3">
      <formula>AND(B$9&gt;=8/24,B$9&lt;14/24)</formula>
    </cfRule>
    <cfRule type="expression" dxfId="5724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K62" sqref="K6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2079/02/6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109.9</v>
      </c>
      <c r="C5" s="32">
        <f t="shared" si="0"/>
        <v>113.3</v>
      </c>
      <c r="D5" s="32">
        <f t="shared" si="0"/>
        <v>105.6</v>
      </c>
      <c r="E5" s="32">
        <f t="shared" si="0"/>
        <v>82.5</v>
      </c>
      <c r="F5" s="32">
        <f t="shared" si="0"/>
        <v>82.5</v>
      </c>
      <c r="G5" s="32">
        <f t="shared" si="0"/>
        <v>76.599999999999994</v>
      </c>
      <c r="H5" s="32">
        <f t="shared" si="0"/>
        <v>71.7</v>
      </c>
      <c r="I5" s="32">
        <f t="shared" si="0"/>
        <v>71</v>
      </c>
      <c r="J5" s="32">
        <f t="shared" si="0"/>
        <v>45.3</v>
      </c>
      <c r="K5" s="32">
        <f t="shared" si="0"/>
        <v>53</v>
      </c>
      <c r="L5" s="32">
        <f t="shared" si="0"/>
        <v>49.2</v>
      </c>
      <c r="M5" s="32">
        <f t="shared" si="0"/>
        <v>71.599999999999994</v>
      </c>
      <c r="N5" s="32">
        <f t="shared" si="0"/>
        <v>81.5</v>
      </c>
      <c r="O5" s="32">
        <f t="shared" si="0"/>
        <v>82.2</v>
      </c>
      <c r="P5" s="32">
        <f t="shared" si="0"/>
        <v>72.400000000000006</v>
      </c>
      <c r="Q5" s="32">
        <f t="shared" si="0"/>
        <v>69.7</v>
      </c>
      <c r="R5" s="32">
        <f t="shared" si="0"/>
        <v>67</v>
      </c>
      <c r="S5" s="32">
        <f t="shared" si="0"/>
        <v>70.599999999999994</v>
      </c>
      <c r="T5" s="32">
        <f t="shared" si="0"/>
        <v>62.5</v>
      </c>
      <c r="U5" s="32">
        <f t="shared" si="0"/>
        <v>59.7</v>
      </c>
      <c r="V5" s="32">
        <f t="shared" si="0"/>
        <v>66.2</v>
      </c>
      <c r="W5" s="32">
        <f t="shared" si="0"/>
        <v>55</v>
      </c>
      <c r="X5" s="32">
        <f t="shared" si="0"/>
        <v>61.1</v>
      </c>
      <c r="Y5" s="32">
        <f t="shared" si="0"/>
        <v>54.3</v>
      </c>
      <c r="Z5" s="32">
        <f t="shared" si="0"/>
        <v>67.3</v>
      </c>
      <c r="AA5" s="32">
        <f t="shared" si="0"/>
        <v>65</v>
      </c>
      <c r="AB5" s="32">
        <f t="shared" si="0"/>
        <v>68.099999999999994</v>
      </c>
      <c r="AC5" s="32">
        <f t="shared" si="0"/>
        <v>74.2</v>
      </c>
      <c r="AD5" s="32">
        <f t="shared" si="0"/>
        <v>83.2</v>
      </c>
      <c r="AE5" s="32">
        <f t="shared" si="0"/>
        <v>81.8</v>
      </c>
      <c r="AF5" s="32">
        <f>B68</f>
        <v>107.9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1679MW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Load=1561</v>
      </c>
      <c r="B7" s="37">
        <f>B75</f>
        <v>1672.74</v>
      </c>
      <c r="C7" s="37">
        <f t="shared" ref="C7:AF7" si="1">C75</f>
        <v>1715.14</v>
      </c>
      <c r="D7" s="37">
        <f t="shared" si="1"/>
        <v>1733.94</v>
      </c>
      <c r="E7" s="37">
        <f t="shared" si="1"/>
        <v>1702.04</v>
      </c>
      <c r="F7" s="37">
        <f t="shared" si="1"/>
        <v>1678.94</v>
      </c>
      <c r="G7" s="37">
        <f t="shared" si="1"/>
        <v>1677.04</v>
      </c>
      <c r="H7" s="37">
        <f t="shared" si="1"/>
        <v>1641.1399999999999</v>
      </c>
      <c r="I7" s="37">
        <f t="shared" si="1"/>
        <v>1630.1399999999999</v>
      </c>
      <c r="J7" s="37">
        <f t="shared" si="1"/>
        <v>1584.2400000000002</v>
      </c>
      <c r="K7" s="37">
        <f t="shared" si="1"/>
        <v>1644.5400000000002</v>
      </c>
      <c r="L7" s="37">
        <f t="shared" si="1"/>
        <v>1657.2400000000002</v>
      </c>
      <c r="M7" s="37">
        <f t="shared" si="1"/>
        <v>1679.4400000000003</v>
      </c>
      <c r="N7" s="37">
        <f t="shared" si="1"/>
        <v>1674.7399999999998</v>
      </c>
      <c r="O7" s="37">
        <f t="shared" si="1"/>
        <v>1675.74</v>
      </c>
      <c r="P7" s="37">
        <f t="shared" si="1"/>
        <v>1673.64</v>
      </c>
      <c r="Q7" s="37">
        <f t="shared" si="1"/>
        <v>1667.44</v>
      </c>
      <c r="R7" s="37">
        <f t="shared" si="1"/>
        <v>1714.64</v>
      </c>
      <c r="S7" s="37">
        <f t="shared" si="1"/>
        <v>1712.74</v>
      </c>
      <c r="T7" s="37">
        <f t="shared" si="1"/>
        <v>1717.3399999999997</v>
      </c>
      <c r="U7" s="37">
        <f t="shared" si="1"/>
        <v>1711.6399999999999</v>
      </c>
      <c r="V7" s="37">
        <f t="shared" si="1"/>
        <v>1707.24</v>
      </c>
      <c r="W7" s="37">
        <f t="shared" si="1"/>
        <v>1638.1399999999999</v>
      </c>
      <c r="X7" s="37">
        <f t="shared" si="1"/>
        <v>1560.6399999999999</v>
      </c>
      <c r="Y7" s="37">
        <f t="shared" si="1"/>
        <v>1592.1399999999999</v>
      </c>
      <c r="Z7" s="37">
        <f t="shared" si="1"/>
        <v>1624.1399999999999</v>
      </c>
      <c r="AA7" s="37">
        <f t="shared" si="1"/>
        <v>1713.1399999999999</v>
      </c>
      <c r="AB7" s="37">
        <f t="shared" si="1"/>
        <v>1712.94</v>
      </c>
      <c r="AC7" s="37">
        <f t="shared" si="1"/>
        <v>1690.04</v>
      </c>
      <c r="AD7" s="37">
        <f t="shared" si="1"/>
        <v>1665.34</v>
      </c>
      <c r="AE7" s="37">
        <f t="shared" si="1"/>
        <v>1649.34</v>
      </c>
      <c r="AF7" s="37">
        <f t="shared" si="1"/>
        <v>1607.9399999999998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3">
        <v>400</v>
      </c>
      <c r="C11" s="53">
        <v>456</v>
      </c>
      <c r="D11" s="53">
        <v>436</v>
      </c>
      <c r="E11" s="51">
        <v>430</v>
      </c>
      <c r="F11" s="51">
        <v>430</v>
      </c>
      <c r="G11" s="51">
        <v>430</v>
      </c>
      <c r="H11" s="51">
        <v>400</v>
      </c>
      <c r="I11" s="51">
        <v>420</v>
      </c>
      <c r="J11" s="51">
        <v>370</v>
      </c>
      <c r="K11" s="52">
        <v>456</v>
      </c>
      <c r="L11" s="52">
        <v>456</v>
      </c>
      <c r="M11" s="52">
        <v>456</v>
      </c>
      <c r="N11" s="52">
        <v>420</v>
      </c>
      <c r="O11" s="51">
        <v>405</v>
      </c>
      <c r="P11" s="51">
        <v>405</v>
      </c>
      <c r="Q11" s="51">
        <v>410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3">
        <v>380</v>
      </c>
      <c r="X11" s="53">
        <v>314</v>
      </c>
      <c r="Y11" s="53">
        <v>340</v>
      </c>
      <c r="Z11" s="53">
        <v>380</v>
      </c>
      <c r="AA11" s="53">
        <v>456</v>
      </c>
      <c r="AB11" s="53">
        <v>456</v>
      </c>
      <c r="AC11" s="53">
        <v>430</v>
      </c>
      <c r="AD11" s="53">
        <v>400</v>
      </c>
      <c r="AE11" s="53">
        <v>380</v>
      </c>
      <c r="AF11" s="53">
        <v>340</v>
      </c>
      <c r="AG11" s="54">
        <v>456</v>
      </c>
      <c r="AH11" s="55">
        <f>MAX(B11:AF11)</f>
        <v>456</v>
      </c>
      <c r="AI11" s="56">
        <f>MIN(B11:AF11)</f>
        <v>314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</v>
      </c>
      <c r="C13" s="51">
        <v>53.9</v>
      </c>
      <c r="D13" s="51">
        <v>53.9</v>
      </c>
      <c r="E13" s="51">
        <v>53.9</v>
      </c>
      <c r="F13" s="51">
        <v>53.9</v>
      </c>
      <c r="G13" s="51">
        <v>53.9</v>
      </c>
      <c r="H13" s="51">
        <v>53.9</v>
      </c>
      <c r="I13" s="51">
        <v>53.9</v>
      </c>
      <c r="J13" s="51">
        <v>53.9</v>
      </c>
      <c r="K13" s="51">
        <v>53.9</v>
      </c>
      <c r="L13" s="51">
        <v>53.9</v>
      </c>
      <c r="M13" s="51">
        <v>53.9</v>
      </c>
      <c r="N13" s="51">
        <v>53.7</v>
      </c>
      <c r="O13" s="51">
        <v>53.7</v>
      </c>
      <c r="P13" s="51">
        <v>53.7</v>
      </c>
      <c r="Q13" s="51">
        <v>53.7</v>
      </c>
      <c r="R13" s="51">
        <v>53.7</v>
      </c>
      <c r="S13" s="51">
        <v>53.7</v>
      </c>
      <c r="T13" s="51">
        <v>53.7</v>
      </c>
      <c r="U13" s="51">
        <v>53.7</v>
      </c>
      <c r="V13" s="51">
        <v>53.7</v>
      </c>
      <c r="W13" s="51">
        <v>53.7</v>
      </c>
      <c r="X13" s="51">
        <v>53.7</v>
      </c>
      <c r="Y13" s="51">
        <v>53.7</v>
      </c>
      <c r="Z13" s="51">
        <v>53.7</v>
      </c>
      <c r="AA13" s="51">
        <v>53.7</v>
      </c>
      <c r="AB13" s="51">
        <v>53.7</v>
      </c>
      <c r="AC13" s="51">
        <v>53.7</v>
      </c>
      <c r="AD13" s="51">
        <v>53.7</v>
      </c>
      <c r="AE13" s="51">
        <v>53.7</v>
      </c>
      <c r="AF13" s="51">
        <v>53.7</v>
      </c>
      <c r="AG13" s="59">
        <v>52.4</v>
      </c>
      <c r="AH13" s="55">
        <f t="shared" si="2"/>
        <v>54</v>
      </c>
      <c r="AI13" s="56">
        <f t="shared" si="3"/>
        <v>53.7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50.4</v>
      </c>
      <c r="C14" s="51">
        <v>50</v>
      </c>
      <c r="D14" s="51">
        <v>49.8</v>
      </c>
      <c r="E14" s="51">
        <v>49.8</v>
      </c>
      <c r="F14" s="51">
        <v>49.8</v>
      </c>
      <c r="G14" s="51">
        <v>49.8</v>
      </c>
      <c r="H14" s="51">
        <v>49.8</v>
      </c>
      <c r="I14" s="51">
        <v>49.8</v>
      </c>
      <c r="J14" s="51">
        <v>49.8</v>
      </c>
      <c r="K14" s="51">
        <v>49.8</v>
      </c>
      <c r="L14" s="51">
        <v>49.8</v>
      </c>
      <c r="M14" s="51">
        <v>49.8</v>
      </c>
      <c r="N14" s="51">
        <v>49.8</v>
      </c>
      <c r="O14" s="51">
        <v>49.8</v>
      </c>
      <c r="P14" s="51">
        <v>49.8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50.3</v>
      </c>
      <c r="AA14" s="51">
        <v>50.3</v>
      </c>
      <c r="AB14" s="51">
        <v>50.3</v>
      </c>
      <c r="AC14" s="51">
        <v>50.3</v>
      </c>
      <c r="AD14" s="51">
        <v>50.3</v>
      </c>
      <c r="AE14" s="51">
        <v>50.3</v>
      </c>
      <c r="AF14" s="51">
        <v>50.3</v>
      </c>
      <c r="AG14" s="59">
        <v>50</v>
      </c>
      <c r="AH14" s="55">
        <f t="shared" si="2"/>
        <v>50.4</v>
      </c>
      <c r="AI14" s="56">
        <f t="shared" si="3"/>
        <v>49.8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45.4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>
        <v>45.3</v>
      </c>
      <c r="O15" s="51">
        <v>45.3</v>
      </c>
      <c r="P15" s="51">
        <v>45.7</v>
      </c>
      <c r="Q15" s="51">
        <v>45.5</v>
      </c>
      <c r="R15" s="51">
        <v>45.5</v>
      </c>
      <c r="S15" s="51">
        <v>45.5</v>
      </c>
      <c r="T15" s="51">
        <v>45.5</v>
      </c>
      <c r="U15" s="51">
        <v>45.5</v>
      </c>
      <c r="V15" s="51">
        <v>45.5</v>
      </c>
      <c r="W15" s="51">
        <v>45.5</v>
      </c>
      <c r="X15" s="51">
        <v>45.5</v>
      </c>
      <c r="Y15" s="51">
        <v>45.5</v>
      </c>
      <c r="Z15" s="51">
        <v>45.5</v>
      </c>
      <c r="AA15" s="51">
        <v>45.5</v>
      </c>
      <c r="AB15" s="51">
        <v>45.5</v>
      </c>
      <c r="AC15" s="51">
        <v>45.5</v>
      </c>
      <c r="AD15" s="51">
        <v>45.5</v>
      </c>
      <c r="AE15" s="51">
        <v>45.5</v>
      </c>
      <c r="AF15" s="51">
        <v>45.5</v>
      </c>
      <c r="AG15" s="60">
        <v>45</v>
      </c>
      <c r="AH15" s="55">
        <f t="shared" si="2"/>
        <v>45.7</v>
      </c>
      <c r="AI15" s="56">
        <f t="shared" si="3"/>
        <v>45.3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0</v>
      </c>
      <c r="D16" s="51">
        <v>40</v>
      </c>
      <c r="E16" s="51">
        <v>40</v>
      </c>
      <c r="F16" s="51">
        <v>40</v>
      </c>
      <c r="G16" s="51">
        <v>40</v>
      </c>
      <c r="H16" s="51">
        <v>40</v>
      </c>
      <c r="I16" s="51">
        <v>40</v>
      </c>
      <c r="J16" s="51">
        <v>40</v>
      </c>
      <c r="K16" s="51">
        <v>40</v>
      </c>
      <c r="L16" s="51">
        <v>40</v>
      </c>
      <c r="M16" s="51">
        <v>40</v>
      </c>
      <c r="N16" s="51">
        <v>40</v>
      </c>
      <c r="O16" s="51">
        <v>38</v>
      </c>
      <c r="P16" s="51">
        <v>38</v>
      </c>
      <c r="Q16" s="51">
        <v>38</v>
      </c>
      <c r="R16" s="51">
        <v>38</v>
      </c>
      <c r="S16" s="51">
        <v>38</v>
      </c>
      <c r="T16" s="51">
        <v>38</v>
      </c>
      <c r="U16" s="51">
        <v>38</v>
      </c>
      <c r="V16" s="51">
        <v>38</v>
      </c>
      <c r="W16" s="51">
        <v>38</v>
      </c>
      <c r="X16" s="51">
        <v>38</v>
      </c>
      <c r="Y16" s="51">
        <v>38</v>
      </c>
      <c r="Z16" s="51">
        <v>38</v>
      </c>
      <c r="AA16" s="51">
        <v>38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23</v>
      </c>
      <c r="C18" s="51">
        <v>23</v>
      </c>
      <c r="D18" s="51">
        <v>23</v>
      </c>
      <c r="E18" s="51">
        <v>23</v>
      </c>
      <c r="F18" s="51">
        <v>23</v>
      </c>
      <c r="G18" s="51">
        <v>23</v>
      </c>
      <c r="H18" s="51">
        <v>23</v>
      </c>
      <c r="I18" s="51">
        <v>23</v>
      </c>
      <c r="J18" s="51">
        <v>23</v>
      </c>
      <c r="K18" s="51">
        <v>23</v>
      </c>
      <c r="L18" s="51">
        <v>23</v>
      </c>
      <c r="M18" s="51">
        <v>23</v>
      </c>
      <c r="N18" s="51">
        <v>23</v>
      </c>
      <c r="O18" s="51">
        <v>23</v>
      </c>
      <c r="P18" s="51">
        <v>23</v>
      </c>
      <c r="Q18" s="51">
        <v>23</v>
      </c>
      <c r="R18" s="51">
        <v>23</v>
      </c>
      <c r="S18" s="51">
        <v>23</v>
      </c>
      <c r="T18" s="51">
        <v>23</v>
      </c>
      <c r="U18" s="51">
        <v>23</v>
      </c>
      <c r="V18" s="51">
        <v>23</v>
      </c>
      <c r="W18" s="51">
        <v>23</v>
      </c>
      <c r="X18" s="51">
        <v>23</v>
      </c>
      <c r="Y18" s="51">
        <v>23</v>
      </c>
      <c r="Z18" s="51">
        <v>23</v>
      </c>
      <c r="AA18" s="51">
        <v>23</v>
      </c>
      <c r="AB18" s="51">
        <v>23</v>
      </c>
      <c r="AC18" s="51">
        <v>23</v>
      </c>
      <c r="AD18" s="51">
        <v>23</v>
      </c>
      <c r="AE18" s="51">
        <v>23</v>
      </c>
      <c r="AF18" s="51">
        <v>23</v>
      </c>
      <c r="AG18" s="59">
        <v>36</v>
      </c>
      <c r="AH18" s="55">
        <f t="shared" si="2"/>
        <v>23</v>
      </c>
      <c r="AI18" s="56">
        <f t="shared" si="3"/>
        <v>23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0</v>
      </c>
      <c r="C19" s="51">
        <v>26.1</v>
      </c>
      <c r="D19" s="51">
        <v>26.1</v>
      </c>
      <c r="E19" s="51">
        <v>26.1</v>
      </c>
      <c r="F19" s="51">
        <v>26.1</v>
      </c>
      <c r="G19" s="51">
        <v>26.1</v>
      </c>
      <c r="H19" s="51">
        <v>26.1</v>
      </c>
      <c r="I19" s="51">
        <v>0</v>
      </c>
      <c r="J19" s="51">
        <v>0</v>
      </c>
      <c r="K19" s="51">
        <v>0</v>
      </c>
      <c r="L19" s="51">
        <v>0</v>
      </c>
      <c r="M19" s="51">
        <v>26</v>
      </c>
      <c r="N19" s="51">
        <v>26</v>
      </c>
      <c r="O19" s="51">
        <v>26</v>
      </c>
      <c r="P19" s="51">
        <v>25.3</v>
      </c>
      <c r="Q19" s="51">
        <v>26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>
        <v>26</v>
      </c>
      <c r="Z19" s="51">
        <v>26</v>
      </c>
      <c r="AA19" s="51">
        <v>26</v>
      </c>
      <c r="AB19" s="51">
        <v>26</v>
      </c>
      <c r="AC19" s="51">
        <v>26</v>
      </c>
      <c r="AD19" s="51">
        <v>26</v>
      </c>
      <c r="AE19" s="51">
        <v>26</v>
      </c>
      <c r="AF19" s="51">
        <v>26</v>
      </c>
      <c r="AG19" s="59">
        <v>30</v>
      </c>
      <c r="AH19" s="55">
        <f t="shared" si="2"/>
        <v>26.1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5</v>
      </c>
      <c r="C20" s="51">
        <v>5</v>
      </c>
      <c r="D20" s="51">
        <v>5</v>
      </c>
      <c r="E20" s="51">
        <v>5</v>
      </c>
      <c r="F20" s="51">
        <v>5</v>
      </c>
      <c r="G20" s="51">
        <v>5</v>
      </c>
      <c r="H20" s="51">
        <v>5</v>
      </c>
      <c r="I20" s="51">
        <v>5</v>
      </c>
      <c r="J20" s="51">
        <v>5</v>
      </c>
      <c r="K20" s="51">
        <v>5</v>
      </c>
      <c r="L20" s="51">
        <v>5</v>
      </c>
      <c r="M20" s="51">
        <v>5</v>
      </c>
      <c r="N20" s="51">
        <v>5</v>
      </c>
      <c r="O20" s="51">
        <v>5</v>
      </c>
      <c r="P20" s="51">
        <v>5</v>
      </c>
      <c r="Q20" s="51">
        <v>5</v>
      </c>
      <c r="R20" s="51">
        <v>5</v>
      </c>
      <c r="S20" s="51">
        <v>5</v>
      </c>
      <c r="T20" s="51">
        <v>5</v>
      </c>
      <c r="U20" s="51">
        <v>5</v>
      </c>
      <c r="V20" s="51">
        <v>5</v>
      </c>
      <c r="W20" s="51">
        <v>5</v>
      </c>
      <c r="X20" s="51">
        <v>5</v>
      </c>
      <c r="Y20" s="51">
        <v>5</v>
      </c>
      <c r="Z20" s="51">
        <v>5</v>
      </c>
      <c r="AA20" s="51">
        <v>5</v>
      </c>
      <c r="AB20" s="51">
        <v>5</v>
      </c>
      <c r="AC20" s="51">
        <v>5</v>
      </c>
      <c r="AD20" s="51">
        <v>5</v>
      </c>
      <c r="AE20" s="51">
        <v>5</v>
      </c>
      <c r="AF20" s="51">
        <v>5</v>
      </c>
      <c r="AG20" s="59">
        <v>27</v>
      </c>
      <c r="AH20" s="55">
        <f t="shared" si="2"/>
        <v>5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12</v>
      </c>
      <c r="C21" s="51">
        <v>12</v>
      </c>
      <c r="D21" s="51">
        <v>12</v>
      </c>
      <c r="E21" s="51">
        <v>12</v>
      </c>
      <c r="F21" s="51">
        <v>12</v>
      </c>
      <c r="G21" s="51">
        <v>12</v>
      </c>
      <c r="H21" s="51">
        <v>12</v>
      </c>
      <c r="I21" s="51">
        <v>12</v>
      </c>
      <c r="J21" s="51">
        <v>12</v>
      </c>
      <c r="K21" s="51">
        <v>12</v>
      </c>
      <c r="L21" s="51">
        <v>12</v>
      </c>
      <c r="M21" s="51">
        <v>12</v>
      </c>
      <c r="N21" s="51">
        <v>12</v>
      </c>
      <c r="O21" s="51">
        <v>12</v>
      </c>
      <c r="P21" s="51">
        <v>12</v>
      </c>
      <c r="Q21" s="51">
        <v>12</v>
      </c>
      <c r="R21" s="51">
        <v>12</v>
      </c>
      <c r="S21" s="51">
        <v>12</v>
      </c>
      <c r="T21" s="51">
        <v>12</v>
      </c>
      <c r="U21" s="51">
        <v>12</v>
      </c>
      <c r="V21" s="51">
        <v>12</v>
      </c>
      <c r="W21" s="51">
        <v>12</v>
      </c>
      <c r="X21" s="51">
        <v>12</v>
      </c>
      <c r="Y21" s="51">
        <v>12</v>
      </c>
      <c r="Z21" s="51">
        <v>12</v>
      </c>
      <c r="AA21" s="51">
        <v>12</v>
      </c>
      <c r="AB21" s="51">
        <v>12</v>
      </c>
      <c r="AC21" s="51">
        <v>12</v>
      </c>
      <c r="AD21" s="51">
        <v>12</v>
      </c>
      <c r="AE21" s="51">
        <v>12</v>
      </c>
      <c r="AF21" s="51">
        <v>12</v>
      </c>
      <c r="AG21" s="59">
        <v>25</v>
      </c>
      <c r="AH21" s="55">
        <f t="shared" si="2"/>
        <v>12</v>
      </c>
      <c r="AI21" s="56">
        <f t="shared" si="3"/>
        <v>12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25.2</v>
      </c>
      <c r="K22" s="51">
        <v>25.2</v>
      </c>
      <c r="L22" s="51">
        <v>25.2</v>
      </c>
      <c r="M22" s="51">
        <v>25.2</v>
      </c>
      <c r="N22" s="51">
        <v>24.7</v>
      </c>
      <c r="O22" s="51">
        <v>24.7</v>
      </c>
      <c r="P22" s="51">
        <v>25.7</v>
      </c>
      <c r="Q22" s="51">
        <v>25.2</v>
      </c>
      <c r="R22" s="51">
        <v>25.2</v>
      </c>
      <c r="S22" s="51">
        <v>25.2</v>
      </c>
      <c r="T22" s="51">
        <v>25.2</v>
      </c>
      <c r="U22" s="51">
        <v>25.2</v>
      </c>
      <c r="V22" s="51">
        <v>25.2</v>
      </c>
      <c r="W22" s="51">
        <v>25.2</v>
      </c>
      <c r="X22" s="51">
        <v>25.2</v>
      </c>
      <c r="Y22" s="51">
        <v>25.2</v>
      </c>
      <c r="Z22" s="51">
        <v>25.2</v>
      </c>
      <c r="AA22" s="51">
        <v>25.2</v>
      </c>
      <c r="AB22" s="51">
        <v>25.2</v>
      </c>
      <c r="AC22" s="51">
        <v>25.2</v>
      </c>
      <c r="AD22" s="51">
        <v>25.2</v>
      </c>
      <c r="AE22" s="51">
        <v>25.2</v>
      </c>
      <c r="AF22" s="51">
        <v>25.2</v>
      </c>
      <c r="AG22" s="59">
        <v>25</v>
      </c>
      <c r="AH22" s="55">
        <f t="shared" si="2"/>
        <v>25.7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5</v>
      </c>
      <c r="D26" s="51">
        <v>5</v>
      </c>
      <c r="E26" s="51">
        <v>5</v>
      </c>
      <c r="F26" s="51">
        <v>5</v>
      </c>
      <c r="G26" s="51">
        <v>5</v>
      </c>
      <c r="H26" s="51">
        <v>5</v>
      </c>
      <c r="I26" s="51">
        <v>5</v>
      </c>
      <c r="J26" s="51">
        <v>5</v>
      </c>
      <c r="K26" s="51">
        <v>5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5</v>
      </c>
      <c r="AF26" s="51">
        <v>5</v>
      </c>
      <c r="AG26" s="59">
        <v>20</v>
      </c>
      <c r="AH26" s="55">
        <f t="shared" si="2"/>
        <v>10</v>
      </c>
      <c r="AI26" s="56">
        <f t="shared" si="3"/>
        <v>5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>
        <v>14.9</v>
      </c>
      <c r="E27" s="51">
        <v>14.9</v>
      </c>
      <c r="F27" s="51">
        <v>14.9</v>
      </c>
      <c r="G27" s="51">
        <v>14.9</v>
      </c>
      <c r="H27" s="51">
        <v>14.9</v>
      </c>
      <c r="I27" s="51">
        <v>14.9</v>
      </c>
      <c r="J27" s="51">
        <v>14.9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14.9</v>
      </c>
      <c r="R27" s="51">
        <v>14.9</v>
      </c>
      <c r="S27" s="51">
        <v>14.9</v>
      </c>
      <c r="T27" s="51">
        <v>14.9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>
        <v>14.9</v>
      </c>
      <c r="AG27" s="59">
        <v>23.5</v>
      </c>
      <c r="AH27" s="55">
        <f t="shared" si="2"/>
        <v>14.9</v>
      </c>
      <c r="AI27" s="56">
        <f t="shared" si="3"/>
        <v>14.9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8</v>
      </c>
      <c r="C30" s="51">
        <v>8</v>
      </c>
      <c r="D30" s="51">
        <v>8</v>
      </c>
      <c r="E30" s="51">
        <v>8</v>
      </c>
      <c r="F30" s="51">
        <v>8</v>
      </c>
      <c r="G30" s="51">
        <v>8</v>
      </c>
      <c r="H30" s="51">
        <v>8</v>
      </c>
      <c r="I30" s="51">
        <v>8</v>
      </c>
      <c r="J30" s="51">
        <v>8</v>
      </c>
      <c r="K30" s="51">
        <v>8</v>
      </c>
      <c r="L30" s="51">
        <v>8</v>
      </c>
      <c r="M30" s="51">
        <v>8</v>
      </c>
      <c r="N30" s="51">
        <v>8</v>
      </c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51">
        <v>8</v>
      </c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8</v>
      </c>
      <c r="AB30" s="51">
        <v>8</v>
      </c>
      <c r="AC30" s="51">
        <v>8</v>
      </c>
      <c r="AD30" s="51">
        <v>8</v>
      </c>
      <c r="AE30" s="51">
        <v>8</v>
      </c>
      <c r="AF30" s="51">
        <v>8</v>
      </c>
      <c r="AG30" s="59">
        <v>22.1</v>
      </c>
      <c r="AH30" s="55">
        <f t="shared" si="2"/>
        <v>8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3.8</v>
      </c>
      <c r="C32" s="51">
        <v>3.8</v>
      </c>
      <c r="D32" s="51">
        <v>3.8</v>
      </c>
      <c r="E32" s="51">
        <v>3.8</v>
      </c>
      <c r="F32" s="51">
        <v>3.8</v>
      </c>
      <c r="G32" s="51">
        <v>3.8</v>
      </c>
      <c r="H32" s="51">
        <v>3.8</v>
      </c>
      <c r="I32" s="51">
        <v>3.8</v>
      </c>
      <c r="J32" s="51">
        <v>3.8</v>
      </c>
      <c r="K32" s="51">
        <v>3.8</v>
      </c>
      <c r="L32" s="51">
        <v>3.8</v>
      </c>
      <c r="M32" s="51">
        <v>3.8</v>
      </c>
      <c r="N32" s="51">
        <v>3.8</v>
      </c>
      <c r="O32" s="51">
        <v>3.8</v>
      </c>
      <c r="P32" s="51">
        <v>3.8</v>
      </c>
      <c r="Q32" s="51">
        <v>3.8</v>
      </c>
      <c r="R32" s="51">
        <v>3.8</v>
      </c>
      <c r="S32" s="51">
        <v>3.8</v>
      </c>
      <c r="T32" s="51">
        <v>3.8</v>
      </c>
      <c r="U32" s="51">
        <v>3.8</v>
      </c>
      <c r="V32" s="51">
        <v>3.8</v>
      </c>
      <c r="W32" s="51">
        <v>3.8</v>
      </c>
      <c r="X32" s="51">
        <v>3.8</v>
      </c>
      <c r="Y32" s="51">
        <v>3.8</v>
      </c>
      <c r="Z32" s="51">
        <v>3.8</v>
      </c>
      <c r="AA32" s="51">
        <v>3.8</v>
      </c>
      <c r="AB32" s="51">
        <v>3.8</v>
      </c>
      <c r="AC32" s="51">
        <v>3.8</v>
      </c>
      <c r="AD32" s="51">
        <v>3.8</v>
      </c>
      <c r="AE32" s="51">
        <v>3.8</v>
      </c>
      <c r="AF32" s="51">
        <v>3.8</v>
      </c>
      <c r="AG32" s="64">
        <v>22</v>
      </c>
      <c r="AH32" s="55">
        <f t="shared" si="2"/>
        <v>3.8</v>
      </c>
      <c r="AI32" s="56">
        <f t="shared" si="3"/>
        <v>3.8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8.4</v>
      </c>
      <c r="C34" s="51">
        <v>8.4</v>
      </c>
      <c r="D34" s="51">
        <v>8.4</v>
      </c>
      <c r="E34" s="51">
        <v>8.4</v>
      </c>
      <c r="F34" s="51">
        <v>8.4</v>
      </c>
      <c r="G34" s="51">
        <v>8.4</v>
      </c>
      <c r="H34" s="51">
        <v>8.4</v>
      </c>
      <c r="I34" s="51">
        <v>8.4</v>
      </c>
      <c r="J34" s="51">
        <v>8.4</v>
      </c>
      <c r="K34" s="51">
        <v>8.4</v>
      </c>
      <c r="L34" s="51">
        <v>8.4</v>
      </c>
      <c r="M34" s="51">
        <v>8.4</v>
      </c>
      <c r="N34" s="51">
        <v>8.4</v>
      </c>
      <c r="O34" s="51">
        <v>8.4</v>
      </c>
      <c r="P34" s="51">
        <v>8.4</v>
      </c>
      <c r="Q34" s="51">
        <v>8.4</v>
      </c>
      <c r="R34" s="51">
        <v>8.4</v>
      </c>
      <c r="S34" s="51">
        <v>8.4</v>
      </c>
      <c r="T34" s="51">
        <v>8.4</v>
      </c>
      <c r="U34" s="51">
        <v>8.4</v>
      </c>
      <c r="V34" s="51">
        <v>8.4</v>
      </c>
      <c r="W34" s="51">
        <v>8.4</v>
      </c>
      <c r="X34" s="51">
        <v>8.4</v>
      </c>
      <c r="Y34" s="51">
        <v>8.4</v>
      </c>
      <c r="Z34" s="51">
        <v>8.4</v>
      </c>
      <c r="AA34" s="51">
        <v>8.4</v>
      </c>
      <c r="AB34" s="51">
        <v>8.4</v>
      </c>
      <c r="AC34" s="51">
        <v>8.4</v>
      </c>
      <c r="AD34" s="51">
        <v>8.4</v>
      </c>
      <c r="AE34" s="51">
        <v>8.4</v>
      </c>
      <c r="AF34" s="51">
        <v>8.4</v>
      </c>
      <c r="AG34" s="64">
        <v>20</v>
      </c>
      <c r="AH34" s="55">
        <f t="shared" si="2"/>
        <v>8.4</v>
      </c>
      <c r="AI34" s="56">
        <f t="shared" si="3"/>
        <v>8.4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51">
        <v>4</v>
      </c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4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39.2+84.9</f>
        <v>124.10000000000001</v>
      </c>
      <c r="C37" s="68">
        <f>39.3+82.3</f>
        <v>121.6</v>
      </c>
      <c r="D37" s="68">
        <f>39.3+91.4</f>
        <v>130.69999999999999</v>
      </c>
      <c r="E37" s="66">
        <f>39.4+95</f>
        <v>134.4</v>
      </c>
      <c r="F37" s="66">
        <f>39.4+94.9</f>
        <v>134.30000000000001</v>
      </c>
      <c r="G37" s="66">
        <f>39.4+94</f>
        <v>133.4</v>
      </c>
      <c r="H37" s="66">
        <v>133</v>
      </c>
      <c r="I37" s="66">
        <f>38.8+93.4</f>
        <v>132.19999999999999</v>
      </c>
      <c r="J37" s="66">
        <f>38.9+93.3</f>
        <v>132.19999999999999</v>
      </c>
      <c r="K37" s="66">
        <v>132</v>
      </c>
      <c r="L37" s="66">
        <v>132.19999999999999</v>
      </c>
      <c r="M37" s="66">
        <f>38.7+94.2</f>
        <v>132.9</v>
      </c>
      <c r="N37" s="66">
        <f>91+39</f>
        <v>130</v>
      </c>
      <c r="O37" s="66">
        <f>93.2+38.9</f>
        <v>132.1</v>
      </c>
      <c r="P37" s="66">
        <f>93.2+39.7</f>
        <v>132.9</v>
      </c>
      <c r="Q37" s="66">
        <f>91.8+37</f>
        <v>128.80000000000001</v>
      </c>
      <c r="R37" s="66">
        <f>94.3+38.2</f>
        <v>132.5</v>
      </c>
      <c r="S37" s="66">
        <f>38.9+93.6</f>
        <v>132.5</v>
      </c>
      <c r="T37" s="66">
        <f>37.8+90.9</f>
        <v>128.69999999999999</v>
      </c>
      <c r="U37" s="66">
        <f>16.2+94</f>
        <v>110.2</v>
      </c>
      <c r="V37" s="66">
        <f>38.9+94.4</f>
        <v>133.30000000000001</v>
      </c>
      <c r="W37" s="66">
        <f>39.3+93.6</f>
        <v>132.89999999999998</v>
      </c>
      <c r="X37" s="66">
        <f>39.1+93.7</f>
        <v>132.80000000000001</v>
      </c>
      <c r="Y37" s="66">
        <f>38.7+92.8</f>
        <v>131.5</v>
      </c>
      <c r="Z37" s="66">
        <f>38.2+91.9</f>
        <v>130.10000000000002</v>
      </c>
      <c r="AA37" s="66">
        <f>37.8+91.4</f>
        <v>129.19999999999999</v>
      </c>
      <c r="AB37" s="68">
        <f>37.8+92.2</f>
        <v>130</v>
      </c>
      <c r="AC37" s="68">
        <f>37.8+92.2</f>
        <v>130</v>
      </c>
      <c r="AD37" s="68">
        <f>37.9+93.1</f>
        <v>131</v>
      </c>
      <c r="AE37" s="68">
        <f>38.7+94.4</f>
        <v>133.10000000000002</v>
      </c>
      <c r="AF37" s="68">
        <f>38.5+95.2</f>
        <v>133.69999999999999</v>
      </c>
      <c r="AG37" s="64">
        <v>240</v>
      </c>
      <c r="AH37" s="55">
        <f t="shared" si="2"/>
        <v>134.4</v>
      </c>
      <c r="AI37" s="56">
        <f t="shared" si="3"/>
        <v>110.2</v>
      </c>
      <c r="AK37" s="57"/>
    </row>
    <row r="38" spans="1:88" ht="15.75" thickBot="1" x14ac:dyDescent="0.3">
      <c r="A38" s="69" t="s">
        <v>46</v>
      </c>
      <c r="B38" s="70">
        <f t="shared" ref="B38" si="4">SUM(B11:B36)</f>
        <v>1135.0999999999999</v>
      </c>
      <c r="C38" s="70">
        <f t="shared" ref="C38:AF38" si="5">SUM(C11:C36)</f>
        <v>1177</v>
      </c>
      <c r="D38" s="70">
        <f t="shared" si="5"/>
        <v>1196.8</v>
      </c>
      <c r="E38" s="70">
        <f t="shared" si="5"/>
        <v>1190.8</v>
      </c>
      <c r="F38" s="70">
        <f t="shared" si="5"/>
        <v>1190.8</v>
      </c>
      <c r="G38" s="70">
        <f t="shared" si="5"/>
        <v>1190.8</v>
      </c>
      <c r="H38" s="70">
        <f t="shared" si="5"/>
        <v>1160.8</v>
      </c>
      <c r="I38" s="70">
        <f t="shared" si="5"/>
        <v>1154.6999999999998</v>
      </c>
      <c r="J38" s="70">
        <f t="shared" si="5"/>
        <v>1107.9000000000001</v>
      </c>
      <c r="K38" s="70">
        <f t="shared" si="5"/>
        <v>1193.9000000000001</v>
      </c>
      <c r="L38" s="70">
        <f t="shared" si="5"/>
        <v>1198.9000000000001</v>
      </c>
      <c r="M38" s="70">
        <f t="shared" si="5"/>
        <v>1224.9000000000001</v>
      </c>
      <c r="N38" s="70">
        <f t="shared" si="5"/>
        <v>1187.8</v>
      </c>
      <c r="O38" s="70">
        <f t="shared" si="5"/>
        <v>1170.8</v>
      </c>
      <c r="P38" s="70">
        <f t="shared" si="5"/>
        <v>1171.5</v>
      </c>
      <c r="Q38" s="70">
        <f t="shared" si="5"/>
        <v>1177.0999999999999</v>
      </c>
      <c r="R38" s="70">
        <f t="shared" si="5"/>
        <v>1223.0999999999999</v>
      </c>
      <c r="S38" s="70">
        <f t="shared" si="5"/>
        <v>1223.0999999999999</v>
      </c>
      <c r="T38" s="70">
        <f t="shared" si="5"/>
        <v>1223.0999999999999</v>
      </c>
      <c r="U38" s="70">
        <f t="shared" si="5"/>
        <v>1223.0999999999999</v>
      </c>
      <c r="V38" s="70">
        <f t="shared" si="5"/>
        <v>1223.0999999999999</v>
      </c>
      <c r="W38" s="70">
        <f t="shared" si="5"/>
        <v>1147.0999999999999</v>
      </c>
      <c r="X38" s="70">
        <f t="shared" si="5"/>
        <v>1081.0999999999999</v>
      </c>
      <c r="Y38" s="70">
        <f t="shared" si="5"/>
        <v>1107.0999999999999</v>
      </c>
      <c r="Z38" s="70">
        <f t="shared" si="5"/>
        <v>1147</v>
      </c>
      <c r="AA38" s="70">
        <f t="shared" si="5"/>
        <v>1223</v>
      </c>
      <c r="AB38" s="70">
        <f t="shared" si="5"/>
        <v>1225</v>
      </c>
      <c r="AC38" s="70">
        <f t="shared" si="5"/>
        <v>1199</v>
      </c>
      <c r="AD38" s="70">
        <f t="shared" si="5"/>
        <v>1169</v>
      </c>
      <c r="AE38" s="70">
        <f t="shared" si="5"/>
        <v>1144</v>
      </c>
      <c r="AF38" s="70">
        <f t="shared" si="5"/>
        <v>1104</v>
      </c>
      <c r="AG38" s="64">
        <f>SUM(AG11:AG37)</f>
        <v>1492.8299999999997</v>
      </c>
      <c r="AH38" s="55">
        <f t="shared" si="2"/>
        <v>1225</v>
      </c>
      <c r="AI38" s="56">
        <f t="shared" si="3"/>
        <v>1081.0999999999999</v>
      </c>
      <c r="AK38" s="57"/>
    </row>
    <row r="39" spans="1:88" x14ac:dyDescent="0.25">
      <c r="A39" s="58" t="s">
        <v>47</v>
      </c>
      <c r="B39" s="51">
        <v>144.9</v>
      </c>
      <c r="C39" s="51">
        <v>144.9</v>
      </c>
      <c r="D39" s="51">
        <v>144.9</v>
      </c>
      <c r="E39" s="51">
        <v>145.19999999999999</v>
      </c>
      <c r="F39" s="51">
        <v>145.19999999999999</v>
      </c>
      <c r="G39" s="51">
        <v>144.1</v>
      </c>
      <c r="H39" s="51">
        <v>144.1</v>
      </c>
      <c r="I39" s="51">
        <v>144.1</v>
      </c>
      <c r="J39" s="51">
        <v>144.5</v>
      </c>
      <c r="K39" s="51">
        <v>144.5</v>
      </c>
      <c r="L39" s="51">
        <v>144.5</v>
      </c>
      <c r="M39" s="51">
        <v>144.5</v>
      </c>
      <c r="N39" s="51">
        <v>143.69999999999999</v>
      </c>
      <c r="O39" s="51">
        <v>144.19999999999999</v>
      </c>
      <c r="P39" s="51">
        <v>144.9</v>
      </c>
      <c r="Q39" s="51">
        <v>145.30000000000001</v>
      </c>
      <c r="R39" s="51">
        <v>144.80000000000001</v>
      </c>
      <c r="S39" s="51">
        <v>143.80000000000001</v>
      </c>
      <c r="T39" s="51">
        <v>143.5</v>
      </c>
      <c r="U39" s="51">
        <v>143.5</v>
      </c>
      <c r="V39" s="51">
        <v>145</v>
      </c>
      <c r="W39" s="51">
        <v>144.5</v>
      </c>
      <c r="X39" s="51">
        <v>144.6</v>
      </c>
      <c r="Y39" s="51">
        <v>145.1</v>
      </c>
      <c r="Z39" s="51">
        <v>145.1</v>
      </c>
      <c r="AA39" s="51">
        <v>145.1</v>
      </c>
      <c r="AB39" s="51">
        <v>145.19999999999999</v>
      </c>
      <c r="AC39" s="51">
        <v>145.19999999999999</v>
      </c>
      <c r="AD39" s="51">
        <v>145.19999999999999</v>
      </c>
      <c r="AE39" s="51">
        <v>145.19999999999999</v>
      </c>
      <c r="AF39" s="51">
        <v>145.19999999999999</v>
      </c>
      <c r="AG39" s="60">
        <v>144</v>
      </c>
      <c r="AH39" s="55">
        <f t="shared" si="2"/>
        <v>145.30000000000001</v>
      </c>
      <c r="AI39" s="56">
        <f t="shared" si="3"/>
        <v>143.5</v>
      </c>
      <c r="AK39" s="57"/>
    </row>
    <row r="40" spans="1:88" x14ac:dyDescent="0.25">
      <c r="A40" s="63" t="s">
        <v>48</v>
      </c>
      <c r="B40" s="49">
        <v>71.2</v>
      </c>
      <c r="C40" s="49">
        <v>71.2</v>
      </c>
      <c r="D40" s="49">
        <v>70.900000000000006</v>
      </c>
      <c r="E40" s="49">
        <v>70.3</v>
      </c>
      <c r="F40" s="49">
        <v>70.3</v>
      </c>
      <c r="G40" s="49">
        <v>70.3</v>
      </c>
      <c r="H40" s="49">
        <v>70.3</v>
      </c>
      <c r="I40" s="49">
        <v>70.3</v>
      </c>
      <c r="J40" s="49">
        <v>71.900000000000006</v>
      </c>
      <c r="K40" s="49">
        <v>71.900000000000006</v>
      </c>
      <c r="L40" s="49">
        <v>71.900000000000006</v>
      </c>
      <c r="M40" s="49">
        <v>71.900000000000006</v>
      </c>
      <c r="N40" s="51">
        <v>68.599999999999994</v>
      </c>
      <c r="O40" s="51">
        <v>70.5</v>
      </c>
      <c r="P40" s="51">
        <v>71.3</v>
      </c>
      <c r="Q40" s="51">
        <v>70.8</v>
      </c>
      <c r="R40" s="51">
        <v>70.8</v>
      </c>
      <c r="S40" s="51">
        <v>72.2</v>
      </c>
      <c r="T40" s="49">
        <v>73.099999999999994</v>
      </c>
      <c r="U40" s="49">
        <v>73.099999999999994</v>
      </c>
      <c r="V40" s="49">
        <v>70.8</v>
      </c>
      <c r="W40" s="49">
        <v>71.400000000000006</v>
      </c>
      <c r="X40" s="49">
        <v>73.8</v>
      </c>
      <c r="Y40" s="49">
        <v>73</v>
      </c>
      <c r="Z40" s="49">
        <v>72.3</v>
      </c>
      <c r="AA40" s="49">
        <v>72.3</v>
      </c>
      <c r="AB40" s="49">
        <v>72.099999999999994</v>
      </c>
      <c r="AC40" s="49">
        <v>72.099999999999994</v>
      </c>
      <c r="AD40" s="49">
        <v>71.3</v>
      </c>
      <c r="AE40" s="49">
        <v>71.3</v>
      </c>
      <c r="AF40" s="49">
        <v>71.3</v>
      </c>
      <c r="AG40" s="64">
        <v>70</v>
      </c>
      <c r="AH40" s="55">
        <f t="shared" si="2"/>
        <v>73.8</v>
      </c>
      <c r="AI40" s="56">
        <f t="shared" si="3"/>
        <v>68.599999999999994</v>
      </c>
      <c r="AK40" s="57"/>
    </row>
    <row r="41" spans="1:88" x14ac:dyDescent="0.25">
      <c r="A41" s="63" t="s">
        <v>49</v>
      </c>
      <c r="B41" s="49">
        <v>61.8</v>
      </c>
      <c r="C41" s="49">
        <v>61.5</v>
      </c>
      <c r="D41" s="49">
        <v>60.8</v>
      </c>
      <c r="E41" s="49">
        <v>61.2</v>
      </c>
      <c r="F41" s="49">
        <v>61.2</v>
      </c>
      <c r="G41" s="49">
        <v>61.2</v>
      </c>
      <c r="H41" s="49">
        <v>61.2</v>
      </c>
      <c r="I41" s="49">
        <v>61.2</v>
      </c>
      <c r="J41" s="49">
        <v>60.7</v>
      </c>
      <c r="K41" s="49">
        <v>60.7</v>
      </c>
      <c r="L41" s="49">
        <v>60.7</v>
      </c>
      <c r="M41" s="49">
        <v>60.7</v>
      </c>
      <c r="N41" s="51">
        <v>60.9</v>
      </c>
      <c r="O41" s="51">
        <v>60.6</v>
      </c>
      <c r="P41" s="51">
        <v>60.6</v>
      </c>
      <c r="Q41" s="51">
        <v>60.4</v>
      </c>
      <c r="R41" s="51">
        <v>60.5</v>
      </c>
      <c r="S41" s="51">
        <v>60.7</v>
      </c>
      <c r="T41" s="49">
        <v>60.3</v>
      </c>
      <c r="U41" s="49">
        <v>60.3</v>
      </c>
      <c r="V41" s="49">
        <v>59.5</v>
      </c>
      <c r="W41" s="49">
        <v>59.8</v>
      </c>
      <c r="X41" s="49">
        <v>59.9</v>
      </c>
      <c r="Y41" s="49">
        <v>59.6</v>
      </c>
      <c r="Z41" s="49">
        <v>59.3</v>
      </c>
      <c r="AA41" s="49">
        <v>59.3</v>
      </c>
      <c r="AB41" s="49">
        <v>59.5</v>
      </c>
      <c r="AC41" s="49">
        <v>59.5</v>
      </c>
      <c r="AD41" s="49">
        <v>59.5</v>
      </c>
      <c r="AE41" s="49">
        <v>59.5</v>
      </c>
      <c r="AF41" s="49">
        <v>59.5</v>
      </c>
      <c r="AG41" s="64">
        <v>69</v>
      </c>
      <c r="AH41" s="55">
        <f t="shared" si="2"/>
        <v>61.8</v>
      </c>
      <c r="AI41" s="56">
        <f t="shared" si="3"/>
        <v>59.3</v>
      </c>
      <c r="AK41" s="57"/>
    </row>
    <row r="42" spans="1:88" x14ac:dyDescent="0.25">
      <c r="A42" s="63" t="s">
        <v>50</v>
      </c>
      <c r="B42" s="66">
        <v>60.9</v>
      </c>
      <c r="C42" s="66">
        <v>60.4</v>
      </c>
      <c r="D42" s="66">
        <v>60.4</v>
      </c>
      <c r="E42" s="66">
        <v>60.4</v>
      </c>
      <c r="F42" s="66">
        <v>60.4</v>
      </c>
      <c r="G42" s="66">
        <v>60.4</v>
      </c>
      <c r="H42" s="66">
        <v>60.4</v>
      </c>
      <c r="I42" s="66">
        <v>60.4</v>
      </c>
      <c r="J42" s="66">
        <v>60.4</v>
      </c>
      <c r="K42" s="66">
        <v>60.4</v>
      </c>
      <c r="L42" s="66">
        <v>60.4</v>
      </c>
      <c r="M42" s="51">
        <v>60.4</v>
      </c>
      <c r="N42" s="51">
        <v>60.4</v>
      </c>
      <c r="O42" s="51">
        <v>60.4</v>
      </c>
      <c r="P42" s="51">
        <v>60.4</v>
      </c>
      <c r="Q42" s="51">
        <v>60.4</v>
      </c>
      <c r="R42" s="51">
        <v>59.5</v>
      </c>
      <c r="S42" s="51">
        <v>60</v>
      </c>
      <c r="T42" s="51">
        <v>60.2</v>
      </c>
      <c r="U42" s="51">
        <v>60.2</v>
      </c>
      <c r="V42" s="51">
        <v>60.2</v>
      </c>
      <c r="W42" s="51">
        <v>60.2</v>
      </c>
      <c r="X42" s="49">
        <v>60.2</v>
      </c>
      <c r="Y42" s="49">
        <v>60.4</v>
      </c>
      <c r="Z42" s="49">
        <v>60.4</v>
      </c>
      <c r="AA42" s="49">
        <v>60.4</v>
      </c>
      <c r="AB42" s="66">
        <v>60.4</v>
      </c>
      <c r="AC42" s="66">
        <v>60.4</v>
      </c>
      <c r="AD42" s="66">
        <v>60.4</v>
      </c>
      <c r="AE42" s="66">
        <v>60.4</v>
      </c>
      <c r="AF42" s="66">
        <v>60.4</v>
      </c>
      <c r="AG42" s="64">
        <v>60</v>
      </c>
      <c r="AH42" s="55">
        <f t="shared" si="2"/>
        <v>60.9</v>
      </c>
      <c r="AI42" s="56">
        <f t="shared" si="3"/>
        <v>59.5</v>
      </c>
      <c r="AK42" s="57"/>
    </row>
    <row r="43" spans="1:88" x14ac:dyDescent="0.25">
      <c r="A43" s="63" t="s">
        <v>51</v>
      </c>
      <c r="B43" s="66">
        <v>29.3</v>
      </c>
      <c r="C43" s="66">
        <v>28.6</v>
      </c>
      <c r="D43" s="66">
        <v>25</v>
      </c>
      <c r="E43" s="66">
        <v>6.8</v>
      </c>
      <c r="F43" s="66">
        <v>6.8</v>
      </c>
      <c r="G43" s="66">
        <v>6</v>
      </c>
      <c r="H43" s="66">
        <v>6</v>
      </c>
      <c r="I43" s="66">
        <v>6</v>
      </c>
      <c r="J43" s="66">
        <v>6.1</v>
      </c>
      <c r="K43" s="66">
        <v>6.1</v>
      </c>
      <c r="L43" s="66">
        <v>6.1</v>
      </c>
      <c r="M43" s="51">
        <v>6.1</v>
      </c>
      <c r="N43" s="51">
        <v>20</v>
      </c>
      <c r="O43" s="51">
        <v>26</v>
      </c>
      <c r="P43" s="51">
        <v>25.3</v>
      </c>
      <c r="Q43" s="51">
        <v>24.8</v>
      </c>
      <c r="R43" s="51">
        <v>30</v>
      </c>
      <c r="S43" s="51">
        <v>29.7</v>
      </c>
      <c r="T43" s="51">
        <v>30</v>
      </c>
      <c r="U43" s="51">
        <v>30</v>
      </c>
      <c r="V43" s="51">
        <v>30</v>
      </c>
      <c r="W43" s="51">
        <v>30</v>
      </c>
      <c r="X43" s="49">
        <v>29.8</v>
      </c>
      <c r="Y43" s="49">
        <v>29.6</v>
      </c>
      <c r="Z43" s="49">
        <v>29.5</v>
      </c>
      <c r="AA43" s="49">
        <v>29.5</v>
      </c>
      <c r="AB43" s="66">
        <v>29.5</v>
      </c>
      <c r="AC43" s="66">
        <v>29.5</v>
      </c>
      <c r="AD43" s="66">
        <v>29.5</v>
      </c>
      <c r="AE43" s="66">
        <v>29.5</v>
      </c>
      <c r="AF43" s="66">
        <v>29.5</v>
      </c>
      <c r="AG43" s="64">
        <v>30</v>
      </c>
      <c r="AH43" s="55">
        <f t="shared" si="2"/>
        <v>30</v>
      </c>
      <c r="AI43" s="56">
        <f t="shared" si="3"/>
        <v>6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66">
        <v>0</v>
      </c>
      <c r="K44" s="66">
        <v>0</v>
      </c>
      <c r="L44" s="66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17.100000000000001</v>
      </c>
      <c r="C45" s="49">
        <v>17.100000000000001</v>
      </c>
      <c r="D45" s="49">
        <v>17.100000000000001</v>
      </c>
      <c r="E45" s="49">
        <v>17.100000000000001</v>
      </c>
      <c r="F45" s="49">
        <v>17.100000000000001</v>
      </c>
      <c r="G45" s="49">
        <v>17.100000000000001</v>
      </c>
      <c r="H45" s="49">
        <v>17.100000000000001</v>
      </c>
      <c r="I45" s="49">
        <v>17.100000000000001</v>
      </c>
      <c r="J45" s="49">
        <v>17.100000000000001</v>
      </c>
      <c r="K45" s="49">
        <v>17.100000000000001</v>
      </c>
      <c r="L45" s="49">
        <v>17.100000000000001</v>
      </c>
      <c r="M45" s="51">
        <v>17.100000000000001</v>
      </c>
      <c r="N45" s="51">
        <v>17.100000000000001</v>
      </c>
      <c r="O45" s="51">
        <v>17.100000000000001</v>
      </c>
      <c r="P45" s="51">
        <v>14.5</v>
      </c>
      <c r="Q45" s="51">
        <v>14.1</v>
      </c>
      <c r="R45" s="51">
        <v>14.1</v>
      </c>
      <c r="S45" s="51">
        <v>14.1</v>
      </c>
      <c r="T45" s="51">
        <v>16.5</v>
      </c>
      <c r="U45" s="51">
        <v>16.5</v>
      </c>
      <c r="V45" s="51">
        <v>16.5</v>
      </c>
      <c r="W45" s="51">
        <v>16.5</v>
      </c>
      <c r="X45" s="51">
        <v>15.1</v>
      </c>
      <c r="Y45" s="51">
        <v>15.1</v>
      </c>
      <c r="Z45" s="51">
        <v>15.1</v>
      </c>
      <c r="AA45" s="51">
        <v>15.1</v>
      </c>
      <c r="AB45" s="51">
        <v>15.1</v>
      </c>
      <c r="AC45" s="51">
        <v>15.1</v>
      </c>
      <c r="AD45" s="51">
        <v>15.1</v>
      </c>
      <c r="AE45" s="51">
        <v>15.1</v>
      </c>
      <c r="AF45" s="51">
        <v>15.1</v>
      </c>
      <c r="AG45" s="64">
        <v>24</v>
      </c>
      <c r="AH45" s="55">
        <f t="shared" si="2"/>
        <v>17.100000000000001</v>
      </c>
      <c r="AI45" s="56">
        <f t="shared" si="3"/>
        <v>14.1</v>
      </c>
      <c r="AK45" s="57"/>
    </row>
    <row r="46" spans="1:88" x14ac:dyDescent="0.25">
      <c r="A46" s="63" t="s">
        <v>54</v>
      </c>
      <c r="B46" s="49">
        <v>2.4</v>
      </c>
      <c r="C46" s="49">
        <v>2.4</v>
      </c>
      <c r="D46" s="49">
        <v>2.4</v>
      </c>
      <c r="E46" s="49">
        <v>2.4</v>
      </c>
      <c r="F46" s="49">
        <v>2.4</v>
      </c>
      <c r="G46" s="49">
        <v>2.4</v>
      </c>
      <c r="H46" s="49">
        <v>2.4</v>
      </c>
      <c r="I46" s="49">
        <v>2.4</v>
      </c>
      <c r="J46" s="49">
        <v>2.4</v>
      </c>
      <c r="K46" s="49">
        <v>2.4</v>
      </c>
      <c r="L46" s="49">
        <v>2.4</v>
      </c>
      <c r="M46" s="49">
        <v>2.4</v>
      </c>
      <c r="N46" s="49">
        <v>2.4</v>
      </c>
      <c r="O46" s="49">
        <v>2.4</v>
      </c>
      <c r="P46" s="49">
        <v>0</v>
      </c>
      <c r="Q46" s="51">
        <v>0</v>
      </c>
      <c r="R46" s="51">
        <v>0</v>
      </c>
      <c r="S46" s="51">
        <v>0</v>
      </c>
      <c r="T46" s="51">
        <v>0</v>
      </c>
      <c r="U46" s="51">
        <v>2.4</v>
      </c>
      <c r="V46" s="51">
        <v>2.4</v>
      </c>
      <c r="W46" s="51">
        <v>2.4</v>
      </c>
      <c r="X46" s="51">
        <v>2.4</v>
      </c>
      <c r="Y46" s="51">
        <v>2.4</v>
      </c>
      <c r="Z46" s="51">
        <v>2.4</v>
      </c>
      <c r="AA46" s="51">
        <v>2.4</v>
      </c>
      <c r="AB46" s="51">
        <v>2.4</v>
      </c>
      <c r="AC46" s="51">
        <v>2.4</v>
      </c>
      <c r="AD46" s="51">
        <v>2.4</v>
      </c>
      <c r="AE46" s="51">
        <v>2.4</v>
      </c>
      <c r="AF46" s="51">
        <v>2.4</v>
      </c>
      <c r="AG46" s="64">
        <v>15</v>
      </c>
      <c r="AH46" s="55">
        <f t="shared" si="2"/>
        <v>2.4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12.5</v>
      </c>
      <c r="C47" s="49">
        <v>12.5</v>
      </c>
      <c r="D47" s="49">
        <v>12.5</v>
      </c>
      <c r="E47" s="49">
        <v>12.6</v>
      </c>
      <c r="F47" s="49">
        <v>12.6</v>
      </c>
      <c r="G47" s="49">
        <v>12.6</v>
      </c>
      <c r="H47" s="49">
        <v>12.6</v>
      </c>
      <c r="I47" s="49">
        <v>12.6</v>
      </c>
      <c r="J47" s="49">
        <v>12.6</v>
      </c>
      <c r="K47" s="49">
        <v>12.6</v>
      </c>
      <c r="L47" s="49">
        <v>12.6</v>
      </c>
      <c r="M47" s="49">
        <v>12.6</v>
      </c>
      <c r="N47" s="49">
        <v>12.6</v>
      </c>
      <c r="O47" s="49">
        <v>12.6</v>
      </c>
      <c r="P47" s="49">
        <v>13.3</v>
      </c>
      <c r="Q47" s="51">
        <v>12.5</v>
      </c>
      <c r="R47" s="51">
        <v>12.5</v>
      </c>
      <c r="S47" s="51">
        <v>12.5</v>
      </c>
      <c r="T47" s="51">
        <v>12.5</v>
      </c>
      <c r="U47" s="51">
        <v>12.5</v>
      </c>
      <c r="V47" s="51">
        <v>12.5</v>
      </c>
      <c r="W47" s="51">
        <v>12.5</v>
      </c>
      <c r="X47" s="51">
        <v>11.2</v>
      </c>
      <c r="Y47" s="51">
        <v>11.2</v>
      </c>
      <c r="Z47" s="51">
        <v>11.2</v>
      </c>
      <c r="AA47" s="51">
        <v>11.2</v>
      </c>
      <c r="AB47" s="51">
        <v>11.2</v>
      </c>
      <c r="AC47" s="51">
        <v>11.2</v>
      </c>
      <c r="AD47" s="51">
        <v>11.2</v>
      </c>
      <c r="AE47" s="51">
        <v>11.2</v>
      </c>
      <c r="AF47" s="51">
        <v>11.2</v>
      </c>
      <c r="AG47" s="64">
        <v>14.1</v>
      </c>
      <c r="AH47" s="55">
        <f t="shared" si="2"/>
        <v>13.3</v>
      </c>
      <c r="AI47" s="56">
        <f t="shared" si="3"/>
        <v>11.2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13.4</v>
      </c>
      <c r="C48" s="49">
        <v>13.4</v>
      </c>
      <c r="D48" s="49">
        <v>13.6</v>
      </c>
      <c r="E48" s="49">
        <v>13.5</v>
      </c>
      <c r="F48" s="49">
        <v>13.5</v>
      </c>
      <c r="G48" s="49">
        <v>13.5</v>
      </c>
      <c r="H48" s="49">
        <v>13.5</v>
      </c>
      <c r="I48" s="49">
        <v>13.5</v>
      </c>
      <c r="J48" s="49">
        <v>13.5</v>
      </c>
      <c r="K48" s="49">
        <v>13.5</v>
      </c>
      <c r="L48" s="49">
        <v>13.5</v>
      </c>
      <c r="M48" s="49">
        <v>13.5</v>
      </c>
      <c r="N48" s="49">
        <v>13.5</v>
      </c>
      <c r="O48" s="49">
        <v>13.5</v>
      </c>
      <c r="P48" s="49">
        <v>13.5</v>
      </c>
      <c r="Q48" s="51">
        <v>13.5</v>
      </c>
      <c r="R48" s="51">
        <v>13.5</v>
      </c>
      <c r="S48" s="51">
        <v>13.5</v>
      </c>
      <c r="T48" s="51">
        <v>13.5</v>
      </c>
      <c r="U48" s="51">
        <v>13.5</v>
      </c>
      <c r="V48" s="51">
        <v>13.5</v>
      </c>
      <c r="W48" s="51">
        <v>13.5</v>
      </c>
      <c r="X48" s="51">
        <v>13.5</v>
      </c>
      <c r="Y48" s="51">
        <v>13.5</v>
      </c>
      <c r="Z48" s="51">
        <v>13.5</v>
      </c>
      <c r="AA48" s="51">
        <v>13.5</v>
      </c>
      <c r="AB48" s="51">
        <v>13.5</v>
      </c>
      <c r="AC48" s="51">
        <v>13.5</v>
      </c>
      <c r="AD48" s="51">
        <v>13.5</v>
      </c>
      <c r="AE48" s="51">
        <v>13.5</v>
      </c>
      <c r="AF48" s="51">
        <v>13.5</v>
      </c>
      <c r="AG48" s="64">
        <v>14</v>
      </c>
      <c r="AH48" s="55">
        <f t="shared" si="2"/>
        <v>13.6</v>
      </c>
      <c r="AI48" s="56">
        <f t="shared" si="3"/>
        <v>13.4</v>
      </c>
      <c r="AK48" s="57"/>
    </row>
    <row r="49" spans="1:37" x14ac:dyDescent="0.25">
      <c r="A49" s="63" t="s">
        <v>57</v>
      </c>
      <c r="B49" s="49">
        <v>9.6</v>
      </c>
      <c r="C49" s="49">
        <v>9.6</v>
      </c>
      <c r="D49" s="49">
        <v>9.6</v>
      </c>
      <c r="E49" s="49">
        <v>9.5</v>
      </c>
      <c r="F49" s="49">
        <v>9.5</v>
      </c>
      <c r="G49" s="49">
        <v>9.5</v>
      </c>
      <c r="H49" s="49">
        <v>9.5</v>
      </c>
      <c r="I49" s="49">
        <v>9.5</v>
      </c>
      <c r="J49" s="49">
        <v>9.5</v>
      </c>
      <c r="K49" s="49">
        <v>9.5</v>
      </c>
      <c r="L49" s="49">
        <v>9.5</v>
      </c>
      <c r="M49" s="49">
        <v>9.5</v>
      </c>
      <c r="N49" s="49">
        <v>9.5</v>
      </c>
      <c r="O49" s="49">
        <v>9.5</v>
      </c>
      <c r="P49" s="49">
        <v>9.5</v>
      </c>
      <c r="Q49" s="49">
        <v>9.5</v>
      </c>
      <c r="R49" s="49">
        <v>9.5</v>
      </c>
      <c r="S49" s="49">
        <v>9.5</v>
      </c>
      <c r="T49" s="51">
        <v>7.4</v>
      </c>
      <c r="U49" s="51">
        <v>7.4</v>
      </c>
      <c r="V49" s="51">
        <v>7.4</v>
      </c>
      <c r="W49" s="51">
        <v>7.4</v>
      </c>
      <c r="X49" s="51">
        <v>7.4</v>
      </c>
      <c r="Y49" s="51">
        <v>7.4</v>
      </c>
      <c r="Z49" s="51">
        <v>7.4</v>
      </c>
      <c r="AA49" s="51">
        <v>7.4</v>
      </c>
      <c r="AB49" s="51">
        <v>7.4</v>
      </c>
      <c r="AC49" s="51">
        <v>7.4</v>
      </c>
      <c r="AD49" s="51">
        <v>7.4</v>
      </c>
      <c r="AE49" s="51">
        <v>7.4</v>
      </c>
      <c r="AF49" s="51">
        <v>7.4</v>
      </c>
      <c r="AG49" s="64">
        <v>10.050000000000001</v>
      </c>
      <c r="AH49" s="55">
        <f t="shared" si="2"/>
        <v>9.6</v>
      </c>
      <c r="AI49" s="56">
        <f t="shared" si="3"/>
        <v>7.4</v>
      </c>
      <c r="AK49" s="57"/>
    </row>
    <row r="50" spans="1:37" x14ac:dyDescent="0.25">
      <c r="A50" s="63" t="s">
        <v>58</v>
      </c>
      <c r="B50" s="49">
        <v>3.1</v>
      </c>
      <c r="C50" s="49">
        <v>3.1</v>
      </c>
      <c r="D50" s="49">
        <v>3.1</v>
      </c>
      <c r="E50" s="49">
        <v>3.1</v>
      </c>
      <c r="F50" s="49">
        <v>3.1</v>
      </c>
      <c r="G50" s="49">
        <v>3.1</v>
      </c>
      <c r="H50" s="49">
        <v>3.1</v>
      </c>
      <c r="I50" s="49">
        <v>3.1</v>
      </c>
      <c r="J50" s="49">
        <v>3.1</v>
      </c>
      <c r="K50" s="49">
        <v>3.1</v>
      </c>
      <c r="L50" s="49">
        <v>3.1</v>
      </c>
      <c r="M50" s="49">
        <v>3.1</v>
      </c>
      <c r="N50" s="49">
        <v>3.1</v>
      </c>
      <c r="O50" s="49">
        <v>3.1</v>
      </c>
      <c r="P50" s="49">
        <v>3.1</v>
      </c>
      <c r="Q50" s="49">
        <v>3.1</v>
      </c>
      <c r="R50" s="49">
        <v>3.1</v>
      </c>
      <c r="S50" s="49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4">
        <v>6.2</v>
      </c>
      <c r="AH50" s="55">
        <f t="shared" si="2"/>
        <v>3.1</v>
      </c>
      <c r="AI50" s="56">
        <f t="shared" si="3"/>
        <v>3.1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7">SUM(B39:B51)</f>
        <v>429.74000000000007</v>
      </c>
      <c r="C52" s="70">
        <f t="shared" ref="C52:AF52" si="8">SUM(C39:C51)</f>
        <v>428.24000000000007</v>
      </c>
      <c r="D52" s="70">
        <f t="shared" si="8"/>
        <v>423.84000000000009</v>
      </c>
      <c r="E52" s="70">
        <f t="shared" si="8"/>
        <v>405.64000000000004</v>
      </c>
      <c r="F52" s="70">
        <f t="shared" si="8"/>
        <v>405.64000000000004</v>
      </c>
      <c r="G52" s="70">
        <f t="shared" si="8"/>
        <v>403.74</v>
      </c>
      <c r="H52" s="70">
        <f t="shared" si="8"/>
        <v>403.74</v>
      </c>
      <c r="I52" s="70">
        <f t="shared" si="8"/>
        <v>403.74</v>
      </c>
      <c r="J52" s="70">
        <f t="shared" si="8"/>
        <v>405.34000000000009</v>
      </c>
      <c r="K52" s="70">
        <f t="shared" si="8"/>
        <v>405.34000000000009</v>
      </c>
      <c r="L52" s="70">
        <f>SUM(L39:L51)</f>
        <v>405.34000000000009</v>
      </c>
      <c r="M52" s="70">
        <f t="shared" si="8"/>
        <v>405.34000000000009</v>
      </c>
      <c r="N52" s="70">
        <f t="shared" si="8"/>
        <v>415.34000000000003</v>
      </c>
      <c r="O52" s="70">
        <f t="shared" si="8"/>
        <v>423.44000000000005</v>
      </c>
      <c r="P52" s="70">
        <f t="shared" si="8"/>
        <v>419.94000000000005</v>
      </c>
      <c r="Q52" s="70">
        <f t="shared" si="8"/>
        <v>417.94000000000005</v>
      </c>
      <c r="R52" s="70">
        <f t="shared" si="8"/>
        <v>421.84000000000009</v>
      </c>
      <c r="S52" s="70">
        <f t="shared" si="8"/>
        <v>422.64000000000004</v>
      </c>
      <c r="T52" s="70">
        <f t="shared" si="8"/>
        <v>423.64</v>
      </c>
      <c r="U52" s="70">
        <f t="shared" si="8"/>
        <v>426.03999999999996</v>
      </c>
      <c r="V52" s="70">
        <f t="shared" si="8"/>
        <v>424.44</v>
      </c>
      <c r="W52" s="70">
        <f t="shared" si="8"/>
        <v>424.84</v>
      </c>
      <c r="X52" s="70">
        <f t="shared" si="8"/>
        <v>424.53999999999996</v>
      </c>
      <c r="Y52" s="70">
        <f t="shared" si="8"/>
        <v>423.94</v>
      </c>
      <c r="Z52" s="70">
        <f t="shared" si="8"/>
        <v>422.84</v>
      </c>
      <c r="AA52" s="70">
        <f t="shared" si="8"/>
        <v>422.84</v>
      </c>
      <c r="AB52" s="70">
        <f t="shared" si="8"/>
        <v>422.93999999999994</v>
      </c>
      <c r="AC52" s="70">
        <f t="shared" si="8"/>
        <v>422.93999999999994</v>
      </c>
      <c r="AD52" s="70">
        <f t="shared" si="8"/>
        <v>422.14</v>
      </c>
      <c r="AE52" s="70">
        <f t="shared" si="8"/>
        <v>422.14</v>
      </c>
      <c r="AF52" s="70">
        <f t="shared" si="8"/>
        <v>422.14</v>
      </c>
      <c r="AG52" s="74">
        <f>SUM(AG39:AG51)</f>
        <v>489.91</v>
      </c>
      <c r="AH52" s="55">
        <f t="shared" si="2"/>
        <v>429.74000000000007</v>
      </c>
      <c r="AI52" s="56">
        <f t="shared" si="3"/>
        <v>403.74</v>
      </c>
      <c r="AK52" s="57"/>
    </row>
    <row r="53" spans="1:37" x14ac:dyDescent="0.25">
      <c r="A53" s="58" t="s">
        <v>61</v>
      </c>
      <c r="B53" s="51">
        <v>14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13.8</v>
      </c>
      <c r="M53" s="51">
        <v>14.1</v>
      </c>
      <c r="N53" s="51">
        <v>24</v>
      </c>
      <c r="O53" s="51">
        <v>60</v>
      </c>
      <c r="P53" s="51">
        <v>59.6</v>
      </c>
      <c r="Q53" s="51">
        <v>59.6</v>
      </c>
      <c r="R53" s="51">
        <v>20</v>
      </c>
      <c r="S53" s="51">
        <v>0</v>
      </c>
      <c r="T53" s="51">
        <v>30.5</v>
      </c>
      <c r="U53" s="51">
        <v>60</v>
      </c>
      <c r="V53" s="51">
        <v>10.199999999999999</v>
      </c>
      <c r="W53" s="51">
        <v>25.1</v>
      </c>
      <c r="X53" s="51">
        <v>10.8</v>
      </c>
      <c r="Y53" s="51">
        <v>14.7</v>
      </c>
      <c r="Z53" s="51">
        <v>14.3</v>
      </c>
      <c r="AA53" s="51">
        <v>40</v>
      </c>
      <c r="AB53" s="51">
        <v>13.8</v>
      </c>
      <c r="AC53" s="51">
        <v>13.8</v>
      </c>
      <c r="AD53" s="51">
        <v>0</v>
      </c>
      <c r="AE53" s="51">
        <v>0</v>
      </c>
      <c r="AF53" s="51">
        <v>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10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7.2</v>
      </c>
      <c r="M54" s="49">
        <v>6.8</v>
      </c>
      <c r="N54" s="49">
        <v>6.5</v>
      </c>
      <c r="O54" s="49">
        <v>31</v>
      </c>
      <c r="P54" s="49">
        <v>32.299999999999997</v>
      </c>
      <c r="Q54" s="49">
        <v>32.200000000000003</v>
      </c>
      <c r="R54" s="49">
        <v>0</v>
      </c>
      <c r="S54" s="49">
        <v>0</v>
      </c>
      <c r="T54" s="49">
        <v>15.6</v>
      </c>
      <c r="U54" s="49">
        <v>24.4</v>
      </c>
      <c r="V54" s="49">
        <v>10</v>
      </c>
      <c r="W54" s="49">
        <v>12.1</v>
      </c>
      <c r="X54" s="49">
        <v>8.6</v>
      </c>
      <c r="Y54" s="49">
        <v>6</v>
      </c>
      <c r="Z54" s="49">
        <v>7.5</v>
      </c>
      <c r="AA54" s="49">
        <v>21</v>
      </c>
      <c r="AB54" s="49">
        <v>8.6</v>
      </c>
      <c r="AC54" s="49">
        <v>8.6</v>
      </c>
      <c r="AD54" s="49">
        <v>0</v>
      </c>
      <c r="AE54" s="49">
        <v>0</v>
      </c>
      <c r="AF54" s="49">
        <v>0</v>
      </c>
      <c r="AG54" s="64">
        <v>32</v>
      </c>
      <c r="AH54" s="55">
        <f t="shared" si="2"/>
        <v>32.299999999999997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3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2.6</v>
      </c>
      <c r="M55" s="75">
        <v>2.5</v>
      </c>
      <c r="N55" s="75">
        <v>2.4</v>
      </c>
      <c r="O55" s="75">
        <v>11.6</v>
      </c>
      <c r="P55" s="75">
        <v>11.8</v>
      </c>
      <c r="Q55" s="75">
        <v>11.7</v>
      </c>
      <c r="R55" s="75">
        <v>0</v>
      </c>
      <c r="S55" s="75">
        <v>0</v>
      </c>
      <c r="T55" s="75">
        <v>5.7</v>
      </c>
      <c r="U55" s="75">
        <v>9</v>
      </c>
      <c r="V55" s="75">
        <v>5.0999999999999996</v>
      </c>
      <c r="W55" s="75">
        <v>4.4000000000000004</v>
      </c>
      <c r="X55" s="75">
        <v>3.1</v>
      </c>
      <c r="Y55" s="75">
        <v>2.2000000000000002</v>
      </c>
      <c r="Z55" s="75">
        <v>2.7</v>
      </c>
      <c r="AA55" s="75">
        <v>3.9</v>
      </c>
      <c r="AB55" s="75">
        <v>3.1</v>
      </c>
      <c r="AC55" s="75">
        <v>3.1</v>
      </c>
      <c r="AD55" s="75">
        <v>0</v>
      </c>
      <c r="AE55" s="75">
        <v>0</v>
      </c>
      <c r="AF55" s="75">
        <v>0</v>
      </c>
      <c r="AG55" s="76">
        <v>14</v>
      </c>
      <c r="AH55" s="55">
        <f t="shared" si="2"/>
        <v>11.8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9">SUM(B53:B55)</f>
        <v>27</v>
      </c>
      <c r="C56" s="70">
        <f t="shared" ref="C56:AF56" si="10">SUM(C53:C55)</f>
        <v>0</v>
      </c>
      <c r="D56" s="70">
        <f t="shared" si="10"/>
        <v>0</v>
      </c>
      <c r="E56" s="70">
        <f t="shared" si="10"/>
        <v>0</v>
      </c>
      <c r="F56" s="70">
        <f t="shared" si="10"/>
        <v>0</v>
      </c>
      <c r="G56" s="70">
        <f t="shared" si="10"/>
        <v>0</v>
      </c>
      <c r="H56" s="70">
        <f t="shared" si="10"/>
        <v>0</v>
      </c>
      <c r="I56" s="70">
        <f t="shared" si="10"/>
        <v>0</v>
      </c>
      <c r="J56" s="70">
        <f t="shared" si="10"/>
        <v>0</v>
      </c>
      <c r="K56" s="70">
        <f t="shared" si="10"/>
        <v>0</v>
      </c>
      <c r="L56" s="70">
        <f t="shared" si="10"/>
        <v>23.6</v>
      </c>
      <c r="M56" s="70">
        <f t="shared" si="10"/>
        <v>23.4</v>
      </c>
      <c r="N56" s="70">
        <f t="shared" si="10"/>
        <v>32.9</v>
      </c>
      <c r="O56" s="70">
        <f t="shared" si="10"/>
        <v>102.6</v>
      </c>
      <c r="P56" s="70">
        <f t="shared" si="10"/>
        <v>103.7</v>
      </c>
      <c r="Q56" s="70">
        <f t="shared" si="10"/>
        <v>103.50000000000001</v>
      </c>
      <c r="R56" s="70">
        <f t="shared" si="10"/>
        <v>20</v>
      </c>
      <c r="S56" s="70">
        <f t="shared" si="10"/>
        <v>0</v>
      </c>
      <c r="T56" s="70">
        <f t="shared" si="10"/>
        <v>51.800000000000004</v>
      </c>
      <c r="U56" s="70">
        <f t="shared" si="10"/>
        <v>93.4</v>
      </c>
      <c r="V56" s="70">
        <f t="shared" si="10"/>
        <v>25.299999999999997</v>
      </c>
      <c r="W56" s="70">
        <f t="shared" si="10"/>
        <v>41.6</v>
      </c>
      <c r="X56" s="70">
        <f t="shared" si="10"/>
        <v>22.5</v>
      </c>
      <c r="Y56" s="70">
        <f t="shared" si="10"/>
        <v>22.9</v>
      </c>
      <c r="Z56" s="70">
        <f t="shared" si="10"/>
        <v>24.5</v>
      </c>
      <c r="AA56" s="70">
        <f t="shared" si="10"/>
        <v>64.900000000000006</v>
      </c>
      <c r="AB56" s="70">
        <f t="shared" si="10"/>
        <v>25.5</v>
      </c>
      <c r="AC56" s="70">
        <f t="shared" si="10"/>
        <v>25.5</v>
      </c>
      <c r="AD56" s="70">
        <f t="shared" si="10"/>
        <v>0</v>
      </c>
      <c r="AE56" s="70">
        <f t="shared" si="10"/>
        <v>0</v>
      </c>
      <c r="AF56" s="70">
        <f t="shared" si="10"/>
        <v>0</v>
      </c>
      <c r="AG56" s="74">
        <f>SUM(AG53:AG55)</f>
        <v>106</v>
      </c>
      <c r="AH56" s="55">
        <f t="shared" si="2"/>
        <v>103.7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77.900000000000006</v>
      </c>
      <c r="C57" s="51">
        <v>74.8</v>
      </c>
      <c r="D57" s="51">
        <v>76.5</v>
      </c>
      <c r="E57" s="51">
        <v>68.2</v>
      </c>
      <c r="F57" s="51">
        <v>66.5</v>
      </c>
      <c r="G57" s="51">
        <v>66.5</v>
      </c>
      <c r="H57" s="51">
        <v>60.6</v>
      </c>
      <c r="I57" s="51">
        <v>55.7</v>
      </c>
      <c r="J57" s="51">
        <v>55</v>
      </c>
      <c r="K57" s="51">
        <v>45.3</v>
      </c>
      <c r="L57" s="51">
        <v>53</v>
      </c>
      <c r="M57" s="51">
        <v>49.2</v>
      </c>
      <c r="N57" s="51">
        <v>63.6</v>
      </c>
      <c r="O57" s="51">
        <v>73.5</v>
      </c>
      <c r="P57" s="51">
        <v>74.2</v>
      </c>
      <c r="Q57" s="51">
        <v>64.400000000000006</v>
      </c>
      <c r="R57" s="51">
        <v>61.7</v>
      </c>
      <c r="S57" s="51">
        <v>59</v>
      </c>
      <c r="T57" s="51">
        <v>62.6</v>
      </c>
      <c r="U57" s="51">
        <v>58.5</v>
      </c>
      <c r="V57" s="51">
        <v>55.7</v>
      </c>
      <c r="W57" s="51">
        <v>62.2</v>
      </c>
      <c r="X57" s="51">
        <v>55</v>
      </c>
      <c r="Y57" s="51">
        <v>61.1</v>
      </c>
      <c r="Z57" s="51">
        <v>54.3</v>
      </c>
      <c r="AA57" s="51">
        <v>67.3</v>
      </c>
      <c r="AB57" s="51">
        <v>65</v>
      </c>
      <c r="AC57" s="51">
        <v>68.099999999999994</v>
      </c>
      <c r="AD57" s="51">
        <v>74.2</v>
      </c>
      <c r="AE57" s="51">
        <v>78.2</v>
      </c>
      <c r="AF57" s="51">
        <v>76.8</v>
      </c>
      <c r="AG57" s="60"/>
      <c r="AH57" s="55">
        <f t="shared" si="2"/>
        <v>78.2</v>
      </c>
      <c r="AI57" s="56">
        <f t="shared" si="3"/>
        <v>45.3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-270</v>
      </c>
      <c r="C59" s="49">
        <v>-380</v>
      </c>
      <c r="D59" s="49">
        <v>-385</v>
      </c>
      <c r="E59" s="49">
        <v>-378.8</v>
      </c>
      <c r="F59" s="49">
        <v>-381</v>
      </c>
      <c r="G59" s="49">
        <v>-377</v>
      </c>
      <c r="H59" s="49">
        <v>-376.2</v>
      </c>
      <c r="I59" s="49">
        <v>-372</v>
      </c>
      <c r="J59" s="49">
        <v>-278</v>
      </c>
      <c r="K59" s="49">
        <v>-247</v>
      </c>
      <c r="L59" s="49">
        <v>-261.2</v>
      </c>
      <c r="M59" s="49">
        <v>-270.7</v>
      </c>
      <c r="N59" s="49">
        <v>-252.5</v>
      </c>
      <c r="O59" s="49">
        <v>-279.3</v>
      </c>
      <c r="P59" s="49">
        <v>-284.60000000000002</v>
      </c>
      <c r="Q59" s="49">
        <v>-280.60000000000002</v>
      </c>
      <c r="R59" s="49">
        <v>-253.2</v>
      </c>
      <c r="S59" s="49">
        <v>-251</v>
      </c>
      <c r="T59" s="49">
        <v>-279</v>
      </c>
      <c r="U59" s="49">
        <v>-294</v>
      </c>
      <c r="V59" s="49">
        <v>-260</v>
      </c>
      <c r="W59" s="49">
        <v>-270</v>
      </c>
      <c r="X59" s="49">
        <v>-314</v>
      </c>
      <c r="Y59" s="49">
        <v>-265</v>
      </c>
      <c r="Z59" s="49">
        <v>-264</v>
      </c>
      <c r="AA59" s="49">
        <v>-264</v>
      </c>
      <c r="AB59" s="49">
        <v>-250</v>
      </c>
      <c r="AC59" s="49">
        <v>-234.4</v>
      </c>
      <c r="AD59" s="49">
        <v>-222</v>
      </c>
      <c r="AE59" s="49">
        <v>-284</v>
      </c>
      <c r="AF59" s="49">
        <v>-297</v>
      </c>
      <c r="AG59" s="77"/>
      <c r="AH59" s="55">
        <f t="shared" si="2"/>
        <v>-222</v>
      </c>
      <c r="AI59" s="56">
        <f t="shared" si="3"/>
        <v>-385</v>
      </c>
      <c r="AK59" s="57"/>
    </row>
    <row r="60" spans="1:37" x14ac:dyDescent="0.25">
      <c r="A60" s="63" t="s">
        <v>68</v>
      </c>
      <c r="B60" s="78">
        <v>25</v>
      </c>
      <c r="C60" s="78">
        <v>30.1</v>
      </c>
      <c r="D60" s="78">
        <v>31.8</v>
      </c>
      <c r="E60" s="78">
        <v>32.4</v>
      </c>
      <c r="F60" s="78">
        <v>11</v>
      </c>
      <c r="G60" s="78">
        <v>11</v>
      </c>
      <c r="H60" s="78">
        <v>11</v>
      </c>
      <c r="I60" s="78">
        <v>11</v>
      </c>
      <c r="J60" s="78">
        <v>11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32.4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0</v>
      </c>
      <c r="L62" s="79">
        <v>0</v>
      </c>
      <c r="M62" s="79">
        <v>0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4</v>
      </c>
      <c r="V62" s="79">
        <v>4</v>
      </c>
      <c r="W62" s="79">
        <v>4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5</v>
      </c>
      <c r="AF62" s="79">
        <v>5</v>
      </c>
      <c r="AG62" s="77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9">
        <v>0</v>
      </c>
      <c r="C64" s="79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9">
        <v>0</v>
      </c>
      <c r="C65" s="79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79">
        <v>0</v>
      </c>
      <c r="C66" s="79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79">
        <v>0</v>
      </c>
      <c r="C67" s="79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1">SUMIF(B57:B67,"&gt;0")</f>
        <v>107.9</v>
      </c>
      <c r="C68" s="70">
        <f t="shared" ref="C68:AF68" si="12">SUMIF(C57:C67,"&gt;0")</f>
        <v>109.9</v>
      </c>
      <c r="D68" s="70">
        <f t="shared" si="12"/>
        <v>113.3</v>
      </c>
      <c r="E68" s="70">
        <f t="shared" si="12"/>
        <v>105.6</v>
      </c>
      <c r="F68" s="70">
        <f t="shared" si="12"/>
        <v>82.5</v>
      </c>
      <c r="G68" s="70">
        <f t="shared" si="12"/>
        <v>82.5</v>
      </c>
      <c r="H68" s="70">
        <f t="shared" si="12"/>
        <v>76.599999999999994</v>
      </c>
      <c r="I68" s="70">
        <f t="shared" si="12"/>
        <v>71.7</v>
      </c>
      <c r="J68" s="70">
        <f t="shared" si="12"/>
        <v>71</v>
      </c>
      <c r="K68" s="70">
        <f t="shared" si="12"/>
        <v>45.3</v>
      </c>
      <c r="L68" s="70">
        <f t="shared" si="12"/>
        <v>53</v>
      </c>
      <c r="M68" s="70">
        <f t="shared" si="12"/>
        <v>49.2</v>
      </c>
      <c r="N68" s="70">
        <f t="shared" si="12"/>
        <v>71.599999999999994</v>
      </c>
      <c r="O68" s="70">
        <f t="shared" si="12"/>
        <v>81.5</v>
      </c>
      <c r="P68" s="70">
        <f t="shared" si="12"/>
        <v>82.2</v>
      </c>
      <c r="Q68" s="70">
        <f t="shared" si="12"/>
        <v>72.400000000000006</v>
      </c>
      <c r="R68" s="70">
        <f t="shared" si="12"/>
        <v>69.7</v>
      </c>
      <c r="S68" s="70">
        <f t="shared" si="12"/>
        <v>67</v>
      </c>
      <c r="T68" s="70">
        <f t="shared" si="12"/>
        <v>70.599999999999994</v>
      </c>
      <c r="U68" s="70">
        <f t="shared" si="12"/>
        <v>62.5</v>
      </c>
      <c r="V68" s="70">
        <f t="shared" si="12"/>
        <v>59.7</v>
      </c>
      <c r="W68" s="70">
        <f t="shared" si="12"/>
        <v>66.2</v>
      </c>
      <c r="X68" s="70">
        <f t="shared" si="12"/>
        <v>55</v>
      </c>
      <c r="Y68" s="70">
        <f t="shared" si="12"/>
        <v>61.1</v>
      </c>
      <c r="Z68" s="70">
        <f t="shared" si="12"/>
        <v>54.3</v>
      </c>
      <c r="AA68" s="70">
        <f t="shared" si="12"/>
        <v>67.3</v>
      </c>
      <c r="AB68" s="70">
        <f t="shared" si="12"/>
        <v>65</v>
      </c>
      <c r="AC68" s="70">
        <f t="shared" si="12"/>
        <v>68.099999999999994</v>
      </c>
      <c r="AD68" s="70">
        <f t="shared" si="12"/>
        <v>74.2</v>
      </c>
      <c r="AE68" s="70">
        <f t="shared" si="12"/>
        <v>83.2</v>
      </c>
      <c r="AF68" s="70">
        <f t="shared" si="12"/>
        <v>81.8</v>
      </c>
      <c r="AG68" s="74">
        <f>SUM(AG57:AG67)</f>
        <v>0</v>
      </c>
      <c r="AH68" s="55">
        <f t="shared" si="2"/>
        <v>113.3</v>
      </c>
      <c r="AI68" s="56">
        <f t="shared" si="3"/>
        <v>45.3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3">B38+B52+B68+B72</f>
        <v>1672.74</v>
      </c>
      <c r="C73" s="84">
        <f t="shared" ref="C73:AF73" si="14">C38+C52+C68+C72</f>
        <v>1715.14</v>
      </c>
      <c r="D73" s="84">
        <f t="shared" si="14"/>
        <v>1733.94</v>
      </c>
      <c r="E73" s="84">
        <f t="shared" si="14"/>
        <v>1702.04</v>
      </c>
      <c r="F73" s="84">
        <f t="shared" si="14"/>
        <v>1678.94</v>
      </c>
      <c r="G73" s="84">
        <f t="shared" si="14"/>
        <v>1677.04</v>
      </c>
      <c r="H73" s="84">
        <f t="shared" si="14"/>
        <v>1641.1399999999999</v>
      </c>
      <c r="I73" s="84">
        <f t="shared" si="14"/>
        <v>1630.1399999999999</v>
      </c>
      <c r="J73" s="84">
        <f t="shared" si="14"/>
        <v>1584.2400000000002</v>
      </c>
      <c r="K73" s="84">
        <f t="shared" si="14"/>
        <v>1644.5400000000002</v>
      </c>
      <c r="L73" s="84">
        <f t="shared" si="14"/>
        <v>1657.2400000000002</v>
      </c>
      <c r="M73" s="84">
        <f t="shared" si="14"/>
        <v>1679.4400000000003</v>
      </c>
      <c r="N73" s="84">
        <f t="shared" si="14"/>
        <v>1674.7399999999998</v>
      </c>
      <c r="O73" s="84">
        <f t="shared" si="14"/>
        <v>1675.74</v>
      </c>
      <c r="P73" s="84">
        <f t="shared" si="14"/>
        <v>1673.64</v>
      </c>
      <c r="Q73" s="84">
        <f t="shared" si="14"/>
        <v>1667.44</v>
      </c>
      <c r="R73" s="84">
        <f t="shared" si="14"/>
        <v>1714.64</v>
      </c>
      <c r="S73" s="84">
        <f t="shared" si="14"/>
        <v>1712.74</v>
      </c>
      <c r="T73" s="84">
        <f t="shared" si="14"/>
        <v>1717.3399999999997</v>
      </c>
      <c r="U73" s="84">
        <f t="shared" si="14"/>
        <v>1711.6399999999999</v>
      </c>
      <c r="V73" s="84">
        <f t="shared" si="14"/>
        <v>1707.24</v>
      </c>
      <c r="W73" s="84">
        <f t="shared" si="14"/>
        <v>1638.1399999999999</v>
      </c>
      <c r="X73" s="84">
        <f t="shared" si="14"/>
        <v>1560.6399999999999</v>
      </c>
      <c r="Y73" s="84">
        <f t="shared" si="14"/>
        <v>1592.1399999999999</v>
      </c>
      <c r="Z73" s="84">
        <f t="shared" si="14"/>
        <v>1624.1399999999999</v>
      </c>
      <c r="AA73" s="84">
        <f t="shared" si="14"/>
        <v>1713.1399999999999</v>
      </c>
      <c r="AB73" s="84">
        <f t="shared" si="14"/>
        <v>1712.94</v>
      </c>
      <c r="AC73" s="84">
        <f t="shared" si="14"/>
        <v>1690.04</v>
      </c>
      <c r="AD73" s="84">
        <f t="shared" si="14"/>
        <v>1665.34</v>
      </c>
      <c r="AE73" s="84">
        <f t="shared" si="14"/>
        <v>1649.34</v>
      </c>
      <c r="AF73" s="84">
        <f t="shared" si="14"/>
        <v>1607.9399999999998</v>
      </c>
      <c r="AG73" s="84">
        <f t="shared" ref="AG73" si="15">AG68+AG56+AG52+AG38+AG72</f>
        <v>2144.14</v>
      </c>
      <c r="AH73" s="55">
        <f t="shared" si="2"/>
        <v>1733.94</v>
      </c>
      <c r="AI73" s="56">
        <f t="shared" si="3"/>
        <v>1560.6399999999999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6">B73+B74</f>
        <v>1672.74</v>
      </c>
      <c r="C75" s="84">
        <f t="shared" ref="C75:AF75" si="17">C73+C74</f>
        <v>1715.14</v>
      </c>
      <c r="D75" s="84">
        <f t="shared" si="17"/>
        <v>1733.94</v>
      </c>
      <c r="E75" s="84">
        <f t="shared" si="17"/>
        <v>1702.04</v>
      </c>
      <c r="F75" s="84">
        <f t="shared" si="17"/>
        <v>1678.94</v>
      </c>
      <c r="G75" s="84">
        <f t="shared" si="17"/>
        <v>1677.04</v>
      </c>
      <c r="H75" s="84">
        <f t="shared" si="17"/>
        <v>1641.1399999999999</v>
      </c>
      <c r="I75" s="84">
        <f t="shared" si="17"/>
        <v>1630.1399999999999</v>
      </c>
      <c r="J75" s="84">
        <f t="shared" si="17"/>
        <v>1584.2400000000002</v>
      </c>
      <c r="K75" s="84">
        <f t="shared" si="17"/>
        <v>1644.5400000000002</v>
      </c>
      <c r="L75" s="84">
        <f t="shared" si="17"/>
        <v>1657.2400000000002</v>
      </c>
      <c r="M75" s="84">
        <f t="shared" si="17"/>
        <v>1679.4400000000003</v>
      </c>
      <c r="N75" s="84">
        <f t="shared" si="17"/>
        <v>1674.7399999999998</v>
      </c>
      <c r="O75" s="84">
        <f t="shared" si="17"/>
        <v>1675.74</v>
      </c>
      <c r="P75" s="84">
        <f t="shared" si="17"/>
        <v>1673.64</v>
      </c>
      <c r="Q75" s="84">
        <f t="shared" si="17"/>
        <v>1667.44</v>
      </c>
      <c r="R75" s="84">
        <f t="shared" si="17"/>
        <v>1714.64</v>
      </c>
      <c r="S75" s="84">
        <f t="shared" si="17"/>
        <v>1712.74</v>
      </c>
      <c r="T75" s="84">
        <f t="shared" si="17"/>
        <v>1717.3399999999997</v>
      </c>
      <c r="U75" s="84">
        <f t="shared" si="17"/>
        <v>1711.6399999999999</v>
      </c>
      <c r="V75" s="84">
        <f t="shared" si="17"/>
        <v>1707.24</v>
      </c>
      <c r="W75" s="84">
        <f t="shared" si="17"/>
        <v>1638.1399999999999</v>
      </c>
      <c r="X75" s="84">
        <f t="shared" si="17"/>
        <v>1560.6399999999999</v>
      </c>
      <c r="Y75" s="84">
        <f t="shared" si="17"/>
        <v>1592.1399999999999</v>
      </c>
      <c r="Z75" s="84">
        <f t="shared" si="17"/>
        <v>1624.1399999999999</v>
      </c>
      <c r="AA75" s="84">
        <f t="shared" si="17"/>
        <v>1713.1399999999999</v>
      </c>
      <c r="AB75" s="84">
        <f t="shared" si="17"/>
        <v>1712.94</v>
      </c>
      <c r="AC75" s="84">
        <f t="shared" si="17"/>
        <v>1690.04</v>
      </c>
      <c r="AD75" s="84">
        <f t="shared" si="17"/>
        <v>1665.34</v>
      </c>
      <c r="AE75" s="84">
        <f t="shared" si="17"/>
        <v>1649.34</v>
      </c>
      <c r="AF75" s="84">
        <f t="shared" si="17"/>
        <v>1607.9399999999998</v>
      </c>
      <c r="AG75" s="74">
        <f>AG72+AG68+AG56+AG52+AG38+AG74</f>
        <v>2144.14</v>
      </c>
      <c r="AH75" s="55">
        <f t="shared" si="2"/>
        <v>1733.94</v>
      </c>
      <c r="AI75" s="56">
        <f t="shared" si="3"/>
        <v>1560.6399999999999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18">IF(B60&lt;0,B60*-1,0)</f>
        <v>0</v>
      </c>
      <c r="C76" s="78">
        <f t="shared" ref="C76:AF76" si="19">IF(C60&lt;0,C60*-1,0)</f>
        <v>0</v>
      </c>
      <c r="D76" s="78">
        <f t="shared" si="19"/>
        <v>0</v>
      </c>
      <c r="E76" s="78">
        <f t="shared" si="19"/>
        <v>0</v>
      </c>
      <c r="F76" s="78">
        <f t="shared" si="19"/>
        <v>0</v>
      </c>
      <c r="G76" s="78">
        <f t="shared" si="19"/>
        <v>0</v>
      </c>
      <c r="H76" s="78">
        <f t="shared" si="19"/>
        <v>0</v>
      </c>
      <c r="I76" s="78">
        <f t="shared" si="19"/>
        <v>0</v>
      </c>
      <c r="J76" s="78">
        <f t="shared" si="19"/>
        <v>0</v>
      </c>
      <c r="K76" s="78">
        <f t="shared" si="19"/>
        <v>0</v>
      </c>
      <c r="L76" s="78">
        <f t="shared" si="19"/>
        <v>0</v>
      </c>
      <c r="M76" s="78">
        <f t="shared" si="19"/>
        <v>0</v>
      </c>
      <c r="N76" s="78">
        <f t="shared" si="19"/>
        <v>0</v>
      </c>
      <c r="O76" s="78">
        <f t="shared" si="19"/>
        <v>0</v>
      </c>
      <c r="P76" s="78">
        <f t="shared" si="19"/>
        <v>0</v>
      </c>
      <c r="Q76" s="78">
        <f t="shared" si="19"/>
        <v>0</v>
      </c>
      <c r="R76" s="78">
        <f t="shared" si="19"/>
        <v>0</v>
      </c>
      <c r="S76" s="78">
        <f t="shared" si="19"/>
        <v>0</v>
      </c>
      <c r="T76" s="78">
        <f t="shared" si="19"/>
        <v>0</v>
      </c>
      <c r="U76" s="78">
        <f t="shared" si="19"/>
        <v>0</v>
      </c>
      <c r="V76" s="78">
        <f t="shared" si="19"/>
        <v>0</v>
      </c>
      <c r="W76" s="78">
        <f t="shared" si="19"/>
        <v>0</v>
      </c>
      <c r="X76" s="78">
        <f t="shared" si="19"/>
        <v>0</v>
      </c>
      <c r="Y76" s="78">
        <f t="shared" si="19"/>
        <v>0</v>
      </c>
      <c r="Z76" s="78">
        <f t="shared" si="19"/>
        <v>0</v>
      </c>
      <c r="AA76" s="78">
        <f t="shared" si="19"/>
        <v>0</v>
      </c>
      <c r="AB76" s="78">
        <f t="shared" si="19"/>
        <v>0</v>
      </c>
      <c r="AC76" s="78">
        <f t="shared" si="19"/>
        <v>0</v>
      </c>
      <c r="AD76" s="78">
        <f t="shared" si="19"/>
        <v>0</v>
      </c>
      <c r="AE76" s="78">
        <f t="shared" si="19"/>
        <v>0</v>
      </c>
      <c r="AF76" s="78">
        <f t="shared" si="19"/>
        <v>0</v>
      </c>
      <c r="AG76" s="60"/>
      <c r="AH76" s="55">
        <f t="shared" ref="AH76:AH91" si="20">MAX(B76:AF76)</f>
        <v>0</v>
      </c>
      <c r="AI76" s="56">
        <f t="shared" ref="AI76:AI91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2">IF(B58&lt;0,B58*-1,0)</f>
        <v>0</v>
      </c>
      <c r="C77" s="78">
        <f t="shared" ref="C77:AF77" si="23">IF(C58&lt;0,C58*-1,0)</f>
        <v>0</v>
      </c>
      <c r="D77" s="78">
        <f t="shared" si="23"/>
        <v>0</v>
      </c>
      <c r="E77" s="78">
        <f t="shared" si="23"/>
        <v>0</v>
      </c>
      <c r="F77" s="78">
        <f t="shared" si="23"/>
        <v>0</v>
      </c>
      <c r="G77" s="78">
        <f t="shared" si="23"/>
        <v>0</v>
      </c>
      <c r="H77" s="78">
        <f t="shared" si="23"/>
        <v>0</v>
      </c>
      <c r="I77" s="78">
        <f t="shared" si="23"/>
        <v>0</v>
      </c>
      <c r="J77" s="78">
        <f t="shared" si="23"/>
        <v>0</v>
      </c>
      <c r="K77" s="78">
        <f t="shared" si="23"/>
        <v>0</v>
      </c>
      <c r="L77" s="78">
        <f t="shared" si="23"/>
        <v>0</v>
      </c>
      <c r="M77" s="78">
        <f t="shared" si="23"/>
        <v>0</v>
      </c>
      <c r="N77" s="78">
        <f t="shared" si="23"/>
        <v>0</v>
      </c>
      <c r="O77" s="78">
        <f t="shared" si="23"/>
        <v>0</v>
      </c>
      <c r="P77" s="78">
        <f t="shared" si="23"/>
        <v>0</v>
      </c>
      <c r="Q77" s="78">
        <f t="shared" si="23"/>
        <v>0</v>
      </c>
      <c r="R77" s="78">
        <f t="shared" si="23"/>
        <v>0</v>
      </c>
      <c r="S77" s="78">
        <f t="shared" si="23"/>
        <v>0</v>
      </c>
      <c r="T77" s="78">
        <f t="shared" si="23"/>
        <v>0</v>
      </c>
      <c r="U77" s="78">
        <f t="shared" si="23"/>
        <v>0</v>
      </c>
      <c r="V77" s="78">
        <f t="shared" si="23"/>
        <v>0</v>
      </c>
      <c r="W77" s="78">
        <f t="shared" si="23"/>
        <v>0</v>
      </c>
      <c r="X77" s="78">
        <f t="shared" si="23"/>
        <v>0</v>
      </c>
      <c r="Y77" s="78">
        <f t="shared" si="23"/>
        <v>0</v>
      </c>
      <c r="Z77" s="78">
        <f t="shared" si="23"/>
        <v>0</v>
      </c>
      <c r="AA77" s="78">
        <f t="shared" si="23"/>
        <v>0</v>
      </c>
      <c r="AB77" s="78">
        <f t="shared" si="23"/>
        <v>0</v>
      </c>
      <c r="AC77" s="78">
        <f t="shared" si="23"/>
        <v>0</v>
      </c>
      <c r="AD77" s="78">
        <f t="shared" si="23"/>
        <v>0</v>
      </c>
      <c r="AE77" s="78">
        <f t="shared" si="23"/>
        <v>0</v>
      </c>
      <c r="AF77" s="78">
        <f t="shared" si="23"/>
        <v>0</v>
      </c>
      <c r="AG77" s="64"/>
      <c r="AH77" s="55">
        <f t="shared" si="20"/>
        <v>0</v>
      </c>
      <c r="AI77" s="56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4">IF(B61&lt;0,B61*-1,0)</f>
        <v>0</v>
      </c>
      <c r="C78" s="78">
        <f t="shared" ref="C78:AF78" si="25">IF(C61&lt;0,C61*-1,0)</f>
        <v>0</v>
      </c>
      <c r="D78" s="78">
        <f t="shared" si="25"/>
        <v>0</v>
      </c>
      <c r="E78" s="78">
        <f t="shared" si="25"/>
        <v>0</v>
      </c>
      <c r="F78" s="78">
        <f t="shared" si="25"/>
        <v>0</v>
      </c>
      <c r="G78" s="78">
        <f t="shared" si="25"/>
        <v>0</v>
      </c>
      <c r="H78" s="78">
        <f t="shared" si="25"/>
        <v>0</v>
      </c>
      <c r="I78" s="78">
        <f t="shared" si="25"/>
        <v>0</v>
      </c>
      <c r="J78" s="78">
        <f t="shared" si="25"/>
        <v>0</v>
      </c>
      <c r="K78" s="78">
        <f t="shared" si="25"/>
        <v>0</v>
      </c>
      <c r="L78" s="78">
        <f t="shared" si="25"/>
        <v>0</v>
      </c>
      <c r="M78" s="78">
        <f t="shared" si="25"/>
        <v>0</v>
      </c>
      <c r="N78" s="78">
        <f t="shared" si="25"/>
        <v>0</v>
      </c>
      <c r="O78" s="78">
        <f t="shared" si="25"/>
        <v>0</v>
      </c>
      <c r="P78" s="78">
        <f t="shared" si="25"/>
        <v>0</v>
      </c>
      <c r="Q78" s="78">
        <f t="shared" si="25"/>
        <v>0</v>
      </c>
      <c r="R78" s="78">
        <f t="shared" si="25"/>
        <v>0</v>
      </c>
      <c r="S78" s="78">
        <f t="shared" si="25"/>
        <v>0</v>
      </c>
      <c r="T78" s="78">
        <f t="shared" si="25"/>
        <v>0</v>
      </c>
      <c r="U78" s="78">
        <f t="shared" si="25"/>
        <v>0</v>
      </c>
      <c r="V78" s="78">
        <f t="shared" si="25"/>
        <v>0</v>
      </c>
      <c r="W78" s="78">
        <f t="shared" si="25"/>
        <v>0</v>
      </c>
      <c r="X78" s="78">
        <f t="shared" si="25"/>
        <v>0</v>
      </c>
      <c r="Y78" s="78">
        <f t="shared" si="25"/>
        <v>0</v>
      </c>
      <c r="Z78" s="78">
        <f t="shared" si="25"/>
        <v>0</v>
      </c>
      <c r="AA78" s="78">
        <f t="shared" si="25"/>
        <v>0</v>
      </c>
      <c r="AB78" s="78">
        <f t="shared" si="25"/>
        <v>0</v>
      </c>
      <c r="AC78" s="78">
        <f t="shared" si="25"/>
        <v>0</v>
      </c>
      <c r="AD78" s="78">
        <f t="shared" si="25"/>
        <v>0</v>
      </c>
      <c r="AE78" s="78">
        <f t="shared" si="25"/>
        <v>0</v>
      </c>
      <c r="AF78" s="78">
        <f t="shared" si="25"/>
        <v>0</v>
      </c>
      <c r="AG78" s="87"/>
      <c r="AH78" s="55">
        <f t="shared" si="20"/>
        <v>0</v>
      </c>
      <c r="AI78" s="56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26">IF(B59&lt;0,B59*-1,0)</f>
        <v>270</v>
      </c>
      <c r="C79" s="78">
        <f t="shared" ref="C79:AF79" si="27">IF(C59&lt;0,C59*-1,0)</f>
        <v>380</v>
      </c>
      <c r="D79" s="78">
        <f t="shared" si="27"/>
        <v>385</v>
      </c>
      <c r="E79" s="78">
        <f t="shared" si="27"/>
        <v>378.8</v>
      </c>
      <c r="F79" s="78">
        <f t="shared" si="27"/>
        <v>381</v>
      </c>
      <c r="G79" s="78">
        <f t="shared" si="27"/>
        <v>377</v>
      </c>
      <c r="H79" s="78">
        <f t="shared" si="27"/>
        <v>376.2</v>
      </c>
      <c r="I79" s="78">
        <f t="shared" si="27"/>
        <v>372</v>
      </c>
      <c r="J79" s="78">
        <f t="shared" si="27"/>
        <v>278</v>
      </c>
      <c r="K79" s="78">
        <f t="shared" si="27"/>
        <v>247</v>
      </c>
      <c r="L79" s="78">
        <f t="shared" si="27"/>
        <v>261.2</v>
      </c>
      <c r="M79" s="78">
        <f t="shared" si="27"/>
        <v>270.7</v>
      </c>
      <c r="N79" s="78">
        <f t="shared" si="27"/>
        <v>252.5</v>
      </c>
      <c r="O79" s="78">
        <f t="shared" si="27"/>
        <v>279.3</v>
      </c>
      <c r="P79" s="78">
        <f t="shared" si="27"/>
        <v>284.60000000000002</v>
      </c>
      <c r="Q79" s="78">
        <f t="shared" si="27"/>
        <v>280.60000000000002</v>
      </c>
      <c r="R79" s="78">
        <f t="shared" si="27"/>
        <v>253.2</v>
      </c>
      <c r="S79" s="78">
        <f t="shared" si="27"/>
        <v>251</v>
      </c>
      <c r="T79" s="78">
        <f t="shared" si="27"/>
        <v>279</v>
      </c>
      <c r="U79" s="78">
        <f t="shared" si="27"/>
        <v>294</v>
      </c>
      <c r="V79" s="78">
        <f t="shared" si="27"/>
        <v>260</v>
      </c>
      <c r="W79" s="78">
        <f t="shared" si="27"/>
        <v>270</v>
      </c>
      <c r="X79" s="78">
        <f t="shared" si="27"/>
        <v>314</v>
      </c>
      <c r="Y79" s="78">
        <f t="shared" si="27"/>
        <v>265</v>
      </c>
      <c r="Z79" s="78">
        <f t="shared" si="27"/>
        <v>264</v>
      </c>
      <c r="AA79" s="78">
        <f t="shared" si="27"/>
        <v>264</v>
      </c>
      <c r="AB79" s="78">
        <f t="shared" si="27"/>
        <v>250</v>
      </c>
      <c r="AC79" s="78">
        <f t="shared" si="27"/>
        <v>234.4</v>
      </c>
      <c r="AD79" s="78">
        <f t="shared" si="27"/>
        <v>222</v>
      </c>
      <c r="AE79" s="78">
        <f t="shared" si="27"/>
        <v>284</v>
      </c>
      <c r="AF79" s="78">
        <f t="shared" si="27"/>
        <v>297</v>
      </c>
      <c r="AG79" s="87"/>
      <c r="AH79" s="55">
        <f t="shared" si="20"/>
        <v>385</v>
      </c>
      <c r="AI79" s="56">
        <f t="shared" si="21"/>
        <v>222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28">IF(B57&lt;0,B57*-1,0)</f>
        <v>0</v>
      </c>
      <c r="C80" s="78">
        <f t="shared" ref="C80:AF80" si="29">IF(C57&lt;0,C57*-1,0)</f>
        <v>0</v>
      </c>
      <c r="D80" s="78">
        <f t="shared" si="29"/>
        <v>0</v>
      </c>
      <c r="E80" s="78">
        <f t="shared" si="29"/>
        <v>0</v>
      </c>
      <c r="F80" s="78">
        <f t="shared" si="29"/>
        <v>0</v>
      </c>
      <c r="G80" s="78">
        <f t="shared" si="29"/>
        <v>0</v>
      </c>
      <c r="H80" s="78">
        <f t="shared" si="29"/>
        <v>0</v>
      </c>
      <c r="I80" s="78">
        <f t="shared" si="29"/>
        <v>0</v>
      </c>
      <c r="J80" s="78">
        <f t="shared" si="29"/>
        <v>0</v>
      </c>
      <c r="K80" s="78">
        <f t="shared" si="29"/>
        <v>0</v>
      </c>
      <c r="L80" s="78">
        <f t="shared" si="29"/>
        <v>0</v>
      </c>
      <c r="M80" s="78">
        <f t="shared" si="29"/>
        <v>0</v>
      </c>
      <c r="N80" s="78">
        <f t="shared" si="29"/>
        <v>0</v>
      </c>
      <c r="O80" s="78">
        <f t="shared" si="29"/>
        <v>0</v>
      </c>
      <c r="P80" s="78">
        <f t="shared" si="29"/>
        <v>0</v>
      </c>
      <c r="Q80" s="78">
        <f t="shared" si="29"/>
        <v>0</v>
      </c>
      <c r="R80" s="78">
        <f t="shared" si="29"/>
        <v>0</v>
      </c>
      <c r="S80" s="78">
        <f t="shared" si="29"/>
        <v>0</v>
      </c>
      <c r="T80" s="78">
        <f t="shared" si="29"/>
        <v>0</v>
      </c>
      <c r="U80" s="78">
        <f t="shared" si="29"/>
        <v>0</v>
      </c>
      <c r="V80" s="78">
        <f t="shared" si="29"/>
        <v>0</v>
      </c>
      <c r="W80" s="78">
        <f t="shared" si="29"/>
        <v>0</v>
      </c>
      <c r="X80" s="78">
        <f t="shared" si="29"/>
        <v>0</v>
      </c>
      <c r="Y80" s="78">
        <f t="shared" si="29"/>
        <v>0</v>
      </c>
      <c r="Z80" s="78">
        <f t="shared" si="29"/>
        <v>0</v>
      </c>
      <c r="AA80" s="78">
        <f t="shared" si="29"/>
        <v>0</v>
      </c>
      <c r="AB80" s="78">
        <f t="shared" si="29"/>
        <v>0</v>
      </c>
      <c r="AC80" s="78">
        <f t="shared" si="29"/>
        <v>0</v>
      </c>
      <c r="AD80" s="78">
        <f t="shared" si="29"/>
        <v>0</v>
      </c>
      <c r="AE80" s="78">
        <f t="shared" si="29"/>
        <v>0</v>
      </c>
      <c r="AF80" s="78">
        <f t="shared" si="29"/>
        <v>0</v>
      </c>
      <c r="AG80" s="87"/>
      <c r="AH80" s="55">
        <f t="shared" si="20"/>
        <v>0</v>
      </c>
      <c r="AI80" s="56">
        <f t="shared" si="21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0"/>
        <v>0</v>
      </c>
      <c r="AI81" s="56">
        <f t="shared" si="21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30">SUM(B76:B81)</f>
        <v>270</v>
      </c>
      <c r="C82" s="70">
        <f t="shared" ref="C82:AG82" si="31">SUM(C76:C81)</f>
        <v>380</v>
      </c>
      <c r="D82" s="70">
        <f t="shared" si="31"/>
        <v>385</v>
      </c>
      <c r="E82" s="70">
        <f t="shared" si="31"/>
        <v>378.8</v>
      </c>
      <c r="F82" s="70">
        <f t="shared" si="31"/>
        <v>381</v>
      </c>
      <c r="G82" s="70">
        <f t="shared" si="31"/>
        <v>377</v>
      </c>
      <c r="H82" s="70">
        <f t="shared" si="31"/>
        <v>376.2</v>
      </c>
      <c r="I82" s="70">
        <f t="shared" si="31"/>
        <v>372</v>
      </c>
      <c r="J82" s="70">
        <f t="shared" si="31"/>
        <v>278</v>
      </c>
      <c r="K82" s="70">
        <f t="shared" si="31"/>
        <v>247</v>
      </c>
      <c r="L82" s="70">
        <f t="shared" si="31"/>
        <v>261.2</v>
      </c>
      <c r="M82" s="70">
        <f t="shared" si="31"/>
        <v>270.7</v>
      </c>
      <c r="N82" s="70">
        <f t="shared" si="31"/>
        <v>252.5</v>
      </c>
      <c r="O82" s="70">
        <f t="shared" si="31"/>
        <v>279.3</v>
      </c>
      <c r="P82" s="70">
        <f t="shared" si="31"/>
        <v>284.60000000000002</v>
      </c>
      <c r="Q82" s="70">
        <f t="shared" si="31"/>
        <v>280.60000000000002</v>
      </c>
      <c r="R82" s="70">
        <f t="shared" si="31"/>
        <v>253.2</v>
      </c>
      <c r="S82" s="70">
        <f t="shared" si="31"/>
        <v>251</v>
      </c>
      <c r="T82" s="70">
        <f t="shared" si="31"/>
        <v>279</v>
      </c>
      <c r="U82" s="70">
        <f t="shared" si="31"/>
        <v>294</v>
      </c>
      <c r="V82" s="70">
        <f t="shared" si="31"/>
        <v>260</v>
      </c>
      <c r="W82" s="70">
        <f t="shared" si="31"/>
        <v>270</v>
      </c>
      <c r="X82" s="70">
        <f t="shared" si="31"/>
        <v>314</v>
      </c>
      <c r="Y82" s="70">
        <f t="shared" si="31"/>
        <v>265</v>
      </c>
      <c r="Z82" s="70">
        <f t="shared" si="31"/>
        <v>264</v>
      </c>
      <c r="AA82" s="70">
        <f t="shared" si="31"/>
        <v>264</v>
      </c>
      <c r="AB82" s="70">
        <f t="shared" si="31"/>
        <v>250</v>
      </c>
      <c r="AC82" s="70">
        <f t="shared" si="31"/>
        <v>234.4</v>
      </c>
      <c r="AD82" s="70">
        <f t="shared" si="31"/>
        <v>222</v>
      </c>
      <c r="AE82" s="70">
        <f t="shared" si="31"/>
        <v>284</v>
      </c>
      <c r="AF82" s="70">
        <f t="shared" si="31"/>
        <v>297</v>
      </c>
      <c r="AG82" s="74">
        <f t="shared" si="31"/>
        <v>0</v>
      </c>
      <c r="AH82" s="55">
        <f t="shared" si="20"/>
        <v>385</v>
      </c>
      <c r="AI82" s="56">
        <f t="shared" si="21"/>
        <v>222</v>
      </c>
      <c r="AK82" s="57"/>
    </row>
    <row r="83" spans="1:88" s="1" customFormat="1" ht="15.75" thickBot="1" x14ac:dyDescent="0.3">
      <c r="A83" s="69" t="s">
        <v>88</v>
      </c>
      <c r="B83" s="70">
        <f t="shared" ref="B83" si="32">B68-B82</f>
        <v>-162.1</v>
      </c>
      <c r="C83" s="70">
        <f t="shared" ref="C83:AF83" si="33">C68-C82</f>
        <v>-270.10000000000002</v>
      </c>
      <c r="D83" s="70">
        <f t="shared" si="33"/>
        <v>-271.7</v>
      </c>
      <c r="E83" s="70">
        <f t="shared" si="33"/>
        <v>-273.20000000000005</v>
      </c>
      <c r="F83" s="70">
        <f t="shared" si="33"/>
        <v>-298.5</v>
      </c>
      <c r="G83" s="70">
        <f t="shared" si="33"/>
        <v>-294.5</v>
      </c>
      <c r="H83" s="70">
        <f t="shared" si="33"/>
        <v>-299.60000000000002</v>
      </c>
      <c r="I83" s="70">
        <f t="shared" si="33"/>
        <v>-300.3</v>
      </c>
      <c r="J83" s="70">
        <f t="shared" si="33"/>
        <v>-207</v>
      </c>
      <c r="K83" s="70">
        <f t="shared" si="33"/>
        <v>-201.7</v>
      </c>
      <c r="L83" s="70">
        <f t="shared" si="33"/>
        <v>-208.2</v>
      </c>
      <c r="M83" s="70">
        <f t="shared" si="33"/>
        <v>-221.5</v>
      </c>
      <c r="N83" s="70">
        <f t="shared" si="33"/>
        <v>-180.9</v>
      </c>
      <c r="O83" s="70">
        <f t="shared" si="33"/>
        <v>-197.8</v>
      </c>
      <c r="P83" s="70">
        <f t="shared" si="33"/>
        <v>-202.40000000000003</v>
      </c>
      <c r="Q83" s="70">
        <f t="shared" si="33"/>
        <v>-208.20000000000002</v>
      </c>
      <c r="R83" s="70">
        <f t="shared" si="33"/>
        <v>-183.5</v>
      </c>
      <c r="S83" s="70">
        <f t="shared" si="33"/>
        <v>-184</v>
      </c>
      <c r="T83" s="70">
        <f t="shared" si="33"/>
        <v>-208.4</v>
      </c>
      <c r="U83" s="70">
        <f t="shared" si="33"/>
        <v>-231.5</v>
      </c>
      <c r="V83" s="70">
        <f t="shared" si="33"/>
        <v>-200.3</v>
      </c>
      <c r="W83" s="70">
        <f t="shared" si="33"/>
        <v>-203.8</v>
      </c>
      <c r="X83" s="70">
        <f t="shared" si="33"/>
        <v>-259</v>
      </c>
      <c r="Y83" s="70">
        <f t="shared" si="33"/>
        <v>-203.9</v>
      </c>
      <c r="Z83" s="70">
        <f t="shared" si="33"/>
        <v>-209.7</v>
      </c>
      <c r="AA83" s="70">
        <f t="shared" si="33"/>
        <v>-196.7</v>
      </c>
      <c r="AB83" s="70">
        <f t="shared" si="33"/>
        <v>-185</v>
      </c>
      <c r="AC83" s="70">
        <f t="shared" si="33"/>
        <v>-166.3</v>
      </c>
      <c r="AD83" s="70">
        <f t="shared" si="33"/>
        <v>-147.80000000000001</v>
      </c>
      <c r="AE83" s="70">
        <f t="shared" si="33"/>
        <v>-200.8</v>
      </c>
      <c r="AF83" s="70">
        <f t="shared" si="33"/>
        <v>-215.2</v>
      </c>
      <c r="AG83" s="74">
        <f t="shared" ref="AG83" si="34">SUM(AG70:AG82)</f>
        <v>4360.08</v>
      </c>
      <c r="AH83" s="55">
        <f t="shared" si="20"/>
        <v>-147.80000000000001</v>
      </c>
      <c r="AI83" s="56">
        <f t="shared" si="21"/>
        <v>-300.3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49.98</v>
      </c>
      <c r="C84" s="90">
        <v>50.03</v>
      </c>
      <c r="D84" s="90">
        <v>49.92</v>
      </c>
      <c r="E84" s="90">
        <v>50.014000000000003</v>
      </c>
      <c r="F84" s="90">
        <v>49.951000000000001</v>
      </c>
      <c r="G84" s="90">
        <v>50.015999999999998</v>
      </c>
      <c r="H84" s="90">
        <v>49.902999999999999</v>
      </c>
      <c r="I84" s="90">
        <v>49.985999999999997</v>
      </c>
      <c r="J84" s="90">
        <v>49.965000000000003</v>
      </c>
      <c r="K84" s="90">
        <v>50.006999999999998</v>
      </c>
      <c r="L84" s="90">
        <v>50.031999999999996</v>
      </c>
      <c r="M84" s="90">
        <v>50.048000000000002</v>
      </c>
      <c r="N84" s="90">
        <v>50.238999999999997</v>
      </c>
      <c r="O84" s="90">
        <v>50.003</v>
      </c>
      <c r="P84" s="90">
        <v>49.802999999999997</v>
      </c>
      <c r="Q84" s="90">
        <v>49.997999999999998</v>
      </c>
      <c r="R84" s="90">
        <v>50.076000000000001</v>
      </c>
      <c r="S84" s="90">
        <v>50.2</v>
      </c>
      <c r="T84" s="90">
        <v>49.98</v>
      </c>
      <c r="U84" s="90">
        <v>50.04</v>
      </c>
      <c r="V84" s="90">
        <v>49.92</v>
      </c>
      <c r="W84" s="90">
        <v>49.83</v>
      </c>
      <c r="X84" s="90">
        <v>49.83</v>
      </c>
      <c r="Y84" s="90">
        <v>49.9</v>
      </c>
      <c r="Z84" s="90">
        <v>50.06</v>
      </c>
      <c r="AA84" s="90">
        <v>50.06</v>
      </c>
      <c r="AB84" s="90">
        <v>49.948</v>
      </c>
      <c r="AC84" s="90">
        <v>49.912999999999997</v>
      </c>
      <c r="AD84" s="90">
        <v>50.026000000000003</v>
      </c>
      <c r="AE84" s="90">
        <v>50.087000000000003</v>
      </c>
      <c r="AF84" s="90">
        <v>50.048000000000002</v>
      </c>
      <c r="AG84" s="91"/>
      <c r="AH84" s="55">
        <f t="shared" si="20"/>
        <v>50.238999999999997</v>
      </c>
      <c r="AI84" s="56">
        <f t="shared" si="21"/>
        <v>49.802999999999997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123.4</v>
      </c>
      <c r="C85" s="49">
        <v>122</v>
      </c>
      <c r="D85" s="49">
        <v>122.2</v>
      </c>
      <c r="E85" s="49">
        <v>123</v>
      </c>
      <c r="F85" s="49">
        <v>123</v>
      </c>
      <c r="G85" s="49">
        <v>122.3</v>
      </c>
      <c r="H85" s="49">
        <v>122.3</v>
      </c>
      <c r="I85" s="49">
        <v>123.5</v>
      </c>
      <c r="J85" s="49">
        <v>122</v>
      </c>
      <c r="K85" s="49">
        <v>122.7</v>
      </c>
      <c r="L85" s="49">
        <v>122.5</v>
      </c>
      <c r="M85" s="49">
        <v>123.5</v>
      </c>
      <c r="N85" s="49">
        <v>121.8</v>
      </c>
      <c r="O85" s="49">
        <v>123.9</v>
      </c>
      <c r="P85" s="49">
        <v>122.7</v>
      </c>
      <c r="Q85" s="49">
        <v>123.2</v>
      </c>
      <c r="R85" s="49">
        <v>119.9</v>
      </c>
      <c r="S85" s="49">
        <v>121.5</v>
      </c>
      <c r="T85" s="49">
        <v>124.6</v>
      </c>
      <c r="U85" s="49">
        <v>125.9</v>
      </c>
      <c r="V85" s="49">
        <v>126</v>
      </c>
      <c r="W85" s="49">
        <v>123.9</v>
      </c>
      <c r="X85" s="49">
        <v>123.9</v>
      </c>
      <c r="Y85" s="49">
        <v>125.4</v>
      </c>
      <c r="Z85" s="49">
        <v>125.4</v>
      </c>
      <c r="AA85" s="49">
        <v>125.4</v>
      </c>
      <c r="AB85" s="49">
        <v>123.8</v>
      </c>
      <c r="AC85" s="49">
        <v>123.6</v>
      </c>
      <c r="AD85" s="49">
        <v>122.2</v>
      </c>
      <c r="AE85" s="49">
        <v>123.1</v>
      </c>
      <c r="AF85" s="49">
        <v>122.7</v>
      </c>
      <c r="AG85" s="93"/>
      <c r="AH85" s="55">
        <f t="shared" si="20"/>
        <v>126</v>
      </c>
      <c r="AI85" s="56">
        <f t="shared" si="21"/>
        <v>119.9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</v>
      </c>
      <c r="C86" s="49">
        <v>127.6</v>
      </c>
      <c r="D86" s="49">
        <v>128.1</v>
      </c>
      <c r="E86" s="49">
        <v>128.80000000000001</v>
      </c>
      <c r="F86" s="49">
        <v>128.80000000000001</v>
      </c>
      <c r="G86" s="49">
        <v>128</v>
      </c>
      <c r="H86" s="49">
        <v>128</v>
      </c>
      <c r="I86" s="49">
        <v>127.5</v>
      </c>
      <c r="J86" s="49">
        <v>126.7</v>
      </c>
      <c r="K86" s="49">
        <v>126.7</v>
      </c>
      <c r="L86" s="49">
        <v>126.9</v>
      </c>
      <c r="M86" s="49">
        <v>127.7</v>
      </c>
      <c r="N86" s="49">
        <v>125.9</v>
      </c>
      <c r="O86" s="49">
        <v>127.5</v>
      </c>
      <c r="P86" s="49">
        <v>126.7</v>
      </c>
      <c r="Q86" s="49">
        <v>126.8</v>
      </c>
      <c r="R86" s="49">
        <v>124.2</v>
      </c>
      <c r="S86" s="49">
        <v>125.2</v>
      </c>
      <c r="T86" s="49">
        <v>127.2</v>
      </c>
      <c r="U86" s="49">
        <v>129</v>
      </c>
      <c r="V86" s="49">
        <v>128.4</v>
      </c>
      <c r="W86" s="49">
        <v>127.3</v>
      </c>
      <c r="X86" s="49">
        <v>127.3</v>
      </c>
      <c r="Y86" s="49">
        <v>128.30000000000001</v>
      </c>
      <c r="Z86" s="49">
        <v>128.1</v>
      </c>
      <c r="AA86" s="49">
        <v>128.1</v>
      </c>
      <c r="AB86" s="49">
        <v>127.5</v>
      </c>
      <c r="AC86" s="49">
        <v>127.9</v>
      </c>
      <c r="AD86" s="49">
        <v>127</v>
      </c>
      <c r="AE86" s="49">
        <v>127.8</v>
      </c>
      <c r="AF86" s="49">
        <v>128.1</v>
      </c>
      <c r="AG86" s="93"/>
      <c r="AH86" s="55">
        <f t="shared" si="20"/>
        <v>129</v>
      </c>
      <c r="AI86" s="56">
        <f t="shared" si="21"/>
        <v>124.2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127.5</v>
      </c>
      <c r="C87" s="49">
        <v>126.9</v>
      </c>
      <c r="D87" s="49">
        <v>127.7</v>
      </c>
      <c r="E87" s="49">
        <v>128.80000000000001</v>
      </c>
      <c r="F87" s="49">
        <v>128.80000000000001</v>
      </c>
      <c r="G87" s="49">
        <v>129.19999999999999</v>
      </c>
      <c r="H87" s="49">
        <v>129.19999999999999</v>
      </c>
      <c r="I87" s="49">
        <v>126.7</v>
      </c>
      <c r="J87" s="49">
        <v>127.9</v>
      </c>
      <c r="K87" s="49">
        <v>127.9</v>
      </c>
      <c r="L87" s="49">
        <v>127.5</v>
      </c>
      <c r="M87" s="49">
        <v>126.5</v>
      </c>
      <c r="N87" s="49">
        <v>123.7</v>
      </c>
      <c r="O87" s="49">
        <v>125.9</v>
      </c>
      <c r="P87" s="49">
        <v>124.7</v>
      </c>
      <c r="Q87" s="49">
        <v>127.4</v>
      </c>
      <c r="R87" s="49">
        <v>126.2</v>
      </c>
      <c r="S87" s="49">
        <v>126.1</v>
      </c>
      <c r="T87" s="49">
        <v>128</v>
      </c>
      <c r="U87" s="49">
        <v>128</v>
      </c>
      <c r="V87" s="49">
        <v>128.9</v>
      </c>
      <c r="W87" s="49">
        <v>129.4</v>
      </c>
      <c r="X87" s="49">
        <v>129.4</v>
      </c>
      <c r="Y87" s="49">
        <v>129.80000000000001</v>
      </c>
      <c r="Z87" s="49">
        <v>129.4</v>
      </c>
      <c r="AA87" s="49">
        <v>129.4</v>
      </c>
      <c r="AB87" s="49">
        <v>128.4</v>
      </c>
      <c r="AC87" s="49">
        <v>128.6</v>
      </c>
      <c r="AD87" s="49">
        <v>129.5</v>
      </c>
      <c r="AE87" s="49">
        <v>128.6</v>
      </c>
      <c r="AF87" s="49">
        <v>127.6</v>
      </c>
      <c r="AG87" s="93"/>
      <c r="AH87" s="55">
        <f t="shared" si="20"/>
        <v>129.80000000000001</v>
      </c>
      <c r="AI87" s="56">
        <f t="shared" si="21"/>
        <v>123.7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131.1</v>
      </c>
      <c r="C88" s="49">
        <v>131.1</v>
      </c>
      <c r="D88" s="49">
        <v>131.6</v>
      </c>
      <c r="E88" s="49">
        <v>132.4</v>
      </c>
      <c r="F88" s="49">
        <v>132.4</v>
      </c>
      <c r="G88" s="49">
        <v>132.4</v>
      </c>
      <c r="H88" s="49">
        <v>132.4</v>
      </c>
      <c r="I88" s="49">
        <v>129.4</v>
      </c>
      <c r="J88" s="49">
        <v>131.69999999999999</v>
      </c>
      <c r="K88" s="49">
        <v>131.69999999999999</v>
      </c>
      <c r="L88" s="49">
        <v>131.19999999999999</v>
      </c>
      <c r="M88" s="49">
        <v>130.1</v>
      </c>
      <c r="N88" s="49">
        <v>126.7</v>
      </c>
      <c r="O88" s="49">
        <v>127.8</v>
      </c>
      <c r="P88" s="49">
        <v>127</v>
      </c>
      <c r="Q88" s="49">
        <v>129.1</v>
      </c>
      <c r="R88" s="49">
        <v>129</v>
      </c>
      <c r="S88" s="49">
        <v>128.4</v>
      </c>
      <c r="T88" s="49">
        <v>129.80000000000001</v>
      </c>
      <c r="U88" s="49">
        <v>129.6</v>
      </c>
      <c r="V88" s="49">
        <v>131.6</v>
      </c>
      <c r="W88" s="49">
        <v>131.9</v>
      </c>
      <c r="X88" s="49">
        <v>131.9</v>
      </c>
      <c r="Y88" s="49">
        <v>134.1</v>
      </c>
      <c r="Z88" s="49">
        <v>1341</v>
      </c>
      <c r="AA88" s="49">
        <v>1341</v>
      </c>
      <c r="AB88" s="49">
        <v>132.1</v>
      </c>
      <c r="AC88" s="49">
        <v>132.30000000000001</v>
      </c>
      <c r="AD88" s="49">
        <v>132.9</v>
      </c>
      <c r="AE88" s="49">
        <v>132.30000000000001</v>
      </c>
      <c r="AF88" s="49">
        <v>132</v>
      </c>
      <c r="AG88" s="93"/>
      <c r="AH88" s="55">
        <f t="shared" si="20"/>
        <v>1341</v>
      </c>
      <c r="AI88" s="56">
        <f t="shared" si="21"/>
        <v>126.7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132.5</v>
      </c>
      <c r="C89" s="95">
        <v>131.69999999999999</v>
      </c>
      <c r="D89" s="95">
        <v>132.30000000000001</v>
      </c>
      <c r="E89" s="95">
        <v>134</v>
      </c>
      <c r="F89" s="95">
        <v>134</v>
      </c>
      <c r="G89" s="95">
        <v>131.69999999999999</v>
      </c>
      <c r="H89" s="95">
        <v>131.69999999999999</v>
      </c>
      <c r="I89" s="95">
        <v>133.9</v>
      </c>
      <c r="J89" s="95">
        <v>132.5</v>
      </c>
      <c r="K89" s="95">
        <v>132.5</v>
      </c>
      <c r="L89" s="95">
        <v>126.3</v>
      </c>
      <c r="M89" s="95">
        <v>134.1</v>
      </c>
      <c r="N89" s="95">
        <v>132.1</v>
      </c>
      <c r="O89" s="95">
        <v>136.19999999999999</v>
      </c>
      <c r="P89" s="95">
        <v>131.5</v>
      </c>
      <c r="Q89" s="95">
        <v>130.19999999999999</v>
      </c>
      <c r="R89" s="95">
        <v>132.6</v>
      </c>
      <c r="S89" s="95">
        <v>132.6</v>
      </c>
      <c r="T89" s="95">
        <v>133.9</v>
      </c>
      <c r="U89" s="95">
        <v>130.5</v>
      </c>
      <c r="V89" s="95">
        <v>131.6</v>
      </c>
      <c r="W89" s="95">
        <v>128.5</v>
      </c>
      <c r="X89" s="95">
        <v>128.5</v>
      </c>
      <c r="Y89" s="95">
        <v>135.30000000000001</v>
      </c>
      <c r="Z89" s="95">
        <v>132.1</v>
      </c>
      <c r="AA89" s="95">
        <v>132.1</v>
      </c>
      <c r="AB89" s="95">
        <v>129.69999999999999</v>
      </c>
      <c r="AC89" s="95">
        <v>131.5</v>
      </c>
      <c r="AD89" s="95">
        <v>131.30000000000001</v>
      </c>
      <c r="AE89" s="95">
        <v>132.6</v>
      </c>
      <c r="AF89" s="95">
        <v>131.4</v>
      </c>
      <c r="AG89" s="96"/>
      <c r="AH89" s="55">
        <f t="shared" si="20"/>
        <v>136.19999999999999</v>
      </c>
      <c r="AI89" s="56">
        <f t="shared" si="21"/>
        <v>126.3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124.2</v>
      </c>
      <c r="C90" s="49">
        <v>125.2</v>
      </c>
      <c r="D90" s="49">
        <v>128.6</v>
      </c>
      <c r="E90" s="49">
        <v>129.1</v>
      </c>
      <c r="F90" s="49">
        <v>129.1</v>
      </c>
      <c r="G90" s="49">
        <v>124.1</v>
      </c>
      <c r="H90" s="49">
        <v>124.1</v>
      </c>
      <c r="I90" s="49">
        <v>132.69999999999999</v>
      </c>
      <c r="J90" s="49">
        <v>129</v>
      </c>
      <c r="K90" s="49">
        <v>129</v>
      </c>
      <c r="L90" s="49">
        <v>115</v>
      </c>
      <c r="M90" s="49">
        <v>128.5</v>
      </c>
      <c r="N90" s="49">
        <v>129.4</v>
      </c>
      <c r="O90" s="49">
        <v>123.6</v>
      </c>
      <c r="P90" s="49">
        <v>129.4</v>
      </c>
      <c r="Q90" s="49">
        <v>125.8</v>
      </c>
      <c r="R90" s="49">
        <v>124.1</v>
      </c>
      <c r="S90" s="49">
        <v>131.69999999999999</v>
      </c>
      <c r="T90" s="49">
        <v>133.1</v>
      </c>
      <c r="U90" s="49">
        <v>125.9</v>
      </c>
      <c r="V90" s="49">
        <v>130.6</v>
      </c>
      <c r="W90" s="49">
        <v>127.5</v>
      </c>
      <c r="X90" s="49">
        <v>127.5</v>
      </c>
      <c r="Y90" s="49">
        <v>129.30000000000001</v>
      </c>
      <c r="Z90" s="49">
        <v>129.30000000000001</v>
      </c>
      <c r="AA90" s="49">
        <v>129.30000000000001</v>
      </c>
      <c r="AB90" s="49">
        <v>121.5</v>
      </c>
      <c r="AC90" s="49">
        <v>126.9</v>
      </c>
      <c r="AD90" s="49">
        <v>128.69999999999999</v>
      </c>
      <c r="AE90" s="49">
        <v>127.1</v>
      </c>
      <c r="AF90" s="49">
        <v>129.6</v>
      </c>
      <c r="AG90" s="93"/>
      <c r="AH90" s="55">
        <f t="shared" si="20"/>
        <v>133.1</v>
      </c>
      <c r="AI90" s="56">
        <f t="shared" si="21"/>
        <v>115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65.5</v>
      </c>
      <c r="C91" s="97">
        <v>64.400000000000006</v>
      </c>
      <c r="D91" s="97">
        <v>64.5</v>
      </c>
      <c r="E91" s="97">
        <v>65.2</v>
      </c>
      <c r="F91" s="97">
        <v>65.2</v>
      </c>
      <c r="G91" s="97">
        <v>64.7</v>
      </c>
      <c r="H91" s="97">
        <v>64.5</v>
      </c>
      <c r="I91" s="97">
        <v>64.2</v>
      </c>
      <c r="J91" s="97">
        <v>63.5</v>
      </c>
      <c r="K91" s="97">
        <v>64.2</v>
      </c>
      <c r="L91" s="97">
        <v>64.099999999999994</v>
      </c>
      <c r="M91" s="97">
        <v>64.400000000000006</v>
      </c>
      <c r="N91" s="97">
        <v>63.8</v>
      </c>
      <c r="O91" s="97">
        <v>64.3</v>
      </c>
      <c r="P91" s="97">
        <v>63.9</v>
      </c>
      <c r="Q91" s="97">
        <v>64</v>
      </c>
      <c r="R91" s="97">
        <v>62.4</v>
      </c>
      <c r="S91" s="97">
        <v>63.4</v>
      </c>
      <c r="T91" s="97">
        <v>64.099999999999994</v>
      </c>
      <c r="U91" s="97">
        <v>64.7</v>
      </c>
      <c r="V91" s="97">
        <v>64.3</v>
      </c>
      <c r="W91" s="97">
        <v>64.099999999999994</v>
      </c>
      <c r="X91" s="97">
        <v>64.099999999999994</v>
      </c>
      <c r="Y91" s="97">
        <v>64.599999999999994</v>
      </c>
      <c r="Z91" s="97">
        <v>64.599999999999994</v>
      </c>
      <c r="AA91" s="97">
        <v>64.599999999999994</v>
      </c>
      <c r="AB91" s="97">
        <v>64.599999999999994</v>
      </c>
      <c r="AC91" s="97">
        <v>64.7</v>
      </c>
      <c r="AD91" s="97">
        <v>64.3</v>
      </c>
      <c r="AE91" s="97">
        <v>64.5</v>
      </c>
      <c r="AF91" s="97">
        <v>64.7</v>
      </c>
      <c r="AG91" s="98"/>
      <c r="AH91" s="55">
        <f t="shared" si="20"/>
        <v>65.5</v>
      </c>
      <c r="AI91" s="56">
        <f t="shared" si="21"/>
        <v>62.4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" si="35">SUM(B15,B18,B21:B22,B42,B44:B45,B47,B49,B94:B97,B103,B109,B115,B124,B126,B138,B145,B148:B149,B156,B158,B160,B164:B166,B168:B170,B175,B181:B182,B184:B186,B194,B199)</f>
        <v>165.53999999999996</v>
      </c>
      <c r="C93" s="103">
        <f t="shared" ref="C93:AF93" si="36">SUM(C15,C18,C21:C22,C42,C44:C45,C47,C49,C94:C97,C103,C109,C115,C124,C126,C138,C145,C148:C149,C156,C158,C160,C164:C166,C168:C170,C175,C181:C182,C184:C186,C194,C199)</f>
        <v>187.53999999999994</v>
      </c>
      <c r="D93" s="103">
        <f t="shared" si="36"/>
        <v>160.33999999999997</v>
      </c>
      <c r="E93" s="103">
        <f t="shared" si="36"/>
        <v>161.13999999999999</v>
      </c>
      <c r="F93" s="103">
        <f t="shared" si="36"/>
        <v>155.03999999999996</v>
      </c>
      <c r="G93" s="103">
        <f t="shared" si="36"/>
        <v>165.73999999999998</v>
      </c>
      <c r="H93" s="103">
        <f t="shared" si="36"/>
        <v>199.13999999999996</v>
      </c>
      <c r="I93" s="103">
        <f t="shared" si="36"/>
        <v>240.03999999999996</v>
      </c>
      <c r="J93" s="103">
        <f t="shared" si="36"/>
        <v>258.44000000000005</v>
      </c>
      <c r="K93" s="103">
        <f>SUM(K15,K18,K21:K22,K42,K44:K45,K47,K49,K94:K97,K103,K109,K115,K124,K126,K138,K145,K148:K149,K156,K158,K160,K164:K166,K168:K170,K175,K181:K182,K184:K186,K194,K199)</f>
        <v>295.84000000000003</v>
      </c>
      <c r="L93" s="103">
        <f>SUM(L15,L18,L21:L22,L42,L44:L45,L47,L49,L94:L97,L103,L109,L115,L124,L126,L138,L145,L148:L149,L156,L158,L160,L164:L166,L168:L170,L175,L181:L182,L184:L186,L194,L199)</f>
        <v>308.04000000000002</v>
      </c>
      <c r="M93" s="103">
        <f t="shared" si="36"/>
        <v>295.74</v>
      </c>
      <c r="N93" s="103">
        <f t="shared" si="36"/>
        <v>293.14000000000004</v>
      </c>
      <c r="O93" s="103">
        <f t="shared" si="36"/>
        <v>324.34000000000003</v>
      </c>
      <c r="P93" s="103">
        <f t="shared" si="36"/>
        <v>314.84000000000003</v>
      </c>
      <c r="Q93" s="103">
        <f t="shared" si="36"/>
        <v>352.03999999999996</v>
      </c>
      <c r="R93" s="103">
        <f t="shared" si="36"/>
        <v>302.94</v>
      </c>
      <c r="S93" s="103">
        <f t="shared" si="36"/>
        <v>344.74</v>
      </c>
      <c r="T93" s="103">
        <f t="shared" si="36"/>
        <v>303.14000000000004</v>
      </c>
      <c r="U93" s="103">
        <f t="shared" si="36"/>
        <v>277.74</v>
      </c>
      <c r="V93" s="103">
        <f t="shared" si="36"/>
        <v>278.24000000000007</v>
      </c>
      <c r="W93" s="103">
        <f>SUM(W15,W18,W21:W22,W42,W44:W45,W47,W49,W94:W97,W103,W109,W115,W124,W126,W138,W145,W148:W149,W156,W158,W160,W164:W166,W168:W170,W175,W181:W182,W184:W186,W194,W199)</f>
        <v>267.64</v>
      </c>
      <c r="X93" s="103">
        <f>SUM(X15,X18,X21:X22,X42,X44:X45,X47,X49,X94:X97,X103,X109,X115,X124,X126,X138,X145,X148:X149,X156,X158,X160,X164:X166,X168:X170,X175,X181:X182,X184:X186,X194,X199)</f>
        <v>265.94000000000005</v>
      </c>
      <c r="Y93" s="103">
        <f t="shared" si="36"/>
        <v>289.14</v>
      </c>
      <c r="Z93" s="103">
        <f t="shared" si="36"/>
        <v>315.74</v>
      </c>
      <c r="AA93" s="103">
        <f t="shared" si="36"/>
        <v>336.64</v>
      </c>
      <c r="AB93" s="103">
        <f t="shared" si="36"/>
        <v>288.53999999999996</v>
      </c>
      <c r="AC93" s="103">
        <f t="shared" si="36"/>
        <v>283.74</v>
      </c>
      <c r="AD93" s="103">
        <f t="shared" si="36"/>
        <v>259.54000000000008</v>
      </c>
      <c r="AE93" s="103">
        <f t="shared" si="36"/>
        <v>187.73999999999995</v>
      </c>
      <c r="AF93" s="103">
        <f t="shared" si="36"/>
        <v>156.83999999999997</v>
      </c>
      <c r="AG93" s="104"/>
      <c r="AH93" s="55">
        <f>MAX(C93:AF93)</f>
        <v>352.03999999999996</v>
      </c>
      <c r="AI93" s="56">
        <f>MIN(C93:AF93)</f>
        <v>155.03999999999996</v>
      </c>
    </row>
    <row r="94" spans="1:88" x14ac:dyDescent="0.25">
      <c r="A94" s="105" t="s">
        <v>98</v>
      </c>
      <c r="B94" s="106">
        <v>34.200000000000003</v>
      </c>
      <c r="C94" s="106">
        <v>36.6</v>
      </c>
      <c r="D94" s="106">
        <v>48.4</v>
      </c>
      <c r="E94" s="106">
        <v>44.7</v>
      </c>
      <c r="F94" s="106">
        <v>42.6</v>
      </c>
      <c r="G94" s="106">
        <v>41.2</v>
      </c>
      <c r="H94" s="106">
        <v>50.9</v>
      </c>
      <c r="I94" s="106">
        <v>45.5</v>
      </c>
      <c r="J94" s="106">
        <v>57</v>
      </c>
      <c r="K94" s="106">
        <v>36.5</v>
      </c>
      <c r="L94" s="106">
        <v>46</v>
      </c>
      <c r="M94" s="106">
        <v>58.5</v>
      </c>
      <c r="N94" s="106">
        <v>44.7</v>
      </c>
      <c r="O94" s="106">
        <v>47.9</v>
      </c>
      <c r="P94" s="106">
        <v>51.2</v>
      </c>
      <c r="Q94" s="106">
        <v>78.7</v>
      </c>
      <c r="R94" s="106">
        <v>43.4</v>
      </c>
      <c r="S94" s="106">
        <v>43.1</v>
      </c>
      <c r="T94" s="106">
        <v>44.4</v>
      </c>
      <c r="U94" s="106">
        <v>45</v>
      </c>
      <c r="V94" s="106">
        <v>44.3</v>
      </c>
      <c r="W94" s="106">
        <v>40.200000000000003</v>
      </c>
      <c r="X94" s="106">
        <v>41.2</v>
      </c>
      <c r="Y94" s="106">
        <v>47.3</v>
      </c>
      <c r="Z94" s="106">
        <v>46.5</v>
      </c>
      <c r="AA94" s="106">
        <v>32.799999999999997</v>
      </c>
      <c r="AB94" s="106">
        <v>34.1</v>
      </c>
      <c r="AC94" s="106">
        <v>28.4</v>
      </c>
      <c r="AD94" s="106">
        <v>30.1</v>
      </c>
      <c r="AE94" s="106">
        <v>25.5</v>
      </c>
      <c r="AF94" s="106">
        <v>28.5</v>
      </c>
      <c r="AG94" s="107">
        <v>75</v>
      </c>
      <c r="AH94" s="55">
        <f t="shared" ref="AH94:AH100" si="37">IF(ABS(MAX(C94:AF94))&gt;ABS(MIN(C94:AF94)),MAX(C94:AF94),MIN(C94:AF94))</f>
        <v>78.7</v>
      </c>
      <c r="AI94" s="108">
        <f t="shared" ref="AI94:AI100" si="38">INDEX($C$9:$AF$9,1,MATCH(AH94,C94:AF94,0))</f>
        <v>0.5</v>
      </c>
    </row>
    <row r="95" spans="1:88" x14ac:dyDescent="0.25">
      <c r="A95" s="109" t="s">
        <v>99</v>
      </c>
      <c r="B95" s="110">
        <v>-111</v>
      </c>
      <c r="C95" s="110">
        <f>-53.6-59.1</f>
        <v>-112.7</v>
      </c>
      <c r="D95" s="110">
        <f>-61.4-68.3</f>
        <v>-129.69999999999999</v>
      </c>
      <c r="E95" s="110">
        <v>-130</v>
      </c>
      <c r="F95" s="110">
        <v>-131.1</v>
      </c>
      <c r="G95" s="110">
        <v>-127</v>
      </c>
      <c r="H95" s="110">
        <v>-110</v>
      </c>
      <c r="I95" s="110">
        <v>-87</v>
      </c>
      <c r="J95" s="110">
        <v>-83</v>
      </c>
      <c r="K95" s="110">
        <v>-72</v>
      </c>
      <c r="L95" s="110">
        <v>-64</v>
      </c>
      <c r="M95" s="110">
        <v>-72</v>
      </c>
      <c r="N95" s="110">
        <f>-34.3-40.3</f>
        <v>-74.599999999999994</v>
      </c>
      <c r="O95" s="110">
        <f>-23.1-35.2</f>
        <v>-58.300000000000004</v>
      </c>
      <c r="P95" s="110">
        <f>-25.5-38.4</f>
        <v>-63.9</v>
      </c>
      <c r="Q95" s="110">
        <f>-25.5-38.3</f>
        <v>-63.8</v>
      </c>
      <c r="R95" s="110">
        <f>-35-39.4</f>
        <v>-74.400000000000006</v>
      </c>
      <c r="S95" s="110">
        <f>-2.6-36.8</f>
        <v>-39.4</v>
      </c>
      <c r="T95" s="110">
        <f>-21.9-29.4</f>
        <v>-51.3</v>
      </c>
      <c r="U95" s="110">
        <f>-31.2-41.1</f>
        <v>-72.3</v>
      </c>
      <c r="V95" s="110">
        <f>-26.7-33.9</f>
        <v>-60.599999999999994</v>
      </c>
      <c r="W95" s="110">
        <f>-33.3-40.8</f>
        <v>-74.099999999999994</v>
      </c>
      <c r="X95" s="110">
        <f t="shared" ref="X95" si="39">-33.3-40.8</f>
        <v>-74.099999999999994</v>
      </c>
      <c r="Y95" s="110">
        <f>-24.8-30.1</f>
        <v>-54.900000000000006</v>
      </c>
      <c r="Z95" s="110">
        <f>-20.2-24.5</f>
        <v>-44.7</v>
      </c>
      <c r="AA95" s="110">
        <f>-18.6-24.3</f>
        <v>-42.900000000000006</v>
      </c>
      <c r="AB95" s="110">
        <f>-29.8-35.6</f>
        <v>-65.400000000000006</v>
      </c>
      <c r="AC95" s="110">
        <f>-32.6-38.4</f>
        <v>-71</v>
      </c>
      <c r="AD95" s="110">
        <f>-38-43</f>
        <v>-81</v>
      </c>
      <c r="AE95" s="110">
        <f>-52.4-58.4</f>
        <v>-110.8</v>
      </c>
      <c r="AF95" s="110">
        <f>-58.6-65.5</f>
        <v>-124.1</v>
      </c>
      <c r="AG95" s="107">
        <v>240</v>
      </c>
      <c r="AH95" s="55">
        <f t="shared" si="37"/>
        <v>-131.1</v>
      </c>
      <c r="AI95" s="108">
        <f t="shared" si="38"/>
        <v>0.16666666666666699</v>
      </c>
    </row>
    <row r="96" spans="1:88" x14ac:dyDescent="0.25">
      <c r="A96" s="109" t="s">
        <v>100</v>
      </c>
      <c r="B96" s="110">
        <v>5</v>
      </c>
      <c r="C96" s="110">
        <v>-2.4</v>
      </c>
      <c r="D96" s="110">
        <v>-5.0999999999999996</v>
      </c>
      <c r="E96" s="110">
        <v>-3.4</v>
      </c>
      <c r="F96" s="110">
        <v>-6.1</v>
      </c>
      <c r="G96" s="110">
        <v>-3.5</v>
      </c>
      <c r="H96" s="110">
        <v>0</v>
      </c>
      <c r="I96" s="110">
        <v>4.5999999999999996</v>
      </c>
      <c r="J96" s="110">
        <v>6.1</v>
      </c>
      <c r="K96" s="110">
        <v>17</v>
      </c>
      <c r="L96" s="110">
        <v>14.9</v>
      </c>
      <c r="M96" s="110">
        <v>16.5</v>
      </c>
      <c r="N96" s="110">
        <v>20.7</v>
      </c>
      <c r="O96" s="110">
        <v>46.1</v>
      </c>
      <c r="P96" s="110">
        <v>45.7</v>
      </c>
      <c r="Q96" s="110">
        <v>45.9</v>
      </c>
      <c r="R96" s="110">
        <v>21</v>
      </c>
      <c r="S96" s="110">
        <v>21.7</v>
      </c>
      <c r="T96" s="110">
        <v>9.1999999999999993</v>
      </c>
      <c r="U96" s="110">
        <v>35.700000000000003</v>
      </c>
      <c r="V96" s="110">
        <v>5.0999999999999996</v>
      </c>
      <c r="W96" s="110">
        <v>25.9</v>
      </c>
      <c r="X96" s="110">
        <v>25.9</v>
      </c>
      <c r="Y96" s="110">
        <v>9</v>
      </c>
      <c r="Z96" s="110">
        <v>10.4</v>
      </c>
      <c r="AA96" s="110">
        <v>33.9</v>
      </c>
      <c r="AB96" s="110">
        <v>18.600000000000001</v>
      </c>
      <c r="AC96" s="110">
        <v>19</v>
      </c>
      <c r="AD96" s="110">
        <v>5.5</v>
      </c>
      <c r="AE96" s="110">
        <v>2.4</v>
      </c>
      <c r="AF96" s="110">
        <v>-0.2</v>
      </c>
      <c r="AG96" s="107">
        <v>60</v>
      </c>
      <c r="AH96" s="55">
        <f t="shared" si="37"/>
        <v>46.1</v>
      </c>
      <c r="AI96" s="108">
        <f t="shared" si="38"/>
        <v>0.41666666666666702</v>
      </c>
    </row>
    <row r="97" spans="1:37" x14ac:dyDescent="0.25">
      <c r="A97" s="111" t="s">
        <v>101</v>
      </c>
      <c r="B97" s="112">
        <v>0</v>
      </c>
      <c r="C97" s="112">
        <v>28.9</v>
      </c>
      <c r="D97" s="112">
        <v>9.6</v>
      </c>
      <c r="E97" s="112">
        <v>12.7</v>
      </c>
      <c r="F97" s="112">
        <v>12.5</v>
      </c>
      <c r="G97" s="112">
        <v>17.899999999999999</v>
      </c>
      <c r="H97" s="112">
        <v>21.1</v>
      </c>
      <c r="I97" s="112">
        <v>39.799999999999997</v>
      </c>
      <c r="J97" s="112">
        <v>38</v>
      </c>
      <c r="K97" s="112">
        <v>74</v>
      </c>
      <c r="L97" s="112">
        <v>70.8</v>
      </c>
      <c r="M97" s="112">
        <v>52.4</v>
      </c>
      <c r="N97" s="112">
        <v>62.9</v>
      </c>
      <c r="O97" s="112">
        <v>49.2</v>
      </c>
      <c r="P97" s="112">
        <v>42.9</v>
      </c>
      <c r="Q97" s="112">
        <v>54.2</v>
      </c>
      <c r="R97" s="112">
        <v>76.8</v>
      </c>
      <c r="S97" s="112">
        <v>82.7</v>
      </c>
      <c r="T97" s="112">
        <v>63.7</v>
      </c>
      <c r="U97" s="112">
        <v>32.200000000000003</v>
      </c>
      <c r="V97" s="112">
        <v>52.3</v>
      </c>
      <c r="W97" s="112">
        <v>38.5</v>
      </c>
      <c r="X97" s="112">
        <v>38.5</v>
      </c>
      <c r="Y97" s="112">
        <v>53.1</v>
      </c>
      <c r="Z97" s="112">
        <v>68.900000000000006</v>
      </c>
      <c r="AA97" s="112">
        <v>78.2</v>
      </c>
      <c r="AB97" s="112">
        <v>66.599999999999994</v>
      </c>
      <c r="AC97" s="112">
        <v>72.7</v>
      </c>
      <c r="AD97" s="112">
        <v>70.3</v>
      </c>
      <c r="AE97" s="112">
        <v>36</v>
      </c>
      <c r="AF97" s="112">
        <v>18</v>
      </c>
      <c r="AG97" s="113">
        <v>120</v>
      </c>
      <c r="AH97" s="55">
        <f t="shared" si="37"/>
        <v>82.7</v>
      </c>
      <c r="AI97" s="108">
        <f t="shared" si="38"/>
        <v>0.58333333333333304</v>
      </c>
    </row>
    <row r="98" spans="1:37" x14ac:dyDescent="0.25">
      <c r="A98" s="111" t="s">
        <v>102</v>
      </c>
      <c r="B98" s="112">
        <v>31</v>
      </c>
      <c r="C98" s="112">
        <v>23.3</v>
      </c>
      <c r="D98" s="112">
        <v>16.899999999999999</v>
      </c>
      <c r="E98" s="112">
        <v>21.1</v>
      </c>
      <c r="F98" s="112">
        <v>26.3</v>
      </c>
      <c r="G98" s="112">
        <v>31.9</v>
      </c>
      <c r="H98" s="112">
        <v>25.1</v>
      </c>
      <c r="I98" s="112">
        <v>38.200000000000003</v>
      </c>
      <c r="J98" s="112">
        <v>38.799999999999997</v>
      </c>
      <c r="K98" s="112">
        <v>63.9</v>
      </c>
      <c r="L98" s="112">
        <v>61.1</v>
      </c>
      <c r="M98" s="112">
        <v>48</v>
      </c>
      <c r="N98" s="112">
        <v>60.7</v>
      </c>
      <c r="O98" s="112">
        <v>39.1</v>
      </c>
      <c r="P98" s="112">
        <v>35.799999999999997</v>
      </c>
      <c r="Q98" s="112">
        <v>46.5</v>
      </c>
      <c r="R98" s="112">
        <v>71.599999999999994</v>
      </c>
      <c r="S98" s="112">
        <v>69</v>
      </c>
      <c r="T98" s="112">
        <v>53.7</v>
      </c>
      <c r="U98" s="112">
        <v>39.9</v>
      </c>
      <c r="V98" s="112">
        <v>34.299999999999997</v>
      </c>
      <c r="W98" s="112">
        <v>34.6</v>
      </c>
      <c r="X98" s="112">
        <v>34.6</v>
      </c>
      <c r="Y98" s="112">
        <v>44.7</v>
      </c>
      <c r="Z98" s="112">
        <v>56.8</v>
      </c>
      <c r="AA98" s="112">
        <v>62.2</v>
      </c>
      <c r="AB98" s="112">
        <v>63.1</v>
      </c>
      <c r="AC98" s="112">
        <v>69.7</v>
      </c>
      <c r="AD98" s="112">
        <v>76</v>
      </c>
      <c r="AE98" s="112">
        <v>51.6</v>
      </c>
      <c r="AF98" s="112">
        <v>42</v>
      </c>
      <c r="AG98" s="113"/>
      <c r="AH98" s="55">
        <f t="shared" si="37"/>
        <v>76</v>
      </c>
      <c r="AI98" s="108">
        <f t="shared" si="38"/>
        <v>0.875</v>
      </c>
    </row>
    <row r="99" spans="1:37" x14ac:dyDescent="0.25">
      <c r="A99" s="111" t="s">
        <v>103</v>
      </c>
      <c r="B99" s="112">
        <v>81</v>
      </c>
      <c r="C99" s="112">
        <v>56.8</v>
      </c>
      <c r="D99" s="112">
        <v>27.2</v>
      </c>
      <c r="E99" s="112">
        <v>39.4</v>
      </c>
      <c r="F99" s="112">
        <v>48.3</v>
      </c>
      <c r="G99" s="112">
        <v>51.2</v>
      </c>
      <c r="H99" s="112">
        <v>28.3</v>
      </c>
      <c r="I99" s="112">
        <v>43.6</v>
      </c>
      <c r="J99" s="112">
        <v>15</v>
      </c>
      <c r="K99" s="112">
        <v>66.7</v>
      </c>
      <c r="L99" s="112">
        <v>53.8</v>
      </c>
      <c r="M99" s="112">
        <v>15</v>
      </c>
      <c r="N99" s="112">
        <v>36.6</v>
      </c>
      <c r="O99" s="112">
        <v>35.299999999999997</v>
      </c>
      <c r="P99" s="112">
        <v>25</v>
      </c>
      <c r="Q99" s="112">
        <v>49.3</v>
      </c>
      <c r="R99" s="112">
        <v>36.4</v>
      </c>
      <c r="S99" s="112">
        <v>42</v>
      </c>
      <c r="T99" s="112">
        <v>53.4</v>
      </c>
      <c r="U99" s="112">
        <v>30.4</v>
      </c>
      <c r="V99" s="112">
        <v>37.4</v>
      </c>
      <c r="W99" s="112">
        <v>45.6</v>
      </c>
      <c r="X99" s="112">
        <v>45.6</v>
      </c>
      <c r="Y99" s="112">
        <v>39.5</v>
      </c>
      <c r="Z99" s="112">
        <v>32.5</v>
      </c>
      <c r="AA99" s="112">
        <v>70.099999999999994</v>
      </c>
      <c r="AB99" s="112">
        <v>57</v>
      </c>
      <c r="AC99" s="112">
        <v>75</v>
      </c>
      <c r="AD99" s="112">
        <v>67</v>
      </c>
      <c r="AE99" s="112">
        <v>76.7</v>
      </c>
      <c r="AF99" s="112">
        <v>59.2</v>
      </c>
      <c r="AG99" s="114"/>
      <c r="AH99" s="55">
        <f t="shared" si="37"/>
        <v>76.7</v>
      </c>
      <c r="AI99" s="108">
        <f t="shared" si="38"/>
        <v>0.91666666666666696</v>
      </c>
    </row>
    <row r="100" spans="1:37" ht="15.75" thickBot="1" x14ac:dyDescent="0.3">
      <c r="A100" s="115" t="s">
        <v>104</v>
      </c>
      <c r="B100" s="95">
        <v>39.200000000000003</v>
      </c>
      <c r="C100" s="95">
        <v>30.2</v>
      </c>
      <c r="D100" s="95">
        <v>29.5</v>
      </c>
      <c r="E100" s="95">
        <v>37.200000000000003</v>
      </c>
      <c r="F100" s="95">
        <v>31.3</v>
      </c>
      <c r="G100" s="95">
        <v>24.6</v>
      </c>
      <c r="H100" s="95">
        <v>19.399999999999999</v>
      </c>
      <c r="I100" s="95">
        <v>30.6</v>
      </c>
      <c r="J100" s="95">
        <v>29.2</v>
      </c>
      <c r="K100" s="95">
        <v>44.8</v>
      </c>
      <c r="L100" s="95">
        <v>37.1</v>
      </c>
      <c r="M100" s="95">
        <v>39.200000000000003</v>
      </c>
      <c r="N100" s="95">
        <v>45</v>
      </c>
      <c r="O100" s="95">
        <v>45</v>
      </c>
      <c r="P100" s="95">
        <v>42.6</v>
      </c>
      <c r="Q100" s="95">
        <v>40.200000000000003</v>
      </c>
      <c r="R100" s="95">
        <v>38.5</v>
      </c>
      <c r="S100" s="95">
        <v>39</v>
      </c>
      <c r="T100" s="95">
        <v>41.4</v>
      </c>
      <c r="U100" s="95">
        <v>40</v>
      </c>
      <c r="V100" s="95">
        <v>34.299999999999997</v>
      </c>
      <c r="W100" s="95">
        <v>32.5</v>
      </c>
      <c r="X100" s="95">
        <v>32.5</v>
      </c>
      <c r="Y100" s="95">
        <v>28.5</v>
      </c>
      <c r="Z100" s="95">
        <v>39.799999999999997</v>
      </c>
      <c r="AA100" s="95">
        <v>36.4</v>
      </c>
      <c r="AB100" s="95">
        <v>39.5</v>
      </c>
      <c r="AC100" s="95">
        <v>38.700000000000003</v>
      </c>
      <c r="AD100" s="95">
        <v>28</v>
      </c>
      <c r="AE100" s="95">
        <v>20.9</v>
      </c>
      <c r="AF100" s="95">
        <v>16.7</v>
      </c>
      <c r="AG100" s="114"/>
      <c r="AH100" s="55">
        <f t="shared" si="37"/>
        <v>45</v>
      </c>
      <c r="AI100" s="108">
        <f t="shared" si="38"/>
        <v>0.375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40">AF102</f>
        <v>9.9</v>
      </c>
      <c r="C102" s="54">
        <v>9.9</v>
      </c>
      <c r="D102" s="121">
        <f t="shared" ref="D102:S107" si="41">C102</f>
        <v>9.9</v>
      </c>
      <c r="E102" s="121">
        <f t="shared" si="41"/>
        <v>9.9</v>
      </c>
      <c r="F102" s="121">
        <f t="shared" si="41"/>
        <v>9.9</v>
      </c>
      <c r="G102" s="121">
        <f t="shared" si="41"/>
        <v>9.9</v>
      </c>
      <c r="H102" s="121">
        <f t="shared" si="41"/>
        <v>9.9</v>
      </c>
      <c r="I102" s="121">
        <f t="shared" si="41"/>
        <v>9.9</v>
      </c>
      <c r="J102" s="121">
        <f t="shared" si="41"/>
        <v>9.9</v>
      </c>
      <c r="K102" s="121">
        <f t="shared" si="41"/>
        <v>9.9</v>
      </c>
      <c r="L102" s="121">
        <f t="shared" si="41"/>
        <v>9.9</v>
      </c>
      <c r="M102" s="121">
        <f t="shared" si="41"/>
        <v>9.9</v>
      </c>
      <c r="N102" s="121">
        <f t="shared" si="41"/>
        <v>9.9</v>
      </c>
      <c r="O102" s="121">
        <f t="shared" si="41"/>
        <v>9.9</v>
      </c>
      <c r="P102" s="121">
        <f t="shared" si="41"/>
        <v>9.9</v>
      </c>
      <c r="Q102" s="121">
        <f t="shared" si="41"/>
        <v>9.9</v>
      </c>
      <c r="R102" s="121">
        <f t="shared" si="41"/>
        <v>9.9</v>
      </c>
      <c r="S102" s="121">
        <f t="shared" si="41"/>
        <v>9.9</v>
      </c>
      <c r="T102" s="121">
        <f t="shared" ref="T102:AF107" si="42">S102</f>
        <v>9.9</v>
      </c>
      <c r="U102" s="121">
        <f t="shared" si="42"/>
        <v>9.9</v>
      </c>
      <c r="V102" s="121">
        <f t="shared" si="42"/>
        <v>9.9</v>
      </c>
      <c r="W102" s="121">
        <f t="shared" si="42"/>
        <v>9.9</v>
      </c>
      <c r="X102" s="121">
        <f t="shared" si="42"/>
        <v>9.9</v>
      </c>
      <c r="Y102" s="121">
        <f t="shared" si="42"/>
        <v>9.9</v>
      </c>
      <c r="Z102" s="121">
        <f t="shared" si="42"/>
        <v>9.9</v>
      </c>
      <c r="AA102" s="121">
        <f t="shared" si="42"/>
        <v>9.9</v>
      </c>
      <c r="AB102" s="121">
        <f t="shared" si="42"/>
        <v>9.9</v>
      </c>
      <c r="AC102" s="121">
        <f t="shared" si="42"/>
        <v>9.9</v>
      </c>
      <c r="AD102" s="121">
        <f t="shared" si="42"/>
        <v>9.9</v>
      </c>
      <c r="AE102" s="121">
        <f t="shared" si="42"/>
        <v>9.9</v>
      </c>
      <c r="AF102" s="121">
        <f t="shared" si="42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40"/>
        <v>9.6</v>
      </c>
      <c r="C103" s="124">
        <v>9.6</v>
      </c>
      <c r="D103" s="123">
        <f t="shared" si="41"/>
        <v>9.6</v>
      </c>
      <c r="E103" s="123">
        <f t="shared" si="41"/>
        <v>9.6</v>
      </c>
      <c r="F103" s="123">
        <f t="shared" si="41"/>
        <v>9.6</v>
      </c>
      <c r="G103" s="123">
        <f t="shared" si="41"/>
        <v>9.6</v>
      </c>
      <c r="H103" s="123">
        <f t="shared" si="41"/>
        <v>9.6</v>
      </c>
      <c r="I103" s="123">
        <f t="shared" si="41"/>
        <v>9.6</v>
      </c>
      <c r="J103" s="123">
        <f t="shared" si="41"/>
        <v>9.6</v>
      </c>
      <c r="K103" s="123">
        <f t="shared" si="41"/>
        <v>9.6</v>
      </c>
      <c r="L103" s="123">
        <f t="shared" si="41"/>
        <v>9.6</v>
      </c>
      <c r="M103" s="123">
        <f t="shared" si="41"/>
        <v>9.6</v>
      </c>
      <c r="N103" s="123">
        <f t="shared" si="41"/>
        <v>9.6</v>
      </c>
      <c r="O103" s="123">
        <f t="shared" si="41"/>
        <v>9.6</v>
      </c>
      <c r="P103" s="123">
        <f t="shared" si="41"/>
        <v>9.6</v>
      </c>
      <c r="Q103" s="123">
        <f t="shared" si="41"/>
        <v>9.6</v>
      </c>
      <c r="R103" s="123">
        <f t="shared" si="41"/>
        <v>9.6</v>
      </c>
      <c r="S103" s="123">
        <f t="shared" si="41"/>
        <v>9.6</v>
      </c>
      <c r="T103" s="123">
        <f t="shared" si="42"/>
        <v>9.6</v>
      </c>
      <c r="U103" s="123">
        <f t="shared" si="42"/>
        <v>9.6</v>
      </c>
      <c r="V103" s="123">
        <f t="shared" si="42"/>
        <v>9.6</v>
      </c>
      <c r="W103" s="123">
        <f t="shared" si="42"/>
        <v>9.6</v>
      </c>
      <c r="X103" s="123">
        <f t="shared" si="42"/>
        <v>9.6</v>
      </c>
      <c r="Y103" s="123">
        <f t="shared" si="42"/>
        <v>9.6</v>
      </c>
      <c r="Z103" s="123">
        <f t="shared" si="42"/>
        <v>9.6</v>
      </c>
      <c r="AA103" s="123">
        <f t="shared" si="42"/>
        <v>9.6</v>
      </c>
      <c r="AB103" s="123">
        <f t="shared" si="42"/>
        <v>9.6</v>
      </c>
      <c r="AC103" s="123">
        <f t="shared" si="42"/>
        <v>9.6</v>
      </c>
      <c r="AD103" s="123">
        <f t="shared" si="42"/>
        <v>9.6</v>
      </c>
      <c r="AE103" s="123">
        <f t="shared" si="42"/>
        <v>9.6</v>
      </c>
      <c r="AF103" s="123">
        <f t="shared" si="42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40"/>
        <v>9.98</v>
      </c>
      <c r="C104" s="124">
        <v>9.98</v>
      </c>
      <c r="D104" s="123">
        <f t="shared" si="41"/>
        <v>9.98</v>
      </c>
      <c r="E104" s="123">
        <f t="shared" si="41"/>
        <v>9.98</v>
      </c>
      <c r="F104" s="123">
        <f t="shared" si="41"/>
        <v>9.98</v>
      </c>
      <c r="G104" s="123">
        <f t="shared" si="41"/>
        <v>9.98</v>
      </c>
      <c r="H104" s="123">
        <f t="shared" si="41"/>
        <v>9.98</v>
      </c>
      <c r="I104" s="123">
        <f t="shared" si="41"/>
        <v>9.98</v>
      </c>
      <c r="J104" s="123">
        <f t="shared" si="41"/>
        <v>9.98</v>
      </c>
      <c r="K104" s="123">
        <f t="shared" si="41"/>
        <v>9.98</v>
      </c>
      <c r="L104" s="123">
        <f t="shared" si="41"/>
        <v>9.98</v>
      </c>
      <c r="M104" s="123">
        <f t="shared" si="41"/>
        <v>9.98</v>
      </c>
      <c r="N104" s="123">
        <f t="shared" si="41"/>
        <v>9.98</v>
      </c>
      <c r="O104" s="123">
        <f t="shared" si="41"/>
        <v>9.98</v>
      </c>
      <c r="P104" s="123">
        <f t="shared" si="41"/>
        <v>9.98</v>
      </c>
      <c r="Q104" s="123">
        <f t="shared" si="41"/>
        <v>9.98</v>
      </c>
      <c r="R104" s="123">
        <f t="shared" si="41"/>
        <v>9.98</v>
      </c>
      <c r="S104" s="123">
        <f t="shared" si="41"/>
        <v>9.98</v>
      </c>
      <c r="T104" s="123">
        <f t="shared" si="42"/>
        <v>9.98</v>
      </c>
      <c r="U104" s="123">
        <f t="shared" si="42"/>
        <v>9.98</v>
      </c>
      <c r="V104" s="123">
        <f t="shared" si="42"/>
        <v>9.98</v>
      </c>
      <c r="W104" s="123">
        <f t="shared" si="42"/>
        <v>9.98</v>
      </c>
      <c r="X104" s="123">
        <f t="shared" si="42"/>
        <v>9.98</v>
      </c>
      <c r="Y104" s="123">
        <f t="shared" si="42"/>
        <v>9.98</v>
      </c>
      <c r="Z104" s="123">
        <f t="shared" si="42"/>
        <v>9.98</v>
      </c>
      <c r="AA104" s="123">
        <f t="shared" si="42"/>
        <v>9.98</v>
      </c>
      <c r="AB104" s="123">
        <f t="shared" si="42"/>
        <v>9.98</v>
      </c>
      <c r="AC104" s="123">
        <f t="shared" si="42"/>
        <v>9.98</v>
      </c>
      <c r="AD104" s="123">
        <f t="shared" si="42"/>
        <v>9.98</v>
      </c>
      <c r="AE104" s="123">
        <f t="shared" si="42"/>
        <v>9.98</v>
      </c>
      <c r="AF104" s="123">
        <f t="shared" si="42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40"/>
        <v>9.1</v>
      </c>
      <c r="C105" s="124">
        <v>9.1</v>
      </c>
      <c r="D105" s="123">
        <f t="shared" si="41"/>
        <v>9.1</v>
      </c>
      <c r="E105" s="123">
        <f t="shared" si="41"/>
        <v>9.1</v>
      </c>
      <c r="F105" s="123">
        <f t="shared" si="41"/>
        <v>9.1</v>
      </c>
      <c r="G105" s="123">
        <f t="shared" si="41"/>
        <v>9.1</v>
      </c>
      <c r="H105" s="123">
        <f t="shared" si="41"/>
        <v>9.1</v>
      </c>
      <c r="I105" s="123">
        <f t="shared" si="41"/>
        <v>9.1</v>
      </c>
      <c r="J105" s="123">
        <f t="shared" si="41"/>
        <v>9.1</v>
      </c>
      <c r="K105" s="123">
        <f t="shared" si="41"/>
        <v>9.1</v>
      </c>
      <c r="L105" s="123">
        <f t="shared" si="41"/>
        <v>9.1</v>
      </c>
      <c r="M105" s="123">
        <f t="shared" si="41"/>
        <v>9.1</v>
      </c>
      <c r="N105" s="123">
        <f t="shared" si="41"/>
        <v>9.1</v>
      </c>
      <c r="O105" s="123">
        <f t="shared" si="41"/>
        <v>9.1</v>
      </c>
      <c r="P105" s="123">
        <f t="shared" si="41"/>
        <v>9.1</v>
      </c>
      <c r="Q105" s="123">
        <f t="shared" si="41"/>
        <v>9.1</v>
      </c>
      <c r="R105" s="123">
        <f t="shared" si="41"/>
        <v>9.1</v>
      </c>
      <c r="S105" s="123">
        <f t="shared" si="41"/>
        <v>9.1</v>
      </c>
      <c r="T105" s="123">
        <f t="shared" si="42"/>
        <v>9.1</v>
      </c>
      <c r="U105" s="123">
        <f t="shared" si="42"/>
        <v>9.1</v>
      </c>
      <c r="V105" s="123">
        <f t="shared" si="42"/>
        <v>9.1</v>
      </c>
      <c r="W105" s="123">
        <f t="shared" si="42"/>
        <v>9.1</v>
      </c>
      <c r="X105" s="123">
        <f t="shared" si="42"/>
        <v>9.1</v>
      </c>
      <c r="Y105" s="123">
        <f t="shared" si="42"/>
        <v>9.1</v>
      </c>
      <c r="Z105" s="123">
        <f t="shared" si="42"/>
        <v>9.1</v>
      </c>
      <c r="AA105" s="123">
        <f t="shared" si="42"/>
        <v>9.1</v>
      </c>
      <c r="AB105" s="123">
        <f t="shared" si="42"/>
        <v>9.1</v>
      </c>
      <c r="AC105" s="123">
        <f t="shared" si="42"/>
        <v>9.1</v>
      </c>
      <c r="AD105" s="123">
        <f t="shared" si="42"/>
        <v>9.1</v>
      </c>
      <c r="AE105" s="123">
        <f t="shared" si="42"/>
        <v>9.1</v>
      </c>
      <c r="AF105" s="123">
        <f t="shared" si="42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40"/>
        <v>9.18</v>
      </c>
      <c r="C106" s="124">
        <v>9.18</v>
      </c>
      <c r="D106" s="123">
        <f t="shared" si="41"/>
        <v>9.18</v>
      </c>
      <c r="E106" s="123">
        <f t="shared" si="41"/>
        <v>9.18</v>
      </c>
      <c r="F106" s="123">
        <f t="shared" si="41"/>
        <v>9.18</v>
      </c>
      <c r="G106" s="123">
        <f t="shared" si="41"/>
        <v>9.18</v>
      </c>
      <c r="H106" s="123">
        <f t="shared" si="41"/>
        <v>9.18</v>
      </c>
      <c r="I106" s="123">
        <f t="shared" si="41"/>
        <v>9.18</v>
      </c>
      <c r="J106" s="123">
        <f t="shared" si="41"/>
        <v>9.18</v>
      </c>
      <c r="K106" s="123">
        <f t="shared" si="41"/>
        <v>9.18</v>
      </c>
      <c r="L106" s="123">
        <f t="shared" si="41"/>
        <v>9.18</v>
      </c>
      <c r="M106" s="123">
        <f t="shared" si="41"/>
        <v>9.18</v>
      </c>
      <c r="N106" s="123">
        <f t="shared" si="41"/>
        <v>9.18</v>
      </c>
      <c r="O106" s="123">
        <f t="shared" si="41"/>
        <v>9.18</v>
      </c>
      <c r="P106" s="123">
        <f t="shared" si="41"/>
        <v>9.18</v>
      </c>
      <c r="Q106" s="123">
        <f t="shared" si="41"/>
        <v>9.18</v>
      </c>
      <c r="R106" s="123">
        <f t="shared" si="41"/>
        <v>9.18</v>
      </c>
      <c r="S106" s="123">
        <f t="shared" si="41"/>
        <v>9.18</v>
      </c>
      <c r="T106" s="123">
        <f t="shared" si="42"/>
        <v>9.18</v>
      </c>
      <c r="U106" s="123">
        <f t="shared" si="42"/>
        <v>9.18</v>
      </c>
      <c r="V106" s="123">
        <f t="shared" si="42"/>
        <v>9.18</v>
      </c>
      <c r="W106" s="123">
        <f t="shared" si="42"/>
        <v>9.18</v>
      </c>
      <c r="X106" s="123">
        <f t="shared" si="42"/>
        <v>9.18</v>
      </c>
      <c r="Y106" s="123">
        <f t="shared" si="42"/>
        <v>9.18</v>
      </c>
      <c r="Z106" s="123">
        <f t="shared" si="42"/>
        <v>9.18</v>
      </c>
      <c r="AA106" s="123">
        <f t="shared" si="42"/>
        <v>9.18</v>
      </c>
      <c r="AB106" s="123">
        <f t="shared" si="42"/>
        <v>9.18</v>
      </c>
      <c r="AC106" s="123">
        <f t="shared" si="42"/>
        <v>9.18</v>
      </c>
      <c r="AD106" s="123">
        <f t="shared" si="42"/>
        <v>9.18</v>
      </c>
      <c r="AE106" s="123">
        <f t="shared" si="42"/>
        <v>9.18</v>
      </c>
      <c r="AF106" s="123">
        <f t="shared" si="42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40"/>
        <v>7</v>
      </c>
      <c r="C107" s="124">
        <v>7</v>
      </c>
      <c r="D107" s="123">
        <f t="shared" si="41"/>
        <v>7</v>
      </c>
      <c r="E107" s="123">
        <f t="shared" si="41"/>
        <v>7</v>
      </c>
      <c r="F107" s="123">
        <f t="shared" si="41"/>
        <v>7</v>
      </c>
      <c r="G107" s="123">
        <f t="shared" si="41"/>
        <v>7</v>
      </c>
      <c r="H107" s="123">
        <f t="shared" si="41"/>
        <v>7</v>
      </c>
      <c r="I107" s="123">
        <f t="shared" si="41"/>
        <v>7</v>
      </c>
      <c r="J107" s="123">
        <f t="shared" si="41"/>
        <v>7</v>
      </c>
      <c r="K107" s="123">
        <f t="shared" si="41"/>
        <v>7</v>
      </c>
      <c r="L107" s="123">
        <f t="shared" si="41"/>
        <v>7</v>
      </c>
      <c r="M107" s="123">
        <f t="shared" si="41"/>
        <v>7</v>
      </c>
      <c r="N107" s="123">
        <f t="shared" si="41"/>
        <v>7</v>
      </c>
      <c r="O107" s="123">
        <f t="shared" si="41"/>
        <v>7</v>
      </c>
      <c r="P107" s="123">
        <f t="shared" si="41"/>
        <v>7</v>
      </c>
      <c r="Q107" s="123">
        <f t="shared" si="41"/>
        <v>7</v>
      </c>
      <c r="R107" s="123">
        <f t="shared" si="41"/>
        <v>7</v>
      </c>
      <c r="S107" s="123">
        <f t="shared" si="41"/>
        <v>7</v>
      </c>
      <c r="T107" s="123">
        <f t="shared" si="42"/>
        <v>7</v>
      </c>
      <c r="U107" s="123">
        <f t="shared" si="42"/>
        <v>7</v>
      </c>
      <c r="V107" s="123">
        <f t="shared" si="42"/>
        <v>7</v>
      </c>
      <c r="W107" s="123">
        <f t="shared" si="42"/>
        <v>7</v>
      </c>
      <c r="X107" s="123">
        <f t="shared" si="42"/>
        <v>7</v>
      </c>
      <c r="Y107" s="123">
        <f t="shared" si="42"/>
        <v>7</v>
      </c>
      <c r="Z107" s="123">
        <f t="shared" si="42"/>
        <v>7</v>
      </c>
      <c r="AA107" s="123">
        <f t="shared" si="42"/>
        <v>7</v>
      </c>
      <c r="AB107" s="123">
        <f t="shared" si="42"/>
        <v>7</v>
      </c>
      <c r="AC107" s="123">
        <f t="shared" si="42"/>
        <v>7</v>
      </c>
      <c r="AD107" s="123">
        <f t="shared" si="42"/>
        <v>7</v>
      </c>
      <c r="AE107" s="123">
        <f t="shared" si="42"/>
        <v>7</v>
      </c>
      <c r="AF107" s="123">
        <f t="shared" si="42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3">C109</f>
        <v>2.25</v>
      </c>
      <c r="E109" s="123">
        <f t="shared" si="43"/>
        <v>2.25</v>
      </c>
      <c r="F109" s="123">
        <f t="shared" si="43"/>
        <v>2.25</v>
      </c>
      <c r="G109" s="123">
        <f t="shared" si="43"/>
        <v>2.25</v>
      </c>
      <c r="H109" s="123">
        <f t="shared" si="43"/>
        <v>2.25</v>
      </c>
      <c r="I109" s="123">
        <f t="shared" si="43"/>
        <v>2.25</v>
      </c>
      <c r="J109" s="123">
        <f t="shared" si="43"/>
        <v>2.25</v>
      </c>
      <c r="K109" s="123">
        <f t="shared" si="43"/>
        <v>2.25</v>
      </c>
      <c r="L109" s="123">
        <f t="shared" si="43"/>
        <v>2.25</v>
      </c>
      <c r="M109" s="123">
        <f t="shared" si="43"/>
        <v>2.25</v>
      </c>
      <c r="N109" s="123">
        <f t="shared" si="43"/>
        <v>2.25</v>
      </c>
      <c r="O109" s="123">
        <f t="shared" si="43"/>
        <v>2.25</v>
      </c>
      <c r="P109" s="123">
        <f t="shared" si="43"/>
        <v>2.25</v>
      </c>
      <c r="Q109" s="123">
        <f t="shared" si="43"/>
        <v>2.25</v>
      </c>
      <c r="R109" s="123">
        <f t="shared" si="43"/>
        <v>2.25</v>
      </c>
      <c r="S109" s="123">
        <f t="shared" si="43"/>
        <v>2.25</v>
      </c>
      <c r="T109" s="123">
        <f t="shared" ref="T109:AF110" si="44">S109</f>
        <v>2.25</v>
      </c>
      <c r="U109" s="123">
        <f t="shared" si="44"/>
        <v>2.25</v>
      </c>
      <c r="V109" s="123">
        <f t="shared" si="44"/>
        <v>2.25</v>
      </c>
      <c r="W109" s="123">
        <f t="shared" si="44"/>
        <v>2.25</v>
      </c>
      <c r="X109" s="123">
        <f t="shared" si="44"/>
        <v>2.25</v>
      </c>
      <c r="Y109" s="123">
        <f t="shared" si="44"/>
        <v>2.25</v>
      </c>
      <c r="Z109" s="123">
        <f t="shared" si="44"/>
        <v>2.25</v>
      </c>
      <c r="AA109" s="123">
        <f t="shared" si="44"/>
        <v>2.25</v>
      </c>
      <c r="AB109" s="123">
        <f t="shared" si="44"/>
        <v>2.25</v>
      </c>
      <c r="AC109" s="123">
        <f t="shared" si="44"/>
        <v>2.25</v>
      </c>
      <c r="AD109" s="123">
        <f t="shared" si="44"/>
        <v>2.25</v>
      </c>
      <c r="AE109" s="123">
        <f t="shared" si="44"/>
        <v>2.25</v>
      </c>
      <c r="AF109" s="123">
        <f t="shared" si="44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3"/>
        <v>1.64</v>
      </c>
      <c r="E110" s="123">
        <f t="shared" si="43"/>
        <v>1.64</v>
      </c>
      <c r="F110" s="123">
        <f t="shared" si="43"/>
        <v>1.64</v>
      </c>
      <c r="G110" s="123">
        <f t="shared" si="43"/>
        <v>1.64</v>
      </c>
      <c r="H110" s="123">
        <f t="shared" si="43"/>
        <v>1.64</v>
      </c>
      <c r="I110" s="123">
        <f t="shared" si="43"/>
        <v>1.64</v>
      </c>
      <c r="J110" s="123">
        <f t="shared" si="43"/>
        <v>1.64</v>
      </c>
      <c r="K110" s="123">
        <f t="shared" si="43"/>
        <v>1.64</v>
      </c>
      <c r="L110" s="123">
        <f t="shared" si="43"/>
        <v>1.64</v>
      </c>
      <c r="M110" s="123">
        <f t="shared" si="43"/>
        <v>1.64</v>
      </c>
      <c r="N110" s="123">
        <f t="shared" si="43"/>
        <v>1.64</v>
      </c>
      <c r="O110" s="123">
        <f t="shared" si="43"/>
        <v>1.64</v>
      </c>
      <c r="P110" s="123">
        <f t="shared" si="43"/>
        <v>1.64</v>
      </c>
      <c r="Q110" s="123">
        <f t="shared" si="43"/>
        <v>1.64</v>
      </c>
      <c r="R110" s="123">
        <f t="shared" si="43"/>
        <v>1.64</v>
      </c>
      <c r="S110" s="123">
        <f t="shared" si="43"/>
        <v>1.64</v>
      </c>
      <c r="T110" s="123">
        <f t="shared" si="44"/>
        <v>1.64</v>
      </c>
      <c r="U110" s="123">
        <f t="shared" si="44"/>
        <v>1.64</v>
      </c>
      <c r="V110" s="123">
        <f t="shared" si="44"/>
        <v>1.64</v>
      </c>
      <c r="W110" s="123">
        <f t="shared" si="44"/>
        <v>1.64</v>
      </c>
      <c r="X110" s="123">
        <f t="shared" si="44"/>
        <v>1.64</v>
      </c>
      <c r="Y110" s="123">
        <f t="shared" si="44"/>
        <v>1.64</v>
      </c>
      <c r="Z110" s="123">
        <f t="shared" si="44"/>
        <v>1.64</v>
      </c>
      <c r="AA110" s="123">
        <f t="shared" si="44"/>
        <v>1.64</v>
      </c>
      <c r="AB110" s="123">
        <f t="shared" si="44"/>
        <v>1.64</v>
      </c>
      <c r="AC110" s="123">
        <f t="shared" si="44"/>
        <v>1.64</v>
      </c>
      <c r="AD110" s="123">
        <f t="shared" si="44"/>
        <v>1.64</v>
      </c>
      <c r="AE110" s="123">
        <f t="shared" si="44"/>
        <v>1.64</v>
      </c>
      <c r="AF110" s="123">
        <f t="shared" si="44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5">AF112</f>
        <v>1.62</v>
      </c>
      <c r="C112" s="124">
        <v>1.62</v>
      </c>
      <c r="D112" s="123">
        <f t="shared" ref="D112:S119" si="46">C112</f>
        <v>1.62</v>
      </c>
      <c r="E112" s="123">
        <f t="shared" si="46"/>
        <v>1.62</v>
      </c>
      <c r="F112" s="123">
        <f t="shared" si="46"/>
        <v>1.62</v>
      </c>
      <c r="G112" s="123">
        <f t="shared" si="46"/>
        <v>1.62</v>
      </c>
      <c r="H112" s="123">
        <f t="shared" si="46"/>
        <v>1.62</v>
      </c>
      <c r="I112" s="123">
        <f t="shared" si="46"/>
        <v>1.62</v>
      </c>
      <c r="J112" s="123">
        <f t="shared" si="46"/>
        <v>1.62</v>
      </c>
      <c r="K112" s="123">
        <f t="shared" si="46"/>
        <v>1.62</v>
      </c>
      <c r="L112" s="123">
        <f t="shared" si="46"/>
        <v>1.62</v>
      </c>
      <c r="M112" s="123">
        <f t="shared" si="46"/>
        <v>1.62</v>
      </c>
      <c r="N112" s="123">
        <f t="shared" si="46"/>
        <v>1.62</v>
      </c>
      <c r="O112" s="123">
        <f t="shared" si="46"/>
        <v>1.62</v>
      </c>
      <c r="P112" s="123">
        <f t="shared" si="46"/>
        <v>1.62</v>
      </c>
      <c r="Q112" s="123">
        <f t="shared" si="46"/>
        <v>1.62</v>
      </c>
      <c r="R112" s="123">
        <f t="shared" si="46"/>
        <v>1.62</v>
      </c>
      <c r="S112" s="123">
        <f t="shared" si="46"/>
        <v>1.62</v>
      </c>
      <c r="T112" s="123">
        <f t="shared" ref="T112:AF127" si="47">S112</f>
        <v>1.62</v>
      </c>
      <c r="U112" s="123">
        <f t="shared" si="47"/>
        <v>1.62</v>
      </c>
      <c r="V112" s="123">
        <f t="shared" si="47"/>
        <v>1.62</v>
      </c>
      <c r="W112" s="123">
        <f t="shared" si="47"/>
        <v>1.62</v>
      </c>
      <c r="X112" s="123">
        <f t="shared" si="47"/>
        <v>1.62</v>
      </c>
      <c r="Y112" s="123">
        <f t="shared" si="47"/>
        <v>1.62</v>
      </c>
      <c r="Z112" s="123">
        <f t="shared" si="47"/>
        <v>1.62</v>
      </c>
      <c r="AA112" s="123">
        <f t="shared" si="47"/>
        <v>1.62</v>
      </c>
      <c r="AB112" s="123">
        <f t="shared" si="47"/>
        <v>1.62</v>
      </c>
      <c r="AC112" s="123">
        <f t="shared" si="47"/>
        <v>1.62</v>
      </c>
      <c r="AD112" s="123">
        <f t="shared" si="47"/>
        <v>1.62</v>
      </c>
      <c r="AE112" s="123">
        <f t="shared" si="47"/>
        <v>1.62</v>
      </c>
      <c r="AF112" s="123">
        <f t="shared" si="47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5"/>
        <v>8.36</v>
      </c>
      <c r="C113" s="124">
        <v>8.36</v>
      </c>
      <c r="D113" s="123">
        <f t="shared" si="46"/>
        <v>8.36</v>
      </c>
      <c r="E113" s="123">
        <f t="shared" si="46"/>
        <v>8.36</v>
      </c>
      <c r="F113" s="123">
        <f t="shared" si="46"/>
        <v>8.36</v>
      </c>
      <c r="G113" s="123">
        <f t="shared" si="46"/>
        <v>8.36</v>
      </c>
      <c r="H113" s="123">
        <f t="shared" si="46"/>
        <v>8.36</v>
      </c>
      <c r="I113" s="123">
        <f t="shared" si="46"/>
        <v>8.36</v>
      </c>
      <c r="J113" s="123">
        <f t="shared" si="46"/>
        <v>8.36</v>
      </c>
      <c r="K113" s="123">
        <f t="shared" si="46"/>
        <v>8.36</v>
      </c>
      <c r="L113" s="123">
        <f t="shared" si="46"/>
        <v>8.36</v>
      </c>
      <c r="M113" s="123">
        <f t="shared" si="46"/>
        <v>8.36</v>
      </c>
      <c r="N113" s="123">
        <f t="shared" si="46"/>
        <v>8.36</v>
      </c>
      <c r="O113" s="123">
        <f t="shared" si="46"/>
        <v>8.36</v>
      </c>
      <c r="P113" s="123">
        <f t="shared" si="46"/>
        <v>8.36</v>
      </c>
      <c r="Q113" s="123">
        <f t="shared" si="46"/>
        <v>8.36</v>
      </c>
      <c r="R113" s="123">
        <f t="shared" si="46"/>
        <v>8.36</v>
      </c>
      <c r="S113" s="123">
        <f t="shared" si="46"/>
        <v>8.36</v>
      </c>
      <c r="T113" s="123">
        <f t="shared" si="47"/>
        <v>8.36</v>
      </c>
      <c r="U113" s="123">
        <f t="shared" si="47"/>
        <v>8.36</v>
      </c>
      <c r="V113" s="123">
        <f t="shared" si="47"/>
        <v>8.36</v>
      </c>
      <c r="W113" s="123">
        <f t="shared" si="47"/>
        <v>8.36</v>
      </c>
      <c r="X113" s="123">
        <f t="shared" si="47"/>
        <v>8.36</v>
      </c>
      <c r="Y113" s="123">
        <f t="shared" si="47"/>
        <v>8.36</v>
      </c>
      <c r="Z113" s="123">
        <f t="shared" si="47"/>
        <v>8.36</v>
      </c>
      <c r="AA113" s="123">
        <f t="shared" si="47"/>
        <v>8.36</v>
      </c>
      <c r="AB113" s="123">
        <f t="shared" si="47"/>
        <v>8.36</v>
      </c>
      <c r="AC113" s="123">
        <f t="shared" si="47"/>
        <v>8.36</v>
      </c>
      <c r="AD113" s="123">
        <f t="shared" si="47"/>
        <v>8.36</v>
      </c>
      <c r="AE113" s="123">
        <f t="shared" si="47"/>
        <v>8.36</v>
      </c>
      <c r="AF113" s="123">
        <f t="shared" si="47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5"/>
        <v>5.4</v>
      </c>
      <c r="C114" s="124">
        <v>8</v>
      </c>
      <c r="D114" s="123">
        <f t="shared" si="46"/>
        <v>8</v>
      </c>
      <c r="E114" s="123">
        <f t="shared" si="46"/>
        <v>8</v>
      </c>
      <c r="F114" s="123">
        <f t="shared" si="46"/>
        <v>8</v>
      </c>
      <c r="G114" s="123">
        <f t="shared" si="46"/>
        <v>8</v>
      </c>
      <c r="H114" s="123">
        <f t="shared" si="46"/>
        <v>8</v>
      </c>
      <c r="I114" s="123">
        <f t="shared" si="46"/>
        <v>8</v>
      </c>
      <c r="J114" s="123">
        <v>5.4</v>
      </c>
      <c r="K114" s="123">
        <f t="shared" si="46"/>
        <v>5.4</v>
      </c>
      <c r="L114" s="123">
        <f t="shared" si="46"/>
        <v>5.4</v>
      </c>
      <c r="M114" s="123">
        <f t="shared" si="46"/>
        <v>5.4</v>
      </c>
      <c r="N114" s="123">
        <f t="shared" si="46"/>
        <v>5.4</v>
      </c>
      <c r="O114" s="123">
        <f t="shared" si="46"/>
        <v>5.4</v>
      </c>
      <c r="P114" s="123">
        <f t="shared" si="46"/>
        <v>5.4</v>
      </c>
      <c r="Q114" s="123">
        <f t="shared" si="46"/>
        <v>5.4</v>
      </c>
      <c r="R114" s="123">
        <f t="shared" si="46"/>
        <v>5.4</v>
      </c>
      <c r="S114" s="123">
        <f t="shared" si="46"/>
        <v>5.4</v>
      </c>
      <c r="T114" s="123">
        <f t="shared" si="47"/>
        <v>5.4</v>
      </c>
      <c r="U114" s="123">
        <f t="shared" si="47"/>
        <v>5.4</v>
      </c>
      <c r="V114" s="123">
        <f t="shared" si="47"/>
        <v>5.4</v>
      </c>
      <c r="W114" s="123">
        <f t="shared" si="47"/>
        <v>5.4</v>
      </c>
      <c r="X114" s="123">
        <f t="shared" si="47"/>
        <v>5.4</v>
      </c>
      <c r="Y114" s="123">
        <f t="shared" si="47"/>
        <v>5.4</v>
      </c>
      <c r="Z114" s="123">
        <f t="shared" si="47"/>
        <v>5.4</v>
      </c>
      <c r="AA114" s="123">
        <f t="shared" si="47"/>
        <v>5.4</v>
      </c>
      <c r="AB114" s="123">
        <f t="shared" si="47"/>
        <v>5.4</v>
      </c>
      <c r="AC114" s="123">
        <f t="shared" si="47"/>
        <v>5.4</v>
      </c>
      <c r="AD114" s="123">
        <f t="shared" si="47"/>
        <v>5.4</v>
      </c>
      <c r="AE114" s="123">
        <f t="shared" si="47"/>
        <v>5.4</v>
      </c>
      <c r="AF114" s="123">
        <f t="shared" si="47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5"/>
        <v>6.57</v>
      </c>
      <c r="C115" s="124">
        <v>6.57</v>
      </c>
      <c r="D115" s="123">
        <f t="shared" si="46"/>
        <v>6.57</v>
      </c>
      <c r="E115" s="123">
        <f t="shared" si="46"/>
        <v>6.57</v>
      </c>
      <c r="F115" s="123">
        <f t="shared" si="46"/>
        <v>6.57</v>
      </c>
      <c r="G115" s="123">
        <f t="shared" si="46"/>
        <v>6.57</v>
      </c>
      <c r="H115" s="123">
        <f t="shared" si="46"/>
        <v>6.57</v>
      </c>
      <c r="I115" s="123">
        <f t="shared" si="46"/>
        <v>6.57</v>
      </c>
      <c r="J115" s="123">
        <f t="shared" si="46"/>
        <v>6.57</v>
      </c>
      <c r="K115" s="123">
        <f t="shared" si="46"/>
        <v>6.57</v>
      </c>
      <c r="L115" s="123">
        <f t="shared" si="46"/>
        <v>6.57</v>
      </c>
      <c r="M115" s="123">
        <f t="shared" si="46"/>
        <v>6.57</v>
      </c>
      <c r="N115" s="123">
        <f t="shared" si="46"/>
        <v>6.57</v>
      </c>
      <c r="O115" s="123">
        <f t="shared" si="46"/>
        <v>6.57</v>
      </c>
      <c r="P115" s="123">
        <f t="shared" si="46"/>
        <v>6.57</v>
      </c>
      <c r="Q115" s="123">
        <f t="shared" si="46"/>
        <v>6.57</v>
      </c>
      <c r="R115" s="123">
        <f t="shared" si="46"/>
        <v>6.57</v>
      </c>
      <c r="S115" s="123">
        <f t="shared" si="46"/>
        <v>6.57</v>
      </c>
      <c r="T115" s="123">
        <f t="shared" si="47"/>
        <v>6.57</v>
      </c>
      <c r="U115" s="123">
        <f t="shared" si="47"/>
        <v>6.57</v>
      </c>
      <c r="V115" s="123">
        <f t="shared" si="47"/>
        <v>6.57</v>
      </c>
      <c r="W115" s="123">
        <f t="shared" si="47"/>
        <v>6.57</v>
      </c>
      <c r="X115" s="123">
        <f t="shared" si="47"/>
        <v>6.57</v>
      </c>
      <c r="Y115" s="123">
        <f t="shared" si="47"/>
        <v>6.57</v>
      </c>
      <c r="Z115" s="123">
        <f t="shared" si="47"/>
        <v>6.57</v>
      </c>
      <c r="AA115" s="123">
        <f t="shared" si="47"/>
        <v>6.57</v>
      </c>
      <c r="AB115" s="123">
        <f t="shared" si="47"/>
        <v>6.57</v>
      </c>
      <c r="AC115" s="123">
        <f t="shared" si="47"/>
        <v>6.57</v>
      </c>
      <c r="AD115" s="123">
        <f t="shared" si="47"/>
        <v>6.57</v>
      </c>
      <c r="AE115" s="123">
        <f t="shared" si="47"/>
        <v>6.57</v>
      </c>
      <c r="AF115" s="123">
        <f t="shared" si="47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5"/>
        <v>3.43</v>
      </c>
      <c r="C116" s="124">
        <v>3.43</v>
      </c>
      <c r="D116" s="123">
        <f t="shared" si="46"/>
        <v>3.43</v>
      </c>
      <c r="E116" s="123">
        <f t="shared" si="46"/>
        <v>3.43</v>
      </c>
      <c r="F116" s="123">
        <f t="shared" si="46"/>
        <v>3.43</v>
      </c>
      <c r="G116" s="123">
        <f t="shared" si="46"/>
        <v>3.43</v>
      </c>
      <c r="H116" s="123">
        <f t="shared" si="46"/>
        <v>3.43</v>
      </c>
      <c r="I116" s="123">
        <f t="shared" si="46"/>
        <v>3.43</v>
      </c>
      <c r="J116" s="123">
        <f t="shared" si="46"/>
        <v>3.43</v>
      </c>
      <c r="K116" s="123">
        <f t="shared" si="46"/>
        <v>3.43</v>
      </c>
      <c r="L116" s="123">
        <f t="shared" si="46"/>
        <v>3.43</v>
      </c>
      <c r="M116" s="123">
        <f t="shared" si="46"/>
        <v>3.43</v>
      </c>
      <c r="N116" s="123">
        <f t="shared" si="46"/>
        <v>3.43</v>
      </c>
      <c r="O116" s="123">
        <f t="shared" si="46"/>
        <v>3.43</v>
      </c>
      <c r="P116" s="123">
        <f t="shared" si="46"/>
        <v>3.43</v>
      </c>
      <c r="Q116" s="123">
        <f t="shared" si="46"/>
        <v>3.43</v>
      </c>
      <c r="R116" s="123">
        <f t="shared" si="46"/>
        <v>3.43</v>
      </c>
      <c r="S116" s="123">
        <f t="shared" si="46"/>
        <v>3.43</v>
      </c>
      <c r="T116" s="123">
        <f t="shared" si="47"/>
        <v>3.43</v>
      </c>
      <c r="U116" s="123">
        <f t="shared" si="47"/>
        <v>3.43</v>
      </c>
      <c r="V116" s="123">
        <f t="shared" si="47"/>
        <v>3.43</v>
      </c>
      <c r="W116" s="123">
        <f t="shared" si="47"/>
        <v>3.43</v>
      </c>
      <c r="X116" s="123">
        <f t="shared" si="47"/>
        <v>3.43</v>
      </c>
      <c r="Y116" s="123">
        <f t="shared" si="47"/>
        <v>3.43</v>
      </c>
      <c r="Z116" s="123">
        <f t="shared" si="47"/>
        <v>3.43</v>
      </c>
      <c r="AA116" s="123">
        <f t="shared" si="47"/>
        <v>3.43</v>
      </c>
      <c r="AB116" s="123">
        <f t="shared" si="47"/>
        <v>3.43</v>
      </c>
      <c r="AC116" s="123">
        <f t="shared" si="47"/>
        <v>3.43</v>
      </c>
      <c r="AD116" s="123">
        <f t="shared" si="47"/>
        <v>3.43</v>
      </c>
      <c r="AE116" s="123">
        <f t="shared" si="47"/>
        <v>3.43</v>
      </c>
      <c r="AF116" s="123">
        <f t="shared" si="47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5"/>
        <v>2.96</v>
      </c>
      <c r="C117" s="124">
        <v>2.96</v>
      </c>
      <c r="D117" s="123">
        <f t="shared" si="46"/>
        <v>2.96</v>
      </c>
      <c r="E117" s="123">
        <f t="shared" si="46"/>
        <v>2.96</v>
      </c>
      <c r="F117" s="123">
        <f t="shared" si="46"/>
        <v>2.96</v>
      </c>
      <c r="G117" s="123">
        <f t="shared" si="46"/>
        <v>2.96</v>
      </c>
      <c r="H117" s="123">
        <f t="shared" si="46"/>
        <v>2.96</v>
      </c>
      <c r="I117" s="123">
        <f t="shared" si="46"/>
        <v>2.96</v>
      </c>
      <c r="J117" s="123">
        <f t="shared" si="46"/>
        <v>2.96</v>
      </c>
      <c r="K117" s="123">
        <f t="shared" si="46"/>
        <v>2.96</v>
      </c>
      <c r="L117" s="123">
        <f t="shared" si="46"/>
        <v>2.96</v>
      </c>
      <c r="M117" s="123">
        <f t="shared" si="46"/>
        <v>2.96</v>
      </c>
      <c r="N117" s="123">
        <f t="shared" si="46"/>
        <v>2.96</v>
      </c>
      <c r="O117" s="123">
        <f t="shared" si="46"/>
        <v>2.96</v>
      </c>
      <c r="P117" s="123">
        <f t="shared" si="46"/>
        <v>2.96</v>
      </c>
      <c r="Q117" s="123">
        <f t="shared" si="46"/>
        <v>2.96</v>
      </c>
      <c r="R117" s="123">
        <f t="shared" si="46"/>
        <v>2.96</v>
      </c>
      <c r="S117" s="123">
        <f t="shared" si="46"/>
        <v>2.96</v>
      </c>
      <c r="T117" s="123">
        <f t="shared" si="47"/>
        <v>2.96</v>
      </c>
      <c r="U117" s="123">
        <f t="shared" si="47"/>
        <v>2.96</v>
      </c>
      <c r="V117" s="123">
        <f t="shared" si="47"/>
        <v>2.96</v>
      </c>
      <c r="W117" s="123">
        <f t="shared" si="47"/>
        <v>2.96</v>
      </c>
      <c r="X117" s="123">
        <f t="shared" si="47"/>
        <v>2.96</v>
      </c>
      <c r="Y117" s="123">
        <f t="shared" si="47"/>
        <v>2.96</v>
      </c>
      <c r="Z117" s="123">
        <f t="shared" si="47"/>
        <v>2.96</v>
      </c>
      <c r="AA117" s="123">
        <f t="shared" si="47"/>
        <v>2.96</v>
      </c>
      <c r="AB117" s="123">
        <f t="shared" si="47"/>
        <v>2.96</v>
      </c>
      <c r="AC117" s="123">
        <f t="shared" si="47"/>
        <v>2.96</v>
      </c>
      <c r="AD117" s="123">
        <f t="shared" si="47"/>
        <v>2.96</v>
      </c>
      <c r="AE117" s="123">
        <f t="shared" si="47"/>
        <v>2.96</v>
      </c>
      <c r="AF117" s="123">
        <f t="shared" si="47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5"/>
        <v>8</v>
      </c>
      <c r="C118" s="124">
        <v>8</v>
      </c>
      <c r="D118" s="123">
        <f t="shared" si="46"/>
        <v>8</v>
      </c>
      <c r="E118" s="123">
        <f t="shared" si="46"/>
        <v>8</v>
      </c>
      <c r="F118" s="123">
        <f t="shared" si="46"/>
        <v>8</v>
      </c>
      <c r="G118" s="123">
        <f t="shared" si="46"/>
        <v>8</v>
      </c>
      <c r="H118" s="123">
        <f t="shared" si="46"/>
        <v>8</v>
      </c>
      <c r="I118" s="123">
        <f t="shared" si="46"/>
        <v>8</v>
      </c>
      <c r="J118" s="123">
        <f t="shared" si="46"/>
        <v>8</v>
      </c>
      <c r="K118" s="123">
        <f t="shared" si="46"/>
        <v>8</v>
      </c>
      <c r="L118" s="123">
        <f t="shared" si="46"/>
        <v>8</v>
      </c>
      <c r="M118" s="123">
        <f t="shared" si="46"/>
        <v>8</v>
      </c>
      <c r="N118" s="123">
        <f t="shared" si="46"/>
        <v>8</v>
      </c>
      <c r="O118" s="123">
        <f t="shared" si="46"/>
        <v>8</v>
      </c>
      <c r="P118" s="123">
        <f t="shared" si="46"/>
        <v>8</v>
      </c>
      <c r="Q118" s="123">
        <f t="shared" si="46"/>
        <v>8</v>
      </c>
      <c r="R118" s="123">
        <f t="shared" si="46"/>
        <v>8</v>
      </c>
      <c r="S118" s="123">
        <f t="shared" si="46"/>
        <v>8</v>
      </c>
      <c r="T118" s="123">
        <f t="shared" si="47"/>
        <v>8</v>
      </c>
      <c r="U118" s="123">
        <f t="shared" si="47"/>
        <v>8</v>
      </c>
      <c r="V118" s="123">
        <f t="shared" si="47"/>
        <v>8</v>
      </c>
      <c r="W118" s="123">
        <f t="shared" si="47"/>
        <v>8</v>
      </c>
      <c r="X118" s="123">
        <f t="shared" si="47"/>
        <v>8</v>
      </c>
      <c r="Y118" s="123">
        <f t="shared" si="47"/>
        <v>8</v>
      </c>
      <c r="Z118" s="123">
        <f t="shared" si="47"/>
        <v>8</v>
      </c>
      <c r="AA118" s="123">
        <f t="shared" si="47"/>
        <v>8</v>
      </c>
      <c r="AB118" s="123">
        <f t="shared" si="47"/>
        <v>8</v>
      </c>
      <c r="AC118" s="123">
        <f t="shared" si="47"/>
        <v>8</v>
      </c>
      <c r="AD118" s="123">
        <f t="shared" si="47"/>
        <v>8</v>
      </c>
      <c r="AE118" s="123">
        <f t="shared" si="47"/>
        <v>8</v>
      </c>
      <c r="AF118" s="123">
        <f t="shared" si="47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5"/>
        <v>7</v>
      </c>
      <c r="C119" s="124">
        <v>7</v>
      </c>
      <c r="D119" s="123">
        <f>C119</f>
        <v>7</v>
      </c>
      <c r="E119" s="123">
        <f t="shared" si="46"/>
        <v>7</v>
      </c>
      <c r="F119" s="123">
        <f t="shared" si="46"/>
        <v>7</v>
      </c>
      <c r="G119" s="123">
        <f t="shared" si="46"/>
        <v>7</v>
      </c>
      <c r="H119" s="123">
        <f t="shared" si="46"/>
        <v>7</v>
      </c>
      <c r="I119" s="123">
        <f t="shared" si="46"/>
        <v>7</v>
      </c>
      <c r="J119" s="123">
        <f t="shared" si="46"/>
        <v>7</v>
      </c>
      <c r="K119" s="123">
        <f t="shared" si="46"/>
        <v>7</v>
      </c>
      <c r="L119" s="123">
        <f t="shared" si="46"/>
        <v>7</v>
      </c>
      <c r="M119" s="123">
        <f t="shared" si="46"/>
        <v>7</v>
      </c>
      <c r="N119" s="123">
        <f t="shared" si="46"/>
        <v>7</v>
      </c>
      <c r="O119" s="123">
        <f t="shared" si="46"/>
        <v>7</v>
      </c>
      <c r="P119" s="123">
        <f t="shared" si="46"/>
        <v>7</v>
      </c>
      <c r="Q119" s="123">
        <f t="shared" si="46"/>
        <v>7</v>
      </c>
      <c r="R119" s="123">
        <f t="shared" si="46"/>
        <v>7</v>
      </c>
      <c r="S119" s="123">
        <f t="shared" si="46"/>
        <v>7</v>
      </c>
      <c r="T119" s="123">
        <f t="shared" si="47"/>
        <v>7</v>
      </c>
      <c r="U119" s="123">
        <f t="shared" si="47"/>
        <v>7</v>
      </c>
      <c r="V119" s="123">
        <f t="shared" si="47"/>
        <v>7</v>
      </c>
      <c r="W119" s="123">
        <f t="shared" si="47"/>
        <v>7</v>
      </c>
      <c r="X119" s="123">
        <f t="shared" si="47"/>
        <v>7</v>
      </c>
      <c r="Y119" s="123">
        <f t="shared" si="47"/>
        <v>7</v>
      </c>
      <c r="Z119" s="123">
        <f t="shared" si="47"/>
        <v>7</v>
      </c>
      <c r="AA119" s="123">
        <f t="shared" si="47"/>
        <v>7</v>
      </c>
      <c r="AB119" s="123">
        <f t="shared" si="47"/>
        <v>7</v>
      </c>
      <c r="AC119" s="123">
        <f t="shared" si="47"/>
        <v>7</v>
      </c>
      <c r="AD119" s="123">
        <f t="shared" si="47"/>
        <v>7</v>
      </c>
      <c r="AE119" s="123">
        <f t="shared" si="47"/>
        <v>7</v>
      </c>
      <c r="AF119" s="123">
        <f t="shared" si="47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5"/>
        <v>3.47</v>
      </c>
      <c r="C120" s="124">
        <v>3.47</v>
      </c>
      <c r="D120" s="123">
        <f t="shared" ref="D120:S129" si="48">C120</f>
        <v>3.47</v>
      </c>
      <c r="E120" s="123">
        <f t="shared" si="48"/>
        <v>3.47</v>
      </c>
      <c r="F120" s="123">
        <f t="shared" si="48"/>
        <v>3.47</v>
      </c>
      <c r="G120" s="123">
        <f t="shared" si="48"/>
        <v>3.47</v>
      </c>
      <c r="H120" s="123">
        <f t="shared" si="48"/>
        <v>3.47</v>
      </c>
      <c r="I120" s="123">
        <f t="shared" si="48"/>
        <v>3.47</v>
      </c>
      <c r="J120" s="123">
        <f t="shared" si="48"/>
        <v>3.47</v>
      </c>
      <c r="K120" s="123">
        <f t="shared" si="48"/>
        <v>3.47</v>
      </c>
      <c r="L120" s="123">
        <f t="shared" si="48"/>
        <v>3.47</v>
      </c>
      <c r="M120" s="123">
        <f t="shared" si="48"/>
        <v>3.47</v>
      </c>
      <c r="N120" s="123">
        <f t="shared" si="48"/>
        <v>3.47</v>
      </c>
      <c r="O120" s="123">
        <f t="shared" si="48"/>
        <v>3.47</v>
      </c>
      <c r="P120" s="123">
        <f t="shared" si="48"/>
        <v>3.47</v>
      </c>
      <c r="Q120" s="123">
        <f t="shared" si="48"/>
        <v>3.47</v>
      </c>
      <c r="R120" s="123">
        <f t="shared" si="48"/>
        <v>3.47</v>
      </c>
      <c r="S120" s="123">
        <f t="shared" si="48"/>
        <v>3.47</v>
      </c>
      <c r="T120" s="123">
        <f t="shared" si="47"/>
        <v>3.47</v>
      </c>
      <c r="U120" s="123">
        <f t="shared" si="47"/>
        <v>3.47</v>
      </c>
      <c r="V120" s="123">
        <f t="shared" si="47"/>
        <v>3.47</v>
      </c>
      <c r="W120" s="123">
        <f t="shared" si="47"/>
        <v>3.47</v>
      </c>
      <c r="X120" s="123">
        <f t="shared" si="47"/>
        <v>3.47</v>
      </c>
      <c r="Y120" s="123">
        <f t="shared" si="47"/>
        <v>3.47</v>
      </c>
      <c r="Z120" s="123">
        <f t="shared" si="47"/>
        <v>3.47</v>
      </c>
      <c r="AA120" s="123">
        <f t="shared" si="47"/>
        <v>3.47</v>
      </c>
      <c r="AB120" s="123">
        <f t="shared" si="47"/>
        <v>3.47</v>
      </c>
      <c r="AC120" s="123">
        <f t="shared" si="47"/>
        <v>3.47</v>
      </c>
      <c r="AD120" s="123">
        <f t="shared" si="47"/>
        <v>3.47</v>
      </c>
      <c r="AE120" s="123">
        <f t="shared" si="47"/>
        <v>3.47</v>
      </c>
      <c r="AF120" s="123">
        <f t="shared" si="47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5"/>
        <v>2.1</v>
      </c>
      <c r="C121" s="124">
        <v>2.1</v>
      </c>
      <c r="D121" s="123">
        <f t="shared" si="48"/>
        <v>2.1</v>
      </c>
      <c r="E121" s="123">
        <f t="shared" si="48"/>
        <v>2.1</v>
      </c>
      <c r="F121" s="123">
        <f t="shared" si="48"/>
        <v>2.1</v>
      </c>
      <c r="G121" s="123">
        <f t="shared" si="48"/>
        <v>2.1</v>
      </c>
      <c r="H121" s="123">
        <f t="shared" si="48"/>
        <v>2.1</v>
      </c>
      <c r="I121" s="123">
        <f t="shared" si="48"/>
        <v>2.1</v>
      </c>
      <c r="J121" s="123">
        <f t="shared" si="48"/>
        <v>2.1</v>
      </c>
      <c r="K121" s="123">
        <f t="shared" si="48"/>
        <v>2.1</v>
      </c>
      <c r="L121" s="123">
        <f t="shared" si="48"/>
        <v>2.1</v>
      </c>
      <c r="M121" s="123">
        <f t="shared" si="48"/>
        <v>2.1</v>
      </c>
      <c r="N121" s="123">
        <f t="shared" si="48"/>
        <v>2.1</v>
      </c>
      <c r="O121" s="123">
        <f t="shared" si="48"/>
        <v>2.1</v>
      </c>
      <c r="P121" s="123">
        <f t="shared" si="48"/>
        <v>2.1</v>
      </c>
      <c r="Q121" s="123">
        <f t="shared" si="48"/>
        <v>2.1</v>
      </c>
      <c r="R121" s="123">
        <f t="shared" si="48"/>
        <v>2.1</v>
      </c>
      <c r="S121" s="123">
        <f t="shared" si="48"/>
        <v>2.1</v>
      </c>
      <c r="T121" s="123">
        <f t="shared" si="47"/>
        <v>2.1</v>
      </c>
      <c r="U121" s="123">
        <f t="shared" si="47"/>
        <v>2.1</v>
      </c>
      <c r="V121" s="123">
        <f t="shared" si="47"/>
        <v>2.1</v>
      </c>
      <c r="W121" s="123">
        <f t="shared" si="47"/>
        <v>2.1</v>
      </c>
      <c r="X121" s="123">
        <f t="shared" si="47"/>
        <v>2.1</v>
      </c>
      <c r="Y121" s="123">
        <f t="shared" si="47"/>
        <v>2.1</v>
      </c>
      <c r="Z121" s="123">
        <f t="shared" si="47"/>
        <v>2.1</v>
      </c>
      <c r="AA121" s="123">
        <f t="shared" si="47"/>
        <v>2.1</v>
      </c>
      <c r="AB121" s="123">
        <f t="shared" si="47"/>
        <v>2.1</v>
      </c>
      <c r="AC121" s="123">
        <f t="shared" si="47"/>
        <v>2.1</v>
      </c>
      <c r="AD121" s="123">
        <f t="shared" si="47"/>
        <v>2.1</v>
      </c>
      <c r="AE121" s="123">
        <f t="shared" si="47"/>
        <v>2.1</v>
      </c>
      <c r="AF121" s="123">
        <f t="shared" si="47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5"/>
        <v>9.3000000000000007</v>
      </c>
      <c r="C122" s="124">
        <v>9.3000000000000007</v>
      </c>
      <c r="D122" s="123">
        <f t="shared" si="48"/>
        <v>9.3000000000000007</v>
      </c>
      <c r="E122" s="123">
        <f t="shared" si="48"/>
        <v>9.3000000000000007</v>
      </c>
      <c r="F122" s="123">
        <f t="shared" si="48"/>
        <v>9.3000000000000007</v>
      </c>
      <c r="G122" s="123">
        <f t="shared" si="48"/>
        <v>9.3000000000000007</v>
      </c>
      <c r="H122" s="123">
        <f t="shared" si="48"/>
        <v>9.3000000000000007</v>
      </c>
      <c r="I122" s="123">
        <f t="shared" si="48"/>
        <v>9.3000000000000007</v>
      </c>
      <c r="J122" s="123">
        <f t="shared" si="48"/>
        <v>9.3000000000000007</v>
      </c>
      <c r="K122" s="123">
        <f t="shared" si="48"/>
        <v>9.3000000000000007</v>
      </c>
      <c r="L122" s="123">
        <f t="shared" si="48"/>
        <v>9.3000000000000007</v>
      </c>
      <c r="M122" s="123">
        <f t="shared" si="48"/>
        <v>9.3000000000000007</v>
      </c>
      <c r="N122" s="123">
        <f t="shared" si="48"/>
        <v>9.3000000000000007</v>
      </c>
      <c r="O122" s="123">
        <f t="shared" si="48"/>
        <v>9.3000000000000007</v>
      </c>
      <c r="P122" s="123">
        <f t="shared" si="48"/>
        <v>9.3000000000000007</v>
      </c>
      <c r="Q122" s="123">
        <f t="shared" si="48"/>
        <v>9.3000000000000007</v>
      </c>
      <c r="R122" s="123">
        <f t="shared" si="48"/>
        <v>9.3000000000000007</v>
      </c>
      <c r="S122" s="123">
        <f t="shared" si="48"/>
        <v>9.3000000000000007</v>
      </c>
      <c r="T122" s="123">
        <f t="shared" si="47"/>
        <v>9.3000000000000007</v>
      </c>
      <c r="U122" s="123">
        <f t="shared" si="47"/>
        <v>9.3000000000000007</v>
      </c>
      <c r="V122" s="123">
        <f t="shared" si="47"/>
        <v>9.3000000000000007</v>
      </c>
      <c r="W122" s="123">
        <f t="shared" si="47"/>
        <v>9.3000000000000007</v>
      </c>
      <c r="X122" s="123">
        <f t="shared" si="47"/>
        <v>9.3000000000000007</v>
      </c>
      <c r="Y122" s="123">
        <f t="shared" si="47"/>
        <v>9.3000000000000007</v>
      </c>
      <c r="Z122" s="123">
        <f t="shared" si="47"/>
        <v>9.3000000000000007</v>
      </c>
      <c r="AA122" s="123">
        <f t="shared" si="47"/>
        <v>9.3000000000000007</v>
      </c>
      <c r="AB122" s="123">
        <f t="shared" si="47"/>
        <v>9.3000000000000007</v>
      </c>
      <c r="AC122" s="123">
        <f t="shared" si="47"/>
        <v>9.3000000000000007</v>
      </c>
      <c r="AD122" s="123">
        <f t="shared" si="47"/>
        <v>9.3000000000000007</v>
      </c>
      <c r="AE122" s="123">
        <f t="shared" si="47"/>
        <v>9.3000000000000007</v>
      </c>
      <c r="AF122" s="123">
        <f t="shared" si="47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5"/>
        <v>0</v>
      </c>
      <c r="C123" s="124">
        <v>0</v>
      </c>
      <c r="D123" s="123">
        <f t="shared" si="48"/>
        <v>0</v>
      </c>
      <c r="E123" s="123">
        <f t="shared" si="48"/>
        <v>0</v>
      </c>
      <c r="F123" s="123">
        <f t="shared" si="48"/>
        <v>0</v>
      </c>
      <c r="G123" s="123">
        <f t="shared" si="48"/>
        <v>0</v>
      </c>
      <c r="H123" s="123">
        <f t="shared" si="48"/>
        <v>0</v>
      </c>
      <c r="I123" s="123">
        <f t="shared" si="48"/>
        <v>0</v>
      </c>
      <c r="J123" s="123">
        <f t="shared" si="48"/>
        <v>0</v>
      </c>
      <c r="K123" s="123">
        <f t="shared" si="48"/>
        <v>0</v>
      </c>
      <c r="L123" s="123">
        <f t="shared" si="48"/>
        <v>0</v>
      </c>
      <c r="M123" s="123">
        <f t="shared" si="48"/>
        <v>0</v>
      </c>
      <c r="N123" s="123">
        <f t="shared" si="48"/>
        <v>0</v>
      </c>
      <c r="O123" s="123">
        <f t="shared" si="48"/>
        <v>0</v>
      </c>
      <c r="P123" s="123">
        <f t="shared" si="48"/>
        <v>0</v>
      </c>
      <c r="Q123" s="123">
        <f t="shared" si="48"/>
        <v>0</v>
      </c>
      <c r="R123" s="123">
        <f t="shared" si="48"/>
        <v>0</v>
      </c>
      <c r="S123" s="123">
        <f t="shared" si="48"/>
        <v>0</v>
      </c>
      <c r="T123" s="123">
        <f t="shared" si="47"/>
        <v>0</v>
      </c>
      <c r="U123" s="123">
        <f t="shared" si="47"/>
        <v>0</v>
      </c>
      <c r="V123" s="123">
        <f t="shared" si="47"/>
        <v>0</v>
      </c>
      <c r="W123" s="123">
        <f t="shared" si="47"/>
        <v>0</v>
      </c>
      <c r="X123" s="123">
        <f t="shared" si="47"/>
        <v>0</v>
      </c>
      <c r="Y123" s="123">
        <f t="shared" si="47"/>
        <v>0</v>
      </c>
      <c r="Z123" s="123">
        <f t="shared" si="47"/>
        <v>0</v>
      </c>
      <c r="AA123" s="123">
        <f t="shared" si="47"/>
        <v>0</v>
      </c>
      <c r="AB123" s="123">
        <f t="shared" si="47"/>
        <v>0</v>
      </c>
      <c r="AC123" s="123">
        <f t="shared" si="47"/>
        <v>0</v>
      </c>
      <c r="AD123" s="123">
        <f t="shared" si="47"/>
        <v>0</v>
      </c>
      <c r="AE123" s="123">
        <f t="shared" si="47"/>
        <v>0</v>
      </c>
      <c r="AF123" s="123">
        <f t="shared" si="47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5"/>
        <v>0</v>
      </c>
      <c r="C124" s="124">
        <v>0</v>
      </c>
      <c r="D124" s="123">
        <f t="shared" si="48"/>
        <v>0</v>
      </c>
      <c r="E124" s="123">
        <f t="shared" si="48"/>
        <v>0</v>
      </c>
      <c r="F124" s="123">
        <f t="shared" si="48"/>
        <v>0</v>
      </c>
      <c r="G124" s="123">
        <f t="shared" si="48"/>
        <v>0</v>
      </c>
      <c r="H124" s="123">
        <f t="shared" si="48"/>
        <v>0</v>
      </c>
      <c r="I124" s="123">
        <f t="shared" si="48"/>
        <v>0</v>
      </c>
      <c r="J124" s="123">
        <f t="shared" si="48"/>
        <v>0</v>
      </c>
      <c r="K124" s="123">
        <f t="shared" si="48"/>
        <v>0</v>
      </c>
      <c r="L124" s="123">
        <f t="shared" si="48"/>
        <v>0</v>
      </c>
      <c r="M124" s="123">
        <f t="shared" si="48"/>
        <v>0</v>
      </c>
      <c r="N124" s="123">
        <f t="shared" si="48"/>
        <v>0</v>
      </c>
      <c r="O124" s="123">
        <f t="shared" si="48"/>
        <v>0</v>
      </c>
      <c r="P124" s="123">
        <f t="shared" si="48"/>
        <v>0</v>
      </c>
      <c r="Q124" s="123">
        <f t="shared" si="48"/>
        <v>0</v>
      </c>
      <c r="R124" s="123">
        <f t="shared" si="48"/>
        <v>0</v>
      </c>
      <c r="S124" s="123">
        <f t="shared" si="48"/>
        <v>0</v>
      </c>
      <c r="T124" s="123">
        <f t="shared" si="47"/>
        <v>0</v>
      </c>
      <c r="U124" s="123">
        <f t="shared" si="47"/>
        <v>0</v>
      </c>
      <c r="V124" s="123">
        <f t="shared" si="47"/>
        <v>0</v>
      </c>
      <c r="W124" s="123">
        <f t="shared" si="47"/>
        <v>0</v>
      </c>
      <c r="X124" s="123">
        <f t="shared" si="47"/>
        <v>0</v>
      </c>
      <c r="Y124" s="123">
        <f t="shared" si="47"/>
        <v>0</v>
      </c>
      <c r="Z124" s="123">
        <f t="shared" si="47"/>
        <v>0</v>
      </c>
      <c r="AA124" s="123">
        <f t="shared" si="47"/>
        <v>0</v>
      </c>
      <c r="AB124" s="123">
        <f t="shared" si="47"/>
        <v>0</v>
      </c>
      <c r="AC124" s="123">
        <f t="shared" si="47"/>
        <v>0</v>
      </c>
      <c r="AD124" s="123">
        <f t="shared" si="47"/>
        <v>0</v>
      </c>
      <c r="AE124" s="123">
        <f t="shared" si="47"/>
        <v>0</v>
      </c>
      <c r="AF124" s="123">
        <f t="shared" si="47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5"/>
        <v>;/</v>
      </c>
      <c r="C125" s="124">
        <v>5</v>
      </c>
      <c r="D125" s="123">
        <f t="shared" si="48"/>
        <v>5</v>
      </c>
      <c r="E125" s="123">
        <f t="shared" si="48"/>
        <v>5</v>
      </c>
      <c r="F125" s="123">
        <f t="shared" si="48"/>
        <v>5</v>
      </c>
      <c r="G125" s="123">
        <f t="shared" si="48"/>
        <v>5</v>
      </c>
      <c r="H125" s="123">
        <f t="shared" si="48"/>
        <v>5</v>
      </c>
      <c r="I125" s="123" t="s">
        <v>130</v>
      </c>
      <c r="J125" s="123" t="str">
        <f t="shared" si="48"/>
        <v>;/</v>
      </c>
      <c r="K125" s="123" t="str">
        <f t="shared" si="48"/>
        <v>;/</v>
      </c>
      <c r="L125" s="123" t="str">
        <f t="shared" si="48"/>
        <v>;/</v>
      </c>
      <c r="M125" s="123" t="str">
        <f t="shared" si="48"/>
        <v>;/</v>
      </c>
      <c r="N125" s="123" t="str">
        <f t="shared" si="48"/>
        <v>;/</v>
      </c>
      <c r="O125" s="123" t="str">
        <f t="shared" si="48"/>
        <v>;/</v>
      </c>
      <c r="P125" s="123" t="str">
        <f t="shared" si="48"/>
        <v>;/</v>
      </c>
      <c r="Q125" s="123" t="str">
        <f t="shared" si="48"/>
        <v>;/</v>
      </c>
      <c r="R125" s="123" t="str">
        <f t="shared" si="48"/>
        <v>;/</v>
      </c>
      <c r="S125" s="123" t="str">
        <f t="shared" si="48"/>
        <v>;/</v>
      </c>
      <c r="T125" s="123" t="str">
        <f t="shared" si="47"/>
        <v>;/</v>
      </c>
      <c r="U125" s="123" t="str">
        <f t="shared" si="47"/>
        <v>;/</v>
      </c>
      <c r="V125" s="123" t="str">
        <f t="shared" si="47"/>
        <v>;/</v>
      </c>
      <c r="W125" s="123" t="str">
        <f t="shared" si="47"/>
        <v>;/</v>
      </c>
      <c r="X125" s="123" t="str">
        <f t="shared" si="47"/>
        <v>;/</v>
      </c>
      <c r="Y125" s="123" t="str">
        <f t="shared" si="47"/>
        <v>;/</v>
      </c>
      <c r="Z125" s="123" t="str">
        <f t="shared" si="47"/>
        <v>;/</v>
      </c>
      <c r="AA125" s="123" t="str">
        <f t="shared" si="47"/>
        <v>;/</v>
      </c>
      <c r="AB125" s="123" t="str">
        <f t="shared" si="47"/>
        <v>;/</v>
      </c>
      <c r="AC125" s="123" t="str">
        <f t="shared" si="47"/>
        <v>;/</v>
      </c>
      <c r="AD125" s="123" t="str">
        <f t="shared" si="47"/>
        <v>;/</v>
      </c>
      <c r="AE125" s="123" t="str">
        <f t="shared" si="47"/>
        <v>;/</v>
      </c>
      <c r="AF125" s="123" t="str">
        <f t="shared" si="47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5"/>
        <v>1</v>
      </c>
      <c r="C126" s="124">
        <v>1</v>
      </c>
      <c r="D126" s="123">
        <f t="shared" si="48"/>
        <v>1</v>
      </c>
      <c r="E126" s="123">
        <f t="shared" si="48"/>
        <v>1</v>
      </c>
      <c r="F126" s="123">
        <f t="shared" si="48"/>
        <v>1</v>
      </c>
      <c r="G126" s="123">
        <f t="shared" si="48"/>
        <v>1</v>
      </c>
      <c r="H126" s="123">
        <f t="shared" si="48"/>
        <v>1</v>
      </c>
      <c r="I126" s="123">
        <f t="shared" si="48"/>
        <v>1</v>
      </c>
      <c r="J126" s="123">
        <f t="shared" si="48"/>
        <v>1</v>
      </c>
      <c r="K126" s="123">
        <f t="shared" si="48"/>
        <v>1</v>
      </c>
      <c r="L126" s="123">
        <f t="shared" si="48"/>
        <v>1</v>
      </c>
      <c r="M126" s="123">
        <f t="shared" si="48"/>
        <v>1</v>
      </c>
      <c r="N126" s="123">
        <f t="shared" si="48"/>
        <v>1</v>
      </c>
      <c r="O126" s="123">
        <f t="shared" si="48"/>
        <v>1</v>
      </c>
      <c r="P126" s="123">
        <f t="shared" si="48"/>
        <v>1</v>
      </c>
      <c r="Q126" s="123">
        <f t="shared" si="48"/>
        <v>1</v>
      </c>
      <c r="R126" s="123">
        <f t="shared" si="48"/>
        <v>1</v>
      </c>
      <c r="S126" s="123">
        <f t="shared" si="48"/>
        <v>1</v>
      </c>
      <c r="T126" s="123">
        <f t="shared" si="47"/>
        <v>1</v>
      </c>
      <c r="U126" s="123">
        <f t="shared" si="47"/>
        <v>1</v>
      </c>
      <c r="V126" s="123">
        <f t="shared" si="47"/>
        <v>1</v>
      </c>
      <c r="W126" s="123">
        <f t="shared" si="47"/>
        <v>1</v>
      </c>
      <c r="X126" s="123">
        <f t="shared" si="47"/>
        <v>1</v>
      </c>
      <c r="Y126" s="123">
        <f t="shared" si="47"/>
        <v>1</v>
      </c>
      <c r="Z126" s="123">
        <f t="shared" si="47"/>
        <v>1</v>
      </c>
      <c r="AA126" s="123">
        <f t="shared" si="47"/>
        <v>1</v>
      </c>
      <c r="AB126" s="123">
        <f t="shared" si="47"/>
        <v>1</v>
      </c>
      <c r="AC126" s="123">
        <f t="shared" si="47"/>
        <v>1</v>
      </c>
      <c r="AD126" s="123">
        <f t="shared" si="47"/>
        <v>1</v>
      </c>
      <c r="AE126" s="123">
        <f t="shared" si="47"/>
        <v>1</v>
      </c>
      <c r="AF126" s="123">
        <f t="shared" si="47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5"/>
        <v>1.58</v>
      </c>
      <c r="C127" s="124">
        <v>1.58</v>
      </c>
      <c r="D127" s="123">
        <f t="shared" si="48"/>
        <v>1.58</v>
      </c>
      <c r="E127" s="123">
        <f t="shared" si="48"/>
        <v>1.58</v>
      </c>
      <c r="F127" s="123">
        <f t="shared" si="48"/>
        <v>1.58</v>
      </c>
      <c r="G127" s="123">
        <f t="shared" si="48"/>
        <v>1.58</v>
      </c>
      <c r="H127" s="123">
        <f t="shared" si="48"/>
        <v>1.58</v>
      </c>
      <c r="I127" s="123">
        <f t="shared" si="48"/>
        <v>1.58</v>
      </c>
      <c r="J127" s="123">
        <f t="shared" si="48"/>
        <v>1.58</v>
      </c>
      <c r="K127" s="123">
        <f t="shared" si="48"/>
        <v>1.58</v>
      </c>
      <c r="L127" s="123">
        <f t="shared" si="48"/>
        <v>1.58</v>
      </c>
      <c r="M127" s="123">
        <f t="shared" si="48"/>
        <v>1.58</v>
      </c>
      <c r="N127" s="123">
        <f t="shared" si="48"/>
        <v>1.58</v>
      </c>
      <c r="O127" s="123">
        <f t="shared" si="48"/>
        <v>1.58</v>
      </c>
      <c r="P127" s="123">
        <f t="shared" si="48"/>
        <v>1.58</v>
      </c>
      <c r="Q127" s="123">
        <f t="shared" si="48"/>
        <v>1.58</v>
      </c>
      <c r="R127" s="123">
        <f t="shared" si="48"/>
        <v>1.58</v>
      </c>
      <c r="S127" s="123">
        <f t="shared" si="48"/>
        <v>1.58</v>
      </c>
      <c r="T127" s="123">
        <f t="shared" si="47"/>
        <v>1.58</v>
      </c>
      <c r="U127" s="123">
        <f t="shared" si="47"/>
        <v>1.58</v>
      </c>
      <c r="V127" s="123">
        <f t="shared" si="47"/>
        <v>1.58</v>
      </c>
      <c r="W127" s="123">
        <f t="shared" si="47"/>
        <v>1.58</v>
      </c>
      <c r="X127" s="123">
        <f t="shared" si="47"/>
        <v>1.58</v>
      </c>
      <c r="Y127" s="123">
        <f t="shared" si="47"/>
        <v>1.58</v>
      </c>
      <c r="Z127" s="123">
        <f t="shared" si="47"/>
        <v>1.58</v>
      </c>
      <c r="AA127" s="123">
        <f t="shared" si="47"/>
        <v>1.58</v>
      </c>
      <c r="AB127" s="123">
        <f t="shared" si="47"/>
        <v>1.58</v>
      </c>
      <c r="AC127" s="123">
        <f t="shared" si="47"/>
        <v>1.58</v>
      </c>
      <c r="AD127" s="123">
        <f t="shared" si="47"/>
        <v>1.58</v>
      </c>
      <c r="AE127" s="123">
        <f t="shared" si="47"/>
        <v>1.58</v>
      </c>
      <c r="AF127" s="123">
        <f t="shared" si="47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5"/>
        <v>1.46</v>
      </c>
      <c r="C128" s="124">
        <v>1.46</v>
      </c>
      <c r="D128" s="123">
        <f t="shared" si="48"/>
        <v>1.46</v>
      </c>
      <c r="E128" s="123">
        <f t="shared" si="48"/>
        <v>1.46</v>
      </c>
      <c r="F128" s="123">
        <f t="shared" si="48"/>
        <v>1.46</v>
      </c>
      <c r="G128" s="123">
        <f t="shared" si="48"/>
        <v>1.46</v>
      </c>
      <c r="H128" s="123">
        <f t="shared" si="48"/>
        <v>1.46</v>
      </c>
      <c r="I128" s="123">
        <f t="shared" si="48"/>
        <v>1.46</v>
      </c>
      <c r="J128" s="123">
        <f t="shared" si="48"/>
        <v>1.46</v>
      </c>
      <c r="K128" s="123">
        <f t="shared" si="48"/>
        <v>1.46</v>
      </c>
      <c r="L128" s="123">
        <f t="shared" si="48"/>
        <v>1.46</v>
      </c>
      <c r="M128" s="123">
        <f t="shared" si="48"/>
        <v>1.46</v>
      </c>
      <c r="N128" s="123">
        <f t="shared" si="48"/>
        <v>1.46</v>
      </c>
      <c r="O128" s="123">
        <f t="shared" si="48"/>
        <v>1.46</v>
      </c>
      <c r="P128" s="123">
        <f t="shared" si="48"/>
        <v>1.46</v>
      </c>
      <c r="Q128" s="123">
        <f t="shared" si="48"/>
        <v>1.46</v>
      </c>
      <c r="R128" s="123">
        <f t="shared" si="48"/>
        <v>1.46</v>
      </c>
      <c r="S128" s="123">
        <f t="shared" si="48"/>
        <v>1.46</v>
      </c>
      <c r="T128" s="123">
        <f t="shared" ref="T128:AF129" si="49">S128</f>
        <v>1.46</v>
      </c>
      <c r="U128" s="123">
        <f t="shared" si="49"/>
        <v>1.46</v>
      </c>
      <c r="V128" s="123">
        <f t="shared" si="49"/>
        <v>1.46</v>
      </c>
      <c r="W128" s="123">
        <f t="shared" si="49"/>
        <v>1.46</v>
      </c>
      <c r="X128" s="123">
        <f t="shared" si="49"/>
        <v>1.46</v>
      </c>
      <c r="Y128" s="123">
        <f t="shared" si="49"/>
        <v>1.46</v>
      </c>
      <c r="Z128" s="123">
        <f t="shared" si="49"/>
        <v>1.46</v>
      </c>
      <c r="AA128" s="123">
        <f t="shared" si="49"/>
        <v>1.46</v>
      </c>
      <c r="AB128" s="123">
        <f t="shared" si="49"/>
        <v>1.46</v>
      </c>
      <c r="AC128" s="123">
        <f t="shared" si="49"/>
        <v>1.46</v>
      </c>
      <c r="AD128" s="123">
        <f t="shared" si="49"/>
        <v>1.46</v>
      </c>
      <c r="AE128" s="123">
        <f t="shared" si="49"/>
        <v>1.46</v>
      </c>
      <c r="AF128" s="123">
        <f t="shared" si="49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5"/>
        <v>1.48</v>
      </c>
      <c r="C129" s="124">
        <v>1.48</v>
      </c>
      <c r="D129" s="123">
        <f t="shared" si="48"/>
        <v>1.48</v>
      </c>
      <c r="E129" s="123">
        <f t="shared" si="48"/>
        <v>1.48</v>
      </c>
      <c r="F129" s="123">
        <f t="shared" si="48"/>
        <v>1.48</v>
      </c>
      <c r="G129" s="123">
        <f t="shared" si="48"/>
        <v>1.48</v>
      </c>
      <c r="H129" s="123">
        <f t="shared" si="48"/>
        <v>1.48</v>
      </c>
      <c r="I129" s="123">
        <f t="shared" si="48"/>
        <v>1.48</v>
      </c>
      <c r="J129" s="123">
        <f t="shared" si="48"/>
        <v>1.48</v>
      </c>
      <c r="K129" s="123">
        <f t="shared" si="48"/>
        <v>1.48</v>
      </c>
      <c r="L129" s="123">
        <f t="shared" si="48"/>
        <v>1.48</v>
      </c>
      <c r="M129" s="123">
        <f t="shared" si="48"/>
        <v>1.48</v>
      </c>
      <c r="N129" s="123">
        <f t="shared" si="48"/>
        <v>1.48</v>
      </c>
      <c r="O129" s="123">
        <f t="shared" si="48"/>
        <v>1.48</v>
      </c>
      <c r="P129" s="123">
        <f t="shared" si="48"/>
        <v>1.48</v>
      </c>
      <c r="Q129" s="123">
        <f t="shared" si="48"/>
        <v>1.48</v>
      </c>
      <c r="R129" s="123">
        <f t="shared" si="48"/>
        <v>1.48</v>
      </c>
      <c r="S129" s="123">
        <f t="shared" si="48"/>
        <v>1.48</v>
      </c>
      <c r="T129" s="123">
        <f t="shared" si="49"/>
        <v>1.48</v>
      </c>
      <c r="U129" s="123">
        <f t="shared" si="49"/>
        <v>1.48</v>
      </c>
      <c r="V129" s="123">
        <f t="shared" si="49"/>
        <v>1.48</v>
      </c>
      <c r="W129" s="123">
        <f t="shared" si="49"/>
        <v>1.48</v>
      </c>
      <c r="X129" s="123">
        <f t="shared" si="49"/>
        <v>1.48</v>
      </c>
      <c r="Y129" s="123">
        <f t="shared" si="49"/>
        <v>1.48</v>
      </c>
      <c r="Z129" s="123">
        <f t="shared" si="49"/>
        <v>1.48</v>
      </c>
      <c r="AA129" s="123">
        <f t="shared" si="49"/>
        <v>1.48</v>
      </c>
      <c r="AB129" s="123">
        <f t="shared" si="49"/>
        <v>1.48</v>
      </c>
      <c r="AC129" s="123">
        <f t="shared" si="49"/>
        <v>1.48</v>
      </c>
      <c r="AD129" s="123">
        <f t="shared" si="49"/>
        <v>1.48</v>
      </c>
      <c r="AE129" s="123">
        <f t="shared" si="49"/>
        <v>1.48</v>
      </c>
      <c r="AF129" s="123">
        <f t="shared" si="49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50">AF131</f>
        <v>2.2000000000000002</v>
      </c>
      <c r="C131" s="124">
        <v>2.2000000000000002</v>
      </c>
      <c r="D131" s="123">
        <f t="shared" ref="D131:S138" si="51">C131</f>
        <v>2.2000000000000002</v>
      </c>
      <c r="E131" s="123">
        <f t="shared" si="51"/>
        <v>2.2000000000000002</v>
      </c>
      <c r="F131" s="123">
        <f t="shared" si="51"/>
        <v>2.2000000000000002</v>
      </c>
      <c r="G131" s="123">
        <f t="shared" si="51"/>
        <v>2.2000000000000002</v>
      </c>
      <c r="H131" s="123">
        <f t="shared" si="51"/>
        <v>2.2000000000000002</v>
      </c>
      <c r="I131" s="123">
        <f t="shared" si="51"/>
        <v>2.2000000000000002</v>
      </c>
      <c r="J131" s="123">
        <f t="shared" si="51"/>
        <v>2.2000000000000002</v>
      </c>
      <c r="K131" s="123">
        <f t="shared" si="51"/>
        <v>2.2000000000000002</v>
      </c>
      <c r="L131" s="123">
        <f t="shared" si="51"/>
        <v>2.2000000000000002</v>
      </c>
      <c r="M131" s="123">
        <f t="shared" si="51"/>
        <v>2.2000000000000002</v>
      </c>
      <c r="N131" s="123">
        <f t="shared" si="51"/>
        <v>2.2000000000000002</v>
      </c>
      <c r="O131" s="123">
        <f t="shared" si="51"/>
        <v>2.2000000000000002</v>
      </c>
      <c r="P131" s="123">
        <f t="shared" si="51"/>
        <v>2.2000000000000002</v>
      </c>
      <c r="Q131" s="123">
        <f t="shared" si="51"/>
        <v>2.2000000000000002</v>
      </c>
      <c r="R131" s="123">
        <f t="shared" si="51"/>
        <v>2.2000000000000002</v>
      </c>
      <c r="S131" s="123">
        <f t="shared" si="51"/>
        <v>2.2000000000000002</v>
      </c>
      <c r="T131" s="123">
        <f t="shared" ref="T131:AF138" si="52">S131</f>
        <v>2.2000000000000002</v>
      </c>
      <c r="U131" s="123">
        <f t="shared" si="52"/>
        <v>2.2000000000000002</v>
      </c>
      <c r="V131" s="123">
        <f t="shared" si="52"/>
        <v>2.2000000000000002</v>
      </c>
      <c r="W131" s="123">
        <f t="shared" si="52"/>
        <v>2.2000000000000002</v>
      </c>
      <c r="X131" s="123">
        <f t="shared" si="52"/>
        <v>2.2000000000000002</v>
      </c>
      <c r="Y131" s="123">
        <f t="shared" si="52"/>
        <v>2.2000000000000002</v>
      </c>
      <c r="Z131" s="123">
        <f t="shared" si="52"/>
        <v>2.2000000000000002</v>
      </c>
      <c r="AA131" s="123">
        <f t="shared" si="52"/>
        <v>2.2000000000000002</v>
      </c>
      <c r="AB131" s="123">
        <f t="shared" si="52"/>
        <v>2.2000000000000002</v>
      </c>
      <c r="AC131" s="123">
        <f t="shared" si="52"/>
        <v>2.2000000000000002</v>
      </c>
      <c r="AD131" s="123">
        <f t="shared" si="52"/>
        <v>2.2000000000000002</v>
      </c>
      <c r="AE131" s="123">
        <f t="shared" si="52"/>
        <v>2.2000000000000002</v>
      </c>
      <c r="AF131" s="123">
        <f t="shared" si="52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50"/>
        <v>2</v>
      </c>
      <c r="C132" s="124">
        <v>2</v>
      </c>
      <c r="D132" s="123">
        <f t="shared" si="51"/>
        <v>2</v>
      </c>
      <c r="E132" s="123">
        <f t="shared" si="51"/>
        <v>2</v>
      </c>
      <c r="F132" s="123">
        <f t="shared" si="51"/>
        <v>2</v>
      </c>
      <c r="G132" s="123">
        <f t="shared" si="51"/>
        <v>2</v>
      </c>
      <c r="H132" s="123">
        <f t="shared" si="51"/>
        <v>2</v>
      </c>
      <c r="I132" s="123">
        <f t="shared" si="51"/>
        <v>2</v>
      </c>
      <c r="J132" s="123">
        <f t="shared" si="51"/>
        <v>2</v>
      </c>
      <c r="K132" s="123">
        <f t="shared" si="51"/>
        <v>2</v>
      </c>
      <c r="L132" s="123">
        <f t="shared" si="51"/>
        <v>2</v>
      </c>
      <c r="M132" s="123">
        <f t="shared" si="51"/>
        <v>2</v>
      </c>
      <c r="N132" s="123">
        <f t="shared" si="51"/>
        <v>2</v>
      </c>
      <c r="O132" s="123">
        <f t="shared" si="51"/>
        <v>2</v>
      </c>
      <c r="P132" s="123">
        <f t="shared" si="51"/>
        <v>2</v>
      </c>
      <c r="Q132" s="123">
        <f t="shared" si="51"/>
        <v>2</v>
      </c>
      <c r="R132" s="123">
        <f t="shared" si="51"/>
        <v>2</v>
      </c>
      <c r="S132" s="123">
        <f t="shared" si="51"/>
        <v>2</v>
      </c>
      <c r="T132" s="123">
        <f t="shared" si="52"/>
        <v>2</v>
      </c>
      <c r="U132" s="123">
        <f t="shared" si="52"/>
        <v>2</v>
      </c>
      <c r="V132" s="123">
        <f t="shared" si="52"/>
        <v>2</v>
      </c>
      <c r="W132" s="123">
        <f t="shared" si="52"/>
        <v>2</v>
      </c>
      <c r="X132" s="123">
        <f t="shared" si="52"/>
        <v>2</v>
      </c>
      <c r="Y132" s="123">
        <f t="shared" si="52"/>
        <v>2</v>
      </c>
      <c r="Z132" s="123">
        <f t="shared" si="52"/>
        <v>2</v>
      </c>
      <c r="AA132" s="123">
        <f t="shared" si="52"/>
        <v>2</v>
      </c>
      <c r="AB132" s="123">
        <f t="shared" si="52"/>
        <v>2</v>
      </c>
      <c r="AC132" s="123">
        <f t="shared" si="52"/>
        <v>2</v>
      </c>
      <c r="AD132" s="123">
        <f t="shared" si="52"/>
        <v>2</v>
      </c>
      <c r="AE132" s="123">
        <f t="shared" si="52"/>
        <v>2</v>
      </c>
      <c r="AF132" s="123">
        <f t="shared" si="52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50"/>
        <v>1.25</v>
      </c>
      <c r="C133" s="124">
        <v>1.25</v>
      </c>
      <c r="D133" s="123">
        <f t="shared" si="51"/>
        <v>1.25</v>
      </c>
      <c r="E133" s="123">
        <f t="shared" si="51"/>
        <v>1.25</v>
      </c>
      <c r="F133" s="123">
        <f t="shared" si="51"/>
        <v>1.25</v>
      </c>
      <c r="G133" s="123">
        <f t="shared" si="51"/>
        <v>1.25</v>
      </c>
      <c r="H133" s="123">
        <f t="shared" si="51"/>
        <v>1.25</v>
      </c>
      <c r="I133" s="123">
        <f t="shared" si="51"/>
        <v>1.25</v>
      </c>
      <c r="J133" s="123">
        <f t="shared" si="51"/>
        <v>1.25</v>
      </c>
      <c r="K133" s="123">
        <f t="shared" si="51"/>
        <v>1.25</v>
      </c>
      <c r="L133" s="123">
        <f t="shared" si="51"/>
        <v>1.25</v>
      </c>
      <c r="M133" s="123">
        <f t="shared" si="51"/>
        <v>1.25</v>
      </c>
      <c r="N133" s="123">
        <f t="shared" si="51"/>
        <v>1.25</v>
      </c>
      <c r="O133" s="123">
        <f t="shared" si="51"/>
        <v>1.25</v>
      </c>
      <c r="P133" s="123">
        <f t="shared" si="51"/>
        <v>1.25</v>
      </c>
      <c r="Q133" s="123">
        <f t="shared" si="51"/>
        <v>1.25</v>
      </c>
      <c r="R133" s="123">
        <f t="shared" si="51"/>
        <v>1.25</v>
      </c>
      <c r="S133" s="123">
        <f t="shared" si="51"/>
        <v>1.25</v>
      </c>
      <c r="T133" s="123">
        <f t="shared" si="52"/>
        <v>1.25</v>
      </c>
      <c r="U133" s="123">
        <f t="shared" si="52"/>
        <v>1.25</v>
      </c>
      <c r="V133" s="123">
        <f t="shared" si="52"/>
        <v>1.25</v>
      </c>
      <c r="W133" s="123">
        <f t="shared" si="52"/>
        <v>1.25</v>
      </c>
      <c r="X133" s="123">
        <f t="shared" si="52"/>
        <v>1.25</v>
      </c>
      <c r="Y133" s="123">
        <f t="shared" si="52"/>
        <v>1.25</v>
      </c>
      <c r="Z133" s="123">
        <f t="shared" si="52"/>
        <v>1.25</v>
      </c>
      <c r="AA133" s="123">
        <f t="shared" si="52"/>
        <v>1.25</v>
      </c>
      <c r="AB133" s="123">
        <f t="shared" si="52"/>
        <v>1.25</v>
      </c>
      <c r="AC133" s="123">
        <f t="shared" si="52"/>
        <v>1.25</v>
      </c>
      <c r="AD133" s="123">
        <f t="shared" si="52"/>
        <v>1.25</v>
      </c>
      <c r="AE133" s="123">
        <f t="shared" si="52"/>
        <v>1.25</v>
      </c>
      <c r="AF133" s="123">
        <f t="shared" si="52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50"/>
        <v>1.1499999999999999</v>
      </c>
      <c r="C134" s="124">
        <v>1.1499999999999999</v>
      </c>
      <c r="D134" s="123">
        <f t="shared" si="51"/>
        <v>1.1499999999999999</v>
      </c>
      <c r="E134" s="123">
        <f t="shared" si="51"/>
        <v>1.1499999999999999</v>
      </c>
      <c r="F134" s="123">
        <f t="shared" si="51"/>
        <v>1.1499999999999999</v>
      </c>
      <c r="G134" s="123">
        <f t="shared" si="51"/>
        <v>1.1499999999999999</v>
      </c>
      <c r="H134" s="123">
        <f t="shared" si="51"/>
        <v>1.1499999999999999</v>
      </c>
      <c r="I134" s="123">
        <f t="shared" si="51"/>
        <v>1.1499999999999999</v>
      </c>
      <c r="J134" s="123">
        <f t="shared" si="51"/>
        <v>1.1499999999999999</v>
      </c>
      <c r="K134" s="123">
        <f t="shared" si="51"/>
        <v>1.1499999999999999</v>
      </c>
      <c r="L134" s="123">
        <f t="shared" si="51"/>
        <v>1.1499999999999999</v>
      </c>
      <c r="M134" s="123">
        <f t="shared" si="51"/>
        <v>1.1499999999999999</v>
      </c>
      <c r="N134" s="123">
        <f t="shared" si="51"/>
        <v>1.1499999999999999</v>
      </c>
      <c r="O134" s="123">
        <f t="shared" si="51"/>
        <v>1.1499999999999999</v>
      </c>
      <c r="P134" s="123">
        <f t="shared" si="51"/>
        <v>1.1499999999999999</v>
      </c>
      <c r="Q134" s="123">
        <f t="shared" si="51"/>
        <v>1.1499999999999999</v>
      </c>
      <c r="R134" s="123">
        <f t="shared" si="51"/>
        <v>1.1499999999999999</v>
      </c>
      <c r="S134" s="123">
        <f t="shared" si="51"/>
        <v>1.1499999999999999</v>
      </c>
      <c r="T134" s="123">
        <f t="shared" si="52"/>
        <v>1.1499999999999999</v>
      </c>
      <c r="U134" s="123">
        <f t="shared" si="52"/>
        <v>1.1499999999999999</v>
      </c>
      <c r="V134" s="123">
        <f t="shared" si="52"/>
        <v>1.1499999999999999</v>
      </c>
      <c r="W134" s="123">
        <f t="shared" si="52"/>
        <v>1.1499999999999999</v>
      </c>
      <c r="X134" s="123">
        <f t="shared" si="52"/>
        <v>1.1499999999999999</v>
      </c>
      <c r="Y134" s="123">
        <f t="shared" si="52"/>
        <v>1.1499999999999999</v>
      </c>
      <c r="Z134" s="123">
        <f t="shared" si="52"/>
        <v>1.1499999999999999</v>
      </c>
      <c r="AA134" s="123">
        <f t="shared" si="52"/>
        <v>1.1499999999999999</v>
      </c>
      <c r="AB134" s="123">
        <f t="shared" si="52"/>
        <v>1.1499999999999999</v>
      </c>
      <c r="AC134" s="123">
        <f t="shared" si="52"/>
        <v>1.1499999999999999</v>
      </c>
      <c r="AD134" s="123">
        <f t="shared" si="52"/>
        <v>1.1499999999999999</v>
      </c>
      <c r="AE134" s="123">
        <f t="shared" si="52"/>
        <v>1.1499999999999999</v>
      </c>
      <c r="AF134" s="123">
        <f t="shared" si="52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50"/>
        <v>2.133</v>
      </c>
      <c r="C135" s="124">
        <v>2.133</v>
      </c>
      <c r="D135" s="123">
        <f t="shared" si="51"/>
        <v>2.133</v>
      </c>
      <c r="E135" s="123">
        <f t="shared" si="51"/>
        <v>2.133</v>
      </c>
      <c r="F135" s="123">
        <f t="shared" si="51"/>
        <v>2.133</v>
      </c>
      <c r="G135" s="123">
        <f t="shared" si="51"/>
        <v>2.133</v>
      </c>
      <c r="H135" s="123">
        <f t="shared" si="51"/>
        <v>2.133</v>
      </c>
      <c r="I135" s="123">
        <f t="shared" si="51"/>
        <v>2.133</v>
      </c>
      <c r="J135" s="123">
        <f t="shared" si="51"/>
        <v>2.133</v>
      </c>
      <c r="K135" s="123">
        <f t="shared" si="51"/>
        <v>2.133</v>
      </c>
      <c r="L135" s="123">
        <f t="shared" si="51"/>
        <v>2.133</v>
      </c>
      <c r="M135" s="123">
        <f t="shared" si="51"/>
        <v>2.133</v>
      </c>
      <c r="N135" s="123">
        <f t="shared" si="51"/>
        <v>2.133</v>
      </c>
      <c r="O135" s="123">
        <f t="shared" si="51"/>
        <v>2.133</v>
      </c>
      <c r="P135" s="123">
        <f t="shared" si="51"/>
        <v>2.133</v>
      </c>
      <c r="Q135" s="123">
        <f t="shared" si="51"/>
        <v>2.133</v>
      </c>
      <c r="R135" s="123">
        <f t="shared" si="51"/>
        <v>2.133</v>
      </c>
      <c r="S135" s="123">
        <f t="shared" si="51"/>
        <v>2.133</v>
      </c>
      <c r="T135" s="123">
        <f t="shared" si="52"/>
        <v>2.133</v>
      </c>
      <c r="U135" s="123">
        <f t="shared" si="52"/>
        <v>2.133</v>
      </c>
      <c r="V135" s="123">
        <f t="shared" si="52"/>
        <v>2.133</v>
      </c>
      <c r="W135" s="123">
        <f t="shared" si="52"/>
        <v>2.133</v>
      </c>
      <c r="X135" s="123">
        <f t="shared" si="52"/>
        <v>2.133</v>
      </c>
      <c r="Y135" s="123">
        <f t="shared" si="52"/>
        <v>2.133</v>
      </c>
      <c r="Z135" s="123">
        <f t="shared" si="52"/>
        <v>2.133</v>
      </c>
      <c r="AA135" s="123">
        <f t="shared" si="52"/>
        <v>2.133</v>
      </c>
      <c r="AB135" s="123">
        <f t="shared" si="52"/>
        <v>2.133</v>
      </c>
      <c r="AC135" s="123">
        <f t="shared" si="52"/>
        <v>2.133</v>
      </c>
      <c r="AD135" s="123">
        <f t="shared" si="52"/>
        <v>2.133</v>
      </c>
      <c r="AE135" s="123">
        <f t="shared" si="52"/>
        <v>2.133</v>
      </c>
      <c r="AF135" s="123">
        <f t="shared" si="52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50"/>
        <v>2.09</v>
      </c>
      <c r="C136" s="124">
        <v>2.09</v>
      </c>
      <c r="D136" s="123">
        <f t="shared" si="51"/>
        <v>2.09</v>
      </c>
      <c r="E136" s="123">
        <f t="shared" si="51"/>
        <v>2.09</v>
      </c>
      <c r="F136" s="123">
        <f t="shared" si="51"/>
        <v>2.09</v>
      </c>
      <c r="G136" s="123">
        <f t="shared" si="51"/>
        <v>2.09</v>
      </c>
      <c r="H136" s="123">
        <f t="shared" si="51"/>
        <v>2.09</v>
      </c>
      <c r="I136" s="123">
        <f t="shared" si="51"/>
        <v>2.09</v>
      </c>
      <c r="J136" s="123">
        <f t="shared" si="51"/>
        <v>2.09</v>
      </c>
      <c r="K136" s="123">
        <f t="shared" si="51"/>
        <v>2.09</v>
      </c>
      <c r="L136" s="123">
        <f t="shared" si="51"/>
        <v>2.09</v>
      </c>
      <c r="M136" s="123">
        <f t="shared" si="51"/>
        <v>2.09</v>
      </c>
      <c r="N136" s="123">
        <f t="shared" si="51"/>
        <v>2.09</v>
      </c>
      <c r="O136" s="123">
        <f t="shared" si="51"/>
        <v>2.09</v>
      </c>
      <c r="P136" s="123">
        <f t="shared" si="51"/>
        <v>2.09</v>
      </c>
      <c r="Q136" s="123">
        <f t="shared" si="51"/>
        <v>2.09</v>
      </c>
      <c r="R136" s="123">
        <f t="shared" si="51"/>
        <v>2.09</v>
      </c>
      <c r="S136" s="123">
        <f t="shared" si="51"/>
        <v>2.09</v>
      </c>
      <c r="T136" s="123">
        <f t="shared" si="52"/>
        <v>2.09</v>
      </c>
      <c r="U136" s="123">
        <f t="shared" si="52"/>
        <v>2.09</v>
      </c>
      <c r="V136" s="123">
        <f t="shared" si="52"/>
        <v>2.09</v>
      </c>
      <c r="W136" s="123">
        <f t="shared" si="52"/>
        <v>2.09</v>
      </c>
      <c r="X136" s="123">
        <f t="shared" si="52"/>
        <v>2.09</v>
      </c>
      <c r="Y136" s="123">
        <f t="shared" si="52"/>
        <v>2.09</v>
      </c>
      <c r="Z136" s="123">
        <f t="shared" si="52"/>
        <v>2.09</v>
      </c>
      <c r="AA136" s="123">
        <f t="shared" si="52"/>
        <v>2.09</v>
      </c>
      <c r="AB136" s="123">
        <f t="shared" si="52"/>
        <v>2.09</v>
      </c>
      <c r="AC136" s="123">
        <f t="shared" si="52"/>
        <v>2.09</v>
      </c>
      <c r="AD136" s="123">
        <f t="shared" si="52"/>
        <v>2.09</v>
      </c>
      <c r="AE136" s="123">
        <f t="shared" si="52"/>
        <v>2.09</v>
      </c>
      <c r="AF136" s="123">
        <f t="shared" si="52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50"/>
        <v>1.1399999999999999</v>
      </c>
      <c r="C137" s="124">
        <v>1.1399999999999999</v>
      </c>
      <c r="D137" s="123">
        <f t="shared" si="51"/>
        <v>1.1399999999999999</v>
      </c>
      <c r="E137" s="123">
        <f t="shared" si="51"/>
        <v>1.1399999999999999</v>
      </c>
      <c r="F137" s="123">
        <f t="shared" si="51"/>
        <v>1.1399999999999999</v>
      </c>
      <c r="G137" s="123">
        <f t="shared" si="51"/>
        <v>1.1399999999999999</v>
      </c>
      <c r="H137" s="123">
        <f t="shared" si="51"/>
        <v>1.1399999999999999</v>
      </c>
      <c r="I137" s="123">
        <f t="shared" si="51"/>
        <v>1.1399999999999999</v>
      </c>
      <c r="J137" s="123">
        <f t="shared" si="51"/>
        <v>1.1399999999999999</v>
      </c>
      <c r="K137" s="123">
        <f t="shared" si="51"/>
        <v>1.1399999999999999</v>
      </c>
      <c r="L137" s="123">
        <f t="shared" si="51"/>
        <v>1.1399999999999999</v>
      </c>
      <c r="M137" s="123">
        <f t="shared" si="51"/>
        <v>1.1399999999999999</v>
      </c>
      <c r="N137" s="123">
        <f t="shared" si="51"/>
        <v>1.1399999999999999</v>
      </c>
      <c r="O137" s="123">
        <f t="shared" si="51"/>
        <v>1.1399999999999999</v>
      </c>
      <c r="P137" s="123">
        <f t="shared" si="51"/>
        <v>1.1399999999999999</v>
      </c>
      <c r="Q137" s="123">
        <f t="shared" si="51"/>
        <v>1.1399999999999999</v>
      </c>
      <c r="R137" s="123">
        <f t="shared" si="51"/>
        <v>1.1399999999999999</v>
      </c>
      <c r="S137" s="123">
        <f t="shared" si="51"/>
        <v>1.1399999999999999</v>
      </c>
      <c r="T137" s="123">
        <f t="shared" si="52"/>
        <v>1.1399999999999999</v>
      </c>
      <c r="U137" s="123">
        <f t="shared" si="52"/>
        <v>1.1399999999999999</v>
      </c>
      <c r="V137" s="123">
        <f t="shared" si="52"/>
        <v>1.1399999999999999</v>
      </c>
      <c r="W137" s="123">
        <f t="shared" si="52"/>
        <v>1.1399999999999999</v>
      </c>
      <c r="X137" s="123">
        <f t="shared" si="52"/>
        <v>1.1399999999999999</v>
      </c>
      <c r="Y137" s="123">
        <f t="shared" si="52"/>
        <v>1.1399999999999999</v>
      </c>
      <c r="Z137" s="123">
        <f t="shared" si="52"/>
        <v>1.1399999999999999</v>
      </c>
      <c r="AA137" s="123">
        <f t="shared" si="52"/>
        <v>1.1399999999999999</v>
      </c>
      <c r="AB137" s="123">
        <f t="shared" si="52"/>
        <v>1.1399999999999999</v>
      </c>
      <c r="AC137" s="123">
        <f t="shared" si="52"/>
        <v>1.1399999999999999</v>
      </c>
      <c r="AD137" s="123">
        <f t="shared" si="52"/>
        <v>1.1399999999999999</v>
      </c>
      <c r="AE137" s="123">
        <f t="shared" si="52"/>
        <v>1.1399999999999999</v>
      </c>
      <c r="AF137" s="123">
        <f t="shared" si="52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50"/>
        <v>0.82</v>
      </c>
      <c r="C138" s="124">
        <v>0.82</v>
      </c>
      <c r="D138" s="123">
        <f t="shared" si="51"/>
        <v>0.82</v>
      </c>
      <c r="E138" s="123">
        <f t="shared" si="51"/>
        <v>0.82</v>
      </c>
      <c r="F138" s="123">
        <f t="shared" si="51"/>
        <v>0.82</v>
      </c>
      <c r="G138" s="123">
        <f t="shared" si="51"/>
        <v>0.82</v>
      </c>
      <c r="H138" s="123">
        <f t="shared" si="51"/>
        <v>0.82</v>
      </c>
      <c r="I138" s="123">
        <f t="shared" si="51"/>
        <v>0.82</v>
      </c>
      <c r="J138" s="123">
        <f t="shared" si="51"/>
        <v>0.82</v>
      </c>
      <c r="K138" s="123">
        <f t="shared" si="51"/>
        <v>0.82</v>
      </c>
      <c r="L138" s="123">
        <f t="shared" si="51"/>
        <v>0.82</v>
      </c>
      <c r="M138" s="123">
        <f t="shared" si="51"/>
        <v>0.82</v>
      </c>
      <c r="N138" s="123">
        <f t="shared" si="51"/>
        <v>0.82</v>
      </c>
      <c r="O138" s="123">
        <f t="shared" si="51"/>
        <v>0.82</v>
      </c>
      <c r="P138" s="123">
        <f t="shared" si="51"/>
        <v>0.82</v>
      </c>
      <c r="Q138" s="123">
        <f t="shared" si="51"/>
        <v>0.82</v>
      </c>
      <c r="R138" s="123">
        <f t="shared" si="51"/>
        <v>0.82</v>
      </c>
      <c r="S138" s="123">
        <f t="shared" si="51"/>
        <v>0.82</v>
      </c>
      <c r="T138" s="123">
        <f t="shared" si="52"/>
        <v>0.82</v>
      </c>
      <c r="U138" s="123">
        <f t="shared" si="52"/>
        <v>0.82</v>
      </c>
      <c r="V138" s="123">
        <f t="shared" si="52"/>
        <v>0.82</v>
      </c>
      <c r="W138" s="123">
        <f t="shared" si="52"/>
        <v>0.82</v>
      </c>
      <c r="X138" s="123">
        <f t="shared" si="52"/>
        <v>0.82</v>
      </c>
      <c r="Y138" s="123">
        <f t="shared" si="52"/>
        <v>0.82</v>
      </c>
      <c r="Z138" s="123">
        <f t="shared" si="52"/>
        <v>0.82</v>
      </c>
      <c r="AA138" s="123">
        <f t="shared" si="52"/>
        <v>0.82</v>
      </c>
      <c r="AB138" s="123">
        <f t="shared" si="52"/>
        <v>0.82</v>
      </c>
      <c r="AC138" s="123">
        <f t="shared" si="52"/>
        <v>0.82</v>
      </c>
      <c r="AD138" s="123">
        <f t="shared" si="52"/>
        <v>0.82</v>
      </c>
      <c r="AE138" s="123">
        <f t="shared" si="52"/>
        <v>0.82</v>
      </c>
      <c r="AF138" s="123">
        <f t="shared" si="52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3">AF140</f>
        <v>2</v>
      </c>
      <c r="C140" s="124">
        <v>2</v>
      </c>
      <c r="D140" s="123">
        <f t="shared" ref="D140:S146" si="54">C140</f>
        <v>2</v>
      </c>
      <c r="E140" s="123">
        <f t="shared" si="54"/>
        <v>2</v>
      </c>
      <c r="F140" s="123">
        <f t="shared" si="54"/>
        <v>2</v>
      </c>
      <c r="G140" s="123">
        <f t="shared" si="54"/>
        <v>2</v>
      </c>
      <c r="H140" s="123">
        <f t="shared" si="54"/>
        <v>2</v>
      </c>
      <c r="I140" s="123">
        <f t="shared" si="54"/>
        <v>2</v>
      </c>
      <c r="J140" s="123">
        <f t="shared" si="54"/>
        <v>2</v>
      </c>
      <c r="K140" s="123">
        <f t="shared" si="54"/>
        <v>2</v>
      </c>
      <c r="L140" s="123">
        <f t="shared" si="54"/>
        <v>2</v>
      </c>
      <c r="M140" s="123">
        <f t="shared" si="54"/>
        <v>2</v>
      </c>
      <c r="N140" s="123">
        <f t="shared" si="54"/>
        <v>2</v>
      </c>
      <c r="O140" s="123">
        <f t="shared" si="54"/>
        <v>2</v>
      </c>
      <c r="P140" s="123">
        <f t="shared" si="54"/>
        <v>2</v>
      </c>
      <c r="Q140" s="123">
        <f t="shared" si="54"/>
        <v>2</v>
      </c>
      <c r="R140" s="123">
        <f t="shared" si="54"/>
        <v>2</v>
      </c>
      <c r="S140" s="123">
        <f t="shared" si="54"/>
        <v>2</v>
      </c>
      <c r="T140" s="123">
        <f t="shared" ref="T140:AF146" si="55">S140</f>
        <v>2</v>
      </c>
      <c r="U140" s="123">
        <f t="shared" si="55"/>
        <v>2</v>
      </c>
      <c r="V140" s="123">
        <f t="shared" si="55"/>
        <v>2</v>
      </c>
      <c r="W140" s="123">
        <f t="shared" si="55"/>
        <v>2</v>
      </c>
      <c r="X140" s="123">
        <f t="shared" si="55"/>
        <v>2</v>
      </c>
      <c r="Y140" s="123">
        <f t="shared" si="55"/>
        <v>2</v>
      </c>
      <c r="Z140" s="123">
        <f t="shared" si="55"/>
        <v>2</v>
      </c>
      <c r="AA140" s="123">
        <f t="shared" si="55"/>
        <v>2</v>
      </c>
      <c r="AB140" s="123">
        <f t="shared" si="55"/>
        <v>2</v>
      </c>
      <c r="AC140" s="123">
        <f t="shared" si="55"/>
        <v>2</v>
      </c>
      <c r="AD140" s="123">
        <f t="shared" si="55"/>
        <v>2</v>
      </c>
      <c r="AE140" s="123">
        <f t="shared" si="55"/>
        <v>2</v>
      </c>
      <c r="AF140" s="123">
        <f t="shared" si="55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3"/>
        <v>5.61</v>
      </c>
      <c r="C141" s="124">
        <v>5.61</v>
      </c>
      <c r="D141" s="123">
        <f t="shared" si="54"/>
        <v>5.61</v>
      </c>
      <c r="E141" s="123">
        <f t="shared" si="54"/>
        <v>5.61</v>
      </c>
      <c r="F141" s="123">
        <f t="shared" si="54"/>
        <v>5.61</v>
      </c>
      <c r="G141" s="123">
        <f t="shared" si="54"/>
        <v>5.61</v>
      </c>
      <c r="H141" s="123">
        <f t="shared" si="54"/>
        <v>5.61</v>
      </c>
      <c r="I141" s="123">
        <f t="shared" si="54"/>
        <v>5.61</v>
      </c>
      <c r="J141" s="123">
        <f t="shared" si="54"/>
        <v>5.61</v>
      </c>
      <c r="K141" s="123">
        <f t="shared" si="54"/>
        <v>5.61</v>
      </c>
      <c r="L141" s="123">
        <f t="shared" si="54"/>
        <v>5.61</v>
      </c>
      <c r="M141" s="123">
        <f t="shared" si="54"/>
        <v>5.61</v>
      </c>
      <c r="N141" s="123">
        <f t="shared" si="54"/>
        <v>5.61</v>
      </c>
      <c r="O141" s="123">
        <f t="shared" si="54"/>
        <v>5.61</v>
      </c>
      <c r="P141" s="123">
        <f t="shared" si="54"/>
        <v>5.61</v>
      </c>
      <c r="Q141" s="123">
        <f t="shared" si="54"/>
        <v>5.61</v>
      </c>
      <c r="R141" s="123">
        <f t="shared" si="54"/>
        <v>5.61</v>
      </c>
      <c r="S141" s="123">
        <f t="shared" si="54"/>
        <v>5.61</v>
      </c>
      <c r="T141" s="123">
        <f t="shared" si="55"/>
        <v>5.61</v>
      </c>
      <c r="U141" s="123">
        <f t="shared" si="55"/>
        <v>5.61</v>
      </c>
      <c r="V141" s="123">
        <f t="shared" si="55"/>
        <v>5.61</v>
      </c>
      <c r="W141" s="123">
        <f t="shared" si="55"/>
        <v>5.61</v>
      </c>
      <c r="X141" s="123">
        <f t="shared" si="55"/>
        <v>5.61</v>
      </c>
      <c r="Y141" s="123">
        <f t="shared" si="55"/>
        <v>5.61</v>
      </c>
      <c r="Z141" s="123">
        <f t="shared" si="55"/>
        <v>5.61</v>
      </c>
      <c r="AA141" s="123">
        <f t="shared" si="55"/>
        <v>5.61</v>
      </c>
      <c r="AB141" s="123">
        <f t="shared" si="55"/>
        <v>5.61</v>
      </c>
      <c r="AC141" s="123">
        <f t="shared" si="55"/>
        <v>5.61</v>
      </c>
      <c r="AD141" s="123">
        <f t="shared" si="55"/>
        <v>5.61</v>
      </c>
      <c r="AE141" s="123">
        <f t="shared" si="55"/>
        <v>5.61</v>
      </c>
      <c r="AF141" s="123">
        <f t="shared" si="55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3"/>
        <v>1.25</v>
      </c>
      <c r="C142" s="124">
        <v>1.25</v>
      </c>
      <c r="D142" s="123">
        <f t="shared" si="54"/>
        <v>1.25</v>
      </c>
      <c r="E142" s="123">
        <f t="shared" si="54"/>
        <v>1.25</v>
      </c>
      <c r="F142" s="123">
        <f t="shared" si="54"/>
        <v>1.25</v>
      </c>
      <c r="G142" s="123">
        <f t="shared" si="54"/>
        <v>1.25</v>
      </c>
      <c r="H142" s="123">
        <f t="shared" si="54"/>
        <v>1.25</v>
      </c>
      <c r="I142" s="123">
        <f t="shared" si="54"/>
        <v>1.25</v>
      </c>
      <c r="J142" s="123">
        <f t="shared" si="54"/>
        <v>1.25</v>
      </c>
      <c r="K142" s="123">
        <f t="shared" si="54"/>
        <v>1.25</v>
      </c>
      <c r="L142" s="123">
        <f t="shared" si="54"/>
        <v>1.25</v>
      </c>
      <c r="M142" s="123">
        <f t="shared" si="54"/>
        <v>1.25</v>
      </c>
      <c r="N142" s="123">
        <f t="shared" si="54"/>
        <v>1.25</v>
      </c>
      <c r="O142" s="123">
        <f t="shared" si="54"/>
        <v>1.25</v>
      </c>
      <c r="P142" s="123">
        <f t="shared" si="54"/>
        <v>1.25</v>
      </c>
      <c r="Q142" s="123">
        <f t="shared" si="54"/>
        <v>1.25</v>
      </c>
      <c r="R142" s="123">
        <f t="shared" si="54"/>
        <v>1.25</v>
      </c>
      <c r="S142" s="123">
        <f t="shared" si="54"/>
        <v>1.25</v>
      </c>
      <c r="T142" s="123">
        <f t="shared" si="55"/>
        <v>1.25</v>
      </c>
      <c r="U142" s="123">
        <f t="shared" si="55"/>
        <v>1.25</v>
      </c>
      <c r="V142" s="123">
        <f t="shared" si="55"/>
        <v>1.25</v>
      </c>
      <c r="W142" s="123">
        <f t="shared" si="55"/>
        <v>1.25</v>
      </c>
      <c r="X142" s="123">
        <f t="shared" si="55"/>
        <v>1.25</v>
      </c>
      <c r="Y142" s="123">
        <f t="shared" si="55"/>
        <v>1.25</v>
      </c>
      <c r="Z142" s="123">
        <f t="shared" si="55"/>
        <v>1.25</v>
      </c>
      <c r="AA142" s="123">
        <f t="shared" si="55"/>
        <v>1.25</v>
      </c>
      <c r="AB142" s="123">
        <f t="shared" si="55"/>
        <v>1.25</v>
      </c>
      <c r="AC142" s="123">
        <f t="shared" si="55"/>
        <v>1.25</v>
      </c>
      <c r="AD142" s="123">
        <f t="shared" si="55"/>
        <v>1.25</v>
      </c>
      <c r="AE142" s="123">
        <f t="shared" si="55"/>
        <v>1.25</v>
      </c>
      <c r="AF142" s="123">
        <f t="shared" si="55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3"/>
        <v>1.25</v>
      </c>
      <c r="C143" s="124">
        <v>1.25</v>
      </c>
      <c r="D143" s="123">
        <f t="shared" si="54"/>
        <v>1.25</v>
      </c>
      <c r="E143" s="123">
        <f t="shared" si="54"/>
        <v>1.25</v>
      </c>
      <c r="F143" s="123">
        <f t="shared" si="54"/>
        <v>1.25</v>
      </c>
      <c r="G143" s="123">
        <f t="shared" si="54"/>
        <v>1.25</v>
      </c>
      <c r="H143" s="123">
        <f t="shared" si="54"/>
        <v>1.25</v>
      </c>
      <c r="I143" s="123">
        <f t="shared" si="54"/>
        <v>1.25</v>
      </c>
      <c r="J143" s="123">
        <f t="shared" si="54"/>
        <v>1.25</v>
      </c>
      <c r="K143" s="123">
        <f t="shared" si="54"/>
        <v>1.25</v>
      </c>
      <c r="L143" s="123">
        <f t="shared" si="54"/>
        <v>1.25</v>
      </c>
      <c r="M143" s="123">
        <f t="shared" si="54"/>
        <v>1.25</v>
      </c>
      <c r="N143" s="123">
        <f t="shared" si="54"/>
        <v>1.25</v>
      </c>
      <c r="O143" s="123">
        <f t="shared" si="54"/>
        <v>1.25</v>
      </c>
      <c r="P143" s="123">
        <f t="shared" si="54"/>
        <v>1.25</v>
      </c>
      <c r="Q143" s="123">
        <f t="shared" si="54"/>
        <v>1.25</v>
      </c>
      <c r="R143" s="123">
        <f t="shared" si="54"/>
        <v>1.25</v>
      </c>
      <c r="S143" s="123">
        <f t="shared" si="54"/>
        <v>1.25</v>
      </c>
      <c r="T143" s="123">
        <f t="shared" si="55"/>
        <v>1.25</v>
      </c>
      <c r="U143" s="123">
        <f t="shared" si="55"/>
        <v>1.25</v>
      </c>
      <c r="V143" s="123">
        <f t="shared" si="55"/>
        <v>1.25</v>
      </c>
      <c r="W143" s="123">
        <f t="shared" si="55"/>
        <v>1.25</v>
      </c>
      <c r="X143" s="123">
        <f t="shared" si="55"/>
        <v>1.25</v>
      </c>
      <c r="Y143" s="123">
        <f t="shared" si="55"/>
        <v>1.25</v>
      </c>
      <c r="Z143" s="123">
        <f t="shared" si="55"/>
        <v>1.25</v>
      </c>
      <c r="AA143" s="123">
        <f t="shared" si="55"/>
        <v>1.25</v>
      </c>
      <c r="AB143" s="123">
        <f t="shared" si="55"/>
        <v>1.25</v>
      </c>
      <c r="AC143" s="123">
        <f t="shared" si="55"/>
        <v>1.25</v>
      </c>
      <c r="AD143" s="123">
        <f t="shared" si="55"/>
        <v>1.25</v>
      </c>
      <c r="AE143" s="123">
        <f t="shared" si="55"/>
        <v>1.25</v>
      </c>
      <c r="AF143" s="123">
        <f t="shared" si="55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3"/>
        <v>1.46</v>
      </c>
      <c r="C144" s="124">
        <v>1.46</v>
      </c>
      <c r="D144" s="123">
        <f t="shared" si="54"/>
        <v>1.46</v>
      </c>
      <c r="E144" s="123">
        <f t="shared" si="54"/>
        <v>1.46</v>
      </c>
      <c r="F144" s="123">
        <f t="shared" si="54"/>
        <v>1.46</v>
      </c>
      <c r="G144" s="123">
        <f t="shared" si="54"/>
        <v>1.46</v>
      </c>
      <c r="H144" s="123">
        <f t="shared" si="54"/>
        <v>1.46</v>
      </c>
      <c r="I144" s="123">
        <f t="shared" si="54"/>
        <v>1.46</v>
      </c>
      <c r="J144" s="123">
        <f t="shared" si="54"/>
        <v>1.46</v>
      </c>
      <c r="K144" s="123">
        <f t="shared" si="54"/>
        <v>1.46</v>
      </c>
      <c r="L144" s="123">
        <f t="shared" si="54"/>
        <v>1.46</v>
      </c>
      <c r="M144" s="123">
        <f t="shared" si="54"/>
        <v>1.46</v>
      </c>
      <c r="N144" s="123">
        <f t="shared" si="54"/>
        <v>1.46</v>
      </c>
      <c r="O144" s="123">
        <f t="shared" si="54"/>
        <v>1.46</v>
      </c>
      <c r="P144" s="123">
        <f t="shared" si="54"/>
        <v>1.46</v>
      </c>
      <c r="Q144" s="123">
        <f t="shared" si="54"/>
        <v>1.46</v>
      </c>
      <c r="R144" s="123">
        <f t="shared" si="54"/>
        <v>1.46</v>
      </c>
      <c r="S144" s="123">
        <f t="shared" si="54"/>
        <v>1.46</v>
      </c>
      <c r="T144" s="123">
        <f t="shared" si="55"/>
        <v>1.46</v>
      </c>
      <c r="U144" s="123">
        <f t="shared" si="55"/>
        <v>1.46</v>
      </c>
      <c r="V144" s="123">
        <f t="shared" si="55"/>
        <v>1.46</v>
      </c>
      <c r="W144" s="123">
        <f t="shared" si="55"/>
        <v>1.46</v>
      </c>
      <c r="X144" s="123">
        <f t="shared" si="55"/>
        <v>1.46</v>
      </c>
      <c r="Y144" s="123">
        <f t="shared" si="55"/>
        <v>1.46</v>
      </c>
      <c r="Z144" s="123">
        <f t="shared" si="55"/>
        <v>1.46</v>
      </c>
      <c r="AA144" s="123">
        <f t="shared" si="55"/>
        <v>1.46</v>
      </c>
      <c r="AB144" s="123">
        <f t="shared" si="55"/>
        <v>1.46</v>
      </c>
      <c r="AC144" s="123">
        <f t="shared" si="55"/>
        <v>1.46</v>
      </c>
      <c r="AD144" s="123">
        <f t="shared" si="55"/>
        <v>1.46</v>
      </c>
      <c r="AE144" s="123">
        <f t="shared" si="55"/>
        <v>1.46</v>
      </c>
      <c r="AF144" s="123">
        <f t="shared" si="55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3"/>
        <v>3</v>
      </c>
      <c r="C145" s="124">
        <v>3</v>
      </c>
      <c r="D145" s="123">
        <f t="shared" si="54"/>
        <v>3</v>
      </c>
      <c r="E145" s="123">
        <f t="shared" si="54"/>
        <v>3</v>
      </c>
      <c r="F145" s="123">
        <f t="shared" si="54"/>
        <v>3</v>
      </c>
      <c r="G145" s="123">
        <f t="shared" si="54"/>
        <v>3</v>
      </c>
      <c r="H145" s="123">
        <f t="shared" si="54"/>
        <v>3</v>
      </c>
      <c r="I145" s="123">
        <f t="shared" si="54"/>
        <v>3</v>
      </c>
      <c r="J145" s="123">
        <f t="shared" si="54"/>
        <v>3</v>
      </c>
      <c r="K145" s="123">
        <f t="shared" si="54"/>
        <v>3</v>
      </c>
      <c r="L145" s="123">
        <f t="shared" si="54"/>
        <v>3</v>
      </c>
      <c r="M145" s="123">
        <f t="shared" si="54"/>
        <v>3</v>
      </c>
      <c r="N145" s="123">
        <f t="shared" si="54"/>
        <v>3</v>
      </c>
      <c r="O145" s="123">
        <f t="shared" si="54"/>
        <v>3</v>
      </c>
      <c r="P145" s="123">
        <f t="shared" si="54"/>
        <v>3</v>
      </c>
      <c r="Q145" s="123">
        <f t="shared" si="54"/>
        <v>3</v>
      </c>
      <c r="R145" s="123">
        <f t="shared" si="54"/>
        <v>3</v>
      </c>
      <c r="S145" s="123">
        <f t="shared" si="54"/>
        <v>3</v>
      </c>
      <c r="T145" s="123">
        <f t="shared" si="55"/>
        <v>3</v>
      </c>
      <c r="U145" s="123">
        <f t="shared" si="55"/>
        <v>3</v>
      </c>
      <c r="V145" s="123">
        <f t="shared" si="55"/>
        <v>3</v>
      </c>
      <c r="W145" s="123">
        <f t="shared" si="55"/>
        <v>3</v>
      </c>
      <c r="X145" s="123">
        <f t="shared" si="55"/>
        <v>3</v>
      </c>
      <c r="Y145" s="123">
        <f t="shared" si="55"/>
        <v>3</v>
      </c>
      <c r="Z145" s="123">
        <f t="shared" si="55"/>
        <v>3</v>
      </c>
      <c r="AA145" s="123">
        <f t="shared" si="55"/>
        <v>3</v>
      </c>
      <c r="AB145" s="123">
        <f t="shared" si="55"/>
        <v>3</v>
      </c>
      <c r="AC145" s="123">
        <f t="shared" si="55"/>
        <v>3</v>
      </c>
      <c r="AD145" s="123">
        <f t="shared" si="55"/>
        <v>3</v>
      </c>
      <c r="AE145" s="123">
        <f t="shared" si="55"/>
        <v>3</v>
      </c>
      <c r="AF145" s="123">
        <f t="shared" si="55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3"/>
        <v>3.3</v>
      </c>
      <c r="C146" s="124">
        <v>3.3</v>
      </c>
      <c r="D146" s="123">
        <f t="shared" si="54"/>
        <v>3.3</v>
      </c>
      <c r="E146" s="123">
        <f t="shared" si="54"/>
        <v>3.3</v>
      </c>
      <c r="F146" s="123">
        <f t="shared" si="54"/>
        <v>3.3</v>
      </c>
      <c r="G146" s="123">
        <f t="shared" si="54"/>
        <v>3.3</v>
      </c>
      <c r="H146" s="123">
        <f t="shared" si="54"/>
        <v>3.3</v>
      </c>
      <c r="I146" s="123">
        <f t="shared" si="54"/>
        <v>3.3</v>
      </c>
      <c r="J146" s="123">
        <f t="shared" si="54"/>
        <v>3.3</v>
      </c>
      <c r="K146" s="123">
        <f t="shared" si="54"/>
        <v>3.3</v>
      </c>
      <c r="L146" s="123">
        <f t="shared" si="54"/>
        <v>3.3</v>
      </c>
      <c r="M146" s="123">
        <f t="shared" si="54"/>
        <v>3.3</v>
      </c>
      <c r="N146" s="123">
        <f t="shared" si="54"/>
        <v>3.3</v>
      </c>
      <c r="O146" s="123">
        <f t="shared" si="54"/>
        <v>3.3</v>
      </c>
      <c r="P146" s="123">
        <f t="shared" si="54"/>
        <v>3.3</v>
      </c>
      <c r="Q146" s="123">
        <f t="shared" si="54"/>
        <v>3.3</v>
      </c>
      <c r="R146" s="123">
        <f t="shared" si="54"/>
        <v>3.3</v>
      </c>
      <c r="S146" s="123">
        <f t="shared" si="54"/>
        <v>3.3</v>
      </c>
      <c r="T146" s="123">
        <f t="shared" si="55"/>
        <v>3.3</v>
      </c>
      <c r="U146" s="123">
        <f t="shared" si="55"/>
        <v>3.3</v>
      </c>
      <c r="V146" s="123">
        <f t="shared" si="55"/>
        <v>3.3</v>
      </c>
      <c r="W146" s="123">
        <f t="shared" si="55"/>
        <v>3.3</v>
      </c>
      <c r="X146" s="123">
        <f t="shared" si="55"/>
        <v>3.3</v>
      </c>
      <c r="Y146" s="123">
        <f t="shared" si="55"/>
        <v>3.3</v>
      </c>
      <c r="Z146" s="123">
        <f t="shared" si="55"/>
        <v>3.3</v>
      </c>
      <c r="AA146" s="123">
        <f t="shared" si="55"/>
        <v>3.3</v>
      </c>
      <c r="AB146" s="123">
        <f t="shared" si="55"/>
        <v>3.3</v>
      </c>
      <c r="AC146" s="123">
        <f t="shared" si="55"/>
        <v>3.3</v>
      </c>
      <c r="AD146" s="123">
        <f t="shared" si="55"/>
        <v>3.3</v>
      </c>
      <c r="AE146" s="123">
        <f t="shared" si="55"/>
        <v>3.3</v>
      </c>
      <c r="AF146" s="123">
        <f t="shared" si="55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6">C148</f>
        <v>1.76</v>
      </c>
      <c r="E148" s="123">
        <f t="shared" si="56"/>
        <v>1.76</v>
      </c>
      <c r="F148" s="123">
        <f t="shared" si="56"/>
        <v>1.76</v>
      </c>
      <c r="G148" s="123">
        <f t="shared" si="56"/>
        <v>1.76</v>
      </c>
      <c r="H148" s="123">
        <f t="shared" si="56"/>
        <v>1.76</v>
      </c>
      <c r="I148" s="123">
        <f t="shared" si="56"/>
        <v>1.76</v>
      </c>
      <c r="J148" s="123">
        <f t="shared" si="56"/>
        <v>1.76</v>
      </c>
      <c r="K148" s="123">
        <f t="shared" si="56"/>
        <v>1.76</v>
      </c>
      <c r="L148" s="123">
        <f t="shared" si="56"/>
        <v>1.76</v>
      </c>
      <c r="M148" s="123">
        <f t="shared" si="56"/>
        <v>1.76</v>
      </c>
      <c r="N148" s="123">
        <f t="shared" si="56"/>
        <v>1.76</v>
      </c>
      <c r="O148" s="123">
        <f t="shared" si="56"/>
        <v>1.76</v>
      </c>
      <c r="P148" s="123">
        <f t="shared" si="56"/>
        <v>1.76</v>
      </c>
      <c r="Q148" s="123">
        <f t="shared" si="56"/>
        <v>1.76</v>
      </c>
      <c r="R148" s="123">
        <f t="shared" si="56"/>
        <v>1.76</v>
      </c>
      <c r="S148" s="123">
        <f t="shared" si="56"/>
        <v>1.76</v>
      </c>
      <c r="T148" s="123">
        <f t="shared" ref="T148:AF149" si="57">S148</f>
        <v>1.76</v>
      </c>
      <c r="U148" s="123">
        <f t="shared" si="57"/>
        <v>1.76</v>
      </c>
      <c r="V148" s="123">
        <f t="shared" si="57"/>
        <v>1.76</v>
      </c>
      <c r="W148" s="123">
        <f t="shared" si="57"/>
        <v>1.76</v>
      </c>
      <c r="X148" s="123">
        <f t="shared" si="57"/>
        <v>1.76</v>
      </c>
      <c r="Y148" s="123">
        <f t="shared" si="57"/>
        <v>1.76</v>
      </c>
      <c r="Z148" s="123">
        <f t="shared" si="57"/>
        <v>1.76</v>
      </c>
      <c r="AA148" s="123">
        <f t="shared" si="57"/>
        <v>1.76</v>
      </c>
      <c r="AB148" s="123">
        <f t="shared" si="57"/>
        <v>1.76</v>
      </c>
      <c r="AC148" s="123">
        <f t="shared" si="57"/>
        <v>1.76</v>
      </c>
      <c r="AD148" s="123">
        <f t="shared" si="57"/>
        <v>1.76</v>
      </c>
      <c r="AE148" s="123">
        <f t="shared" si="57"/>
        <v>1.76</v>
      </c>
      <c r="AF148" s="123">
        <f t="shared" si="57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6"/>
        <v>0</v>
      </c>
      <c r="E149" s="123">
        <f t="shared" si="56"/>
        <v>0</v>
      </c>
      <c r="F149" s="123">
        <f t="shared" si="56"/>
        <v>0</v>
      </c>
      <c r="G149" s="123">
        <f t="shared" si="56"/>
        <v>0</v>
      </c>
      <c r="H149" s="123">
        <f t="shared" si="56"/>
        <v>0</v>
      </c>
      <c r="I149" s="123">
        <f t="shared" si="56"/>
        <v>0</v>
      </c>
      <c r="J149" s="123">
        <f t="shared" si="56"/>
        <v>0</v>
      </c>
      <c r="K149" s="123">
        <f t="shared" si="56"/>
        <v>0</v>
      </c>
      <c r="L149" s="123">
        <f t="shared" si="56"/>
        <v>0</v>
      </c>
      <c r="M149" s="123">
        <f t="shared" si="56"/>
        <v>0</v>
      </c>
      <c r="N149" s="123">
        <f t="shared" si="56"/>
        <v>0</v>
      </c>
      <c r="O149" s="123">
        <f t="shared" si="56"/>
        <v>0</v>
      </c>
      <c r="P149" s="123">
        <f t="shared" si="56"/>
        <v>0</v>
      </c>
      <c r="Q149" s="123">
        <f t="shared" si="56"/>
        <v>0</v>
      </c>
      <c r="R149" s="123">
        <f t="shared" si="56"/>
        <v>0</v>
      </c>
      <c r="S149" s="123">
        <f t="shared" si="56"/>
        <v>0</v>
      </c>
      <c r="T149" s="123">
        <f t="shared" si="57"/>
        <v>0</v>
      </c>
      <c r="U149" s="123">
        <f t="shared" si="57"/>
        <v>0</v>
      </c>
      <c r="V149" s="123">
        <f t="shared" si="57"/>
        <v>0</v>
      </c>
      <c r="W149" s="123">
        <f t="shared" si="57"/>
        <v>0</v>
      </c>
      <c r="X149" s="123">
        <f t="shared" si="57"/>
        <v>0</v>
      </c>
      <c r="Y149" s="123">
        <f t="shared" si="57"/>
        <v>0</v>
      </c>
      <c r="Z149" s="123">
        <f t="shared" si="57"/>
        <v>0</v>
      </c>
      <c r="AA149" s="123">
        <f t="shared" si="57"/>
        <v>0</v>
      </c>
      <c r="AB149" s="123">
        <f t="shared" si="57"/>
        <v>0</v>
      </c>
      <c r="AC149" s="123">
        <f t="shared" si="57"/>
        <v>0</v>
      </c>
      <c r="AD149" s="123">
        <f t="shared" si="57"/>
        <v>0</v>
      </c>
      <c r="AE149" s="123">
        <f t="shared" si="57"/>
        <v>0</v>
      </c>
      <c r="AF149" s="123">
        <f t="shared" si="57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58">C151</f>
        <v>0.1</v>
      </c>
      <c r="E151" s="123">
        <f t="shared" si="58"/>
        <v>0.1</v>
      </c>
      <c r="F151" s="123">
        <f t="shared" si="58"/>
        <v>0.1</v>
      </c>
      <c r="G151" s="123">
        <f t="shared" si="58"/>
        <v>0.1</v>
      </c>
      <c r="H151" s="123">
        <f t="shared" si="58"/>
        <v>0.1</v>
      </c>
      <c r="I151" s="123">
        <f t="shared" si="58"/>
        <v>0.1</v>
      </c>
      <c r="J151" s="123">
        <f t="shared" si="58"/>
        <v>0.1</v>
      </c>
      <c r="K151" s="123">
        <f t="shared" si="58"/>
        <v>0.1</v>
      </c>
      <c r="L151" s="123">
        <f t="shared" si="58"/>
        <v>0.1</v>
      </c>
      <c r="M151" s="123">
        <f t="shared" si="58"/>
        <v>0.1</v>
      </c>
      <c r="N151" s="123">
        <f t="shared" si="58"/>
        <v>0.1</v>
      </c>
      <c r="O151" s="123">
        <f t="shared" si="58"/>
        <v>0.1</v>
      </c>
      <c r="P151" s="123">
        <f t="shared" si="58"/>
        <v>0.1</v>
      </c>
      <c r="Q151" s="123">
        <f t="shared" si="58"/>
        <v>0.1</v>
      </c>
      <c r="R151" s="123">
        <f t="shared" si="58"/>
        <v>0.1</v>
      </c>
      <c r="S151" s="123">
        <f t="shared" si="58"/>
        <v>0.1</v>
      </c>
      <c r="T151" s="123">
        <f t="shared" ref="T151:AF154" si="59">S151</f>
        <v>0.1</v>
      </c>
      <c r="U151" s="123">
        <f t="shared" si="59"/>
        <v>0.1</v>
      </c>
      <c r="V151" s="123">
        <f t="shared" si="59"/>
        <v>0.1</v>
      </c>
      <c r="W151" s="123">
        <f t="shared" si="59"/>
        <v>0.1</v>
      </c>
      <c r="X151" s="123">
        <f t="shared" si="59"/>
        <v>0.1</v>
      </c>
      <c r="Y151" s="123">
        <f t="shared" si="59"/>
        <v>0.1</v>
      </c>
      <c r="Z151" s="123">
        <f t="shared" si="59"/>
        <v>0.1</v>
      </c>
      <c r="AA151" s="123">
        <f t="shared" si="59"/>
        <v>0.1</v>
      </c>
      <c r="AB151" s="123">
        <f t="shared" si="59"/>
        <v>0.1</v>
      </c>
      <c r="AC151" s="123">
        <f t="shared" si="59"/>
        <v>0.1</v>
      </c>
      <c r="AD151" s="123">
        <f t="shared" si="59"/>
        <v>0.1</v>
      </c>
      <c r="AE151" s="123">
        <f t="shared" si="59"/>
        <v>0.1</v>
      </c>
      <c r="AF151" s="123">
        <f t="shared" si="59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58"/>
        <v>2.0499999999999998</v>
      </c>
      <c r="E152" s="123">
        <f t="shared" si="58"/>
        <v>2.0499999999999998</v>
      </c>
      <c r="F152" s="123">
        <f t="shared" si="58"/>
        <v>2.0499999999999998</v>
      </c>
      <c r="G152" s="123">
        <f t="shared" si="58"/>
        <v>2.0499999999999998</v>
      </c>
      <c r="H152" s="123">
        <f t="shared" si="58"/>
        <v>2.0499999999999998</v>
      </c>
      <c r="I152" s="123">
        <f t="shared" si="58"/>
        <v>2.0499999999999998</v>
      </c>
      <c r="J152" s="123">
        <f t="shared" si="58"/>
        <v>2.0499999999999998</v>
      </c>
      <c r="K152" s="123">
        <f t="shared" si="58"/>
        <v>2.0499999999999998</v>
      </c>
      <c r="L152" s="123">
        <f t="shared" si="58"/>
        <v>2.0499999999999998</v>
      </c>
      <c r="M152" s="123">
        <f t="shared" si="58"/>
        <v>2.0499999999999998</v>
      </c>
      <c r="N152" s="123">
        <f t="shared" si="58"/>
        <v>2.0499999999999998</v>
      </c>
      <c r="O152" s="123">
        <f t="shared" si="58"/>
        <v>2.0499999999999998</v>
      </c>
      <c r="P152" s="123">
        <f t="shared" si="58"/>
        <v>2.0499999999999998</v>
      </c>
      <c r="Q152" s="123">
        <f t="shared" si="58"/>
        <v>2.0499999999999998</v>
      </c>
      <c r="R152" s="123">
        <f t="shared" si="58"/>
        <v>2.0499999999999998</v>
      </c>
      <c r="S152" s="123">
        <f t="shared" si="58"/>
        <v>2.0499999999999998</v>
      </c>
      <c r="T152" s="123">
        <f t="shared" si="59"/>
        <v>2.0499999999999998</v>
      </c>
      <c r="U152" s="123">
        <f t="shared" si="59"/>
        <v>2.0499999999999998</v>
      </c>
      <c r="V152" s="123">
        <f t="shared" si="59"/>
        <v>2.0499999999999998</v>
      </c>
      <c r="W152" s="123">
        <f t="shared" si="59"/>
        <v>2.0499999999999998</v>
      </c>
      <c r="X152" s="123">
        <f t="shared" si="59"/>
        <v>2.0499999999999998</v>
      </c>
      <c r="Y152" s="123">
        <f t="shared" si="59"/>
        <v>2.0499999999999998</v>
      </c>
      <c r="Z152" s="123">
        <f t="shared" si="59"/>
        <v>2.0499999999999998</v>
      </c>
      <c r="AA152" s="123">
        <f t="shared" si="59"/>
        <v>2.0499999999999998</v>
      </c>
      <c r="AB152" s="123">
        <f t="shared" si="59"/>
        <v>2.0499999999999998</v>
      </c>
      <c r="AC152" s="123">
        <f t="shared" si="59"/>
        <v>2.0499999999999998</v>
      </c>
      <c r="AD152" s="123">
        <f t="shared" si="59"/>
        <v>2.0499999999999998</v>
      </c>
      <c r="AE152" s="123">
        <f t="shared" si="59"/>
        <v>2.0499999999999998</v>
      </c>
      <c r="AF152" s="123">
        <f t="shared" si="59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58"/>
        <v>2.7</v>
      </c>
      <c r="E153" s="123">
        <f t="shared" si="58"/>
        <v>2.7</v>
      </c>
      <c r="F153" s="123">
        <f t="shared" si="58"/>
        <v>2.7</v>
      </c>
      <c r="G153" s="123">
        <f t="shared" si="58"/>
        <v>2.7</v>
      </c>
      <c r="H153" s="123">
        <f t="shared" si="58"/>
        <v>2.7</v>
      </c>
      <c r="I153" s="123">
        <f t="shared" si="58"/>
        <v>2.7</v>
      </c>
      <c r="J153" s="123">
        <f t="shared" si="58"/>
        <v>2.7</v>
      </c>
      <c r="K153" s="123">
        <f t="shared" si="58"/>
        <v>2.7</v>
      </c>
      <c r="L153" s="123">
        <f t="shared" si="58"/>
        <v>2.7</v>
      </c>
      <c r="M153" s="123">
        <f t="shared" si="58"/>
        <v>2.7</v>
      </c>
      <c r="N153" s="123">
        <f t="shared" si="58"/>
        <v>2.7</v>
      </c>
      <c r="O153" s="123">
        <f t="shared" si="58"/>
        <v>2.7</v>
      </c>
      <c r="P153" s="123">
        <f t="shared" si="58"/>
        <v>2.7</v>
      </c>
      <c r="Q153" s="123">
        <f t="shared" si="58"/>
        <v>2.7</v>
      </c>
      <c r="R153" s="123">
        <f t="shared" si="58"/>
        <v>2.7</v>
      </c>
      <c r="S153" s="123">
        <f t="shared" si="58"/>
        <v>2.7</v>
      </c>
      <c r="T153" s="123">
        <f t="shared" si="59"/>
        <v>2.7</v>
      </c>
      <c r="U153" s="123">
        <f t="shared" si="59"/>
        <v>2.7</v>
      </c>
      <c r="V153" s="123">
        <f t="shared" si="59"/>
        <v>2.7</v>
      </c>
      <c r="W153" s="123">
        <f t="shared" si="59"/>
        <v>2.7</v>
      </c>
      <c r="X153" s="123">
        <f t="shared" si="59"/>
        <v>2.7</v>
      </c>
      <c r="Y153" s="123">
        <f t="shared" si="59"/>
        <v>2.7</v>
      </c>
      <c r="Z153" s="123">
        <f t="shared" si="59"/>
        <v>2.7</v>
      </c>
      <c r="AA153" s="123">
        <f t="shared" si="59"/>
        <v>2.7</v>
      </c>
      <c r="AB153" s="123">
        <f t="shared" si="59"/>
        <v>2.7</v>
      </c>
      <c r="AC153" s="123">
        <f t="shared" si="59"/>
        <v>2.7</v>
      </c>
      <c r="AD153" s="123">
        <f t="shared" si="59"/>
        <v>2.7</v>
      </c>
      <c r="AE153" s="123">
        <f t="shared" si="59"/>
        <v>2.7</v>
      </c>
      <c r="AF153" s="123">
        <f t="shared" si="59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58"/>
        <v>2.15</v>
      </c>
      <c r="E154" s="123">
        <f t="shared" si="58"/>
        <v>2.15</v>
      </c>
      <c r="F154" s="123">
        <f t="shared" si="58"/>
        <v>2.15</v>
      </c>
      <c r="G154" s="123">
        <f t="shared" si="58"/>
        <v>2.15</v>
      </c>
      <c r="H154" s="123">
        <f t="shared" si="58"/>
        <v>2.15</v>
      </c>
      <c r="I154" s="123">
        <f t="shared" si="58"/>
        <v>2.15</v>
      </c>
      <c r="J154" s="123">
        <f t="shared" si="58"/>
        <v>2.15</v>
      </c>
      <c r="K154" s="123">
        <f t="shared" si="58"/>
        <v>2.15</v>
      </c>
      <c r="L154" s="123">
        <f t="shared" si="58"/>
        <v>2.15</v>
      </c>
      <c r="M154" s="123">
        <f t="shared" si="58"/>
        <v>2.15</v>
      </c>
      <c r="N154" s="123">
        <f t="shared" si="58"/>
        <v>2.15</v>
      </c>
      <c r="O154" s="123">
        <f t="shared" si="58"/>
        <v>2.15</v>
      </c>
      <c r="P154" s="123">
        <f t="shared" si="58"/>
        <v>2.15</v>
      </c>
      <c r="Q154" s="123">
        <f t="shared" si="58"/>
        <v>2.15</v>
      </c>
      <c r="R154" s="123">
        <f t="shared" si="58"/>
        <v>2.15</v>
      </c>
      <c r="S154" s="123">
        <f t="shared" si="58"/>
        <v>2.15</v>
      </c>
      <c r="T154" s="123">
        <f t="shared" si="59"/>
        <v>2.15</v>
      </c>
      <c r="U154" s="123">
        <f t="shared" si="59"/>
        <v>2.15</v>
      </c>
      <c r="V154" s="123">
        <f t="shared" si="59"/>
        <v>2.15</v>
      </c>
      <c r="W154" s="123">
        <f t="shared" si="59"/>
        <v>2.15</v>
      </c>
      <c r="X154" s="123">
        <f t="shared" si="59"/>
        <v>2.15</v>
      </c>
      <c r="Y154" s="123">
        <f t="shared" si="59"/>
        <v>2.15</v>
      </c>
      <c r="Z154" s="123">
        <f t="shared" si="59"/>
        <v>2.15</v>
      </c>
      <c r="AA154" s="123">
        <f t="shared" si="59"/>
        <v>2.15</v>
      </c>
      <c r="AB154" s="123">
        <f t="shared" si="59"/>
        <v>2.15</v>
      </c>
      <c r="AC154" s="123">
        <f t="shared" si="59"/>
        <v>2.15</v>
      </c>
      <c r="AD154" s="123">
        <f t="shared" si="59"/>
        <v>2.15</v>
      </c>
      <c r="AE154" s="123">
        <f t="shared" si="59"/>
        <v>2.15</v>
      </c>
      <c r="AF154" s="123">
        <f t="shared" si="59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60">AF156</f>
        <v>0.9</v>
      </c>
      <c r="C156" s="124">
        <v>0.9</v>
      </c>
      <c r="D156" s="123">
        <f t="shared" ref="D156:S168" si="61">C156</f>
        <v>0.9</v>
      </c>
      <c r="E156" s="123">
        <f t="shared" si="61"/>
        <v>0.9</v>
      </c>
      <c r="F156" s="123">
        <f t="shared" si="61"/>
        <v>0.9</v>
      </c>
      <c r="G156" s="123">
        <f t="shared" si="61"/>
        <v>0.9</v>
      </c>
      <c r="H156" s="123">
        <f t="shared" si="61"/>
        <v>0.9</v>
      </c>
      <c r="I156" s="123">
        <f t="shared" si="61"/>
        <v>0.9</v>
      </c>
      <c r="J156" s="123">
        <f t="shared" si="61"/>
        <v>0.9</v>
      </c>
      <c r="K156" s="123">
        <f t="shared" si="61"/>
        <v>0.9</v>
      </c>
      <c r="L156" s="123">
        <f t="shared" si="61"/>
        <v>0.9</v>
      </c>
      <c r="M156" s="123">
        <f t="shared" si="61"/>
        <v>0.9</v>
      </c>
      <c r="N156" s="123">
        <f t="shared" si="61"/>
        <v>0.9</v>
      </c>
      <c r="O156" s="123">
        <f t="shared" si="61"/>
        <v>0.9</v>
      </c>
      <c r="P156" s="123">
        <f t="shared" si="61"/>
        <v>0.9</v>
      </c>
      <c r="Q156" s="123">
        <f t="shared" si="61"/>
        <v>0.9</v>
      </c>
      <c r="R156" s="123">
        <f t="shared" si="61"/>
        <v>0.9</v>
      </c>
      <c r="S156" s="123">
        <f t="shared" si="61"/>
        <v>0.9</v>
      </c>
      <c r="T156" s="123">
        <f t="shared" ref="S156:AF168" si="62">S156</f>
        <v>0.9</v>
      </c>
      <c r="U156" s="123">
        <f t="shared" si="62"/>
        <v>0.9</v>
      </c>
      <c r="V156" s="123">
        <f t="shared" si="62"/>
        <v>0.9</v>
      </c>
      <c r="W156" s="123">
        <f t="shared" si="62"/>
        <v>0.9</v>
      </c>
      <c r="X156" s="123">
        <f t="shared" si="62"/>
        <v>0.9</v>
      </c>
      <c r="Y156" s="123">
        <f t="shared" si="62"/>
        <v>0.9</v>
      </c>
      <c r="Z156" s="123">
        <f t="shared" si="62"/>
        <v>0.9</v>
      </c>
      <c r="AA156" s="123">
        <f t="shared" si="62"/>
        <v>0.9</v>
      </c>
      <c r="AB156" s="123">
        <f t="shared" si="62"/>
        <v>0.9</v>
      </c>
      <c r="AC156" s="123">
        <f t="shared" si="62"/>
        <v>0.9</v>
      </c>
      <c r="AD156" s="123">
        <f t="shared" si="62"/>
        <v>0.9</v>
      </c>
      <c r="AE156" s="123">
        <f t="shared" si="62"/>
        <v>0.9</v>
      </c>
      <c r="AF156" s="123">
        <f t="shared" si="62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60"/>
        <v>1.08</v>
      </c>
      <c r="C157" s="124">
        <v>1.08</v>
      </c>
      <c r="D157" s="123">
        <f t="shared" si="61"/>
        <v>1.08</v>
      </c>
      <c r="E157" s="123">
        <f t="shared" si="61"/>
        <v>1.08</v>
      </c>
      <c r="F157" s="123">
        <f t="shared" si="61"/>
        <v>1.08</v>
      </c>
      <c r="G157" s="123">
        <f t="shared" si="61"/>
        <v>1.08</v>
      </c>
      <c r="H157" s="123">
        <f t="shared" si="61"/>
        <v>1.08</v>
      </c>
      <c r="I157" s="123">
        <f t="shared" si="61"/>
        <v>1.08</v>
      </c>
      <c r="J157" s="123">
        <f t="shared" si="61"/>
        <v>1.08</v>
      </c>
      <c r="K157" s="123">
        <f t="shared" si="61"/>
        <v>1.08</v>
      </c>
      <c r="L157" s="123">
        <f t="shared" si="61"/>
        <v>1.08</v>
      </c>
      <c r="M157" s="123">
        <f t="shared" si="61"/>
        <v>1.08</v>
      </c>
      <c r="N157" s="123">
        <f t="shared" si="61"/>
        <v>1.08</v>
      </c>
      <c r="O157" s="123">
        <f t="shared" si="61"/>
        <v>1.08</v>
      </c>
      <c r="P157" s="123">
        <f t="shared" si="61"/>
        <v>1.08</v>
      </c>
      <c r="Q157" s="123">
        <f t="shared" si="61"/>
        <v>1.08</v>
      </c>
      <c r="R157" s="123">
        <f t="shared" si="61"/>
        <v>1.08</v>
      </c>
      <c r="S157" s="123">
        <f t="shared" si="61"/>
        <v>1.08</v>
      </c>
      <c r="T157" s="123">
        <f t="shared" si="62"/>
        <v>1.08</v>
      </c>
      <c r="U157" s="123">
        <f t="shared" si="62"/>
        <v>1.08</v>
      </c>
      <c r="V157" s="123">
        <f t="shared" si="62"/>
        <v>1.08</v>
      </c>
      <c r="W157" s="123">
        <f t="shared" si="62"/>
        <v>1.08</v>
      </c>
      <c r="X157" s="123">
        <f t="shared" si="62"/>
        <v>1.08</v>
      </c>
      <c r="Y157" s="123">
        <f t="shared" si="62"/>
        <v>1.08</v>
      </c>
      <c r="Z157" s="123">
        <f t="shared" si="62"/>
        <v>1.08</v>
      </c>
      <c r="AA157" s="123">
        <f t="shared" si="62"/>
        <v>1.08</v>
      </c>
      <c r="AB157" s="123">
        <f t="shared" si="62"/>
        <v>1.08</v>
      </c>
      <c r="AC157" s="123">
        <f t="shared" si="62"/>
        <v>1.08</v>
      </c>
      <c r="AD157" s="123">
        <f t="shared" si="62"/>
        <v>1.08</v>
      </c>
      <c r="AE157" s="123">
        <f t="shared" si="62"/>
        <v>1.08</v>
      </c>
      <c r="AF157" s="123">
        <f t="shared" si="62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60"/>
        <v>2.37</v>
      </c>
      <c r="C158" s="124">
        <v>2.37</v>
      </c>
      <c r="D158" s="123">
        <f t="shared" si="61"/>
        <v>2.37</v>
      </c>
      <c r="E158" s="123">
        <f t="shared" si="61"/>
        <v>2.37</v>
      </c>
      <c r="F158" s="123">
        <f t="shared" si="61"/>
        <v>2.37</v>
      </c>
      <c r="G158" s="123">
        <f t="shared" si="61"/>
        <v>2.37</v>
      </c>
      <c r="H158" s="123">
        <f t="shared" si="61"/>
        <v>2.37</v>
      </c>
      <c r="I158" s="123">
        <f t="shared" si="61"/>
        <v>2.37</v>
      </c>
      <c r="J158" s="123">
        <f t="shared" si="61"/>
        <v>2.37</v>
      </c>
      <c r="K158" s="123">
        <f t="shared" si="61"/>
        <v>2.37</v>
      </c>
      <c r="L158" s="123">
        <f t="shared" si="61"/>
        <v>2.37</v>
      </c>
      <c r="M158" s="123">
        <f t="shared" si="61"/>
        <v>2.37</v>
      </c>
      <c r="N158" s="123">
        <f t="shared" si="61"/>
        <v>2.37</v>
      </c>
      <c r="O158" s="123">
        <f t="shared" si="61"/>
        <v>2.37</v>
      </c>
      <c r="P158" s="123">
        <f t="shared" si="61"/>
        <v>2.37</v>
      </c>
      <c r="Q158" s="123">
        <f t="shared" si="61"/>
        <v>2.37</v>
      </c>
      <c r="R158" s="123">
        <f t="shared" si="61"/>
        <v>2.37</v>
      </c>
      <c r="S158" s="123">
        <f t="shared" si="61"/>
        <v>2.37</v>
      </c>
      <c r="T158" s="123">
        <f t="shared" si="62"/>
        <v>2.37</v>
      </c>
      <c r="U158" s="123">
        <f t="shared" si="62"/>
        <v>2.37</v>
      </c>
      <c r="V158" s="123">
        <f t="shared" si="62"/>
        <v>2.37</v>
      </c>
      <c r="W158" s="123">
        <f t="shared" si="62"/>
        <v>2.37</v>
      </c>
      <c r="X158" s="123">
        <f t="shared" si="62"/>
        <v>2.37</v>
      </c>
      <c r="Y158" s="123">
        <f t="shared" si="62"/>
        <v>2.37</v>
      </c>
      <c r="Z158" s="123">
        <f t="shared" si="62"/>
        <v>2.37</v>
      </c>
      <c r="AA158" s="123">
        <f t="shared" si="62"/>
        <v>2.37</v>
      </c>
      <c r="AB158" s="123">
        <f t="shared" si="62"/>
        <v>2.37</v>
      </c>
      <c r="AC158" s="123">
        <f t="shared" si="62"/>
        <v>2.37</v>
      </c>
      <c r="AD158" s="123">
        <f t="shared" si="62"/>
        <v>2.37</v>
      </c>
      <c r="AE158" s="123">
        <f t="shared" si="62"/>
        <v>2.37</v>
      </c>
      <c r="AF158" s="123">
        <f t="shared" si="62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60"/>
        <v>1.81</v>
      </c>
      <c r="C159" s="124">
        <v>1.81</v>
      </c>
      <c r="D159" s="123">
        <f t="shared" si="61"/>
        <v>1.81</v>
      </c>
      <c r="E159" s="123">
        <f t="shared" si="61"/>
        <v>1.81</v>
      </c>
      <c r="F159" s="123">
        <f t="shared" si="61"/>
        <v>1.81</v>
      </c>
      <c r="G159" s="123">
        <f t="shared" si="61"/>
        <v>1.81</v>
      </c>
      <c r="H159" s="123">
        <f t="shared" si="61"/>
        <v>1.81</v>
      </c>
      <c r="I159" s="123">
        <f t="shared" si="61"/>
        <v>1.81</v>
      </c>
      <c r="J159" s="123">
        <f t="shared" si="61"/>
        <v>1.81</v>
      </c>
      <c r="K159" s="123">
        <f t="shared" si="61"/>
        <v>1.81</v>
      </c>
      <c r="L159" s="123">
        <f t="shared" si="61"/>
        <v>1.81</v>
      </c>
      <c r="M159" s="123">
        <f t="shared" si="61"/>
        <v>1.81</v>
      </c>
      <c r="N159" s="123">
        <f t="shared" si="61"/>
        <v>1.81</v>
      </c>
      <c r="O159" s="123">
        <f t="shared" si="61"/>
        <v>1.81</v>
      </c>
      <c r="P159" s="123">
        <f t="shared" si="61"/>
        <v>1.81</v>
      </c>
      <c r="Q159" s="123">
        <f t="shared" si="61"/>
        <v>1.81</v>
      </c>
      <c r="R159" s="123">
        <f t="shared" si="61"/>
        <v>1.81</v>
      </c>
      <c r="S159" s="123">
        <f t="shared" si="61"/>
        <v>1.81</v>
      </c>
      <c r="T159" s="123">
        <f t="shared" si="62"/>
        <v>1.81</v>
      </c>
      <c r="U159" s="123">
        <f t="shared" si="62"/>
        <v>1.81</v>
      </c>
      <c r="V159" s="123">
        <f t="shared" si="62"/>
        <v>1.81</v>
      </c>
      <c r="W159" s="123">
        <f t="shared" si="62"/>
        <v>1.81</v>
      </c>
      <c r="X159" s="123">
        <f t="shared" si="62"/>
        <v>1.81</v>
      </c>
      <c r="Y159" s="123">
        <f t="shared" si="62"/>
        <v>1.81</v>
      </c>
      <c r="Z159" s="123">
        <f t="shared" si="62"/>
        <v>1.81</v>
      </c>
      <c r="AA159" s="123">
        <f t="shared" si="62"/>
        <v>1.81</v>
      </c>
      <c r="AB159" s="123">
        <f t="shared" si="62"/>
        <v>1.81</v>
      </c>
      <c r="AC159" s="123">
        <f t="shared" si="62"/>
        <v>1.81</v>
      </c>
      <c r="AD159" s="123">
        <f t="shared" si="62"/>
        <v>1.81</v>
      </c>
      <c r="AE159" s="123">
        <f t="shared" si="62"/>
        <v>1.81</v>
      </c>
      <c r="AF159" s="123">
        <f t="shared" si="62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60"/>
        <v>1.0900000000000001</v>
      </c>
      <c r="C160" s="124">
        <v>1.0900000000000001</v>
      </c>
      <c r="D160" s="123">
        <f t="shared" si="61"/>
        <v>1.0900000000000001</v>
      </c>
      <c r="E160" s="123">
        <f t="shared" si="61"/>
        <v>1.0900000000000001</v>
      </c>
      <c r="F160" s="123">
        <f t="shared" si="61"/>
        <v>1.0900000000000001</v>
      </c>
      <c r="G160" s="123">
        <f t="shared" si="61"/>
        <v>1.0900000000000001</v>
      </c>
      <c r="H160" s="123">
        <f t="shared" si="61"/>
        <v>1.0900000000000001</v>
      </c>
      <c r="I160" s="123">
        <f t="shared" si="61"/>
        <v>1.0900000000000001</v>
      </c>
      <c r="J160" s="123">
        <f t="shared" si="61"/>
        <v>1.0900000000000001</v>
      </c>
      <c r="K160" s="123">
        <f t="shared" si="61"/>
        <v>1.0900000000000001</v>
      </c>
      <c r="L160" s="123">
        <f t="shared" si="61"/>
        <v>1.0900000000000001</v>
      </c>
      <c r="M160" s="123">
        <f t="shared" si="61"/>
        <v>1.0900000000000001</v>
      </c>
      <c r="N160" s="123">
        <f t="shared" si="61"/>
        <v>1.0900000000000001</v>
      </c>
      <c r="O160" s="123">
        <f t="shared" si="61"/>
        <v>1.0900000000000001</v>
      </c>
      <c r="P160" s="123">
        <f t="shared" si="61"/>
        <v>1.0900000000000001</v>
      </c>
      <c r="Q160" s="123">
        <f t="shared" si="61"/>
        <v>1.0900000000000001</v>
      </c>
      <c r="R160" s="123">
        <f t="shared" si="61"/>
        <v>1.0900000000000001</v>
      </c>
      <c r="S160" s="123">
        <f t="shared" si="61"/>
        <v>1.0900000000000001</v>
      </c>
      <c r="T160" s="123">
        <f t="shared" si="62"/>
        <v>1.0900000000000001</v>
      </c>
      <c r="U160" s="123">
        <f t="shared" si="62"/>
        <v>1.0900000000000001</v>
      </c>
      <c r="V160" s="123">
        <f t="shared" si="62"/>
        <v>1.0900000000000001</v>
      </c>
      <c r="W160" s="123">
        <f t="shared" si="62"/>
        <v>1.0900000000000001</v>
      </c>
      <c r="X160" s="123">
        <f t="shared" si="62"/>
        <v>1.0900000000000001</v>
      </c>
      <c r="Y160" s="123">
        <f t="shared" si="62"/>
        <v>1.0900000000000001</v>
      </c>
      <c r="Z160" s="123">
        <f t="shared" si="62"/>
        <v>1.0900000000000001</v>
      </c>
      <c r="AA160" s="123">
        <f t="shared" si="62"/>
        <v>1.0900000000000001</v>
      </c>
      <c r="AB160" s="123">
        <f t="shared" si="62"/>
        <v>1.0900000000000001</v>
      </c>
      <c r="AC160" s="123">
        <f t="shared" si="62"/>
        <v>1.0900000000000001</v>
      </c>
      <c r="AD160" s="123">
        <f t="shared" si="62"/>
        <v>1.0900000000000001</v>
      </c>
      <c r="AE160" s="123">
        <f t="shared" si="62"/>
        <v>1.0900000000000001</v>
      </c>
      <c r="AF160" s="123">
        <f t="shared" si="62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60"/>
        <v>1.58</v>
      </c>
      <c r="C161" s="124">
        <v>1.58</v>
      </c>
      <c r="D161" s="123">
        <f t="shared" si="61"/>
        <v>1.58</v>
      </c>
      <c r="E161" s="123">
        <f t="shared" si="61"/>
        <v>1.58</v>
      </c>
      <c r="F161" s="123">
        <f t="shared" si="61"/>
        <v>1.58</v>
      </c>
      <c r="G161" s="123">
        <f t="shared" si="61"/>
        <v>1.58</v>
      </c>
      <c r="H161" s="123">
        <f t="shared" si="61"/>
        <v>1.58</v>
      </c>
      <c r="I161" s="123">
        <f t="shared" si="61"/>
        <v>1.58</v>
      </c>
      <c r="J161" s="123">
        <f t="shared" si="61"/>
        <v>1.58</v>
      </c>
      <c r="K161" s="123">
        <f t="shared" si="61"/>
        <v>1.58</v>
      </c>
      <c r="L161" s="123">
        <f t="shared" si="61"/>
        <v>1.58</v>
      </c>
      <c r="M161" s="123">
        <f t="shared" si="61"/>
        <v>1.58</v>
      </c>
      <c r="N161" s="123">
        <f t="shared" si="61"/>
        <v>1.58</v>
      </c>
      <c r="O161" s="123">
        <f t="shared" si="61"/>
        <v>1.58</v>
      </c>
      <c r="P161" s="123">
        <f t="shared" si="61"/>
        <v>1.58</v>
      </c>
      <c r="Q161" s="123">
        <f t="shared" si="61"/>
        <v>1.58</v>
      </c>
      <c r="R161" s="123">
        <f t="shared" si="61"/>
        <v>1.58</v>
      </c>
      <c r="S161" s="123">
        <f t="shared" si="61"/>
        <v>1.58</v>
      </c>
      <c r="T161" s="123">
        <f t="shared" si="62"/>
        <v>1.58</v>
      </c>
      <c r="U161" s="123">
        <f t="shared" si="62"/>
        <v>1.58</v>
      </c>
      <c r="V161" s="123">
        <f t="shared" si="62"/>
        <v>1.58</v>
      </c>
      <c r="W161" s="123">
        <f t="shared" si="62"/>
        <v>1.58</v>
      </c>
      <c r="X161" s="123">
        <f t="shared" si="62"/>
        <v>1.58</v>
      </c>
      <c r="Y161" s="123">
        <f t="shared" si="62"/>
        <v>1.58</v>
      </c>
      <c r="Z161" s="123">
        <f t="shared" si="62"/>
        <v>1.58</v>
      </c>
      <c r="AA161" s="123">
        <f t="shared" si="62"/>
        <v>1.58</v>
      </c>
      <c r="AB161" s="123">
        <f t="shared" si="62"/>
        <v>1.58</v>
      </c>
      <c r="AC161" s="123">
        <f t="shared" si="62"/>
        <v>1.58</v>
      </c>
      <c r="AD161" s="123">
        <f t="shared" si="62"/>
        <v>1.58</v>
      </c>
      <c r="AE161" s="123">
        <f t="shared" si="62"/>
        <v>1.58</v>
      </c>
      <c r="AF161" s="123">
        <f t="shared" si="62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60"/>
        <v>2</v>
      </c>
      <c r="C162" s="124">
        <v>2</v>
      </c>
      <c r="D162" s="123">
        <f t="shared" si="61"/>
        <v>2</v>
      </c>
      <c r="E162" s="123">
        <f t="shared" si="61"/>
        <v>2</v>
      </c>
      <c r="F162" s="123">
        <f t="shared" si="61"/>
        <v>2</v>
      </c>
      <c r="G162" s="123">
        <f t="shared" si="61"/>
        <v>2</v>
      </c>
      <c r="H162" s="123">
        <f t="shared" si="61"/>
        <v>2</v>
      </c>
      <c r="I162" s="123">
        <f t="shared" si="61"/>
        <v>2</v>
      </c>
      <c r="J162" s="123">
        <f t="shared" si="61"/>
        <v>2</v>
      </c>
      <c r="K162" s="123">
        <f t="shared" si="61"/>
        <v>2</v>
      </c>
      <c r="L162" s="123">
        <f t="shared" si="61"/>
        <v>2</v>
      </c>
      <c r="M162" s="123">
        <f t="shared" si="61"/>
        <v>2</v>
      </c>
      <c r="N162" s="123">
        <f t="shared" si="61"/>
        <v>2</v>
      </c>
      <c r="O162" s="123">
        <f t="shared" si="61"/>
        <v>2</v>
      </c>
      <c r="P162" s="123">
        <f t="shared" si="61"/>
        <v>2</v>
      </c>
      <c r="Q162" s="123">
        <f t="shared" si="61"/>
        <v>2</v>
      </c>
      <c r="R162" s="123">
        <f t="shared" si="61"/>
        <v>2</v>
      </c>
      <c r="S162" s="123">
        <f t="shared" si="61"/>
        <v>2</v>
      </c>
      <c r="T162" s="123">
        <f t="shared" si="62"/>
        <v>2</v>
      </c>
      <c r="U162" s="123">
        <f t="shared" si="62"/>
        <v>2</v>
      </c>
      <c r="V162" s="123">
        <f t="shared" si="62"/>
        <v>2</v>
      </c>
      <c r="W162" s="123">
        <f t="shared" si="62"/>
        <v>2</v>
      </c>
      <c r="X162" s="123">
        <f t="shared" si="62"/>
        <v>2</v>
      </c>
      <c r="Y162" s="123">
        <f t="shared" si="62"/>
        <v>2</v>
      </c>
      <c r="Z162" s="123">
        <f t="shared" si="62"/>
        <v>2</v>
      </c>
      <c r="AA162" s="123">
        <f t="shared" si="62"/>
        <v>2</v>
      </c>
      <c r="AB162" s="123">
        <f t="shared" si="62"/>
        <v>2</v>
      </c>
      <c r="AC162" s="123">
        <f t="shared" si="62"/>
        <v>2</v>
      </c>
      <c r="AD162" s="123">
        <f t="shared" si="62"/>
        <v>2</v>
      </c>
      <c r="AE162" s="123">
        <f t="shared" si="62"/>
        <v>2</v>
      </c>
      <c r="AF162" s="123">
        <f t="shared" si="62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60"/>
        <v>0.47</v>
      </c>
      <c r="C163" s="124">
        <v>0.47</v>
      </c>
      <c r="D163" s="123">
        <f t="shared" si="61"/>
        <v>0.47</v>
      </c>
      <c r="E163" s="123">
        <f t="shared" si="61"/>
        <v>0.47</v>
      </c>
      <c r="F163" s="123">
        <f t="shared" si="61"/>
        <v>0.47</v>
      </c>
      <c r="G163" s="123">
        <f t="shared" si="61"/>
        <v>0.47</v>
      </c>
      <c r="H163" s="123">
        <f t="shared" si="61"/>
        <v>0.47</v>
      </c>
      <c r="I163" s="123">
        <f t="shared" si="61"/>
        <v>0.47</v>
      </c>
      <c r="J163" s="123">
        <f t="shared" si="61"/>
        <v>0.47</v>
      </c>
      <c r="K163" s="123">
        <f t="shared" si="61"/>
        <v>0.47</v>
      </c>
      <c r="L163" s="123">
        <f t="shared" si="61"/>
        <v>0.47</v>
      </c>
      <c r="M163" s="123">
        <f t="shared" si="61"/>
        <v>0.47</v>
      </c>
      <c r="N163" s="123">
        <f t="shared" si="61"/>
        <v>0.47</v>
      </c>
      <c r="O163" s="123">
        <f t="shared" si="61"/>
        <v>0.47</v>
      </c>
      <c r="P163" s="123">
        <f t="shared" si="61"/>
        <v>0.47</v>
      </c>
      <c r="Q163" s="123">
        <f t="shared" si="61"/>
        <v>0.47</v>
      </c>
      <c r="R163" s="123">
        <f t="shared" si="61"/>
        <v>0.47</v>
      </c>
      <c r="S163" s="123">
        <f t="shared" si="61"/>
        <v>0.47</v>
      </c>
      <c r="T163" s="123">
        <f t="shared" si="62"/>
        <v>0.47</v>
      </c>
      <c r="U163" s="123">
        <f t="shared" si="62"/>
        <v>0.47</v>
      </c>
      <c r="V163" s="123">
        <f t="shared" si="62"/>
        <v>0.47</v>
      </c>
      <c r="W163" s="123">
        <f t="shared" si="62"/>
        <v>0.47</v>
      </c>
      <c r="X163" s="123">
        <f t="shared" si="62"/>
        <v>0.47</v>
      </c>
      <c r="Y163" s="123">
        <f t="shared" si="62"/>
        <v>0.47</v>
      </c>
      <c r="Z163" s="123">
        <f t="shared" si="62"/>
        <v>0.47</v>
      </c>
      <c r="AA163" s="123">
        <f t="shared" si="62"/>
        <v>0.47</v>
      </c>
      <c r="AB163" s="123">
        <f t="shared" si="62"/>
        <v>0.47</v>
      </c>
      <c r="AC163" s="123">
        <f t="shared" si="62"/>
        <v>0.47</v>
      </c>
      <c r="AD163" s="123">
        <f t="shared" si="62"/>
        <v>0.47</v>
      </c>
      <c r="AE163" s="123">
        <f t="shared" si="62"/>
        <v>0.47</v>
      </c>
      <c r="AF163" s="123">
        <f t="shared" si="62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60"/>
        <v>0</v>
      </c>
      <c r="C164" s="124">
        <v>0</v>
      </c>
      <c r="D164" s="123">
        <f t="shared" si="61"/>
        <v>0</v>
      </c>
      <c r="E164" s="123">
        <f t="shared" si="61"/>
        <v>0</v>
      </c>
      <c r="F164" s="123">
        <f t="shared" si="61"/>
        <v>0</v>
      </c>
      <c r="G164" s="123">
        <f t="shared" si="61"/>
        <v>0</v>
      </c>
      <c r="H164" s="123">
        <f t="shared" si="61"/>
        <v>0</v>
      </c>
      <c r="I164" s="123">
        <f t="shared" si="61"/>
        <v>0</v>
      </c>
      <c r="J164" s="123">
        <f t="shared" si="61"/>
        <v>0</v>
      </c>
      <c r="K164" s="123">
        <f t="shared" si="61"/>
        <v>0</v>
      </c>
      <c r="L164" s="123">
        <f t="shared" si="61"/>
        <v>0</v>
      </c>
      <c r="M164" s="123">
        <f t="shared" si="61"/>
        <v>0</v>
      </c>
      <c r="N164" s="123">
        <f t="shared" si="61"/>
        <v>0</v>
      </c>
      <c r="O164" s="123">
        <f t="shared" si="61"/>
        <v>0</v>
      </c>
      <c r="P164" s="123">
        <f t="shared" si="61"/>
        <v>0</v>
      </c>
      <c r="Q164" s="123">
        <f t="shared" si="61"/>
        <v>0</v>
      </c>
      <c r="R164" s="123">
        <f t="shared" si="61"/>
        <v>0</v>
      </c>
      <c r="S164" s="123">
        <f t="shared" si="61"/>
        <v>0</v>
      </c>
      <c r="T164" s="123">
        <f t="shared" si="62"/>
        <v>0</v>
      </c>
      <c r="U164" s="123">
        <f t="shared" si="62"/>
        <v>0</v>
      </c>
      <c r="V164" s="123">
        <f t="shared" si="62"/>
        <v>0</v>
      </c>
      <c r="W164" s="123">
        <f t="shared" si="62"/>
        <v>0</v>
      </c>
      <c r="X164" s="123">
        <f t="shared" si="62"/>
        <v>0</v>
      </c>
      <c r="Y164" s="123">
        <f t="shared" si="62"/>
        <v>0</v>
      </c>
      <c r="Z164" s="123">
        <f t="shared" si="62"/>
        <v>0</v>
      </c>
      <c r="AA164" s="123">
        <f t="shared" si="62"/>
        <v>0</v>
      </c>
      <c r="AB164" s="123">
        <f t="shared" si="62"/>
        <v>0</v>
      </c>
      <c r="AC164" s="123">
        <f t="shared" si="62"/>
        <v>0</v>
      </c>
      <c r="AD164" s="123">
        <f t="shared" si="62"/>
        <v>0</v>
      </c>
      <c r="AE164" s="123">
        <f t="shared" si="62"/>
        <v>0</v>
      </c>
      <c r="AF164" s="123">
        <f t="shared" si="62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60"/>
        <v>0</v>
      </c>
      <c r="C165" s="124">
        <v>0</v>
      </c>
      <c r="D165" s="123">
        <f t="shared" si="61"/>
        <v>0</v>
      </c>
      <c r="E165" s="123">
        <f t="shared" si="61"/>
        <v>0</v>
      </c>
      <c r="F165" s="123">
        <f t="shared" si="61"/>
        <v>0</v>
      </c>
      <c r="G165" s="123">
        <f t="shared" si="61"/>
        <v>0</v>
      </c>
      <c r="H165" s="123">
        <f t="shared" si="61"/>
        <v>0</v>
      </c>
      <c r="I165" s="123">
        <f t="shared" si="61"/>
        <v>0</v>
      </c>
      <c r="J165" s="123">
        <f t="shared" si="61"/>
        <v>0</v>
      </c>
      <c r="K165" s="123">
        <f t="shared" si="61"/>
        <v>0</v>
      </c>
      <c r="L165" s="123">
        <f t="shared" si="61"/>
        <v>0</v>
      </c>
      <c r="M165" s="123">
        <f t="shared" si="61"/>
        <v>0</v>
      </c>
      <c r="N165" s="123">
        <f t="shared" si="61"/>
        <v>0</v>
      </c>
      <c r="O165" s="123">
        <f t="shared" si="61"/>
        <v>0</v>
      </c>
      <c r="P165" s="123">
        <f t="shared" si="61"/>
        <v>0</v>
      </c>
      <c r="Q165" s="123">
        <f t="shared" si="61"/>
        <v>0</v>
      </c>
      <c r="R165" s="123">
        <f t="shared" si="61"/>
        <v>0</v>
      </c>
      <c r="S165" s="123">
        <f t="shared" si="62"/>
        <v>0</v>
      </c>
      <c r="T165" s="123">
        <f t="shared" si="62"/>
        <v>0</v>
      </c>
      <c r="U165" s="123">
        <f t="shared" si="62"/>
        <v>0</v>
      </c>
      <c r="V165" s="123">
        <f t="shared" si="62"/>
        <v>0</v>
      </c>
      <c r="W165" s="123">
        <f t="shared" si="62"/>
        <v>0</v>
      </c>
      <c r="X165" s="123">
        <f t="shared" si="62"/>
        <v>0</v>
      </c>
      <c r="Y165" s="123">
        <f t="shared" si="62"/>
        <v>0</v>
      </c>
      <c r="Z165" s="123">
        <f t="shared" si="62"/>
        <v>0</v>
      </c>
      <c r="AA165" s="123">
        <f t="shared" si="62"/>
        <v>0</v>
      </c>
      <c r="AB165" s="123">
        <f t="shared" si="62"/>
        <v>0</v>
      </c>
      <c r="AC165" s="123">
        <f t="shared" si="62"/>
        <v>0</v>
      </c>
      <c r="AD165" s="123">
        <f t="shared" si="62"/>
        <v>0</v>
      </c>
      <c r="AE165" s="123">
        <f t="shared" si="62"/>
        <v>0</v>
      </c>
      <c r="AF165" s="123">
        <f t="shared" si="62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60"/>
        <v>0.8</v>
      </c>
      <c r="C166" s="124">
        <v>0.8</v>
      </c>
      <c r="D166" s="123">
        <f t="shared" si="61"/>
        <v>0.8</v>
      </c>
      <c r="E166" s="123">
        <f t="shared" si="61"/>
        <v>0.8</v>
      </c>
      <c r="F166" s="123">
        <f t="shared" si="61"/>
        <v>0.8</v>
      </c>
      <c r="G166" s="123">
        <f t="shared" si="61"/>
        <v>0.8</v>
      </c>
      <c r="H166" s="123">
        <f t="shared" si="61"/>
        <v>0.8</v>
      </c>
      <c r="I166" s="123">
        <f t="shared" si="61"/>
        <v>0.8</v>
      </c>
      <c r="J166" s="123">
        <f t="shared" si="61"/>
        <v>0.8</v>
      </c>
      <c r="K166" s="123">
        <f t="shared" si="61"/>
        <v>0.8</v>
      </c>
      <c r="L166" s="123">
        <f t="shared" si="61"/>
        <v>0.8</v>
      </c>
      <c r="M166" s="123">
        <f t="shared" si="61"/>
        <v>0.8</v>
      </c>
      <c r="N166" s="123">
        <f t="shared" si="61"/>
        <v>0.8</v>
      </c>
      <c r="O166" s="123">
        <f t="shared" si="61"/>
        <v>0.8</v>
      </c>
      <c r="P166" s="123">
        <f t="shared" si="61"/>
        <v>0.8</v>
      </c>
      <c r="Q166" s="123">
        <f t="shared" si="61"/>
        <v>0.8</v>
      </c>
      <c r="R166" s="123">
        <f t="shared" si="61"/>
        <v>0.8</v>
      </c>
      <c r="S166" s="123">
        <f t="shared" si="62"/>
        <v>0.8</v>
      </c>
      <c r="T166" s="123">
        <f t="shared" si="62"/>
        <v>0.8</v>
      </c>
      <c r="U166" s="123">
        <f t="shared" si="62"/>
        <v>0.8</v>
      </c>
      <c r="V166" s="123">
        <f t="shared" si="62"/>
        <v>0.8</v>
      </c>
      <c r="W166" s="123">
        <f t="shared" si="62"/>
        <v>0.8</v>
      </c>
      <c r="X166" s="123">
        <f t="shared" si="62"/>
        <v>0.8</v>
      </c>
      <c r="Y166" s="123">
        <f t="shared" si="62"/>
        <v>0.8</v>
      </c>
      <c r="Z166" s="123">
        <f t="shared" si="62"/>
        <v>0.8</v>
      </c>
      <c r="AA166" s="123">
        <f t="shared" si="62"/>
        <v>0.8</v>
      </c>
      <c r="AB166" s="123">
        <f t="shared" si="62"/>
        <v>0.8</v>
      </c>
      <c r="AC166" s="123">
        <f t="shared" si="62"/>
        <v>0.8</v>
      </c>
      <c r="AD166" s="123">
        <f t="shared" si="62"/>
        <v>0.8</v>
      </c>
      <c r="AE166" s="123">
        <f t="shared" si="62"/>
        <v>0.8</v>
      </c>
      <c r="AF166" s="123">
        <f t="shared" si="62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60"/>
        <v>1.5</v>
      </c>
      <c r="C167" s="124">
        <v>1.5</v>
      </c>
      <c r="D167" s="123">
        <f t="shared" si="61"/>
        <v>1.5</v>
      </c>
      <c r="E167" s="123">
        <f t="shared" si="61"/>
        <v>1.5</v>
      </c>
      <c r="F167" s="123">
        <f t="shared" si="61"/>
        <v>1.5</v>
      </c>
      <c r="G167" s="123">
        <f t="shared" si="61"/>
        <v>1.5</v>
      </c>
      <c r="H167" s="123">
        <f t="shared" si="61"/>
        <v>1.5</v>
      </c>
      <c r="I167" s="123">
        <f t="shared" si="61"/>
        <v>1.5</v>
      </c>
      <c r="J167" s="123">
        <f t="shared" si="61"/>
        <v>1.5</v>
      </c>
      <c r="K167" s="123">
        <f t="shared" si="61"/>
        <v>1.5</v>
      </c>
      <c r="L167" s="123">
        <f t="shared" si="61"/>
        <v>1.5</v>
      </c>
      <c r="M167" s="123">
        <f t="shared" si="61"/>
        <v>1.5</v>
      </c>
      <c r="N167" s="123">
        <f t="shared" si="61"/>
        <v>1.5</v>
      </c>
      <c r="O167" s="123">
        <f t="shared" si="61"/>
        <v>1.5</v>
      </c>
      <c r="P167" s="123">
        <f t="shared" si="61"/>
        <v>1.5</v>
      </c>
      <c r="Q167" s="123">
        <f t="shared" si="61"/>
        <v>1.5</v>
      </c>
      <c r="R167" s="123">
        <f t="shared" si="61"/>
        <v>1.5</v>
      </c>
      <c r="S167" s="123">
        <f t="shared" si="62"/>
        <v>1.5</v>
      </c>
      <c r="T167" s="123">
        <f t="shared" si="62"/>
        <v>1.5</v>
      </c>
      <c r="U167" s="123">
        <f t="shared" si="62"/>
        <v>1.5</v>
      </c>
      <c r="V167" s="123">
        <f t="shared" si="62"/>
        <v>1.5</v>
      </c>
      <c r="W167" s="123">
        <f t="shared" si="62"/>
        <v>1.5</v>
      </c>
      <c r="X167" s="123">
        <f t="shared" si="62"/>
        <v>1.5</v>
      </c>
      <c r="Y167" s="123">
        <f t="shared" si="62"/>
        <v>1.5</v>
      </c>
      <c r="Z167" s="123">
        <f t="shared" si="62"/>
        <v>1.5</v>
      </c>
      <c r="AA167" s="123">
        <f t="shared" si="62"/>
        <v>1.5</v>
      </c>
      <c r="AB167" s="123">
        <f t="shared" si="62"/>
        <v>1.5</v>
      </c>
      <c r="AC167" s="123">
        <f t="shared" si="62"/>
        <v>1.5</v>
      </c>
      <c r="AD167" s="123">
        <f t="shared" si="62"/>
        <v>1.5</v>
      </c>
      <c r="AE167" s="123">
        <f t="shared" si="62"/>
        <v>1.5</v>
      </c>
      <c r="AF167" s="123">
        <f t="shared" si="62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60"/>
        <v>1</v>
      </c>
      <c r="C168" s="124">
        <v>1</v>
      </c>
      <c r="D168" s="123">
        <f t="shared" si="61"/>
        <v>1</v>
      </c>
      <c r="E168" s="123">
        <f t="shared" si="61"/>
        <v>1</v>
      </c>
      <c r="F168" s="123">
        <f t="shared" si="61"/>
        <v>1</v>
      </c>
      <c r="G168" s="123">
        <f t="shared" si="61"/>
        <v>1</v>
      </c>
      <c r="H168" s="123">
        <f t="shared" si="61"/>
        <v>1</v>
      </c>
      <c r="I168" s="123">
        <f t="shared" si="61"/>
        <v>1</v>
      </c>
      <c r="J168" s="123">
        <f t="shared" si="61"/>
        <v>1</v>
      </c>
      <c r="K168" s="123">
        <f t="shared" si="61"/>
        <v>1</v>
      </c>
      <c r="L168" s="123">
        <f t="shared" si="61"/>
        <v>1</v>
      </c>
      <c r="M168" s="123">
        <f t="shared" si="61"/>
        <v>1</v>
      </c>
      <c r="N168" s="123">
        <f t="shared" si="61"/>
        <v>1</v>
      </c>
      <c r="O168" s="123">
        <f t="shared" si="61"/>
        <v>1</v>
      </c>
      <c r="P168" s="123">
        <f t="shared" si="61"/>
        <v>1</v>
      </c>
      <c r="Q168" s="123">
        <f t="shared" si="61"/>
        <v>1</v>
      </c>
      <c r="R168" s="123">
        <f t="shared" si="61"/>
        <v>1</v>
      </c>
      <c r="S168" s="123">
        <f t="shared" si="62"/>
        <v>1</v>
      </c>
      <c r="T168" s="123">
        <f t="shared" si="62"/>
        <v>1</v>
      </c>
      <c r="U168" s="123">
        <f t="shared" si="62"/>
        <v>1</v>
      </c>
      <c r="V168" s="123">
        <f t="shared" si="62"/>
        <v>1</v>
      </c>
      <c r="W168" s="123">
        <f t="shared" si="62"/>
        <v>1</v>
      </c>
      <c r="X168" s="123">
        <f t="shared" si="62"/>
        <v>1</v>
      </c>
      <c r="Y168" s="123">
        <f t="shared" si="62"/>
        <v>1</v>
      </c>
      <c r="Z168" s="123">
        <f t="shared" si="62"/>
        <v>1</v>
      </c>
      <c r="AA168" s="123">
        <f t="shared" si="62"/>
        <v>1</v>
      </c>
      <c r="AB168" s="123">
        <f t="shared" si="62"/>
        <v>1</v>
      </c>
      <c r="AC168" s="123">
        <f t="shared" si="62"/>
        <v>1</v>
      </c>
      <c r="AD168" s="123">
        <f t="shared" si="62"/>
        <v>1</v>
      </c>
      <c r="AE168" s="123">
        <f t="shared" si="62"/>
        <v>1</v>
      </c>
      <c r="AF168" s="123">
        <f t="shared" si="62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3">AF170</f>
        <v>1</v>
      </c>
      <c r="C170" s="124">
        <v>1</v>
      </c>
      <c r="D170" s="123">
        <f t="shared" ref="D170:S177" si="64">C170</f>
        <v>1</v>
      </c>
      <c r="E170" s="123">
        <f t="shared" si="64"/>
        <v>1</v>
      </c>
      <c r="F170" s="123">
        <f t="shared" si="64"/>
        <v>1</v>
      </c>
      <c r="G170" s="123">
        <f t="shared" si="64"/>
        <v>1</v>
      </c>
      <c r="H170" s="123">
        <f t="shared" si="64"/>
        <v>1</v>
      </c>
      <c r="I170" s="123">
        <f t="shared" si="64"/>
        <v>1</v>
      </c>
      <c r="J170" s="123">
        <f t="shared" si="64"/>
        <v>1</v>
      </c>
      <c r="K170" s="123">
        <f t="shared" si="64"/>
        <v>1</v>
      </c>
      <c r="L170" s="123">
        <f t="shared" si="64"/>
        <v>1</v>
      </c>
      <c r="M170" s="123">
        <f t="shared" si="64"/>
        <v>1</v>
      </c>
      <c r="N170" s="123">
        <f t="shared" si="64"/>
        <v>1</v>
      </c>
      <c r="O170" s="123">
        <f t="shared" si="64"/>
        <v>1</v>
      </c>
      <c r="P170" s="123">
        <f t="shared" si="64"/>
        <v>1</v>
      </c>
      <c r="Q170" s="123">
        <f t="shared" si="64"/>
        <v>1</v>
      </c>
      <c r="R170" s="123">
        <f t="shared" si="64"/>
        <v>1</v>
      </c>
      <c r="S170" s="123">
        <f t="shared" si="64"/>
        <v>1</v>
      </c>
      <c r="T170" s="123">
        <f t="shared" ref="S170:AF177" si="65">S170</f>
        <v>1</v>
      </c>
      <c r="U170" s="123">
        <f t="shared" si="65"/>
        <v>1</v>
      </c>
      <c r="V170" s="123">
        <f t="shared" si="65"/>
        <v>1</v>
      </c>
      <c r="W170" s="123">
        <f t="shared" si="65"/>
        <v>1</v>
      </c>
      <c r="X170" s="123">
        <f t="shared" si="65"/>
        <v>1</v>
      </c>
      <c r="Y170" s="123">
        <f t="shared" si="65"/>
        <v>1</v>
      </c>
      <c r="Z170" s="123">
        <f t="shared" si="65"/>
        <v>1</v>
      </c>
      <c r="AA170" s="123">
        <f t="shared" si="65"/>
        <v>1</v>
      </c>
      <c r="AB170" s="123">
        <f t="shared" si="65"/>
        <v>1</v>
      </c>
      <c r="AC170" s="123">
        <f t="shared" si="65"/>
        <v>1</v>
      </c>
      <c r="AD170" s="123">
        <f t="shared" si="65"/>
        <v>1</v>
      </c>
      <c r="AE170" s="123">
        <f t="shared" si="65"/>
        <v>1</v>
      </c>
      <c r="AF170" s="123">
        <f t="shared" si="65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3"/>
        <v>0.42</v>
      </c>
      <c r="C171" s="124">
        <v>0.42</v>
      </c>
      <c r="D171" s="123">
        <f t="shared" si="64"/>
        <v>0.42</v>
      </c>
      <c r="E171" s="123">
        <f t="shared" si="64"/>
        <v>0.42</v>
      </c>
      <c r="F171" s="123">
        <f t="shared" si="64"/>
        <v>0.42</v>
      </c>
      <c r="G171" s="123">
        <f t="shared" si="64"/>
        <v>0.42</v>
      </c>
      <c r="H171" s="123">
        <f t="shared" si="64"/>
        <v>0.42</v>
      </c>
      <c r="I171" s="123">
        <f t="shared" si="64"/>
        <v>0.42</v>
      </c>
      <c r="J171" s="123">
        <f t="shared" si="64"/>
        <v>0.42</v>
      </c>
      <c r="K171" s="123">
        <f t="shared" si="64"/>
        <v>0.42</v>
      </c>
      <c r="L171" s="123">
        <f t="shared" si="64"/>
        <v>0.42</v>
      </c>
      <c r="M171" s="123">
        <f t="shared" si="64"/>
        <v>0.42</v>
      </c>
      <c r="N171" s="123">
        <f t="shared" si="64"/>
        <v>0.42</v>
      </c>
      <c r="O171" s="123">
        <f t="shared" si="64"/>
        <v>0.42</v>
      </c>
      <c r="P171" s="123">
        <f t="shared" si="64"/>
        <v>0.42</v>
      </c>
      <c r="Q171" s="123">
        <f t="shared" si="64"/>
        <v>0.42</v>
      </c>
      <c r="R171" s="123">
        <f t="shared" si="64"/>
        <v>0.42</v>
      </c>
      <c r="S171" s="123">
        <f t="shared" si="65"/>
        <v>0.42</v>
      </c>
      <c r="T171" s="123">
        <f t="shared" si="65"/>
        <v>0.42</v>
      </c>
      <c r="U171" s="123">
        <f t="shared" si="65"/>
        <v>0.42</v>
      </c>
      <c r="V171" s="123">
        <f t="shared" si="65"/>
        <v>0.42</v>
      </c>
      <c r="W171" s="123">
        <f t="shared" si="65"/>
        <v>0.42</v>
      </c>
      <c r="X171" s="123">
        <f t="shared" si="65"/>
        <v>0.42</v>
      </c>
      <c r="Y171" s="123">
        <f t="shared" si="65"/>
        <v>0.42</v>
      </c>
      <c r="Z171" s="123">
        <f t="shared" si="65"/>
        <v>0.42</v>
      </c>
      <c r="AA171" s="123">
        <f t="shared" si="65"/>
        <v>0.42</v>
      </c>
      <c r="AB171" s="123">
        <f t="shared" si="65"/>
        <v>0.42</v>
      </c>
      <c r="AC171" s="123">
        <f t="shared" si="65"/>
        <v>0.42</v>
      </c>
      <c r="AD171" s="123">
        <f t="shared" si="65"/>
        <v>0.42</v>
      </c>
      <c r="AE171" s="123">
        <f t="shared" si="65"/>
        <v>0.42</v>
      </c>
      <c r="AF171" s="123">
        <f t="shared" si="65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3"/>
        <v>0.46</v>
      </c>
      <c r="C172" s="124">
        <v>0.46</v>
      </c>
      <c r="D172" s="123">
        <f t="shared" si="64"/>
        <v>0.46</v>
      </c>
      <c r="E172" s="123">
        <f t="shared" si="64"/>
        <v>0.46</v>
      </c>
      <c r="F172" s="123">
        <f t="shared" si="64"/>
        <v>0.46</v>
      </c>
      <c r="G172" s="123">
        <f t="shared" si="64"/>
        <v>0.46</v>
      </c>
      <c r="H172" s="123">
        <f t="shared" si="64"/>
        <v>0.46</v>
      </c>
      <c r="I172" s="123">
        <f t="shared" si="64"/>
        <v>0.46</v>
      </c>
      <c r="J172" s="123">
        <f t="shared" si="64"/>
        <v>0.46</v>
      </c>
      <c r="K172" s="123">
        <f t="shared" si="64"/>
        <v>0.46</v>
      </c>
      <c r="L172" s="123">
        <f t="shared" si="64"/>
        <v>0.46</v>
      </c>
      <c r="M172" s="123">
        <f t="shared" si="64"/>
        <v>0.46</v>
      </c>
      <c r="N172" s="123">
        <f t="shared" si="64"/>
        <v>0.46</v>
      </c>
      <c r="O172" s="123">
        <f t="shared" si="64"/>
        <v>0.46</v>
      </c>
      <c r="P172" s="123">
        <f t="shared" si="64"/>
        <v>0.46</v>
      </c>
      <c r="Q172" s="123">
        <f t="shared" si="64"/>
        <v>0.46</v>
      </c>
      <c r="R172" s="123">
        <f t="shared" si="64"/>
        <v>0.46</v>
      </c>
      <c r="S172" s="123">
        <f t="shared" si="65"/>
        <v>0.46</v>
      </c>
      <c r="T172" s="123">
        <f t="shared" si="65"/>
        <v>0.46</v>
      </c>
      <c r="U172" s="123">
        <f t="shared" si="65"/>
        <v>0.46</v>
      </c>
      <c r="V172" s="123">
        <f t="shared" si="65"/>
        <v>0.46</v>
      </c>
      <c r="W172" s="123">
        <f t="shared" si="65"/>
        <v>0.46</v>
      </c>
      <c r="X172" s="123">
        <f t="shared" si="65"/>
        <v>0.46</v>
      </c>
      <c r="Y172" s="123">
        <f t="shared" si="65"/>
        <v>0.46</v>
      </c>
      <c r="Z172" s="123">
        <f t="shared" si="65"/>
        <v>0.46</v>
      </c>
      <c r="AA172" s="123">
        <f t="shared" si="65"/>
        <v>0.46</v>
      </c>
      <c r="AB172" s="123">
        <f t="shared" si="65"/>
        <v>0.46</v>
      </c>
      <c r="AC172" s="123">
        <f t="shared" si="65"/>
        <v>0.46</v>
      </c>
      <c r="AD172" s="123">
        <f t="shared" si="65"/>
        <v>0.46</v>
      </c>
      <c r="AE172" s="123">
        <f t="shared" si="65"/>
        <v>0.46</v>
      </c>
      <c r="AF172" s="123">
        <f t="shared" si="65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3"/>
        <v>0.85</v>
      </c>
      <c r="C173" s="124">
        <v>0.85</v>
      </c>
      <c r="D173" s="123">
        <f t="shared" si="64"/>
        <v>0.85</v>
      </c>
      <c r="E173" s="123">
        <f t="shared" si="64"/>
        <v>0.85</v>
      </c>
      <c r="F173" s="123">
        <f t="shared" si="64"/>
        <v>0.85</v>
      </c>
      <c r="G173" s="123">
        <f t="shared" si="64"/>
        <v>0.85</v>
      </c>
      <c r="H173" s="123">
        <f t="shared" si="64"/>
        <v>0.85</v>
      </c>
      <c r="I173" s="123">
        <f t="shared" si="64"/>
        <v>0.85</v>
      </c>
      <c r="J173" s="123">
        <f t="shared" si="64"/>
        <v>0.85</v>
      </c>
      <c r="K173" s="123">
        <f t="shared" si="64"/>
        <v>0.85</v>
      </c>
      <c r="L173" s="123">
        <f t="shared" si="64"/>
        <v>0.85</v>
      </c>
      <c r="M173" s="123">
        <f t="shared" si="64"/>
        <v>0.85</v>
      </c>
      <c r="N173" s="123">
        <f t="shared" si="64"/>
        <v>0.85</v>
      </c>
      <c r="O173" s="123">
        <f t="shared" si="64"/>
        <v>0.85</v>
      </c>
      <c r="P173" s="123">
        <f t="shared" si="64"/>
        <v>0.85</v>
      </c>
      <c r="Q173" s="123">
        <f t="shared" si="64"/>
        <v>0.85</v>
      </c>
      <c r="R173" s="123">
        <f t="shared" si="64"/>
        <v>0.85</v>
      </c>
      <c r="S173" s="123">
        <f t="shared" si="65"/>
        <v>0.85</v>
      </c>
      <c r="T173" s="123">
        <f t="shared" si="65"/>
        <v>0.85</v>
      </c>
      <c r="U173" s="123">
        <f t="shared" si="65"/>
        <v>0.85</v>
      </c>
      <c r="V173" s="123">
        <f t="shared" si="65"/>
        <v>0.85</v>
      </c>
      <c r="W173" s="123">
        <f t="shared" si="65"/>
        <v>0.85</v>
      </c>
      <c r="X173" s="123">
        <f t="shared" si="65"/>
        <v>0.85</v>
      </c>
      <c r="Y173" s="123">
        <f t="shared" si="65"/>
        <v>0.85</v>
      </c>
      <c r="Z173" s="123">
        <f t="shared" si="65"/>
        <v>0.85</v>
      </c>
      <c r="AA173" s="123">
        <f t="shared" si="65"/>
        <v>0.85</v>
      </c>
      <c r="AB173" s="123">
        <f t="shared" si="65"/>
        <v>0.85</v>
      </c>
      <c r="AC173" s="123">
        <f t="shared" si="65"/>
        <v>0.85</v>
      </c>
      <c r="AD173" s="123">
        <f t="shared" si="65"/>
        <v>0.85</v>
      </c>
      <c r="AE173" s="123">
        <f t="shared" si="65"/>
        <v>0.85</v>
      </c>
      <c r="AF173" s="123">
        <f t="shared" si="65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3"/>
        <v>0.9</v>
      </c>
      <c r="C174" s="124">
        <v>0.9</v>
      </c>
      <c r="D174" s="123">
        <f t="shared" si="64"/>
        <v>0.9</v>
      </c>
      <c r="E174" s="123">
        <f t="shared" si="64"/>
        <v>0.9</v>
      </c>
      <c r="F174" s="123">
        <f t="shared" si="64"/>
        <v>0.9</v>
      </c>
      <c r="G174" s="123">
        <f t="shared" si="64"/>
        <v>0.9</v>
      </c>
      <c r="H174" s="123">
        <f t="shared" si="64"/>
        <v>0.9</v>
      </c>
      <c r="I174" s="123">
        <f t="shared" si="64"/>
        <v>0.9</v>
      </c>
      <c r="J174" s="123">
        <f t="shared" si="64"/>
        <v>0.9</v>
      </c>
      <c r="K174" s="123">
        <f t="shared" si="64"/>
        <v>0.9</v>
      </c>
      <c r="L174" s="123">
        <f t="shared" si="64"/>
        <v>0.9</v>
      </c>
      <c r="M174" s="123">
        <f t="shared" si="64"/>
        <v>0.9</v>
      </c>
      <c r="N174" s="123">
        <f t="shared" si="64"/>
        <v>0.9</v>
      </c>
      <c r="O174" s="123">
        <f t="shared" si="64"/>
        <v>0.9</v>
      </c>
      <c r="P174" s="123">
        <f t="shared" si="64"/>
        <v>0.9</v>
      </c>
      <c r="Q174" s="123">
        <f t="shared" si="64"/>
        <v>0.9</v>
      </c>
      <c r="R174" s="123">
        <f t="shared" si="64"/>
        <v>0.9</v>
      </c>
      <c r="S174" s="123">
        <f t="shared" si="65"/>
        <v>0.9</v>
      </c>
      <c r="T174" s="123">
        <f t="shared" si="65"/>
        <v>0.9</v>
      </c>
      <c r="U174" s="123">
        <f t="shared" si="65"/>
        <v>0.9</v>
      </c>
      <c r="V174" s="123">
        <f t="shared" si="65"/>
        <v>0.9</v>
      </c>
      <c r="W174" s="123">
        <f t="shared" si="65"/>
        <v>0.9</v>
      </c>
      <c r="X174" s="123">
        <f t="shared" si="65"/>
        <v>0.9</v>
      </c>
      <c r="Y174" s="123">
        <f t="shared" si="65"/>
        <v>0.9</v>
      </c>
      <c r="Z174" s="123">
        <f t="shared" si="65"/>
        <v>0.9</v>
      </c>
      <c r="AA174" s="123">
        <f t="shared" si="65"/>
        <v>0.9</v>
      </c>
      <c r="AB174" s="123">
        <f t="shared" si="65"/>
        <v>0.9</v>
      </c>
      <c r="AC174" s="123">
        <f t="shared" si="65"/>
        <v>0.9</v>
      </c>
      <c r="AD174" s="123">
        <f t="shared" si="65"/>
        <v>0.9</v>
      </c>
      <c r="AE174" s="123">
        <f t="shared" si="65"/>
        <v>0.9</v>
      </c>
      <c r="AF174" s="123">
        <f t="shared" si="65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3"/>
        <v>0.44</v>
      </c>
      <c r="C175" s="124">
        <v>0.44</v>
      </c>
      <c r="D175" s="123">
        <f t="shared" si="64"/>
        <v>0.44</v>
      </c>
      <c r="E175" s="123">
        <f t="shared" si="64"/>
        <v>0.44</v>
      </c>
      <c r="F175" s="123">
        <f t="shared" si="64"/>
        <v>0.44</v>
      </c>
      <c r="G175" s="123">
        <f t="shared" si="64"/>
        <v>0.44</v>
      </c>
      <c r="H175" s="123">
        <f t="shared" si="64"/>
        <v>0.44</v>
      </c>
      <c r="I175" s="123">
        <f t="shared" si="64"/>
        <v>0.44</v>
      </c>
      <c r="J175" s="123">
        <f t="shared" si="64"/>
        <v>0.44</v>
      </c>
      <c r="K175" s="123">
        <f t="shared" si="64"/>
        <v>0.44</v>
      </c>
      <c r="L175" s="123">
        <f t="shared" si="64"/>
        <v>0.44</v>
      </c>
      <c r="M175" s="123">
        <f t="shared" si="64"/>
        <v>0.44</v>
      </c>
      <c r="N175" s="123">
        <f t="shared" si="64"/>
        <v>0.44</v>
      </c>
      <c r="O175" s="123">
        <f t="shared" si="64"/>
        <v>0.44</v>
      </c>
      <c r="P175" s="123">
        <f t="shared" si="64"/>
        <v>0.44</v>
      </c>
      <c r="Q175" s="123">
        <f t="shared" si="64"/>
        <v>0.44</v>
      </c>
      <c r="R175" s="123">
        <f t="shared" si="64"/>
        <v>0.44</v>
      </c>
      <c r="S175" s="123">
        <f t="shared" si="65"/>
        <v>0.44</v>
      </c>
      <c r="T175" s="123">
        <f t="shared" si="65"/>
        <v>0.44</v>
      </c>
      <c r="U175" s="123">
        <f t="shared" si="65"/>
        <v>0.44</v>
      </c>
      <c r="V175" s="123">
        <f t="shared" si="65"/>
        <v>0.44</v>
      </c>
      <c r="W175" s="123">
        <f t="shared" si="65"/>
        <v>0.44</v>
      </c>
      <c r="X175" s="123">
        <f t="shared" si="65"/>
        <v>0.44</v>
      </c>
      <c r="Y175" s="123">
        <f t="shared" si="65"/>
        <v>0.44</v>
      </c>
      <c r="Z175" s="123">
        <f t="shared" si="65"/>
        <v>0.44</v>
      </c>
      <c r="AA175" s="123">
        <f t="shared" si="65"/>
        <v>0.44</v>
      </c>
      <c r="AB175" s="123">
        <f t="shared" si="65"/>
        <v>0.44</v>
      </c>
      <c r="AC175" s="123">
        <f t="shared" si="65"/>
        <v>0.44</v>
      </c>
      <c r="AD175" s="123">
        <f t="shared" si="65"/>
        <v>0.44</v>
      </c>
      <c r="AE175" s="123">
        <f t="shared" si="65"/>
        <v>0.44</v>
      </c>
      <c r="AF175" s="123">
        <f t="shared" si="65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3"/>
        <v>2.1</v>
      </c>
      <c r="C176" s="124">
        <v>2.1</v>
      </c>
      <c r="D176" s="123">
        <f t="shared" si="64"/>
        <v>2.1</v>
      </c>
      <c r="E176" s="123">
        <f t="shared" si="64"/>
        <v>2.1</v>
      </c>
      <c r="F176" s="123">
        <f t="shared" si="64"/>
        <v>2.1</v>
      </c>
      <c r="G176" s="123">
        <f t="shared" si="64"/>
        <v>2.1</v>
      </c>
      <c r="H176" s="123">
        <f t="shared" si="64"/>
        <v>2.1</v>
      </c>
      <c r="I176" s="123">
        <f t="shared" si="64"/>
        <v>2.1</v>
      </c>
      <c r="J176" s="123">
        <f t="shared" si="64"/>
        <v>2.1</v>
      </c>
      <c r="K176" s="123">
        <f t="shared" si="64"/>
        <v>2.1</v>
      </c>
      <c r="L176" s="123">
        <f t="shared" si="64"/>
        <v>2.1</v>
      </c>
      <c r="M176" s="123">
        <f t="shared" si="64"/>
        <v>2.1</v>
      </c>
      <c r="N176" s="123">
        <f t="shared" si="64"/>
        <v>2.1</v>
      </c>
      <c r="O176" s="123">
        <f t="shared" si="64"/>
        <v>2.1</v>
      </c>
      <c r="P176" s="123">
        <f t="shared" si="64"/>
        <v>2.1</v>
      </c>
      <c r="Q176" s="123">
        <f t="shared" si="64"/>
        <v>2.1</v>
      </c>
      <c r="R176" s="123">
        <f t="shared" si="64"/>
        <v>2.1</v>
      </c>
      <c r="S176" s="123">
        <f t="shared" si="65"/>
        <v>2.1</v>
      </c>
      <c r="T176" s="123">
        <f t="shared" si="65"/>
        <v>2.1</v>
      </c>
      <c r="U176" s="123">
        <f t="shared" si="65"/>
        <v>2.1</v>
      </c>
      <c r="V176" s="123">
        <f t="shared" si="65"/>
        <v>2.1</v>
      </c>
      <c r="W176" s="123">
        <f t="shared" si="65"/>
        <v>2.1</v>
      </c>
      <c r="X176" s="123">
        <f t="shared" si="65"/>
        <v>2.1</v>
      </c>
      <c r="Y176" s="123">
        <f t="shared" si="65"/>
        <v>2.1</v>
      </c>
      <c r="Z176" s="123">
        <f t="shared" si="65"/>
        <v>2.1</v>
      </c>
      <c r="AA176" s="123">
        <f t="shared" si="65"/>
        <v>2.1</v>
      </c>
      <c r="AB176" s="123">
        <f t="shared" si="65"/>
        <v>2.1</v>
      </c>
      <c r="AC176" s="123">
        <f t="shared" si="65"/>
        <v>2.1</v>
      </c>
      <c r="AD176" s="123">
        <f t="shared" si="65"/>
        <v>2.1</v>
      </c>
      <c r="AE176" s="123">
        <f t="shared" si="65"/>
        <v>2.1</v>
      </c>
      <c r="AF176" s="123">
        <f t="shared" si="65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3"/>
        <v>0.9</v>
      </c>
      <c r="C177" s="124">
        <v>0.9</v>
      </c>
      <c r="D177" s="123">
        <f t="shared" si="64"/>
        <v>0.9</v>
      </c>
      <c r="E177" s="123">
        <f t="shared" si="64"/>
        <v>0.9</v>
      </c>
      <c r="F177" s="123">
        <f t="shared" si="64"/>
        <v>0.9</v>
      </c>
      <c r="G177" s="123">
        <f t="shared" si="64"/>
        <v>0.9</v>
      </c>
      <c r="H177" s="123">
        <f t="shared" si="64"/>
        <v>0.9</v>
      </c>
      <c r="I177" s="123">
        <f t="shared" si="64"/>
        <v>0.9</v>
      </c>
      <c r="J177" s="123">
        <f t="shared" si="64"/>
        <v>0.9</v>
      </c>
      <c r="K177" s="123">
        <f t="shared" si="64"/>
        <v>0.9</v>
      </c>
      <c r="L177" s="123">
        <f t="shared" si="64"/>
        <v>0.9</v>
      </c>
      <c r="M177" s="123">
        <f t="shared" si="64"/>
        <v>0.9</v>
      </c>
      <c r="N177" s="123">
        <f t="shared" si="64"/>
        <v>0.9</v>
      </c>
      <c r="O177" s="123">
        <f t="shared" si="64"/>
        <v>0.9</v>
      </c>
      <c r="P177" s="123">
        <f t="shared" si="64"/>
        <v>0.9</v>
      </c>
      <c r="Q177" s="123">
        <f t="shared" si="64"/>
        <v>0.9</v>
      </c>
      <c r="R177" s="123">
        <f t="shared" si="64"/>
        <v>0.9</v>
      </c>
      <c r="S177" s="123">
        <f t="shared" si="65"/>
        <v>0.9</v>
      </c>
      <c r="T177" s="123">
        <f t="shared" si="65"/>
        <v>0.9</v>
      </c>
      <c r="U177" s="123">
        <f t="shared" si="65"/>
        <v>0.9</v>
      </c>
      <c r="V177" s="123">
        <f t="shared" si="65"/>
        <v>0.9</v>
      </c>
      <c r="W177" s="123">
        <f t="shared" si="65"/>
        <v>0.9</v>
      </c>
      <c r="X177" s="123">
        <f t="shared" si="65"/>
        <v>0.9</v>
      </c>
      <c r="Y177" s="123">
        <f t="shared" si="65"/>
        <v>0.9</v>
      </c>
      <c r="Z177" s="123">
        <f t="shared" si="65"/>
        <v>0.9</v>
      </c>
      <c r="AA177" s="123">
        <f t="shared" si="65"/>
        <v>0.9</v>
      </c>
      <c r="AB177" s="123">
        <f t="shared" si="65"/>
        <v>0.9</v>
      </c>
      <c r="AC177" s="123">
        <f t="shared" si="65"/>
        <v>0.9</v>
      </c>
      <c r="AD177" s="123">
        <f t="shared" si="65"/>
        <v>0.9</v>
      </c>
      <c r="AE177" s="123">
        <f t="shared" si="65"/>
        <v>0.9</v>
      </c>
      <c r="AF177" s="123">
        <f t="shared" si="65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6">AF179</f>
        <v>0.57999999999999996</v>
      </c>
      <c r="C179" s="124">
        <v>0.57999999999999996</v>
      </c>
      <c r="D179" s="123">
        <f t="shared" ref="D179:S191" si="67">C179</f>
        <v>0.57999999999999996</v>
      </c>
      <c r="E179" s="123">
        <f t="shared" si="67"/>
        <v>0.57999999999999996</v>
      </c>
      <c r="F179" s="123">
        <f t="shared" si="67"/>
        <v>0.57999999999999996</v>
      </c>
      <c r="G179" s="123">
        <f t="shared" si="67"/>
        <v>0.57999999999999996</v>
      </c>
      <c r="H179" s="123">
        <f t="shared" si="67"/>
        <v>0.57999999999999996</v>
      </c>
      <c r="I179" s="123">
        <f t="shared" si="67"/>
        <v>0.57999999999999996</v>
      </c>
      <c r="J179" s="123">
        <f t="shared" si="67"/>
        <v>0.57999999999999996</v>
      </c>
      <c r="K179" s="123">
        <f t="shared" si="67"/>
        <v>0.57999999999999996</v>
      </c>
      <c r="L179" s="123">
        <f t="shared" si="67"/>
        <v>0.57999999999999996</v>
      </c>
      <c r="M179" s="123">
        <f t="shared" si="67"/>
        <v>0.57999999999999996</v>
      </c>
      <c r="N179" s="123">
        <f t="shared" si="67"/>
        <v>0.57999999999999996</v>
      </c>
      <c r="O179" s="123">
        <f t="shared" si="67"/>
        <v>0.57999999999999996</v>
      </c>
      <c r="P179" s="123">
        <f t="shared" si="67"/>
        <v>0.57999999999999996</v>
      </c>
      <c r="Q179" s="123">
        <f t="shared" si="67"/>
        <v>0.57999999999999996</v>
      </c>
      <c r="R179" s="123">
        <f t="shared" si="67"/>
        <v>0.57999999999999996</v>
      </c>
      <c r="S179" s="123">
        <f t="shared" si="67"/>
        <v>0.57999999999999996</v>
      </c>
      <c r="T179" s="123">
        <f t="shared" ref="S179:AF191" si="68">S179</f>
        <v>0.57999999999999996</v>
      </c>
      <c r="U179" s="123">
        <f t="shared" si="68"/>
        <v>0.57999999999999996</v>
      </c>
      <c r="V179" s="123">
        <f t="shared" si="68"/>
        <v>0.57999999999999996</v>
      </c>
      <c r="W179" s="123">
        <f t="shared" si="68"/>
        <v>0.57999999999999996</v>
      </c>
      <c r="X179" s="123">
        <f t="shared" si="68"/>
        <v>0.57999999999999996</v>
      </c>
      <c r="Y179" s="123">
        <f t="shared" si="68"/>
        <v>0.57999999999999996</v>
      </c>
      <c r="Z179" s="123">
        <f t="shared" si="68"/>
        <v>0.57999999999999996</v>
      </c>
      <c r="AA179" s="123">
        <f t="shared" si="68"/>
        <v>0.57999999999999996</v>
      </c>
      <c r="AB179" s="123">
        <f t="shared" si="68"/>
        <v>0.57999999999999996</v>
      </c>
      <c r="AC179" s="123">
        <f t="shared" si="68"/>
        <v>0.57999999999999996</v>
      </c>
      <c r="AD179" s="123">
        <f t="shared" si="68"/>
        <v>0.57999999999999996</v>
      </c>
      <c r="AE179" s="123">
        <f t="shared" si="68"/>
        <v>0.57999999999999996</v>
      </c>
      <c r="AF179" s="123">
        <f t="shared" si="68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6"/>
        <v>0.8</v>
      </c>
      <c r="C180" s="124">
        <v>0.8</v>
      </c>
      <c r="D180" s="123">
        <f t="shared" si="67"/>
        <v>0.8</v>
      </c>
      <c r="E180" s="123">
        <f t="shared" si="67"/>
        <v>0.8</v>
      </c>
      <c r="F180" s="123">
        <f t="shared" si="67"/>
        <v>0.8</v>
      </c>
      <c r="G180" s="123">
        <f t="shared" si="67"/>
        <v>0.8</v>
      </c>
      <c r="H180" s="123">
        <f t="shared" si="67"/>
        <v>0.8</v>
      </c>
      <c r="I180" s="123">
        <f t="shared" si="67"/>
        <v>0.8</v>
      </c>
      <c r="J180" s="123">
        <f t="shared" si="67"/>
        <v>0.8</v>
      </c>
      <c r="K180" s="123">
        <f t="shared" si="67"/>
        <v>0.8</v>
      </c>
      <c r="L180" s="123">
        <f t="shared" si="67"/>
        <v>0.8</v>
      </c>
      <c r="M180" s="123">
        <f t="shared" si="67"/>
        <v>0.8</v>
      </c>
      <c r="N180" s="123">
        <f t="shared" si="67"/>
        <v>0.8</v>
      </c>
      <c r="O180" s="123">
        <f t="shared" si="67"/>
        <v>0.8</v>
      </c>
      <c r="P180" s="123">
        <f t="shared" si="67"/>
        <v>0.8</v>
      </c>
      <c r="Q180" s="123">
        <f t="shared" si="67"/>
        <v>0.8</v>
      </c>
      <c r="R180" s="123">
        <f t="shared" si="67"/>
        <v>0.8</v>
      </c>
      <c r="S180" s="123">
        <f t="shared" si="67"/>
        <v>0.8</v>
      </c>
      <c r="T180" s="123">
        <f t="shared" si="68"/>
        <v>0.8</v>
      </c>
      <c r="U180" s="123">
        <f t="shared" si="68"/>
        <v>0.8</v>
      </c>
      <c r="V180" s="123">
        <f t="shared" si="68"/>
        <v>0.8</v>
      </c>
      <c r="W180" s="123">
        <f t="shared" si="68"/>
        <v>0.8</v>
      </c>
      <c r="X180" s="123">
        <f t="shared" si="68"/>
        <v>0.8</v>
      </c>
      <c r="Y180" s="123">
        <f t="shared" si="68"/>
        <v>0.8</v>
      </c>
      <c r="Z180" s="123">
        <f t="shared" si="68"/>
        <v>0.8</v>
      </c>
      <c r="AA180" s="123">
        <f t="shared" si="68"/>
        <v>0.8</v>
      </c>
      <c r="AB180" s="123">
        <f t="shared" si="68"/>
        <v>0.8</v>
      </c>
      <c r="AC180" s="123">
        <f t="shared" si="68"/>
        <v>0.8</v>
      </c>
      <c r="AD180" s="123">
        <f t="shared" si="68"/>
        <v>0.8</v>
      </c>
      <c r="AE180" s="123">
        <f t="shared" si="68"/>
        <v>0.8</v>
      </c>
      <c r="AF180" s="123">
        <f t="shared" si="68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6"/>
        <v>0</v>
      </c>
      <c r="C181" s="124">
        <v>0</v>
      </c>
      <c r="D181" s="123">
        <f t="shared" si="67"/>
        <v>0</v>
      </c>
      <c r="E181" s="123">
        <f t="shared" si="67"/>
        <v>0</v>
      </c>
      <c r="F181" s="123">
        <f t="shared" si="67"/>
        <v>0</v>
      </c>
      <c r="G181" s="123">
        <f t="shared" si="67"/>
        <v>0</v>
      </c>
      <c r="H181" s="123">
        <f t="shared" si="67"/>
        <v>0</v>
      </c>
      <c r="I181" s="123">
        <f t="shared" si="67"/>
        <v>0</v>
      </c>
      <c r="J181" s="123">
        <f t="shared" si="67"/>
        <v>0</v>
      </c>
      <c r="K181" s="123">
        <f t="shared" si="67"/>
        <v>0</v>
      </c>
      <c r="L181" s="123">
        <f t="shared" si="67"/>
        <v>0</v>
      </c>
      <c r="M181" s="123">
        <f t="shared" si="67"/>
        <v>0</v>
      </c>
      <c r="N181" s="123">
        <f t="shared" si="67"/>
        <v>0</v>
      </c>
      <c r="O181" s="123">
        <f t="shared" si="67"/>
        <v>0</v>
      </c>
      <c r="P181" s="123">
        <f t="shared" si="67"/>
        <v>0</v>
      </c>
      <c r="Q181" s="123">
        <f t="shared" si="67"/>
        <v>0</v>
      </c>
      <c r="R181" s="123">
        <f t="shared" si="67"/>
        <v>0</v>
      </c>
      <c r="S181" s="123">
        <f t="shared" si="67"/>
        <v>0</v>
      </c>
      <c r="T181" s="123">
        <f t="shared" si="68"/>
        <v>0</v>
      </c>
      <c r="U181" s="123">
        <f t="shared" si="68"/>
        <v>0</v>
      </c>
      <c r="V181" s="123">
        <f t="shared" si="68"/>
        <v>0</v>
      </c>
      <c r="W181" s="123">
        <f t="shared" si="68"/>
        <v>0</v>
      </c>
      <c r="X181" s="123">
        <f t="shared" si="68"/>
        <v>0</v>
      </c>
      <c r="Y181" s="123">
        <f t="shared" si="68"/>
        <v>0</v>
      </c>
      <c r="Z181" s="123">
        <f t="shared" si="68"/>
        <v>0</v>
      </c>
      <c r="AA181" s="123">
        <f t="shared" si="68"/>
        <v>0</v>
      </c>
      <c r="AB181" s="123">
        <f t="shared" si="68"/>
        <v>0</v>
      </c>
      <c r="AC181" s="123">
        <f t="shared" si="68"/>
        <v>0</v>
      </c>
      <c r="AD181" s="123">
        <f t="shared" si="68"/>
        <v>0</v>
      </c>
      <c r="AE181" s="123">
        <f t="shared" si="68"/>
        <v>0</v>
      </c>
      <c r="AF181" s="123">
        <f t="shared" si="68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6"/>
        <v>0.6</v>
      </c>
      <c r="C182" s="124">
        <v>0.6</v>
      </c>
      <c r="D182" s="123">
        <f t="shared" si="67"/>
        <v>0.6</v>
      </c>
      <c r="E182" s="123">
        <f t="shared" si="67"/>
        <v>0.6</v>
      </c>
      <c r="F182" s="123">
        <f t="shared" si="67"/>
        <v>0.6</v>
      </c>
      <c r="G182" s="123">
        <f t="shared" si="67"/>
        <v>0.6</v>
      </c>
      <c r="H182" s="123">
        <f t="shared" si="67"/>
        <v>0.6</v>
      </c>
      <c r="I182" s="123">
        <f t="shared" si="67"/>
        <v>0.6</v>
      </c>
      <c r="J182" s="123">
        <f t="shared" si="67"/>
        <v>0.6</v>
      </c>
      <c r="K182" s="123">
        <f t="shared" si="67"/>
        <v>0.6</v>
      </c>
      <c r="L182" s="123">
        <f t="shared" si="67"/>
        <v>0.6</v>
      </c>
      <c r="M182" s="123">
        <f t="shared" si="67"/>
        <v>0.6</v>
      </c>
      <c r="N182" s="123">
        <f t="shared" si="67"/>
        <v>0.6</v>
      </c>
      <c r="O182" s="123">
        <f t="shared" si="67"/>
        <v>0.6</v>
      </c>
      <c r="P182" s="123">
        <f t="shared" si="67"/>
        <v>0.6</v>
      </c>
      <c r="Q182" s="123">
        <f t="shared" si="67"/>
        <v>0.6</v>
      </c>
      <c r="R182" s="123">
        <f t="shared" si="67"/>
        <v>0.6</v>
      </c>
      <c r="S182" s="123">
        <f t="shared" si="67"/>
        <v>0.6</v>
      </c>
      <c r="T182" s="123">
        <f t="shared" si="68"/>
        <v>0.6</v>
      </c>
      <c r="U182" s="123">
        <f t="shared" si="68"/>
        <v>0.6</v>
      </c>
      <c r="V182" s="123">
        <f t="shared" si="68"/>
        <v>0.6</v>
      </c>
      <c r="W182" s="123">
        <f t="shared" si="68"/>
        <v>0.6</v>
      </c>
      <c r="X182" s="123">
        <f t="shared" si="68"/>
        <v>0.6</v>
      </c>
      <c r="Y182" s="123">
        <f t="shared" si="68"/>
        <v>0.6</v>
      </c>
      <c r="Z182" s="123">
        <f t="shared" si="68"/>
        <v>0.6</v>
      </c>
      <c r="AA182" s="123">
        <f t="shared" si="68"/>
        <v>0.6</v>
      </c>
      <c r="AB182" s="123">
        <f t="shared" si="68"/>
        <v>0.6</v>
      </c>
      <c r="AC182" s="123">
        <f t="shared" si="68"/>
        <v>0.6</v>
      </c>
      <c r="AD182" s="123">
        <f t="shared" si="68"/>
        <v>0.6</v>
      </c>
      <c r="AE182" s="123">
        <f t="shared" si="68"/>
        <v>0.6</v>
      </c>
      <c r="AF182" s="123">
        <f t="shared" si="68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6"/>
        <v>0.6</v>
      </c>
      <c r="C183" s="124">
        <v>0.6</v>
      </c>
      <c r="D183" s="123">
        <f t="shared" si="67"/>
        <v>0.6</v>
      </c>
      <c r="E183" s="123">
        <f t="shared" si="67"/>
        <v>0.6</v>
      </c>
      <c r="F183" s="123">
        <f t="shared" si="67"/>
        <v>0.6</v>
      </c>
      <c r="G183" s="123">
        <f t="shared" si="67"/>
        <v>0.6</v>
      </c>
      <c r="H183" s="123">
        <f t="shared" si="67"/>
        <v>0.6</v>
      </c>
      <c r="I183" s="123">
        <f t="shared" si="67"/>
        <v>0.6</v>
      </c>
      <c r="J183" s="123">
        <f t="shared" si="67"/>
        <v>0.6</v>
      </c>
      <c r="K183" s="123">
        <f t="shared" si="67"/>
        <v>0.6</v>
      </c>
      <c r="L183" s="123">
        <f t="shared" si="67"/>
        <v>0.6</v>
      </c>
      <c r="M183" s="123">
        <f t="shared" si="67"/>
        <v>0.6</v>
      </c>
      <c r="N183" s="123">
        <f t="shared" si="67"/>
        <v>0.6</v>
      </c>
      <c r="O183" s="123">
        <f t="shared" si="67"/>
        <v>0.6</v>
      </c>
      <c r="P183" s="123">
        <f t="shared" si="67"/>
        <v>0.6</v>
      </c>
      <c r="Q183" s="123">
        <f t="shared" si="67"/>
        <v>0.6</v>
      </c>
      <c r="R183" s="123">
        <f t="shared" si="67"/>
        <v>0.6</v>
      </c>
      <c r="S183" s="123">
        <f t="shared" si="67"/>
        <v>0.6</v>
      </c>
      <c r="T183" s="123">
        <f t="shared" si="68"/>
        <v>0.6</v>
      </c>
      <c r="U183" s="123">
        <f t="shared" si="68"/>
        <v>0.6</v>
      </c>
      <c r="V183" s="123">
        <f t="shared" si="68"/>
        <v>0.6</v>
      </c>
      <c r="W183" s="123">
        <f t="shared" si="68"/>
        <v>0.6</v>
      </c>
      <c r="X183" s="123">
        <f t="shared" si="68"/>
        <v>0.6</v>
      </c>
      <c r="Y183" s="123">
        <f t="shared" si="68"/>
        <v>0.6</v>
      </c>
      <c r="Z183" s="123">
        <f t="shared" si="68"/>
        <v>0.6</v>
      </c>
      <c r="AA183" s="123">
        <f t="shared" si="68"/>
        <v>0.6</v>
      </c>
      <c r="AB183" s="123">
        <f t="shared" si="68"/>
        <v>0.6</v>
      </c>
      <c r="AC183" s="123">
        <f t="shared" si="68"/>
        <v>0.6</v>
      </c>
      <c r="AD183" s="123">
        <f t="shared" si="68"/>
        <v>0.6</v>
      </c>
      <c r="AE183" s="123">
        <f t="shared" si="68"/>
        <v>0.6</v>
      </c>
      <c r="AF183" s="123">
        <f t="shared" si="68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6"/>
        <v>0.35</v>
      </c>
      <c r="C184" s="124">
        <v>0.35</v>
      </c>
      <c r="D184" s="123">
        <f t="shared" si="67"/>
        <v>0.35</v>
      </c>
      <c r="E184" s="123">
        <f t="shared" si="67"/>
        <v>0.35</v>
      </c>
      <c r="F184" s="123">
        <f t="shared" si="67"/>
        <v>0.35</v>
      </c>
      <c r="G184" s="123">
        <f t="shared" si="67"/>
        <v>0.35</v>
      </c>
      <c r="H184" s="123">
        <f t="shared" si="67"/>
        <v>0.35</v>
      </c>
      <c r="I184" s="123">
        <f t="shared" si="67"/>
        <v>0.35</v>
      </c>
      <c r="J184" s="123">
        <f t="shared" si="67"/>
        <v>0.35</v>
      </c>
      <c r="K184" s="123">
        <f t="shared" si="67"/>
        <v>0.35</v>
      </c>
      <c r="L184" s="123">
        <f t="shared" si="67"/>
        <v>0.35</v>
      </c>
      <c r="M184" s="123">
        <f t="shared" si="67"/>
        <v>0.35</v>
      </c>
      <c r="N184" s="123">
        <f t="shared" si="67"/>
        <v>0.35</v>
      </c>
      <c r="O184" s="123">
        <f t="shared" si="67"/>
        <v>0.35</v>
      </c>
      <c r="P184" s="123">
        <f t="shared" si="67"/>
        <v>0.35</v>
      </c>
      <c r="Q184" s="123">
        <f t="shared" si="67"/>
        <v>0.35</v>
      </c>
      <c r="R184" s="123">
        <f t="shared" si="67"/>
        <v>0.35</v>
      </c>
      <c r="S184" s="123">
        <f t="shared" si="67"/>
        <v>0.35</v>
      </c>
      <c r="T184" s="123">
        <f t="shared" si="68"/>
        <v>0.35</v>
      </c>
      <c r="U184" s="123">
        <f t="shared" si="68"/>
        <v>0.35</v>
      </c>
      <c r="V184" s="123">
        <f t="shared" si="68"/>
        <v>0.35</v>
      </c>
      <c r="W184" s="123">
        <f t="shared" si="68"/>
        <v>0.35</v>
      </c>
      <c r="X184" s="123">
        <f t="shared" si="68"/>
        <v>0.35</v>
      </c>
      <c r="Y184" s="123">
        <f t="shared" si="68"/>
        <v>0.35</v>
      </c>
      <c r="Z184" s="123">
        <f t="shared" si="68"/>
        <v>0.35</v>
      </c>
      <c r="AA184" s="123">
        <f t="shared" si="68"/>
        <v>0.35</v>
      </c>
      <c r="AB184" s="123">
        <f t="shared" si="68"/>
        <v>0.35</v>
      </c>
      <c r="AC184" s="123">
        <f t="shared" si="68"/>
        <v>0.35</v>
      </c>
      <c r="AD184" s="123">
        <f t="shared" si="68"/>
        <v>0.35</v>
      </c>
      <c r="AE184" s="123">
        <f t="shared" si="68"/>
        <v>0.35</v>
      </c>
      <c r="AF184" s="123">
        <f t="shared" si="68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6"/>
        <v>0.28999999999999998</v>
      </c>
      <c r="C185" s="124">
        <v>0.28999999999999998</v>
      </c>
      <c r="D185" s="123">
        <f t="shared" si="67"/>
        <v>0.28999999999999998</v>
      </c>
      <c r="E185" s="123">
        <f t="shared" si="67"/>
        <v>0.28999999999999998</v>
      </c>
      <c r="F185" s="123">
        <f t="shared" si="67"/>
        <v>0.28999999999999998</v>
      </c>
      <c r="G185" s="123">
        <f t="shared" si="67"/>
        <v>0.28999999999999998</v>
      </c>
      <c r="H185" s="123">
        <f t="shared" si="67"/>
        <v>0.28999999999999998</v>
      </c>
      <c r="I185" s="123">
        <f t="shared" si="67"/>
        <v>0.28999999999999998</v>
      </c>
      <c r="J185" s="123">
        <f t="shared" si="67"/>
        <v>0.28999999999999998</v>
      </c>
      <c r="K185" s="123">
        <f t="shared" si="67"/>
        <v>0.28999999999999998</v>
      </c>
      <c r="L185" s="123">
        <f t="shared" si="67"/>
        <v>0.28999999999999998</v>
      </c>
      <c r="M185" s="123">
        <f t="shared" si="67"/>
        <v>0.28999999999999998</v>
      </c>
      <c r="N185" s="123">
        <f t="shared" si="67"/>
        <v>0.28999999999999998</v>
      </c>
      <c r="O185" s="123">
        <f t="shared" si="67"/>
        <v>0.28999999999999998</v>
      </c>
      <c r="P185" s="123">
        <f t="shared" si="67"/>
        <v>0.28999999999999998</v>
      </c>
      <c r="Q185" s="123">
        <f t="shared" si="67"/>
        <v>0.28999999999999998</v>
      </c>
      <c r="R185" s="123">
        <f t="shared" si="67"/>
        <v>0.28999999999999998</v>
      </c>
      <c r="S185" s="123">
        <f t="shared" si="67"/>
        <v>0.28999999999999998</v>
      </c>
      <c r="T185" s="123">
        <f t="shared" si="68"/>
        <v>0.28999999999999998</v>
      </c>
      <c r="U185" s="123">
        <f t="shared" si="68"/>
        <v>0.28999999999999998</v>
      </c>
      <c r="V185" s="123">
        <f t="shared" si="68"/>
        <v>0.28999999999999998</v>
      </c>
      <c r="W185" s="123">
        <f t="shared" si="68"/>
        <v>0.28999999999999998</v>
      </c>
      <c r="X185" s="123">
        <f t="shared" si="68"/>
        <v>0.28999999999999998</v>
      </c>
      <c r="Y185" s="123">
        <f t="shared" si="68"/>
        <v>0.28999999999999998</v>
      </c>
      <c r="Z185" s="123">
        <f t="shared" si="68"/>
        <v>0.28999999999999998</v>
      </c>
      <c r="AA185" s="123">
        <f t="shared" si="68"/>
        <v>0.28999999999999998</v>
      </c>
      <c r="AB185" s="123">
        <f t="shared" si="68"/>
        <v>0.28999999999999998</v>
      </c>
      <c r="AC185" s="123">
        <f t="shared" si="68"/>
        <v>0.28999999999999998</v>
      </c>
      <c r="AD185" s="123">
        <f t="shared" si="68"/>
        <v>0.28999999999999998</v>
      </c>
      <c r="AE185" s="123">
        <f t="shared" si="68"/>
        <v>0.28999999999999998</v>
      </c>
      <c r="AF185" s="123">
        <f t="shared" si="68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6"/>
        <v>0.06</v>
      </c>
      <c r="C186" s="124">
        <v>0.06</v>
      </c>
      <c r="D186" s="123">
        <f t="shared" si="67"/>
        <v>0.06</v>
      </c>
      <c r="E186" s="123">
        <f t="shared" si="67"/>
        <v>0.06</v>
      </c>
      <c r="F186" s="123">
        <f t="shared" si="67"/>
        <v>0.06</v>
      </c>
      <c r="G186" s="123">
        <f t="shared" si="67"/>
        <v>0.06</v>
      </c>
      <c r="H186" s="123">
        <f t="shared" si="67"/>
        <v>0.06</v>
      </c>
      <c r="I186" s="123">
        <f t="shared" si="67"/>
        <v>0.06</v>
      </c>
      <c r="J186" s="123">
        <f t="shared" si="67"/>
        <v>0.06</v>
      </c>
      <c r="K186" s="123">
        <f t="shared" si="67"/>
        <v>0.06</v>
      </c>
      <c r="L186" s="123">
        <f t="shared" si="67"/>
        <v>0.06</v>
      </c>
      <c r="M186" s="123">
        <f t="shared" si="67"/>
        <v>0.06</v>
      </c>
      <c r="N186" s="123">
        <f t="shared" si="67"/>
        <v>0.06</v>
      </c>
      <c r="O186" s="123">
        <f t="shared" si="67"/>
        <v>0.06</v>
      </c>
      <c r="P186" s="123">
        <f t="shared" si="67"/>
        <v>0.06</v>
      </c>
      <c r="Q186" s="123">
        <f t="shared" si="67"/>
        <v>0.06</v>
      </c>
      <c r="R186" s="123">
        <f t="shared" si="67"/>
        <v>0.06</v>
      </c>
      <c r="S186" s="123">
        <f t="shared" si="67"/>
        <v>0.06</v>
      </c>
      <c r="T186" s="123">
        <f t="shared" si="68"/>
        <v>0.06</v>
      </c>
      <c r="U186" s="123">
        <f t="shared" si="68"/>
        <v>0.06</v>
      </c>
      <c r="V186" s="123">
        <f t="shared" si="68"/>
        <v>0.06</v>
      </c>
      <c r="W186" s="123">
        <f t="shared" si="68"/>
        <v>0.06</v>
      </c>
      <c r="X186" s="123">
        <f t="shared" si="68"/>
        <v>0.06</v>
      </c>
      <c r="Y186" s="123">
        <f t="shared" si="68"/>
        <v>0.06</v>
      </c>
      <c r="Z186" s="123">
        <f t="shared" si="68"/>
        <v>0.06</v>
      </c>
      <c r="AA186" s="123">
        <f t="shared" si="68"/>
        <v>0.06</v>
      </c>
      <c r="AB186" s="123">
        <f t="shared" si="68"/>
        <v>0.06</v>
      </c>
      <c r="AC186" s="123">
        <f t="shared" si="68"/>
        <v>0.06</v>
      </c>
      <c r="AD186" s="123">
        <f t="shared" si="68"/>
        <v>0.06</v>
      </c>
      <c r="AE186" s="123">
        <f t="shared" si="68"/>
        <v>0.06</v>
      </c>
      <c r="AF186" s="123">
        <f t="shared" si="68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6"/>
        <v>0.11</v>
      </c>
      <c r="C187" s="124">
        <v>0.11</v>
      </c>
      <c r="D187" s="123">
        <f t="shared" si="67"/>
        <v>0.11</v>
      </c>
      <c r="E187" s="123">
        <f t="shared" si="67"/>
        <v>0.11</v>
      </c>
      <c r="F187" s="123">
        <f t="shared" si="67"/>
        <v>0.11</v>
      </c>
      <c r="G187" s="123">
        <f t="shared" si="67"/>
        <v>0.11</v>
      </c>
      <c r="H187" s="123">
        <f t="shared" si="67"/>
        <v>0.11</v>
      </c>
      <c r="I187" s="123">
        <f t="shared" si="67"/>
        <v>0.11</v>
      </c>
      <c r="J187" s="123">
        <f t="shared" si="67"/>
        <v>0.11</v>
      </c>
      <c r="K187" s="123">
        <f t="shared" si="67"/>
        <v>0.11</v>
      </c>
      <c r="L187" s="123">
        <f t="shared" si="67"/>
        <v>0.11</v>
      </c>
      <c r="M187" s="123">
        <f t="shared" si="67"/>
        <v>0.11</v>
      </c>
      <c r="N187" s="123">
        <f t="shared" si="67"/>
        <v>0.11</v>
      </c>
      <c r="O187" s="123">
        <f t="shared" si="67"/>
        <v>0.11</v>
      </c>
      <c r="P187" s="123">
        <f t="shared" si="67"/>
        <v>0.11</v>
      </c>
      <c r="Q187" s="123">
        <f t="shared" si="67"/>
        <v>0.11</v>
      </c>
      <c r="R187" s="123">
        <f t="shared" si="67"/>
        <v>0.11</v>
      </c>
      <c r="S187" s="123">
        <f t="shared" si="67"/>
        <v>0.11</v>
      </c>
      <c r="T187" s="123">
        <f t="shared" si="68"/>
        <v>0.11</v>
      </c>
      <c r="U187" s="123">
        <f t="shared" si="68"/>
        <v>0.11</v>
      </c>
      <c r="V187" s="123">
        <f t="shared" si="68"/>
        <v>0.11</v>
      </c>
      <c r="W187" s="123">
        <f t="shared" si="68"/>
        <v>0.11</v>
      </c>
      <c r="X187" s="123">
        <f t="shared" si="68"/>
        <v>0.11</v>
      </c>
      <c r="Y187" s="123">
        <f t="shared" si="68"/>
        <v>0.11</v>
      </c>
      <c r="Z187" s="123">
        <f t="shared" si="68"/>
        <v>0.11</v>
      </c>
      <c r="AA187" s="123">
        <f t="shared" si="68"/>
        <v>0.11</v>
      </c>
      <c r="AB187" s="123">
        <f t="shared" si="68"/>
        <v>0.11</v>
      </c>
      <c r="AC187" s="123">
        <f t="shared" si="68"/>
        <v>0.11</v>
      </c>
      <c r="AD187" s="123">
        <f t="shared" si="68"/>
        <v>0.11</v>
      </c>
      <c r="AE187" s="123">
        <f t="shared" si="68"/>
        <v>0.11</v>
      </c>
      <c r="AF187" s="123">
        <f t="shared" si="68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6"/>
        <v>0.1</v>
      </c>
      <c r="C188" s="124">
        <v>0.1</v>
      </c>
      <c r="D188" s="123">
        <f t="shared" si="67"/>
        <v>0.1</v>
      </c>
      <c r="E188" s="123">
        <f t="shared" si="67"/>
        <v>0.1</v>
      </c>
      <c r="F188" s="123">
        <f t="shared" si="67"/>
        <v>0.1</v>
      </c>
      <c r="G188" s="123">
        <f t="shared" si="67"/>
        <v>0.1</v>
      </c>
      <c r="H188" s="123">
        <f t="shared" si="67"/>
        <v>0.1</v>
      </c>
      <c r="I188" s="123">
        <f t="shared" si="67"/>
        <v>0.1</v>
      </c>
      <c r="J188" s="123">
        <f t="shared" si="67"/>
        <v>0.1</v>
      </c>
      <c r="K188" s="123">
        <f t="shared" si="67"/>
        <v>0.1</v>
      </c>
      <c r="L188" s="123">
        <f t="shared" si="67"/>
        <v>0.1</v>
      </c>
      <c r="M188" s="123">
        <f t="shared" si="67"/>
        <v>0.1</v>
      </c>
      <c r="N188" s="123">
        <f t="shared" si="67"/>
        <v>0.1</v>
      </c>
      <c r="O188" s="123">
        <f t="shared" si="67"/>
        <v>0.1</v>
      </c>
      <c r="P188" s="123">
        <f t="shared" si="67"/>
        <v>0.1</v>
      </c>
      <c r="Q188" s="123">
        <f t="shared" si="67"/>
        <v>0.1</v>
      </c>
      <c r="R188" s="123">
        <f t="shared" si="67"/>
        <v>0.1</v>
      </c>
      <c r="S188" s="123">
        <f t="shared" si="68"/>
        <v>0.1</v>
      </c>
      <c r="T188" s="123">
        <f t="shared" si="68"/>
        <v>0.1</v>
      </c>
      <c r="U188" s="123">
        <f t="shared" si="68"/>
        <v>0.1</v>
      </c>
      <c r="V188" s="123">
        <f t="shared" si="68"/>
        <v>0.1</v>
      </c>
      <c r="W188" s="123">
        <f t="shared" si="68"/>
        <v>0.1</v>
      </c>
      <c r="X188" s="123">
        <f t="shared" si="68"/>
        <v>0.1</v>
      </c>
      <c r="Y188" s="123">
        <f t="shared" si="68"/>
        <v>0.1</v>
      </c>
      <c r="Z188" s="123">
        <f t="shared" si="68"/>
        <v>0.1</v>
      </c>
      <c r="AA188" s="123">
        <f t="shared" si="68"/>
        <v>0.1</v>
      </c>
      <c r="AB188" s="123">
        <f t="shared" si="68"/>
        <v>0.1</v>
      </c>
      <c r="AC188" s="123">
        <f t="shared" si="68"/>
        <v>0.1</v>
      </c>
      <c r="AD188" s="123">
        <f t="shared" si="68"/>
        <v>0.1</v>
      </c>
      <c r="AE188" s="123">
        <f t="shared" si="68"/>
        <v>0.1</v>
      </c>
      <c r="AF188" s="123">
        <f t="shared" si="68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6"/>
        <v>0.09</v>
      </c>
      <c r="C189" s="124">
        <v>0.09</v>
      </c>
      <c r="D189" s="123">
        <f t="shared" si="67"/>
        <v>0.09</v>
      </c>
      <c r="E189" s="123">
        <f t="shared" si="67"/>
        <v>0.09</v>
      </c>
      <c r="F189" s="123">
        <f t="shared" si="67"/>
        <v>0.09</v>
      </c>
      <c r="G189" s="123">
        <f t="shared" si="67"/>
        <v>0.09</v>
      </c>
      <c r="H189" s="123">
        <f t="shared" si="67"/>
        <v>0.09</v>
      </c>
      <c r="I189" s="123">
        <f t="shared" si="67"/>
        <v>0.09</v>
      </c>
      <c r="J189" s="123">
        <f t="shared" si="67"/>
        <v>0.09</v>
      </c>
      <c r="K189" s="123">
        <f t="shared" si="67"/>
        <v>0.09</v>
      </c>
      <c r="L189" s="123">
        <f t="shared" si="67"/>
        <v>0.09</v>
      </c>
      <c r="M189" s="123">
        <f t="shared" si="67"/>
        <v>0.09</v>
      </c>
      <c r="N189" s="123">
        <f t="shared" si="67"/>
        <v>0.09</v>
      </c>
      <c r="O189" s="123">
        <f t="shared" si="67"/>
        <v>0.09</v>
      </c>
      <c r="P189" s="123">
        <f t="shared" si="67"/>
        <v>0.09</v>
      </c>
      <c r="Q189" s="123">
        <f t="shared" si="67"/>
        <v>0.09</v>
      </c>
      <c r="R189" s="123">
        <f t="shared" si="67"/>
        <v>0.09</v>
      </c>
      <c r="S189" s="123">
        <f t="shared" si="68"/>
        <v>0.09</v>
      </c>
      <c r="T189" s="123">
        <f t="shared" si="68"/>
        <v>0.09</v>
      </c>
      <c r="U189" s="123">
        <f t="shared" si="68"/>
        <v>0.09</v>
      </c>
      <c r="V189" s="123">
        <f t="shared" si="68"/>
        <v>0.09</v>
      </c>
      <c r="W189" s="123">
        <f t="shared" si="68"/>
        <v>0.09</v>
      </c>
      <c r="X189" s="123">
        <f t="shared" si="68"/>
        <v>0.09</v>
      </c>
      <c r="Y189" s="123">
        <f t="shared" si="68"/>
        <v>0.09</v>
      </c>
      <c r="Z189" s="123">
        <f t="shared" si="68"/>
        <v>0.09</v>
      </c>
      <c r="AA189" s="123">
        <f t="shared" si="68"/>
        <v>0.09</v>
      </c>
      <c r="AB189" s="123">
        <f t="shared" si="68"/>
        <v>0.09</v>
      </c>
      <c r="AC189" s="123">
        <f t="shared" si="68"/>
        <v>0.09</v>
      </c>
      <c r="AD189" s="123">
        <f t="shared" si="68"/>
        <v>0.09</v>
      </c>
      <c r="AE189" s="123">
        <f t="shared" si="68"/>
        <v>0.09</v>
      </c>
      <c r="AF189" s="123">
        <f t="shared" si="68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6"/>
        <v>0.04</v>
      </c>
      <c r="C190" s="54">
        <v>0.04</v>
      </c>
      <c r="D190" s="123">
        <f t="shared" si="67"/>
        <v>0.04</v>
      </c>
      <c r="E190" s="123">
        <f t="shared" si="67"/>
        <v>0.04</v>
      </c>
      <c r="F190" s="123">
        <f t="shared" si="67"/>
        <v>0.04</v>
      </c>
      <c r="G190" s="123">
        <f t="shared" si="67"/>
        <v>0.04</v>
      </c>
      <c r="H190" s="123">
        <f t="shared" si="67"/>
        <v>0.04</v>
      </c>
      <c r="I190" s="123">
        <f t="shared" si="67"/>
        <v>0.04</v>
      </c>
      <c r="J190" s="123">
        <f t="shared" si="67"/>
        <v>0.04</v>
      </c>
      <c r="K190" s="123">
        <f t="shared" si="67"/>
        <v>0.04</v>
      </c>
      <c r="L190" s="123">
        <f t="shared" si="67"/>
        <v>0.04</v>
      </c>
      <c r="M190" s="123">
        <f t="shared" si="67"/>
        <v>0.04</v>
      </c>
      <c r="N190" s="123">
        <f t="shared" si="67"/>
        <v>0.04</v>
      </c>
      <c r="O190" s="123">
        <f t="shared" si="67"/>
        <v>0.04</v>
      </c>
      <c r="P190" s="123">
        <f t="shared" si="67"/>
        <v>0.04</v>
      </c>
      <c r="Q190" s="123">
        <f t="shared" si="67"/>
        <v>0.04</v>
      </c>
      <c r="R190" s="123">
        <f t="shared" si="67"/>
        <v>0.04</v>
      </c>
      <c r="S190" s="123">
        <f t="shared" si="68"/>
        <v>0.04</v>
      </c>
      <c r="T190" s="123">
        <f t="shared" si="68"/>
        <v>0.04</v>
      </c>
      <c r="U190" s="123">
        <f t="shared" si="68"/>
        <v>0.04</v>
      </c>
      <c r="V190" s="123">
        <f t="shared" si="68"/>
        <v>0.04</v>
      </c>
      <c r="W190" s="123">
        <f t="shared" si="68"/>
        <v>0.04</v>
      </c>
      <c r="X190" s="123">
        <f t="shared" si="68"/>
        <v>0.04</v>
      </c>
      <c r="Y190" s="123">
        <f t="shared" si="68"/>
        <v>0.04</v>
      </c>
      <c r="Z190" s="123">
        <f t="shared" si="68"/>
        <v>0.04</v>
      </c>
      <c r="AA190" s="123">
        <f t="shared" si="68"/>
        <v>0.04</v>
      </c>
      <c r="AB190" s="123">
        <f t="shared" si="68"/>
        <v>0.04</v>
      </c>
      <c r="AC190" s="123">
        <f t="shared" si="68"/>
        <v>0.04</v>
      </c>
      <c r="AD190" s="123">
        <f t="shared" si="68"/>
        <v>0.04</v>
      </c>
      <c r="AE190" s="123">
        <f t="shared" si="68"/>
        <v>0.04</v>
      </c>
      <c r="AF190" s="123">
        <f t="shared" si="68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6"/>
        <v>2.3E-2</v>
      </c>
      <c r="C191" s="54">
        <v>2.3E-2</v>
      </c>
      <c r="D191" s="123">
        <f>C191</f>
        <v>2.3E-2</v>
      </c>
      <c r="E191" s="123">
        <f t="shared" si="67"/>
        <v>2.3E-2</v>
      </c>
      <c r="F191" s="123">
        <f t="shared" si="67"/>
        <v>2.3E-2</v>
      </c>
      <c r="G191" s="123">
        <f t="shared" si="67"/>
        <v>2.3E-2</v>
      </c>
      <c r="H191" s="123">
        <f t="shared" si="67"/>
        <v>2.3E-2</v>
      </c>
      <c r="I191" s="123">
        <f t="shared" si="67"/>
        <v>2.3E-2</v>
      </c>
      <c r="J191" s="123">
        <f t="shared" si="67"/>
        <v>2.3E-2</v>
      </c>
      <c r="K191" s="123">
        <f t="shared" si="67"/>
        <v>2.3E-2</v>
      </c>
      <c r="L191" s="123">
        <f t="shared" si="67"/>
        <v>2.3E-2</v>
      </c>
      <c r="M191" s="123">
        <f t="shared" si="67"/>
        <v>2.3E-2</v>
      </c>
      <c r="N191" s="123">
        <f t="shared" si="67"/>
        <v>2.3E-2</v>
      </c>
      <c r="O191" s="123">
        <f t="shared" si="67"/>
        <v>2.3E-2</v>
      </c>
      <c r="P191" s="123">
        <f t="shared" si="67"/>
        <v>2.3E-2</v>
      </c>
      <c r="Q191" s="123">
        <f t="shared" si="67"/>
        <v>2.3E-2</v>
      </c>
      <c r="R191" s="123">
        <f t="shared" si="67"/>
        <v>2.3E-2</v>
      </c>
      <c r="S191" s="123">
        <f t="shared" si="68"/>
        <v>2.3E-2</v>
      </c>
      <c r="T191" s="123">
        <f t="shared" si="68"/>
        <v>2.3E-2</v>
      </c>
      <c r="U191" s="123">
        <f t="shared" si="68"/>
        <v>2.3E-2</v>
      </c>
      <c r="V191" s="123">
        <f t="shared" si="68"/>
        <v>2.3E-2</v>
      </c>
      <c r="W191" s="123">
        <f t="shared" si="68"/>
        <v>2.3E-2</v>
      </c>
      <c r="X191" s="123">
        <f t="shared" si="68"/>
        <v>2.3E-2</v>
      </c>
      <c r="Y191" s="123">
        <f t="shared" si="68"/>
        <v>2.3E-2</v>
      </c>
      <c r="Z191" s="123">
        <f t="shared" si="68"/>
        <v>2.3E-2</v>
      </c>
      <c r="AA191" s="123">
        <f t="shared" si="68"/>
        <v>2.3E-2</v>
      </c>
      <c r="AB191" s="123">
        <f t="shared" si="68"/>
        <v>2.3E-2</v>
      </c>
      <c r="AC191" s="123">
        <f t="shared" si="68"/>
        <v>2.3E-2</v>
      </c>
      <c r="AD191" s="123">
        <f t="shared" si="68"/>
        <v>2.3E-2</v>
      </c>
      <c r="AE191" s="123">
        <f t="shared" si="68"/>
        <v>2.3E-2</v>
      </c>
      <c r="AF191" s="123">
        <f t="shared" si="68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69">SUM(C102:C191)</f>
        <v>194.70600000000002</v>
      </c>
      <c r="D192" s="128">
        <f t="shared" si="69"/>
        <v>194.70600000000002</v>
      </c>
      <c r="E192" s="128">
        <f t="shared" si="69"/>
        <v>194.70600000000002</v>
      </c>
      <c r="F192" s="128">
        <f t="shared" si="69"/>
        <v>194.70600000000002</v>
      </c>
      <c r="G192" s="128">
        <f t="shared" si="69"/>
        <v>194.70600000000002</v>
      </c>
      <c r="H192" s="128">
        <f t="shared" si="69"/>
        <v>194.70600000000002</v>
      </c>
      <c r="I192" s="128">
        <f t="shared" si="69"/>
        <v>189.70600000000005</v>
      </c>
      <c r="J192" s="128">
        <f t="shared" si="69"/>
        <v>187.10600000000005</v>
      </c>
      <c r="K192" s="128">
        <f t="shared" si="69"/>
        <v>187.10600000000005</v>
      </c>
      <c r="L192" s="128">
        <f t="shared" si="69"/>
        <v>187.10600000000005</v>
      </c>
      <c r="M192" s="128">
        <f t="shared" si="69"/>
        <v>187.10600000000005</v>
      </c>
      <c r="N192" s="128">
        <f t="shared" si="69"/>
        <v>187.10600000000005</v>
      </c>
      <c r="O192" s="128">
        <f t="shared" si="69"/>
        <v>187.10600000000005</v>
      </c>
      <c r="P192" s="128">
        <f t="shared" si="69"/>
        <v>187.10600000000005</v>
      </c>
      <c r="Q192" s="128">
        <f t="shared" si="69"/>
        <v>187.10600000000005</v>
      </c>
      <c r="R192" s="128">
        <f t="shared" si="69"/>
        <v>187.10600000000005</v>
      </c>
      <c r="S192" s="128">
        <f t="shared" si="69"/>
        <v>187.10600000000005</v>
      </c>
      <c r="T192" s="128">
        <f t="shared" si="69"/>
        <v>187.10600000000005</v>
      </c>
      <c r="U192" s="128">
        <f t="shared" si="69"/>
        <v>187.10600000000005</v>
      </c>
      <c r="V192" s="128">
        <f t="shared" si="69"/>
        <v>187.10600000000005</v>
      </c>
      <c r="W192" s="128">
        <f t="shared" si="69"/>
        <v>187.10600000000005</v>
      </c>
      <c r="X192" s="128">
        <f t="shared" si="69"/>
        <v>187.10600000000005</v>
      </c>
      <c r="Y192" s="128">
        <f t="shared" si="69"/>
        <v>187.10600000000005</v>
      </c>
      <c r="Z192" s="128">
        <f t="shared" si="69"/>
        <v>187.10600000000005</v>
      </c>
      <c r="AA192" s="128">
        <f t="shared" si="69"/>
        <v>187.10600000000005</v>
      </c>
      <c r="AB192" s="128">
        <f t="shared" si="69"/>
        <v>187.10600000000005</v>
      </c>
      <c r="AC192" s="128">
        <f t="shared" si="69"/>
        <v>187.10600000000005</v>
      </c>
      <c r="AD192" s="128">
        <f t="shared" si="69"/>
        <v>187.10600000000005</v>
      </c>
      <c r="AE192" s="128">
        <f t="shared" si="69"/>
        <v>187.10600000000005</v>
      </c>
      <c r="AF192" s="128">
        <f t="shared" si="69"/>
        <v>187.10600000000005</v>
      </c>
      <c r="AG192" s="129">
        <f t="shared" si="69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70">AF194</f>
        <v>0.3</v>
      </c>
      <c r="C194" s="130">
        <v>0.3</v>
      </c>
      <c r="D194" s="130">
        <f t="shared" ref="D194:S199" si="71">C194</f>
        <v>0.3</v>
      </c>
      <c r="E194" s="130">
        <f t="shared" si="71"/>
        <v>0.3</v>
      </c>
      <c r="F194" s="130">
        <f t="shared" si="71"/>
        <v>0.3</v>
      </c>
      <c r="G194" s="130">
        <f t="shared" si="71"/>
        <v>0.3</v>
      </c>
      <c r="H194" s="130">
        <f t="shared" si="71"/>
        <v>0.3</v>
      </c>
      <c r="I194" s="130">
        <f t="shared" si="71"/>
        <v>0.3</v>
      </c>
      <c r="J194" s="130">
        <f t="shared" si="71"/>
        <v>0.3</v>
      </c>
      <c r="K194" s="130">
        <f t="shared" si="71"/>
        <v>0.3</v>
      </c>
      <c r="L194" s="130">
        <f t="shared" si="71"/>
        <v>0.3</v>
      </c>
      <c r="M194" s="130">
        <f t="shared" si="71"/>
        <v>0.3</v>
      </c>
      <c r="N194" s="130">
        <f t="shared" si="71"/>
        <v>0.3</v>
      </c>
      <c r="O194" s="130">
        <f t="shared" si="71"/>
        <v>0.3</v>
      </c>
      <c r="P194" s="130">
        <f t="shared" si="71"/>
        <v>0.3</v>
      </c>
      <c r="Q194" s="130">
        <f t="shared" si="71"/>
        <v>0.3</v>
      </c>
      <c r="R194" s="130">
        <f t="shared" si="71"/>
        <v>0.3</v>
      </c>
      <c r="S194" s="130">
        <f t="shared" si="71"/>
        <v>0.3</v>
      </c>
      <c r="T194" s="130">
        <f t="shared" ref="T194:AF199" si="72">S194</f>
        <v>0.3</v>
      </c>
      <c r="U194" s="130">
        <f t="shared" si="72"/>
        <v>0.3</v>
      </c>
      <c r="V194" s="130">
        <f t="shared" si="72"/>
        <v>0.3</v>
      </c>
      <c r="W194" s="130">
        <f t="shared" si="72"/>
        <v>0.3</v>
      </c>
      <c r="X194" s="130">
        <f t="shared" si="72"/>
        <v>0.3</v>
      </c>
      <c r="Y194" s="130">
        <f t="shared" si="72"/>
        <v>0.3</v>
      </c>
      <c r="Z194" s="130">
        <f t="shared" si="72"/>
        <v>0.3</v>
      </c>
      <c r="AA194" s="130">
        <f t="shared" si="72"/>
        <v>0.3</v>
      </c>
      <c r="AB194" s="130">
        <f t="shared" si="72"/>
        <v>0.3</v>
      </c>
      <c r="AC194" s="130">
        <f t="shared" si="72"/>
        <v>0.3</v>
      </c>
      <c r="AD194" s="130">
        <f t="shared" si="72"/>
        <v>0.3</v>
      </c>
      <c r="AE194" s="130">
        <f t="shared" si="72"/>
        <v>0.3</v>
      </c>
      <c r="AF194" s="130">
        <f t="shared" si="72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70"/>
        <v>0.4</v>
      </c>
      <c r="C195" s="123">
        <v>0.4</v>
      </c>
      <c r="D195" s="123">
        <f t="shared" si="71"/>
        <v>0.4</v>
      </c>
      <c r="E195" s="123">
        <f t="shared" si="71"/>
        <v>0.4</v>
      </c>
      <c r="F195" s="123">
        <f t="shared" si="71"/>
        <v>0.4</v>
      </c>
      <c r="G195" s="123">
        <f t="shared" si="71"/>
        <v>0.4</v>
      </c>
      <c r="H195" s="123">
        <f t="shared" si="71"/>
        <v>0.4</v>
      </c>
      <c r="I195" s="123">
        <f t="shared" si="71"/>
        <v>0.4</v>
      </c>
      <c r="J195" s="123">
        <f t="shared" si="71"/>
        <v>0.4</v>
      </c>
      <c r="K195" s="123">
        <f t="shared" si="71"/>
        <v>0.4</v>
      </c>
      <c r="L195" s="123">
        <f t="shared" si="71"/>
        <v>0.4</v>
      </c>
      <c r="M195" s="123">
        <f t="shared" si="71"/>
        <v>0.4</v>
      </c>
      <c r="N195" s="123">
        <f t="shared" si="71"/>
        <v>0.4</v>
      </c>
      <c r="O195" s="123">
        <f t="shared" si="71"/>
        <v>0.4</v>
      </c>
      <c r="P195" s="123">
        <f t="shared" si="71"/>
        <v>0.4</v>
      </c>
      <c r="Q195" s="123">
        <f t="shared" si="71"/>
        <v>0.4</v>
      </c>
      <c r="R195" s="123">
        <f t="shared" si="71"/>
        <v>0.4</v>
      </c>
      <c r="S195" s="123">
        <f t="shared" si="71"/>
        <v>0.4</v>
      </c>
      <c r="T195" s="123">
        <f t="shared" si="72"/>
        <v>0.4</v>
      </c>
      <c r="U195" s="123">
        <f t="shared" si="72"/>
        <v>0.4</v>
      </c>
      <c r="V195" s="123">
        <f t="shared" si="72"/>
        <v>0.4</v>
      </c>
      <c r="W195" s="123">
        <f>V195</f>
        <v>0.4</v>
      </c>
      <c r="X195" s="123">
        <f>W195</f>
        <v>0.4</v>
      </c>
      <c r="Y195" s="123">
        <f t="shared" si="72"/>
        <v>0.4</v>
      </c>
      <c r="Z195" s="123">
        <f t="shared" si="72"/>
        <v>0.4</v>
      </c>
      <c r="AA195" s="123">
        <f t="shared" si="72"/>
        <v>0.4</v>
      </c>
      <c r="AB195" s="123">
        <f t="shared" si="72"/>
        <v>0.4</v>
      </c>
      <c r="AC195" s="123">
        <f t="shared" si="72"/>
        <v>0.4</v>
      </c>
      <c r="AD195" s="123">
        <f t="shared" si="72"/>
        <v>0.4</v>
      </c>
      <c r="AE195" s="123">
        <f t="shared" si="72"/>
        <v>0.4</v>
      </c>
      <c r="AF195" s="123">
        <f t="shared" si="72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70"/>
        <v>1.5</v>
      </c>
      <c r="C196" s="123">
        <v>1.5</v>
      </c>
      <c r="D196" s="123">
        <f t="shared" si="71"/>
        <v>1.5</v>
      </c>
      <c r="E196" s="123">
        <f t="shared" si="71"/>
        <v>1.5</v>
      </c>
      <c r="F196" s="123">
        <f t="shared" si="71"/>
        <v>1.5</v>
      </c>
      <c r="G196" s="123">
        <f t="shared" si="71"/>
        <v>1.5</v>
      </c>
      <c r="H196" s="123">
        <f t="shared" si="71"/>
        <v>1.5</v>
      </c>
      <c r="I196" s="123">
        <f t="shared" si="71"/>
        <v>1.5</v>
      </c>
      <c r="J196" s="123">
        <f t="shared" si="71"/>
        <v>1.5</v>
      </c>
      <c r="K196" s="123">
        <f t="shared" si="71"/>
        <v>1.5</v>
      </c>
      <c r="L196" s="123">
        <f t="shared" si="71"/>
        <v>1.5</v>
      </c>
      <c r="M196" s="123">
        <f t="shared" si="71"/>
        <v>1.5</v>
      </c>
      <c r="N196" s="123">
        <f t="shared" si="71"/>
        <v>1.5</v>
      </c>
      <c r="O196" s="123">
        <f t="shared" si="71"/>
        <v>1.5</v>
      </c>
      <c r="P196" s="123">
        <f t="shared" si="71"/>
        <v>1.5</v>
      </c>
      <c r="Q196" s="123">
        <f t="shared" si="71"/>
        <v>1.5</v>
      </c>
      <c r="R196" s="123">
        <f t="shared" si="71"/>
        <v>1.5</v>
      </c>
      <c r="S196" s="123">
        <f t="shared" si="71"/>
        <v>1.5</v>
      </c>
      <c r="T196" s="123">
        <f t="shared" si="72"/>
        <v>1.5</v>
      </c>
      <c r="U196" s="123">
        <f t="shared" si="72"/>
        <v>1.5</v>
      </c>
      <c r="V196" s="123">
        <f t="shared" si="72"/>
        <v>1.5</v>
      </c>
      <c r="W196" s="123">
        <f t="shared" si="72"/>
        <v>1.5</v>
      </c>
      <c r="X196" s="123">
        <f t="shared" si="72"/>
        <v>1.5</v>
      </c>
      <c r="Y196" s="123">
        <f t="shared" si="72"/>
        <v>1.5</v>
      </c>
      <c r="Z196" s="123">
        <f t="shared" si="72"/>
        <v>1.5</v>
      </c>
      <c r="AA196" s="123">
        <f t="shared" si="72"/>
        <v>1.5</v>
      </c>
      <c r="AB196" s="123">
        <f t="shared" si="72"/>
        <v>1.5</v>
      </c>
      <c r="AC196" s="123">
        <f t="shared" si="72"/>
        <v>1.5</v>
      </c>
      <c r="AD196" s="123">
        <f t="shared" si="72"/>
        <v>1.5</v>
      </c>
      <c r="AE196" s="123">
        <f t="shared" si="72"/>
        <v>1.5</v>
      </c>
      <c r="AF196" s="123">
        <f t="shared" si="72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70"/>
        <v>0.3</v>
      </c>
      <c r="C197" s="123">
        <v>0.3</v>
      </c>
      <c r="D197" s="123">
        <f t="shared" si="71"/>
        <v>0.3</v>
      </c>
      <c r="E197" s="123">
        <f t="shared" si="71"/>
        <v>0.3</v>
      </c>
      <c r="F197" s="123">
        <f t="shared" si="71"/>
        <v>0.3</v>
      </c>
      <c r="G197" s="123">
        <f t="shared" si="71"/>
        <v>0.3</v>
      </c>
      <c r="H197" s="123">
        <f t="shared" si="71"/>
        <v>0.3</v>
      </c>
      <c r="I197" s="123">
        <f t="shared" si="71"/>
        <v>0.3</v>
      </c>
      <c r="J197" s="123">
        <f t="shared" si="71"/>
        <v>0.3</v>
      </c>
      <c r="K197" s="123">
        <f t="shared" si="71"/>
        <v>0.3</v>
      </c>
      <c r="L197" s="123">
        <f t="shared" si="71"/>
        <v>0.3</v>
      </c>
      <c r="M197" s="123">
        <f t="shared" si="71"/>
        <v>0.3</v>
      </c>
      <c r="N197" s="123">
        <f t="shared" si="71"/>
        <v>0.3</v>
      </c>
      <c r="O197" s="123">
        <f t="shared" si="71"/>
        <v>0.3</v>
      </c>
      <c r="P197" s="123">
        <f t="shared" si="71"/>
        <v>0.3</v>
      </c>
      <c r="Q197" s="123">
        <f t="shared" si="71"/>
        <v>0.3</v>
      </c>
      <c r="R197" s="123">
        <f t="shared" si="71"/>
        <v>0.3</v>
      </c>
      <c r="S197" s="123">
        <f t="shared" si="71"/>
        <v>0.3</v>
      </c>
      <c r="T197" s="123">
        <f t="shared" si="72"/>
        <v>0.3</v>
      </c>
      <c r="U197" s="123">
        <f t="shared" si="72"/>
        <v>0.3</v>
      </c>
      <c r="V197" s="123">
        <f t="shared" si="72"/>
        <v>0.3</v>
      </c>
      <c r="W197" s="123">
        <f t="shared" si="72"/>
        <v>0.3</v>
      </c>
      <c r="X197" s="123">
        <f t="shared" si="72"/>
        <v>0.3</v>
      </c>
      <c r="Y197" s="123">
        <f t="shared" si="72"/>
        <v>0.3</v>
      </c>
      <c r="Z197" s="123">
        <f t="shared" si="72"/>
        <v>0.3</v>
      </c>
      <c r="AA197" s="123">
        <f t="shared" si="72"/>
        <v>0.3</v>
      </c>
      <c r="AB197" s="123">
        <f t="shared" si="72"/>
        <v>0.3</v>
      </c>
      <c r="AC197" s="123">
        <f t="shared" si="72"/>
        <v>0.3</v>
      </c>
      <c r="AD197" s="123">
        <f t="shared" si="72"/>
        <v>0.3</v>
      </c>
      <c r="AE197" s="123">
        <f t="shared" si="72"/>
        <v>0.3</v>
      </c>
      <c r="AF197" s="123">
        <f t="shared" si="72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70"/>
        <v>0.4</v>
      </c>
      <c r="C198" s="123">
        <v>0.4</v>
      </c>
      <c r="D198" s="123">
        <f t="shared" si="71"/>
        <v>0.4</v>
      </c>
      <c r="E198" s="123">
        <f t="shared" si="71"/>
        <v>0.4</v>
      </c>
      <c r="F198" s="123">
        <f t="shared" si="71"/>
        <v>0.4</v>
      </c>
      <c r="G198" s="123">
        <f t="shared" si="71"/>
        <v>0.4</v>
      </c>
      <c r="H198" s="123">
        <f t="shared" si="71"/>
        <v>0.4</v>
      </c>
      <c r="I198" s="123">
        <f t="shared" si="71"/>
        <v>0.4</v>
      </c>
      <c r="J198" s="123">
        <f t="shared" si="71"/>
        <v>0.4</v>
      </c>
      <c r="K198" s="123">
        <f t="shared" si="71"/>
        <v>0.4</v>
      </c>
      <c r="L198" s="123">
        <f t="shared" si="71"/>
        <v>0.4</v>
      </c>
      <c r="M198" s="123">
        <f t="shared" si="71"/>
        <v>0.4</v>
      </c>
      <c r="N198" s="123">
        <f t="shared" si="71"/>
        <v>0.4</v>
      </c>
      <c r="O198" s="123">
        <f t="shared" si="71"/>
        <v>0.4</v>
      </c>
      <c r="P198" s="123">
        <f t="shared" si="71"/>
        <v>0.4</v>
      </c>
      <c r="Q198" s="123">
        <f t="shared" si="71"/>
        <v>0.4</v>
      </c>
      <c r="R198" s="123">
        <f t="shared" si="71"/>
        <v>0.4</v>
      </c>
      <c r="S198" s="123">
        <f t="shared" si="71"/>
        <v>0.4</v>
      </c>
      <c r="T198" s="123">
        <f t="shared" si="72"/>
        <v>0.4</v>
      </c>
      <c r="U198" s="123">
        <f t="shared" si="72"/>
        <v>0.4</v>
      </c>
      <c r="V198" s="123">
        <f t="shared" si="72"/>
        <v>0.4</v>
      </c>
      <c r="W198" s="123">
        <f t="shared" si="72"/>
        <v>0.4</v>
      </c>
      <c r="X198" s="123">
        <f t="shared" si="72"/>
        <v>0.4</v>
      </c>
      <c r="Y198" s="123">
        <f t="shared" si="72"/>
        <v>0.4</v>
      </c>
      <c r="Z198" s="123">
        <f t="shared" si="72"/>
        <v>0.4</v>
      </c>
      <c r="AA198" s="123">
        <f t="shared" si="72"/>
        <v>0.4</v>
      </c>
      <c r="AB198" s="123">
        <f t="shared" si="72"/>
        <v>0.4</v>
      </c>
      <c r="AC198" s="123">
        <f t="shared" si="72"/>
        <v>0.4</v>
      </c>
      <c r="AD198" s="123">
        <f t="shared" si="72"/>
        <v>0.4</v>
      </c>
      <c r="AE198" s="123">
        <f t="shared" si="72"/>
        <v>0.4</v>
      </c>
      <c r="AF198" s="123">
        <f t="shared" si="72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70"/>
        <v>0.64</v>
      </c>
      <c r="C199" s="133">
        <v>0.64</v>
      </c>
      <c r="D199" s="133">
        <f t="shared" si="71"/>
        <v>0.64</v>
      </c>
      <c r="E199" s="133">
        <f t="shared" si="71"/>
        <v>0.64</v>
      </c>
      <c r="F199" s="133">
        <f t="shared" si="71"/>
        <v>0.64</v>
      </c>
      <c r="G199" s="133">
        <f t="shared" si="71"/>
        <v>0.64</v>
      </c>
      <c r="H199" s="133">
        <f t="shared" si="71"/>
        <v>0.64</v>
      </c>
      <c r="I199" s="133">
        <f t="shared" si="71"/>
        <v>0.64</v>
      </c>
      <c r="J199" s="133">
        <f t="shared" si="71"/>
        <v>0.64</v>
      </c>
      <c r="K199" s="133">
        <f t="shared" si="71"/>
        <v>0.64</v>
      </c>
      <c r="L199" s="133">
        <f t="shared" si="71"/>
        <v>0.64</v>
      </c>
      <c r="M199" s="133">
        <f t="shared" si="71"/>
        <v>0.64</v>
      </c>
      <c r="N199" s="133">
        <f t="shared" si="71"/>
        <v>0.64</v>
      </c>
      <c r="O199" s="133">
        <f t="shared" si="71"/>
        <v>0.64</v>
      </c>
      <c r="P199" s="133">
        <f t="shared" si="71"/>
        <v>0.64</v>
      </c>
      <c r="Q199" s="133">
        <f t="shared" si="71"/>
        <v>0.64</v>
      </c>
      <c r="R199" s="133">
        <f t="shared" si="71"/>
        <v>0.64</v>
      </c>
      <c r="S199" s="133">
        <f t="shared" si="71"/>
        <v>0.64</v>
      </c>
      <c r="T199" s="133">
        <f t="shared" si="72"/>
        <v>0.64</v>
      </c>
      <c r="U199" s="133">
        <f t="shared" si="72"/>
        <v>0.64</v>
      </c>
      <c r="V199" s="133">
        <f t="shared" si="72"/>
        <v>0.64</v>
      </c>
      <c r="W199" s="133">
        <f t="shared" si="72"/>
        <v>0.64</v>
      </c>
      <c r="X199" s="133">
        <f t="shared" si="72"/>
        <v>0.64</v>
      </c>
      <c r="Y199" s="133">
        <f t="shared" si="72"/>
        <v>0.64</v>
      </c>
      <c r="Z199" s="133">
        <f t="shared" si="72"/>
        <v>0.64</v>
      </c>
      <c r="AA199" s="133">
        <f t="shared" si="72"/>
        <v>0.64</v>
      </c>
      <c r="AB199" s="133">
        <f t="shared" si="72"/>
        <v>0.64</v>
      </c>
      <c r="AC199" s="133">
        <f t="shared" si="72"/>
        <v>0.64</v>
      </c>
      <c r="AD199" s="133">
        <f t="shared" si="72"/>
        <v>0.64</v>
      </c>
      <c r="AE199" s="133">
        <f t="shared" si="72"/>
        <v>0.64</v>
      </c>
      <c r="AF199" s="133">
        <f t="shared" si="72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3">SUM(D194:D199)</f>
        <v>3.54</v>
      </c>
      <c r="E200" s="136">
        <f t="shared" si="73"/>
        <v>3.54</v>
      </c>
      <c r="F200" s="136">
        <f t="shared" si="73"/>
        <v>3.54</v>
      </c>
      <c r="G200" s="136">
        <f t="shared" si="73"/>
        <v>3.54</v>
      </c>
      <c r="H200" s="136">
        <f t="shared" si="73"/>
        <v>3.54</v>
      </c>
      <c r="I200" s="136">
        <f t="shared" si="73"/>
        <v>3.54</v>
      </c>
      <c r="J200" s="136">
        <f t="shared" si="73"/>
        <v>3.54</v>
      </c>
      <c r="K200" s="136">
        <f t="shared" si="73"/>
        <v>3.54</v>
      </c>
      <c r="L200" s="136">
        <f t="shared" si="73"/>
        <v>3.54</v>
      </c>
      <c r="M200" s="136">
        <f>SUM(M194:M199)</f>
        <v>3.54</v>
      </c>
      <c r="N200" s="136">
        <f t="shared" ref="N200:S200" si="74">SUM(N194:N199)</f>
        <v>3.54</v>
      </c>
      <c r="O200" s="136">
        <f t="shared" si="74"/>
        <v>3.54</v>
      </c>
      <c r="P200" s="136">
        <f t="shared" si="74"/>
        <v>3.54</v>
      </c>
      <c r="Q200" s="136">
        <f t="shared" si="74"/>
        <v>3.54</v>
      </c>
      <c r="R200" s="136">
        <f t="shared" si="74"/>
        <v>3.54</v>
      </c>
      <c r="S200" s="136">
        <f t="shared" si="74"/>
        <v>3.54</v>
      </c>
      <c r="T200" s="136">
        <f>SUM(T194:T199)</f>
        <v>3.54</v>
      </c>
      <c r="U200" s="136">
        <f t="shared" ref="U200:AG200" si="75">SUM(U194:U199)</f>
        <v>3.54</v>
      </c>
      <c r="V200" s="136">
        <f t="shared" si="75"/>
        <v>3.54</v>
      </c>
      <c r="W200" s="136">
        <f t="shared" si="75"/>
        <v>3.54</v>
      </c>
      <c r="X200" s="136">
        <f t="shared" si="75"/>
        <v>3.54</v>
      </c>
      <c r="Y200" s="136">
        <f t="shared" si="75"/>
        <v>3.54</v>
      </c>
      <c r="Z200" s="136">
        <f t="shared" si="75"/>
        <v>3.54</v>
      </c>
      <c r="AA200" s="136">
        <f t="shared" si="75"/>
        <v>3.54</v>
      </c>
      <c r="AB200" s="136">
        <f t="shared" si="75"/>
        <v>3.54</v>
      </c>
      <c r="AC200" s="136">
        <f t="shared" si="75"/>
        <v>3.54</v>
      </c>
      <c r="AD200" s="136">
        <f t="shared" si="75"/>
        <v>3.54</v>
      </c>
      <c r="AE200" s="136">
        <f t="shared" si="75"/>
        <v>3.54</v>
      </c>
      <c r="AF200" s="136">
        <f t="shared" si="75"/>
        <v>3.54</v>
      </c>
      <c r="AG200" s="137">
        <f t="shared" si="75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1679.4400000000003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6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2079/02/6)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2079/02/6)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6">B75</f>
        <v>1672.74</v>
      </c>
      <c r="U214" s="161">
        <f t="shared" si="76"/>
        <v>1715.14</v>
      </c>
      <c r="V214" s="161">
        <f t="shared" si="76"/>
        <v>1733.94</v>
      </c>
      <c r="W214" s="161">
        <f t="shared" si="76"/>
        <v>1702.04</v>
      </c>
      <c r="X214" s="161">
        <f t="shared" si="76"/>
        <v>1678.94</v>
      </c>
      <c r="Y214" s="161">
        <f t="shared" si="76"/>
        <v>1677.04</v>
      </c>
      <c r="Z214" s="161">
        <f t="shared" si="76"/>
        <v>1641.1399999999999</v>
      </c>
      <c r="AA214" s="161">
        <f t="shared" si="76"/>
        <v>1630.1399999999999</v>
      </c>
      <c r="AB214" s="161">
        <f t="shared" si="76"/>
        <v>1584.2400000000002</v>
      </c>
      <c r="AC214" s="161">
        <f t="shared" si="76"/>
        <v>1644.5400000000002</v>
      </c>
      <c r="AD214" s="161">
        <f t="shared" si="76"/>
        <v>1657.2400000000002</v>
      </c>
      <c r="AE214" s="161">
        <f t="shared" si="76"/>
        <v>1679.4400000000003</v>
      </c>
      <c r="AF214" s="161">
        <f t="shared" si="76"/>
        <v>1674.7399999999998</v>
      </c>
      <c r="AG214" s="161">
        <f t="shared" si="76"/>
        <v>1675.74</v>
      </c>
      <c r="AH214" s="161">
        <f t="shared" si="76"/>
        <v>1673.64</v>
      </c>
      <c r="AI214" s="161">
        <f t="shared" si="76"/>
        <v>1667.44</v>
      </c>
      <c r="AJ214" s="161">
        <f t="shared" si="76"/>
        <v>1714.64</v>
      </c>
      <c r="AK214" s="161">
        <f t="shared" si="76"/>
        <v>1712.74</v>
      </c>
      <c r="AL214" s="161">
        <f t="shared" si="76"/>
        <v>1717.3399999999997</v>
      </c>
      <c r="AM214" s="161">
        <f t="shared" si="76"/>
        <v>1711.6399999999999</v>
      </c>
      <c r="AN214" s="161">
        <f t="shared" si="76"/>
        <v>1707.24</v>
      </c>
      <c r="AO214" s="161">
        <f t="shared" si="76"/>
        <v>1638.1399999999999</v>
      </c>
      <c r="AP214" s="161">
        <f t="shared" si="76"/>
        <v>1560.6399999999999</v>
      </c>
      <c r="AQ214" s="161">
        <f t="shared" si="76"/>
        <v>1592.1399999999999</v>
      </c>
      <c r="AR214" s="161">
        <f t="shared" si="76"/>
        <v>1624.1399999999999</v>
      </c>
      <c r="AS214" s="161">
        <f t="shared" si="76"/>
        <v>1713.1399999999999</v>
      </c>
      <c r="AT214" s="161">
        <f t="shared" si="76"/>
        <v>1712.94</v>
      </c>
      <c r="AU214" s="161">
        <f t="shared" si="76"/>
        <v>1690.04</v>
      </c>
      <c r="AV214" s="161">
        <f t="shared" si="76"/>
        <v>1665.34</v>
      </c>
      <c r="AW214" s="161">
        <f t="shared" si="76"/>
        <v>1649.34</v>
      </c>
      <c r="AX214" s="161">
        <f t="shared" si="76"/>
        <v>1607.9399999999998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7">C199</f>
        <v>0.64</v>
      </c>
      <c r="C235" s="164">
        <f t="shared" si="77"/>
        <v>0.64</v>
      </c>
      <c r="D235" s="164">
        <f t="shared" si="77"/>
        <v>0.64</v>
      </c>
      <c r="E235" s="164">
        <f t="shared" si="77"/>
        <v>0.64</v>
      </c>
      <c r="F235" s="164">
        <f t="shared" si="77"/>
        <v>0.64</v>
      </c>
      <c r="G235" s="164">
        <f t="shared" si="77"/>
        <v>0.64</v>
      </c>
      <c r="H235" s="164">
        <f t="shared" si="77"/>
        <v>0.64</v>
      </c>
      <c r="I235" s="164">
        <f t="shared" si="77"/>
        <v>0.64</v>
      </c>
      <c r="J235" s="164">
        <f t="shared" si="77"/>
        <v>0.64</v>
      </c>
      <c r="K235" s="164">
        <f t="shared" si="77"/>
        <v>0.64</v>
      </c>
      <c r="L235" s="164">
        <f t="shared" si="77"/>
        <v>0.64</v>
      </c>
      <c r="M235" s="164">
        <f t="shared" si="77"/>
        <v>0.64</v>
      </c>
      <c r="N235" s="164">
        <f t="shared" si="77"/>
        <v>0.64</v>
      </c>
      <c r="O235" s="164">
        <f t="shared" si="77"/>
        <v>0.64</v>
      </c>
      <c r="P235" s="164">
        <f t="shared" si="77"/>
        <v>0.64</v>
      </c>
      <c r="Q235" s="164">
        <f t="shared" si="77"/>
        <v>0.64</v>
      </c>
      <c r="R235" s="164">
        <f t="shared" si="77"/>
        <v>0.64</v>
      </c>
      <c r="S235" s="164">
        <f t="shared" si="77"/>
        <v>0.64</v>
      </c>
      <c r="T235" s="164">
        <f t="shared" si="77"/>
        <v>0.64</v>
      </c>
      <c r="U235" s="164">
        <f t="shared" si="77"/>
        <v>0.64</v>
      </c>
      <c r="V235" s="164">
        <f t="shared" si="77"/>
        <v>0.64</v>
      </c>
      <c r="W235" s="164">
        <f t="shared" si="77"/>
        <v>0.64</v>
      </c>
      <c r="X235" s="164">
        <f t="shared" si="77"/>
        <v>0.64</v>
      </c>
      <c r="Y235" s="164">
        <f t="shared" si="77"/>
        <v>0.64</v>
      </c>
      <c r="Z235" s="164">
        <f t="shared" si="77"/>
        <v>0.64</v>
      </c>
      <c r="AA235" s="164">
        <f t="shared" si="77"/>
        <v>0.64</v>
      </c>
      <c r="AB235" s="164">
        <f t="shared" si="77"/>
        <v>0.64</v>
      </c>
      <c r="AC235" s="164">
        <f t="shared" si="77"/>
        <v>0.64</v>
      </c>
      <c r="AD235" s="164">
        <f t="shared" si="77"/>
        <v>0.64</v>
      </c>
      <c r="AE235" s="164">
        <f t="shared" si="77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78">IF(C203&lt;100,"",C203-520)</f>
        <v/>
      </c>
      <c r="D236" s="107" t="str">
        <f t="shared" si="78"/>
        <v/>
      </c>
      <c r="E236" s="107" t="str">
        <f t="shared" si="78"/>
        <v/>
      </c>
      <c r="F236" s="107" t="str">
        <f t="shared" si="78"/>
        <v/>
      </c>
      <c r="G236" s="107" t="str">
        <f t="shared" si="78"/>
        <v/>
      </c>
      <c r="H236" s="107" t="str">
        <f t="shared" si="78"/>
        <v/>
      </c>
      <c r="I236" s="107" t="str">
        <f t="shared" si="78"/>
        <v/>
      </c>
      <c r="J236" s="107" t="str">
        <f t="shared" si="78"/>
        <v/>
      </c>
      <c r="K236" s="107" t="str">
        <f t="shared" si="78"/>
        <v/>
      </c>
      <c r="L236" s="107" t="str">
        <f t="shared" si="78"/>
        <v/>
      </c>
      <c r="M236" s="107" t="str">
        <f t="shared" si="78"/>
        <v/>
      </c>
      <c r="N236" s="107" t="str">
        <f t="shared" si="78"/>
        <v/>
      </c>
      <c r="O236" s="107" t="str">
        <f t="shared" si="78"/>
        <v/>
      </c>
      <c r="P236" s="107" t="str">
        <f t="shared" si="78"/>
        <v/>
      </c>
      <c r="Q236" s="107" t="str">
        <f t="shared" si="78"/>
        <v/>
      </c>
      <c r="R236" s="107" t="str">
        <f t="shared" si="78"/>
        <v/>
      </c>
      <c r="S236" s="107" t="str">
        <f t="shared" si="78"/>
        <v/>
      </c>
      <c r="T236" s="107" t="str">
        <f t="shared" si="78"/>
        <v/>
      </c>
      <c r="U236" s="107" t="str">
        <f t="shared" si="78"/>
        <v/>
      </c>
      <c r="V236" s="107" t="str">
        <f t="shared" si="78"/>
        <v/>
      </c>
      <c r="W236" s="107" t="str">
        <f t="shared" si="78"/>
        <v/>
      </c>
      <c r="X236" s="107" t="str">
        <f t="shared" si="78"/>
        <v/>
      </c>
      <c r="Y236" s="107" t="str">
        <f t="shared" si="78"/>
        <v/>
      </c>
      <c r="Z236" s="107" t="str">
        <f t="shared" si="78"/>
        <v/>
      </c>
      <c r="AA236" s="107" t="str">
        <f t="shared" si="78"/>
        <v/>
      </c>
      <c r="AB236" s="107" t="str">
        <f t="shared" si="78"/>
        <v/>
      </c>
      <c r="AC236" s="107" t="str">
        <f t="shared" si="78"/>
        <v/>
      </c>
      <c r="AD236" s="107" t="str">
        <f t="shared" si="78"/>
        <v/>
      </c>
      <c r="AE236" s="107" t="str">
        <f t="shared" si="78"/>
        <v/>
      </c>
      <c r="AF236" s="107" t="str">
        <f t="shared" si="78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79">IF(B204&lt;100,"",B204-620)</f>
        <v/>
      </c>
      <c r="C237" s="107" t="str">
        <f t="shared" si="79"/>
        <v/>
      </c>
      <c r="D237" s="107" t="str">
        <f t="shared" si="79"/>
        <v/>
      </c>
      <c r="E237" s="107" t="str">
        <f t="shared" si="79"/>
        <v/>
      </c>
      <c r="F237" s="107" t="str">
        <f t="shared" si="79"/>
        <v/>
      </c>
      <c r="G237" s="107" t="str">
        <f t="shared" si="79"/>
        <v/>
      </c>
      <c r="H237" s="107" t="str">
        <f t="shared" si="79"/>
        <v/>
      </c>
      <c r="I237" s="107" t="str">
        <f t="shared" si="79"/>
        <v/>
      </c>
      <c r="J237" s="107" t="str">
        <f t="shared" si="79"/>
        <v/>
      </c>
      <c r="K237" s="107" t="str">
        <f t="shared" si="79"/>
        <v/>
      </c>
      <c r="L237" s="107" t="str">
        <f t="shared" si="79"/>
        <v/>
      </c>
      <c r="M237" s="107" t="str">
        <f t="shared" si="79"/>
        <v/>
      </c>
      <c r="N237" s="107" t="str">
        <f t="shared" si="79"/>
        <v/>
      </c>
      <c r="O237" s="107" t="str">
        <f t="shared" si="79"/>
        <v/>
      </c>
      <c r="P237" s="107" t="str">
        <f t="shared" si="79"/>
        <v/>
      </c>
      <c r="Q237" s="107" t="str">
        <f t="shared" si="79"/>
        <v/>
      </c>
      <c r="R237" s="107" t="str">
        <f t="shared" si="79"/>
        <v/>
      </c>
      <c r="S237" s="107" t="str">
        <f t="shared" si="79"/>
        <v/>
      </c>
      <c r="T237" s="107" t="str">
        <f t="shared" si="79"/>
        <v/>
      </c>
      <c r="U237" s="107" t="str">
        <f t="shared" si="79"/>
        <v/>
      </c>
      <c r="V237" s="107" t="str">
        <f t="shared" si="79"/>
        <v/>
      </c>
      <c r="W237" s="107" t="str">
        <f t="shared" si="79"/>
        <v/>
      </c>
      <c r="X237" s="107" t="str">
        <f t="shared" si="79"/>
        <v/>
      </c>
      <c r="Y237" s="107" t="str">
        <f t="shared" si="79"/>
        <v/>
      </c>
      <c r="Z237" s="107" t="str">
        <f t="shared" si="79"/>
        <v/>
      </c>
      <c r="AA237" s="107" t="str">
        <f t="shared" si="79"/>
        <v/>
      </c>
      <c r="AB237" s="107" t="str">
        <f t="shared" si="79"/>
        <v/>
      </c>
      <c r="AC237" s="107" t="str">
        <f t="shared" si="79"/>
        <v/>
      </c>
      <c r="AD237" s="107" t="str">
        <f t="shared" si="79"/>
        <v/>
      </c>
      <c r="AE237" s="107" t="str">
        <f t="shared" si="79"/>
        <v/>
      </c>
      <c r="AF237" s="107" t="str">
        <f t="shared" si="79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80">IF(B205&lt;100,"",B205-330)</f>
        <v/>
      </c>
      <c r="C238" s="107" t="str">
        <f t="shared" si="80"/>
        <v/>
      </c>
      <c r="D238" s="107" t="str">
        <f t="shared" si="80"/>
        <v/>
      </c>
      <c r="E238" s="107" t="str">
        <f t="shared" si="80"/>
        <v/>
      </c>
      <c r="F238" s="107" t="str">
        <f t="shared" si="80"/>
        <v/>
      </c>
      <c r="G238" s="107" t="str">
        <f t="shared" si="80"/>
        <v/>
      </c>
      <c r="H238" s="107" t="str">
        <f t="shared" si="80"/>
        <v/>
      </c>
      <c r="I238" s="107" t="str">
        <f t="shared" si="80"/>
        <v/>
      </c>
      <c r="J238" s="107" t="str">
        <f t="shared" si="80"/>
        <v/>
      </c>
      <c r="K238" s="107" t="str">
        <f t="shared" si="80"/>
        <v/>
      </c>
      <c r="L238" s="107" t="str">
        <f t="shared" si="80"/>
        <v/>
      </c>
      <c r="M238" s="107" t="str">
        <f t="shared" si="80"/>
        <v/>
      </c>
      <c r="N238" s="107" t="str">
        <f t="shared" si="80"/>
        <v/>
      </c>
      <c r="O238" s="107" t="str">
        <f t="shared" si="80"/>
        <v/>
      </c>
      <c r="P238" s="107" t="str">
        <f t="shared" si="80"/>
        <v/>
      </c>
      <c r="Q238" s="107" t="str">
        <f t="shared" si="80"/>
        <v/>
      </c>
      <c r="R238" s="107" t="str">
        <f t="shared" si="80"/>
        <v/>
      </c>
      <c r="S238" s="107" t="str">
        <f t="shared" si="80"/>
        <v/>
      </c>
      <c r="T238" s="107" t="str">
        <f t="shared" si="80"/>
        <v/>
      </c>
      <c r="U238" s="107" t="str">
        <f t="shared" si="80"/>
        <v/>
      </c>
      <c r="V238" s="107" t="str">
        <f t="shared" si="80"/>
        <v/>
      </c>
      <c r="W238" s="107" t="str">
        <f t="shared" si="80"/>
        <v/>
      </c>
      <c r="X238" s="107" t="str">
        <f t="shared" si="80"/>
        <v/>
      </c>
      <c r="Y238" s="107" t="str">
        <f t="shared" si="80"/>
        <v/>
      </c>
      <c r="Z238" s="107" t="str">
        <f t="shared" si="80"/>
        <v/>
      </c>
      <c r="AA238" s="107" t="str">
        <f t="shared" si="80"/>
        <v/>
      </c>
      <c r="AB238" s="107" t="str">
        <f t="shared" si="80"/>
        <v/>
      </c>
      <c r="AC238" s="107" t="str">
        <f t="shared" si="80"/>
        <v/>
      </c>
      <c r="AD238" s="107" t="str">
        <f t="shared" si="80"/>
        <v/>
      </c>
      <c r="AE238" s="107" t="str">
        <f t="shared" si="80"/>
        <v/>
      </c>
      <c r="AF238" s="107" t="str">
        <f t="shared" si="80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1">IF(C206&lt;100,"",C206-1500)</f>
        <v/>
      </c>
      <c r="D239" s="107" t="str">
        <f t="shared" si="81"/>
        <v/>
      </c>
      <c r="E239" s="107" t="str">
        <f t="shared" si="81"/>
        <v/>
      </c>
      <c r="F239" s="107" t="str">
        <f t="shared" si="81"/>
        <v/>
      </c>
      <c r="G239" s="107" t="str">
        <f t="shared" si="81"/>
        <v/>
      </c>
      <c r="H239" s="107" t="str">
        <f t="shared" si="81"/>
        <v/>
      </c>
      <c r="I239" s="107" t="str">
        <f t="shared" si="81"/>
        <v/>
      </c>
      <c r="J239" s="107" t="str">
        <f t="shared" si="81"/>
        <v/>
      </c>
      <c r="K239" s="107" t="str">
        <f t="shared" si="81"/>
        <v/>
      </c>
      <c r="L239" s="107" t="str">
        <f t="shared" si="81"/>
        <v/>
      </c>
      <c r="M239" s="107" t="str">
        <f t="shared" si="81"/>
        <v/>
      </c>
      <c r="N239" s="107" t="str">
        <f t="shared" si="81"/>
        <v/>
      </c>
      <c r="O239" s="107" t="str">
        <f t="shared" si="81"/>
        <v/>
      </c>
      <c r="P239" s="107" t="str">
        <f t="shared" si="81"/>
        <v/>
      </c>
      <c r="Q239" s="107" t="str">
        <f t="shared" si="81"/>
        <v/>
      </c>
      <c r="R239" s="107" t="str">
        <f t="shared" si="81"/>
        <v/>
      </c>
      <c r="S239" s="107" t="str">
        <f t="shared" si="81"/>
        <v/>
      </c>
      <c r="T239" s="107" t="str">
        <f t="shared" si="81"/>
        <v/>
      </c>
      <c r="U239" s="107" t="str">
        <f t="shared" si="81"/>
        <v/>
      </c>
      <c r="V239" s="107" t="str">
        <f t="shared" si="81"/>
        <v/>
      </c>
      <c r="W239" s="107" t="str">
        <f t="shared" si="81"/>
        <v/>
      </c>
      <c r="X239" s="107" t="str">
        <f t="shared" si="81"/>
        <v/>
      </c>
      <c r="Y239" s="107" t="str">
        <f t="shared" si="81"/>
        <v/>
      </c>
      <c r="Z239" s="107" t="str">
        <f t="shared" si="81"/>
        <v/>
      </c>
      <c r="AA239" s="107" t="str">
        <f t="shared" si="81"/>
        <v/>
      </c>
      <c r="AB239" s="107" t="str">
        <f t="shared" si="81"/>
        <v/>
      </c>
      <c r="AC239" s="107" t="str">
        <f t="shared" si="81"/>
        <v/>
      </c>
      <c r="AD239" s="107" t="str">
        <f t="shared" si="81"/>
        <v/>
      </c>
      <c r="AE239" s="107" t="str">
        <f t="shared" si="81"/>
        <v/>
      </c>
      <c r="AF239" s="107" t="str">
        <f t="shared" si="81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W11:AF11">
    <cfRule type="expression" dxfId="5723" priority="304">
      <formula>B$9&gt;=20/24</formula>
    </cfRule>
    <cfRule type="expression" dxfId="5722" priority="305">
      <formula>AND(B$9&gt;=14/24,B$9&lt;20/24)</formula>
    </cfRule>
    <cfRule type="expression" dxfId="5721" priority="306">
      <formula>AND(B$9&gt;=8/24,B$9&lt;14/24)</formula>
    </cfRule>
    <cfRule type="expression" dxfId="5720" priority="307">
      <formula>B$9&lt;8/24</formula>
    </cfRule>
  </conditionalFormatting>
  <conditionalFormatting sqref="AL4:AL6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5719" priority="299">
      <formula>AB$9&gt;=20/24</formula>
    </cfRule>
    <cfRule type="expression" dxfId="5718" priority="300">
      <formula>AND(AB$9&gt;=14/24,AB$9&lt;20/24)</formula>
    </cfRule>
    <cfRule type="expression" dxfId="5717" priority="301">
      <formula>AND(AB$9&gt;=8/24,AB$9&lt;14/24)</formula>
    </cfRule>
    <cfRule type="expression" dxfId="5716" priority="302">
      <formula>AB$9&lt;8/24</formula>
    </cfRule>
  </conditionalFormatting>
  <conditionalFormatting sqref="AG51 AB37:AF37 K11:AF11">
    <cfRule type="expression" dxfId="5715" priority="298">
      <formula>K11&gt;$AG11</formula>
    </cfRule>
  </conditionalFormatting>
  <conditionalFormatting sqref="A101:A157 A84:A97 A11:A14 A16:A32 A45:A72 A80:A82 A74:A78 A35:A43 A170:A200">
    <cfRule type="expression" dxfId="5714" priority="297">
      <formula>$AH11=0</formula>
    </cfRule>
  </conditionalFormatting>
  <conditionalFormatting sqref="A98">
    <cfRule type="expression" dxfId="5713" priority="296">
      <formula>$AH98=0</formula>
    </cfRule>
  </conditionalFormatting>
  <conditionalFormatting sqref="AL32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712" priority="294">
      <formula>$AH34=0</formula>
    </cfRule>
  </conditionalFormatting>
  <conditionalFormatting sqref="A83">
    <cfRule type="expression" dxfId="5711" priority="293">
      <formula>$AH83=0</formula>
    </cfRule>
  </conditionalFormatting>
  <conditionalFormatting sqref="A15">
    <cfRule type="expression" dxfId="5710" priority="292">
      <formula>$AH15=0</formula>
    </cfRule>
  </conditionalFormatting>
  <conditionalFormatting sqref="A164:A169">
    <cfRule type="expression" dxfId="5709" priority="291">
      <formula>$AH164=0</formula>
    </cfRule>
  </conditionalFormatting>
  <conditionalFormatting sqref="A158:A163">
    <cfRule type="expression" dxfId="5708" priority="290">
      <formula>$AH158=0</formula>
    </cfRule>
  </conditionalFormatting>
  <conditionalFormatting sqref="A44">
    <cfRule type="expression" dxfId="5707" priority="289">
      <formula>$AH44=0</formula>
    </cfRule>
  </conditionalFormatting>
  <conditionalFormatting sqref="A79">
    <cfRule type="expression" dxfId="5706" priority="288">
      <formula>$AH79=0</formula>
    </cfRule>
  </conditionalFormatting>
  <conditionalFormatting sqref="A73">
    <cfRule type="expression" dxfId="5705" priority="287">
      <formula>$AH73=0</formula>
    </cfRule>
  </conditionalFormatting>
  <conditionalFormatting sqref="AL34:AL35 AL7:AL31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704" priority="283">
      <formula>C$9&gt;=20/24</formula>
    </cfRule>
    <cfRule type="expression" dxfId="5703" priority="284">
      <formula>AND(C$9&gt;=14/24,C$9&lt;20/24)</formula>
    </cfRule>
    <cfRule type="expression" dxfId="5702" priority="285">
      <formula>AND(C$9&gt;=8/24,C$9&lt;14/24)</formula>
    </cfRule>
    <cfRule type="expression" dxfId="5701" priority="286">
      <formula>C$9&lt;8/24</formula>
    </cfRule>
  </conditionalFormatting>
  <conditionalFormatting sqref="AL33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00" priority="311">
      <formula>C$9&gt;=20/24</formula>
    </cfRule>
    <cfRule type="expression" dxfId="5699" priority="312">
      <formula>AND(C$9&gt;=14/24,C$9&lt;20/24)</formula>
    </cfRule>
    <cfRule type="expression" dxfId="5698" priority="313">
      <formula>AND(C$9&gt;=8/24,C$9&lt;14/24)</formula>
    </cfRule>
    <cfRule type="expression" dxfId="5697" priority="314">
      <formula>C$9&lt;8/24</formula>
    </cfRule>
  </conditionalFormatting>
  <conditionalFormatting sqref="A201">
    <cfRule type="expression" dxfId="5696" priority="315">
      <formula>$AH201=0</formula>
    </cfRule>
  </conditionalFormatting>
  <conditionalFormatting sqref="AG213">
    <cfRule type="expression" dxfId="5695" priority="316">
      <formula>B$9&gt;=20/24</formula>
    </cfRule>
    <cfRule type="expression" dxfId="5694" priority="317">
      <formula>AND(B$9&gt;=14/24,B$9&lt;20/24)</formula>
    </cfRule>
    <cfRule type="expression" dxfId="5693" priority="318">
      <formula>AND(B$9&gt;=8/24,B$9&lt;14/24)</formula>
    </cfRule>
    <cfRule type="expression" dxfId="5692" priority="319">
      <formula>B$9&lt;8/24</formula>
    </cfRule>
  </conditionalFormatting>
  <conditionalFormatting sqref="S8">
    <cfRule type="expression" dxfId="5691" priority="278">
      <formula>U$9&gt;=20/24</formula>
    </cfRule>
    <cfRule type="expression" dxfId="5690" priority="279">
      <formula>AND(U$9&gt;=14/24,U$9&lt;20/24)</formula>
    </cfRule>
    <cfRule type="expression" dxfId="5689" priority="280">
      <formula>AND(U$9&gt;=8/24,U$9&lt;14/24)</formula>
    </cfRule>
    <cfRule type="expression" dxfId="5688" priority="281">
      <formula>U$9&lt;8/24</formula>
    </cfRule>
  </conditionalFormatting>
  <conditionalFormatting sqref="AB8">
    <cfRule type="expression" dxfId="5687" priority="274">
      <formula>AD$9&gt;=20/24</formula>
    </cfRule>
    <cfRule type="expression" dxfId="5686" priority="275">
      <formula>AND(AD$9&gt;=14/24,AD$9&lt;20/24)</formula>
    </cfRule>
    <cfRule type="expression" dxfId="5685" priority="276">
      <formula>AND(AD$9&gt;=8/24,AD$9&lt;14/24)</formula>
    </cfRule>
    <cfRule type="expression" dxfId="5684" priority="277">
      <formula>AD$9&lt;8/24</formula>
    </cfRule>
  </conditionalFormatting>
  <conditionalFormatting sqref="AH213:AX213">
    <cfRule type="expression" dxfId="5683" priority="320">
      <formula>AG$9&gt;=20/24</formula>
    </cfRule>
    <cfRule type="expression" dxfId="5682" priority="321">
      <formula>AND(AG$9&gt;=14/24,AG$9&lt;20/24)</formula>
    </cfRule>
    <cfRule type="expression" dxfId="5681" priority="322">
      <formula>AND(AG$9&gt;=8/24,AG$9&lt;14/24)</formula>
    </cfRule>
    <cfRule type="expression" dxfId="5680" priority="323">
      <formula>AG$9&lt;8/24</formula>
    </cfRule>
  </conditionalFormatting>
  <conditionalFormatting sqref="T213">
    <cfRule type="expression" dxfId="5679" priority="324">
      <formula>AX$9&gt;=20/24</formula>
    </cfRule>
    <cfRule type="expression" dxfId="5678" priority="325">
      <formula>AND(AX$9&gt;=14/24,AX$9&lt;20/24)</formula>
    </cfRule>
    <cfRule type="expression" dxfId="5677" priority="326">
      <formula>AND(AX$9&gt;=8/24,AX$9&lt;14/24)</formula>
    </cfRule>
    <cfRule type="expression" dxfId="5676" priority="327">
      <formula>AX$9&lt;8/24</formula>
    </cfRule>
  </conditionalFormatting>
  <conditionalFormatting sqref="A99:A100">
    <cfRule type="expression" dxfId="5675" priority="273">
      <formula>$AH99=0</formula>
    </cfRule>
  </conditionalFormatting>
  <conditionalFormatting sqref="E11:J11 E40:M41 T40:W41 Y40:AF41 C57:AF57">
    <cfRule type="expression" dxfId="5674" priority="269">
      <formula>C$9&gt;=20/24</formula>
    </cfRule>
    <cfRule type="expression" dxfId="5673" priority="270">
      <formula>AND(C$9&gt;=14/24,C$9&lt;20/24)</formula>
    </cfRule>
    <cfRule type="expression" dxfId="5672" priority="271">
      <formula>AND(C$9&gt;=8/24,C$9&lt;14/24)</formula>
    </cfRule>
    <cfRule type="expression" dxfId="5671" priority="272">
      <formula>C$9&lt;8/24</formula>
    </cfRule>
  </conditionalFormatting>
  <conditionalFormatting sqref="E39:M39 T39:W39 Y39:AF39">
    <cfRule type="expression" dxfId="5670" priority="265">
      <formula>E$9&gt;=20/24</formula>
    </cfRule>
    <cfRule type="expression" dxfId="5669" priority="266">
      <formula>AND(E$9&gt;=14/24,E$9&lt;20/24)</formula>
    </cfRule>
    <cfRule type="expression" dxfId="5668" priority="267">
      <formula>AND(E$9&gt;=8/24,E$9&lt;14/24)</formula>
    </cfRule>
    <cfRule type="expression" dxfId="5667" priority="268">
      <formula>E$9&lt;8/24</formula>
    </cfRule>
  </conditionalFormatting>
  <conditionalFormatting sqref="E11:J11 E39:M41 T39:W41 Y39:AF41">
    <cfRule type="expression" dxfId="5666" priority="264">
      <formula>E11&gt;$AG11</formula>
    </cfRule>
  </conditionalFormatting>
  <conditionalFormatting sqref="C81:AF81 C69:AF72 M64:M66 C64:C67 C60:M63 D67:M67 C58:AB59 N11:Q13 N18:O18 Q14 R11:V14 C85:AF91 N60:AB67 C53:AF56 P18:AF19 W12:AF14 AC58:AF67 N16:AF16">
    <cfRule type="expression" dxfId="5665" priority="260">
      <formula>C$9&gt;=20/24</formula>
    </cfRule>
    <cfRule type="expression" dxfId="5664" priority="261">
      <formula>AND(C$9&gt;=14/24,C$9&lt;20/24)</formula>
    </cfRule>
    <cfRule type="expression" dxfId="5663" priority="262">
      <formula>AND(C$9&gt;=8/24,C$9&lt;14/24)</formula>
    </cfRule>
    <cfRule type="expression" dxfId="5662" priority="263">
      <formula>C$9&lt;8/24</formula>
    </cfRule>
  </conditionalFormatting>
  <conditionalFormatting sqref="C51:AF51 E42:I43 J42:L44 N11:Q13 N18:O18 Q14 N15:Q16 R11:V16 E37:AA37 C53:AF56 P18:AF19 AB42:AF43 W12:AF16">
    <cfRule type="expression" dxfId="5661" priority="251">
      <formula>C11&gt;$AG11</formula>
    </cfRule>
  </conditionalFormatting>
  <conditionalFormatting sqref="N15:AF15">
    <cfRule type="expression" dxfId="5660" priority="243">
      <formula>N$9&gt;=20/24</formula>
    </cfRule>
    <cfRule type="expression" dxfId="5659" priority="244">
      <formula>AND(N$9&gt;=14/24,N$9&lt;20/24)</formula>
    </cfRule>
    <cfRule type="expression" dxfId="5658" priority="245">
      <formula>AND(N$9&gt;=8/24,N$9&lt;14/24)</formula>
    </cfRule>
    <cfRule type="expression" dxfId="5657" priority="246">
      <formula>N$9&lt;8/24</formula>
    </cfRule>
  </conditionalFormatting>
  <conditionalFormatting sqref="X42:AA43 AB44:AF44">
    <cfRule type="expression" dxfId="5656" priority="230">
      <formula>X$9&gt;=20/24</formula>
    </cfRule>
    <cfRule type="expression" dxfId="5655" priority="231">
      <formula>AND(X$9&gt;=14/24,X$9&lt;20/24)</formula>
    </cfRule>
    <cfRule type="expression" dxfId="5654" priority="232">
      <formula>AND(X$9&gt;=8/24,X$9&lt;14/24)</formula>
    </cfRule>
    <cfRule type="expression" dxfId="5653" priority="233">
      <formula>X$9&lt;8/24</formula>
    </cfRule>
  </conditionalFormatting>
  <conditionalFormatting sqref="X42:AA43 AB44:AF44">
    <cfRule type="expression" dxfId="5652" priority="229">
      <formula>X42&gt;$AG42</formula>
    </cfRule>
  </conditionalFormatting>
  <conditionalFormatting sqref="N39:R43 Q44:R48 S39:S48 T42:W45 X44:AA45 AB45:AD45 T46:AD50 AE45:AF50">
    <cfRule type="expression" dxfId="5651" priority="225">
      <formula>N$9&gt;=20/24</formula>
    </cfRule>
    <cfRule type="expression" dxfId="5650" priority="226">
      <formula>AND(N$9&gt;=14/24,N$9&lt;20/24)</formula>
    </cfRule>
    <cfRule type="expression" dxfId="5649" priority="227">
      <formula>AND(N$9&gt;=8/24,N$9&lt;14/24)</formula>
    </cfRule>
    <cfRule type="expression" dxfId="5648" priority="228">
      <formula>N$9&lt;8/24</formula>
    </cfRule>
  </conditionalFormatting>
  <conditionalFormatting sqref="N39:R43 Q44:R48 S39:S48 T42:W45 X44:AA45 AB45:AD45 T46:AD50 AE45:AF50">
    <cfRule type="expression" dxfId="5647" priority="224">
      <formula>N39&gt;$AG39</formula>
    </cfRule>
  </conditionalFormatting>
  <conditionalFormatting sqref="N17:AF17 L26:AF26">
    <cfRule type="expression" dxfId="5646" priority="216">
      <formula>L$9&gt;=20/24</formula>
    </cfRule>
    <cfRule type="expression" dxfId="5645" priority="217">
      <formula>AND(L$9&gt;=14/24,L$9&lt;20/24)</formula>
    </cfRule>
    <cfRule type="expression" dxfId="5644" priority="218">
      <formula>AND(L$9&gt;=8/24,L$9&lt;14/24)</formula>
    </cfRule>
    <cfRule type="expression" dxfId="5643" priority="219">
      <formula>L$9&lt;8/24</formula>
    </cfRule>
  </conditionalFormatting>
  <conditionalFormatting sqref="N17:AF17 L26:AF26">
    <cfRule type="expression" dxfId="5642" priority="207">
      <formula>L17&gt;$AG17</formula>
    </cfRule>
  </conditionalFormatting>
  <conditionalFormatting sqref="D40:D41">
    <cfRule type="expression" dxfId="5641" priority="190">
      <formula>D$9&gt;=20/24</formula>
    </cfRule>
    <cfRule type="expression" dxfId="5640" priority="191">
      <formula>AND(D$9&gt;=14/24,D$9&lt;20/24)</formula>
    </cfRule>
    <cfRule type="expression" dxfId="5639" priority="192">
      <formula>AND(D$9&gt;=8/24,D$9&lt;14/24)</formula>
    </cfRule>
    <cfRule type="expression" dxfId="5638" priority="193">
      <formula>D$9&lt;8/24</formula>
    </cfRule>
  </conditionalFormatting>
  <conditionalFormatting sqref="D39">
    <cfRule type="expression" dxfId="5637" priority="186">
      <formula>D$9&gt;=20/24</formula>
    </cfRule>
    <cfRule type="expression" dxfId="5636" priority="187">
      <formula>AND(D$9&gt;=14/24,D$9&lt;20/24)</formula>
    </cfRule>
    <cfRule type="expression" dxfId="5635" priority="188">
      <formula>AND(D$9&gt;=8/24,D$9&lt;14/24)</formula>
    </cfRule>
    <cfRule type="expression" dxfId="5634" priority="189">
      <formula>D$9&lt;8/24</formula>
    </cfRule>
  </conditionalFormatting>
  <conditionalFormatting sqref="D39:D41">
    <cfRule type="expression" dxfId="5633" priority="185">
      <formula>D39&gt;$AG39</formula>
    </cfRule>
  </conditionalFormatting>
  <conditionalFormatting sqref="D64:L66">
    <cfRule type="expression" dxfId="5632" priority="181">
      <formula>D$9&gt;=20/24</formula>
    </cfRule>
    <cfRule type="expression" dxfId="5631" priority="182">
      <formula>AND(D$9&gt;=14/24,D$9&lt;20/24)</formula>
    </cfRule>
    <cfRule type="expression" dxfId="5630" priority="183">
      <formula>AND(D$9&gt;=8/24,D$9&lt;14/24)</formula>
    </cfRule>
    <cfRule type="expression" dxfId="5629" priority="184">
      <formula>D$9&lt;8/24</formula>
    </cfRule>
  </conditionalFormatting>
  <conditionalFormatting sqref="D42:D43">
    <cfRule type="expression" dxfId="5628" priority="180">
      <formula>D42&gt;$AG42</formula>
    </cfRule>
  </conditionalFormatting>
  <conditionalFormatting sqref="D44:I50 J45:L45 J46:P50 Q49:S50">
    <cfRule type="expression" dxfId="5627" priority="176">
      <formula>D$9&gt;=20/24</formula>
    </cfRule>
    <cfRule type="expression" dxfId="5626" priority="177">
      <formula>AND(D$9&gt;=14/24,D$9&lt;20/24)</formula>
    </cfRule>
    <cfRule type="expression" dxfId="5625" priority="178">
      <formula>AND(D$9&gt;=8/24,D$9&lt;14/24)</formula>
    </cfRule>
    <cfRule type="expression" dxfId="5624" priority="179">
      <formula>D$9&lt;8/24</formula>
    </cfRule>
  </conditionalFormatting>
  <conditionalFormatting sqref="D44:I50 J45:L45 J46:P50 Q49:S50">
    <cfRule type="expression" dxfId="5623" priority="175">
      <formula>D44&gt;$AG44</formula>
    </cfRule>
  </conditionalFormatting>
  <conditionalFormatting sqref="X40:X41">
    <cfRule type="expression" dxfId="5622" priority="171">
      <formula>X$9&gt;=20/24</formula>
    </cfRule>
    <cfRule type="expression" dxfId="5621" priority="172">
      <formula>AND(X$9&gt;=14/24,X$9&lt;20/24)</formula>
    </cfRule>
    <cfRule type="expression" dxfId="5620" priority="173">
      <formula>AND(X$9&gt;=8/24,X$9&lt;14/24)</formula>
    </cfRule>
    <cfRule type="expression" dxfId="5619" priority="174">
      <formula>X$9&lt;8/24</formula>
    </cfRule>
  </conditionalFormatting>
  <conditionalFormatting sqref="X39">
    <cfRule type="expression" dxfId="5618" priority="167">
      <formula>X$9&gt;=20/24</formula>
    </cfRule>
    <cfRule type="expression" dxfId="5617" priority="168">
      <formula>AND(X$9&gt;=14/24,X$9&lt;20/24)</formula>
    </cfRule>
    <cfRule type="expression" dxfId="5616" priority="169">
      <formula>AND(X$9&gt;=8/24,X$9&lt;14/24)</formula>
    </cfRule>
    <cfRule type="expression" dxfId="5615" priority="170">
      <formula>X$9&lt;8/24</formula>
    </cfRule>
  </conditionalFormatting>
  <conditionalFormatting sqref="X39:X41">
    <cfRule type="expression" dxfId="5614" priority="166">
      <formula>X39&gt;$AG39</formula>
    </cfRule>
  </conditionalFormatting>
  <conditionalFormatting sqref="C74:AF74 C82:AF82">
    <cfRule type="expression" dxfId="5613" priority="162">
      <formula>C$9&gt;=20/24</formula>
    </cfRule>
    <cfRule type="expression" dxfId="5612" priority="163">
      <formula>AND(C$9&gt;=14/24,C$9&lt;20/24)</formula>
    </cfRule>
    <cfRule type="expression" dxfId="5611" priority="164">
      <formula>AND(C$9&gt;=8/24,C$9&lt;14/24)</formula>
    </cfRule>
    <cfRule type="expression" dxfId="5610" priority="165">
      <formula>C$9&lt;8/24</formula>
    </cfRule>
  </conditionalFormatting>
  <conditionalFormatting sqref="B82 B74">
    <cfRule type="expression" dxfId="5609" priority="51">
      <formula>B$9&gt;=20/24</formula>
    </cfRule>
    <cfRule type="expression" dxfId="5608" priority="52">
      <formula>AND(B$9&gt;=14/24,B$9&lt;20/24)</formula>
    </cfRule>
    <cfRule type="expression" dxfId="5607" priority="53">
      <formula>AND(B$9&gt;=8/24,B$9&lt;14/24)</formula>
    </cfRule>
    <cfRule type="expression" dxfId="5606" priority="54">
      <formula>B$9&lt;8/24</formula>
    </cfRule>
  </conditionalFormatting>
  <conditionalFormatting sqref="C75:AF75 C73:AF73 C83:AF83">
    <cfRule type="expression" dxfId="5605" priority="140">
      <formula>C$9&gt;=20/24</formula>
    </cfRule>
    <cfRule type="expression" dxfId="5604" priority="141">
      <formula>AND(C$9&gt;=14/24,C$9&lt;20/24)</formula>
    </cfRule>
    <cfRule type="expression" dxfId="5603" priority="142">
      <formula>AND(C$9&gt;=8/24,C$9&lt;14/24)</formula>
    </cfRule>
    <cfRule type="expression" dxfId="5602" priority="143">
      <formula>C$9&lt;8/24</formula>
    </cfRule>
  </conditionalFormatting>
  <conditionalFormatting sqref="B75 B73 B83 B24:K26 B18:M22 N19:O22 P20:AF22 L24:AF25 B28:AF31">
    <cfRule type="expression" dxfId="5601" priority="42">
      <formula>B$9&gt;=20/24</formula>
    </cfRule>
    <cfRule type="expression" dxfId="5600" priority="43">
      <formula>AND(B$9&gt;=14/24,B$9&lt;20/24)</formula>
    </cfRule>
    <cfRule type="expression" dxfId="5599" priority="44">
      <formula>AND(B$9&gt;=8/24,B$9&lt;14/24)</formula>
    </cfRule>
    <cfRule type="expression" dxfId="5598" priority="45">
      <formula>B$9&lt;8/24</formula>
    </cfRule>
  </conditionalFormatting>
  <conditionalFormatting sqref="B35:AF35">
    <cfRule type="expression" dxfId="5597" priority="38">
      <formula>B$9&gt;=20/24</formula>
    </cfRule>
    <cfRule type="expression" dxfId="5596" priority="39">
      <formula>AND(B$9&gt;=14/24,B$9&lt;20/24)</formula>
    </cfRule>
    <cfRule type="expression" dxfId="5595" priority="40">
      <formula>AND(B$9&gt;=8/24,B$9&lt;14/24)</formula>
    </cfRule>
    <cfRule type="expression" dxfId="5594" priority="41">
      <formula>B$9&lt;8/24</formula>
    </cfRule>
  </conditionalFormatting>
  <conditionalFormatting sqref="C38:AF38 C52:AF52">
    <cfRule type="expression" dxfId="5593" priority="131">
      <formula>C38&gt;$AG38</formula>
    </cfRule>
  </conditionalFormatting>
  <conditionalFormatting sqref="B34:AF34">
    <cfRule type="expression" dxfId="5592" priority="33">
      <formula>B$9&gt;=20/24</formula>
    </cfRule>
    <cfRule type="expression" dxfId="5591" priority="34">
      <formula>AND(B$9&gt;=14/24,B$9&lt;20/24)</formula>
    </cfRule>
    <cfRule type="expression" dxfId="5590" priority="35">
      <formula>AND(B$9&gt;=8/24,B$9&lt;14/24)</formula>
    </cfRule>
    <cfRule type="expression" dxfId="5589" priority="36">
      <formula>B$9&lt;8/24</formula>
    </cfRule>
  </conditionalFormatting>
  <conditionalFormatting sqref="B33:AF33">
    <cfRule type="expression" dxfId="5588" priority="29">
      <formula>B$9&gt;=20/24</formula>
    </cfRule>
    <cfRule type="expression" dxfId="5587" priority="30">
      <formula>AND(B$9&gt;=14/24,B$9&lt;20/24)</formula>
    </cfRule>
    <cfRule type="expression" dxfId="5586" priority="31">
      <formula>AND(B$9&gt;=8/24,B$9&lt;14/24)</formula>
    </cfRule>
    <cfRule type="expression" dxfId="5585" priority="32">
      <formula>B$9&lt;8/24</formula>
    </cfRule>
  </conditionalFormatting>
  <conditionalFormatting sqref="B17:M17 B23:AF23">
    <cfRule type="expression" dxfId="5584" priority="20">
      <formula>B$9&gt;=20/24</formula>
    </cfRule>
    <cfRule type="expression" dxfId="5583" priority="21">
      <formula>AND(B$9&gt;=14/24,B$9&lt;20/24)</formula>
    </cfRule>
    <cfRule type="expression" dxfId="5582" priority="22">
      <formula>AND(B$9&gt;=8/24,B$9&lt;14/24)</formula>
    </cfRule>
    <cfRule type="expression" dxfId="5581" priority="23">
      <formula>B$9&lt;8/24</formula>
    </cfRule>
  </conditionalFormatting>
  <conditionalFormatting sqref="B17:M17 B23:AF23">
    <cfRule type="expression" dxfId="5580" priority="19">
      <formula>B17&gt;$AG17</formula>
    </cfRule>
  </conditionalFormatting>
  <conditionalFormatting sqref="B68">
    <cfRule type="expression" dxfId="5579" priority="15">
      <formula>B$9&gt;=20/24</formula>
    </cfRule>
    <cfRule type="expression" dxfId="5578" priority="16">
      <formula>AND(B$9&gt;=14/24,B$9&lt;20/24)</formula>
    </cfRule>
    <cfRule type="expression" dxfId="5577" priority="17">
      <formula>AND(B$9&gt;=8/24,B$9&lt;14/24)</formula>
    </cfRule>
    <cfRule type="expression" dxfId="5576" priority="18">
      <formula>B$9&lt;8/24</formula>
    </cfRule>
  </conditionalFormatting>
  <conditionalFormatting sqref="B76:B80">
    <cfRule type="expression" dxfId="5575" priority="11">
      <formula>B$9&gt;=20/24</formula>
    </cfRule>
    <cfRule type="expression" dxfId="5574" priority="12">
      <formula>AND(B$9&gt;=14/24,B$9&lt;20/24)</formula>
    </cfRule>
    <cfRule type="expression" dxfId="5573" priority="13">
      <formula>AND(B$9&gt;=8/24,B$9&lt;14/24)</formula>
    </cfRule>
    <cfRule type="expression" dxfId="5572" priority="14">
      <formula>B$9&lt;8/24</formula>
    </cfRule>
  </conditionalFormatting>
  <conditionalFormatting sqref="A33">
    <cfRule type="expression" dxfId="5571" priority="103">
      <formula>$AH33=0</formula>
    </cfRule>
  </conditionalFormatting>
  <conditionalFormatting sqref="C68:AF68">
    <cfRule type="expression" dxfId="5570" priority="99">
      <formula>C$9&gt;=20/24</formula>
    </cfRule>
    <cfRule type="expression" dxfId="5569" priority="100">
      <formula>AND(C$9&gt;=14/24,C$9&lt;20/24)</formula>
    </cfRule>
    <cfRule type="expression" dxfId="5568" priority="101">
      <formula>AND(C$9&gt;=8/24,C$9&lt;14/24)</formula>
    </cfRule>
    <cfRule type="expression" dxfId="5567" priority="102">
      <formula>C$9&lt;8/24</formula>
    </cfRule>
  </conditionalFormatting>
  <conditionalFormatting sqref="C76:AF80">
    <cfRule type="expression" dxfId="5566" priority="95">
      <formula>C$9&gt;=20/24</formula>
    </cfRule>
    <cfRule type="expression" dxfId="5565" priority="96">
      <formula>AND(C$9&gt;=14/24,C$9&lt;20/24)</formula>
    </cfRule>
    <cfRule type="expression" dxfId="5564" priority="97">
      <formula>AND(C$9&gt;=8/24,C$9&lt;14/24)</formula>
    </cfRule>
    <cfRule type="expression" dxfId="5563" priority="98">
      <formula>C$9&lt;8/24</formula>
    </cfRule>
  </conditionalFormatting>
  <conditionalFormatting sqref="M42:M45 N44:P45">
    <cfRule type="expression" dxfId="5562" priority="1">
      <formula>M42&gt;$AG42</formula>
    </cfRule>
  </conditionalFormatting>
  <conditionalFormatting sqref="B94:B100 B11:D11">
    <cfRule type="expression" dxfId="5561" priority="91">
      <formula>B$9&gt;=20/24</formula>
    </cfRule>
    <cfRule type="expression" dxfId="5560" priority="92">
      <formula>AND(B$9&gt;=14/24,B$9&lt;20/24)</formula>
    </cfRule>
    <cfRule type="expression" dxfId="5559" priority="93">
      <formula>AND(B$9&gt;=8/24,B$9&lt;14/24)</formula>
    </cfRule>
    <cfRule type="expression" dxfId="5558" priority="94">
      <formula>B$9&lt;8/24</formula>
    </cfRule>
  </conditionalFormatting>
  <conditionalFormatting sqref="B37:D37">
    <cfRule type="expression" dxfId="5557" priority="87">
      <formula>B$9&gt;=20/24</formula>
    </cfRule>
    <cfRule type="expression" dxfId="5556" priority="88">
      <formula>AND(B$9&gt;=14/24,B$9&lt;20/24)</formula>
    </cfRule>
    <cfRule type="expression" dxfId="5555" priority="89">
      <formula>AND(B$9&gt;=8/24,B$9&lt;14/24)</formula>
    </cfRule>
    <cfRule type="expression" dxfId="5554" priority="90">
      <formula>B$9&lt;8/24</formula>
    </cfRule>
  </conditionalFormatting>
  <conditionalFormatting sqref="B37:D37 B11:D11">
    <cfRule type="expression" dxfId="5553" priority="86">
      <formula>B11&gt;$AG11</formula>
    </cfRule>
  </conditionalFormatting>
  <conditionalFormatting sqref="B84">
    <cfRule type="expression" dxfId="5552" priority="82">
      <formula>B$9&gt;=20/24</formula>
    </cfRule>
    <cfRule type="expression" dxfId="5551" priority="83">
      <formula>AND(B$9&gt;=14/24,B$9&lt;20/24)</formula>
    </cfRule>
    <cfRule type="expression" dxfId="5550" priority="84">
      <formula>AND(B$9&gt;=8/24,B$9&lt;14/24)</formula>
    </cfRule>
    <cfRule type="expression" dxfId="5549" priority="85">
      <formula>B$9&lt;8/24</formula>
    </cfRule>
  </conditionalFormatting>
  <conditionalFormatting sqref="B57 B40:C41">
    <cfRule type="expression" dxfId="5548" priority="78">
      <formula>B$9&gt;=20/24</formula>
    </cfRule>
    <cfRule type="expression" dxfId="5547" priority="79">
      <formula>AND(B$9&gt;=14/24,B$9&lt;20/24)</formula>
    </cfRule>
    <cfRule type="expression" dxfId="5546" priority="80">
      <formula>AND(B$9&gt;=8/24,B$9&lt;14/24)</formula>
    </cfRule>
    <cfRule type="expression" dxfId="5545" priority="81">
      <formula>B$9&lt;8/24</formula>
    </cfRule>
  </conditionalFormatting>
  <conditionalFormatting sqref="B39:C39">
    <cfRule type="expression" dxfId="5544" priority="74">
      <formula>B$9&gt;=20/24</formula>
    </cfRule>
    <cfRule type="expression" dxfId="5543" priority="75">
      <formula>AND(B$9&gt;=14/24,B$9&lt;20/24)</formula>
    </cfRule>
    <cfRule type="expression" dxfId="5542" priority="76">
      <formula>AND(B$9&gt;=8/24,B$9&lt;14/24)</formula>
    </cfRule>
    <cfRule type="expression" dxfId="5541" priority="77">
      <formula>B$9&lt;8/24</formula>
    </cfRule>
  </conditionalFormatting>
  <conditionalFormatting sqref="B39:C41">
    <cfRule type="expression" dxfId="5540" priority="73">
      <formula>B39&gt;$AG39</formula>
    </cfRule>
  </conditionalFormatting>
  <conditionalFormatting sqref="B81 B69:B72 B53:B56 B85:B91 B58:B67 B12:M14 B16:M16 N14:P14">
    <cfRule type="expression" dxfId="5539" priority="69">
      <formula>B$9&gt;=20/24</formula>
    </cfRule>
    <cfRule type="expression" dxfId="5538" priority="70">
      <formula>AND(B$9&gt;=14/24,B$9&lt;20/24)</formula>
    </cfRule>
    <cfRule type="expression" dxfId="5537" priority="71">
      <formula>AND(B$9&gt;=8/24,B$9&lt;14/24)</formula>
    </cfRule>
    <cfRule type="expression" dxfId="5536" priority="72">
      <formula>B$9&lt;8/24</formula>
    </cfRule>
  </conditionalFormatting>
  <conditionalFormatting sqref="B32:AF32">
    <cfRule type="expression" dxfId="5535" priority="65">
      <formula>B$9&gt;=20/24</formula>
    </cfRule>
    <cfRule type="expression" dxfId="5534" priority="66">
      <formula>AND(B$9&gt;=14/24,B$9&lt;20/24)</formula>
    </cfRule>
    <cfRule type="expression" dxfId="5533" priority="67">
      <formula>AND(B$9&gt;=8/24,B$9&lt;14/24)</formula>
    </cfRule>
    <cfRule type="expression" dxfId="5532" priority="68">
      <formula>B$9&lt;8/24</formula>
    </cfRule>
  </conditionalFormatting>
  <conditionalFormatting sqref="B51 B53:B56 B42:C43 B12:M16 N14:P14 B32:AF32">
    <cfRule type="expression" dxfId="5531" priority="64">
      <formula>B12&gt;$AG12</formula>
    </cfRule>
  </conditionalFormatting>
  <conditionalFormatting sqref="B15:M15">
    <cfRule type="expression" dxfId="5530" priority="60">
      <formula>B$9&gt;=20/24</formula>
    </cfRule>
    <cfRule type="expression" dxfId="5529" priority="61">
      <formula>AND(B$9&gt;=14/24,B$9&lt;20/24)</formula>
    </cfRule>
    <cfRule type="expression" dxfId="5528" priority="62">
      <formula>AND(B$9&gt;=8/24,B$9&lt;14/24)</formula>
    </cfRule>
    <cfRule type="expression" dxfId="5527" priority="63">
      <formula>B$9&lt;8/24</formula>
    </cfRule>
  </conditionalFormatting>
  <conditionalFormatting sqref="B44:C50">
    <cfRule type="expression" dxfId="5526" priority="56">
      <formula>B$9&gt;=20/24</formula>
    </cfRule>
    <cfRule type="expression" dxfId="5525" priority="57">
      <formula>AND(B$9&gt;=14/24,B$9&lt;20/24)</formula>
    </cfRule>
    <cfRule type="expression" dxfId="5524" priority="58">
      <formula>AND(B$9&gt;=8/24,B$9&lt;14/24)</formula>
    </cfRule>
    <cfRule type="expression" dxfId="5523" priority="59">
      <formula>B$9&lt;8/24</formula>
    </cfRule>
  </conditionalFormatting>
  <conditionalFormatting sqref="B44:C50">
    <cfRule type="expression" dxfId="5522" priority="55">
      <formula>B44&gt;$AG44</formula>
    </cfRule>
  </conditionalFormatting>
  <conditionalFormatting sqref="B36:AF36">
    <cfRule type="expression" dxfId="5521" priority="47">
      <formula>B$9&gt;=20/24</formula>
    </cfRule>
    <cfRule type="expression" dxfId="5520" priority="48">
      <formula>AND(B$9&gt;=14/24,B$9&lt;20/24)</formula>
    </cfRule>
    <cfRule type="expression" dxfId="5519" priority="49">
      <formula>AND(B$9&gt;=8/24,B$9&lt;14/24)</formula>
    </cfRule>
    <cfRule type="expression" dxfId="5518" priority="50">
      <formula>B$9&lt;8/24</formula>
    </cfRule>
  </conditionalFormatting>
  <conditionalFormatting sqref="B36:AF36">
    <cfRule type="expression" dxfId="5517" priority="46">
      <formula>B36&gt;$AG36</formula>
    </cfRule>
  </conditionalFormatting>
  <conditionalFormatting sqref="B38 B52 B24:K31 B18:M22 N19:O22 C31:Q31 P20:AF22 L24:AF25 B34:AF35 L27:AF31">
    <cfRule type="expression" dxfId="5516" priority="37">
      <formula>B18&gt;$AG18</formula>
    </cfRule>
  </conditionalFormatting>
  <conditionalFormatting sqref="B33:AF33">
    <cfRule type="expression" dxfId="5515" priority="28">
      <formula>B33&gt;$AG33</formula>
    </cfRule>
  </conditionalFormatting>
  <conditionalFormatting sqref="B27:AF27">
    <cfRule type="expression" dxfId="5514" priority="24">
      <formula>B$9&gt;=20/24</formula>
    </cfRule>
    <cfRule type="expression" dxfId="5513" priority="25">
      <formula>AND(B$9&gt;=14/24,B$9&lt;20/24)</formula>
    </cfRule>
    <cfRule type="expression" dxfId="5512" priority="26">
      <formula>AND(B$9&gt;=8/24,B$9&lt;14/24)</formula>
    </cfRule>
    <cfRule type="expression" dxfId="5511" priority="27">
      <formula>B$9&lt;8/24</formula>
    </cfRule>
  </conditionalFormatting>
  <conditionalFormatting sqref="M11">
    <cfRule type="expression" dxfId="5510" priority="7">
      <formula>M$9&gt;=20/24</formula>
    </cfRule>
    <cfRule type="expression" dxfId="5509" priority="8">
      <formula>AND(M$9&gt;=14/24,M$9&lt;20/24)</formula>
    </cfRule>
    <cfRule type="expression" dxfId="5508" priority="9">
      <formula>AND(M$9&gt;=8/24,M$9&lt;14/24)</formula>
    </cfRule>
    <cfRule type="expression" dxfId="5507" priority="10">
      <formula>M$9&lt;8/24</formula>
    </cfRule>
  </conditionalFormatting>
  <conditionalFormatting sqref="M11">
    <cfRule type="expression" dxfId="5506" priority="6">
      <formula>M11&gt;$AG11</formula>
    </cfRule>
  </conditionalFormatting>
  <conditionalFormatting sqref="M42:M45 N44:P45">
    <cfRule type="expression" dxfId="5505" priority="2">
      <formula>M$9&gt;=20/24</formula>
    </cfRule>
    <cfRule type="expression" dxfId="5504" priority="3">
      <formula>AND(M$9&gt;=14/24,M$9&lt;20/24)</formula>
    </cfRule>
    <cfRule type="expression" dxfId="5503" priority="4">
      <formula>AND(M$9&gt;=8/24,M$9&lt;14/24)</formula>
    </cfRule>
    <cfRule type="expression" dxfId="5502" priority="5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M60" sqref="M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2079/02/7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81.8</v>
      </c>
      <c r="C5" s="32">
        <f t="shared" si="0"/>
        <v>84.3</v>
      </c>
      <c r="D5" s="32">
        <f t="shared" si="0"/>
        <v>78</v>
      </c>
      <c r="E5" s="32">
        <f t="shared" si="0"/>
        <v>75.8</v>
      </c>
      <c r="F5" s="32">
        <f t="shared" si="0"/>
        <v>74.400000000000006</v>
      </c>
      <c r="G5" s="32">
        <f t="shared" si="0"/>
        <v>66.599999999999994</v>
      </c>
      <c r="H5" s="32">
        <f t="shared" si="0"/>
        <v>74.2</v>
      </c>
      <c r="I5" s="32">
        <f t="shared" si="0"/>
        <v>72.400000000000006</v>
      </c>
      <c r="J5" s="32">
        <f t="shared" si="0"/>
        <v>5</v>
      </c>
      <c r="K5" s="32">
        <f t="shared" si="0"/>
        <v>77.400000000000006</v>
      </c>
      <c r="L5" s="32">
        <f t="shared" si="0"/>
        <v>92.7</v>
      </c>
      <c r="M5" s="32">
        <f t="shared" si="0"/>
        <v>88</v>
      </c>
      <c r="N5" s="32">
        <f t="shared" si="0"/>
        <v>91</v>
      </c>
      <c r="O5" s="32">
        <f t="shared" si="0"/>
        <v>90</v>
      </c>
      <c r="P5" s="32">
        <f t="shared" si="0"/>
        <v>97</v>
      </c>
      <c r="Q5" s="32">
        <f t="shared" si="0"/>
        <v>101.5</v>
      </c>
      <c r="R5" s="32">
        <f t="shared" si="0"/>
        <v>92.3</v>
      </c>
      <c r="S5" s="32">
        <f t="shared" si="0"/>
        <v>94.1</v>
      </c>
      <c r="T5" s="32">
        <f t="shared" si="0"/>
        <v>97.8</v>
      </c>
      <c r="U5" s="32">
        <f t="shared" si="0"/>
        <v>83.2</v>
      </c>
      <c r="V5" s="32">
        <f t="shared" si="0"/>
        <v>88.4</v>
      </c>
      <c r="W5" s="32">
        <f t="shared" si="0"/>
        <v>97.3</v>
      </c>
      <c r="X5" s="32">
        <f t="shared" si="0"/>
        <v>91.6</v>
      </c>
      <c r="Y5" s="32">
        <f t="shared" si="0"/>
        <v>87.6</v>
      </c>
      <c r="Z5" s="32">
        <f t="shared" si="0"/>
        <v>89.5</v>
      </c>
      <c r="AA5" s="32">
        <f t="shared" si="0"/>
        <v>96.4</v>
      </c>
      <c r="AB5" s="32">
        <f t="shared" si="0"/>
        <v>95.8</v>
      </c>
      <c r="AC5" s="32">
        <f t="shared" si="0"/>
        <v>99</v>
      </c>
      <c r="AD5" s="32">
        <f t="shared" si="0"/>
        <v>94.1</v>
      </c>
      <c r="AE5" s="32">
        <f t="shared" si="0"/>
        <v>95.9</v>
      </c>
      <c r="AF5" s="32">
        <f>B68</f>
        <v>81.8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1668MW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Load=1486</v>
      </c>
      <c r="B7" s="37">
        <f>B75</f>
        <v>1691.9399999999998</v>
      </c>
      <c r="C7" s="37">
        <f t="shared" ref="C7:AF7" si="1">C75</f>
        <v>1681.9399999999998</v>
      </c>
      <c r="D7" s="37">
        <f t="shared" si="1"/>
        <v>1661.4399999999998</v>
      </c>
      <c r="E7" s="37">
        <f t="shared" si="1"/>
        <v>1632.54</v>
      </c>
      <c r="F7" s="37">
        <f t="shared" si="1"/>
        <v>1614.84</v>
      </c>
      <c r="G7" s="37">
        <f t="shared" si="1"/>
        <v>1620.24</v>
      </c>
      <c r="H7" s="37">
        <f t="shared" si="1"/>
        <v>1540.04</v>
      </c>
      <c r="I7" s="37">
        <f t="shared" si="1"/>
        <v>1535.74</v>
      </c>
      <c r="J7" s="37">
        <f t="shared" si="1"/>
        <v>1486.44</v>
      </c>
      <c r="K7" s="37">
        <f t="shared" si="1"/>
        <v>1504.2400000000002</v>
      </c>
      <c r="L7" s="37">
        <f t="shared" si="1"/>
        <v>1586.6400000000003</v>
      </c>
      <c r="M7" s="37">
        <f t="shared" si="1"/>
        <v>1601.3400000000001</v>
      </c>
      <c r="N7" s="37">
        <f t="shared" si="1"/>
        <v>1667.64</v>
      </c>
      <c r="O7" s="37">
        <f t="shared" si="1"/>
        <v>1634.64</v>
      </c>
      <c r="P7" s="37">
        <f t="shared" si="1"/>
        <v>1686.44</v>
      </c>
      <c r="Q7" s="37">
        <f t="shared" si="1"/>
        <v>1695.94</v>
      </c>
      <c r="R7" s="37">
        <f t="shared" si="1"/>
        <v>1698.24</v>
      </c>
      <c r="S7" s="37">
        <f t="shared" si="1"/>
        <v>1687.9399999999998</v>
      </c>
      <c r="T7" s="37">
        <f t="shared" si="1"/>
        <v>1675.4399999999998</v>
      </c>
      <c r="U7" s="37">
        <f t="shared" si="1"/>
        <v>1682.54</v>
      </c>
      <c r="V7" s="37">
        <f t="shared" si="1"/>
        <v>1635.9400000000003</v>
      </c>
      <c r="W7" s="37">
        <f t="shared" si="1"/>
        <v>1639.0400000000002</v>
      </c>
      <c r="X7" s="37">
        <f t="shared" si="1"/>
        <v>1547.54</v>
      </c>
      <c r="Y7" s="37">
        <f t="shared" si="1"/>
        <v>1556.6399999999999</v>
      </c>
      <c r="Z7" s="37">
        <f t="shared" si="1"/>
        <v>1587.7399999999998</v>
      </c>
      <c r="AA7" s="37">
        <f t="shared" si="1"/>
        <v>1710.74</v>
      </c>
      <c r="AB7" s="37">
        <f t="shared" si="1"/>
        <v>1699.74</v>
      </c>
      <c r="AC7" s="37">
        <f t="shared" si="1"/>
        <v>1698.04</v>
      </c>
      <c r="AD7" s="37">
        <f t="shared" si="1"/>
        <v>1701.74</v>
      </c>
      <c r="AE7" s="37">
        <f t="shared" si="1"/>
        <v>1722.84</v>
      </c>
      <c r="AF7" s="37">
        <f t="shared" si="1"/>
        <v>1648.64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420</v>
      </c>
      <c r="C11" s="50">
        <v>410</v>
      </c>
      <c r="D11" s="50">
        <v>390</v>
      </c>
      <c r="E11" s="51">
        <v>370</v>
      </c>
      <c r="F11" s="51">
        <v>370</v>
      </c>
      <c r="G11" s="51">
        <v>370</v>
      </c>
      <c r="H11" s="51">
        <v>410</v>
      </c>
      <c r="I11" s="51">
        <v>400</v>
      </c>
      <c r="J11" s="52">
        <v>340</v>
      </c>
      <c r="K11" s="52">
        <v>420</v>
      </c>
      <c r="L11" s="52">
        <v>420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3">
        <v>456</v>
      </c>
      <c r="U11" s="53">
        <v>456</v>
      </c>
      <c r="V11" s="53">
        <v>456</v>
      </c>
      <c r="W11" s="53">
        <v>456</v>
      </c>
      <c r="X11" s="53">
        <v>355</v>
      </c>
      <c r="Y11" s="53">
        <v>350</v>
      </c>
      <c r="Z11" s="53">
        <v>385</v>
      </c>
      <c r="AA11" s="53">
        <v>456</v>
      </c>
      <c r="AB11" s="53">
        <v>430</v>
      </c>
      <c r="AC11" s="53">
        <v>430</v>
      </c>
      <c r="AD11" s="53">
        <v>430</v>
      </c>
      <c r="AE11" s="53">
        <v>456</v>
      </c>
      <c r="AF11" s="53">
        <v>380</v>
      </c>
      <c r="AG11" s="54">
        <v>456</v>
      </c>
      <c r="AH11" s="55">
        <f>MAX(B11:AF11)</f>
        <v>456</v>
      </c>
      <c r="AI11" s="56">
        <f>MIN(B11:AF11)</f>
        <v>340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53.7</v>
      </c>
      <c r="C13" s="51">
        <v>53.7</v>
      </c>
      <c r="D13" s="51">
        <v>53.7</v>
      </c>
      <c r="E13" s="51">
        <v>53.7</v>
      </c>
      <c r="F13" s="51">
        <v>53.7</v>
      </c>
      <c r="G13" s="51">
        <v>53.7</v>
      </c>
      <c r="H13" s="51">
        <v>53.7</v>
      </c>
      <c r="I13" s="51">
        <v>53.7</v>
      </c>
      <c r="J13" s="51">
        <v>53.7</v>
      </c>
      <c r="K13" s="51">
        <v>53.7</v>
      </c>
      <c r="L13" s="51">
        <v>53.7</v>
      </c>
      <c r="M13" s="51">
        <v>53.7</v>
      </c>
      <c r="N13" s="51">
        <v>53.7</v>
      </c>
      <c r="O13" s="51">
        <v>53.7</v>
      </c>
      <c r="P13" s="51">
        <v>53.5</v>
      </c>
      <c r="Q13" s="51">
        <v>53.5</v>
      </c>
      <c r="R13" s="51">
        <v>53.5</v>
      </c>
      <c r="S13" s="51">
        <v>53.5</v>
      </c>
      <c r="T13" s="51">
        <v>53.5</v>
      </c>
      <c r="U13" s="51">
        <v>53.6</v>
      </c>
      <c r="V13" s="51">
        <v>53.6</v>
      </c>
      <c r="W13" s="51">
        <v>53.6</v>
      </c>
      <c r="X13" s="51">
        <v>53.5</v>
      </c>
      <c r="Y13" s="51">
        <v>53.5</v>
      </c>
      <c r="Z13" s="51">
        <v>53.5</v>
      </c>
      <c r="AA13" s="51">
        <v>53.5</v>
      </c>
      <c r="AB13" s="51">
        <v>53.5</v>
      </c>
      <c r="AC13" s="51">
        <v>53.5</v>
      </c>
      <c r="AD13" s="51">
        <v>53.5</v>
      </c>
      <c r="AE13" s="51">
        <v>53.5</v>
      </c>
      <c r="AF13" s="51">
        <v>53.5</v>
      </c>
      <c r="AG13" s="59">
        <v>52.4</v>
      </c>
      <c r="AH13" s="55">
        <f t="shared" si="2"/>
        <v>53.7</v>
      </c>
      <c r="AI13" s="56">
        <f t="shared" si="3"/>
        <v>53.5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50.3</v>
      </c>
      <c r="C14" s="51">
        <v>50.3</v>
      </c>
      <c r="D14" s="51">
        <v>50.3</v>
      </c>
      <c r="E14" s="51">
        <v>50.6</v>
      </c>
      <c r="F14" s="51">
        <v>50.6</v>
      </c>
      <c r="G14" s="51">
        <v>50.6</v>
      </c>
      <c r="H14" s="51">
        <v>50.6</v>
      </c>
      <c r="I14" s="51">
        <v>50.6</v>
      </c>
      <c r="J14" s="51">
        <v>50.6</v>
      </c>
      <c r="K14" s="51">
        <v>50.6</v>
      </c>
      <c r="L14" s="51">
        <v>50.6</v>
      </c>
      <c r="M14" s="51">
        <v>50.6</v>
      </c>
      <c r="N14" s="51">
        <v>50.6</v>
      </c>
      <c r="O14" s="51">
        <v>50.6</v>
      </c>
      <c r="P14" s="51">
        <v>50.1</v>
      </c>
      <c r="Q14" s="51">
        <v>50.1</v>
      </c>
      <c r="R14" s="51">
        <v>50.1</v>
      </c>
      <c r="S14" s="51">
        <v>50.1</v>
      </c>
      <c r="T14" s="51">
        <v>50.1</v>
      </c>
      <c r="U14" s="51">
        <v>50.5</v>
      </c>
      <c r="V14" s="51">
        <v>50.1</v>
      </c>
      <c r="W14" s="51">
        <v>50.1</v>
      </c>
      <c r="X14" s="51">
        <v>50.6</v>
      </c>
      <c r="Y14" s="51">
        <v>50.6</v>
      </c>
      <c r="Z14" s="51">
        <v>50.7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9">
        <v>50</v>
      </c>
      <c r="AH14" s="55">
        <f t="shared" si="2"/>
        <v>50.7</v>
      </c>
      <c r="AI14" s="56">
        <f t="shared" si="3"/>
        <v>50.1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45.5</v>
      </c>
      <c r="C15" s="51">
        <v>45.5</v>
      </c>
      <c r="D15" s="51">
        <v>45.5</v>
      </c>
      <c r="E15" s="51">
        <v>45.5</v>
      </c>
      <c r="F15" s="51">
        <v>45.5</v>
      </c>
      <c r="G15" s="51">
        <v>45.5</v>
      </c>
      <c r="H15" s="51">
        <v>45.5</v>
      </c>
      <c r="I15" s="51">
        <v>45.5</v>
      </c>
      <c r="J15" s="51">
        <v>45.5</v>
      </c>
      <c r="K15" s="51">
        <v>45.5</v>
      </c>
      <c r="L15" s="51">
        <v>45.5</v>
      </c>
      <c r="M15" s="51">
        <v>45.5</v>
      </c>
      <c r="N15" s="51">
        <v>45.5</v>
      </c>
      <c r="O15" s="51">
        <v>45.5</v>
      </c>
      <c r="P15" s="51">
        <v>45.7</v>
      </c>
      <c r="Q15" s="51">
        <v>45.7</v>
      </c>
      <c r="R15" s="51">
        <v>45.7</v>
      </c>
      <c r="S15" s="51">
        <v>45.7</v>
      </c>
      <c r="T15" s="51">
        <v>45.7</v>
      </c>
      <c r="U15" s="51">
        <v>45.4</v>
      </c>
      <c r="V15" s="51">
        <v>24.7</v>
      </c>
      <c r="W15" s="51">
        <v>24.7</v>
      </c>
      <c r="X15" s="51">
        <v>24.7</v>
      </c>
      <c r="Y15" s="51">
        <v>45.4</v>
      </c>
      <c r="Z15" s="51">
        <v>45.4</v>
      </c>
      <c r="AA15" s="51">
        <v>45.4</v>
      </c>
      <c r="AB15" s="51">
        <v>45.4</v>
      </c>
      <c r="AC15" s="51">
        <v>45.4</v>
      </c>
      <c r="AD15" s="51">
        <v>45.4</v>
      </c>
      <c r="AE15" s="51">
        <v>45.4</v>
      </c>
      <c r="AF15" s="51">
        <v>45.4</v>
      </c>
      <c r="AG15" s="60">
        <v>45</v>
      </c>
      <c r="AH15" s="55">
        <f t="shared" si="2"/>
        <v>45.7</v>
      </c>
      <c r="AI15" s="56">
        <f t="shared" si="3"/>
        <v>24.7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40</v>
      </c>
      <c r="D16" s="51">
        <v>37</v>
      </c>
      <c r="E16" s="51">
        <v>37</v>
      </c>
      <c r="F16" s="51">
        <v>37</v>
      </c>
      <c r="G16" s="51">
        <v>37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36</v>
      </c>
      <c r="O16" s="51">
        <v>36</v>
      </c>
      <c r="P16" s="51">
        <v>34</v>
      </c>
      <c r="Q16" s="51">
        <v>34</v>
      </c>
      <c r="R16" s="51">
        <v>34</v>
      </c>
      <c r="S16" s="51">
        <v>34</v>
      </c>
      <c r="T16" s="51">
        <v>28</v>
      </c>
      <c r="U16" s="51">
        <v>30</v>
      </c>
      <c r="V16" s="51">
        <v>30</v>
      </c>
      <c r="W16" s="51">
        <v>30</v>
      </c>
      <c r="X16" s="51">
        <v>30</v>
      </c>
      <c r="Y16" s="51">
        <v>30</v>
      </c>
      <c r="Z16" s="51">
        <v>30</v>
      </c>
      <c r="AA16" s="51">
        <v>36</v>
      </c>
      <c r="AB16" s="51">
        <v>36</v>
      </c>
      <c r="AC16" s="51">
        <v>36</v>
      </c>
      <c r="AD16" s="51">
        <v>36</v>
      </c>
      <c r="AE16" s="51">
        <v>36</v>
      </c>
      <c r="AF16" s="51">
        <v>36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23</v>
      </c>
      <c r="C18" s="51">
        <v>23</v>
      </c>
      <c r="D18" s="51">
        <v>23</v>
      </c>
      <c r="E18" s="51">
        <v>23</v>
      </c>
      <c r="F18" s="51">
        <v>23</v>
      </c>
      <c r="G18" s="51">
        <v>23</v>
      </c>
      <c r="H18" s="51">
        <v>23</v>
      </c>
      <c r="I18" s="51">
        <v>23</v>
      </c>
      <c r="J18" s="51">
        <v>23</v>
      </c>
      <c r="K18" s="51">
        <v>23</v>
      </c>
      <c r="L18" s="51">
        <v>23</v>
      </c>
      <c r="M18" s="51">
        <v>23</v>
      </c>
      <c r="N18" s="51">
        <v>23</v>
      </c>
      <c r="O18" s="51">
        <v>23</v>
      </c>
      <c r="P18" s="51">
        <v>23</v>
      </c>
      <c r="Q18" s="51">
        <v>23</v>
      </c>
      <c r="R18" s="51">
        <v>23</v>
      </c>
      <c r="S18" s="51">
        <v>23</v>
      </c>
      <c r="T18" s="51">
        <v>23</v>
      </c>
      <c r="U18" s="51">
        <v>23</v>
      </c>
      <c r="V18" s="51">
        <v>23</v>
      </c>
      <c r="W18" s="51">
        <v>23</v>
      </c>
      <c r="X18" s="51">
        <v>23</v>
      </c>
      <c r="Y18" s="51">
        <v>23</v>
      </c>
      <c r="Z18" s="51">
        <v>23</v>
      </c>
      <c r="AA18" s="51">
        <v>23</v>
      </c>
      <c r="AB18" s="51">
        <v>23</v>
      </c>
      <c r="AC18" s="51">
        <v>23</v>
      </c>
      <c r="AD18" s="51">
        <v>23</v>
      </c>
      <c r="AE18" s="51">
        <v>23</v>
      </c>
      <c r="AF18" s="51">
        <v>23</v>
      </c>
      <c r="AG18" s="59">
        <v>36</v>
      </c>
      <c r="AH18" s="55">
        <f t="shared" si="2"/>
        <v>23</v>
      </c>
      <c r="AI18" s="56">
        <f t="shared" si="3"/>
        <v>23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</v>
      </c>
      <c r="C19" s="51">
        <v>26</v>
      </c>
      <c r="D19" s="51">
        <v>26</v>
      </c>
      <c r="E19" s="51">
        <v>26</v>
      </c>
      <c r="F19" s="51">
        <v>26</v>
      </c>
      <c r="G19" s="51">
        <v>26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24</v>
      </c>
      <c r="O19" s="51">
        <v>24</v>
      </c>
      <c r="P19" s="51">
        <v>23.1</v>
      </c>
      <c r="Q19" s="51">
        <v>23.1</v>
      </c>
      <c r="R19" s="51">
        <v>23.1</v>
      </c>
      <c r="S19" s="51">
        <v>23.1</v>
      </c>
      <c r="T19" s="51">
        <v>23.1</v>
      </c>
      <c r="U19" s="51">
        <v>26.3</v>
      </c>
      <c r="V19" s="51">
        <v>26.3</v>
      </c>
      <c r="W19" s="51">
        <v>26.3</v>
      </c>
      <c r="X19" s="51">
        <v>26.3</v>
      </c>
      <c r="Y19" s="51">
        <v>26.3</v>
      </c>
      <c r="Z19" s="51">
        <v>26.3</v>
      </c>
      <c r="AA19" s="51">
        <v>26.4</v>
      </c>
      <c r="AB19" s="51">
        <v>26.4</v>
      </c>
      <c r="AC19" s="51">
        <v>26.4</v>
      </c>
      <c r="AD19" s="51">
        <v>26.4</v>
      </c>
      <c r="AE19" s="51">
        <v>26.4</v>
      </c>
      <c r="AF19" s="51">
        <v>26.4</v>
      </c>
      <c r="AG19" s="59">
        <v>30</v>
      </c>
      <c r="AH19" s="55">
        <f t="shared" si="2"/>
        <v>26.4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10</v>
      </c>
      <c r="C20" s="51">
        <v>10</v>
      </c>
      <c r="D20" s="51">
        <v>10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1">
        <v>10</v>
      </c>
      <c r="Z20" s="51">
        <v>10</v>
      </c>
      <c r="AA20" s="51">
        <v>5</v>
      </c>
      <c r="AB20" s="51">
        <v>5</v>
      </c>
      <c r="AC20" s="51">
        <v>5</v>
      </c>
      <c r="AD20" s="51">
        <v>5</v>
      </c>
      <c r="AE20" s="51">
        <v>5</v>
      </c>
      <c r="AF20" s="51">
        <v>5</v>
      </c>
      <c r="AG20" s="59">
        <v>27</v>
      </c>
      <c r="AH20" s="55">
        <f t="shared" si="2"/>
        <v>10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12</v>
      </c>
      <c r="C21" s="51">
        <v>12</v>
      </c>
      <c r="D21" s="51">
        <v>12</v>
      </c>
      <c r="E21" s="51">
        <v>12</v>
      </c>
      <c r="F21" s="51">
        <v>12</v>
      </c>
      <c r="G21" s="51">
        <v>12</v>
      </c>
      <c r="H21" s="51">
        <v>12</v>
      </c>
      <c r="I21" s="51">
        <v>12</v>
      </c>
      <c r="J21" s="51">
        <v>12</v>
      </c>
      <c r="K21" s="51">
        <v>12</v>
      </c>
      <c r="L21" s="51">
        <v>12</v>
      </c>
      <c r="M21" s="51">
        <v>12</v>
      </c>
      <c r="N21" s="51">
        <v>12</v>
      </c>
      <c r="O21" s="51">
        <v>12</v>
      </c>
      <c r="P21" s="51">
        <v>12</v>
      </c>
      <c r="Q21" s="51">
        <v>12</v>
      </c>
      <c r="R21" s="51">
        <v>12</v>
      </c>
      <c r="S21" s="51">
        <v>12</v>
      </c>
      <c r="T21" s="51">
        <v>12</v>
      </c>
      <c r="U21" s="51">
        <v>12</v>
      </c>
      <c r="V21" s="51">
        <v>12</v>
      </c>
      <c r="W21" s="51">
        <v>12</v>
      </c>
      <c r="X21" s="51">
        <v>12</v>
      </c>
      <c r="Y21" s="51">
        <v>12</v>
      </c>
      <c r="Z21" s="51">
        <v>12</v>
      </c>
      <c r="AA21" s="51">
        <v>12</v>
      </c>
      <c r="AB21" s="51">
        <v>12</v>
      </c>
      <c r="AC21" s="51">
        <v>12</v>
      </c>
      <c r="AD21" s="51">
        <v>12</v>
      </c>
      <c r="AE21" s="51">
        <v>12</v>
      </c>
      <c r="AF21" s="51">
        <v>12</v>
      </c>
      <c r="AG21" s="59">
        <v>25</v>
      </c>
      <c r="AH21" s="55">
        <f t="shared" si="2"/>
        <v>12</v>
      </c>
      <c r="AI21" s="56">
        <f t="shared" si="3"/>
        <v>12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25</v>
      </c>
      <c r="W22" s="51">
        <v>25</v>
      </c>
      <c r="X22" s="51">
        <v>25</v>
      </c>
      <c r="Y22" s="51">
        <v>25</v>
      </c>
      <c r="Z22" s="51">
        <v>25</v>
      </c>
      <c r="AA22" s="51">
        <v>25</v>
      </c>
      <c r="AB22" s="51">
        <v>25</v>
      </c>
      <c r="AC22" s="51">
        <v>25</v>
      </c>
      <c r="AD22" s="51">
        <v>25</v>
      </c>
      <c r="AE22" s="51">
        <v>25</v>
      </c>
      <c r="AF22" s="51">
        <v>25</v>
      </c>
      <c r="AG22" s="59">
        <v>25</v>
      </c>
      <c r="AH22" s="55">
        <f t="shared" si="2"/>
        <v>25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5</v>
      </c>
      <c r="D26" s="51">
        <v>5</v>
      </c>
      <c r="E26" s="51">
        <v>5</v>
      </c>
      <c r="F26" s="51">
        <v>5</v>
      </c>
      <c r="G26" s="51">
        <v>5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5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5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>
        <v>14.9</v>
      </c>
      <c r="E27" s="51">
        <v>14.9</v>
      </c>
      <c r="F27" s="51">
        <v>14.9</v>
      </c>
      <c r="G27" s="51">
        <v>14.9</v>
      </c>
      <c r="H27" s="51">
        <v>14.9</v>
      </c>
      <c r="I27" s="51">
        <v>14.9</v>
      </c>
      <c r="J27" s="51">
        <v>14.9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14.9</v>
      </c>
      <c r="R27" s="51">
        <v>14.9</v>
      </c>
      <c r="S27" s="51">
        <v>14.9</v>
      </c>
      <c r="T27" s="51">
        <v>14.9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>
        <v>14.9</v>
      </c>
      <c r="AG27" s="59">
        <v>23.5</v>
      </c>
      <c r="AH27" s="55">
        <f t="shared" si="2"/>
        <v>14.9</v>
      </c>
      <c r="AI27" s="56">
        <f t="shared" si="3"/>
        <v>14.9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8</v>
      </c>
      <c r="C30" s="51">
        <v>8</v>
      </c>
      <c r="D30" s="51">
        <v>8</v>
      </c>
      <c r="E30" s="51">
        <v>8</v>
      </c>
      <c r="F30" s="51">
        <v>8</v>
      </c>
      <c r="G30" s="51">
        <v>8</v>
      </c>
      <c r="H30" s="51">
        <v>8</v>
      </c>
      <c r="I30" s="51">
        <v>8</v>
      </c>
      <c r="J30" s="51">
        <v>8</v>
      </c>
      <c r="K30" s="51">
        <v>8</v>
      </c>
      <c r="L30" s="51">
        <v>8</v>
      </c>
      <c r="M30" s="51">
        <v>8</v>
      </c>
      <c r="N30" s="51">
        <v>8</v>
      </c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51">
        <v>8</v>
      </c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10</v>
      </c>
      <c r="AB30" s="51">
        <v>10</v>
      </c>
      <c r="AC30" s="51">
        <v>10</v>
      </c>
      <c r="AD30" s="51">
        <v>10</v>
      </c>
      <c r="AE30" s="51">
        <v>10</v>
      </c>
      <c r="AF30" s="51">
        <v>10</v>
      </c>
      <c r="AG30" s="59">
        <v>22.1</v>
      </c>
      <c r="AH30" s="55">
        <f t="shared" si="2"/>
        <v>10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6</v>
      </c>
      <c r="C32" s="51">
        <v>6</v>
      </c>
      <c r="D32" s="51">
        <v>6</v>
      </c>
      <c r="E32" s="51">
        <v>6</v>
      </c>
      <c r="F32" s="51">
        <v>6</v>
      </c>
      <c r="G32" s="51">
        <v>6</v>
      </c>
      <c r="H32" s="51">
        <v>6</v>
      </c>
      <c r="I32" s="51">
        <v>6</v>
      </c>
      <c r="J32" s="51">
        <v>6</v>
      </c>
      <c r="K32" s="51">
        <v>6</v>
      </c>
      <c r="L32" s="51">
        <v>6</v>
      </c>
      <c r="M32" s="51">
        <v>6</v>
      </c>
      <c r="N32" s="51">
        <v>0</v>
      </c>
      <c r="O32" s="51">
        <v>6</v>
      </c>
      <c r="P32" s="51">
        <v>6</v>
      </c>
      <c r="Q32" s="51">
        <v>6</v>
      </c>
      <c r="R32" s="51">
        <v>6</v>
      </c>
      <c r="S32" s="51">
        <v>6</v>
      </c>
      <c r="T32" s="51">
        <v>6</v>
      </c>
      <c r="U32" s="51">
        <v>6</v>
      </c>
      <c r="V32" s="51">
        <v>6</v>
      </c>
      <c r="W32" s="51">
        <v>6</v>
      </c>
      <c r="X32" s="51">
        <v>6</v>
      </c>
      <c r="Y32" s="51">
        <v>6</v>
      </c>
      <c r="Z32" s="51">
        <v>6</v>
      </c>
      <c r="AA32" s="51">
        <v>3.8</v>
      </c>
      <c r="AB32" s="51">
        <v>3.8</v>
      </c>
      <c r="AC32" s="51">
        <v>3.8</v>
      </c>
      <c r="AD32" s="51">
        <v>3.8</v>
      </c>
      <c r="AE32" s="51">
        <v>3.8</v>
      </c>
      <c r="AF32" s="51">
        <v>3.8</v>
      </c>
      <c r="AG32" s="64">
        <v>22</v>
      </c>
      <c r="AH32" s="55">
        <f t="shared" si="2"/>
        <v>6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8.4</v>
      </c>
      <c r="C34" s="51">
        <v>8.4</v>
      </c>
      <c r="D34" s="51">
        <v>8.4</v>
      </c>
      <c r="E34" s="51">
        <v>8.4</v>
      </c>
      <c r="F34" s="51">
        <v>8.4</v>
      </c>
      <c r="G34" s="51">
        <v>8.4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8.4</v>
      </c>
      <c r="AB34" s="51">
        <v>8.4</v>
      </c>
      <c r="AC34" s="51">
        <v>8.4</v>
      </c>
      <c r="AD34" s="51">
        <v>8.4</v>
      </c>
      <c r="AE34" s="51">
        <v>8.4</v>
      </c>
      <c r="AF34" s="51">
        <v>8.4</v>
      </c>
      <c r="AG34" s="64">
        <v>20</v>
      </c>
      <c r="AH34" s="55">
        <f t="shared" si="2"/>
        <v>9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51">
        <v>4</v>
      </c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4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250</v>
      </c>
      <c r="I36" s="66">
        <v>250</v>
      </c>
      <c r="J36" s="66">
        <v>250</v>
      </c>
      <c r="K36" s="66">
        <v>250</v>
      </c>
      <c r="L36" s="66">
        <v>250</v>
      </c>
      <c r="M36" s="66">
        <v>250</v>
      </c>
      <c r="N36" s="66">
        <v>250</v>
      </c>
      <c r="O36" s="66">
        <v>250</v>
      </c>
      <c r="P36" s="66">
        <v>250</v>
      </c>
      <c r="Q36" s="66">
        <v>250</v>
      </c>
      <c r="R36" s="66">
        <v>250</v>
      </c>
      <c r="S36" s="66">
        <v>250</v>
      </c>
      <c r="T36" s="66">
        <v>250</v>
      </c>
      <c r="U36" s="66">
        <v>250</v>
      </c>
      <c r="V36" s="66">
        <v>250</v>
      </c>
      <c r="W36" s="66">
        <v>250</v>
      </c>
      <c r="X36" s="66">
        <v>250</v>
      </c>
      <c r="Y36" s="66">
        <v>250</v>
      </c>
      <c r="Z36" s="66">
        <v>250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250</v>
      </c>
      <c r="AK36" s="57"/>
    </row>
    <row r="37" spans="1:88" ht="15.75" thickBot="1" x14ac:dyDescent="0.3">
      <c r="A37" s="67" t="s">
        <v>45</v>
      </c>
      <c r="B37" s="68">
        <v>133.69999999999999</v>
      </c>
      <c r="C37" s="66">
        <f>39.3+96</f>
        <v>135.30000000000001</v>
      </c>
      <c r="D37" s="66">
        <f>39.4+92.2</f>
        <v>131.6</v>
      </c>
      <c r="E37" s="66">
        <f>39.4+96</f>
        <v>135.4</v>
      </c>
      <c r="F37" s="66">
        <f>39.3+95.9</f>
        <v>135.19999999999999</v>
      </c>
      <c r="G37" s="66">
        <f>39.3+95.9</f>
        <v>135.19999999999999</v>
      </c>
      <c r="H37" s="66">
        <f>39.3+95.9</f>
        <v>135.19999999999999</v>
      </c>
      <c r="I37" s="66">
        <f>39.4+86.7</f>
        <v>126.1</v>
      </c>
      <c r="J37" s="66">
        <f>39.5+90.1</f>
        <v>129.6</v>
      </c>
      <c r="K37" s="66">
        <f>39.3+92</f>
        <v>131.30000000000001</v>
      </c>
      <c r="L37" s="66">
        <f>39+92.4</f>
        <v>131.4</v>
      </c>
      <c r="M37" s="66">
        <f>92.8+38.9</f>
        <v>131.69999999999999</v>
      </c>
      <c r="N37" s="66">
        <f>92.8+38.9</f>
        <v>131.69999999999999</v>
      </c>
      <c r="O37" s="66">
        <f>92.8+38.9</f>
        <v>131.69999999999999</v>
      </c>
      <c r="P37" s="66">
        <f>90.2+39.6</f>
        <v>129.80000000000001</v>
      </c>
      <c r="Q37" s="66">
        <f>86.8+39.6</f>
        <v>126.4</v>
      </c>
      <c r="R37" s="66">
        <f>89.7+39.2</f>
        <v>128.9</v>
      </c>
      <c r="S37" s="68">
        <f>89.7+32.4</f>
        <v>122.1</v>
      </c>
      <c r="T37" s="68">
        <f>91.6+39.5</f>
        <v>131.1</v>
      </c>
      <c r="U37" s="68">
        <f>91.1+39.1</f>
        <v>130.19999999999999</v>
      </c>
      <c r="V37" s="68">
        <f>93.4+39.1</f>
        <v>132.5</v>
      </c>
      <c r="W37" s="68">
        <f>93.7+38.2</f>
        <v>131.9</v>
      </c>
      <c r="X37" s="68">
        <f>93.6+38.2</f>
        <v>131.80000000000001</v>
      </c>
      <c r="Y37" s="68">
        <f>93.3+37.9</f>
        <v>131.19999999999999</v>
      </c>
      <c r="Z37" s="68">
        <f>92+37</f>
        <v>129</v>
      </c>
      <c r="AA37" s="68">
        <f>90.8+36.4</f>
        <v>127.19999999999999</v>
      </c>
      <c r="AB37" s="68">
        <f>35.7+91.9</f>
        <v>127.60000000000001</v>
      </c>
      <c r="AC37" s="68">
        <f>36.5+92.3</f>
        <v>128.80000000000001</v>
      </c>
      <c r="AD37" s="68">
        <f>36.5+92.3</f>
        <v>128.80000000000001</v>
      </c>
      <c r="AE37" s="68">
        <f>37.8+93.9</f>
        <v>131.69999999999999</v>
      </c>
      <c r="AF37" s="68">
        <f>36.6+94.4</f>
        <v>131</v>
      </c>
      <c r="AG37" s="64">
        <v>240</v>
      </c>
      <c r="AH37" s="55">
        <f t="shared" si="2"/>
        <v>135.4</v>
      </c>
      <c r="AI37" s="56">
        <f t="shared" si="3"/>
        <v>122.1</v>
      </c>
      <c r="AK37" s="57"/>
    </row>
    <row r="38" spans="1:88" ht="15.75" thickBot="1" x14ac:dyDescent="0.3">
      <c r="A38" s="69" t="s">
        <v>46</v>
      </c>
      <c r="B38" s="70">
        <f>SUM(B11:B36)</f>
        <v>1188</v>
      </c>
      <c r="C38" s="70">
        <f t="shared" ref="C38:AF38" si="4">SUM(C11:C36)</f>
        <v>1178</v>
      </c>
      <c r="D38" s="70">
        <f t="shared" si="4"/>
        <v>1155</v>
      </c>
      <c r="E38" s="70">
        <f t="shared" si="4"/>
        <v>1135.3</v>
      </c>
      <c r="F38" s="70">
        <f t="shared" si="4"/>
        <v>1135.3</v>
      </c>
      <c r="G38" s="70">
        <f t="shared" si="4"/>
        <v>1135.3</v>
      </c>
      <c r="H38" s="70">
        <f t="shared" si="4"/>
        <v>1048.9000000000001</v>
      </c>
      <c r="I38" s="70">
        <f t="shared" si="4"/>
        <v>1038.9000000000001</v>
      </c>
      <c r="J38" s="70">
        <f t="shared" si="4"/>
        <v>978.9</v>
      </c>
      <c r="K38" s="70">
        <f t="shared" si="4"/>
        <v>1058.9000000000001</v>
      </c>
      <c r="L38" s="70">
        <f t="shared" si="4"/>
        <v>1058.9000000000001</v>
      </c>
      <c r="M38" s="70">
        <f t="shared" si="4"/>
        <v>1094.9000000000001</v>
      </c>
      <c r="N38" s="70">
        <f t="shared" si="4"/>
        <v>1162.9000000000001</v>
      </c>
      <c r="O38" s="70">
        <f t="shared" si="4"/>
        <v>1173.9000000000001</v>
      </c>
      <c r="P38" s="70">
        <f t="shared" si="4"/>
        <v>1170.5</v>
      </c>
      <c r="Q38" s="70">
        <f t="shared" si="4"/>
        <v>1170.5</v>
      </c>
      <c r="R38" s="70">
        <f t="shared" si="4"/>
        <v>1170.5</v>
      </c>
      <c r="S38" s="70">
        <f t="shared" si="4"/>
        <v>1170.5</v>
      </c>
      <c r="T38" s="70">
        <f t="shared" si="4"/>
        <v>1164.5</v>
      </c>
      <c r="U38" s="70">
        <f t="shared" si="4"/>
        <v>1164.9000000000001</v>
      </c>
      <c r="V38" s="70">
        <f t="shared" si="4"/>
        <v>1151.8000000000002</v>
      </c>
      <c r="W38" s="70">
        <f t="shared" si="4"/>
        <v>1147.8000000000002</v>
      </c>
      <c r="X38" s="70">
        <f t="shared" si="4"/>
        <v>1047.2</v>
      </c>
      <c r="Y38" s="70">
        <f t="shared" si="4"/>
        <v>1062.9000000000001</v>
      </c>
      <c r="Z38" s="70">
        <f t="shared" si="4"/>
        <v>1098</v>
      </c>
      <c r="AA38" s="70">
        <f t="shared" si="4"/>
        <v>1219</v>
      </c>
      <c r="AB38" s="70">
        <f t="shared" si="4"/>
        <v>1193</v>
      </c>
      <c r="AC38" s="70">
        <f t="shared" si="4"/>
        <v>1193</v>
      </c>
      <c r="AD38" s="70">
        <f t="shared" si="4"/>
        <v>1193</v>
      </c>
      <c r="AE38" s="70">
        <f t="shared" si="4"/>
        <v>1219</v>
      </c>
      <c r="AF38" s="70">
        <f t="shared" si="4"/>
        <v>1143</v>
      </c>
      <c r="AG38" s="64">
        <f>SUM(AG11:AG37)</f>
        <v>1492.8299999999997</v>
      </c>
      <c r="AH38" s="55">
        <f t="shared" si="2"/>
        <v>1219</v>
      </c>
      <c r="AI38" s="56">
        <f t="shared" si="3"/>
        <v>978.9</v>
      </c>
      <c r="AK38" s="57"/>
    </row>
    <row r="39" spans="1:88" x14ac:dyDescent="0.25">
      <c r="A39" s="58" t="s">
        <v>47</v>
      </c>
      <c r="B39" s="51">
        <v>145.19999999999999</v>
      </c>
      <c r="C39" s="51">
        <v>145.19999999999999</v>
      </c>
      <c r="D39" s="51">
        <v>145.19999999999999</v>
      </c>
      <c r="E39" s="51">
        <v>144.4</v>
      </c>
      <c r="F39" s="51">
        <v>144.19999999999999</v>
      </c>
      <c r="G39" s="51">
        <v>144.19999999999999</v>
      </c>
      <c r="H39" s="51">
        <v>144.19999999999999</v>
      </c>
      <c r="I39" s="51">
        <v>144.30000000000001</v>
      </c>
      <c r="J39" s="51">
        <v>140</v>
      </c>
      <c r="K39" s="51">
        <v>145</v>
      </c>
      <c r="L39" s="51">
        <v>145</v>
      </c>
      <c r="M39" s="51">
        <v>145</v>
      </c>
      <c r="N39" s="51">
        <v>145</v>
      </c>
      <c r="O39" s="51">
        <v>98</v>
      </c>
      <c r="P39" s="51">
        <v>144.5</v>
      </c>
      <c r="Q39" s="51">
        <v>144.80000000000001</v>
      </c>
      <c r="R39" s="51">
        <v>144.5</v>
      </c>
      <c r="S39" s="51">
        <v>144.19999999999999</v>
      </c>
      <c r="T39" s="51">
        <v>144.30000000000001</v>
      </c>
      <c r="U39" s="51">
        <v>144.4</v>
      </c>
      <c r="V39" s="51">
        <v>143.9</v>
      </c>
      <c r="W39" s="51">
        <v>144.5</v>
      </c>
      <c r="X39" s="51">
        <v>144.5</v>
      </c>
      <c r="Y39" s="51">
        <v>144</v>
      </c>
      <c r="Z39" s="51">
        <v>144.4</v>
      </c>
      <c r="AA39" s="51">
        <v>145.1</v>
      </c>
      <c r="AB39" s="51">
        <v>144.69999999999999</v>
      </c>
      <c r="AC39" s="51">
        <v>144.30000000000001</v>
      </c>
      <c r="AD39" s="51">
        <v>144.30000000000001</v>
      </c>
      <c r="AE39" s="51">
        <v>144.30000000000001</v>
      </c>
      <c r="AF39" s="51">
        <v>144.30000000000001</v>
      </c>
      <c r="AG39" s="60">
        <v>144</v>
      </c>
      <c r="AH39" s="55">
        <f t="shared" si="2"/>
        <v>145.19999999999999</v>
      </c>
      <c r="AI39" s="56">
        <f t="shared" si="3"/>
        <v>98</v>
      </c>
      <c r="AK39" s="57"/>
    </row>
    <row r="40" spans="1:88" x14ac:dyDescent="0.25">
      <c r="A40" s="63" t="s">
        <v>48</v>
      </c>
      <c r="B40" s="49">
        <v>71.3</v>
      </c>
      <c r="C40" s="49">
        <v>71.3</v>
      </c>
      <c r="D40" s="49">
        <v>71.3</v>
      </c>
      <c r="E40" s="49">
        <v>70.2</v>
      </c>
      <c r="F40" s="49">
        <v>70.599999999999994</v>
      </c>
      <c r="G40" s="49">
        <v>70.599999999999994</v>
      </c>
      <c r="H40" s="49">
        <v>70.599999999999994</v>
      </c>
      <c r="I40" s="49">
        <v>72.7</v>
      </c>
      <c r="J40" s="49">
        <v>73.8</v>
      </c>
      <c r="K40" s="49">
        <v>71.3</v>
      </c>
      <c r="L40" s="49">
        <v>71.3</v>
      </c>
      <c r="M40" s="51">
        <v>70.3</v>
      </c>
      <c r="N40" s="51">
        <v>70.3</v>
      </c>
      <c r="O40" s="51">
        <v>70.3</v>
      </c>
      <c r="P40" s="51">
        <v>71.900000000000006</v>
      </c>
      <c r="Q40" s="51">
        <v>71.900000000000006</v>
      </c>
      <c r="R40" s="51">
        <v>73.8</v>
      </c>
      <c r="S40" s="49">
        <v>74</v>
      </c>
      <c r="T40" s="49">
        <v>72.3</v>
      </c>
      <c r="U40" s="49">
        <v>73.400000000000006</v>
      </c>
      <c r="V40" s="49">
        <v>70</v>
      </c>
      <c r="W40" s="49">
        <v>71.7</v>
      </c>
      <c r="X40" s="49">
        <v>71.900000000000006</v>
      </c>
      <c r="Y40" s="49">
        <v>71.599999999999994</v>
      </c>
      <c r="Z40" s="49">
        <v>71.7</v>
      </c>
      <c r="AA40" s="49">
        <v>73.3</v>
      </c>
      <c r="AB40" s="49">
        <v>71</v>
      </c>
      <c r="AC40" s="49">
        <v>70.3</v>
      </c>
      <c r="AD40" s="49">
        <v>70.8</v>
      </c>
      <c r="AE40" s="49">
        <v>70.8</v>
      </c>
      <c r="AF40" s="49">
        <v>70.8</v>
      </c>
      <c r="AG40" s="64">
        <v>70</v>
      </c>
      <c r="AH40" s="55">
        <f t="shared" si="2"/>
        <v>74</v>
      </c>
      <c r="AI40" s="56">
        <f t="shared" si="3"/>
        <v>70</v>
      </c>
      <c r="AK40" s="57"/>
    </row>
    <row r="41" spans="1:88" x14ac:dyDescent="0.25">
      <c r="A41" s="63" t="s">
        <v>49</v>
      </c>
      <c r="B41" s="49">
        <v>59.5</v>
      </c>
      <c r="C41" s="49">
        <v>59.5</v>
      </c>
      <c r="D41" s="49">
        <v>59.5</v>
      </c>
      <c r="E41" s="49">
        <v>58.7</v>
      </c>
      <c r="F41" s="49">
        <v>43.2</v>
      </c>
      <c r="G41" s="49">
        <v>50</v>
      </c>
      <c r="H41" s="49">
        <v>43.3</v>
      </c>
      <c r="I41" s="49">
        <v>43.2</v>
      </c>
      <c r="J41" s="49">
        <v>58.9</v>
      </c>
      <c r="K41" s="49">
        <v>58.6</v>
      </c>
      <c r="L41" s="49">
        <v>58.6</v>
      </c>
      <c r="M41" s="51">
        <v>58.4</v>
      </c>
      <c r="N41" s="51">
        <v>58.4</v>
      </c>
      <c r="O41" s="51">
        <v>58.4</v>
      </c>
      <c r="P41" s="51">
        <v>58</v>
      </c>
      <c r="Q41" s="51">
        <v>58</v>
      </c>
      <c r="R41" s="51">
        <v>58.2</v>
      </c>
      <c r="S41" s="49">
        <v>58.2</v>
      </c>
      <c r="T41" s="49">
        <v>58.5</v>
      </c>
      <c r="U41" s="49">
        <v>58.4</v>
      </c>
      <c r="V41" s="49">
        <v>58.3</v>
      </c>
      <c r="W41" s="49">
        <v>57.9</v>
      </c>
      <c r="X41" s="49">
        <v>57.9</v>
      </c>
      <c r="Y41" s="49">
        <v>57.8</v>
      </c>
      <c r="Z41" s="49">
        <v>57.3</v>
      </c>
      <c r="AA41" s="49">
        <v>56.8</v>
      </c>
      <c r="AB41" s="49">
        <v>57</v>
      </c>
      <c r="AC41" s="49">
        <v>57</v>
      </c>
      <c r="AD41" s="49">
        <v>57</v>
      </c>
      <c r="AE41" s="49">
        <v>57</v>
      </c>
      <c r="AF41" s="49">
        <v>57</v>
      </c>
      <c r="AG41" s="64">
        <v>69</v>
      </c>
      <c r="AH41" s="55">
        <f t="shared" si="2"/>
        <v>59.5</v>
      </c>
      <c r="AI41" s="56">
        <f t="shared" si="3"/>
        <v>43.2</v>
      </c>
      <c r="AK41" s="57"/>
    </row>
    <row r="42" spans="1:88" x14ac:dyDescent="0.25">
      <c r="A42" s="63" t="s">
        <v>50</v>
      </c>
      <c r="B42" s="66">
        <v>60.4</v>
      </c>
      <c r="C42" s="66">
        <v>60.4</v>
      </c>
      <c r="D42" s="66">
        <v>60.4</v>
      </c>
      <c r="E42" s="66">
        <v>60.7</v>
      </c>
      <c r="F42" s="66">
        <v>60.7</v>
      </c>
      <c r="G42" s="66">
        <v>60.7</v>
      </c>
      <c r="H42" s="66">
        <v>60.7</v>
      </c>
      <c r="I42" s="66">
        <v>60.7</v>
      </c>
      <c r="J42" s="66">
        <v>60.7</v>
      </c>
      <c r="K42" s="66">
        <v>60.7</v>
      </c>
      <c r="L42" s="66">
        <v>60.7</v>
      </c>
      <c r="M42" s="51">
        <v>60.7</v>
      </c>
      <c r="N42" s="51">
        <v>60.7</v>
      </c>
      <c r="O42" s="51">
        <v>60.7</v>
      </c>
      <c r="P42" s="51">
        <v>60.7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49">
        <v>60.9</v>
      </c>
      <c r="W42" s="49">
        <v>60.9</v>
      </c>
      <c r="X42" s="49">
        <v>60.9</v>
      </c>
      <c r="Y42" s="49">
        <v>60.9</v>
      </c>
      <c r="Z42" s="49">
        <v>60.9</v>
      </c>
      <c r="AA42" s="49">
        <v>60.9</v>
      </c>
      <c r="AB42" s="49">
        <v>60.9</v>
      </c>
      <c r="AC42" s="49">
        <v>60.9</v>
      </c>
      <c r="AD42" s="49">
        <v>60.9</v>
      </c>
      <c r="AE42" s="49">
        <v>60.9</v>
      </c>
      <c r="AF42" s="49">
        <v>60.9</v>
      </c>
      <c r="AG42" s="64">
        <v>60</v>
      </c>
      <c r="AH42" s="55">
        <f t="shared" si="2"/>
        <v>60.9</v>
      </c>
      <c r="AI42" s="56">
        <f t="shared" si="3"/>
        <v>60.4</v>
      </c>
      <c r="AK42" s="57"/>
    </row>
    <row r="43" spans="1:88" x14ac:dyDescent="0.25">
      <c r="A43" s="63" t="s">
        <v>51</v>
      </c>
      <c r="B43" s="66">
        <v>29.5</v>
      </c>
      <c r="C43" s="66">
        <v>29.5</v>
      </c>
      <c r="D43" s="66">
        <v>29.5</v>
      </c>
      <c r="E43" s="66">
        <v>29</v>
      </c>
      <c r="F43" s="66">
        <v>28.8</v>
      </c>
      <c r="G43" s="66">
        <v>28.8</v>
      </c>
      <c r="H43" s="66">
        <v>20</v>
      </c>
      <c r="I43" s="66">
        <v>16</v>
      </c>
      <c r="J43" s="66">
        <v>16</v>
      </c>
      <c r="K43" s="66">
        <v>16</v>
      </c>
      <c r="L43" s="66">
        <v>16</v>
      </c>
      <c r="M43" s="51">
        <v>16</v>
      </c>
      <c r="N43" s="51">
        <v>19</v>
      </c>
      <c r="O43" s="51">
        <v>19</v>
      </c>
      <c r="P43" s="51">
        <v>25</v>
      </c>
      <c r="Q43" s="51">
        <v>27</v>
      </c>
      <c r="R43" s="51">
        <v>23</v>
      </c>
      <c r="S43" s="51">
        <v>22</v>
      </c>
      <c r="T43" s="51">
        <v>15</v>
      </c>
      <c r="U43" s="51">
        <v>15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49">
        <v>18</v>
      </c>
      <c r="AB43" s="49">
        <v>18</v>
      </c>
      <c r="AC43" s="49">
        <v>18</v>
      </c>
      <c r="AD43" s="49">
        <v>18</v>
      </c>
      <c r="AE43" s="49">
        <v>18</v>
      </c>
      <c r="AF43" s="49">
        <v>18</v>
      </c>
      <c r="AG43" s="64">
        <v>30</v>
      </c>
      <c r="AH43" s="55">
        <f t="shared" si="2"/>
        <v>29.5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8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15.1</v>
      </c>
      <c r="C45" s="49">
        <v>15.1</v>
      </c>
      <c r="D45" s="49">
        <v>15.1</v>
      </c>
      <c r="E45" s="49">
        <v>15.1</v>
      </c>
      <c r="F45" s="49">
        <v>15.1</v>
      </c>
      <c r="G45" s="49">
        <v>15.1</v>
      </c>
      <c r="H45" s="49">
        <v>15.1</v>
      </c>
      <c r="I45" s="49">
        <v>15.1</v>
      </c>
      <c r="J45" s="49">
        <v>15.1</v>
      </c>
      <c r="K45" s="49">
        <v>15.1</v>
      </c>
      <c r="L45" s="49">
        <v>15.1</v>
      </c>
      <c r="M45" s="51">
        <v>15.2</v>
      </c>
      <c r="N45" s="51">
        <v>15.2</v>
      </c>
      <c r="O45" s="51">
        <v>15.2</v>
      </c>
      <c r="P45" s="51">
        <v>15.7</v>
      </c>
      <c r="Q45" s="51">
        <v>15.7</v>
      </c>
      <c r="R45" s="51">
        <v>15.7</v>
      </c>
      <c r="S45" s="51">
        <v>15.7</v>
      </c>
      <c r="T45" s="51">
        <v>15.7</v>
      </c>
      <c r="U45" s="51">
        <v>17.600000000000001</v>
      </c>
      <c r="V45" s="51">
        <v>17.7</v>
      </c>
      <c r="W45" s="51">
        <v>17.7</v>
      </c>
      <c r="X45" s="51">
        <v>17.7</v>
      </c>
      <c r="Y45" s="51">
        <v>17.7</v>
      </c>
      <c r="Z45" s="51">
        <v>17.7</v>
      </c>
      <c r="AA45" s="51">
        <v>17.7</v>
      </c>
      <c r="AB45" s="51">
        <v>17.7</v>
      </c>
      <c r="AC45" s="51">
        <v>17.7</v>
      </c>
      <c r="AD45" s="51">
        <v>17.7</v>
      </c>
      <c r="AE45" s="51">
        <v>17.7</v>
      </c>
      <c r="AF45" s="51">
        <v>17.7</v>
      </c>
      <c r="AG45" s="64">
        <v>24</v>
      </c>
      <c r="AH45" s="55">
        <f t="shared" si="2"/>
        <v>17.7</v>
      </c>
      <c r="AI45" s="56">
        <f t="shared" si="3"/>
        <v>15.1</v>
      </c>
      <c r="AK45" s="57"/>
    </row>
    <row r="46" spans="1:88" x14ac:dyDescent="0.25">
      <c r="A46" s="63" t="s">
        <v>54</v>
      </c>
      <c r="B46" s="49">
        <v>2.4</v>
      </c>
      <c r="C46" s="49">
        <v>2.4</v>
      </c>
      <c r="D46" s="49">
        <v>2.4</v>
      </c>
      <c r="E46" s="49">
        <v>2.4</v>
      </c>
      <c r="F46" s="49">
        <v>2.4</v>
      </c>
      <c r="G46" s="49">
        <v>2.4</v>
      </c>
      <c r="H46" s="49">
        <v>2.4</v>
      </c>
      <c r="I46" s="49">
        <v>2.4</v>
      </c>
      <c r="J46" s="49">
        <v>2.4</v>
      </c>
      <c r="K46" s="49">
        <v>2.4</v>
      </c>
      <c r="L46" s="49">
        <v>2.4</v>
      </c>
      <c r="M46" s="51">
        <v>2.4</v>
      </c>
      <c r="N46" s="51">
        <v>2.4</v>
      </c>
      <c r="O46" s="51">
        <v>2.4</v>
      </c>
      <c r="P46" s="51">
        <v>2.4</v>
      </c>
      <c r="Q46" s="51">
        <v>2.4</v>
      </c>
      <c r="R46" s="51">
        <v>2.4</v>
      </c>
      <c r="S46" s="51">
        <v>2.4</v>
      </c>
      <c r="T46" s="51">
        <v>2.4</v>
      </c>
      <c r="U46" s="51">
        <v>2.4</v>
      </c>
      <c r="V46" s="51">
        <v>2.4</v>
      </c>
      <c r="W46" s="51">
        <v>2.4</v>
      </c>
      <c r="X46" s="51">
        <v>2.4</v>
      </c>
      <c r="Y46" s="51">
        <v>2.4</v>
      </c>
      <c r="Z46" s="51">
        <v>2.4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4">
        <v>15</v>
      </c>
      <c r="AH46" s="55">
        <f t="shared" si="2"/>
        <v>2.4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11.2</v>
      </c>
      <c r="C47" s="49">
        <v>11.2</v>
      </c>
      <c r="D47" s="49">
        <v>11.2</v>
      </c>
      <c r="E47" s="49">
        <v>11.2</v>
      </c>
      <c r="F47" s="49">
        <v>11.2</v>
      </c>
      <c r="G47" s="49">
        <v>11.2</v>
      </c>
      <c r="H47" s="49">
        <v>11.2</v>
      </c>
      <c r="I47" s="49">
        <v>11.2</v>
      </c>
      <c r="J47" s="49">
        <v>11.2</v>
      </c>
      <c r="K47" s="49">
        <v>11.2</v>
      </c>
      <c r="L47" s="49">
        <v>11.2</v>
      </c>
      <c r="M47" s="51">
        <v>11.2</v>
      </c>
      <c r="N47" s="51">
        <v>11.2</v>
      </c>
      <c r="O47" s="51">
        <v>11.2</v>
      </c>
      <c r="P47" s="51">
        <v>10.3</v>
      </c>
      <c r="Q47" s="51">
        <v>10.3</v>
      </c>
      <c r="R47" s="51">
        <v>10.3</v>
      </c>
      <c r="S47" s="51">
        <v>10.3</v>
      </c>
      <c r="T47" s="51">
        <v>10.3</v>
      </c>
      <c r="U47" s="51">
        <v>10.3</v>
      </c>
      <c r="V47" s="51">
        <v>10.3</v>
      </c>
      <c r="W47" s="51">
        <v>10.3</v>
      </c>
      <c r="X47" s="51">
        <v>10.3</v>
      </c>
      <c r="Y47" s="51">
        <v>10.3</v>
      </c>
      <c r="Z47" s="51">
        <v>10.3</v>
      </c>
      <c r="AA47" s="51">
        <v>13.5</v>
      </c>
      <c r="AB47" s="51">
        <v>13.5</v>
      </c>
      <c r="AC47" s="51">
        <v>13.5</v>
      </c>
      <c r="AD47" s="51">
        <v>13.5</v>
      </c>
      <c r="AE47" s="51">
        <v>13.5</v>
      </c>
      <c r="AF47" s="51">
        <v>13.5</v>
      </c>
      <c r="AG47" s="64">
        <v>14.1</v>
      </c>
      <c r="AH47" s="55">
        <f t="shared" si="2"/>
        <v>13.5</v>
      </c>
      <c r="AI47" s="56">
        <f t="shared" si="3"/>
        <v>10.3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13.5</v>
      </c>
      <c r="C48" s="49">
        <v>13.5</v>
      </c>
      <c r="D48" s="49">
        <v>13.5</v>
      </c>
      <c r="E48" s="49">
        <v>13.5</v>
      </c>
      <c r="F48" s="49">
        <v>13.5</v>
      </c>
      <c r="G48" s="49">
        <v>13.5</v>
      </c>
      <c r="H48" s="49">
        <v>3</v>
      </c>
      <c r="I48" s="49">
        <v>3</v>
      </c>
      <c r="J48" s="49">
        <v>3</v>
      </c>
      <c r="K48" s="49">
        <v>6</v>
      </c>
      <c r="L48" s="49">
        <v>8</v>
      </c>
      <c r="M48" s="51">
        <v>8</v>
      </c>
      <c r="N48" s="51">
        <v>8</v>
      </c>
      <c r="O48" s="51">
        <v>8</v>
      </c>
      <c r="P48" s="51">
        <v>10.9</v>
      </c>
      <c r="Q48" s="51">
        <v>10.9</v>
      </c>
      <c r="R48" s="51">
        <v>10.9</v>
      </c>
      <c r="S48" s="51">
        <v>10.9</v>
      </c>
      <c r="T48" s="51">
        <v>10.9</v>
      </c>
      <c r="U48" s="51">
        <v>10.9</v>
      </c>
      <c r="V48" s="51">
        <v>10.9</v>
      </c>
      <c r="W48" s="51">
        <v>10.9</v>
      </c>
      <c r="X48" s="51">
        <v>10.9</v>
      </c>
      <c r="Y48" s="51">
        <v>10.9</v>
      </c>
      <c r="Z48" s="51">
        <v>10.9</v>
      </c>
      <c r="AA48" s="51">
        <v>13.5</v>
      </c>
      <c r="AB48" s="51">
        <v>13.5</v>
      </c>
      <c r="AC48" s="51">
        <v>13.5</v>
      </c>
      <c r="AD48" s="51">
        <v>13.5</v>
      </c>
      <c r="AE48" s="51">
        <v>13.5</v>
      </c>
      <c r="AF48" s="51">
        <v>13.5</v>
      </c>
      <c r="AG48" s="64">
        <v>14</v>
      </c>
      <c r="AH48" s="55">
        <f t="shared" si="2"/>
        <v>13.5</v>
      </c>
      <c r="AI48" s="56">
        <f t="shared" si="3"/>
        <v>3</v>
      </c>
      <c r="AK48" s="57"/>
    </row>
    <row r="49" spans="1:37" x14ac:dyDescent="0.25">
      <c r="A49" s="63" t="s">
        <v>57</v>
      </c>
      <c r="B49" s="49">
        <v>7.4</v>
      </c>
      <c r="C49" s="49">
        <v>7.4</v>
      </c>
      <c r="D49" s="49">
        <v>7.4</v>
      </c>
      <c r="E49" s="49">
        <v>7.4</v>
      </c>
      <c r="F49" s="49">
        <v>7.4</v>
      </c>
      <c r="G49" s="49">
        <v>7.4</v>
      </c>
      <c r="H49" s="49">
        <v>7.4</v>
      </c>
      <c r="I49" s="49">
        <v>7.4</v>
      </c>
      <c r="J49" s="49">
        <v>7.4</v>
      </c>
      <c r="K49" s="49">
        <v>7.4</v>
      </c>
      <c r="L49" s="49">
        <v>7.4</v>
      </c>
      <c r="M49" s="51">
        <v>9</v>
      </c>
      <c r="N49" s="51">
        <v>9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7.4</v>
      </c>
      <c r="AB49" s="51">
        <v>7.4</v>
      </c>
      <c r="AC49" s="51">
        <v>7.4</v>
      </c>
      <c r="AD49" s="51">
        <v>7.4</v>
      </c>
      <c r="AE49" s="51">
        <v>7.4</v>
      </c>
      <c r="AF49" s="51">
        <v>7.4</v>
      </c>
      <c r="AG49" s="64">
        <v>10.050000000000001</v>
      </c>
      <c r="AH49" s="55">
        <f t="shared" si="2"/>
        <v>9</v>
      </c>
      <c r="AI49" s="56">
        <f t="shared" si="3"/>
        <v>7.4</v>
      </c>
      <c r="AK49" s="57"/>
    </row>
    <row r="50" spans="1:37" x14ac:dyDescent="0.25">
      <c r="A50" s="63" t="s">
        <v>58</v>
      </c>
      <c r="B50" s="49">
        <v>3.1</v>
      </c>
      <c r="C50" s="49">
        <v>3.1</v>
      </c>
      <c r="D50" s="49">
        <v>3.1</v>
      </c>
      <c r="E50" s="49">
        <v>3.1</v>
      </c>
      <c r="F50" s="49">
        <v>3.1</v>
      </c>
      <c r="G50" s="49">
        <v>3.1</v>
      </c>
      <c r="H50" s="49">
        <v>3.1</v>
      </c>
      <c r="I50" s="49">
        <v>3.1</v>
      </c>
      <c r="J50" s="49">
        <v>3.1</v>
      </c>
      <c r="K50" s="49">
        <v>3.1</v>
      </c>
      <c r="L50" s="49">
        <v>3.1</v>
      </c>
      <c r="M50" s="51">
        <v>6</v>
      </c>
      <c r="N50" s="51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4">
        <v>6.2</v>
      </c>
      <c r="AH50" s="55">
        <f t="shared" si="2"/>
        <v>6</v>
      </c>
      <c r="AI50" s="56">
        <f t="shared" si="3"/>
        <v>3.1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422.14</v>
      </c>
      <c r="C52" s="70">
        <f t="shared" ref="C52:AF52" si="6">SUM(C39:C51)</f>
        <v>422.14</v>
      </c>
      <c r="D52" s="70">
        <f t="shared" si="6"/>
        <v>422.14</v>
      </c>
      <c r="E52" s="70">
        <f t="shared" si="6"/>
        <v>419.24</v>
      </c>
      <c r="F52" s="70">
        <f t="shared" si="6"/>
        <v>403.74</v>
      </c>
      <c r="G52" s="70">
        <f t="shared" si="6"/>
        <v>410.53999999999996</v>
      </c>
      <c r="H52" s="70">
        <f t="shared" si="6"/>
        <v>384.53999999999996</v>
      </c>
      <c r="I52" s="70">
        <f t="shared" si="6"/>
        <v>382.64</v>
      </c>
      <c r="J52" s="70">
        <f t="shared" si="6"/>
        <v>395.14</v>
      </c>
      <c r="K52" s="70">
        <f t="shared" si="6"/>
        <v>400.34000000000003</v>
      </c>
      <c r="L52" s="70">
        <f t="shared" si="6"/>
        <v>410.34000000000003</v>
      </c>
      <c r="M52" s="70">
        <f t="shared" si="6"/>
        <v>413.73999999999995</v>
      </c>
      <c r="N52" s="70">
        <f t="shared" si="6"/>
        <v>416.73999999999995</v>
      </c>
      <c r="O52" s="70">
        <f t="shared" si="6"/>
        <v>369.74</v>
      </c>
      <c r="P52" s="70">
        <f t="shared" si="6"/>
        <v>425.93999999999994</v>
      </c>
      <c r="Q52" s="70">
        <f t="shared" si="6"/>
        <v>428.44</v>
      </c>
      <c r="R52" s="70">
        <f t="shared" si="6"/>
        <v>426.23999999999995</v>
      </c>
      <c r="S52" s="70">
        <f t="shared" si="6"/>
        <v>425.13999999999993</v>
      </c>
      <c r="T52" s="70">
        <f t="shared" si="6"/>
        <v>416.84</v>
      </c>
      <c r="U52" s="70">
        <f t="shared" si="6"/>
        <v>419.84</v>
      </c>
      <c r="V52" s="70">
        <f t="shared" si="6"/>
        <v>400.93999999999994</v>
      </c>
      <c r="W52" s="70">
        <f t="shared" si="6"/>
        <v>402.83999999999992</v>
      </c>
      <c r="X52" s="70">
        <f t="shared" si="6"/>
        <v>403.03999999999996</v>
      </c>
      <c r="Y52" s="70">
        <f t="shared" si="6"/>
        <v>402.13999999999993</v>
      </c>
      <c r="Z52" s="70">
        <f t="shared" si="6"/>
        <v>402.14</v>
      </c>
      <c r="AA52" s="70">
        <f t="shared" si="6"/>
        <v>412.84</v>
      </c>
      <c r="AB52" s="70">
        <f t="shared" si="6"/>
        <v>410.34</v>
      </c>
      <c r="AC52" s="70">
        <f t="shared" si="6"/>
        <v>409.24</v>
      </c>
      <c r="AD52" s="70">
        <f t="shared" si="6"/>
        <v>409.74</v>
      </c>
      <c r="AE52" s="70">
        <f t="shared" si="6"/>
        <v>409.74</v>
      </c>
      <c r="AF52" s="70">
        <f t="shared" si="6"/>
        <v>409.74</v>
      </c>
      <c r="AG52" s="74">
        <f>SUM(AG39:AG51)</f>
        <v>489.91</v>
      </c>
      <c r="AH52" s="55">
        <f t="shared" si="2"/>
        <v>428.44</v>
      </c>
      <c r="AI52" s="56">
        <f t="shared" si="3"/>
        <v>369.74</v>
      </c>
      <c r="AK52" s="57"/>
    </row>
    <row r="53" spans="1:37" x14ac:dyDescent="0.25">
      <c r="A53" s="58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10.4</v>
      </c>
      <c r="Q53" s="51">
        <v>10.4</v>
      </c>
      <c r="R53" s="51">
        <v>10.4</v>
      </c>
      <c r="S53" s="51">
        <v>13.5</v>
      </c>
      <c r="T53" s="51">
        <v>30</v>
      </c>
      <c r="U53" s="51">
        <v>0</v>
      </c>
      <c r="V53" s="51">
        <v>10.9</v>
      </c>
      <c r="W53" s="51">
        <v>10.9</v>
      </c>
      <c r="X53" s="51">
        <v>20</v>
      </c>
      <c r="Y53" s="51">
        <v>11</v>
      </c>
      <c r="Z53" s="51">
        <v>10.6</v>
      </c>
      <c r="AA53" s="51">
        <v>35</v>
      </c>
      <c r="AB53" s="51">
        <v>34.200000000000003</v>
      </c>
      <c r="AC53" s="51">
        <v>34.200000000000003</v>
      </c>
      <c r="AD53" s="51">
        <v>14</v>
      </c>
      <c r="AE53" s="51">
        <v>13.8</v>
      </c>
      <c r="AF53" s="51">
        <v>20</v>
      </c>
      <c r="AG53" s="60">
        <v>60</v>
      </c>
      <c r="AH53" s="55">
        <f t="shared" si="2"/>
        <v>35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3.9</v>
      </c>
      <c r="Q54" s="49">
        <v>5.4</v>
      </c>
      <c r="R54" s="49">
        <v>5.4</v>
      </c>
      <c r="S54" s="49">
        <v>5.7</v>
      </c>
      <c r="T54" s="49">
        <v>5.6</v>
      </c>
      <c r="U54" s="49">
        <v>0</v>
      </c>
      <c r="V54" s="49">
        <v>4.5999999999999996</v>
      </c>
      <c r="W54" s="49">
        <v>5.0999999999999996</v>
      </c>
      <c r="X54" s="49">
        <v>5.0999999999999996</v>
      </c>
      <c r="Y54" s="49">
        <v>5.4</v>
      </c>
      <c r="Z54" s="49">
        <v>5.4</v>
      </c>
      <c r="AA54" s="49">
        <v>7.1</v>
      </c>
      <c r="AB54" s="49">
        <v>16.2</v>
      </c>
      <c r="AC54" s="49">
        <v>16.2</v>
      </c>
      <c r="AD54" s="49">
        <v>9.5</v>
      </c>
      <c r="AE54" s="49">
        <v>14</v>
      </c>
      <c r="AF54" s="49">
        <v>10.3</v>
      </c>
      <c r="AG54" s="64">
        <v>32</v>
      </c>
      <c r="AH54" s="55">
        <f t="shared" si="2"/>
        <v>16.2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1.4</v>
      </c>
      <c r="Q55" s="75">
        <v>2</v>
      </c>
      <c r="R55" s="75">
        <v>2</v>
      </c>
      <c r="S55" s="75">
        <v>2.1</v>
      </c>
      <c r="T55" s="75">
        <v>2.2000000000000002</v>
      </c>
      <c r="U55" s="75">
        <v>0</v>
      </c>
      <c r="V55" s="75">
        <v>1.7</v>
      </c>
      <c r="W55" s="75">
        <v>1.9</v>
      </c>
      <c r="X55" s="75">
        <v>1.9</v>
      </c>
      <c r="Y55" s="75">
        <v>2</v>
      </c>
      <c r="Z55" s="75">
        <v>2</v>
      </c>
      <c r="AA55" s="75">
        <v>2.6</v>
      </c>
      <c r="AB55" s="75">
        <v>5.9</v>
      </c>
      <c r="AC55" s="75">
        <v>5.9</v>
      </c>
      <c r="AD55" s="75">
        <v>3.5</v>
      </c>
      <c r="AE55" s="75">
        <v>5.0999999999999996</v>
      </c>
      <c r="AF55" s="75">
        <v>3.8</v>
      </c>
      <c r="AG55" s="76">
        <v>14</v>
      </c>
      <c r="AH55" s="55">
        <f t="shared" si="2"/>
        <v>5.9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7">SUM(B53:B55)</f>
        <v>0</v>
      </c>
      <c r="C56" s="70">
        <f t="shared" si="7"/>
        <v>0</v>
      </c>
      <c r="D56" s="70">
        <f t="shared" si="7"/>
        <v>0</v>
      </c>
      <c r="E56" s="70">
        <f t="shared" si="7"/>
        <v>0</v>
      </c>
      <c r="F56" s="70">
        <f t="shared" si="7"/>
        <v>0</v>
      </c>
      <c r="G56" s="70">
        <f t="shared" si="7"/>
        <v>0</v>
      </c>
      <c r="H56" s="70">
        <f t="shared" si="7"/>
        <v>0</v>
      </c>
      <c r="I56" s="70">
        <f t="shared" si="7"/>
        <v>0</v>
      </c>
      <c r="J56" s="70">
        <f t="shared" si="7"/>
        <v>0</v>
      </c>
      <c r="K56" s="70">
        <f t="shared" si="7"/>
        <v>0</v>
      </c>
      <c r="L56" s="70">
        <f t="shared" si="7"/>
        <v>0</v>
      </c>
      <c r="M56" s="70">
        <f t="shared" si="7"/>
        <v>0</v>
      </c>
      <c r="N56" s="70">
        <f t="shared" si="7"/>
        <v>0</v>
      </c>
      <c r="O56" s="70">
        <f t="shared" si="7"/>
        <v>0</v>
      </c>
      <c r="P56" s="70">
        <f t="shared" si="7"/>
        <v>15.700000000000001</v>
      </c>
      <c r="Q56" s="70">
        <f t="shared" si="7"/>
        <v>17.8</v>
      </c>
      <c r="R56" s="70">
        <f t="shared" si="7"/>
        <v>17.8</v>
      </c>
      <c r="S56" s="70">
        <f t="shared" si="7"/>
        <v>21.3</v>
      </c>
      <c r="T56" s="70">
        <f t="shared" si="7"/>
        <v>37.800000000000004</v>
      </c>
      <c r="U56" s="70">
        <f t="shared" si="7"/>
        <v>0</v>
      </c>
      <c r="V56" s="70">
        <f t="shared" si="7"/>
        <v>17.2</v>
      </c>
      <c r="W56" s="70">
        <f t="shared" si="7"/>
        <v>17.899999999999999</v>
      </c>
      <c r="X56" s="70">
        <f t="shared" si="7"/>
        <v>27</v>
      </c>
      <c r="Y56" s="70">
        <f t="shared" si="7"/>
        <v>18.399999999999999</v>
      </c>
      <c r="Z56" s="70">
        <f t="shared" si="7"/>
        <v>18</v>
      </c>
      <c r="AA56" s="70">
        <f t="shared" si="7"/>
        <v>44.7</v>
      </c>
      <c r="AB56" s="70">
        <f t="shared" si="7"/>
        <v>56.300000000000004</v>
      </c>
      <c r="AC56" s="70">
        <f t="shared" si="7"/>
        <v>56.300000000000004</v>
      </c>
      <c r="AD56" s="70">
        <f t="shared" si="7"/>
        <v>27</v>
      </c>
      <c r="AE56" s="70">
        <f t="shared" si="7"/>
        <v>32.9</v>
      </c>
      <c r="AF56" s="70">
        <f t="shared" si="7"/>
        <v>34.1</v>
      </c>
      <c r="AG56" s="74">
        <f>SUM(AG53:AG55)</f>
        <v>106</v>
      </c>
      <c r="AH56" s="55">
        <f t="shared" si="2"/>
        <v>56.300000000000004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76.8</v>
      </c>
      <c r="C57" s="51">
        <v>76.8</v>
      </c>
      <c r="D57" s="51">
        <v>79.3</v>
      </c>
      <c r="E57" s="51">
        <v>73</v>
      </c>
      <c r="F57" s="51">
        <v>70.8</v>
      </c>
      <c r="G57" s="51">
        <v>69.400000000000006</v>
      </c>
      <c r="H57" s="51">
        <v>61.6</v>
      </c>
      <c r="I57" s="51">
        <v>69.2</v>
      </c>
      <c r="J57" s="51">
        <v>67.400000000000006</v>
      </c>
      <c r="K57" s="51" t="s">
        <v>233</v>
      </c>
      <c r="L57" s="51">
        <v>72.400000000000006</v>
      </c>
      <c r="M57" s="51">
        <v>72.7</v>
      </c>
      <c r="N57" s="51">
        <v>68</v>
      </c>
      <c r="O57" s="51">
        <v>71</v>
      </c>
      <c r="P57" s="51">
        <v>70</v>
      </c>
      <c r="Q57" s="51">
        <v>74</v>
      </c>
      <c r="R57" s="51">
        <v>78.5</v>
      </c>
      <c r="S57" s="51">
        <v>69.3</v>
      </c>
      <c r="T57" s="51">
        <v>71.099999999999994</v>
      </c>
      <c r="U57" s="51">
        <v>74.8</v>
      </c>
      <c r="V57" s="51">
        <v>60.2</v>
      </c>
      <c r="W57" s="51">
        <v>65.400000000000006</v>
      </c>
      <c r="X57" s="51">
        <v>74.3</v>
      </c>
      <c r="Y57" s="51">
        <v>68.599999999999994</v>
      </c>
      <c r="Z57" s="51">
        <v>64.599999999999994</v>
      </c>
      <c r="AA57" s="51">
        <v>68.5</v>
      </c>
      <c r="AB57" s="51">
        <v>75.400000000000006</v>
      </c>
      <c r="AC57" s="51">
        <v>74.8</v>
      </c>
      <c r="AD57" s="51">
        <v>78</v>
      </c>
      <c r="AE57" s="51">
        <v>73.099999999999994</v>
      </c>
      <c r="AF57" s="51">
        <v>74.900000000000006</v>
      </c>
      <c r="AG57" s="60"/>
      <c r="AH57" s="55">
        <f t="shared" si="2"/>
        <v>79.3</v>
      </c>
      <c r="AI57" s="56">
        <f t="shared" si="3"/>
        <v>60.2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-297</v>
      </c>
      <c r="C59" s="49">
        <v>-381</v>
      </c>
      <c r="D59" s="49">
        <v>-381</v>
      </c>
      <c r="E59" s="49">
        <v>-379</v>
      </c>
      <c r="F59" s="49">
        <v>-400</v>
      </c>
      <c r="G59" s="49">
        <v>-405</v>
      </c>
      <c r="H59" s="49">
        <v>-364</v>
      </c>
      <c r="I59" s="49">
        <v>-370</v>
      </c>
      <c r="J59" s="49">
        <v>-290</v>
      </c>
      <c r="K59" s="49">
        <v>-262.39999999999998</v>
      </c>
      <c r="L59" s="49">
        <v>-280.39999999999998</v>
      </c>
      <c r="M59" s="49">
        <v>-260</v>
      </c>
      <c r="N59" s="49">
        <v>-267</v>
      </c>
      <c r="O59" s="49">
        <v>-284</v>
      </c>
      <c r="P59" s="49">
        <v>-282</v>
      </c>
      <c r="Q59" s="49">
        <v>-313</v>
      </c>
      <c r="R59" s="49">
        <v>-300</v>
      </c>
      <c r="S59" s="49">
        <v>-293</v>
      </c>
      <c r="T59" s="49">
        <v>-277.8</v>
      </c>
      <c r="U59" s="49">
        <v>-275.2</v>
      </c>
      <c r="V59" s="49">
        <v>-274.39999999999998</v>
      </c>
      <c r="W59" s="49">
        <v>-250.5</v>
      </c>
      <c r="X59" s="49">
        <v>-284.39999999999998</v>
      </c>
      <c r="Y59" s="49">
        <v>-227.7</v>
      </c>
      <c r="Z59" s="49">
        <v>-223.4</v>
      </c>
      <c r="AA59" s="49">
        <v>-226</v>
      </c>
      <c r="AB59" s="49">
        <v>-210</v>
      </c>
      <c r="AC59" s="49">
        <v>-230</v>
      </c>
      <c r="AD59" s="49">
        <v>-243</v>
      </c>
      <c r="AE59" s="49">
        <v>-315</v>
      </c>
      <c r="AF59" s="49">
        <v>-257</v>
      </c>
      <c r="AG59" s="77"/>
      <c r="AH59" s="55">
        <f t="shared" si="2"/>
        <v>-210</v>
      </c>
      <c r="AI59" s="56">
        <f t="shared" si="3"/>
        <v>-405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15</v>
      </c>
      <c r="N60" s="78">
        <v>15</v>
      </c>
      <c r="O60" s="78">
        <v>15</v>
      </c>
      <c r="P60" s="78">
        <v>15</v>
      </c>
      <c r="Q60" s="78">
        <v>15</v>
      </c>
      <c r="R60" s="78">
        <v>15</v>
      </c>
      <c r="S60" s="78">
        <v>15</v>
      </c>
      <c r="T60" s="78">
        <v>15</v>
      </c>
      <c r="U60" s="78">
        <v>15</v>
      </c>
      <c r="V60" s="78">
        <v>15</v>
      </c>
      <c r="W60" s="78">
        <v>15</v>
      </c>
      <c r="X60" s="78">
        <v>15</v>
      </c>
      <c r="Y60" s="78">
        <v>15</v>
      </c>
      <c r="Z60" s="78">
        <v>15</v>
      </c>
      <c r="AA60" s="78">
        <v>13</v>
      </c>
      <c r="AB60" s="78">
        <v>13</v>
      </c>
      <c r="AC60" s="78">
        <v>13</v>
      </c>
      <c r="AD60" s="78">
        <v>13</v>
      </c>
      <c r="AE60" s="78">
        <v>13</v>
      </c>
      <c r="AF60" s="78">
        <v>13</v>
      </c>
      <c r="AG60" s="77"/>
      <c r="AH60" s="55">
        <f t="shared" si="2"/>
        <v>15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5">
        <f t="shared" si="2"/>
        <v>8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81.8</v>
      </c>
      <c r="C68" s="70">
        <f t="shared" ref="C68:AF68" si="8">SUMIF(C57:C67,"&gt;0")</f>
        <v>81.8</v>
      </c>
      <c r="D68" s="70">
        <f t="shared" si="8"/>
        <v>84.3</v>
      </c>
      <c r="E68" s="70">
        <f t="shared" si="8"/>
        <v>78</v>
      </c>
      <c r="F68" s="70">
        <f t="shared" si="8"/>
        <v>75.8</v>
      </c>
      <c r="G68" s="70">
        <f t="shared" si="8"/>
        <v>74.400000000000006</v>
      </c>
      <c r="H68" s="70">
        <f t="shared" si="8"/>
        <v>66.599999999999994</v>
      </c>
      <c r="I68" s="70">
        <f t="shared" si="8"/>
        <v>74.2</v>
      </c>
      <c r="J68" s="70">
        <f t="shared" si="8"/>
        <v>72.400000000000006</v>
      </c>
      <c r="K68" s="70">
        <f t="shared" si="8"/>
        <v>5</v>
      </c>
      <c r="L68" s="70">
        <f t="shared" si="8"/>
        <v>77.400000000000006</v>
      </c>
      <c r="M68" s="70">
        <f t="shared" si="8"/>
        <v>92.7</v>
      </c>
      <c r="N68" s="70">
        <f t="shared" si="8"/>
        <v>88</v>
      </c>
      <c r="O68" s="70">
        <f t="shared" si="8"/>
        <v>91</v>
      </c>
      <c r="P68" s="70">
        <f t="shared" si="8"/>
        <v>90</v>
      </c>
      <c r="Q68" s="70">
        <f t="shared" si="8"/>
        <v>97</v>
      </c>
      <c r="R68" s="70">
        <f t="shared" si="8"/>
        <v>101.5</v>
      </c>
      <c r="S68" s="70">
        <f t="shared" si="8"/>
        <v>92.3</v>
      </c>
      <c r="T68" s="70">
        <f t="shared" si="8"/>
        <v>94.1</v>
      </c>
      <c r="U68" s="70">
        <f t="shared" si="8"/>
        <v>97.8</v>
      </c>
      <c r="V68" s="70">
        <f t="shared" si="8"/>
        <v>83.2</v>
      </c>
      <c r="W68" s="70">
        <f t="shared" si="8"/>
        <v>88.4</v>
      </c>
      <c r="X68" s="70">
        <f t="shared" si="8"/>
        <v>97.3</v>
      </c>
      <c r="Y68" s="70">
        <f t="shared" si="8"/>
        <v>91.6</v>
      </c>
      <c r="Z68" s="70">
        <f t="shared" si="8"/>
        <v>87.6</v>
      </c>
      <c r="AA68" s="70">
        <f t="shared" si="8"/>
        <v>89.5</v>
      </c>
      <c r="AB68" s="70">
        <f t="shared" si="8"/>
        <v>96.4</v>
      </c>
      <c r="AC68" s="70">
        <f t="shared" si="8"/>
        <v>95.8</v>
      </c>
      <c r="AD68" s="70">
        <f t="shared" si="8"/>
        <v>99</v>
      </c>
      <c r="AE68" s="70">
        <f t="shared" si="8"/>
        <v>94.1</v>
      </c>
      <c r="AF68" s="70">
        <f t="shared" si="8"/>
        <v>95.9</v>
      </c>
      <c r="AG68" s="74">
        <f>SUM(AG57:AG67)</f>
        <v>0</v>
      </c>
      <c r="AH68" s="55">
        <f t="shared" si="2"/>
        <v>101.5</v>
      </c>
      <c r="AI68" s="56">
        <f t="shared" si="3"/>
        <v>5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1691.9399999999998</v>
      </c>
      <c r="C73" s="84">
        <f t="shared" ref="C73:AF73" si="9">C38+C52+C68+C72</f>
        <v>1681.9399999999998</v>
      </c>
      <c r="D73" s="84">
        <f t="shared" si="9"/>
        <v>1661.4399999999998</v>
      </c>
      <c r="E73" s="84">
        <f t="shared" si="9"/>
        <v>1632.54</v>
      </c>
      <c r="F73" s="84">
        <f t="shared" si="9"/>
        <v>1614.84</v>
      </c>
      <c r="G73" s="84">
        <f t="shared" si="9"/>
        <v>1620.24</v>
      </c>
      <c r="H73" s="84">
        <f t="shared" si="9"/>
        <v>1500.04</v>
      </c>
      <c r="I73" s="84">
        <f t="shared" si="9"/>
        <v>1495.74</v>
      </c>
      <c r="J73" s="84">
        <f t="shared" si="9"/>
        <v>1446.44</v>
      </c>
      <c r="K73" s="84">
        <f t="shared" si="9"/>
        <v>1464.2400000000002</v>
      </c>
      <c r="L73" s="84">
        <f t="shared" si="9"/>
        <v>1546.6400000000003</v>
      </c>
      <c r="M73" s="84">
        <f t="shared" si="9"/>
        <v>1601.3400000000001</v>
      </c>
      <c r="N73" s="84">
        <f t="shared" si="9"/>
        <v>1667.64</v>
      </c>
      <c r="O73" s="84">
        <f t="shared" si="9"/>
        <v>1634.64</v>
      </c>
      <c r="P73" s="84">
        <f t="shared" si="9"/>
        <v>1686.44</v>
      </c>
      <c r="Q73" s="84">
        <f t="shared" si="9"/>
        <v>1695.94</v>
      </c>
      <c r="R73" s="84">
        <f t="shared" si="9"/>
        <v>1698.24</v>
      </c>
      <c r="S73" s="84">
        <f t="shared" si="9"/>
        <v>1687.9399999999998</v>
      </c>
      <c r="T73" s="84">
        <f t="shared" si="9"/>
        <v>1675.4399999999998</v>
      </c>
      <c r="U73" s="84">
        <f t="shared" si="9"/>
        <v>1682.54</v>
      </c>
      <c r="V73" s="84">
        <f t="shared" si="9"/>
        <v>1635.9400000000003</v>
      </c>
      <c r="W73" s="84">
        <f t="shared" si="9"/>
        <v>1639.0400000000002</v>
      </c>
      <c r="X73" s="84">
        <f t="shared" si="9"/>
        <v>1547.54</v>
      </c>
      <c r="Y73" s="84">
        <f t="shared" si="9"/>
        <v>1556.6399999999999</v>
      </c>
      <c r="Z73" s="84">
        <f t="shared" si="9"/>
        <v>1587.7399999999998</v>
      </c>
      <c r="AA73" s="84">
        <f t="shared" ref="AA73" si="10">SUM(AA38,AA52,AA56,AA68,AA72)</f>
        <v>1766.04</v>
      </c>
      <c r="AB73" s="84">
        <f t="shared" si="9"/>
        <v>1699.74</v>
      </c>
      <c r="AC73" s="84">
        <f t="shared" si="9"/>
        <v>1698.04</v>
      </c>
      <c r="AD73" s="84">
        <f t="shared" si="9"/>
        <v>1701.74</v>
      </c>
      <c r="AE73" s="84">
        <f t="shared" si="9"/>
        <v>1722.84</v>
      </c>
      <c r="AF73" s="84">
        <f t="shared" si="9"/>
        <v>1648.64</v>
      </c>
      <c r="AG73" s="84">
        <f t="shared" ref="AG73" si="11">AG68+AG56+AG52+AG38+AG72</f>
        <v>2144.14</v>
      </c>
      <c r="AH73" s="55">
        <f t="shared" si="2"/>
        <v>1766.04</v>
      </c>
      <c r="AI73" s="56">
        <f t="shared" si="3"/>
        <v>1446.44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>
        <v>40</v>
      </c>
      <c r="I74" s="86">
        <v>40</v>
      </c>
      <c r="J74" s="86">
        <v>40</v>
      </c>
      <c r="K74" s="86">
        <v>40</v>
      </c>
      <c r="L74" s="86">
        <v>40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40</v>
      </c>
      <c r="AI74" s="56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1691.9399999999998</v>
      </c>
      <c r="C75" s="84">
        <f t="shared" ref="C75:AF75" si="12">C73+C74</f>
        <v>1681.9399999999998</v>
      </c>
      <c r="D75" s="84">
        <f t="shared" si="12"/>
        <v>1661.4399999999998</v>
      </c>
      <c r="E75" s="84">
        <f t="shared" si="12"/>
        <v>1632.54</v>
      </c>
      <c r="F75" s="84">
        <f t="shared" si="12"/>
        <v>1614.84</v>
      </c>
      <c r="G75" s="84">
        <f t="shared" si="12"/>
        <v>1620.24</v>
      </c>
      <c r="H75" s="84">
        <f t="shared" si="12"/>
        <v>1540.04</v>
      </c>
      <c r="I75" s="84">
        <f t="shared" si="12"/>
        <v>1535.74</v>
      </c>
      <c r="J75" s="84">
        <f t="shared" si="12"/>
        <v>1486.44</v>
      </c>
      <c r="K75" s="84">
        <f t="shared" si="12"/>
        <v>1504.2400000000002</v>
      </c>
      <c r="L75" s="84">
        <f t="shared" si="12"/>
        <v>1586.6400000000003</v>
      </c>
      <c r="M75" s="84">
        <f t="shared" si="12"/>
        <v>1601.3400000000001</v>
      </c>
      <c r="N75" s="84">
        <f t="shared" si="12"/>
        <v>1667.64</v>
      </c>
      <c r="O75" s="84">
        <f t="shared" si="12"/>
        <v>1634.64</v>
      </c>
      <c r="P75" s="84">
        <f t="shared" si="12"/>
        <v>1686.44</v>
      </c>
      <c r="Q75" s="84">
        <f t="shared" si="12"/>
        <v>1695.94</v>
      </c>
      <c r="R75" s="84">
        <f t="shared" si="12"/>
        <v>1698.24</v>
      </c>
      <c r="S75" s="84">
        <f t="shared" si="12"/>
        <v>1687.9399999999998</v>
      </c>
      <c r="T75" s="84">
        <f t="shared" si="12"/>
        <v>1675.4399999999998</v>
      </c>
      <c r="U75" s="84">
        <f t="shared" si="12"/>
        <v>1682.54</v>
      </c>
      <c r="V75" s="84">
        <f t="shared" si="12"/>
        <v>1635.9400000000003</v>
      </c>
      <c r="W75" s="84">
        <f t="shared" si="12"/>
        <v>1639.0400000000002</v>
      </c>
      <c r="X75" s="84">
        <f t="shared" si="12"/>
        <v>1547.54</v>
      </c>
      <c r="Y75" s="84">
        <f t="shared" si="12"/>
        <v>1556.6399999999999</v>
      </c>
      <c r="Z75" s="84">
        <f t="shared" si="12"/>
        <v>1587.7399999999998</v>
      </c>
      <c r="AA75" s="84">
        <v>1710.74</v>
      </c>
      <c r="AB75" s="84">
        <f t="shared" si="12"/>
        <v>1699.74</v>
      </c>
      <c r="AC75" s="84">
        <f t="shared" si="12"/>
        <v>1698.04</v>
      </c>
      <c r="AD75" s="84">
        <f t="shared" si="12"/>
        <v>1701.74</v>
      </c>
      <c r="AE75" s="84">
        <f t="shared" si="12"/>
        <v>1722.84</v>
      </c>
      <c r="AF75" s="84">
        <f t="shared" si="12"/>
        <v>1648.64</v>
      </c>
      <c r="AG75" s="74">
        <f>AG72+AG68+AG56+AG52+AG38+AG74</f>
        <v>2144.14</v>
      </c>
      <c r="AH75" s="55">
        <f t="shared" si="2"/>
        <v>1722.84</v>
      </c>
      <c r="AI75" s="56">
        <f t="shared" si="3"/>
        <v>1486.44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3">IF(C60&lt;0,C60*-1,0)</f>
        <v>0</v>
      </c>
      <c r="D76" s="78">
        <f t="shared" si="13"/>
        <v>0</v>
      </c>
      <c r="E76" s="78">
        <f t="shared" si="13"/>
        <v>0</v>
      </c>
      <c r="F76" s="78">
        <f t="shared" si="13"/>
        <v>0</v>
      </c>
      <c r="G76" s="78">
        <f t="shared" si="13"/>
        <v>0</v>
      </c>
      <c r="H76" s="78">
        <f t="shared" si="13"/>
        <v>0</v>
      </c>
      <c r="I76" s="78">
        <f t="shared" si="13"/>
        <v>0</v>
      </c>
      <c r="J76" s="78">
        <f t="shared" si="13"/>
        <v>0</v>
      </c>
      <c r="K76" s="78">
        <f t="shared" si="13"/>
        <v>0</v>
      </c>
      <c r="L76" s="78">
        <f t="shared" si="13"/>
        <v>0</v>
      </c>
      <c r="M76" s="78">
        <f t="shared" si="13"/>
        <v>0</v>
      </c>
      <c r="N76" s="78">
        <f t="shared" si="13"/>
        <v>0</v>
      </c>
      <c r="O76" s="78">
        <f t="shared" si="13"/>
        <v>0</v>
      </c>
      <c r="P76" s="78">
        <f t="shared" si="13"/>
        <v>0</v>
      </c>
      <c r="Q76" s="78">
        <f t="shared" si="13"/>
        <v>0</v>
      </c>
      <c r="R76" s="78">
        <f t="shared" si="13"/>
        <v>0</v>
      </c>
      <c r="S76" s="78">
        <f t="shared" si="13"/>
        <v>0</v>
      </c>
      <c r="T76" s="78">
        <f t="shared" si="13"/>
        <v>0</v>
      </c>
      <c r="U76" s="78">
        <f t="shared" si="13"/>
        <v>0</v>
      </c>
      <c r="V76" s="78">
        <f t="shared" si="13"/>
        <v>0</v>
      </c>
      <c r="W76" s="78">
        <f t="shared" si="13"/>
        <v>0</v>
      </c>
      <c r="X76" s="78">
        <f t="shared" si="13"/>
        <v>0</v>
      </c>
      <c r="Y76" s="78">
        <f t="shared" si="13"/>
        <v>0</v>
      </c>
      <c r="Z76" s="78">
        <f t="shared" si="13"/>
        <v>0</v>
      </c>
      <c r="AA76" s="78">
        <v>0</v>
      </c>
      <c r="AB76" s="78">
        <f t="shared" si="13"/>
        <v>0</v>
      </c>
      <c r="AC76" s="78">
        <f t="shared" si="13"/>
        <v>0</v>
      </c>
      <c r="AD76" s="78">
        <f t="shared" si="13"/>
        <v>0</v>
      </c>
      <c r="AE76" s="78">
        <f t="shared" si="13"/>
        <v>0</v>
      </c>
      <c r="AF76" s="78">
        <f t="shared" si="13"/>
        <v>0</v>
      </c>
      <c r="AG76" s="60"/>
      <c r="AH76" s="55">
        <f t="shared" ref="AH76:AH91" si="14">MAX(B76:AF76)</f>
        <v>0</v>
      </c>
      <c r="AI76" s="56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6">IF(C58&lt;0,C58*-1,0)</f>
        <v>0</v>
      </c>
      <c r="D77" s="78">
        <f t="shared" si="16"/>
        <v>0</v>
      </c>
      <c r="E77" s="78">
        <f t="shared" si="16"/>
        <v>0</v>
      </c>
      <c r="F77" s="78">
        <f t="shared" si="16"/>
        <v>0</v>
      </c>
      <c r="G77" s="78">
        <f t="shared" si="16"/>
        <v>0</v>
      </c>
      <c r="H77" s="78">
        <f t="shared" si="16"/>
        <v>0</v>
      </c>
      <c r="I77" s="78">
        <f t="shared" si="16"/>
        <v>0</v>
      </c>
      <c r="J77" s="78">
        <f t="shared" si="16"/>
        <v>0</v>
      </c>
      <c r="K77" s="78">
        <f t="shared" si="16"/>
        <v>0</v>
      </c>
      <c r="L77" s="78">
        <f t="shared" si="16"/>
        <v>0</v>
      </c>
      <c r="M77" s="78">
        <f t="shared" si="16"/>
        <v>0</v>
      </c>
      <c r="N77" s="78">
        <f t="shared" si="16"/>
        <v>0</v>
      </c>
      <c r="O77" s="78">
        <f t="shared" si="16"/>
        <v>0</v>
      </c>
      <c r="P77" s="78">
        <f t="shared" si="16"/>
        <v>0</v>
      </c>
      <c r="Q77" s="78">
        <f t="shared" si="16"/>
        <v>0</v>
      </c>
      <c r="R77" s="78">
        <f t="shared" si="16"/>
        <v>0</v>
      </c>
      <c r="S77" s="78">
        <f t="shared" si="16"/>
        <v>0</v>
      </c>
      <c r="T77" s="78">
        <f t="shared" si="16"/>
        <v>0</v>
      </c>
      <c r="U77" s="78">
        <f t="shared" si="16"/>
        <v>0</v>
      </c>
      <c r="V77" s="78">
        <f t="shared" si="16"/>
        <v>0</v>
      </c>
      <c r="W77" s="78">
        <f t="shared" si="16"/>
        <v>0</v>
      </c>
      <c r="X77" s="78">
        <f t="shared" si="16"/>
        <v>0</v>
      </c>
      <c r="Y77" s="78">
        <f t="shared" si="16"/>
        <v>0</v>
      </c>
      <c r="Z77" s="78">
        <f t="shared" si="16"/>
        <v>0</v>
      </c>
      <c r="AA77" s="78">
        <v>0</v>
      </c>
      <c r="AB77" s="78">
        <f t="shared" si="16"/>
        <v>0</v>
      </c>
      <c r="AC77" s="78">
        <f t="shared" si="16"/>
        <v>0</v>
      </c>
      <c r="AD77" s="78">
        <f t="shared" si="16"/>
        <v>0</v>
      </c>
      <c r="AE77" s="78">
        <f t="shared" si="16"/>
        <v>0</v>
      </c>
      <c r="AF77" s="78">
        <f t="shared" si="16"/>
        <v>0</v>
      </c>
      <c r="AG77" s="64"/>
      <c r="AH77" s="55">
        <f t="shared" si="14"/>
        <v>0</v>
      </c>
      <c r="AI77" s="56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7">IF(C61&lt;0,C61*-1,0)</f>
        <v>0</v>
      </c>
      <c r="D78" s="78">
        <f t="shared" si="17"/>
        <v>0</v>
      </c>
      <c r="E78" s="78">
        <f t="shared" si="17"/>
        <v>0</v>
      </c>
      <c r="F78" s="78">
        <f t="shared" si="17"/>
        <v>0</v>
      </c>
      <c r="G78" s="78">
        <f t="shared" si="17"/>
        <v>0</v>
      </c>
      <c r="H78" s="78">
        <f t="shared" si="17"/>
        <v>0</v>
      </c>
      <c r="I78" s="78">
        <f t="shared" si="17"/>
        <v>0</v>
      </c>
      <c r="J78" s="78">
        <f t="shared" si="17"/>
        <v>0</v>
      </c>
      <c r="K78" s="78">
        <f t="shared" si="17"/>
        <v>0</v>
      </c>
      <c r="L78" s="78">
        <f t="shared" si="17"/>
        <v>0</v>
      </c>
      <c r="M78" s="78">
        <f t="shared" si="17"/>
        <v>0</v>
      </c>
      <c r="N78" s="78">
        <f t="shared" si="17"/>
        <v>0</v>
      </c>
      <c r="O78" s="78">
        <f t="shared" si="17"/>
        <v>0</v>
      </c>
      <c r="P78" s="78">
        <f t="shared" si="17"/>
        <v>0</v>
      </c>
      <c r="Q78" s="78">
        <f t="shared" si="17"/>
        <v>0</v>
      </c>
      <c r="R78" s="78">
        <f t="shared" si="17"/>
        <v>0</v>
      </c>
      <c r="S78" s="78">
        <f t="shared" si="17"/>
        <v>0</v>
      </c>
      <c r="T78" s="78">
        <f t="shared" si="17"/>
        <v>0</v>
      </c>
      <c r="U78" s="78">
        <f t="shared" si="17"/>
        <v>0</v>
      </c>
      <c r="V78" s="78">
        <f t="shared" si="17"/>
        <v>0</v>
      </c>
      <c r="W78" s="78">
        <f t="shared" si="17"/>
        <v>0</v>
      </c>
      <c r="X78" s="78">
        <f t="shared" si="17"/>
        <v>0</v>
      </c>
      <c r="Y78" s="78">
        <f t="shared" si="17"/>
        <v>0</v>
      </c>
      <c r="Z78" s="78">
        <f t="shared" si="17"/>
        <v>0</v>
      </c>
      <c r="AA78" s="78">
        <v>0</v>
      </c>
      <c r="AB78" s="78">
        <f t="shared" si="17"/>
        <v>0</v>
      </c>
      <c r="AC78" s="78">
        <f t="shared" si="17"/>
        <v>0</v>
      </c>
      <c r="AD78" s="78">
        <f t="shared" si="17"/>
        <v>0</v>
      </c>
      <c r="AE78" s="78">
        <f t="shared" si="17"/>
        <v>0</v>
      </c>
      <c r="AF78" s="78">
        <f t="shared" si="17"/>
        <v>0</v>
      </c>
      <c r="AG78" s="87"/>
      <c r="AH78" s="55">
        <f t="shared" si="14"/>
        <v>0</v>
      </c>
      <c r="AI78" s="56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297</v>
      </c>
      <c r="C79" s="78">
        <f t="shared" ref="C79:AF79" si="18">IF(C59&lt;0,C59*-1,0)</f>
        <v>381</v>
      </c>
      <c r="D79" s="78">
        <f t="shared" si="18"/>
        <v>381</v>
      </c>
      <c r="E79" s="78">
        <f t="shared" si="18"/>
        <v>379</v>
      </c>
      <c r="F79" s="78">
        <f t="shared" si="18"/>
        <v>400</v>
      </c>
      <c r="G79" s="78">
        <f t="shared" si="18"/>
        <v>405</v>
      </c>
      <c r="H79" s="78">
        <f t="shared" si="18"/>
        <v>364</v>
      </c>
      <c r="I79" s="78">
        <f t="shared" si="18"/>
        <v>370</v>
      </c>
      <c r="J79" s="78">
        <f t="shared" si="18"/>
        <v>290</v>
      </c>
      <c r="K79" s="78">
        <f t="shared" si="18"/>
        <v>262.39999999999998</v>
      </c>
      <c r="L79" s="78">
        <f t="shared" si="18"/>
        <v>280.39999999999998</v>
      </c>
      <c r="M79" s="78">
        <f t="shared" si="18"/>
        <v>260</v>
      </c>
      <c r="N79" s="78">
        <f t="shared" si="18"/>
        <v>267</v>
      </c>
      <c r="O79" s="78">
        <f t="shared" si="18"/>
        <v>284</v>
      </c>
      <c r="P79" s="78">
        <f t="shared" si="18"/>
        <v>282</v>
      </c>
      <c r="Q79" s="78">
        <f t="shared" si="18"/>
        <v>313</v>
      </c>
      <c r="R79" s="78">
        <f t="shared" si="18"/>
        <v>300</v>
      </c>
      <c r="S79" s="78">
        <f t="shared" si="18"/>
        <v>293</v>
      </c>
      <c r="T79" s="78">
        <f t="shared" si="18"/>
        <v>277.8</v>
      </c>
      <c r="U79" s="78">
        <f t="shared" si="18"/>
        <v>275.2</v>
      </c>
      <c r="V79" s="78">
        <f t="shared" si="18"/>
        <v>274.39999999999998</v>
      </c>
      <c r="W79" s="78">
        <f t="shared" si="18"/>
        <v>250.5</v>
      </c>
      <c r="X79" s="78">
        <f t="shared" si="18"/>
        <v>284.39999999999998</v>
      </c>
      <c r="Y79" s="78">
        <f t="shared" si="18"/>
        <v>227.7</v>
      </c>
      <c r="Z79" s="78">
        <f t="shared" si="18"/>
        <v>223.4</v>
      </c>
      <c r="AA79" s="78">
        <v>0</v>
      </c>
      <c r="AB79" s="78">
        <f t="shared" si="18"/>
        <v>210</v>
      </c>
      <c r="AC79" s="78">
        <f t="shared" si="18"/>
        <v>230</v>
      </c>
      <c r="AD79" s="78">
        <f t="shared" si="18"/>
        <v>243</v>
      </c>
      <c r="AE79" s="78">
        <f t="shared" si="18"/>
        <v>315</v>
      </c>
      <c r="AF79" s="78">
        <f t="shared" si="18"/>
        <v>257</v>
      </c>
      <c r="AG79" s="87"/>
      <c r="AH79" s="55">
        <f t="shared" si="14"/>
        <v>405</v>
      </c>
      <c r="AI79" s="56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19">IF(C57&lt;0,C57*-1,0)</f>
        <v>0</v>
      </c>
      <c r="D80" s="78">
        <f t="shared" si="19"/>
        <v>0</v>
      </c>
      <c r="E80" s="78">
        <f t="shared" si="19"/>
        <v>0</v>
      </c>
      <c r="F80" s="78">
        <f t="shared" si="19"/>
        <v>0</v>
      </c>
      <c r="G80" s="78">
        <f t="shared" si="19"/>
        <v>0</v>
      </c>
      <c r="H80" s="78">
        <f t="shared" si="19"/>
        <v>0</v>
      </c>
      <c r="I80" s="78">
        <f t="shared" si="19"/>
        <v>0</v>
      </c>
      <c r="J80" s="78">
        <f t="shared" si="19"/>
        <v>0</v>
      </c>
      <c r="K80" s="78">
        <f t="shared" si="19"/>
        <v>0</v>
      </c>
      <c r="L80" s="78">
        <f t="shared" si="19"/>
        <v>0</v>
      </c>
      <c r="M80" s="78">
        <f t="shared" si="19"/>
        <v>0</v>
      </c>
      <c r="N80" s="78">
        <f t="shared" si="19"/>
        <v>0</v>
      </c>
      <c r="O80" s="78">
        <f t="shared" si="19"/>
        <v>0</v>
      </c>
      <c r="P80" s="78">
        <f t="shared" si="19"/>
        <v>0</v>
      </c>
      <c r="Q80" s="78">
        <f t="shared" si="19"/>
        <v>0</v>
      </c>
      <c r="R80" s="78">
        <f t="shared" si="19"/>
        <v>0</v>
      </c>
      <c r="S80" s="78">
        <f t="shared" si="19"/>
        <v>0</v>
      </c>
      <c r="T80" s="78">
        <f t="shared" si="19"/>
        <v>0</v>
      </c>
      <c r="U80" s="78">
        <f t="shared" si="19"/>
        <v>0</v>
      </c>
      <c r="V80" s="78">
        <f t="shared" si="19"/>
        <v>0</v>
      </c>
      <c r="W80" s="78">
        <f t="shared" si="19"/>
        <v>0</v>
      </c>
      <c r="X80" s="78">
        <f t="shared" si="19"/>
        <v>0</v>
      </c>
      <c r="Y80" s="78">
        <f t="shared" si="19"/>
        <v>0</v>
      </c>
      <c r="Z80" s="78">
        <f t="shared" si="19"/>
        <v>0</v>
      </c>
      <c r="AA80" s="78">
        <f t="shared" ref="AA80" si="20">IF(AA59&lt;0,-AA59,0)</f>
        <v>226</v>
      </c>
      <c r="AB80" s="78">
        <f t="shared" si="19"/>
        <v>0</v>
      </c>
      <c r="AC80" s="78">
        <f t="shared" si="19"/>
        <v>0</v>
      </c>
      <c r="AD80" s="78">
        <f t="shared" si="19"/>
        <v>0</v>
      </c>
      <c r="AE80" s="78">
        <f t="shared" si="19"/>
        <v>0</v>
      </c>
      <c r="AF80" s="78">
        <f t="shared" si="19"/>
        <v>0</v>
      </c>
      <c r="AG80" s="87"/>
      <c r="AH80" s="55">
        <f t="shared" si="14"/>
        <v>226</v>
      </c>
      <c r="AI80" s="56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4"/>
        <v>0</v>
      </c>
      <c r="AI81" s="56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297</v>
      </c>
      <c r="C82" s="70">
        <f t="shared" ref="C82:AG82" si="21">SUM(C76:C81)</f>
        <v>381</v>
      </c>
      <c r="D82" s="70">
        <f t="shared" si="21"/>
        <v>381</v>
      </c>
      <c r="E82" s="70">
        <f t="shared" si="21"/>
        <v>379</v>
      </c>
      <c r="F82" s="70">
        <f t="shared" si="21"/>
        <v>400</v>
      </c>
      <c r="G82" s="70">
        <f t="shared" si="21"/>
        <v>405</v>
      </c>
      <c r="H82" s="70">
        <f t="shared" si="21"/>
        <v>364</v>
      </c>
      <c r="I82" s="70">
        <f t="shared" si="21"/>
        <v>370</v>
      </c>
      <c r="J82" s="70">
        <f t="shared" si="21"/>
        <v>290</v>
      </c>
      <c r="K82" s="70">
        <f t="shared" si="21"/>
        <v>262.39999999999998</v>
      </c>
      <c r="L82" s="70">
        <f t="shared" si="21"/>
        <v>280.39999999999998</v>
      </c>
      <c r="M82" s="70">
        <f t="shared" si="21"/>
        <v>260</v>
      </c>
      <c r="N82" s="70">
        <f t="shared" si="21"/>
        <v>267</v>
      </c>
      <c r="O82" s="70">
        <f t="shared" si="21"/>
        <v>284</v>
      </c>
      <c r="P82" s="70">
        <f t="shared" si="21"/>
        <v>282</v>
      </c>
      <c r="Q82" s="70">
        <f t="shared" si="21"/>
        <v>313</v>
      </c>
      <c r="R82" s="70">
        <f t="shared" si="21"/>
        <v>300</v>
      </c>
      <c r="S82" s="70">
        <f t="shared" si="21"/>
        <v>293</v>
      </c>
      <c r="T82" s="70">
        <f t="shared" si="21"/>
        <v>277.8</v>
      </c>
      <c r="U82" s="70">
        <f t="shared" si="21"/>
        <v>275.2</v>
      </c>
      <c r="V82" s="70">
        <f t="shared" si="21"/>
        <v>274.39999999999998</v>
      </c>
      <c r="W82" s="70">
        <f t="shared" si="21"/>
        <v>250.5</v>
      </c>
      <c r="X82" s="70">
        <f t="shared" si="21"/>
        <v>284.39999999999998</v>
      </c>
      <c r="Y82" s="70">
        <f t="shared" si="21"/>
        <v>227.7</v>
      </c>
      <c r="Z82" s="70">
        <f t="shared" si="21"/>
        <v>223.4</v>
      </c>
      <c r="AA82" s="70">
        <f t="shared" ref="AA82" si="22">SUM(AA77:AA81)</f>
        <v>226</v>
      </c>
      <c r="AB82" s="70">
        <f t="shared" si="21"/>
        <v>210</v>
      </c>
      <c r="AC82" s="70">
        <f t="shared" si="21"/>
        <v>230</v>
      </c>
      <c r="AD82" s="70">
        <f t="shared" si="21"/>
        <v>243</v>
      </c>
      <c r="AE82" s="70">
        <f t="shared" si="21"/>
        <v>315</v>
      </c>
      <c r="AF82" s="70">
        <f t="shared" si="21"/>
        <v>257</v>
      </c>
      <c r="AG82" s="74">
        <f t="shared" si="21"/>
        <v>0</v>
      </c>
      <c r="AH82" s="55">
        <f t="shared" si="14"/>
        <v>405</v>
      </c>
      <c r="AI82" s="56">
        <f t="shared" si="15"/>
        <v>210</v>
      </c>
      <c r="AK82" s="57"/>
    </row>
    <row r="83" spans="1:88" s="1" customFormat="1" ht="15.75" thickBot="1" x14ac:dyDescent="0.3">
      <c r="A83" s="69" t="s">
        <v>88</v>
      </c>
      <c r="B83" s="70">
        <f>B68-B82</f>
        <v>-215.2</v>
      </c>
      <c r="C83" s="70">
        <f t="shared" ref="C83:AF83" si="23">C68-C82</f>
        <v>-299.2</v>
      </c>
      <c r="D83" s="70">
        <f t="shared" si="23"/>
        <v>-296.7</v>
      </c>
      <c r="E83" s="70">
        <f t="shared" si="23"/>
        <v>-301</v>
      </c>
      <c r="F83" s="70">
        <f t="shared" si="23"/>
        <v>-324.2</v>
      </c>
      <c r="G83" s="70">
        <f t="shared" si="23"/>
        <v>-330.6</v>
      </c>
      <c r="H83" s="70">
        <f t="shared" si="23"/>
        <v>-297.39999999999998</v>
      </c>
      <c r="I83" s="70">
        <f t="shared" si="23"/>
        <v>-295.8</v>
      </c>
      <c r="J83" s="70">
        <f t="shared" si="23"/>
        <v>-217.6</v>
      </c>
      <c r="K83" s="70">
        <f t="shared" si="23"/>
        <v>-257.39999999999998</v>
      </c>
      <c r="L83" s="70">
        <f t="shared" si="23"/>
        <v>-202.99999999999997</v>
      </c>
      <c r="M83" s="70">
        <f t="shared" si="23"/>
        <v>-167.3</v>
      </c>
      <c r="N83" s="70">
        <f t="shared" si="23"/>
        <v>-179</v>
      </c>
      <c r="O83" s="70">
        <f t="shared" si="23"/>
        <v>-193</v>
      </c>
      <c r="P83" s="70">
        <f t="shared" si="23"/>
        <v>-192</v>
      </c>
      <c r="Q83" s="70">
        <f t="shared" si="23"/>
        <v>-216</v>
      </c>
      <c r="R83" s="70">
        <f t="shared" si="23"/>
        <v>-198.5</v>
      </c>
      <c r="S83" s="70">
        <f t="shared" si="23"/>
        <v>-200.7</v>
      </c>
      <c r="T83" s="70">
        <f t="shared" si="23"/>
        <v>-183.70000000000002</v>
      </c>
      <c r="U83" s="70">
        <f t="shared" si="23"/>
        <v>-177.39999999999998</v>
      </c>
      <c r="V83" s="70">
        <f t="shared" si="23"/>
        <v>-191.2</v>
      </c>
      <c r="W83" s="70">
        <f t="shared" si="23"/>
        <v>-162.1</v>
      </c>
      <c r="X83" s="70">
        <f t="shared" si="23"/>
        <v>-187.09999999999997</v>
      </c>
      <c r="Y83" s="70">
        <f t="shared" si="23"/>
        <v>-136.1</v>
      </c>
      <c r="Z83" s="70">
        <f t="shared" si="23"/>
        <v>-135.80000000000001</v>
      </c>
      <c r="AA83" s="70">
        <f t="shared" si="23"/>
        <v>-136.5</v>
      </c>
      <c r="AB83" s="70">
        <f t="shared" si="23"/>
        <v>-113.6</v>
      </c>
      <c r="AC83" s="70">
        <f t="shared" si="23"/>
        <v>-134.19999999999999</v>
      </c>
      <c r="AD83" s="70">
        <f t="shared" si="23"/>
        <v>-144</v>
      </c>
      <c r="AE83" s="70">
        <f t="shared" si="23"/>
        <v>-220.9</v>
      </c>
      <c r="AF83" s="70">
        <f t="shared" si="23"/>
        <v>-161.1</v>
      </c>
      <c r="AG83" s="74">
        <f t="shared" ref="AG83" si="24">SUM(AG70:AG82)</f>
        <v>4360.08</v>
      </c>
      <c r="AH83" s="55">
        <f t="shared" si="14"/>
        <v>-113.6</v>
      </c>
      <c r="AI83" s="56">
        <f t="shared" si="15"/>
        <v>-330.6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50.042000000000002</v>
      </c>
      <c r="C84" s="90">
        <v>49.966000000000001</v>
      </c>
      <c r="D84" s="90">
        <v>49.982999999999997</v>
      </c>
      <c r="E84" s="90">
        <v>50.052</v>
      </c>
      <c r="F84" s="90">
        <v>50.006999999999998</v>
      </c>
      <c r="G84" s="90">
        <v>50.006999999999998</v>
      </c>
      <c r="H84" s="90">
        <v>50.006999999999998</v>
      </c>
      <c r="I84" s="90">
        <v>49.863999999999997</v>
      </c>
      <c r="J84" s="90">
        <v>49.780999999999999</v>
      </c>
      <c r="K84" s="90">
        <v>49.828000000000003</v>
      </c>
      <c r="L84" s="90">
        <v>50.005000000000003</v>
      </c>
      <c r="M84" s="90">
        <v>50.107999999999997</v>
      </c>
      <c r="N84" s="90">
        <v>50.107999999999997</v>
      </c>
      <c r="O84" s="90">
        <v>50.042999999999999</v>
      </c>
      <c r="P84" s="90">
        <v>49.993000000000002</v>
      </c>
      <c r="Q84" s="90">
        <v>49.829000000000001</v>
      </c>
      <c r="R84" s="90">
        <v>49.930999999999997</v>
      </c>
      <c r="S84" s="90">
        <v>50.000999999999998</v>
      </c>
      <c r="T84" s="90">
        <v>49.99</v>
      </c>
      <c r="U84" s="90">
        <v>49.975999999999999</v>
      </c>
      <c r="V84" s="90">
        <v>49.994999999999997</v>
      </c>
      <c r="W84" s="90">
        <v>49.908000000000001</v>
      </c>
      <c r="X84" s="90">
        <v>49.878</v>
      </c>
      <c r="Y84" s="90">
        <v>49.991</v>
      </c>
      <c r="Z84" s="90">
        <v>50.012</v>
      </c>
      <c r="AA84" s="90">
        <v>49.706000000000003</v>
      </c>
      <c r="AB84" s="90">
        <v>50.02</v>
      </c>
      <c r="AC84" s="90">
        <v>50</v>
      </c>
      <c r="AD84" s="90">
        <v>49.97</v>
      </c>
      <c r="AE84" s="90">
        <v>50.03</v>
      </c>
      <c r="AF84" s="90">
        <v>50.01</v>
      </c>
      <c r="AG84" s="91"/>
      <c r="AH84" s="55">
        <f t="shared" si="14"/>
        <v>50.107999999999997</v>
      </c>
      <c r="AI84" s="56">
        <f t="shared" si="15"/>
        <v>49.706000000000003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124.7</v>
      </c>
      <c r="C85" s="49">
        <v>123.3</v>
      </c>
      <c r="D85" s="49">
        <v>124.8</v>
      </c>
      <c r="E85" s="49">
        <v>123.4</v>
      </c>
      <c r="F85" s="49">
        <v>125.1</v>
      </c>
      <c r="G85" s="49">
        <v>125.1</v>
      </c>
      <c r="H85" s="49">
        <v>125.1</v>
      </c>
      <c r="I85" s="49">
        <v>123.7</v>
      </c>
      <c r="J85" s="49">
        <v>123.6</v>
      </c>
      <c r="K85" s="49">
        <v>123</v>
      </c>
      <c r="L85" s="49">
        <v>122.8</v>
      </c>
      <c r="M85" s="49">
        <v>122.5</v>
      </c>
      <c r="N85" s="49">
        <v>122.5</v>
      </c>
      <c r="O85" s="49">
        <v>119</v>
      </c>
      <c r="P85" s="49">
        <v>121.9</v>
      </c>
      <c r="Q85" s="49">
        <v>122</v>
      </c>
      <c r="R85" s="49">
        <v>122.3</v>
      </c>
      <c r="S85" s="49">
        <v>121.9</v>
      </c>
      <c r="T85" s="49">
        <v>122.8</v>
      </c>
      <c r="U85" s="49">
        <v>122.6</v>
      </c>
      <c r="V85" s="49">
        <v>125.3</v>
      </c>
      <c r="W85" s="49">
        <v>125.4</v>
      </c>
      <c r="X85" s="49">
        <v>125.2</v>
      </c>
      <c r="Y85" s="49">
        <v>126.3</v>
      </c>
      <c r="Z85" s="49">
        <v>124.4</v>
      </c>
      <c r="AA85" s="49">
        <v>123.2</v>
      </c>
      <c r="AB85" s="49">
        <v>125.1</v>
      </c>
      <c r="AC85" s="49">
        <v>124.5</v>
      </c>
      <c r="AD85" s="49">
        <v>125.6</v>
      </c>
      <c r="AE85" s="49">
        <v>125.6</v>
      </c>
      <c r="AF85" s="49">
        <v>125.9</v>
      </c>
      <c r="AG85" s="93"/>
      <c r="AH85" s="55">
        <f t="shared" si="14"/>
        <v>126.3</v>
      </c>
      <c r="AI85" s="56">
        <f t="shared" si="15"/>
        <v>119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129.1</v>
      </c>
      <c r="C86" s="49">
        <v>128</v>
      </c>
      <c r="D86" s="49">
        <v>129.1</v>
      </c>
      <c r="E86" s="49">
        <v>128</v>
      </c>
      <c r="F86" s="49">
        <v>129.4</v>
      </c>
      <c r="G86" s="49">
        <v>129.4</v>
      </c>
      <c r="H86" s="49">
        <v>129.4</v>
      </c>
      <c r="I86" s="49">
        <v>127.7</v>
      </c>
      <c r="J86" s="49">
        <v>126.9</v>
      </c>
      <c r="K86" s="49">
        <v>126.7</v>
      </c>
      <c r="L86" s="49">
        <v>125.8</v>
      </c>
      <c r="M86" s="49">
        <v>125.1</v>
      </c>
      <c r="N86" s="49">
        <v>125.1</v>
      </c>
      <c r="O86" s="49">
        <v>122.7</v>
      </c>
      <c r="P86" s="49">
        <v>124.6</v>
      </c>
      <c r="Q86" s="49">
        <v>125.1</v>
      </c>
      <c r="R86" s="49">
        <v>126.5</v>
      </c>
      <c r="S86" s="49">
        <v>126.9</v>
      </c>
      <c r="T86" s="49">
        <v>127.4</v>
      </c>
      <c r="U86" s="49">
        <v>127.1</v>
      </c>
      <c r="V86" s="49">
        <v>129</v>
      </c>
      <c r="W86" s="49">
        <v>129.5</v>
      </c>
      <c r="X86" s="49">
        <v>129.19999999999999</v>
      </c>
      <c r="Y86" s="49">
        <v>130.19999999999999</v>
      </c>
      <c r="Z86" s="49">
        <v>128.69999999999999</v>
      </c>
      <c r="AA86" s="49">
        <v>127.9</v>
      </c>
      <c r="AB86" s="49">
        <v>129.80000000000001</v>
      </c>
      <c r="AC86" s="49">
        <v>129.4</v>
      </c>
      <c r="AD86" s="49">
        <v>130.4</v>
      </c>
      <c r="AE86" s="49">
        <v>130.69999999999999</v>
      </c>
      <c r="AF86" s="49">
        <v>131</v>
      </c>
      <c r="AG86" s="93"/>
      <c r="AH86" s="55">
        <f t="shared" si="14"/>
        <v>131</v>
      </c>
      <c r="AI86" s="56">
        <f t="shared" si="15"/>
        <v>122.7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128.30000000000001</v>
      </c>
      <c r="C87" s="49">
        <v>130</v>
      </c>
      <c r="D87" s="49">
        <v>129.5</v>
      </c>
      <c r="E87" s="49">
        <v>127.4</v>
      </c>
      <c r="F87" s="49">
        <v>128.4</v>
      </c>
      <c r="G87" s="49">
        <v>128.4</v>
      </c>
      <c r="H87" s="49">
        <v>128.4</v>
      </c>
      <c r="I87" s="49">
        <v>127.3</v>
      </c>
      <c r="J87" s="49">
        <v>128.30000000000001</v>
      </c>
      <c r="K87" s="49">
        <v>128.30000000000001</v>
      </c>
      <c r="L87" s="49">
        <v>127.6</v>
      </c>
      <c r="M87" s="49">
        <v>129.19999999999999</v>
      </c>
      <c r="N87" s="49">
        <v>129.19999999999999</v>
      </c>
      <c r="O87" s="49">
        <v>128</v>
      </c>
      <c r="P87" s="49">
        <v>126.6</v>
      </c>
      <c r="Q87" s="49">
        <v>128.6</v>
      </c>
      <c r="R87" s="49">
        <v>129.80000000000001</v>
      </c>
      <c r="S87" s="49">
        <v>128.69999999999999</v>
      </c>
      <c r="T87" s="49">
        <v>130.6</v>
      </c>
      <c r="U87" s="49">
        <v>129.19999999999999</v>
      </c>
      <c r="V87" s="49">
        <v>129.19999999999999</v>
      </c>
      <c r="W87" s="49">
        <v>128.80000000000001</v>
      </c>
      <c r="X87" s="49">
        <v>129.1</v>
      </c>
      <c r="Y87" s="49">
        <v>130.5</v>
      </c>
      <c r="Z87" s="49">
        <v>127.4</v>
      </c>
      <c r="AA87" s="49">
        <v>125.9</v>
      </c>
      <c r="AB87" s="49">
        <v>125.9</v>
      </c>
      <c r="AC87" s="49">
        <v>129.30000000000001</v>
      </c>
      <c r="AD87" s="49">
        <v>128.30000000000001</v>
      </c>
      <c r="AE87" s="49">
        <v>129.1</v>
      </c>
      <c r="AF87" s="49">
        <v>128.69999999999999</v>
      </c>
      <c r="AG87" s="93"/>
      <c r="AH87" s="55">
        <f t="shared" si="14"/>
        <v>130.6</v>
      </c>
      <c r="AI87" s="56">
        <f t="shared" si="15"/>
        <v>125.9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132.30000000000001</v>
      </c>
      <c r="C88" s="49">
        <v>133.69999999999999</v>
      </c>
      <c r="D88" s="49">
        <v>134</v>
      </c>
      <c r="E88" s="49">
        <v>132.1</v>
      </c>
      <c r="F88" s="49">
        <v>133.30000000000001</v>
      </c>
      <c r="G88" s="49">
        <v>133.30000000000001</v>
      </c>
      <c r="H88" s="49">
        <v>133.30000000000001</v>
      </c>
      <c r="I88" s="49">
        <v>131.9</v>
      </c>
      <c r="J88" s="49">
        <v>131.69999999999999</v>
      </c>
      <c r="K88" s="49">
        <v>131.69999999999999</v>
      </c>
      <c r="L88" s="49">
        <v>131.1</v>
      </c>
      <c r="M88" s="49">
        <v>131.6</v>
      </c>
      <c r="N88" s="49">
        <v>131.6</v>
      </c>
      <c r="O88" s="49">
        <v>130</v>
      </c>
      <c r="P88" s="49">
        <v>129.6</v>
      </c>
      <c r="Q88" s="49">
        <v>132.1</v>
      </c>
      <c r="R88" s="49">
        <v>132.9</v>
      </c>
      <c r="S88" s="49">
        <v>131.19999999999999</v>
      </c>
      <c r="T88" s="49">
        <v>132.9</v>
      </c>
      <c r="U88" s="49">
        <v>131.4</v>
      </c>
      <c r="V88" s="49">
        <v>131.69999999999999</v>
      </c>
      <c r="W88" s="49">
        <v>131.9</v>
      </c>
      <c r="X88" s="49">
        <v>132.1</v>
      </c>
      <c r="Y88" s="49">
        <v>133.19999999999999</v>
      </c>
      <c r="Z88" s="49">
        <v>130.19999999999999</v>
      </c>
      <c r="AA88" s="49">
        <v>128.69999999999999</v>
      </c>
      <c r="AB88" s="49">
        <v>128.69999999999999</v>
      </c>
      <c r="AC88" s="49">
        <v>132.69999999999999</v>
      </c>
      <c r="AD88" s="49">
        <v>132.69999999999999</v>
      </c>
      <c r="AE88" s="49">
        <v>133.5</v>
      </c>
      <c r="AF88" s="49">
        <v>133.5</v>
      </c>
      <c r="AG88" s="93"/>
      <c r="AH88" s="55">
        <f t="shared" si="14"/>
        <v>134</v>
      </c>
      <c r="AI88" s="56">
        <f t="shared" si="15"/>
        <v>128.69999999999999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134.80000000000001</v>
      </c>
      <c r="C89" s="95">
        <v>132.4</v>
      </c>
      <c r="D89" s="95">
        <v>134.69999999999999</v>
      </c>
      <c r="E89" s="95">
        <v>131.19999999999999</v>
      </c>
      <c r="F89" s="95">
        <v>133.4</v>
      </c>
      <c r="G89" s="95">
        <v>133.4</v>
      </c>
      <c r="H89" s="95">
        <v>133.4</v>
      </c>
      <c r="I89" s="95">
        <v>132.80000000000001</v>
      </c>
      <c r="J89" s="95">
        <v>135.5</v>
      </c>
      <c r="K89" s="95">
        <v>135.5</v>
      </c>
      <c r="L89" s="95">
        <v>133.4</v>
      </c>
      <c r="M89" s="95">
        <v>136.19999999999999</v>
      </c>
      <c r="N89" s="95">
        <v>136.19999999999999</v>
      </c>
      <c r="O89" s="95">
        <v>131</v>
      </c>
      <c r="P89" s="95">
        <v>130.80000000000001</v>
      </c>
      <c r="Q89" s="95">
        <v>130.6</v>
      </c>
      <c r="R89" s="95">
        <v>132.1</v>
      </c>
      <c r="S89" s="95">
        <v>133.69999999999999</v>
      </c>
      <c r="T89" s="95">
        <v>130</v>
      </c>
      <c r="U89" s="95">
        <v>131.1</v>
      </c>
      <c r="V89" s="95">
        <v>133.30000000000001</v>
      </c>
      <c r="W89" s="95">
        <v>134.69999999999999</v>
      </c>
      <c r="X89" s="95">
        <v>132.6</v>
      </c>
      <c r="Y89" s="95">
        <v>135.4</v>
      </c>
      <c r="Z89" s="95">
        <v>136</v>
      </c>
      <c r="AA89" s="95">
        <v>134.1</v>
      </c>
      <c r="AB89" s="95">
        <v>134.1</v>
      </c>
      <c r="AC89" s="95">
        <v>131.1</v>
      </c>
      <c r="AD89" s="95">
        <v>132.19999999999999</v>
      </c>
      <c r="AE89" s="95">
        <v>130.5</v>
      </c>
      <c r="AF89" s="95">
        <v>132.9</v>
      </c>
      <c r="AG89" s="96"/>
      <c r="AH89" s="55">
        <f t="shared" si="14"/>
        <v>136.19999999999999</v>
      </c>
      <c r="AI89" s="56">
        <f t="shared" si="15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135.30000000000001</v>
      </c>
      <c r="C90" s="49">
        <v>134</v>
      </c>
      <c r="D90" s="49">
        <v>137.1</v>
      </c>
      <c r="E90" s="49">
        <v>130.4</v>
      </c>
      <c r="F90" s="49">
        <v>134.80000000000001</v>
      </c>
      <c r="G90" s="49">
        <v>134.80000000000001</v>
      </c>
      <c r="H90" s="49">
        <v>134.80000000000001</v>
      </c>
      <c r="I90" s="49">
        <v>131</v>
      </c>
      <c r="J90" s="49">
        <v>132.6</v>
      </c>
      <c r="K90" s="49">
        <v>132.6</v>
      </c>
      <c r="L90" s="49">
        <v>132.30000000000001</v>
      </c>
      <c r="M90" s="49">
        <v>126.6</v>
      </c>
      <c r="N90" s="49">
        <v>126.6</v>
      </c>
      <c r="O90" s="49">
        <v>127</v>
      </c>
      <c r="P90" s="49">
        <v>127.9</v>
      </c>
      <c r="Q90" s="49">
        <v>125.8</v>
      </c>
      <c r="R90" s="49">
        <v>125</v>
      </c>
      <c r="S90" s="49">
        <v>126.4</v>
      </c>
      <c r="T90" s="49">
        <v>125.6</v>
      </c>
      <c r="U90" s="49">
        <v>126</v>
      </c>
      <c r="V90" s="49">
        <v>129.1</v>
      </c>
      <c r="W90" s="49">
        <v>129.19999999999999</v>
      </c>
      <c r="X90" s="49">
        <v>127.7</v>
      </c>
      <c r="Y90" s="49">
        <v>128.19999999999999</v>
      </c>
      <c r="Z90" s="49">
        <v>129.30000000000001</v>
      </c>
      <c r="AA90" s="49">
        <v>123.7</v>
      </c>
      <c r="AB90" s="49">
        <v>123.7</v>
      </c>
      <c r="AC90" s="49">
        <v>127.4</v>
      </c>
      <c r="AD90" s="49">
        <v>127.3</v>
      </c>
      <c r="AE90" s="49">
        <v>127.4</v>
      </c>
      <c r="AF90" s="49">
        <v>131.5</v>
      </c>
      <c r="AG90" s="93"/>
      <c r="AH90" s="55">
        <f t="shared" si="14"/>
        <v>137.1</v>
      </c>
      <c r="AI90" s="56">
        <f t="shared" si="15"/>
        <v>123.7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65.2</v>
      </c>
      <c r="C91" s="97">
        <v>64.7</v>
      </c>
      <c r="D91" s="97">
        <v>65.3</v>
      </c>
      <c r="E91" s="97">
        <v>64.8</v>
      </c>
      <c r="F91" s="97">
        <v>65.400000000000006</v>
      </c>
      <c r="G91" s="97">
        <v>65.400000000000006</v>
      </c>
      <c r="H91" s="97">
        <v>65.400000000000006</v>
      </c>
      <c r="I91" s="97">
        <v>64.5</v>
      </c>
      <c r="J91" s="97">
        <v>64.5</v>
      </c>
      <c r="K91" s="97">
        <v>64.5</v>
      </c>
      <c r="L91" s="97">
        <v>63</v>
      </c>
      <c r="M91" s="97">
        <v>62.5</v>
      </c>
      <c r="N91" s="97">
        <v>62.5</v>
      </c>
      <c r="O91" s="97">
        <v>61</v>
      </c>
      <c r="P91" s="97">
        <v>61.8</v>
      </c>
      <c r="Q91" s="97">
        <v>63.5</v>
      </c>
      <c r="R91" s="97">
        <v>63.5</v>
      </c>
      <c r="S91" s="97">
        <v>63.7</v>
      </c>
      <c r="T91" s="97">
        <v>64.099999999999994</v>
      </c>
      <c r="U91" s="97">
        <v>63.9</v>
      </c>
      <c r="V91" s="97">
        <v>65.099999999999994</v>
      </c>
      <c r="W91" s="97">
        <v>65</v>
      </c>
      <c r="X91" s="97">
        <v>64.8</v>
      </c>
      <c r="Y91" s="97">
        <v>65.5</v>
      </c>
      <c r="Z91" s="97">
        <v>64.7</v>
      </c>
      <c r="AA91" s="97">
        <v>64.400000000000006</v>
      </c>
      <c r="AB91" s="97">
        <v>65.2</v>
      </c>
      <c r="AC91" s="97">
        <v>65.2</v>
      </c>
      <c r="AD91" s="97">
        <v>65.5</v>
      </c>
      <c r="AE91" s="97">
        <v>65.900000000000006</v>
      </c>
      <c r="AF91" s="97">
        <v>66.2</v>
      </c>
      <c r="AG91" s="98"/>
      <c r="AH91" s="55">
        <f t="shared" si="14"/>
        <v>66.2</v>
      </c>
      <c r="AI91" s="56">
        <f t="shared" si="15"/>
        <v>61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5">SUM(B15,B18,B21:B22,B42,B44:B45,B47,B49,B94:B97,B103,B109,B115,B124,B126,B138,B145,B148:B149,B156,B158,B160,B164:B166,B168:B170,B175,B181:B182,B184:B186,B194,B199)</f>
        <v>134.63999999999999</v>
      </c>
      <c r="C93" s="103">
        <f t="shared" si="25"/>
        <v>128.73999999999998</v>
      </c>
      <c r="D93" s="103">
        <f t="shared" si="25"/>
        <v>123.54</v>
      </c>
      <c r="E93" s="103">
        <f t="shared" si="25"/>
        <v>118.23999999999997</v>
      </c>
      <c r="F93" s="103">
        <f t="shared" si="25"/>
        <v>122.03999999999995</v>
      </c>
      <c r="G93" s="103">
        <f t="shared" si="25"/>
        <v>146.93999999999997</v>
      </c>
      <c r="H93" s="103">
        <f t="shared" si="25"/>
        <v>167.43999999999994</v>
      </c>
      <c r="I93" s="103">
        <f t="shared" si="25"/>
        <v>186.03999999999996</v>
      </c>
      <c r="J93" s="103">
        <f t="shared" si="25"/>
        <v>218.83999999999997</v>
      </c>
      <c r="K93" s="103">
        <f t="shared" si="25"/>
        <v>254.13999999999996</v>
      </c>
      <c r="L93" s="103">
        <f t="shared" si="25"/>
        <v>284.94</v>
      </c>
      <c r="M93" s="103">
        <f t="shared" si="25"/>
        <v>279.24</v>
      </c>
      <c r="N93" s="103">
        <f t="shared" si="25"/>
        <v>288.44</v>
      </c>
      <c r="O93" s="103">
        <f t="shared" si="25"/>
        <v>294.44</v>
      </c>
      <c r="P93" s="103">
        <f t="shared" si="25"/>
        <v>283.64000000000004</v>
      </c>
      <c r="Q93" s="103">
        <f t="shared" si="25"/>
        <v>282.14000000000004</v>
      </c>
      <c r="R93" s="103">
        <f t="shared" si="25"/>
        <v>277.04000000000002</v>
      </c>
      <c r="S93" s="103">
        <f t="shared" si="25"/>
        <v>254.34</v>
      </c>
      <c r="T93" s="103">
        <f t="shared" si="25"/>
        <v>248.43999999999994</v>
      </c>
      <c r="U93" s="103">
        <f t="shared" si="25"/>
        <v>238.14</v>
      </c>
      <c r="V93" s="103">
        <f t="shared" si="25"/>
        <v>237.53999999999996</v>
      </c>
      <c r="W93" s="103">
        <f>SUM(W15,W18,W21:W22,W42,W44:W45,W47,W49,W94:W97,W103,W109,W115,W124,W126,W138,W145,W148:W149,W156,W158,W160,W164:W166,W168:W170,W175,W181:W182,W184:W186,W194,W199)</f>
        <v>203.83999999999997</v>
      </c>
      <c r="X93" s="103">
        <f>SUM(X15,X18,X21:X22,X42,X44:X45,X47,X49,X94:X97,X103,X109,X115,X124,X126,X138,X145,X148:X149,X156,X158,X160,X164:X166,X168:X170,X175,X181:X182,X184:X186,X194,X199)</f>
        <v>205.33999999999995</v>
      </c>
      <c r="Y93" s="103">
        <f t="shared" si="25"/>
        <v>237.74</v>
      </c>
      <c r="Z93" s="103">
        <f t="shared" si="25"/>
        <v>264.44</v>
      </c>
      <c r="AA93" s="103">
        <f>SUM(AA137,AA94:AA97,AA12,AA16,AA22,AA28,AA29,AA42,AA44:AA45,AA47,AA49)</f>
        <v>331.43999999999994</v>
      </c>
      <c r="AB93" s="103">
        <f t="shared" si="25"/>
        <v>247.83999999999997</v>
      </c>
      <c r="AC93" s="103">
        <f t="shared" si="25"/>
        <v>198.14</v>
      </c>
      <c r="AD93" s="103">
        <f t="shared" si="25"/>
        <v>184.83999999999997</v>
      </c>
      <c r="AE93" s="103">
        <f t="shared" si="25"/>
        <v>156.73999999999995</v>
      </c>
      <c r="AF93" s="103">
        <f t="shared" si="25"/>
        <v>157.73999999999995</v>
      </c>
      <c r="AG93" s="104"/>
      <c r="AH93" s="55">
        <f>MAX(C93:AF93)</f>
        <v>331.43999999999994</v>
      </c>
      <c r="AI93" s="56">
        <f>MIN(C93:AF93)</f>
        <v>118.23999999999997</v>
      </c>
    </row>
    <row r="94" spans="1:88" x14ac:dyDescent="0.25">
      <c r="A94" s="105" t="s">
        <v>98</v>
      </c>
      <c r="B94" s="106">
        <v>29.6</v>
      </c>
      <c r="C94" s="106">
        <v>25</v>
      </c>
      <c r="D94" s="106">
        <v>25.9</v>
      </c>
      <c r="E94" s="106">
        <v>30.5</v>
      </c>
      <c r="F94" s="106">
        <v>32.1</v>
      </c>
      <c r="G94" s="106">
        <v>44.8</v>
      </c>
      <c r="H94" s="106">
        <v>22.6</v>
      </c>
      <c r="I94" s="106">
        <v>28.8</v>
      </c>
      <c r="J94" s="106">
        <v>34.1</v>
      </c>
      <c r="K94" s="106">
        <v>21.7</v>
      </c>
      <c r="L94" s="106">
        <v>19.8</v>
      </c>
      <c r="M94" s="106">
        <v>23.8</v>
      </c>
      <c r="N94" s="106">
        <v>43</v>
      </c>
      <c r="O94" s="106">
        <v>35</v>
      </c>
      <c r="P94" s="106">
        <v>35.4</v>
      </c>
      <c r="Q94" s="106">
        <v>38.9</v>
      </c>
      <c r="R94" s="106">
        <v>29.4</v>
      </c>
      <c r="S94" s="106">
        <v>33.200000000000003</v>
      </c>
      <c r="T94" s="106">
        <v>16.5</v>
      </c>
      <c r="U94" s="106">
        <v>22.9</v>
      </c>
      <c r="V94" s="106">
        <v>16.2</v>
      </c>
      <c r="W94" s="106">
        <v>26.2</v>
      </c>
      <c r="X94" s="106">
        <v>26.7</v>
      </c>
      <c r="Y94" s="106">
        <v>24.8</v>
      </c>
      <c r="Z94" s="106">
        <v>30.4</v>
      </c>
      <c r="AA94" s="106">
        <v>22.8</v>
      </c>
      <c r="AB94" s="106">
        <v>18.3</v>
      </c>
      <c r="AC94" s="106">
        <v>20.399999999999999</v>
      </c>
      <c r="AD94" s="106">
        <v>11.6</v>
      </c>
      <c r="AE94" s="106">
        <v>13.1</v>
      </c>
      <c r="AF94" s="106">
        <v>14.1</v>
      </c>
      <c r="AG94" s="107">
        <v>75</v>
      </c>
      <c r="AH94" s="55">
        <f t="shared" ref="AH94:AH100" si="26">IF(ABS(MAX(C94:AF94))&gt;ABS(MIN(C94:AF94)),MAX(C94:AF94),MIN(C94:AF94))</f>
        <v>44.8</v>
      </c>
      <c r="AI94" s="108">
        <f t="shared" ref="AI94:AI100" si="27">INDEX($C$9:$AF$9,1,MATCH(AH94,C94:AF94,0))</f>
        <v>0.20833333333333301</v>
      </c>
    </row>
    <row r="95" spans="1:88" x14ac:dyDescent="0.25">
      <c r="A95" s="109" t="s">
        <v>99</v>
      </c>
      <c r="B95" s="110">
        <f>-58.3-64.8</f>
        <v>-123.1</v>
      </c>
      <c r="C95" s="110">
        <f>-58-65</f>
        <v>-123</v>
      </c>
      <c r="D95" s="110">
        <f>-61.2-68</f>
        <v>-129.19999999999999</v>
      </c>
      <c r="E95" s="110">
        <f>-65.5-72.3</f>
        <v>-137.80000000000001</v>
      </c>
      <c r="F95" s="110">
        <f>-65-71.8</f>
        <v>-136.80000000000001</v>
      </c>
      <c r="G95" s="110">
        <f>-59-66.8</f>
        <v>-125.8</v>
      </c>
      <c r="H95" s="110">
        <f>-41.7-47.3</f>
        <v>-89</v>
      </c>
      <c r="I95" s="110">
        <f>-35-39.7</f>
        <v>-74.7</v>
      </c>
      <c r="J95" s="110">
        <f>-26.2-30.1</f>
        <v>-56.3</v>
      </c>
      <c r="K95" s="110">
        <f>-31.9-36.7</f>
        <v>-68.599999999999994</v>
      </c>
      <c r="L95" s="110">
        <f>-27-31</f>
        <v>-58</v>
      </c>
      <c r="M95" s="110">
        <v>-63</v>
      </c>
      <c r="N95" s="110">
        <v>-60</v>
      </c>
      <c r="O95" s="110">
        <v>-58</v>
      </c>
      <c r="P95" s="110">
        <v>-58</v>
      </c>
      <c r="Q95" s="110">
        <v>-72</v>
      </c>
      <c r="R95" s="110">
        <v>-75</v>
      </c>
      <c r="S95" s="110">
        <f>-41.4-48.1</f>
        <v>-89.5</v>
      </c>
      <c r="T95" s="110">
        <v>-89.2</v>
      </c>
      <c r="U95" s="110">
        <f>-43.1-50.2</f>
        <v>-93.300000000000011</v>
      </c>
      <c r="V95" s="110">
        <f>-38.6-44.3</f>
        <v>-82.9</v>
      </c>
      <c r="W95" s="110">
        <f>-43.8-50.4</f>
        <v>-94.199999999999989</v>
      </c>
      <c r="X95" s="110">
        <f>-45.5-52.7</f>
        <v>-98.2</v>
      </c>
      <c r="Y95" s="110">
        <f>-41.4-47.3</f>
        <v>-88.699999999999989</v>
      </c>
      <c r="Z95" s="110">
        <f>-36.7-43</f>
        <v>-79.7</v>
      </c>
      <c r="AA95" s="110">
        <f>-11-21.5</f>
        <v>-32.5</v>
      </c>
      <c r="AB95" s="110">
        <f>-39.3-48.6</f>
        <v>-87.9</v>
      </c>
      <c r="AC95" s="110">
        <f>-50.2-59.6</f>
        <v>-109.80000000000001</v>
      </c>
      <c r="AD95" s="110">
        <f>-53.8-63.9</f>
        <v>-117.69999999999999</v>
      </c>
      <c r="AE95" s="110">
        <f>-61.4-69.9</f>
        <v>-131.30000000000001</v>
      </c>
      <c r="AF95" s="110">
        <f>-61.4-69.9</f>
        <v>-131.30000000000001</v>
      </c>
      <c r="AG95" s="107">
        <v>240</v>
      </c>
      <c r="AH95" s="55">
        <f t="shared" si="26"/>
        <v>-137.80000000000001</v>
      </c>
      <c r="AI95" s="108">
        <f t="shared" si="27"/>
        <v>0.125</v>
      </c>
    </row>
    <row r="96" spans="1:88" x14ac:dyDescent="0.25">
      <c r="A96" s="109" t="s">
        <v>100</v>
      </c>
      <c r="B96" s="110">
        <v>-3.3</v>
      </c>
      <c r="C96" s="110">
        <v>-4.7</v>
      </c>
      <c r="D96" s="110">
        <v>-4.5999999999999996</v>
      </c>
      <c r="E96" s="110">
        <v>-6.2</v>
      </c>
      <c r="F96" s="110">
        <v>-5</v>
      </c>
      <c r="G96" s="110">
        <v>-3.8</v>
      </c>
      <c r="H96" s="110">
        <v>2.1</v>
      </c>
      <c r="I96" s="110">
        <v>0.2</v>
      </c>
      <c r="J96" s="110">
        <v>9.3000000000000007</v>
      </c>
      <c r="K96" s="110">
        <v>9.3000000000000007</v>
      </c>
      <c r="L96" s="110">
        <v>0</v>
      </c>
      <c r="M96" s="110">
        <v>0</v>
      </c>
      <c r="N96" s="110">
        <v>0</v>
      </c>
      <c r="O96" s="110">
        <v>0</v>
      </c>
      <c r="P96" s="110">
        <v>0</v>
      </c>
      <c r="Q96" s="110">
        <v>15.8</v>
      </c>
      <c r="R96" s="110">
        <v>14.2</v>
      </c>
      <c r="S96" s="110">
        <v>14.8</v>
      </c>
      <c r="T96" s="110">
        <v>25.9</v>
      </c>
      <c r="U96" s="110">
        <v>7.4</v>
      </c>
      <c r="V96" s="110">
        <v>14.3</v>
      </c>
      <c r="W96" s="110">
        <v>11.9</v>
      </c>
      <c r="X96" s="110">
        <v>17.899999999999999</v>
      </c>
      <c r="Y96" s="110">
        <v>14.3</v>
      </c>
      <c r="Z96" s="110">
        <v>16.7</v>
      </c>
      <c r="AA96" s="110">
        <v>41.9</v>
      </c>
      <c r="AB96" s="110">
        <v>26.5</v>
      </c>
      <c r="AC96" s="110">
        <v>9</v>
      </c>
      <c r="AD96" s="110">
        <v>17.399999999999999</v>
      </c>
      <c r="AE96" s="110">
        <v>6.6</v>
      </c>
      <c r="AF96" s="110">
        <v>6.6</v>
      </c>
      <c r="AG96" s="107">
        <v>60</v>
      </c>
      <c r="AH96" s="55">
        <f t="shared" si="26"/>
        <v>41.9</v>
      </c>
      <c r="AI96" s="108">
        <f t="shared" si="27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60</v>
      </c>
      <c r="L97" s="112">
        <v>83.4</v>
      </c>
      <c r="M97" s="112">
        <v>77</v>
      </c>
      <c r="N97" s="112">
        <v>64</v>
      </c>
      <c r="O97" s="112">
        <v>76</v>
      </c>
      <c r="P97" s="112">
        <v>65</v>
      </c>
      <c r="Q97" s="112">
        <v>58</v>
      </c>
      <c r="R97" s="112">
        <v>67</v>
      </c>
      <c r="S97" s="112">
        <v>54.4</v>
      </c>
      <c r="T97" s="112">
        <v>53.8</v>
      </c>
      <c r="U97" s="112">
        <v>58.1</v>
      </c>
      <c r="V97" s="112">
        <v>64.5</v>
      </c>
      <c r="W97" s="112">
        <v>34.5</v>
      </c>
      <c r="X97" s="112">
        <v>33.5</v>
      </c>
      <c r="Y97" s="112">
        <v>41.2</v>
      </c>
      <c r="Z97" s="112">
        <v>50.9</v>
      </c>
      <c r="AA97" s="112">
        <v>70.599999999999994</v>
      </c>
      <c r="AB97" s="112">
        <v>51.2</v>
      </c>
      <c r="AC97" s="112">
        <v>38.799999999999997</v>
      </c>
      <c r="AD97" s="112">
        <v>33.799999999999997</v>
      </c>
      <c r="AE97" s="112">
        <v>28.6</v>
      </c>
      <c r="AF97" s="112">
        <v>28.6</v>
      </c>
      <c r="AG97" s="113">
        <v>120</v>
      </c>
      <c r="AH97" s="55">
        <f t="shared" si="26"/>
        <v>83.4</v>
      </c>
      <c r="AI97" s="108">
        <f t="shared" si="27"/>
        <v>0.3125</v>
      </c>
    </row>
    <row r="98" spans="1:37" x14ac:dyDescent="0.25">
      <c r="A98" s="111" t="s">
        <v>102</v>
      </c>
      <c r="B98" s="112">
        <v>40</v>
      </c>
      <c r="C98" s="112">
        <v>41</v>
      </c>
      <c r="D98" s="112">
        <v>30</v>
      </c>
      <c r="E98" s="112">
        <v>26.7</v>
      </c>
      <c r="F98" s="112">
        <v>18.600000000000001</v>
      </c>
      <c r="G98" s="112">
        <v>18.2</v>
      </c>
      <c r="H98" s="112">
        <v>50.2</v>
      </c>
      <c r="I98" s="112">
        <v>56.1</v>
      </c>
      <c r="J98" s="112">
        <v>66.2</v>
      </c>
      <c r="K98" s="112">
        <v>75.099999999999994</v>
      </c>
      <c r="L98" s="112">
        <v>75.599999999999994</v>
      </c>
      <c r="M98" s="112">
        <v>74</v>
      </c>
      <c r="N98" s="112">
        <v>59</v>
      </c>
      <c r="O98" s="112">
        <v>68</v>
      </c>
      <c r="P98" s="112">
        <v>60</v>
      </c>
      <c r="Q98" s="112">
        <v>56</v>
      </c>
      <c r="R98" s="112">
        <v>68</v>
      </c>
      <c r="S98" s="112">
        <v>58.7</v>
      </c>
      <c r="T98" s="112">
        <v>58.4</v>
      </c>
      <c r="U98" s="112">
        <v>64.2</v>
      </c>
      <c r="V98" s="112">
        <v>54.8</v>
      </c>
      <c r="W98" s="112">
        <v>39.6</v>
      </c>
      <c r="X98" s="112">
        <v>42.7</v>
      </c>
      <c r="Y98" s="112">
        <v>47.8</v>
      </c>
      <c r="Z98" s="112">
        <v>53.9</v>
      </c>
      <c r="AA98" s="112">
        <v>71.2</v>
      </c>
      <c r="AB98" s="112">
        <v>49</v>
      </c>
      <c r="AC98" s="112">
        <v>45</v>
      </c>
      <c r="AD98" s="112">
        <v>44.8</v>
      </c>
      <c r="AE98" s="112">
        <v>41.5</v>
      </c>
      <c r="AF98" s="112">
        <v>41.5</v>
      </c>
      <c r="AG98" s="113"/>
      <c r="AH98" s="55">
        <f t="shared" si="26"/>
        <v>75.599999999999994</v>
      </c>
      <c r="AI98" s="108">
        <f t="shared" si="27"/>
        <v>0.3125</v>
      </c>
    </row>
    <row r="99" spans="1:37" x14ac:dyDescent="0.25">
      <c r="A99" s="111" t="s">
        <v>103</v>
      </c>
      <c r="B99" s="112">
        <v>57.3</v>
      </c>
      <c r="C99" s="112">
        <v>62.1</v>
      </c>
      <c r="D99" s="112">
        <v>58</v>
      </c>
      <c r="E99" s="112">
        <v>42.2</v>
      </c>
      <c r="F99" s="112">
        <v>30.8</v>
      </c>
      <c r="G99" s="112">
        <v>14.1</v>
      </c>
      <c r="H99" s="112">
        <v>68.099999999999994</v>
      </c>
      <c r="I99" s="112">
        <v>63.5</v>
      </c>
      <c r="J99" s="112">
        <v>62</v>
      </c>
      <c r="K99" s="112">
        <v>82</v>
      </c>
      <c r="L99" s="112">
        <v>91</v>
      </c>
      <c r="M99" s="112">
        <v>78</v>
      </c>
      <c r="N99" s="112">
        <v>29</v>
      </c>
      <c r="O99" s="112">
        <v>47</v>
      </c>
      <c r="P99" s="112">
        <v>52</v>
      </c>
      <c r="Q99" s="112">
        <v>47</v>
      </c>
      <c r="R99" s="112">
        <v>54.6</v>
      </c>
      <c r="S99" s="112">
        <v>42.3</v>
      </c>
      <c r="T99" s="112">
        <v>52.1</v>
      </c>
      <c r="U99" s="112">
        <v>43</v>
      </c>
      <c r="V99" s="112">
        <v>69.400000000000006</v>
      </c>
      <c r="W99" s="112">
        <v>16</v>
      </c>
      <c r="X99" s="112">
        <v>30.1</v>
      </c>
      <c r="Y99" s="112">
        <v>33.4</v>
      </c>
      <c r="Z99" s="112">
        <v>20.6</v>
      </c>
      <c r="AA99" s="112">
        <v>71</v>
      </c>
      <c r="AB99" s="112">
        <v>60.5</v>
      </c>
      <c r="AC99" s="112">
        <v>55</v>
      </c>
      <c r="AD99" s="112">
        <v>82</v>
      </c>
      <c r="AE99" s="112">
        <v>77</v>
      </c>
      <c r="AF99" s="112">
        <v>77</v>
      </c>
      <c r="AG99" s="114"/>
      <c r="AH99" s="55">
        <f t="shared" si="26"/>
        <v>91</v>
      </c>
      <c r="AI99" s="108">
        <f t="shared" si="27"/>
        <v>0.3125</v>
      </c>
    </row>
    <row r="100" spans="1:37" ht="15.75" thickBot="1" x14ac:dyDescent="0.3">
      <c r="A100" s="115" t="s">
        <v>104</v>
      </c>
      <c r="B100" s="95">
        <v>15</v>
      </c>
      <c r="C100" s="95">
        <v>10</v>
      </c>
      <c r="D100" s="95">
        <v>2.8</v>
      </c>
      <c r="E100" s="95">
        <v>9</v>
      </c>
      <c r="F100" s="95">
        <v>19.600000000000001</v>
      </c>
      <c r="G100" s="95">
        <v>2.6</v>
      </c>
      <c r="H100" s="95">
        <v>14.8</v>
      </c>
      <c r="I100" s="95">
        <v>7.9</v>
      </c>
      <c r="J100" s="95">
        <v>10.4</v>
      </c>
      <c r="K100" s="95">
        <v>12.3</v>
      </c>
      <c r="L100" s="95">
        <v>20.7</v>
      </c>
      <c r="M100" s="95">
        <v>34</v>
      </c>
      <c r="N100" s="95">
        <v>54</v>
      </c>
      <c r="O100" s="95">
        <v>37</v>
      </c>
      <c r="P100" s="95">
        <v>38</v>
      </c>
      <c r="Q100" s="95">
        <v>28</v>
      </c>
      <c r="R100" s="95">
        <v>23</v>
      </c>
      <c r="S100" s="95">
        <v>32.799999999999997</v>
      </c>
      <c r="T100" s="95">
        <v>36.700000000000003</v>
      </c>
      <c r="U100" s="95">
        <v>40.200000000000003</v>
      </c>
      <c r="V100" s="95">
        <v>30.5</v>
      </c>
      <c r="W100" s="95">
        <v>23.1</v>
      </c>
      <c r="X100" s="95">
        <v>20.7</v>
      </c>
      <c r="Y100" s="95">
        <v>47.8</v>
      </c>
      <c r="Z100" s="95">
        <v>41.4</v>
      </c>
      <c r="AA100" s="95">
        <v>65</v>
      </c>
      <c r="AB100" s="95">
        <v>60.7</v>
      </c>
      <c r="AC100" s="95">
        <v>54.7</v>
      </c>
      <c r="AD100" s="95">
        <v>49.8</v>
      </c>
      <c r="AE100" s="95">
        <v>48.9</v>
      </c>
      <c r="AF100" s="95">
        <v>48.9</v>
      </c>
      <c r="AG100" s="114"/>
      <c r="AH100" s="55">
        <f t="shared" si="26"/>
        <v>65</v>
      </c>
      <c r="AI100" s="108">
        <f t="shared" si="27"/>
        <v>0.8125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 t="s">
        <v>230</v>
      </c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8">AF102</f>
        <v>9.9</v>
      </c>
      <c r="C102" s="54">
        <v>9.9</v>
      </c>
      <c r="D102" s="121">
        <f t="shared" ref="D102:S107" si="29">C102</f>
        <v>9.9</v>
      </c>
      <c r="E102" s="121">
        <f t="shared" si="29"/>
        <v>9.9</v>
      </c>
      <c r="F102" s="121">
        <f t="shared" si="29"/>
        <v>9.9</v>
      </c>
      <c r="G102" s="121">
        <f t="shared" si="29"/>
        <v>9.9</v>
      </c>
      <c r="H102" s="121">
        <f t="shared" si="29"/>
        <v>9.9</v>
      </c>
      <c r="I102" s="121">
        <f t="shared" si="29"/>
        <v>9.9</v>
      </c>
      <c r="J102" s="121">
        <f t="shared" si="29"/>
        <v>9.9</v>
      </c>
      <c r="K102" s="121">
        <f t="shared" si="29"/>
        <v>9.9</v>
      </c>
      <c r="L102" s="121">
        <f t="shared" si="29"/>
        <v>9.9</v>
      </c>
      <c r="M102" s="121">
        <f t="shared" si="29"/>
        <v>9.9</v>
      </c>
      <c r="N102" s="121">
        <f t="shared" si="29"/>
        <v>9.9</v>
      </c>
      <c r="O102" s="121">
        <f t="shared" si="29"/>
        <v>9.9</v>
      </c>
      <c r="P102" s="121">
        <f t="shared" si="29"/>
        <v>9.9</v>
      </c>
      <c r="Q102" s="121">
        <f t="shared" si="29"/>
        <v>9.9</v>
      </c>
      <c r="R102" s="121">
        <f t="shared" si="29"/>
        <v>9.9</v>
      </c>
      <c r="S102" s="121">
        <f t="shared" si="29"/>
        <v>9.9</v>
      </c>
      <c r="T102" s="121">
        <f t="shared" ref="T102:AF107" si="30">S102</f>
        <v>9.9</v>
      </c>
      <c r="U102" s="121">
        <f t="shared" si="30"/>
        <v>9.9</v>
      </c>
      <c r="V102" s="121">
        <f t="shared" si="30"/>
        <v>9.9</v>
      </c>
      <c r="W102" s="121">
        <f t="shared" si="30"/>
        <v>9.9</v>
      </c>
      <c r="X102" s="121">
        <f t="shared" si="30"/>
        <v>9.9</v>
      </c>
      <c r="Y102" s="121">
        <f t="shared" si="30"/>
        <v>9.9</v>
      </c>
      <c r="Z102" s="121">
        <f t="shared" si="30"/>
        <v>9.9</v>
      </c>
      <c r="AA102" s="121">
        <f t="shared" si="30"/>
        <v>9.9</v>
      </c>
      <c r="AB102" s="121">
        <f t="shared" si="30"/>
        <v>9.9</v>
      </c>
      <c r="AC102" s="121">
        <f t="shared" si="30"/>
        <v>9.9</v>
      </c>
      <c r="AD102" s="121">
        <f t="shared" si="30"/>
        <v>9.9</v>
      </c>
      <c r="AE102" s="121">
        <f t="shared" si="30"/>
        <v>9.9</v>
      </c>
      <c r="AF102" s="121">
        <f t="shared" si="30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8"/>
        <v>9.6</v>
      </c>
      <c r="C103" s="124">
        <v>9.6</v>
      </c>
      <c r="D103" s="123">
        <f t="shared" si="29"/>
        <v>9.6</v>
      </c>
      <c r="E103" s="123">
        <f t="shared" si="29"/>
        <v>9.6</v>
      </c>
      <c r="F103" s="123">
        <f t="shared" si="29"/>
        <v>9.6</v>
      </c>
      <c r="G103" s="123">
        <f t="shared" si="29"/>
        <v>9.6</v>
      </c>
      <c r="H103" s="123">
        <f t="shared" si="29"/>
        <v>9.6</v>
      </c>
      <c r="I103" s="123">
        <f t="shared" si="29"/>
        <v>9.6</v>
      </c>
      <c r="J103" s="123">
        <f t="shared" si="29"/>
        <v>9.6</v>
      </c>
      <c r="K103" s="123">
        <f t="shared" si="29"/>
        <v>9.6</v>
      </c>
      <c r="L103" s="123">
        <f t="shared" si="29"/>
        <v>9.6</v>
      </c>
      <c r="M103" s="123">
        <f t="shared" si="29"/>
        <v>9.6</v>
      </c>
      <c r="N103" s="123">
        <f t="shared" si="29"/>
        <v>9.6</v>
      </c>
      <c r="O103" s="123">
        <f t="shared" si="29"/>
        <v>9.6</v>
      </c>
      <c r="P103" s="123">
        <f t="shared" si="29"/>
        <v>9.6</v>
      </c>
      <c r="Q103" s="123">
        <f t="shared" si="29"/>
        <v>9.6</v>
      </c>
      <c r="R103" s="123">
        <f t="shared" si="29"/>
        <v>9.6</v>
      </c>
      <c r="S103" s="123">
        <f t="shared" si="29"/>
        <v>9.6</v>
      </c>
      <c r="T103" s="123">
        <f t="shared" si="30"/>
        <v>9.6</v>
      </c>
      <c r="U103" s="123">
        <f t="shared" si="30"/>
        <v>9.6</v>
      </c>
      <c r="V103" s="123">
        <f t="shared" si="30"/>
        <v>9.6</v>
      </c>
      <c r="W103" s="123">
        <f t="shared" si="30"/>
        <v>9.6</v>
      </c>
      <c r="X103" s="123">
        <f t="shared" si="30"/>
        <v>9.6</v>
      </c>
      <c r="Y103" s="123">
        <f t="shared" si="30"/>
        <v>9.6</v>
      </c>
      <c r="Z103" s="123">
        <f t="shared" si="30"/>
        <v>9.6</v>
      </c>
      <c r="AA103" s="123">
        <f t="shared" si="30"/>
        <v>9.6</v>
      </c>
      <c r="AB103" s="123">
        <f t="shared" si="30"/>
        <v>9.6</v>
      </c>
      <c r="AC103" s="123">
        <f t="shared" si="30"/>
        <v>9.6</v>
      </c>
      <c r="AD103" s="123">
        <f t="shared" si="30"/>
        <v>9.6</v>
      </c>
      <c r="AE103" s="123">
        <f t="shared" si="30"/>
        <v>9.6</v>
      </c>
      <c r="AF103" s="123">
        <f t="shared" si="30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8"/>
        <v>9.98</v>
      </c>
      <c r="C104" s="124">
        <v>9.98</v>
      </c>
      <c r="D104" s="123">
        <f t="shared" si="29"/>
        <v>9.98</v>
      </c>
      <c r="E104" s="123">
        <f t="shared" si="29"/>
        <v>9.98</v>
      </c>
      <c r="F104" s="123">
        <f t="shared" si="29"/>
        <v>9.98</v>
      </c>
      <c r="G104" s="123">
        <f t="shared" si="29"/>
        <v>9.98</v>
      </c>
      <c r="H104" s="123">
        <f t="shared" si="29"/>
        <v>9.98</v>
      </c>
      <c r="I104" s="123">
        <f t="shared" si="29"/>
        <v>9.98</v>
      </c>
      <c r="J104" s="123">
        <f t="shared" si="29"/>
        <v>9.98</v>
      </c>
      <c r="K104" s="123">
        <f t="shared" si="29"/>
        <v>9.98</v>
      </c>
      <c r="L104" s="123">
        <f t="shared" si="29"/>
        <v>9.98</v>
      </c>
      <c r="M104" s="123">
        <f t="shared" si="29"/>
        <v>9.98</v>
      </c>
      <c r="N104" s="123">
        <f t="shared" si="29"/>
        <v>9.98</v>
      </c>
      <c r="O104" s="123">
        <f t="shared" si="29"/>
        <v>9.98</v>
      </c>
      <c r="P104" s="123">
        <f t="shared" si="29"/>
        <v>9.98</v>
      </c>
      <c r="Q104" s="123">
        <f t="shared" si="29"/>
        <v>9.98</v>
      </c>
      <c r="R104" s="123">
        <f t="shared" si="29"/>
        <v>9.98</v>
      </c>
      <c r="S104" s="123">
        <f t="shared" si="29"/>
        <v>9.98</v>
      </c>
      <c r="T104" s="123">
        <f t="shared" si="30"/>
        <v>9.98</v>
      </c>
      <c r="U104" s="123">
        <f t="shared" si="30"/>
        <v>9.98</v>
      </c>
      <c r="V104" s="123">
        <f t="shared" si="30"/>
        <v>9.98</v>
      </c>
      <c r="W104" s="123">
        <f t="shared" si="30"/>
        <v>9.98</v>
      </c>
      <c r="X104" s="123">
        <f t="shared" si="30"/>
        <v>9.98</v>
      </c>
      <c r="Y104" s="123">
        <f t="shared" si="30"/>
        <v>9.98</v>
      </c>
      <c r="Z104" s="123">
        <f t="shared" si="30"/>
        <v>9.98</v>
      </c>
      <c r="AA104" s="123">
        <f t="shared" si="30"/>
        <v>9.98</v>
      </c>
      <c r="AB104" s="123">
        <f t="shared" si="30"/>
        <v>9.98</v>
      </c>
      <c r="AC104" s="123">
        <f t="shared" si="30"/>
        <v>9.98</v>
      </c>
      <c r="AD104" s="123">
        <f t="shared" si="30"/>
        <v>9.98</v>
      </c>
      <c r="AE104" s="123">
        <f t="shared" si="30"/>
        <v>9.98</v>
      </c>
      <c r="AF104" s="123">
        <f t="shared" si="30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8"/>
        <v>9.1</v>
      </c>
      <c r="C105" s="124">
        <v>9.1</v>
      </c>
      <c r="D105" s="123">
        <f t="shared" si="29"/>
        <v>9.1</v>
      </c>
      <c r="E105" s="123">
        <f t="shared" si="29"/>
        <v>9.1</v>
      </c>
      <c r="F105" s="123">
        <f t="shared" si="29"/>
        <v>9.1</v>
      </c>
      <c r="G105" s="123">
        <f t="shared" si="29"/>
        <v>9.1</v>
      </c>
      <c r="H105" s="123">
        <f t="shared" si="29"/>
        <v>9.1</v>
      </c>
      <c r="I105" s="123">
        <f t="shared" si="29"/>
        <v>9.1</v>
      </c>
      <c r="J105" s="123">
        <f t="shared" si="29"/>
        <v>9.1</v>
      </c>
      <c r="K105" s="123">
        <f t="shared" si="29"/>
        <v>9.1</v>
      </c>
      <c r="L105" s="123">
        <f t="shared" si="29"/>
        <v>9.1</v>
      </c>
      <c r="M105" s="123">
        <f t="shared" si="29"/>
        <v>9.1</v>
      </c>
      <c r="N105" s="123">
        <f t="shared" si="29"/>
        <v>9.1</v>
      </c>
      <c r="O105" s="123">
        <f t="shared" si="29"/>
        <v>9.1</v>
      </c>
      <c r="P105" s="123">
        <f t="shared" si="29"/>
        <v>9.1</v>
      </c>
      <c r="Q105" s="123">
        <f t="shared" si="29"/>
        <v>9.1</v>
      </c>
      <c r="R105" s="123">
        <f t="shared" si="29"/>
        <v>9.1</v>
      </c>
      <c r="S105" s="123">
        <f t="shared" si="29"/>
        <v>9.1</v>
      </c>
      <c r="T105" s="123">
        <f t="shared" si="30"/>
        <v>9.1</v>
      </c>
      <c r="U105" s="123">
        <f t="shared" si="30"/>
        <v>9.1</v>
      </c>
      <c r="V105" s="123">
        <f t="shared" si="30"/>
        <v>9.1</v>
      </c>
      <c r="W105" s="123">
        <f t="shared" si="30"/>
        <v>9.1</v>
      </c>
      <c r="X105" s="123">
        <f t="shared" si="30"/>
        <v>9.1</v>
      </c>
      <c r="Y105" s="123">
        <f t="shared" si="30"/>
        <v>9.1</v>
      </c>
      <c r="Z105" s="123">
        <f t="shared" si="30"/>
        <v>9.1</v>
      </c>
      <c r="AA105" s="123">
        <f t="shared" si="30"/>
        <v>9.1</v>
      </c>
      <c r="AB105" s="123">
        <f t="shared" si="30"/>
        <v>9.1</v>
      </c>
      <c r="AC105" s="123">
        <f t="shared" si="30"/>
        <v>9.1</v>
      </c>
      <c r="AD105" s="123">
        <f t="shared" si="30"/>
        <v>9.1</v>
      </c>
      <c r="AE105" s="123">
        <f t="shared" si="30"/>
        <v>9.1</v>
      </c>
      <c r="AF105" s="123">
        <f t="shared" si="30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8"/>
        <v>9.18</v>
      </c>
      <c r="C106" s="124">
        <v>9.18</v>
      </c>
      <c r="D106" s="123">
        <f t="shared" si="29"/>
        <v>9.18</v>
      </c>
      <c r="E106" s="123">
        <f t="shared" si="29"/>
        <v>9.18</v>
      </c>
      <c r="F106" s="123">
        <f t="shared" si="29"/>
        <v>9.18</v>
      </c>
      <c r="G106" s="123">
        <f t="shared" si="29"/>
        <v>9.18</v>
      </c>
      <c r="H106" s="123">
        <f t="shared" si="29"/>
        <v>9.18</v>
      </c>
      <c r="I106" s="123">
        <f t="shared" si="29"/>
        <v>9.18</v>
      </c>
      <c r="J106" s="123">
        <f t="shared" si="29"/>
        <v>9.18</v>
      </c>
      <c r="K106" s="123">
        <f t="shared" si="29"/>
        <v>9.18</v>
      </c>
      <c r="L106" s="123">
        <f t="shared" si="29"/>
        <v>9.18</v>
      </c>
      <c r="M106" s="123">
        <f t="shared" si="29"/>
        <v>9.18</v>
      </c>
      <c r="N106" s="123">
        <f t="shared" si="29"/>
        <v>9.18</v>
      </c>
      <c r="O106" s="123">
        <f t="shared" si="29"/>
        <v>9.18</v>
      </c>
      <c r="P106" s="123">
        <f t="shared" si="29"/>
        <v>9.18</v>
      </c>
      <c r="Q106" s="123">
        <f t="shared" si="29"/>
        <v>9.18</v>
      </c>
      <c r="R106" s="123">
        <f t="shared" si="29"/>
        <v>9.18</v>
      </c>
      <c r="S106" s="123">
        <f t="shared" si="29"/>
        <v>9.18</v>
      </c>
      <c r="T106" s="123">
        <f t="shared" si="30"/>
        <v>9.18</v>
      </c>
      <c r="U106" s="123">
        <f t="shared" si="30"/>
        <v>9.18</v>
      </c>
      <c r="V106" s="123">
        <f t="shared" si="30"/>
        <v>9.18</v>
      </c>
      <c r="W106" s="123">
        <f t="shared" si="30"/>
        <v>9.18</v>
      </c>
      <c r="X106" s="123">
        <f t="shared" si="30"/>
        <v>9.18</v>
      </c>
      <c r="Y106" s="123">
        <f t="shared" si="30"/>
        <v>9.18</v>
      </c>
      <c r="Z106" s="123">
        <f t="shared" si="30"/>
        <v>9.18</v>
      </c>
      <c r="AA106" s="123">
        <f t="shared" si="30"/>
        <v>9.18</v>
      </c>
      <c r="AB106" s="123">
        <f t="shared" si="30"/>
        <v>9.18</v>
      </c>
      <c r="AC106" s="123">
        <f t="shared" si="30"/>
        <v>9.18</v>
      </c>
      <c r="AD106" s="123">
        <f t="shared" si="30"/>
        <v>9.18</v>
      </c>
      <c r="AE106" s="123">
        <f t="shared" si="30"/>
        <v>9.18</v>
      </c>
      <c r="AF106" s="123">
        <f t="shared" si="30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8"/>
        <v>7</v>
      </c>
      <c r="C107" s="124">
        <v>7</v>
      </c>
      <c r="D107" s="123">
        <f t="shared" si="29"/>
        <v>7</v>
      </c>
      <c r="E107" s="123">
        <f t="shared" si="29"/>
        <v>7</v>
      </c>
      <c r="F107" s="123">
        <f t="shared" si="29"/>
        <v>7</v>
      </c>
      <c r="G107" s="123">
        <f t="shared" si="29"/>
        <v>7</v>
      </c>
      <c r="H107" s="123">
        <f t="shared" si="29"/>
        <v>7</v>
      </c>
      <c r="I107" s="123">
        <f t="shared" si="29"/>
        <v>7</v>
      </c>
      <c r="J107" s="123">
        <f t="shared" si="29"/>
        <v>7</v>
      </c>
      <c r="K107" s="123">
        <f t="shared" si="29"/>
        <v>7</v>
      </c>
      <c r="L107" s="123">
        <f t="shared" si="29"/>
        <v>7</v>
      </c>
      <c r="M107" s="123">
        <f t="shared" si="29"/>
        <v>7</v>
      </c>
      <c r="N107" s="123">
        <f t="shared" si="29"/>
        <v>7</v>
      </c>
      <c r="O107" s="123">
        <f t="shared" si="29"/>
        <v>7</v>
      </c>
      <c r="P107" s="123">
        <f t="shared" si="29"/>
        <v>7</v>
      </c>
      <c r="Q107" s="123">
        <f t="shared" si="29"/>
        <v>7</v>
      </c>
      <c r="R107" s="123">
        <f t="shared" si="29"/>
        <v>7</v>
      </c>
      <c r="S107" s="123">
        <f t="shared" si="29"/>
        <v>7</v>
      </c>
      <c r="T107" s="123">
        <f t="shared" si="30"/>
        <v>7</v>
      </c>
      <c r="U107" s="123">
        <f t="shared" si="30"/>
        <v>7</v>
      </c>
      <c r="V107" s="123">
        <f t="shared" si="30"/>
        <v>7</v>
      </c>
      <c r="W107" s="123">
        <f t="shared" si="30"/>
        <v>7</v>
      </c>
      <c r="X107" s="123">
        <f t="shared" si="30"/>
        <v>7</v>
      </c>
      <c r="Y107" s="123">
        <f t="shared" si="30"/>
        <v>7</v>
      </c>
      <c r="Z107" s="123">
        <f t="shared" si="30"/>
        <v>7</v>
      </c>
      <c r="AA107" s="123">
        <f t="shared" si="30"/>
        <v>7</v>
      </c>
      <c r="AB107" s="123">
        <f t="shared" si="30"/>
        <v>7</v>
      </c>
      <c r="AC107" s="123">
        <f t="shared" si="30"/>
        <v>7</v>
      </c>
      <c r="AD107" s="123">
        <f t="shared" si="30"/>
        <v>7</v>
      </c>
      <c r="AE107" s="123">
        <f t="shared" si="30"/>
        <v>7</v>
      </c>
      <c r="AF107" s="123">
        <f t="shared" si="30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1">C109</f>
        <v>2.25</v>
      </c>
      <c r="E109" s="123">
        <f t="shared" si="31"/>
        <v>2.25</v>
      </c>
      <c r="F109" s="123">
        <f t="shared" si="31"/>
        <v>2.25</v>
      </c>
      <c r="G109" s="123">
        <f t="shared" si="31"/>
        <v>2.25</v>
      </c>
      <c r="H109" s="123">
        <f t="shared" si="31"/>
        <v>2.25</v>
      </c>
      <c r="I109" s="123">
        <f t="shared" si="31"/>
        <v>2.25</v>
      </c>
      <c r="J109" s="123">
        <f t="shared" si="31"/>
        <v>2.25</v>
      </c>
      <c r="K109" s="123">
        <f t="shared" si="31"/>
        <v>2.25</v>
      </c>
      <c r="L109" s="123">
        <f t="shared" si="31"/>
        <v>2.25</v>
      </c>
      <c r="M109" s="123">
        <f t="shared" si="31"/>
        <v>2.25</v>
      </c>
      <c r="N109" s="123">
        <f t="shared" si="31"/>
        <v>2.25</v>
      </c>
      <c r="O109" s="123">
        <f t="shared" si="31"/>
        <v>2.25</v>
      </c>
      <c r="P109" s="123">
        <f t="shared" si="31"/>
        <v>2.25</v>
      </c>
      <c r="Q109" s="123">
        <f t="shared" si="31"/>
        <v>2.25</v>
      </c>
      <c r="R109" s="123">
        <f t="shared" si="31"/>
        <v>2.25</v>
      </c>
      <c r="S109" s="123">
        <f t="shared" si="31"/>
        <v>2.25</v>
      </c>
      <c r="T109" s="123">
        <f t="shared" ref="T109:AF110" si="32">S109</f>
        <v>2.25</v>
      </c>
      <c r="U109" s="123">
        <f t="shared" si="32"/>
        <v>2.25</v>
      </c>
      <c r="V109" s="123">
        <f t="shared" si="32"/>
        <v>2.25</v>
      </c>
      <c r="W109" s="123">
        <f t="shared" si="32"/>
        <v>2.25</v>
      </c>
      <c r="X109" s="123">
        <f t="shared" si="32"/>
        <v>2.25</v>
      </c>
      <c r="Y109" s="123">
        <f t="shared" si="32"/>
        <v>2.25</v>
      </c>
      <c r="Z109" s="123">
        <f t="shared" si="32"/>
        <v>2.25</v>
      </c>
      <c r="AA109" s="123">
        <f t="shared" si="32"/>
        <v>2.25</v>
      </c>
      <c r="AB109" s="123">
        <f t="shared" si="32"/>
        <v>2.25</v>
      </c>
      <c r="AC109" s="123">
        <f t="shared" si="32"/>
        <v>2.25</v>
      </c>
      <c r="AD109" s="123">
        <f t="shared" si="32"/>
        <v>2.25</v>
      </c>
      <c r="AE109" s="123">
        <f t="shared" si="32"/>
        <v>2.25</v>
      </c>
      <c r="AF109" s="123">
        <f t="shared" si="32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1"/>
        <v>1.64</v>
      </c>
      <c r="E110" s="123">
        <f t="shared" si="31"/>
        <v>1.64</v>
      </c>
      <c r="F110" s="123">
        <f t="shared" si="31"/>
        <v>1.64</v>
      </c>
      <c r="G110" s="123">
        <f t="shared" si="31"/>
        <v>1.64</v>
      </c>
      <c r="H110" s="123">
        <f t="shared" si="31"/>
        <v>1.64</v>
      </c>
      <c r="I110" s="123">
        <f t="shared" si="31"/>
        <v>1.64</v>
      </c>
      <c r="J110" s="123">
        <f t="shared" si="31"/>
        <v>1.64</v>
      </c>
      <c r="K110" s="123">
        <f t="shared" si="31"/>
        <v>1.64</v>
      </c>
      <c r="L110" s="123">
        <f t="shared" si="31"/>
        <v>1.64</v>
      </c>
      <c r="M110" s="123">
        <f t="shared" si="31"/>
        <v>1.64</v>
      </c>
      <c r="N110" s="123">
        <f t="shared" si="31"/>
        <v>1.64</v>
      </c>
      <c r="O110" s="123">
        <f t="shared" si="31"/>
        <v>1.64</v>
      </c>
      <c r="P110" s="123">
        <f t="shared" si="31"/>
        <v>1.64</v>
      </c>
      <c r="Q110" s="123">
        <f t="shared" si="31"/>
        <v>1.64</v>
      </c>
      <c r="R110" s="123">
        <f t="shared" si="31"/>
        <v>1.64</v>
      </c>
      <c r="S110" s="123">
        <f t="shared" si="31"/>
        <v>1.64</v>
      </c>
      <c r="T110" s="123">
        <f t="shared" si="32"/>
        <v>1.64</v>
      </c>
      <c r="U110" s="123">
        <f t="shared" si="32"/>
        <v>1.64</v>
      </c>
      <c r="V110" s="123">
        <f t="shared" si="32"/>
        <v>1.64</v>
      </c>
      <c r="W110" s="123">
        <f t="shared" si="32"/>
        <v>1.64</v>
      </c>
      <c r="X110" s="123">
        <f t="shared" si="32"/>
        <v>1.64</v>
      </c>
      <c r="Y110" s="123">
        <f t="shared" si="32"/>
        <v>1.64</v>
      </c>
      <c r="Z110" s="123">
        <f t="shared" si="32"/>
        <v>1.64</v>
      </c>
      <c r="AA110" s="123">
        <f t="shared" si="32"/>
        <v>1.64</v>
      </c>
      <c r="AB110" s="123">
        <f t="shared" si="32"/>
        <v>1.64</v>
      </c>
      <c r="AC110" s="123">
        <f t="shared" si="32"/>
        <v>1.64</v>
      </c>
      <c r="AD110" s="123">
        <f t="shared" si="32"/>
        <v>1.64</v>
      </c>
      <c r="AE110" s="123">
        <f t="shared" si="32"/>
        <v>1.64</v>
      </c>
      <c r="AF110" s="123">
        <f t="shared" si="32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3">AF112</f>
        <v>1.62</v>
      </c>
      <c r="C112" s="124">
        <v>1.62</v>
      </c>
      <c r="D112" s="123">
        <f t="shared" ref="D112:S119" si="34">C112</f>
        <v>1.62</v>
      </c>
      <c r="E112" s="123">
        <f t="shared" si="34"/>
        <v>1.62</v>
      </c>
      <c r="F112" s="123">
        <f t="shared" si="34"/>
        <v>1.62</v>
      </c>
      <c r="G112" s="123">
        <f t="shared" si="34"/>
        <v>1.62</v>
      </c>
      <c r="H112" s="123">
        <f t="shared" si="34"/>
        <v>1.62</v>
      </c>
      <c r="I112" s="123">
        <f t="shared" si="34"/>
        <v>1.62</v>
      </c>
      <c r="J112" s="123">
        <f t="shared" si="34"/>
        <v>1.62</v>
      </c>
      <c r="K112" s="123">
        <f t="shared" si="34"/>
        <v>1.62</v>
      </c>
      <c r="L112" s="123">
        <f t="shared" si="34"/>
        <v>1.62</v>
      </c>
      <c r="M112" s="123">
        <f t="shared" si="34"/>
        <v>1.62</v>
      </c>
      <c r="N112" s="123">
        <f t="shared" si="34"/>
        <v>1.62</v>
      </c>
      <c r="O112" s="123">
        <f t="shared" si="34"/>
        <v>1.62</v>
      </c>
      <c r="P112" s="123">
        <f t="shared" si="34"/>
        <v>1.62</v>
      </c>
      <c r="Q112" s="123">
        <f t="shared" si="34"/>
        <v>1.62</v>
      </c>
      <c r="R112" s="123">
        <f t="shared" si="34"/>
        <v>1.62</v>
      </c>
      <c r="S112" s="123">
        <f t="shared" si="34"/>
        <v>1.62</v>
      </c>
      <c r="T112" s="123">
        <f t="shared" ref="T112:AF127" si="35">S112</f>
        <v>1.62</v>
      </c>
      <c r="U112" s="123">
        <f t="shared" si="35"/>
        <v>1.62</v>
      </c>
      <c r="V112" s="123">
        <f t="shared" si="35"/>
        <v>1.62</v>
      </c>
      <c r="W112" s="123">
        <f t="shared" si="35"/>
        <v>1.62</v>
      </c>
      <c r="X112" s="123">
        <f t="shared" si="35"/>
        <v>1.62</v>
      </c>
      <c r="Y112" s="123">
        <f t="shared" si="35"/>
        <v>1.62</v>
      </c>
      <c r="Z112" s="123">
        <f t="shared" si="35"/>
        <v>1.62</v>
      </c>
      <c r="AA112" s="123">
        <f t="shared" si="35"/>
        <v>1.62</v>
      </c>
      <c r="AB112" s="123">
        <f t="shared" si="35"/>
        <v>1.62</v>
      </c>
      <c r="AC112" s="123">
        <f t="shared" si="35"/>
        <v>1.62</v>
      </c>
      <c r="AD112" s="123">
        <f t="shared" si="35"/>
        <v>1.62</v>
      </c>
      <c r="AE112" s="123">
        <f t="shared" si="35"/>
        <v>1.62</v>
      </c>
      <c r="AF112" s="123">
        <f t="shared" si="35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3"/>
        <v>8.36</v>
      </c>
      <c r="C113" s="124">
        <v>8.36</v>
      </c>
      <c r="D113" s="123">
        <f t="shared" si="34"/>
        <v>8.36</v>
      </c>
      <c r="E113" s="123">
        <f t="shared" si="34"/>
        <v>8.36</v>
      </c>
      <c r="F113" s="123">
        <f t="shared" si="34"/>
        <v>8.36</v>
      </c>
      <c r="G113" s="123">
        <f t="shared" si="34"/>
        <v>8.36</v>
      </c>
      <c r="H113" s="123">
        <f t="shared" si="34"/>
        <v>8.36</v>
      </c>
      <c r="I113" s="123">
        <f t="shared" si="34"/>
        <v>8.36</v>
      </c>
      <c r="J113" s="123">
        <f t="shared" si="34"/>
        <v>8.36</v>
      </c>
      <c r="K113" s="123">
        <f t="shared" si="34"/>
        <v>8.36</v>
      </c>
      <c r="L113" s="123">
        <f t="shared" si="34"/>
        <v>8.36</v>
      </c>
      <c r="M113" s="123">
        <f t="shared" si="34"/>
        <v>8.36</v>
      </c>
      <c r="N113" s="123">
        <f t="shared" si="34"/>
        <v>8.36</v>
      </c>
      <c r="O113" s="123">
        <f t="shared" si="34"/>
        <v>8.36</v>
      </c>
      <c r="P113" s="123">
        <f t="shared" si="34"/>
        <v>8.36</v>
      </c>
      <c r="Q113" s="123">
        <f t="shared" si="34"/>
        <v>8.36</v>
      </c>
      <c r="R113" s="123">
        <f t="shared" si="34"/>
        <v>8.36</v>
      </c>
      <c r="S113" s="123">
        <f t="shared" si="34"/>
        <v>8.36</v>
      </c>
      <c r="T113" s="123">
        <f t="shared" si="35"/>
        <v>8.36</v>
      </c>
      <c r="U113" s="123">
        <f t="shared" si="35"/>
        <v>8.36</v>
      </c>
      <c r="V113" s="123">
        <f t="shared" si="35"/>
        <v>8.36</v>
      </c>
      <c r="W113" s="123">
        <f t="shared" si="35"/>
        <v>8.36</v>
      </c>
      <c r="X113" s="123">
        <f t="shared" si="35"/>
        <v>8.36</v>
      </c>
      <c r="Y113" s="123">
        <f t="shared" si="35"/>
        <v>8.36</v>
      </c>
      <c r="Z113" s="123">
        <f t="shared" si="35"/>
        <v>8.36</v>
      </c>
      <c r="AA113" s="123">
        <f t="shared" si="35"/>
        <v>8.36</v>
      </c>
      <c r="AB113" s="123">
        <f t="shared" si="35"/>
        <v>8.36</v>
      </c>
      <c r="AC113" s="123">
        <f t="shared" si="35"/>
        <v>8.36</v>
      </c>
      <c r="AD113" s="123">
        <f t="shared" si="35"/>
        <v>8.36</v>
      </c>
      <c r="AE113" s="123">
        <f t="shared" si="35"/>
        <v>8.36</v>
      </c>
      <c r="AF113" s="123">
        <f t="shared" si="35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3"/>
        <v>5.4</v>
      </c>
      <c r="C114" s="124">
        <v>8</v>
      </c>
      <c r="D114" s="123">
        <f t="shared" si="34"/>
        <v>8</v>
      </c>
      <c r="E114" s="123">
        <f t="shared" si="34"/>
        <v>8</v>
      </c>
      <c r="F114" s="123">
        <f t="shared" si="34"/>
        <v>8</v>
      </c>
      <c r="G114" s="123">
        <f t="shared" si="34"/>
        <v>8</v>
      </c>
      <c r="H114" s="123">
        <f t="shared" si="34"/>
        <v>8</v>
      </c>
      <c r="I114" s="123">
        <f t="shared" si="34"/>
        <v>8</v>
      </c>
      <c r="J114" s="123">
        <v>5.4</v>
      </c>
      <c r="K114" s="123">
        <f t="shared" si="34"/>
        <v>5.4</v>
      </c>
      <c r="L114" s="123">
        <f t="shared" si="34"/>
        <v>5.4</v>
      </c>
      <c r="M114" s="123">
        <f t="shared" si="34"/>
        <v>5.4</v>
      </c>
      <c r="N114" s="123">
        <f t="shared" si="34"/>
        <v>5.4</v>
      </c>
      <c r="O114" s="123">
        <f t="shared" si="34"/>
        <v>5.4</v>
      </c>
      <c r="P114" s="123">
        <f t="shared" si="34"/>
        <v>5.4</v>
      </c>
      <c r="Q114" s="123">
        <f t="shared" si="34"/>
        <v>5.4</v>
      </c>
      <c r="R114" s="123">
        <f t="shared" si="34"/>
        <v>5.4</v>
      </c>
      <c r="S114" s="123">
        <f t="shared" si="34"/>
        <v>5.4</v>
      </c>
      <c r="T114" s="123">
        <f t="shared" si="35"/>
        <v>5.4</v>
      </c>
      <c r="U114" s="123">
        <f t="shared" si="35"/>
        <v>5.4</v>
      </c>
      <c r="V114" s="123">
        <f t="shared" si="35"/>
        <v>5.4</v>
      </c>
      <c r="W114" s="123">
        <f t="shared" si="35"/>
        <v>5.4</v>
      </c>
      <c r="X114" s="123">
        <f t="shared" si="35"/>
        <v>5.4</v>
      </c>
      <c r="Y114" s="123">
        <f t="shared" si="35"/>
        <v>5.4</v>
      </c>
      <c r="Z114" s="123">
        <f t="shared" si="35"/>
        <v>5.4</v>
      </c>
      <c r="AA114" s="123">
        <f t="shared" si="35"/>
        <v>5.4</v>
      </c>
      <c r="AB114" s="123">
        <f t="shared" si="35"/>
        <v>5.4</v>
      </c>
      <c r="AC114" s="123">
        <f t="shared" si="35"/>
        <v>5.4</v>
      </c>
      <c r="AD114" s="123">
        <f t="shared" si="35"/>
        <v>5.4</v>
      </c>
      <c r="AE114" s="123">
        <f t="shared" si="35"/>
        <v>5.4</v>
      </c>
      <c r="AF114" s="123">
        <f t="shared" si="35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3"/>
        <v>6.57</v>
      </c>
      <c r="C115" s="124">
        <v>6.57</v>
      </c>
      <c r="D115" s="123">
        <f t="shared" si="34"/>
        <v>6.57</v>
      </c>
      <c r="E115" s="123">
        <f t="shared" si="34"/>
        <v>6.57</v>
      </c>
      <c r="F115" s="123">
        <f t="shared" si="34"/>
        <v>6.57</v>
      </c>
      <c r="G115" s="123">
        <f t="shared" si="34"/>
        <v>6.57</v>
      </c>
      <c r="H115" s="123">
        <f t="shared" si="34"/>
        <v>6.57</v>
      </c>
      <c r="I115" s="123">
        <f t="shared" si="34"/>
        <v>6.57</v>
      </c>
      <c r="J115" s="123">
        <f t="shared" si="34"/>
        <v>6.57</v>
      </c>
      <c r="K115" s="123">
        <f t="shared" si="34"/>
        <v>6.57</v>
      </c>
      <c r="L115" s="123">
        <f t="shared" si="34"/>
        <v>6.57</v>
      </c>
      <c r="M115" s="123">
        <f t="shared" si="34"/>
        <v>6.57</v>
      </c>
      <c r="N115" s="123">
        <f t="shared" si="34"/>
        <v>6.57</v>
      </c>
      <c r="O115" s="123">
        <f t="shared" si="34"/>
        <v>6.57</v>
      </c>
      <c r="P115" s="123">
        <f t="shared" si="34"/>
        <v>6.57</v>
      </c>
      <c r="Q115" s="123">
        <f t="shared" si="34"/>
        <v>6.57</v>
      </c>
      <c r="R115" s="123">
        <f t="shared" si="34"/>
        <v>6.57</v>
      </c>
      <c r="S115" s="123">
        <f t="shared" si="34"/>
        <v>6.57</v>
      </c>
      <c r="T115" s="123">
        <f t="shared" si="35"/>
        <v>6.57</v>
      </c>
      <c r="U115" s="123">
        <f t="shared" si="35"/>
        <v>6.57</v>
      </c>
      <c r="V115" s="123">
        <f t="shared" si="35"/>
        <v>6.57</v>
      </c>
      <c r="W115" s="123">
        <f t="shared" si="35"/>
        <v>6.57</v>
      </c>
      <c r="X115" s="123">
        <f t="shared" si="35"/>
        <v>6.57</v>
      </c>
      <c r="Y115" s="123">
        <f t="shared" si="35"/>
        <v>6.57</v>
      </c>
      <c r="Z115" s="123">
        <f t="shared" si="35"/>
        <v>6.57</v>
      </c>
      <c r="AA115" s="123">
        <f t="shared" si="35"/>
        <v>6.57</v>
      </c>
      <c r="AB115" s="123">
        <f t="shared" si="35"/>
        <v>6.57</v>
      </c>
      <c r="AC115" s="123">
        <f t="shared" si="35"/>
        <v>6.57</v>
      </c>
      <c r="AD115" s="123">
        <f t="shared" si="35"/>
        <v>6.57</v>
      </c>
      <c r="AE115" s="123">
        <f t="shared" si="35"/>
        <v>6.57</v>
      </c>
      <c r="AF115" s="123">
        <f t="shared" si="35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3"/>
        <v>3.43</v>
      </c>
      <c r="C116" s="124">
        <v>3.43</v>
      </c>
      <c r="D116" s="123">
        <f t="shared" si="34"/>
        <v>3.43</v>
      </c>
      <c r="E116" s="123">
        <f t="shared" si="34"/>
        <v>3.43</v>
      </c>
      <c r="F116" s="123">
        <f t="shared" si="34"/>
        <v>3.43</v>
      </c>
      <c r="G116" s="123">
        <f t="shared" si="34"/>
        <v>3.43</v>
      </c>
      <c r="H116" s="123">
        <f t="shared" si="34"/>
        <v>3.43</v>
      </c>
      <c r="I116" s="123">
        <f t="shared" si="34"/>
        <v>3.43</v>
      </c>
      <c r="J116" s="123">
        <f t="shared" si="34"/>
        <v>3.43</v>
      </c>
      <c r="K116" s="123">
        <f t="shared" si="34"/>
        <v>3.43</v>
      </c>
      <c r="L116" s="123">
        <f t="shared" si="34"/>
        <v>3.43</v>
      </c>
      <c r="M116" s="123">
        <f t="shared" si="34"/>
        <v>3.43</v>
      </c>
      <c r="N116" s="123">
        <f t="shared" si="34"/>
        <v>3.43</v>
      </c>
      <c r="O116" s="123">
        <f t="shared" si="34"/>
        <v>3.43</v>
      </c>
      <c r="P116" s="123">
        <f t="shared" si="34"/>
        <v>3.43</v>
      </c>
      <c r="Q116" s="123">
        <f t="shared" si="34"/>
        <v>3.43</v>
      </c>
      <c r="R116" s="123">
        <f t="shared" si="34"/>
        <v>3.43</v>
      </c>
      <c r="S116" s="123">
        <f t="shared" si="34"/>
        <v>3.43</v>
      </c>
      <c r="T116" s="123">
        <f t="shared" si="35"/>
        <v>3.43</v>
      </c>
      <c r="U116" s="123">
        <f t="shared" si="35"/>
        <v>3.43</v>
      </c>
      <c r="V116" s="123">
        <f t="shared" si="35"/>
        <v>3.43</v>
      </c>
      <c r="W116" s="123">
        <f t="shared" si="35"/>
        <v>3.43</v>
      </c>
      <c r="X116" s="123">
        <f t="shared" si="35"/>
        <v>3.43</v>
      </c>
      <c r="Y116" s="123">
        <f t="shared" si="35"/>
        <v>3.43</v>
      </c>
      <c r="Z116" s="123">
        <f t="shared" si="35"/>
        <v>3.43</v>
      </c>
      <c r="AA116" s="123">
        <f t="shared" si="35"/>
        <v>3.43</v>
      </c>
      <c r="AB116" s="123">
        <f t="shared" si="35"/>
        <v>3.43</v>
      </c>
      <c r="AC116" s="123">
        <f t="shared" si="35"/>
        <v>3.43</v>
      </c>
      <c r="AD116" s="123">
        <f t="shared" si="35"/>
        <v>3.43</v>
      </c>
      <c r="AE116" s="123">
        <f t="shared" si="35"/>
        <v>3.43</v>
      </c>
      <c r="AF116" s="123">
        <f t="shared" si="35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3"/>
        <v>2.96</v>
      </c>
      <c r="C117" s="124">
        <v>2.96</v>
      </c>
      <c r="D117" s="123">
        <f t="shared" si="34"/>
        <v>2.96</v>
      </c>
      <c r="E117" s="123">
        <f t="shared" si="34"/>
        <v>2.96</v>
      </c>
      <c r="F117" s="123">
        <f t="shared" si="34"/>
        <v>2.96</v>
      </c>
      <c r="G117" s="123">
        <f t="shared" si="34"/>
        <v>2.96</v>
      </c>
      <c r="H117" s="123">
        <f t="shared" si="34"/>
        <v>2.96</v>
      </c>
      <c r="I117" s="123">
        <f t="shared" si="34"/>
        <v>2.96</v>
      </c>
      <c r="J117" s="123">
        <f t="shared" si="34"/>
        <v>2.96</v>
      </c>
      <c r="K117" s="123">
        <f t="shared" si="34"/>
        <v>2.96</v>
      </c>
      <c r="L117" s="123">
        <f t="shared" si="34"/>
        <v>2.96</v>
      </c>
      <c r="M117" s="123">
        <f t="shared" si="34"/>
        <v>2.96</v>
      </c>
      <c r="N117" s="123">
        <f t="shared" si="34"/>
        <v>2.96</v>
      </c>
      <c r="O117" s="123">
        <f t="shared" si="34"/>
        <v>2.96</v>
      </c>
      <c r="P117" s="123">
        <f t="shared" si="34"/>
        <v>2.96</v>
      </c>
      <c r="Q117" s="123">
        <f t="shared" si="34"/>
        <v>2.96</v>
      </c>
      <c r="R117" s="123">
        <f t="shared" si="34"/>
        <v>2.96</v>
      </c>
      <c r="S117" s="123">
        <f t="shared" si="34"/>
        <v>2.96</v>
      </c>
      <c r="T117" s="123">
        <f t="shared" si="35"/>
        <v>2.96</v>
      </c>
      <c r="U117" s="123">
        <f t="shared" si="35"/>
        <v>2.96</v>
      </c>
      <c r="V117" s="123">
        <f t="shared" si="35"/>
        <v>2.96</v>
      </c>
      <c r="W117" s="123">
        <f t="shared" si="35"/>
        <v>2.96</v>
      </c>
      <c r="X117" s="123">
        <f t="shared" si="35"/>
        <v>2.96</v>
      </c>
      <c r="Y117" s="123">
        <f t="shared" si="35"/>
        <v>2.96</v>
      </c>
      <c r="Z117" s="123">
        <f t="shared" si="35"/>
        <v>2.96</v>
      </c>
      <c r="AA117" s="123">
        <f t="shared" si="35"/>
        <v>2.96</v>
      </c>
      <c r="AB117" s="123">
        <f t="shared" si="35"/>
        <v>2.96</v>
      </c>
      <c r="AC117" s="123">
        <f t="shared" si="35"/>
        <v>2.96</v>
      </c>
      <c r="AD117" s="123">
        <f t="shared" si="35"/>
        <v>2.96</v>
      </c>
      <c r="AE117" s="123">
        <f t="shared" si="35"/>
        <v>2.96</v>
      </c>
      <c r="AF117" s="123">
        <f t="shared" si="35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3"/>
        <v>8</v>
      </c>
      <c r="C118" s="124">
        <v>8</v>
      </c>
      <c r="D118" s="123">
        <f t="shared" si="34"/>
        <v>8</v>
      </c>
      <c r="E118" s="123">
        <f t="shared" si="34"/>
        <v>8</v>
      </c>
      <c r="F118" s="123">
        <f t="shared" si="34"/>
        <v>8</v>
      </c>
      <c r="G118" s="123">
        <f t="shared" si="34"/>
        <v>8</v>
      </c>
      <c r="H118" s="123">
        <f t="shared" si="34"/>
        <v>8</v>
      </c>
      <c r="I118" s="123">
        <f t="shared" si="34"/>
        <v>8</v>
      </c>
      <c r="J118" s="123">
        <f t="shared" si="34"/>
        <v>8</v>
      </c>
      <c r="K118" s="123">
        <f t="shared" si="34"/>
        <v>8</v>
      </c>
      <c r="L118" s="123">
        <f t="shared" si="34"/>
        <v>8</v>
      </c>
      <c r="M118" s="123">
        <f t="shared" si="34"/>
        <v>8</v>
      </c>
      <c r="N118" s="123">
        <f t="shared" si="34"/>
        <v>8</v>
      </c>
      <c r="O118" s="123">
        <f t="shared" si="34"/>
        <v>8</v>
      </c>
      <c r="P118" s="123">
        <f t="shared" si="34"/>
        <v>8</v>
      </c>
      <c r="Q118" s="123">
        <f t="shared" si="34"/>
        <v>8</v>
      </c>
      <c r="R118" s="123">
        <f t="shared" si="34"/>
        <v>8</v>
      </c>
      <c r="S118" s="123">
        <f t="shared" si="34"/>
        <v>8</v>
      </c>
      <c r="T118" s="123">
        <f t="shared" si="35"/>
        <v>8</v>
      </c>
      <c r="U118" s="123">
        <f t="shared" si="35"/>
        <v>8</v>
      </c>
      <c r="V118" s="123">
        <f t="shared" si="35"/>
        <v>8</v>
      </c>
      <c r="W118" s="123">
        <f t="shared" si="35"/>
        <v>8</v>
      </c>
      <c r="X118" s="123">
        <f t="shared" si="35"/>
        <v>8</v>
      </c>
      <c r="Y118" s="123">
        <f t="shared" si="35"/>
        <v>8</v>
      </c>
      <c r="Z118" s="123">
        <f t="shared" si="35"/>
        <v>8</v>
      </c>
      <c r="AA118" s="123">
        <f t="shared" si="35"/>
        <v>8</v>
      </c>
      <c r="AB118" s="123">
        <f t="shared" si="35"/>
        <v>8</v>
      </c>
      <c r="AC118" s="123">
        <f t="shared" si="35"/>
        <v>8</v>
      </c>
      <c r="AD118" s="123">
        <f t="shared" si="35"/>
        <v>8</v>
      </c>
      <c r="AE118" s="123">
        <f t="shared" si="35"/>
        <v>8</v>
      </c>
      <c r="AF118" s="123">
        <f t="shared" si="35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3"/>
        <v>7</v>
      </c>
      <c r="C119" s="124">
        <v>7</v>
      </c>
      <c r="D119" s="123">
        <f>C119</f>
        <v>7</v>
      </c>
      <c r="E119" s="123">
        <f t="shared" si="34"/>
        <v>7</v>
      </c>
      <c r="F119" s="123">
        <f t="shared" si="34"/>
        <v>7</v>
      </c>
      <c r="G119" s="123">
        <f t="shared" si="34"/>
        <v>7</v>
      </c>
      <c r="H119" s="123">
        <f t="shared" si="34"/>
        <v>7</v>
      </c>
      <c r="I119" s="123">
        <f t="shared" si="34"/>
        <v>7</v>
      </c>
      <c r="J119" s="123">
        <f t="shared" si="34"/>
        <v>7</v>
      </c>
      <c r="K119" s="123">
        <f t="shared" si="34"/>
        <v>7</v>
      </c>
      <c r="L119" s="123">
        <f t="shared" si="34"/>
        <v>7</v>
      </c>
      <c r="M119" s="123">
        <f t="shared" si="34"/>
        <v>7</v>
      </c>
      <c r="N119" s="123">
        <f t="shared" si="34"/>
        <v>7</v>
      </c>
      <c r="O119" s="123">
        <f t="shared" si="34"/>
        <v>7</v>
      </c>
      <c r="P119" s="123">
        <f t="shared" si="34"/>
        <v>7</v>
      </c>
      <c r="Q119" s="123">
        <f t="shared" si="34"/>
        <v>7</v>
      </c>
      <c r="R119" s="123">
        <f t="shared" si="34"/>
        <v>7</v>
      </c>
      <c r="S119" s="123">
        <f t="shared" si="34"/>
        <v>7</v>
      </c>
      <c r="T119" s="123">
        <f t="shared" si="35"/>
        <v>7</v>
      </c>
      <c r="U119" s="123">
        <f t="shared" si="35"/>
        <v>7</v>
      </c>
      <c r="V119" s="123">
        <f t="shared" si="35"/>
        <v>7</v>
      </c>
      <c r="W119" s="123">
        <f t="shared" si="35"/>
        <v>7</v>
      </c>
      <c r="X119" s="123">
        <f t="shared" si="35"/>
        <v>7</v>
      </c>
      <c r="Y119" s="123">
        <f t="shared" si="35"/>
        <v>7</v>
      </c>
      <c r="Z119" s="123">
        <f t="shared" si="35"/>
        <v>7</v>
      </c>
      <c r="AA119" s="123">
        <f t="shared" si="35"/>
        <v>7</v>
      </c>
      <c r="AB119" s="123">
        <f t="shared" si="35"/>
        <v>7</v>
      </c>
      <c r="AC119" s="123">
        <f t="shared" si="35"/>
        <v>7</v>
      </c>
      <c r="AD119" s="123">
        <f t="shared" si="35"/>
        <v>7</v>
      </c>
      <c r="AE119" s="123">
        <f t="shared" si="35"/>
        <v>7</v>
      </c>
      <c r="AF119" s="123">
        <f t="shared" si="35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3"/>
        <v>3.47</v>
      </c>
      <c r="C120" s="124">
        <v>3.47</v>
      </c>
      <c r="D120" s="123">
        <f t="shared" ref="D120:S129" si="36">C120</f>
        <v>3.47</v>
      </c>
      <c r="E120" s="123">
        <f t="shared" si="36"/>
        <v>3.47</v>
      </c>
      <c r="F120" s="123">
        <f t="shared" si="36"/>
        <v>3.47</v>
      </c>
      <c r="G120" s="123">
        <f t="shared" si="36"/>
        <v>3.47</v>
      </c>
      <c r="H120" s="123">
        <f t="shared" si="36"/>
        <v>3.47</v>
      </c>
      <c r="I120" s="123">
        <f t="shared" si="36"/>
        <v>3.47</v>
      </c>
      <c r="J120" s="123">
        <f t="shared" si="36"/>
        <v>3.47</v>
      </c>
      <c r="K120" s="123">
        <f t="shared" si="36"/>
        <v>3.47</v>
      </c>
      <c r="L120" s="123">
        <f t="shared" si="36"/>
        <v>3.47</v>
      </c>
      <c r="M120" s="123">
        <f t="shared" si="36"/>
        <v>3.47</v>
      </c>
      <c r="N120" s="123">
        <f t="shared" si="36"/>
        <v>3.47</v>
      </c>
      <c r="O120" s="123">
        <f t="shared" si="36"/>
        <v>3.47</v>
      </c>
      <c r="P120" s="123">
        <f t="shared" si="36"/>
        <v>3.47</v>
      </c>
      <c r="Q120" s="123">
        <f t="shared" si="36"/>
        <v>3.47</v>
      </c>
      <c r="R120" s="123">
        <f t="shared" si="36"/>
        <v>3.47</v>
      </c>
      <c r="S120" s="123">
        <f t="shared" si="36"/>
        <v>3.47</v>
      </c>
      <c r="T120" s="123">
        <f t="shared" si="35"/>
        <v>3.47</v>
      </c>
      <c r="U120" s="123">
        <f t="shared" si="35"/>
        <v>3.47</v>
      </c>
      <c r="V120" s="123">
        <f t="shared" si="35"/>
        <v>3.47</v>
      </c>
      <c r="W120" s="123">
        <f t="shared" si="35"/>
        <v>3.47</v>
      </c>
      <c r="X120" s="123">
        <f t="shared" si="35"/>
        <v>3.47</v>
      </c>
      <c r="Y120" s="123">
        <f t="shared" si="35"/>
        <v>3.47</v>
      </c>
      <c r="Z120" s="123">
        <f t="shared" si="35"/>
        <v>3.47</v>
      </c>
      <c r="AA120" s="123">
        <f t="shared" si="35"/>
        <v>3.47</v>
      </c>
      <c r="AB120" s="123">
        <f t="shared" si="35"/>
        <v>3.47</v>
      </c>
      <c r="AC120" s="123">
        <f t="shared" si="35"/>
        <v>3.47</v>
      </c>
      <c r="AD120" s="123">
        <f t="shared" si="35"/>
        <v>3.47</v>
      </c>
      <c r="AE120" s="123">
        <f t="shared" si="35"/>
        <v>3.47</v>
      </c>
      <c r="AF120" s="123">
        <f t="shared" si="35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3"/>
        <v>2.1</v>
      </c>
      <c r="C121" s="124">
        <v>2.1</v>
      </c>
      <c r="D121" s="123">
        <f t="shared" si="36"/>
        <v>2.1</v>
      </c>
      <c r="E121" s="123">
        <f t="shared" si="36"/>
        <v>2.1</v>
      </c>
      <c r="F121" s="123">
        <f t="shared" si="36"/>
        <v>2.1</v>
      </c>
      <c r="G121" s="123">
        <f t="shared" si="36"/>
        <v>2.1</v>
      </c>
      <c r="H121" s="123">
        <f t="shared" si="36"/>
        <v>2.1</v>
      </c>
      <c r="I121" s="123">
        <f t="shared" si="36"/>
        <v>2.1</v>
      </c>
      <c r="J121" s="123">
        <f t="shared" si="36"/>
        <v>2.1</v>
      </c>
      <c r="K121" s="123">
        <f t="shared" si="36"/>
        <v>2.1</v>
      </c>
      <c r="L121" s="123">
        <f t="shared" si="36"/>
        <v>2.1</v>
      </c>
      <c r="M121" s="123">
        <f t="shared" si="36"/>
        <v>2.1</v>
      </c>
      <c r="N121" s="123">
        <f t="shared" si="36"/>
        <v>2.1</v>
      </c>
      <c r="O121" s="123">
        <f t="shared" si="36"/>
        <v>2.1</v>
      </c>
      <c r="P121" s="123">
        <f t="shared" si="36"/>
        <v>2.1</v>
      </c>
      <c r="Q121" s="123">
        <f t="shared" si="36"/>
        <v>2.1</v>
      </c>
      <c r="R121" s="123">
        <f t="shared" si="36"/>
        <v>2.1</v>
      </c>
      <c r="S121" s="123">
        <f t="shared" si="36"/>
        <v>2.1</v>
      </c>
      <c r="T121" s="123">
        <f t="shared" si="35"/>
        <v>2.1</v>
      </c>
      <c r="U121" s="123">
        <f t="shared" si="35"/>
        <v>2.1</v>
      </c>
      <c r="V121" s="123">
        <f t="shared" si="35"/>
        <v>2.1</v>
      </c>
      <c r="W121" s="123">
        <f t="shared" si="35"/>
        <v>2.1</v>
      </c>
      <c r="X121" s="123">
        <f t="shared" si="35"/>
        <v>2.1</v>
      </c>
      <c r="Y121" s="123">
        <f t="shared" si="35"/>
        <v>2.1</v>
      </c>
      <c r="Z121" s="123">
        <f t="shared" si="35"/>
        <v>2.1</v>
      </c>
      <c r="AA121" s="123">
        <f t="shared" si="35"/>
        <v>2.1</v>
      </c>
      <c r="AB121" s="123">
        <f t="shared" si="35"/>
        <v>2.1</v>
      </c>
      <c r="AC121" s="123">
        <f t="shared" si="35"/>
        <v>2.1</v>
      </c>
      <c r="AD121" s="123">
        <f t="shared" si="35"/>
        <v>2.1</v>
      </c>
      <c r="AE121" s="123">
        <f t="shared" si="35"/>
        <v>2.1</v>
      </c>
      <c r="AF121" s="123">
        <f t="shared" si="35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3"/>
        <v>9.3000000000000007</v>
      </c>
      <c r="C122" s="124">
        <v>9.3000000000000007</v>
      </c>
      <c r="D122" s="123">
        <f t="shared" si="36"/>
        <v>9.3000000000000007</v>
      </c>
      <c r="E122" s="123">
        <f t="shared" si="36"/>
        <v>9.3000000000000007</v>
      </c>
      <c r="F122" s="123">
        <f t="shared" si="36"/>
        <v>9.3000000000000007</v>
      </c>
      <c r="G122" s="123">
        <f t="shared" si="36"/>
        <v>9.3000000000000007</v>
      </c>
      <c r="H122" s="123">
        <f t="shared" si="36"/>
        <v>9.3000000000000007</v>
      </c>
      <c r="I122" s="123">
        <f t="shared" si="36"/>
        <v>9.3000000000000007</v>
      </c>
      <c r="J122" s="123">
        <f t="shared" si="36"/>
        <v>9.3000000000000007</v>
      </c>
      <c r="K122" s="123">
        <f t="shared" si="36"/>
        <v>9.3000000000000007</v>
      </c>
      <c r="L122" s="123">
        <f t="shared" si="36"/>
        <v>9.3000000000000007</v>
      </c>
      <c r="M122" s="123">
        <f t="shared" si="36"/>
        <v>9.3000000000000007</v>
      </c>
      <c r="N122" s="123">
        <f t="shared" si="36"/>
        <v>9.3000000000000007</v>
      </c>
      <c r="O122" s="123">
        <f t="shared" si="36"/>
        <v>9.3000000000000007</v>
      </c>
      <c r="P122" s="123">
        <f t="shared" si="36"/>
        <v>9.3000000000000007</v>
      </c>
      <c r="Q122" s="123">
        <f t="shared" si="36"/>
        <v>9.3000000000000007</v>
      </c>
      <c r="R122" s="123">
        <f t="shared" si="36"/>
        <v>9.3000000000000007</v>
      </c>
      <c r="S122" s="123">
        <f t="shared" si="36"/>
        <v>9.3000000000000007</v>
      </c>
      <c r="T122" s="123">
        <f t="shared" si="35"/>
        <v>9.3000000000000007</v>
      </c>
      <c r="U122" s="123">
        <f t="shared" si="35"/>
        <v>9.3000000000000007</v>
      </c>
      <c r="V122" s="123">
        <f t="shared" si="35"/>
        <v>9.3000000000000007</v>
      </c>
      <c r="W122" s="123">
        <f t="shared" si="35"/>
        <v>9.3000000000000007</v>
      </c>
      <c r="X122" s="123">
        <f t="shared" si="35"/>
        <v>9.3000000000000007</v>
      </c>
      <c r="Y122" s="123">
        <f t="shared" si="35"/>
        <v>9.3000000000000007</v>
      </c>
      <c r="Z122" s="123">
        <f t="shared" si="35"/>
        <v>9.3000000000000007</v>
      </c>
      <c r="AA122" s="123">
        <f t="shared" si="35"/>
        <v>9.3000000000000007</v>
      </c>
      <c r="AB122" s="123">
        <f t="shared" si="35"/>
        <v>9.3000000000000007</v>
      </c>
      <c r="AC122" s="123">
        <f t="shared" si="35"/>
        <v>9.3000000000000007</v>
      </c>
      <c r="AD122" s="123">
        <f t="shared" si="35"/>
        <v>9.3000000000000007</v>
      </c>
      <c r="AE122" s="123">
        <f t="shared" si="35"/>
        <v>9.3000000000000007</v>
      </c>
      <c r="AF122" s="123">
        <f t="shared" si="35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3"/>
        <v>0</v>
      </c>
      <c r="C123" s="124">
        <v>0</v>
      </c>
      <c r="D123" s="123">
        <f t="shared" si="36"/>
        <v>0</v>
      </c>
      <c r="E123" s="123">
        <f t="shared" si="36"/>
        <v>0</v>
      </c>
      <c r="F123" s="123">
        <f t="shared" si="36"/>
        <v>0</v>
      </c>
      <c r="G123" s="123">
        <f t="shared" si="36"/>
        <v>0</v>
      </c>
      <c r="H123" s="123">
        <f t="shared" si="36"/>
        <v>0</v>
      </c>
      <c r="I123" s="123">
        <f t="shared" si="36"/>
        <v>0</v>
      </c>
      <c r="J123" s="123">
        <f t="shared" si="36"/>
        <v>0</v>
      </c>
      <c r="K123" s="123">
        <f t="shared" si="36"/>
        <v>0</v>
      </c>
      <c r="L123" s="123">
        <f t="shared" si="36"/>
        <v>0</v>
      </c>
      <c r="M123" s="123">
        <f t="shared" si="36"/>
        <v>0</v>
      </c>
      <c r="N123" s="123">
        <f t="shared" si="36"/>
        <v>0</v>
      </c>
      <c r="O123" s="123">
        <f t="shared" si="36"/>
        <v>0</v>
      </c>
      <c r="P123" s="123">
        <f t="shared" si="36"/>
        <v>0</v>
      </c>
      <c r="Q123" s="123">
        <f t="shared" si="36"/>
        <v>0</v>
      </c>
      <c r="R123" s="123">
        <f t="shared" si="36"/>
        <v>0</v>
      </c>
      <c r="S123" s="123">
        <f t="shared" si="36"/>
        <v>0</v>
      </c>
      <c r="T123" s="123">
        <f t="shared" si="35"/>
        <v>0</v>
      </c>
      <c r="U123" s="123">
        <f t="shared" si="35"/>
        <v>0</v>
      </c>
      <c r="V123" s="123">
        <f t="shared" si="35"/>
        <v>0</v>
      </c>
      <c r="W123" s="123">
        <f t="shared" si="35"/>
        <v>0</v>
      </c>
      <c r="X123" s="123">
        <f t="shared" si="35"/>
        <v>0</v>
      </c>
      <c r="Y123" s="123">
        <f t="shared" si="35"/>
        <v>0</v>
      </c>
      <c r="Z123" s="123">
        <f t="shared" si="35"/>
        <v>0</v>
      </c>
      <c r="AA123" s="123">
        <f t="shared" si="35"/>
        <v>0</v>
      </c>
      <c r="AB123" s="123">
        <f t="shared" si="35"/>
        <v>0</v>
      </c>
      <c r="AC123" s="123">
        <f t="shared" si="35"/>
        <v>0</v>
      </c>
      <c r="AD123" s="123">
        <f t="shared" si="35"/>
        <v>0</v>
      </c>
      <c r="AE123" s="123">
        <f t="shared" si="35"/>
        <v>0</v>
      </c>
      <c r="AF123" s="123">
        <f t="shared" si="35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3"/>
        <v>0</v>
      </c>
      <c r="C124" s="124">
        <v>0</v>
      </c>
      <c r="D124" s="123">
        <f t="shared" si="36"/>
        <v>0</v>
      </c>
      <c r="E124" s="123">
        <f t="shared" si="36"/>
        <v>0</v>
      </c>
      <c r="F124" s="123">
        <f t="shared" si="36"/>
        <v>0</v>
      </c>
      <c r="G124" s="123">
        <f t="shared" si="36"/>
        <v>0</v>
      </c>
      <c r="H124" s="123">
        <f t="shared" si="36"/>
        <v>0</v>
      </c>
      <c r="I124" s="123">
        <f t="shared" si="36"/>
        <v>0</v>
      </c>
      <c r="J124" s="123">
        <f t="shared" si="36"/>
        <v>0</v>
      </c>
      <c r="K124" s="123">
        <f t="shared" si="36"/>
        <v>0</v>
      </c>
      <c r="L124" s="123">
        <f t="shared" si="36"/>
        <v>0</v>
      </c>
      <c r="M124" s="123">
        <f t="shared" si="36"/>
        <v>0</v>
      </c>
      <c r="N124" s="123">
        <f t="shared" si="36"/>
        <v>0</v>
      </c>
      <c r="O124" s="123">
        <f t="shared" si="36"/>
        <v>0</v>
      </c>
      <c r="P124" s="123">
        <f t="shared" si="36"/>
        <v>0</v>
      </c>
      <c r="Q124" s="123">
        <f t="shared" si="36"/>
        <v>0</v>
      </c>
      <c r="R124" s="123">
        <f t="shared" si="36"/>
        <v>0</v>
      </c>
      <c r="S124" s="123">
        <f t="shared" si="36"/>
        <v>0</v>
      </c>
      <c r="T124" s="123">
        <f t="shared" si="35"/>
        <v>0</v>
      </c>
      <c r="U124" s="123">
        <f t="shared" si="35"/>
        <v>0</v>
      </c>
      <c r="V124" s="123">
        <f t="shared" si="35"/>
        <v>0</v>
      </c>
      <c r="W124" s="123">
        <f t="shared" si="35"/>
        <v>0</v>
      </c>
      <c r="X124" s="123">
        <f t="shared" si="35"/>
        <v>0</v>
      </c>
      <c r="Y124" s="123">
        <f t="shared" si="35"/>
        <v>0</v>
      </c>
      <c r="Z124" s="123">
        <f t="shared" si="35"/>
        <v>0</v>
      </c>
      <c r="AA124" s="123">
        <f t="shared" si="35"/>
        <v>0</v>
      </c>
      <c r="AB124" s="123">
        <f t="shared" si="35"/>
        <v>0</v>
      </c>
      <c r="AC124" s="123">
        <f t="shared" si="35"/>
        <v>0</v>
      </c>
      <c r="AD124" s="123">
        <f t="shared" si="35"/>
        <v>0</v>
      </c>
      <c r="AE124" s="123">
        <f t="shared" si="35"/>
        <v>0</v>
      </c>
      <c r="AF124" s="123">
        <f t="shared" si="35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3"/>
        <v>;/</v>
      </c>
      <c r="C125" s="124">
        <v>5</v>
      </c>
      <c r="D125" s="123">
        <f t="shared" si="36"/>
        <v>5</v>
      </c>
      <c r="E125" s="123">
        <f t="shared" si="36"/>
        <v>5</v>
      </c>
      <c r="F125" s="123">
        <f t="shared" si="36"/>
        <v>5</v>
      </c>
      <c r="G125" s="123">
        <f t="shared" si="36"/>
        <v>5</v>
      </c>
      <c r="H125" s="123">
        <f t="shared" si="36"/>
        <v>5</v>
      </c>
      <c r="I125" s="123" t="s">
        <v>130</v>
      </c>
      <c r="J125" s="123" t="str">
        <f t="shared" si="36"/>
        <v>;/</v>
      </c>
      <c r="K125" s="123" t="str">
        <f t="shared" si="36"/>
        <v>;/</v>
      </c>
      <c r="L125" s="123" t="str">
        <f t="shared" si="36"/>
        <v>;/</v>
      </c>
      <c r="M125" s="123" t="str">
        <f t="shared" si="36"/>
        <v>;/</v>
      </c>
      <c r="N125" s="123" t="str">
        <f t="shared" si="36"/>
        <v>;/</v>
      </c>
      <c r="O125" s="123" t="str">
        <f t="shared" si="36"/>
        <v>;/</v>
      </c>
      <c r="P125" s="123" t="str">
        <f t="shared" si="36"/>
        <v>;/</v>
      </c>
      <c r="Q125" s="123" t="str">
        <f t="shared" si="36"/>
        <v>;/</v>
      </c>
      <c r="R125" s="123" t="str">
        <f t="shared" si="36"/>
        <v>;/</v>
      </c>
      <c r="S125" s="123" t="str">
        <f t="shared" si="36"/>
        <v>;/</v>
      </c>
      <c r="T125" s="123" t="str">
        <f t="shared" si="35"/>
        <v>;/</v>
      </c>
      <c r="U125" s="123" t="str">
        <f t="shared" si="35"/>
        <v>;/</v>
      </c>
      <c r="V125" s="123" t="str">
        <f t="shared" si="35"/>
        <v>;/</v>
      </c>
      <c r="W125" s="123" t="str">
        <f t="shared" si="35"/>
        <v>;/</v>
      </c>
      <c r="X125" s="123" t="str">
        <f t="shared" si="35"/>
        <v>;/</v>
      </c>
      <c r="Y125" s="123" t="str">
        <f t="shared" si="35"/>
        <v>;/</v>
      </c>
      <c r="Z125" s="123" t="str">
        <f t="shared" si="35"/>
        <v>;/</v>
      </c>
      <c r="AA125" s="123" t="str">
        <f t="shared" si="35"/>
        <v>;/</v>
      </c>
      <c r="AB125" s="123" t="str">
        <f t="shared" si="35"/>
        <v>;/</v>
      </c>
      <c r="AC125" s="123" t="str">
        <f t="shared" si="35"/>
        <v>;/</v>
      </c>
      <c r="AD125" s="123" t="str">
        <f t="shared" si="35"/>
        <v>;/</v>
      </c>
      <c r="AE125" s="123" t="str">
        <f t="shared" si="35"/>
        <v>;/</v>
      </c>
      <c r="AF125" s="123" t="str">
        <f t="shared" si="35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3"/>
        <v>1</v>
      </c>
      <c r="C126" s="124">
        <v>1</v>
      </c>
      <c r="D126" s="123">
        <f t="shared" si="36"/>
        <v>1</v>
      </c>
      <c r="E126" s="123">
        <f t="shared" si="36"/>
        <v>1</v>
      </c>
      <c r="F126" s="123">
        <f t="shared" si="36"/>
        <v>1</v>
      </c>
      <c r="G126" s="123">
        <f t="shared" si="36"/>
        <v>1</v>
      </c>
      <c r="H126" s="123">
        <f t="shared" si="36"/>
        <v>1</v>
      </c>
      <c r="I126" s="123">
        <f t="shared" si="36"/>
        <v>1</v>
      </c>
      <c r="J126" s="123">
        <f t="shared" si="36"/>
        <v>1</v>
      </c>
      <c r="K126" s="123">
        <f t="shared" si="36"/>
        <v>1</v>
      </c>
      <c r="L126" s="123">
        <f t="shared" si="36"/>
        <v>1</v>
      </c>
      <c r="M126" s="123">
        <f t="shared" si="36"/>
        <v>1</v>
      </c>
      <c r="N126" s="123">
        <f t="shared" si="36"/>
        <v>1</v>
      </c>
      <c r="O126" s="123">
        <f t="shared" si="36"/>
        <v>1</v>
      </c>
      <c r="P126" s="123">
        <f t="shared" si="36"/>
        <v>1</v>
      </c>
      <c r="Q126" s="123">
        <f t="shared" si="36"/>
        <v>1</v>
      </c>
      <c r="R126" s="123">
        <f t="shared" si="36"/>
        <v>1</v>
      </c>
      <c r="S126" s="123">
        <f t="shared" si="36"/>
        <v>1</v>
      </c>
      <c r="T126" s="123">
        <f t="shared" si="35"/>
        <v>1</v>
      </c>
      <c r="U126" s="123">
        <f t="shared" si="35"/>
        <v>1</v>
      </c>
      <c r="V126" s="123">
        <f t="shared" si="35"/>
        <v>1</v>
      </c>
      <c r="W126" s="123">
        <f t="shared" si="35"/>
        <v>1</v>
      </c>
      <c r="X126" s="123">
        <f t="shared" si="35"/>
        <v>1</v>
      </c>
      <c r="Y126" s="123">
        <f t="shared" si="35"/>
        <v>1</v>
      </c>
      <c r="Z126" s="123">
        <f t="shared" si="35"/>
        <v>1</v>
      </c>
      <c r="AA126" s="123">
        <f t="shared" si="35"/>
        <v>1</v>
      </c>
      <c r="AB126" s="123">
        <f t="shared" si="35"/>
        <v>1</v>
      </c>
      <c r="AC126" s="123">
        <f t="shared" si="35"/>
        <v>1</v>
      </c>
      <c r="AD126" s="123">
        <f t="shared" si="35"/>
        <v>1</v>
      </c>
      <c r="AE126" s="123">
        <f t="shared" si="35"/>
        <v>1</v>
      </c>
      <c r="AF126" s="123">
        <f t="shared" si="35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3"/>
        <v>1.58</v>
      </c>
      <c r="C127" s="124">
        <v>1.58</v>
      </c>
      <c r="D127" s="123">
        <f t="shared" si="36"/>
        <v>1.58</v>
      </c>
      <c r="E127" s="123">
        <f t="shared" si="36"/>
        <v>1.58</v>
      </c>
      <c r="F127" s="123">
        <f t="shared" si="36"/>
        <v>1.58</v>
      </c>
      <c r="G127" s="123">
        <f t="shared" si="36"/>
        <v>1.58</v>
      </c>
      <c r="H127" s="123">
        <f t="shared" si="36"/>
        <v>1.58</v>
      </c>
      <c r="I127" s="123">
        <f t="shared" si="36"/>
        <v>1.58</v>
      </c>
      <c r="J127" s="123">
        <f t="shared" si="36"/>
        <v>1.58</v>
      </c>
      <c r="K127" s="123">
        <f t="shared" si="36"/>
        <v>1.58</v>
      </c>
      <c r="L127" s="123">
        <f t="shared" si="36"/>
        <v>1.58</v>
      </c>
      <c r="M127" s="123">
        <f t="shared" si="36"/>
        <v>1.58</v>
      </c>
      <c r="N127" s="123">
        <f t="shared" si="36"/>
        <v>1.58</v>
      </c>
      <c r="O127" s="123">
        <f t="shared" si="36"/>
        <v>1.58</v>
      </c>
      <c r="P127" s="123">
        <f t="shared" si="36"/>
        <v>1.58</v>
      </c>
      <c r="Q127" s="123">
        <f t="shared" si="36"/>
        <v>1.58</v>
      </c>
      <c r="R127" s="123">
        <f t="shared" si="36"/>
        <v>1.58</v>
      </c>
      <c r="S127" s="123">
        <f t="shared" si="36"/>
        <v>1.58</v>
      </c>
      <c r="T127" s="123">
        <f t="shared" si="35"/>
        <v>1.58</v>
      </c>
      <c r="U127" s="123">
        <f t="shared" si="35"/>
        <v>1.58</v>
      </c>
      <c r="V127" s="123">
        <f t="shared" si="35"/>
        <v>1.58</v>
      </c>
      <c r="W127" s="123">
        <f t="shared" si="35"/>
        <v>1.58</v>
      </c>
      <c r="X127" s="123">
        <f t="shared" si="35"/>
        <v>1.58</v>
      </c>
      <c r="Y127" s="123">
        <f t="shared" si="35"/>
        <v>1.58</v>
      </c>
      <c r="Z127" s="123">
        <f t="shared" si="35"/>
        <v>1.58</v>
      </c>
      <c r="AA127" s="123">
        <f t="shared" si="35"/>
        <v>1.58</v>
      </c>
      <c r="AB127" s="123">
        <f t="shared" si="35"/>
        <v>1.58</v>
      </c>
      <c r="AC127" s="123">
        <f t="shared" si="35"/>
        <v>1.58</v>
      </c>
      <c r="AD127" s="123">
        <f t="shared" si="35"/>
        <v>1.58</v>
      </c>
      <c r="AE127" s="123">
        <f t="shared" si="35"/>
        <v>1.58</v>
      </c>
      <c r="AF127" s="123">
        <f t="shared" si="35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3"/>
        <v>1.46</v>
      </c>
      <c r="C128" s="124">
        <v>1.46</v>
      </c>
      <c r="D128" s="123">
        <f t="shared" si="36"/>
        <v>1.46</v>
      </c>
      <c r="E128" s="123">
        <f t="shared" si="36"/>
        <v>1.46</v>
      </c>
      <c r="F128" s="123">
        <f t="shared" si="36"/>
        <v>1.46</v>
      </c>
      <c r="G128" s="123">
        <f t="shared" si="36"/>
        <v>1.46</v>
      </c>
      <c r="H128" s="123">
        <f t="shared" si="36"/>
        <v>1.46</v>
      </c>
      <c r="I128" s="123">
        <f t="shared" si="36"/>
        <v>1.46</v>
      </c>
      <c r="J128" s="123">
        <f t="shared" si="36"/>
        <v>1.46</v>
      </c>
      <c r="K128" s="123">
        <f t="shared" si="36"/>
        <v>1.46</v>
      </c>
      <c r="L128" s="123">
        <f t="shared" si="36"/>
        <v>1.46</v>
      </c>
      <c r="M128" s="123">
        <f t="shared" si="36"/>
        <v>1.46</v>
      </c>
      <c r="N128" s="123">
        <f t="shared" si="36"/>
        <v>1.46</v>
      </c>
      <c r="O128" s="123">
        <f t="shared" si="36"/>
        <v>1.46</v>
      </c>
      <c r="P128" s="123">
        <f t="shared" si="36"/>
        <v>1.46</v>
      </c>
      <c r="Q128" s="123">
        <f t="shared" si="36"/>
        <v>1.46</v>
      </c>
      <c r="R128" s="123">
        <f t="shared" si="36"/>
        <v>1.46</v>
      </c>
      <c r="S128" s="123">
        <f t="shared" si="36"/>
        <v>1.46</v>
      </c>
      <c r="T128" s="123">
        <f t="shared" ref="T128:AF129" si="37">S128</f>
        <v>1.46</v>
      </c>
      <c r="U128" s="123">
        <f t="shared" si="37"/>
        <v>1.46</v>
      </c>
      <c r="V128" s="123">
        <f t="shared" si="37"/>
        <v>1.46</v>
      </c>
      <c r="W128" s="123">
        <f t="shared" si="37"/>
        <v>1.46</v>
      </c>
      <c r="X128" s="123">
        <f t="shared" si="37"/>
        <v>1.46</v>
      </c>
      <c r="Y128" s="123">
        <f t="shared" si="37"/>
        <v>1.46</v>
      </c>
      <c r="Z128" s="123">
        <f t="shared" si="37"/>
        <v>1.46</v>
      </c>
      <c r="AA128" s="123">
        <f t="shared" si="37"/>
        <v>1.46</v>
      </c>
      <c r="AB128" s="123">
        <f t="shared" si="37"/>
        <v>1.46</v>
      </c>
      <c r="AC128" s="123">
        <f t="shared" si="37"/>
        <v>1.46</v>
      </c>
      <c r="AD128" s="123">
        <f t="shared" si="37"/>
        <v>1.46</v>
      </c>
      <c r="AE128" s="123">
        <f t="shared" si="37"/>
        <v>1.46</v>
      </c>
      <c r="AF128" s="123">
        <f t="shared" si="37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3"/>
        <v>1.48</v>
      </c>
      <c r="C129" s="124">
        <v>1.48</v>
      </c>
      <c r="D129" s="123">
        <f t="shared" si="36"/>
        <v>1.48</v>
      </c>
      <c r="E129" s="123">
        <f t="shared" si="36"/>
        <v>1.48</v>
      </c>
      <c r="F129" s="123">
        <f t="shared" si="36"/>
        <v>1.48</v>
      </c>
      <c r="G129" s="123">
        <f t="shared" si="36"/>
        <v>1.48</v>
      </c>
      <c r="H129" s="123">
        <f t="shared" si="36"/>
        <v>1.48</v>
      </c>
      <c r="I129" s="123">
        <f t="shared" si="36"/>
        <v>1.48</v>
      </c>
      <c r="J129" s="123">
        <f t="shared" si="36"/>
        <v>1.48</v>
      </c>
      <c r="K129" s="123">
        <f t="shared" si="36"/>
        <v>1.48</v>
      </c>
      <c r="L129" s="123">
        <f t="shared" si="36"/>
        <v>1.48</v>
      </c>
      <c r="M129" s="123">
        <f t="shared" si="36"/>
        <v>1.48</v>
      </c>
      <c r="N129" s="123">
        <f t="shared" si="36"/>
        <v>1.48</v>
      </c>
      <c r="O129" s="123">
        <f t="shared" si="36"/>
        <v>1.48</v>
      </c>
      <c r="P129" s="123">
        <f t="shared" si="36"/>
        <v>1.48</v>
      </c>
      <c r="Q129" s="123">
        <f t="shared" si="36"/>
        <v>1.48</v>
      </c>
      <c r="R129" s="123">
        <f t="shared" si="36"/>
        <v>1.48</v>
      </c>
      <c r="S129" s="123">
        <f t="shared" si="36"/>
        <v>1.48</v>
      </c>
      <c r="T129" s="123">
        <f t="shared" si="37"/>
        <v>1.48</v>
      </c>
      <c r="U129" s="123">
        <f t="shared" si="37"/>
        <v>1.48</v>
      </c>
      <c r="V129" s="123">
        <f t="shared" si="37"/>
        <v>1.48</v>
      </c>
      <c r="W129" s="123">
        <f t="shared" si="37"/>
        <v>1.48</v>
      </c>
      <c r="X129" s="123">
        <f t="shared" si="37"/>
        <v>1.48</v>
      </c>
      <c r="Y129" s="123">
        <f t="shared" si="37"/>
        <v>1.48</v>
      </c>
      <c r="Z129" s="123">
        <f t="shared" si="37"/>
        <v>1.48</v>
      </c>
      <c r="AA129" s="123">
        <f t="shared" si="37"/>
        <v>1.48</v>
      </c>
      <c r="AB129" s="123">
        <f t="shared" si="37"/>
        <v>1.48</v>
      </c>
      <c r="AC129" s="123">
        <f t="shared" si="37"/>
        <v>1.48</v>
      </c>
      <c r="AD129" s="123">
        <f t="shared" si="37"/>
        <v>1.48</v>
      </c>
      <c r="AE129" s="123">
        <f t="shared" si="37"/>
        <v>1.48</v>
      </c>
      <c r="AF129" s="123">
        <f t="shared" si="37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8">AF131</f>
        <v>2.2000000000000002</v>
      </c>
      <c r="C131" s="124">
        <v>2.2000000000000002</v>
      </c>
      <c r="D131" s="123">
        <f t="shared" ref="D131:S138" si="39">C131</f>
        <v>2.2000000000000002</v>
      </c>
      <c r="E131" s="123">
        <f t="shared" si="39"/>
        <v>2.2000000000000002</v>
      </c>
      <c r="F131" s="123">
        <f t="shared" si="39"/>
        <v>2.2000000000000002</v>
      </c>
      <c r="G131" s="123">
        <f t="shared" si="39"/>
        <v>2.2000000000000002</v>
      </c>
      <c r="H131" s="123">
        <f t="shared" si="39"/>
        <v>2.2000000000000002</v>
      </c>
      <c r="I131" s="123">
        <f t="shared" si="39"/>
        <v>2.2000000000000002</v>
      </c>
      <c r="J131" s="123">
        <f t="shared" si="39"/>
        <v>2.2000000000000002</v>
      </c>
      <c r="K131" s="123">
        <f t="shared" si="39"/>
        <v>2.2000000000000002</v>
      </c>
      <c r="L131" s="123">
        <f t="shared" si="39"/>
        <v>2.2000000000000002</v>
      </c>
      <c r="M131" s="123">
        <f t="shared" si="39"/>
        <v>2.2000000000000002</v>
      </c>
      <c r="N131" s="123">
        <f t="shared" si="39"/>
        <v>2.2000000000000002</v>
      </c>
      <c r="O131" s="123">
        <f t="shared" si="39"/>
        <v>2.2000000000000002</v>
      </c>
      <c r="P131" s="123">
        <f t="shared" si="39"/>
        <v>2.2000000000000002</v>
      </c>
      <c r="Q131" s="123">
        <f t="shared" si="39"/>
        <v>2.2000000000000002</v>
      </c>
      <c r="R131" s="123">
        <f t="shared" si="39"/>
        <v>2.2000000000000002</v>
      </c>
      <c r="S131" s="123">
        <f t="shared" si="39"/>
        <v>2.2000000000000002</v>
      </c>
      <c r="T131" s="123">
        <f t="shared" ref="T131:AF138" si="40">S131</f>
        <v>2.2000000000000002</v>
      </c>
      <c r="U131" s="123">
        <f t="shared" si="40"/>
        <v>2.2000000000000002</v>
      </c>
      <c r="V131" s="123">
        <f t="shared" si="40"/>
        <v>2.2000000000000002</v>
      </c>
      <c r="W131" s="123">
        <f t="shared" si="40"/>
        <v>2.2000000000000002</v>
      </c>
      <c r="X131" s="123">
        <f t="shared" si="40"/>
        <v>2.2000000000000002</v>
      </c>
      <c r="Y131" s="123">
        <f t="shared" si="40"/>
        <v>2.2000000000000002</v>
      </c>
      <c r="Z131" s="123">
        <f t="shared" si="40"/>
        <v>2.2000000000000002</v>
      </c>
      <c r="AA131" s="123">
        <f t="shared" si="40"/>
        <v>2.2000000000000002</v>
      </c>
      <c r="AB131" s="123">
        <f t="shared" si="40"/>
        <v>2.2000000000000002</v>
      </c>
      <c r="AC131" s="123">
        <f t="shared" si="40"/>
        <v>2.2000000000000002</v>
      </c>
      <c r="AD131" s="123">
        <f t="shared" si="40"/>
        <v>2.2000000000000002</v>
      </c>
      <c r="AE131" s="123">
        <f t="shared" si="40"/>
        <v>2.2000000000000002</v>
      </c>
      <c r="AF131" s="123">
        <f t="shared" si="40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8"/>
        <v>2</v>
      </c>
      <c r="C132" s="124">
        <v>2</v>
      </c>
      <c r="D132" s="123">
        <f t="shared" si="39"/>
        <v>2</v>
      </c>
      <c r="E132" s="123">
        <f t="shared" si="39"/>
        <v>2</v>
      </c>
      <c r="F132" s="123">
        <f t="shared" si="39"/>
        <v>2</v>
      </c>
      <c r="G132" s="123">
        <f t="shared" si="39"/>
        <v>2</v>
      </c>
      <c r="H132" s="123">
        <f t="shared" si="39"/>
        <v>2</v>
      </c>
      <c r="I132" s="123">
        <f t="shared" si="39"/>
        <v>2</v>
      </c>
      <c r="J132" s="123">
        <f t="shared" si="39"/>
        <v>2</v>
      </c>
      <c r="K132" s="123">
        <f t="shared" si="39"/>
        <v>2</v>
      </c>
      <c r="L132" s="123">
        <f t="shared" si="39"/>
        <v>2</v>
      </c>
      <c r="M132" s="123">
        <f t="shared" si="39"/>
        <v>2</v>
      </c>
      <c r="N132" s="123">
        <f t="shared" si="39"/>
        <v>2</v>
      </c>
      <c r="O132" s="123">
        <f t="shared" si="39"/>
        <v>2</v>
      </c>
      <c r="P132" s="123">
        <f t="shared" si="39"/>
        <v>2</v>
      </c>
      <c r="Q132" s="123">
        <f t="shared" si="39"/>
        <v>2</v>
      </c>
      <c r="R132" s="123">
        <f t="shared" si="39"/>
        <v>2</v>
      </c>
      <c r="S132" s="123">
        <f t="shared" si="39"/>
        <v>2</v>
      </c>
      <c r="T132" s="123">
        <f t="shared" si="40"/>
        <v>2</v>
      </c>
      <c r="U132" s="123">
        <f t="shared" si="40"/>
        <v>2</v>
      </c>
      <c r="V132" s="123">
        <f t="shared" si="40"/>
        <v>2</v>
      </c>
      <c r="W132" s="123">
        <f t="shared" si="40"/>
        <v>2</v>
      </c>
      <c r="X132" s="123">
        <f t="shared" si="40"/>
        <v>2</v>
      </c>
      <c r="Y132" s="123">
        <f t="shared" si="40"/>
        <v>2</v>
      </c>
      <c r="Z132" s="123">
        <f t="shared" si="40"/>
        <v>2</v>
      </c>
      <c r="AA132" s="123">
        <f t="shared" si="40"/>
        <v>2</v>
      </c>
      <c r="AB132" s="123">
        <f t="shared" si="40"/>
        <v>2</v>
      </c>
      <c r="AC132" s="123">
        <f t="shared" si="40"/>
        <v>2</v>
      </c>
      <c r="AD132" s="123">
        <f t="shared" si="40"/>
        <v>2</v>
      </c>
      <c r="AE132" s="123">
        <f t="shared" si="40"/>
        <v>2</v>
      </c>
      <c r="AF132" s="123">
        <f t="shared" si="40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8"/>
        <v>1.25</v>
      </c>
      <c r="C133" s="124">
        <v>1.25</v>
      </c>
      <c r="D133" s="123">
        <f t="shared" si="39"/>
        <v>1.25</v>
      </c>
      <c r="E133" s="123">
        <f t="shared" si="39"/>
        <v>1.25</v>
      </c>
      <c r="F133" s="123">
        <f t="shared" si="39"/>
        <v>1.25</v>
      </c>
      <c r="G133" s="123">
        <f t="shared" si="39"/>
        <v>1.25</v>
      </c>
      <c r="H133" s="123">
        <f t="shared" si="39"/>
        <v>1.25</v>
      </c>
      <c r="I133" s="123">
        <f t="shared" si="39"/>
        <v>1.25</v>
      </c>
      <c r="J133" s="123">
        <f t="shared" si="39"/>
        <v>1.25</v>
      </c>
      <c r="K133" s="123">
        <f t="shared" si="39"/>
        <v>1.25</v>
      </c>
      <c r="L133" s="123">
        <f t="shared" si="39"/>
        <v>1.25</v>
      </c>
      <c r="M133" s="123">
        <f t="shared" si="39"/>
        <v>1.25</v>
      </c>
      <c r="N133" s="123">
        <f t="shared" si="39"/>
        <v>1.25</v>
      </c>
      <c r="O133" s="123">
        <f t="shared" si="39"/>
        <v>1.25</v>
      </c>
      <c r="P133" s="123">
        <f t="shared" si="39"/>
        <v>1.25</v>
      </c>
      <c r="Q133" s="123">
        <f t="shared" si="39"/>
        <v>1.25</v>
      </c>
      <c r="R133" s="123">
        <f t="shared" si="39"/>
        <v>1.25</v>
      </c>
      <c r="S133" s="123">
        <f t="shared" si="39"/>
        <v>1.25</v>
      </c>
      <c r="T133" s="123">
        <f t="shared" si="40"/>
        <v>1.25</v>
      </c>
      <c r="U133" s="123">
        <f t="shared" si="40"/>
        <v>1.25</v>
      </c>
      <c r="V133" s="123">
        <f t="shared" si="40"/>
        <v>1.25</v>
      </c>
      <c r="W133" s="123">
        <f t="shared" si="40"/>
        <v>1.25</v>
      </c>
      <c r="X133" s="123">
        <f t="shared" si="40"/>
        <v>1.25</v>
      </c>
      <c r="Y133" s="123">
        <f t="shared" si="40"/>
        <v>1.25</v>
      </c>
      <c r="Z133" s="123">
        <f t="shared" si="40"/>
        <v>1.25</v>
      </c>
      <c r="AA133" s="123">
        <f t="shared" si="40"/>
        <v>1.25</v>
      </c>
      <c r="AB133" s="123">
        <f t="shared" si="40"/>
        <v>1.25</v>
      </c>
      <c r="AC133" s="123">
        <f t="shared" si="40"/>
        <v>1.25</v>
      </c>
      <c r="AD133" s="123">
        <f t="shared" si="40"/>
        <v>1.25</v>
      </c>
      <c r="AE133" s="123">
        <f t="shared" si="40"/>
        <v>1.25</v>
      </c>
      <c r="AF133" s="123">
        <f t="shared" si="40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8"/>
        <v>1.1499999999999999</v>
      </c>
      <c r="C134" s="124">
        <v>1.1499999999999999</v>
      </c>
      <c r="D134" s="123">
        <f t="shared" si="39"/>
        <v>1.1499999999999999</v>
      </c>
      <c r="E134" s="123">
        <f t="shared" si="39"/>
        <v>1.1499999999999999</v>
      </c>
      <c r="F134" s="123">
        <f t="shared" si="39"/>
        <v>1.1499999999999999</v>
      </c>
      <c r="G134" s="123">
        <f t="shared" si="39"/>
        <v>1.1499999999999999</v>
      </c>
      <c r="H134" s="123">
        <f t="shared" si="39"/>
        <v>1.1499999999999999</v>
      </c>
      <c r="I134" s="123">
        <f t="shared" si="39"/>
        <v>1.1499999999999999</v>
      </c>
      <c r="J134" s="123">
        <f t="shared" si="39"/>
        <v>1.1499999999999999</v>
      </c>
      <c r="K134" s="123">
        <f t="shared" si="39"/>
        <v>1.1499999999999999</v>
      </c>
      <c r="L134" s="123">
        <f t="shared" si="39"/>
        <v>1.1499999999999999</v>
      </c>
      <c r="M134" s="123">
        <f t="shared" si="39"/>
        <v>1.1499999999999999</v>
      </c>
      <c r="N134" s="123">
        <f t="shared" si="39"/>
        <v>1.1499999999999999</v>
      </c>
      <c r="O134" s="123">
        <f t="shared" si="39"/>
        <v>1.1499999999999999</v>
      </c>
      <c r="P134" s="123">
        <f t="shared" si="39"/>
        <v>1.1499999999999999</v>
      </c>
      <c r="Q134" s="123">
        <f t="shared" si="39"/>
        <v>1.1499999999999999</v>
      </c>
      <c r="R134" s="123">
        <f t="shared" si="39"/>
        <v>1.1499999999999999</v>
      </c>
      <c r="S134" s="123">
        <f t="shared" si="39"/>
        <v>1.1499999999999999</v>
      </c>
      <c r="T134" s="123">
        <f t="shared" si="40"/>
        <v>1.1499999999999999</v>
      </c>
      <c r="U134" s="123">
        <f t="shared" si="40"/>
        <v>1.1499999999999999</v>
      </c>
      <c r="V134" s="123">
        <f t="shared" si="40"/>
        <v>1.1499999999999999</v>
      </c>
      <c r="W134" s="123">
        <f t="shared" si="40"/>
        <v>1.1499999999999999</v>
      </c>
      <c r="X134" s="123">
        <f t="shared" si="40"/>
        <v>1.1499999999999999</v>
      </c>
      <c r="Y134" s="123">
        <f t="shared" si="40"/>
        <v>1.1499999999999999</v>
      </c>
      <c r="Z134" s="123">
        <f t="shared" si="40"/>
        <v>1.1499999999999999</v>
      </c>
      <c r="AA134" s="123">
        <f t="shared" si="40"/>
        <v>1.1499999999999999</v>
      </c>
      <c r="AB134" s="123">
        <f t="shared" si="40"/>
        <v>1.1499999999999999</v>
      </c>
      <c r="AC134" s="123">
        <f t="shared" si="40"/>
        <v>1.1499999999999999</v>
      </c>
      <c r="AD134" s="123">
        <f t="shared" si="40"/>
        <v>1.1499999999999999</v>
      </c>
      <c r="AE134" s="123">
        <f t="shared" si="40"/>
        <v>1.1499999999999999</v>
      </c>
      <c r="AF134" s="123">
        <f t="shared" si="40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8"/>
        <v>2.133</v>
      </c>
      <c r="C135" s="124">
        <v>2.133</v>
      </c>
      <c r="D135" s="123">
        <f t="shared" si="39"/>
        <v>2.133</v>
      </c>
      <c r="E135" s="123">
        <f t="shared" si="39"/>
        <v>2.133</v>
      </c>
      <c r="F135" s="123">
        <f t="shared" si="39"/>
        <v>2.133</v>
      </c>
      <c r="G135" s="123">
        <f t="shared" si="39"/>
        <v>2.133</v>
      </c>
      <c r="H135" s="123">
        <f t="shared" si="39"/>
        <v>2.133</v>
      </c>
      <c r="I135" s="123">
        <f t="shared" si="39"/>
        <v>2.133</v>
      </c>
      <c r="J135" s="123">
        <f t="shared" si="39"/>
        <v>2.133</v>
      </c>
      <c r="K135" s="123">
        <f t="shared" si="39"/>
        <v>2.133</v>
      </c>
      <c r="L135" s="123">
        <f t="shared" si="39"/>
        <v>2.133</v>
      </c>
      <c r="M135" s="123">
        <f t="shared" si="39"/>
        <v>2.133</v>
      </c>
      <c r="N135" s="123">
        <f t="shared" si="39"/>
        <v>2.133</v>
      </c>
      <c r="O135" s="123">
        <f t="shared" si="39"/>
        <v>2.133</v>
      </c>
      <c r="P135" s="123">
        <f t="shared" si="39"/>
        <v>2.133</v>
      </c>
      <c r="Q135" s="123">
        <f t="shared" si="39"/>
        <v>2.133</v>
      </c>
      <c r="R135" s="123">
        <f t="shared" si="39"/>
        <v>2.133</v>
      </c>
      <c r="S135" s="123">
        <f t="shared" si="39"/>
        <v>2.133</v>
      </c>
      <c r="T135" s="123">
        <f t="shared" si="40"/>
        <v>2.133</v>
      </c>
      <c r="U135" s="123">
        <f t="shared" si="40"/>
        <v>2.133</v>
      </c>
      <c r="V135" s="123">
        <f t="shared" si="40"/>
        <v>2.133</v>
      </c>
      <c r="W135" s="123">
        <f t="shared" si="40"/>
        <v>2.133</v>
      </c>
      <c r="X135" s="123">
        <f t="shared" si="40"/>
        <v>2.133</v>
      </c>
      <c r="Y135" s="123">
        <f t="shared" si="40"/>
        <v>2.133</v>
      </c>
      <c r="Z135" s="123">
        <f t="shared" si="40"/>
        <v>2.133</v>
      </c>
      <c r="AA135" s="123">
        <f t="shared" si="40"/>
        <v>2.133</v>
      </c>
      <c r="AB135" s="123">
        <f t="shared" si="40"/>
        <v>2.133</v>
      </c>
      <c r="AC135" s="123">
        <f t="shared" si="40"/>
        <v>2.133</v>
      </c>
      <c r="AD135" s="123">
        <f t="shared" si="40"/>
        <v>2.133</v>
      </c>
      <c r="AE135" s="123">
        <f t="shared" si="40"/>
        <v>2.133</v>
      </c>
      <c r="AF135" s="123">
        <f t="shared" si="40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8"/>
        <v>2.09</v>
      </c>
      <c r="C136" s="124">
        <v>2.09</v>
      </c>
      <c r="D136" s="123">
        <f t="shared" si="39"/>
        <v>2.09</v>
      </c>
      <c r="E136" s="123">
        <f t="shared" si="39"/>
        <v>2.09</v>
      </c>
      <c r="F136" s="123">
        <f t="shared" si="39"/>
        <v>2.09</v>
      </c>
      <c r="G136" s="123">
        <f t="shared" si="39"/>
        <v>2.09</v>
      </c>
      <c r="H136" s="123">
        <f t="shared" si="39"/>
        <v>2.09</v>
      </c>
      <c r="I136" s="123">
        <f t="shared" si="39"/>
        <v>2.09</v>
      </c>
      <c r="J136" s="123">
        <f t="shared" si="39"/>
        <v>2.09</v>
      </c>
      <c r="K136" s="123">
        <f t="shared" si="39"/>
        <v>2.09</v>
      </c>
      <c r="L136" s="123">
        <f t="shared" si="39"/>
        <v>2.09</v>
      </c>
      <c r="M136" s="123">
        <f t="shared" si="39"/>
        <v>2.09</v>
      </c>
      <c r="N136" s="123">
        <f t="shared" si="39"/>
        <v>2.09</v>
      </c>
      <c r="O136" s="123">
        <f t="shared" si="39"/>
        <v>2.09</v>
      </c>
      <c r="P136" s="123">
        <f t="shared" si="39"/>
        <v>2.09</v>
      </c>
      <c r="Q136" s="123">
        <f t="shared" si="39"/>
        <v>2.09</v>
      </c>
      <c r="R136" s="123">
        <f t="shared" si="39"/>
        <v>2.09</v>
      </c>
      <c r="S136" s="123">
        <f t="shared" si="39"/>
        <v>2.09</v>
      </c>
      <c r="T136" s="123">
        <f t="shared" si="40"/>
        <v>2.09</v>
      </c>
      <c r="U136" s="123">
        <f t="shared" si="40"/>
        <v>2.09</v>
      </c>
      <c r="V136" s="123">
        <f t="shared" si="40"/>
        <v>2.09</v>
      </c>
      <c r="W136" s="123">
        <f t="shared" si="40"/>
        <v>2.09</v>
      </c>
      <c r="X136" s="123">
        <f t="shared" si="40"/>
        <v>2.09</v>
      </c>
      <c r="Y136" s="123">
        <f t="shared" si="40"/>
        <v>2.09</v>
      </c>
      <c r="Z136" s="123">
        <f t="shared" si="40"/>
        <v>2.09</v>
      </c>
      <c r="AA136" s="123">
        <f t="shared" si="40"/>
        <v>2.09</v>
      </c>
      <c r="AB136" s="123">
        <f t="shared" si="40"/>
        <v>2.09</v>
      </c>
      <c r="AC136" s="123">
        <f t="shared" si="40"/>
        <v>2.09</v>
      </c>
      <c r="AD136" s="123">
        <f t="shared" si="40"/>
        <v>2.09</v>
      </c>
      <c r="AE136" s="123">
        <f t="shared" si="40"/>
        <v>2.09</v>
      </c>
      <c r="AF136" s="123">
        <f t="shared" si="40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8"/>
        <v>1.1399999999999999</v>
      </c>
      <c r="C137" s="124">
        <v>1.1399999999999999</v>
      </c>
      <c r="D137" s="123">
        <f t="shared" si="39"/>
        <v>1.1399999999999999</v>
      </c>
      <c r="E137" s="123">
        <f t="shared" si="39"/>
        <v>1.1399999999999999</v>
      </c>
      <c r="F137" s="123">
        <f t="shared" si="39"/>
        <v>1.1399999999999999</v>
      </c>
      <c r="G137" s="123">
        <f t="shared" si="39"/>
        <v>1.1399999999999999</v>
      </c>
      <c r="H137" s="123">
        <f t="shared" si="39"/>
        <v>1.1399999999999999</v>
      </c>
      <c r="I137" s="123">
        <f t="shared" si="39"/>
        <v>1.1399999999999999</v>
      </c>
      <c r="J137" s="123">
        <f t="shared" si="39"/>
        <v>1.1399999999999999</v>
      </c>
      <c r="K137" s="123">
        <f t="shared" si="39"/>
        <v>1.1399999999999999</v>
      </c>
      <c r="L137" s="123">
        <f t="shared" si="39"/>
        <v>1.1399999999999999</v>
      </c>
      <c r="M137" s="123">
        <f t="shared" si="39"/>
        <v>1.1399999999999999</v>
      </c>
      <c r="N137" s="123">
        <f t="shared" si="39"/>
        <v>1.1399999999999999</v>
      </c>
      <c r="O137" s="123">
        <f t="shared" si="39"/>
        <v>1.1399999999999999</v>
      </c>
      <c r="P137" s="123">
        <f t="shared" si="39"/>
        <v>1.1399999999999999</v>
      </c>
      <c r="Q137" s="123">
        <f t="shared" si="39"/>
        <v>1.1399999999999999</v>
      </c>
      <c r="R137" s="123">
        <f t="shared" si="39"/>
        <v>1.1399999999999999</v>
      </c>
      <c r="S137" s="123">
        <f t="shared" si="39"/>
        <v>1.1399999999999999</v>
      </c>
      <c r="T137" s="123">
        <f t="shared" si="40"/>
        <v>1.1399999999999999</v>
      </c>
      <c r="U137" s="123">
        <f t="shared" si="40"/>
        <v>1.1399999999999999</v>
      </c>
      <c r="V137" s="123">
        <f t="shared" si="40"/>
        <v>1.1399999999999999</v>
      </c>
      <c r="W137" s="123">
        <f t="shared" si="40"/>
        <v>1.1399999999999999</v>
      </c>
      <c r="X137" s="123">
        <f t="shared" si="40"/>
        <v>1.1399999999999999</v>
      </c>
      <c r="Y137" s="123">
        <f t="shared" si="40"/>
        <v>1.1399999999999999</v>
      </c>
      <c r="Z137" s="123">
        <f t="shared" si="40"/>
        <v>1.1399999999999999</v>
      </c>
      <c r="AA137" s="123">
        <f t="shared" si="40"/>
        <v>1.1399999999999999</v>
      </c>
      <c r="AB137" s="123">
        <f t="shared" si="40"/>
        <v>1.1399999999999999</v>
      </c>
      <c r="AC137" s="123">
        <f t="shared" si="40"/>
        <v>1.1399999999999999</v>
      </c>
      <c r="AD137" s="123">
        <f t="shared" si="40"/>
        <v>1.1399999999999999</v>
      </c>
      <c r="AE137" s="123">
        <f t="shared" si="40"/>
        <v>1.1399999999999999</v>
      </c>
      <c r="AF137" s="123">
        <f t="shared" si="40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8"/>
        <v>0.82</v>
      </c>
      <c r="C138" s="124">
        <v>0.82</v>
      </c>
      <c r="D138" s="123">
        <f t="shared" si="39"/>
        <v>0.82</v>
      </c>
      <c r="E138" s="123">
        <f t="shared" si="39"/>
        <v>0.82</v>
      </c>
      <c r="F138" s="123">
        <f t="shared" si="39"/>
        <v>0.82</v>
      </c>
      <c r="G138" s="123">
        <f t="shared" si="39"/>
        <v>0.82</v>
      </c>
      <c r="H138" s="123">
        <f t="shared" si="39"/>
        <v>0.82</v>
      </c>
      <c r="I138" s="123">
        <f t="shared" si="39"/>
        <v>0.82</v>
      </c>
      <c r="J138" s="123">
        <f t="shared" si="39"/>
        <v>0.82</v>
      </c>
      <c r="K138" s="123">
        <f t="shared" si="39"/>
        <v>0.82</v>
      </c>
      <c r="L138" s="123">
        <f t="shared" si="39"/>
        <v>0.82</v>
      </c>
      <c r="M138" s="123">
        <f t="shared" si="39"/>
        <v>0.82</v>
      </c>
      <c r="N138" s="123">
        <f t="shared" si="39"/>
        <v>0.82</v>
      </c>
      <c r="O138" s="123">
        <f t="shared" si="39"/>
        <v>0.82</v>
      </c>
      <c r="P138" s="123">
        <f t="shared" si="39"/>
        <v>0.82</v>
      </c>
      <c r="Q138" s="123">
        <f t="shared" si="39"/>
        <v>0.82</v>
      </c>
      <c r="R138" s="123">
        <f t="shared" si="39"/>
        <v>0.82</v>
      </c>
      <c r="S138" s="123">
        <f t="shared" si="39"/>
        <v>0.82</v>
      </c>
      <c r="T138" s="123">
        <f t="shared" si="40"/>
        <v>0.82</v>
      </c>
      <c r="U138" s="123">
        <f t="shared" si="40"/>
        <v>0.82</v>
      </c>
      <c r="V138" s="123">
        <f t="shared" si="40"/>
        <v>0.82</v>
      </c>
      <c r="W138" s="123">
        <f t="shared" si="40"/>
        <v>0.82</v>
      </c>
      <c r="X138" s="123">
        <f t="shared" si="40"/>
        <v>0.82</v>
      </c>
      <c r="Y138" s="123">
        <f t="shared" si="40"/>
        <v>0.82</v>
      </c>
      <c r="Z138" s="123">
        <f t="shared" si="40"/>
        <v>0.82</v>
      </c>
      <c r="AA138" s="123">
        <f t="shared" si="40"/>
        <v>0.82</v>
      </c>
      <c r="AB138" s="123">
        <f t="shared" si="40"/>
        <v>0.82</v>
      </c>
      <c r="AC138" s="123">
        <f t="shared" si="40"/>
        <v>0.82</v>
      </c>
      <c r="AD138" s="123">
        <f t="shared" si="40"/>
        <v>0.82</v>
      </c>
      <c r="AE138" s="123">
        <f t="shared" si="40"/>
        <v>0.82</v>
      </c>
      <c r="AF138" s="123">
        <f t="shared" si="40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1">AF140</f>
        <v>2</v>
      </c>
      <c r="C140" s="124">
        <v>2</v>
      </c>
      <c r="D140" s="123">
        <f t="shared" ref="D140:S146" si="42">C140</f>
        <v>2</v>
      </c>
      <c r="E140" s="123">
        <f t="shared" si="42"/>
        <v>2</v>
      </c>
      <c r="F140" s="123">
        <f t="shared" si="42"/>
        <v>2</v>
      </c>
      <c r="G140" s="123">
        <f t="shared" si="42"/>
        <v>2</v>
      </c>
      <c r="H140" s="123">
        <f t="shared" si="42"/>
        <v>2</v>
      </c>
      <c r="I140" s="123">
        <f t="shared" si="42"/>
        <v>2</v>
      </c>
      <c r="J140" s="123">
        <f t="shared" si="42"/>
        <v>2</v>
      </c>
      <c r="K140" s="123">
        <f t="shared" si="42"/>
        <v>2</v>
      </c>
      <c r="L140" s="123">
        <f t="shared" si="42"/>
        <v>2</v>
      </c>
      <c r="M140" s="123">
        <f t="shared" si="42"/>
        <v>2</v>
      </c>
      <c r="N140" s="123">
        <f t="shared" si="42"/>
        <v>2</v>
      </c>
      <c r="O140" s="123">
        <f t="shared" si="42"/>
        <v>2</v>
      </c>
      <c r="P140" s="123">
        <f t="shared" si="42"/>
        <v>2</v>
      </c>
      <c r="Q140" s="123">
        <f t="shared" si="42"/>
        <v>2</v>
      </c>
      <c r="R140" s="123">
        <f t="shared" si="42"/>
        <v>2</v>
      </c>
      <c r="S140" s="123">
        <f t="shared" si="42"/>
        <v>2</v>
      </c>
      <c r="T140" s="123">
        <f t="shared" ref="T140:AF146" si="43">S140</f>
        <v>2</v>
      </c>
      <c r="U140" s="123">
        <f t="shared" si="43"/>
        <v>2</v>
      </c>
      <c r="V140" s="123">
        <f t="shared" si="43"/>
        <v>2</v>
      </c>
      <c r="W140" s="123">
        <f t="shared" si="43"/>
        <v>2</v>
      </c>
      <c r="X140" s="123">
        <f t="shared" si="43"/>
        <v>2</v>
      </c>
      <c r="Y140" s="123">
        <f t="shared" si="43"/>
        <v>2</v>
      </c>
      <c r="Z140" s="123">
        <f t="shared" si="43"/>
        <v>2</v>
      </c>
      <c r="AA140" s="123">
        <f t="shared" si="43"/>
        <v>2</v>
      </c>
      <c r="AB140" s="123">
        <f t="shared" si="43"/>
        <v>2</v>
      </c>
      <c r="AC140" s="123">
        <f t="shared" si="43"/>
        <v>2</v>
      </c>
      <c r="AD140" s="123">
        <f t="shared" si="43"/>
        <v>2</v>
      </c>
      <c r="AE140" s="123">
        <f t="shared" si="43"/>
        <v>2</v>
      </c>
      <c r="AF140" s="123">
        <f t="shared" si="43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1"/>
        <v>5.61</v>
      </c>
      <c r="C141" s="124">
        <v>5.61</v>
      </c>
      <c r="D141" s="123">
        <f t="shared" si="42"/>
        <v>5.61</v>
      </c>
      <c r="E141" s="123">
        <f t="shared" si="42"/>
        <v>5.61</v>
      </c>
      <c r="F141" s="123">
        <f t="shared" si="42"/>
        <v>5.61</v>
      </c>
      <c r="G141" s="123">
        <f t="shared" si="42"/>
        <v>5.61</v>
      </c>
      <c r="H141" s="123">
        <f t="shared" si="42"/>
        <v>5.61</v>
      </c>
      <c r="I141" s="123">
        <f t="shared" si="42"/>
        <v>5.61</v>
      </c>
      <c r="J141" s="123">
        <f t="shared" si="42"/>
        <v>5.61</v>
      </c>
      <c r="K141" s="123">
        <f t="shared" si="42"/>
        <v>5.61</v>
      </c>
      <c r="L141" s="123">
        <f t="shared" si="42"/>
        <v>5.61</v>
      </c>
      <c r="M141" s="123">
        <f t="shared" si="42"/>
        <v>5.61</v>
      </c>
      <c r="N141" s="123">
        <f t="shared" si="42"/>
        <v>5.61</v>
      </c>
      <c r="O141" s="123">
        <f t="shared" si="42"/>
        <v>5.61</v>
      </c>
      <c r="P141" s="123">
        <f t="shared" si="42"/>
        <v>5.61</v>
      </c>
      <c r="Q141" s="123">
        <f t="shared" si="42"/>
        <v>5.61</v>
      </c>
      <c r="R141" s="123">
        <f t="shared" si="42"/>
        <v>5.61</v>
      </c>
      <c r="S141" s="123">
        <f t="shared" si="42"/>
        <v>5.61</v>
      </c>
      <c r="T141" s="123">
        <f t="shared" si="43"/>
        <v>5.61</v>
      </c>
      <c r="U141" s="123">
        <f t="shared" si="43"/>
        <v>5.61</v>
      </c>
      <c r="V141" s="123">
        <f t="shared" si="43"/>
        <v>5.61</v>
      </c>
      <c r="W141" s="123">
        <f t="shared" si="43"/>
        <v>5.61</v>
      </c>
      <c r="X141" s="123">
        <f t="shared" si="43"/>
        <v>5.61</v>
      </c>
      <c r="Y141" s="123">
        <f t="shared" si="43"/>
        <v>5.61</v>
      </c>
      <c r="Z141" s="123">
        <f t="shared" si="43"/>
        <v>5.61</v>
      </c>
      <c r="AA141" s="123">
        <f t="shared" si="43"/>
        <v>5.61</v>
      </c>
      <c r="AB141" s="123">
        <f t="shared" si="43"/>
        <v>5.61</v>
      </c>
      <c r="AC141" s="123">
        <f t="shared" si="43"/>
        <v>5.61</v>
      </c>
      <c r="AD141" s="123">
        <f t="shared" si="43"/>
        <v>5.61</v>
      </c>
      <c r="AE141" s="123">
        <f t="shared" si="43"/>
        <v>5.61</v>
      </c>
      <c r="AF141" s="123">
        <f t="shared" si="43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1"/>
        <v>1.25</v>
      </c>
      <c r="C142" s="124">
        <v>1.25</v>
      </c>
      <c r="D142" s="123">
        <f t="shared" si="42"/>
        <v>1.25</v>
      </c>
      <c r="E142" s="123">
        <f t="shared" si="42"/>
        <v>1.25</v>
      </c>
      <c r="F142" s="123">
        <f t="shared" si="42"/>
        <v>1.25</v>
      </c>
      <c r="G142" s="123">
        <f t="shared" si="42"/>
        <v>1.25</v>
      </c>
      <c r="H142" s="123">
        <f t="shared" si="42"/>
        <v>1.25</v>
      </c>
      <c r="I142" s="123">
        <f t="shared" si="42"/>
        <v>1.25</v>
      </c>
      <c r="J142" s="123">
        <f t="shared" si="42"/>
        <v>1.25</v>
      </c>
      <c r="K142" s="123">
        <f t="shared" si="42"/>
        <v>1.25</v>
      </c>
      <c r="L142" s="123">
        <f t="shared" si="42"/>
        <v>1.25</v>
      </c>
      <c r="M142" s="123">
        <f t="shared" si="42"/>
        <v>1.25</v>
      </c>
      <c r="N142" s="123">
        <f t="shared" si="42"/>
        <v>1.25</v>
      </c>
      <c r="O142" s="123">
        <f t="shared" si="42"/>
        <v>1.25</v>
      </c>
      <c r="P142" s="123">
        <f t="shared" si="42"/>
        <v>1.25</v>
      </c>
      <c r="Q142" s="123">
        <f t="shared" si="42"/>
        <v>1.25</v>
      </c>
      <c r="R142" s="123">
        <f t="shared" si="42"/>
        <v>1.25</v>
      </c>
      <c r="S142" s="123">
        <f t="shared" si="42"/>
        <v>1.25</v>
      </c>
      <c r="T142" s="123">
        <f t="shared" si="43"/>
        <v>1.25</v>
      </c>
      <c r="U142" s="123">
        <f t="shared" si="43"/>
        <v>1.25</v>
      </c>
      <c r="V142" s="123">
        <f t="shared" si="43"/>
        <v>1.25</v>
      </c>
      <c r="W142" s="123">
        <f t="shared" si="43"/>
        <v>1.25</v>
      </c>
      <c r="X142" s="123">
        <f t="shared" si="43"/>
        <v>1.25</v>
      </c>
      <c r="Y142" s="123">
        <f t="shared" si="43"/>
        <v>1.25</v>
      </c>
      <c r="Z142" s="123">
        <f t="shared" si="43"/>
        <v>1.25</v>
      </c>
      <c r="AA142" s="123">
        <f t="shared" si="43"/>
        <v>1.25</v>
      </c>
      <c r="AB142" s="123">
        <f t="shared" si="43"/>
        <v>1.25</v>
      </c>
      <c r="AC142" s="123">
        <f t="shared" si="43"/>
        <v>1.25</v>
      </c>
      <c r="AD142" s="123">
        <f t="shared" si="43"/>
        <v>1.25</v>
      </c>
      <c r="AE142" s="123">
        <f t="shared" si="43"/>
        <v>1.25</v>
      </c>
      <c r="AF142" s="123">
        <f t="shared" si="43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1"/>
        <v>1.25</v>
      </c>
      <c r="C143" s="124">
        <v>1.25</v>
      </c>
      <c r="D143" s="123">
        <f t="shared" si="42"/>
        <v>1.25</v>
      </c>
      <c r="E143" s="123">
        <f t="shared" si="42"/>
        <v>1.25</v>
      </c>
      <c r="F143" s="123">
        <f t="shared" si="42"/>
        <v>1.25</v>
      </c>
      <c r="G143" s="123">
        <f t="shared" si="42"/>
        <v>1.25</v>
      </c>
      <c r="H143" s="123">
        <f t="shared" si="42"/>
        <v>1.25</v>
      </c>
      <c r="I143" s="123">
        <f t="shared" si="42"/>
        <v>1.25</v>
      </c>
      <c r="J143" s="123">
        <f t="shared" si="42"/>
        <v>1.25</v>
      </c>
      <c r="K143" s="123">
        <f t="shared" si="42"/>
        <v>1.25</v>
      </c>
      <c r="L143" s="123">
        <f t="shared" si="42"/>
        <v>1.25</v>
      </c>
      <c r="M143" s="123">
        <f t="shared" si="42"/>
        <v>1.25</v>
      </c>
      <c r="N143" s="123">
        <f t="shared" si="42"/>
        <v>1.25</v>
      </c>
      <c r="O143" s="123">
        <f t="shared" si="42"/>
        <v>1.25</v>
      </c>
      <c r="P143" s="123">
        <f t="shared" si="42"/>
        <v>1.25</v>
      </c>
      <c r="Q143" s="123">
        <f t="shared" si="42"/>
        <v>1.25</v>
      </c>
      <c r="R143" s="123">
        <f t="shared" si="42"/>
        <v>1.25</v>
      </c>
      <c r="S143" s="123">
        <f t="shared" si="42"/>
        <v>1.25</v>
      </c>
      <c r="T143" s="123">
        <f t="shared" si="43"/>
        <v>1.25</v>
      </c>
      <c r="U143" s="123">
        <f t="shared" si="43"/>
        <v>1.25</v>
      </c>
      <c r="V143" s="123">
        <f t="shared" si="43"/>
        <v>1.25</v>
      </c>
      <c r="W143" s="123">
        <f t="shared" si="43"/>
        <v>1.25</v>
      </c>
      <c r="X143" s="123">
        <f t="shared" si="43"/>
        <v>1.25</v>
      </c>
      <c r="Y143" s="123">
        <f t="shared" si="43"/>
        <v>1.25</v>
      </c>
      <c r="Z143" s="123">
        <f t="shared" si="43"/>
        <v>1.25</v>
      </c>
      <c r="AA143" s="123">
        <f t="shared" si="43"/>
        <v>1.25</v>
      </c>
      <c r="AB143" s="123">
        <f t="shared" si="43"/>
        <v>1.25</v>
      </c>
      <c r="AC143" s="123">
        <f t="shared" si="43"/>
        <v>1.25</v>
      </c>
      <c r="AD143" s="123">
        <f t="shared" si="43"/>
        <v>1.25</v>
      </c>
      <c r="AE143" s="123">
        <f t="shared" si="43"/>
        <v>1.25</v>
      </c>
      <c r="AF143" s="123">
        <f t="shared" si="43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1"/>
        <v>1.46</v>
      </c>
      <c r="C144" s="124">
        <v>1.46</v>
      </c>
      <c r="D144" s="123">
        <f t="shared" si="42"/>
        <v>1.46</v>
      </c>
      <c r="E144" s="123">
        <f t="shared" si="42"/>
        <v>1.46</v>
      </c>
      <c r="F144" s="123">
        <f t="shared" si="42"/>
        <v>1.46</v>
      </c>
      <c r="G144" s="123">
        <f t="shared" si="42"/>
        <v>1.46</v>
      </c>
      <c r="H144" s="123">
        <f t="shared" si="42"/>
        <v>1.46</v>
      </c>
      <c r="I144" s="123">
        <f t="shared" si="42"/>
        <v>1.46</v>
      </c>
      <c r="J144" s="123">
        <f t="shared" si="42"/>
        <v>1.46</v>
      </c>
      <c r="K144" s="123">
        <f t="shared" si="42"/>
        <v>1.46</v>
      </c>
      <c r="L144" s="123">
        <f t="shared" si="42"/>
        <v>1.46</v>
      </c>
      <c r="M144" s="123">
        <f t="shared" si="42"/>
        <v>1.46</v>
      </c>
      <c r="N144" s="123">
        <f t="shared" si="42"/>
        <v>1.46</v>
      </c>
      <c r="O144" s="123">
        <f t="shared" si="42"/>
        <v>1.46</v>
      </c>
      <c r="P144" s="123">
        <f t="shared" si="42"/>
        <v>1.46</v>
      </c>
      <c r="Q144" s="123">
        <f t="shared" si="42"/>
        <v>1.46</v>
      </c>
      <c r="R144" s="123">
        <f t="shared" si="42"/>
        <v>1.46</v>
      </c>
      <c r="S144" s="123">
        <f t="shared" si="42"/>
        <v>1.46</v>
      </c>
      <c r="T144" s="123">
        <f t="shared" si="43"/>
        <v>1.46</v>
      </c>
      <c r="U144" s="123">
        <f t="shared" si="43"/>
        <v>1.46</v>
      </c>
      <c r="V144" s="123">
        <f t="shared" si="43"/>
        <v>1.46</v>
      </c>
      <c r="W144" s="123">
        <f t="shared" si="43"/>
        <v>1.46</v>
      </c>
      <c r="X144" s="123">
        <f t="shared" si="43"/>
        <v>1.46</v>
      </c>
      <c r="Y144" s="123">
        <f t="shared" si="43"/>
        <v>1.46</v>
      </c>
      <c r="Z144" s="123">
        <f t="shared" si="43"/>
        <v>1.46</v>
      </c>
      <c r="AA144" s="123">
        <f t="shared" si="43"/>
        <v>1.46</v>
      </c>
      <c r="AB144" s="123">
        <f t="shared" si="43"/>
        <v>1.46</v>
      </c>
      <c r="AC144" s="123">
        <f t="shared" si="43"/>
        <v>1.46</v>
      </c>
      <c r="AD144" s="123">
        <f t="shared" si="43"/>
        <v>1.46</v>
      </c>
      <c r="AE144" s="123">
        <f t="shared" si="43"/>
        <v>1.46</v>
      </c>
      <c r="AF144" s="123">
        <f t="shared" si="43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1"/>
        <v>3</v>
      </c>
      <c r="C145" s="124">
        <v>3</v>
      </c>
      <c r="D145" s="123">
        <f t="shared" si="42"/>
        <v>3</v>
      </c>
      <c r="E145" s="123">
        <f t="shared" si="42"/>
        <v>3</v>
      </c>
      <c r="F145" s="123">
        <f t="shared" si="42"/>
        <v>3</v>
      </c>
      <c r="G145" s="123">
        <f t="shared" si="42"/>
        <v>3</v>
      </c>
      <c r="H145" s="123">
        <f t="shared" si="42"/>
        <v>3</v>
      </c>
      <c r="I145" s="123">
        <f t="shared" si="42"/>
        <v>3</v>
      </c>
      <c r="J145" s="123">
        <f t="shared" si="42"/>
        <v>3</v>
      </c>
      <c r="K145" s="123">
        <f t="shared" si="42"/>
        <v>3</v>
      </c>
      <c r="L145" s="123">
        <f t="shared" si="42"/>
        <v>3</v>
      </c>
      <c r="M145" s="123">
        <f t="shared" si="42"/>
        <v>3</v>
      </c>
      <c r="N145" s="123">
        <f t="shared" si="42"/>
        <v>3</v>
      </c>
      <c r="O145" s="123">
        <f t="shared" si="42"/>
        <v>3</v>
      </c>
      <c r="P145" s="123">
        <f t="shared" si="42"/>
        <v>3</v>
      </c>
      <c r="Q145" s="123">
        <f t="shared" si="42"/>
        <v>3</v>
      </c>
      <c r="R145" s="123">
        <f t="shared" si="42"/>
        <v>3</v>
      </c>
      <c r="S145" s="123">
        <f t="shared" si="42"/>
        <v>3</v>
      </c>
      <c r="T145" s="123">
        <f t="shared" si="43"/>
        <v>3</v>
      </c>
      <c r="U145" s="123">
        <f t="shared" si="43"/>
        <v>3</v>
      </c>
      <c r="V145" s="123">
        <f t="shared" si="43"/>
        <v>3</v>
      </c>
      <c r="W145" s="123">
        <f t="shared" si="43"/>
        <v>3</v>
      </c>
      <c r="X145" s="123">
        <f t="shared" si="43"/>
        <v>3</v>
      </c>
      <c r="Y145" s="123">
        <f t="shared" si="43"/>
        <v>3</v>
      </c>
      <c r="Z145" s="123">
        <f t="shared" si="43"/>
        <v>3</v>
      </c>
      <c r="AA145" s="123">
        <f t="shared" si="43"/>
        <v>3</v>
      </c>
      <c r="AB145" s="123">
        <f t="shared" si="43"/>
        <v>3</v>
      </c>
      <c r="AC145" s="123">
        <f t="shared" si="43"/>
        <v>3</v>
      </c>
      <c r="AD145" s="123">
        <f t="shared" si="43"/>
        <v>3</v>
      </c>
      <c r="AE145" s="123">
        <f t="shared" si="43"/>
        <v>3</v>
      </c>
      <c r="AF145" s="123">
        <f t="shared" si="43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1"/>
        <v>3.3</v>
      </c>
      <c r="C146" s="124">
        <v>3.3</v>
      </c>
      <c r="D146" s="123">
        <f t="shared" si="42"/>
        <v>3.3</v>
      </c>
      <c r="E146" s="123">
        <f t="shared" si="42"/>
        <v>3.3</v>
      </c>
      <c r="F146" s="123">
        <f t="shared" si="42"/>
        <v>3.3</v>
      </c>
      <c r="G146" s="123">
        <f t="shared" si="42"/>
        <v>3.3</v>
      </c>
      <c r="H146" s="123">
        <f t="shared" si="42"/>
        <v>3.3</v>
      </c>
      <c r="I146" s="123">
        <f t="shared" si="42"/>
        <v>3.3</v>
      </c>
      <c r="J146" s="123">
        <f t="shared" si="42"/>
        <v>3.3</v>
      </c>
      <c r="K146" s="123">
        <f t="shared" si="42"/>
        <v>3.3</v>
      </c>
      <c r="L146" s="123">
        <f t="shared" si="42"/>
        <v>3.3</v>
      </c>
      <c r="M146" s="123">
        <f t="shared" si="42"/>
        <v>3.3</v>
      </c>
      <c r="N146" s="123">
        <f t="shared" si="42"/>
        <v>3.3</v>
      </c>
      <c r="O146" s="123">
        <f t="shared" si="42"/>
        <v>3.3</v>
      </c>
      <c r="P146" s="123">
        <f t="shared" si="42"/>
        <v>3.3</v>
      </c>
      <c r="Q146" s="123">
        <f t="shared" si="42"/>
        <v>3.3</v>
      </c>
      <c r="R146" s="123">
        <f t="shared" si="42"/>
        <v>3.3</v>
      </c>
      <c r="S146" s="123">
        <f t="shared" si="42"/>
        <v>3.3</v>
      </c>
      <c r="T146" s="123">
        <f t="shared" si="43"/>
        <v>3.3</v>
      </c>
      <c r="U146" s="123">
        <f t="shared" si="43"/>
        <v>3.3</v>
      </c>
      <c r="V146" s="123">
        <f t="shared" si="43"/>
        <v>3.3</v>
      </c>
      <c r="W146" s="123">
        <f t="shared" si="43"/>
        <v>3.3</v>
      </c>
      <c r="X146" s="123">
        <f t="shared" si="43"/>
        <v>3.3</v>
      </c>
      <c r="Y146" s="123">
        <f t="shared" si="43"/>
        <v>3.3</v>
      </c>
      <c r="Z146" s="123">
        <f t="shared" si="43"/>
        <v>3.3</v>
      </c>
      <c r="AA146" s="123">
        <f t="shared" si="43"/>
        <v>3.3</v>
      </c>
      <c r="AB146" s="123">
        <f t="shared" si="43"/>
        <v>3.3</v>
      </c>
      <c r="AC146" s="123">
        <f t="shared" si="43"/>
        <v>3.3</v>
      </c>
      <c r="AD146" s="123">
        <f t="shared" si="43"/>
        <v>3.3</v>
      </c>
      <c r="AE146" s="123">
        <f t="shared" si="43"/>
        <v>3.3</v>
      </c>
      <c r="AF146" s="123">
        <f t="shared" si="43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4">C148</f>
        <v>1.76</v>
      </c>
      <c r="E148" s="123">
        <f t="shared" si="44"/>
        <v>1.76</v>
      </c>
      <c r="F148" s="123">
        <f t="shared" si="44"/>
        <v>1.76</v>
      </c>
      <c r="G148" s="123">
        <f t="shared" si="44"/>
        <v>1.76</v>
      </c>
      <c r="H148" s="123">
        <f t="shared" si="44"/>
        <v>1.76</v>
      </c>
      <c r="I148" s="123">
        <f t="shared" si="44"/>
        <v>1.76</v>
      </c>
      <c r="J148" s="123">
        <f t="shared" si="44"/>
        <v>1.76</v>
      </c>
      <c r="K148" s="123">
        <f t="shared" si="44"/>
        <v>1.76</v>
      </c>
      <c r="L148" s="123">
        <f t="shared" si="44"/>
        <v>1.76</v>
      </c>
      <c r="M148" s="123">
        <f t="shared" si="44"/>
        <v>1.76</v>
      </c>
      <c r="N148" s="123">
        <f t="shared" si="44"/>
        <v>1.76</v>
      </c>
      <c r="O148" s="123">
        <f t="shared" si="44"/>
        <v>1.76</v>
      </c>
      <c r="P148" s="123">
        <f t="shared" si="44"/>
        <v>1.76</v>
      </c>
      <c r="Q148" s="123">
        <f t="shared" si="44"/>
        <v>1.76</v>
      </c>
      <c r="R148" s="123">
        <f t="shared" si="44"/>
        <v>1.76</v>
      </c>
      <c r="S148" s="123">
        <f t="shared" si="44"/>
        <v>1.76</v>
      </c>
      <c r="T148" s="123">
        <f t="shared" ref="T148:AF149" si="45">S148</f>
        <v>1.76</v>
      </c>
      <c r="U148" s="123">
        <f t="shared" si="45"/>
        <v>1.76</v>
      </c>
      <c r="V148" s="123">
        <f t="shared" si="45"/>
        <v>1.76</v>
      </c>
      <c r="W148" s="123">
        <f t="shared" si="45"/>
        <v>1.76</v>
      </c>
      <c r="X148" s="123">
        <f t="shared" si="45"/>
        <v>1.76</v>
      </c>
      <c r="Y148" s="123">
        <f t="shared" si="45"/>
        <v>1.76</v>
      </c>
      <c r="Z148" s="123">
        <f t="shared" si="45"/>
        <v>1.76</v>
      </c>
      <c r="AA148" s="123">
        <f t="shared" si="45"/>
        <v>1.76</v>
      </c>
      <c r="AB148" s="123">
        <f t="shared" si="45"/>
        <v>1.76</v>
      </c>
      <c r="AC148" s="123">
        <f t="shared" si="45"/>
        <v>1.76</v>
      </c>
      <c r="AD148" s="123">
        <f t="shared" si="45"/>
        <v>1.76</v>
      </c>
      <c r="AE148" s="123">
        <f t="shared" si="45"/>
        <v>1.76</v>
      </c>
      <c r="AF148" s="123">
        <f t="shared" si="45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4"/>
        <v>0</v>
      </c>
      <c r="E149" s="123">
        <f t="shared" si="44"/>
        <v>0</v>
      </c>
      <c r="F149" s="123">
        <f t="shared" si="44"/>
        <v>0</v>
      </c>
      <c r="G149" s="123">
        <f t="shared" si="44"/>
        <v>0</v>
      </c>
      <c r="H149" s="123">
        <f t="shared" si="44"/>
        <v>0</v>
      </c>
      <c r="I149" s="123">
        <f t="shared" si="44"/>
        <v>0</v>
      </c>
      <c r="J149" s="123">
        <f t="shared" si="44"/>
        <v>0</v>
      </c>
      <c r="K149" s="123">
        <f t="shared" si="44"/>
        <v>0</v>
      </c>
      <c r="L149" s="123">
        <f t="shared" si="44"/>
        <v>0</v>
      </c>
      <c r="M149" s="123">
        <f t="shared" si="44"/>
        <v>0</v>
      </c>
      <c r="N149" s="123">
        <f t="shared" si="44"/>
        <v>0</v>
      </c>
      <c r="O149" s="123">
        <f t="shared" si="44"/>
        <v>0</v>
      </c>
      <c r="P149" s="123">
        <f t="shared" si="44"/>
        <v>0</v>
      </c>
      <c r="Q149" s="123">
        <f t="shared" si="44"/>
        <v>0</v>
      </c>
      <c r="R149" s="123">
        <f t="shared" si="44"/>
        <v>0</v>
      </c>
      <c r="S149" s="123">
        <f t="shared" si="44"/>
        <v>0</v>
      </c>
      <c r="T149" s="123">
        <f t="shared" si="45"/>
        <v>0</v>
      </c>
      <c r="U149" s="123">
        <f t="shared" si="45"/>
        <v>0</v>
      </c>
      <c r="V149" s="123">
        <f t="shared" si="45"/>
        <v>0</v>
      </c>
      <c r="W149" s="123">
        <f t="shared" si="45"/>
        <v>0</v>
      </c>
      <c r="X149" s="123">
        <f t="shared" si="45"/>
        <v>0</v>
      </c>
      <c r="Y149" s="123">
        <f t="shared" si="45"/>
        <v>0</v>
      </c>
      <c r="Z149" s="123">
        <f t="shared" si="45"/>
        <v>0</v>
      </c>
      <c r="AA149" s="123">
        <f t="shared" si="45"/>
        <v>0</v>
      </c>
      <c r="AB149" s="123">
        <f t="shared" si="45"/>
        <v>0</v>
      </c>
      <c r="AC149" s="123">
        <f t="shared" si="45"/>
        <v>0</v>
      </c>
      <c r="AD149" s="123">
        <f t="shared" si="45"/>
        <v>0</v>
      </c>
      <c r="AE149" s="123">
        <f t="shared" si="45"/>
        <v>0</v>
      </c>
      <c r="AF149" s="123">
        <f t="shared" si="45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6">C151</f>
        <v>0.1</v>
      </c>
      <c r="E151" s="123">
        <f t="shared" si="46"/>
        <v>0.1</v>
      </c>
      <c r="F151" s="123">
        <f t="shared" si="46"/>
        <v>0.1</v>
      </c>
      <c r="G151" s="123">
        <f t="shared" si="46"/>
        <v>0.1</v>
      </c>
      <c r="H151" s="123">
        <f t="shared" si="46"/>
        <v>0.1</v>
      </c>
      <c r="I151" s="123">
        <f t="shared" si="46"/>
        <v>0.1</v>
      </c>
      <c r="J151" s="123">
        <f t="shared" si="46"/>
        <v>0.1</v>
      </c>
      <c r="K151" s="123">
        <f t="shared" si="46"/>
        <v>0.1</v>
      </c>
      <c r="L151" s="123">
        <f t="shared" si="46"/>
        <v>0.1</v>
      </c>
      <c r="M151" s="123">
        <f t="shared" si="46"/>
        <v>0.1</v>
      </c>
      <c r="N151" s="123">
        <f t="shared" si="46"/>
        <v>0.1</v>
      </c>
      <c r="O151" s="123">
        <f t="shared" si="46"/>
        <v>0.1</v>
      </c>
      <c r="P151" s="123">
        <f t="shared" si="46"/>
        <v>0.1</v>
      </c>
      <c r="Q151" s="123">
        <f t="shared" si="46"/>
        <v>0.1</v>
      </c>
      <c r="R151" s="123">
        <f t="shared" si="46"/>
        <v>0.1</v>
      </c>
      <c r="S151" s="123">
        <f t="shared" si="46"/>
        <v>0.1</v>
      </c>
      <c r="T151" s="123">
        <f t="shared" ref="T151:AF154" si="47">S151</f>
        <v>0.1</v>
      </c>
      <c r="U151" s="123">
        <f t="shared" si="47"/>
        <v>0.1</v>
      </c>
      <c r="V151" s="123">
        <f t="shared" si="47"/>
        <v>0.1</v>
      </c>
      <c r="W151" s="123">
        <f t="shared" si="47"/>
        <v>0.1</v>
      </c>
      <c r="X151" s="123">
        <f t="shared" si="47"/>
        <v>0.1</v>
      </c>
      <c r="Y151" s="123">
        <f t="shared" si="47"/>
        <v>0.1</v>
      </c>
      <c r="Z151" s="123">
        <f t="shared" si="47"/>
        <v>0.1</v>
      </c>
      <c r="AA151" s="123">
        <f t="shared" si="47"/>
        <v>0.1</v>
      </c>
      <c r="AB151" s="123">
        <f t="shared" si="47"/>
        <v>0.1</v>
      </c>
      <c r="AC151" s="123">
        <f t="shared" si="47"/>
        <v>0.1</v>
      </c>
      <c r="AD151" s="123">
        <f t="shared" si="47"/>
        <v>0.1</v>
      </c>
      <c r="AE151" s="123">
        <f t="shared" si="47"/>
        <v>0.1</v>
      </c>
      <c r="AF151" s="123">
        <f t="shared" si="47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6"/>
        <v>2.0499999999999998</v>
      </c>
      <c r="E152" s="123">
        <f t="shared" si="46"/>
        <v>2.0499999999999998</v>
      </c>
      <c r="F152" s="123">
        <f t="shared" si="46"/>
        <v>2.0499999999999998</v>
      </c>
      <c r="G152" s="123">
        <f t="shared" si="46"/>
        <v>2.0499999999999998</v>
      </c>
      <c r="H152" s="123">
        <f t="shared" si="46"/>
        <v>2.0499999999999998</v>
      </c>
      <c r="I152" s="123">
        <f t="shared" si="46"/>
        <v>2.0499999999999998</v>
      </c>
      <c r="J152" s="123">
        <f t="shared" si="46"/>
        <v>2.0499999999999998</v>
      </c>
      <c r="K152" s="123">
        <f t="shared" si="46"/>
        <v>2.0499999999999998</v>
      </c>
      <c r="L152" s="123">
        <f t="shared" si="46"/>
        <v>2.0499999999999998</v>
      </c>
      <c r="M152" s="123">
        <f t="shared" si="46"/>
        <v>2.0499999999999998</v>
      </c>
      <c r="N152" s="123">
        <f t="shared" si="46"/>
        <v>2.0499999999999998</v>
      </c>
      <c r="O152" s="123">
        <f t="shared" si="46"/>
        <v>2.0499999999999998</v>
      </c>
      <c r="P152" s="123">
        <f t="shared" si="46"/>
        <v>2.0499999999999998</v>
      </c>
      <c r="Q152" s="123">
        <f t="shared" si="46"/>
        <v>2.0499999999999998</v>
      </c>
      <c r="R152" s="123">
        <f t="shared" si="46"/>
        <v>2.0499999999999998</v>
      </c>
      <c r="S152" s="123">
        <f t="shared" si="46"/>
        <v>2.0499999999999998</v>
      </c>
      <c r="T152" s="123">
        <f t="shared" si="47"/>
        <v>2.0499999999999998</v>
      </c>
      <c r="U152" s="123">
        <f t="shared" si="47"/>
        <v>2.0499999999999998</v>
      </c>
      <c r="V152" s="123">
        <f t="shared" si="47"/>
        <v>2.0499999999999998</v>
      </c>
      <c r="W152" s="123">
        <f t="shared" si="47"/>
        <v>2.0499999999999998</v>
      </c>
      <c r="X152" s="123">
        <f t="shared" si="47"/>
        <v>2.0499999999999998</v>
      </c>
      <c r="Y152" s="123">
        <f t="shared" si="47"/>
        <v>2.0499999999999998</v>
      </c>
      <c r="Z152" s="123">
        <f t="shared" si="47"/>
        <v>2.0499999999999998</v>
      </c>
      <c r="AA152" s="123">
        <f t="shared" si="47"/>
        <v>2.0499999999999998</v>
      </c>
      <c r="AB152" s="123">
        <f t="shared" si="47"/>
        <v>2.0499999999999998</v>
      </c>
      <c r="AC152" s="123">
        <f t="shared" si="47"/>
        <v>2.0499999999999998</v>
      </c>
      <c r="AD152" s="123">
        <f t="shared" si="47"/>
        <v>2.0499999999999998</v>
      </c>
      <c r="AE152" s="123">
        <f t="shared" si="47"/>
        <v>2.0499999999999998</v>
      </c>
      <c r="AF152" s="123">
        <f t="shared" si="47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6"/>
        <v>2.7</v>
      </c>
      <c r="E153" s="123">
        <f t="shared" si="46"/>
        <v>2.7</v>
      </c>
      <c r="F153" s="123">
        <f t="shared" si="46"/>
        <v>2.7</v>
      </c>
      <c r="G153" s="123">
        <f t="shared" si="46"/>
        <v>2.7</v>
      </c>
      <c r="H153" s="123">
        <f t="shared" si="46"/>
        <v>2.7</v>
      </c>
      <c r="I153" s="123">
        <f t="shared" si="46"/>
        <v>2.7</v>
      </c>
      <c r="J153" s="123">
        <f t="shared" si="46"/>
        <v>2.7</v>
      </c>
      <c r="K153" s="123">
        <f t="shared" si="46"/>
        <v>2.7</v>
      </c>
      <c r="L153" s="123">
        <f t="shared" si="46"/>
        <v>2.7</v>
      </c>
      <c r="M153" s="123">
        <f t="shared" si="46"/>
        <v>2.7</v>
      </c>
      <c r="N153" s="123">
        <f t="shared" si="46"/>
        <v>2.7</v>
      </c>
      <c r="O153" s="123">
        <f t="shared" si="46"/>
        <v>2.7</v>
      </c>
      <c r="P153" s="123">
        <f t="shared" si="46"/>
        <v>2.7</v>
      </c>
      <c r="Q153" s="123">
        <f t="shared" si="46"/>
        <v>2.7</v>
      </c>
      <c r="R153" s="123">
        <f t="shared" si="46"/>
        <v>2.7</v>
      </c>
      <c r="S153" s="123">
        <f t="shared" si="46"/>
        <v>2.7</v>
      </c>
      <c r="T153" s="123">
        <f t="shared" si="47"/>
        <v>2.7</v>
      </c>
      <c r="U153" s="123">
        <f t="shared" si="47"/>
        <v>2.7</v>
      </c>
      <c r="V153" s="123">
        <f t="shared" si="47"/>
        <v>2.7</v>
      </c>
      <c r="W153" s="123">
        <f t="shared" si="47"/>
        <v>2.7</v>
      </c>
      <c r="X153" s="123">
        <f t="shared" si="47"/>
        <v>2.7</v>
      </c>
      <c r="Y153" s="123">
        <f t="shared" si="47"/>
        <v>2.7</v>
      </c>
      <c r="Z153" s="123">
        <f t="shared" si="47"/>
        <v>2.7</v>
      </c>
      <c r="AA153" s="123">
        <f t="shared" si="47"/>
        <v>2.7</v>
      </c>
      <c r="AB153" s="123">
        <f t="shared" si="47"/>
        <v>2.7</v>
      </c>
      <c r="AC153" s="123">
        <f t="shared" si="47"/>
        <v>2.7</v>
      </c>
      <c r="AD153" s="123">
        <f t="shared" si="47"/>
        <v>2.7</v>
      </c>
      <c r="AE153" s="123">
        <f t="shared" si="47"/>
        <v>2.7</v>
      </c>
      <c r="AF153" s="123">
        <f t="shared" si="47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6"/>
        <v>2.15</v>
      </c>
      <c r="E154" s="123">
        <f t="shared" si="46"/>
        <v>2.15</v>
      </c>
      <c r="F154" s="123">
        <f t="shared" si="46"/>
        <v>2.15</v>
      </c>
      <c r="G154" s="123">
        <f t="shared" si="46"/>
        <v>2.15</v>
      </c>
      <c r="H154" s="123">
        <f t="shared" si="46"/>
        <v>2.15</v>
      </c>
      <c r="I154" s="123">
        <f t="shared" si="46"/>
        <v>2.15</v>
      </c>
      <c r="J154" s="123">
        <f t="shared" si="46"/>
        <v>2.15</v>
      </c>
      <c r="K154" s="123">
        <f t="shared" si="46"/>
        <v>2.15</v>
      </c>
      <c r="L154" s="123">
        <f t="shared" si="46"/>
        <v>2.15</v>
      </c>
      <c r="M154" s="123">
        <f t="shared" si="46"/>
        <v>2.15</v>
      </c>
      <c r="N154" s="123">
        <f t="shared" si="46"/>
        <v>2.15</v>
      </c>
      <c r="O154" s="123">
        <f t="shared" si="46"/>
        <v>2.15</v>
      </c>
      <c r="P154" s="123">
        <f t="shared" si="46"/>
        <v>2.15</v>
      </c>
      <c r="Q154" s="123">
        <f t="shared" si="46"/>
        <v>2.15</v>
      </c>
      <c r="R154" s="123">
        <f t="shared" si="46"/>
        <v>2.15</v>
      </c>
      <c r="S154" s="123">
        <f t="shared" si="46"/>
        <v>2.15</v>
      </c>
      <c r="T154" s="123">
        <f t="shared" si="47"/>
        <v>2.15</v>
      </c>
      <c r="U154" s="123">
        <f t="shared" si="47"/>
        <v>2.15</v>
      </c>
      <c r="V154" s="123">
        <f t="shared" si="47"/>
        <v>2.15</v>
      </c>
      <c r="W154" s="123">
        <f t="shared" si="47"/>
        <v>2.15</v>
      </c>
      <c r="X154" s="123">
        <f t="shared" si="47"/>
        <v>2.15</v>
      </c>
      <c r="Y154" s="123">
        <f t="shared" si="47"/>
        <v>2.15</v>
      </c>
      <c r="Z154" s="123">
        <f t="shared" si="47"/>
        <v>2.15</v>
      </c>
      <c r="AA154" s="123">
        <f t="shared" si="47"/>
        <v>2.15</v>
      </c>
      <c r="AB154" s="123">
        <f t="shared" si="47"/>
        <v>2.15</v>
      </c>
      <c r="AC154" s="123">
        <f t="shared" si="47"/>
        <v>2.15</v>
      </c>
      <c r="AD154" s="123">
        <f t="shared" si="47"/>
        <v>2.15</v>
      </c>
      <c r="AE154" s="123">
        <f t="shared" si="47"/>
        <v>2.15</v>
      </c>
      <c r="AF154" s="123">
        <f t="shared" si="47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8">AF156</f>
        <v>0.9</v>
      </c>
      <c r="C156" s="124">
        <v>0.9</v>
      </c>
      <c r="D156" s="123">
        <f t="shared" ref="D156:S168" si="49">C156</f>
        <v>0.9</v>
      </c>
      <c r="E156" s="123">
        <f t="shared" si="49"/>
        <v>0.9</v>
      </c>
      <c r="F156" s="123">
        <f t="shared" si="49"/>
        <v>0.9</v>
      </c>
      <c r="G156" s="123">
        <f t="shared" si="49"/>
        <v>0.9</v>
      </c>
      <c r="H156" s="123">
        <f t="shared" si="49"/>
        <v>0.9</v>
      </c>
      <c r="I156" s="123">
        <f t="shared" si="49"/>
        <v>0.9</v>
      </c>
      <c r="J156" s="123">
        <f t="shared" si="49"/>
        <v>0.9</v>
      </c>
      <c r="K156" s="123">
        <f t="shared" si="49"/>
        <v>0.9</v>
      </c>
      <c r="L156" s="123">
        <f t="shared" si="49"/>
        <v>0.9</v>
      </c>
      <c r="M156" s="123">
        <f t="shared" si="49"/>
        <v>0.9</v>
      </c>
      <c r="N156" s="123">
        <f t="shared" si="49"/>
        <v>0.9</v>
      </c>
      <c r="O156" s="123">
        <f t="shared" si="49"/>
        <v>0.9</v>
      </c>
      <c r="P156" s="123">
        <f t="shared" si="49"/>
        <v>0.9</v>
      </c>
      <c r="Q156" s="123">
        <f t="shared" si="49"/>
        <v>0.9</v>
      </c>
      <c r="R156" s="123">
        <f t="shared" si="49"/>
        <v>0.9</v>
      </c>
      <c r="S156" s="123">
        <f t="shared" si="49"/>
        <v>0.9</v>
      </c>
      <c r="T156" s="123">
        <f t="shared" ref="S156:AF168" si="50">S156</f>
        <v>0.9</v>
      </c>
      <c r="U156" s="123">
        <f t="shared" si="50"/>
        <v>0.9</v>
      </c>
      <c r="V156" s="123">
        <f t="shared" si="50"/>
        <v>0.9</v>
      </c>
      <c r="W156" s="123">
        <f t="shared" si="50"/>
        <v>0.9</v>
      </c>
      <c r="X156" s="123">
        <f t="shared" si="50"/>
        <v>0.9</v>
      </c>
      <c r="Y156" s="123">
        <f t="shared" si="50"/>
        <v>0.9</v>
      </c>
      <c r="Z156" s="123">
        <f t="shared" si="50"/>
        <v>0.9</v>
      </c>
      <c r="AA156" s="123">
        <f t="shared" si="50"/>
        <v>0.9</v>
      </c>
      <c r="AB156" s="123">
        <f t="shared" si="50"/>
        <v>0.9</v>
      </c>
      <c r="AC156" s="123">
        <f t="shared" si="50"/>
        <v>0.9</v>
      </c>
      <c r="AD156" s="123">
        <f t="shared" si="50"/>
        <v>0.9</v>
      </c>
      <c r="AE156" s="123">
        <f t="shared" si="50"/>
        <v>0.9</v>
      </c>
      <c r="AF156" s="123">
        <f t="shared" si="50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8"/>
        <v>1.08</v>
      </c>
      <c r="C157" s="124">
        <v>1.08</v>
      </c>
      <c r="D157" s="123">
        <f t="shared" si="49"/>
        <v>1.08</v>
      </c>
      <c r="E157" s="123">
        <f t="shared" si="49"/>
        <v>1.08</v>
      </c>
      <c r="F157" s="123">
        <f t="shared" si="49"/>
        <v>1.08</v>
      </c>
      <c r="G157" s="123">
        <f t="shared" si="49"/>
        <v>1.08</v>
      </c>
      <c r="H157" s="123">
        <f t="shared" si="49"/>
        <v>1.08</v>
      </c>
      <c r="I157" s="123">
        <f t="shared" si="49"/>
        <v>1.08</v>
      </c>
      <c r="J157" s="123">
        <f t="shared" si="49"/>
        <v>1.08</v>
      </c>
      <c r="K157" s="123">
        <f t="shared" si="49"/>
        <v>1.08</v>
      </c>
      <c r="L157" s="123">
        <f t="shared" si="49"/>
        <v>1.08</v>
      </c>
      <c r="M157" s="123">
        <f t="shared" si="49"/>
        <v>1.08</v>
      </c>
      <c r="N157" s="123">
        <f t="shared" si="49"/>
        <v>1.08</v>
      </c>
      <c r="O157" s="123">
        <f t="shared" si="49"/>
        <v>1.08</v>
      </c>
      <c r="P157" s="123">
        <f t="shared" si="49"/>
        <v>1.08</v>
      </c>
      <c r="Q157" s="123">
        <f t="shared" si="49"/>
        <v>1.08</v>
      </c>
      <c r="R157" s="123">
        <f t="shared" si="49"/>
        <v>1.08</v>
      </c>
      <c r="S157" s="123">
        <f t="shared" si="49"/>
        <v>1.08</v>
      </c>
      <c r="T157" s="123">
        <f t="shared" si="50"/>
        <v>1.08</v>
      </c>
      <c r="U157" s="123">
        <f t="shared" si="50"/>
        <v>1.08</v>
      </c>
      <c r="V157" s="123">
        <f t="shared" si="50"/>
        <v>1.08</v>
      </c>
      <c r="W157" s="123">
        <f t="shared" si="50"/>
        <v>1.08</v>
      </c>
      <c r="X157" s="123">
        <f t="shared" si="50"/>
        <v>1.08</v>
      </c>
      <c r="Y157" s="123">
        <f t="shared" si="50"/>
        <v>1.08</v>
      </c>
      <c r="Z157" s="123">
        <f t="shared" si="50"/>
        <v>1.08</v>
      </c>
      <c r="AA157" s="123">
        <f t="shared" si="50"/>
        <v>1.08</v>
      </c>
      <c r="AB157" s="123">
        <f t="shared" si="50"/>
        <v>1.08</v>
      </c>
      <c r="AC157" s="123">
        <f t="shared" si="50"/>
        <v>1.08</v>
      </c>
      <c r="AD157" s="123">
        <f t="shared" si="50"/>
        <v>1.08</v>
      </c>
      <c r="AE157" s="123">
        <f t="shared" si="50"/>
        <v>1.08</v>
      </c>
      <c r="AF157" s="123">
        <f t="shared" si="50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8"/>
        <v>2.37</v>
      </c>
      <c r="C158" s="124">
        <v>2.37</v>
      </c>
      <c r="D158" s="123">
        <f t="shared" si="49"/>
        <v>2.37</v>
      </c>
      <c r="E158" s="123">
        <f t="shared" si="49"/>
        <v>2.37</v>
      </c>
      <c r="F158" s="123">
        <f t="shared" si="49"/>
        <v>2.37</v>
      </c>
      <c r="G158" s="123">
        <f t="shared" si="49"/>
        <v>2.37</v>
      </c>
      <c r="H158" s="123">
        <f t="shared" si="49"/>
        <v>2.37</v>
      </c>
      <c r="I158" s="123">
        <f t="shared" si="49"/>
        <v>2.37</v>
      </c>
      <c r="J158" s="123">
        <f t="shared" si="49"/>
        <v>2.37</v>
      </c>
      <c r="K158" s="123">
        <f t="shared" si="49"/>
        <v>2.37</v>
      </c>
      <c r="L158" s="123">
        <f t="shared" si="49"/>
        <v>2.37</v>
      </c>
      <c r="M158" s="123">
        <f t="shared" si="49"/>
        <v>2.37</v>
      </c>
      <c r="N158" s="123">
        <f t="shared" si="49"/>
        <v>2.37</v>
      </c>
      <c r="O158" s="123">
        <f t="shared" si="49"/>
        <v>2.37</v>
      </c>
      <c r="P158" s="123">
        <f t="shared" si="49"/>
        <v>2.37</v>
      </c>
      <c r="Q158" s="123">
        <f t="shared" si="49"/>
        <v>2.37</v>
      </c>
      <c r="R158" s="123">
        <f t="shared" si="49"/>
        <v>2.37</v>
      </c>
      <c r="S158" s="123">
        <f t="shared" si="49"/>
        <v>2.37</v>
      </c>
      <c r="T158" s="123">
        <f t="shared" si="50"/>
        <v>2.37</v>
      </c>
      <c r="U158" s="123">
        <f t="shared" si="50"/>
        <v>2.37</v>
      </c>
      <c r="V158" s="123">
        <f t="shared" si="50"/>
        <v>2.37</v>
      </c>
      <c r="W158" s="123">
        <f t="shared" si="50"/>
        <v>2.37</v>
      </c>
      <c r="X158" s="123">
        <f t="shared" si="50"/>
        <v>2.37</v>
      </c>
      <c r="Y158" s="123">
        <f t="shared" si="50"/>
        <v>2.37</v>
      </c>
      <c r="Z158" s="123">
        <f t="shared" si="50"/>
        <v>2.37</v>
      </c>
      <c r="AA158" s="123">
        <f t="shared" si="50"/>
        <v>2.37</v>
      </c>
      <c r="AB158" s="123">
        <f t="shared" si="50"/>
        <v>2.37</v>
      </c>
      <c r="AC158" s="123">
        <f t="shared" si="50"/>
        <v>2.37</v>
      </c>
      <c r="AD158" s="123">
        <f t="shared" si="50"/>
        <v>2.37</v>
      </c>
      <c r="AE158" s="123">
        <f t="shared" si="50"/>
        <v>2.37</v>
      </c>
      <c r="AF158" s="123">
        <f t="shared" si="50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8"/>
        <v>1.81</v>
      </c>
      <c r="C159" s="124">
        <v>1.81</v>
      </c>
      <c r="D159" s="123">
        <f t="shared" si="49"/>
        <v>1.81</v>
      </c>
      <c r="E159" s="123">
        <f t="shared" si="49"/>
        <v>1.81</v>
      </c>
      <c r="F159" s="123">
        <f t="shared" si="49"/>
        <v>1.81</v>
      </c>
      <c r="G159" s="123">
        <f t="shared" si="49"/>
        <v>1.81</v>
      </c>
      <c r="H159" s="123">
        <f t="shared" si="49"/>
        <v>1.81</v>
      </c>
      <c r="I159" s="123">
        <f t="shared" si="49"/>
        <v>1.81</v>
      </c>
      <c r="J159" s="123">
        <f t="shared" si="49"/>
        <v>1.81</v>
      </c>
      <c r="K159" s="123">
        <f t="shared" si="49"/>
        <v>1.81</v>
      </c>
      <c r="L159" s="123">
        <f t="shared" si="49"/>
        <v>1.81</v>
      </c>
      <c r="M159" s="123">
        <f t="shared" si="49"/>
        <v>1.81</v>
      </c>
      <c r="N159" s="123">
        <f t="shared" si="49"/>
        <v>1.81</v>
      </c>
      <c r="O159" s="123">
        <f t="shared" si="49"/>
        <v>1.81</v>
      </c>
      <c r="P159" s="123">
        <f t="shared" si="49"/>
        <v>1.81</v>
      </c>
      <c r="Q159" s="123">
        <f t="shared" si="49"/>
        <v>1.81</v>
      </c>
      <c r="R159" s="123">
        <f t="shared" si="49"/>
        <v>1.81</v>
      </c>
      <c r="S159" s="123">
        <f t="shared" si="49"/>
        <v>1.81</v>
      </c>
      <c r="T159" s="123">
        <f t="shared" si="50"/>
        <v>1.81</v>
      </c>
      <c r="U159" s="123">
        <f t="shared" si="50"/>
        <v>1.81</v>
      </c>
      <c r="V159" s="123">
        <f t="shared" si="50"/>
        <v>1.81</v>
      </c>
      <c r="W159" s="123">
        <f t="shared" si="50"/>
        <v>1.81</v>
      </c>
      <c r="X159" s="123">
        <f t="shared" si="50"/>
        <v>1.81</v>
      </c>
      <c r="Y159" s="123">
        <f t="shared" si="50"/>
        <v>1.81</v>
      </c>
      <c r="Z159" s="123">
        <f t="shared" si="50"/>
        <v>1.81</v>
      </c>
      <c r="AA159" s="123">
        <f t="shared" si="50"/>
        <v>1.81</v>
      </c>
      <c r="AB159" s="123">
        <f t="shared" si="50"/>
        <v>1.81</v>
      </c>
      <c r="AC159" s="123">
        <f t="shared" si="50"/>
        <v>1.81</v>
      </c>
      <c r="AD159" s="123">
        <f t="shared" si="50"/>
        <v>1.81</v>
      </c>
      <c r="AE159" s="123">
        <f t="shared" si="50"/>
        <v>1.81</v>
      </c>
      <c r="AF159" s="123">
        <f t="shared" si="50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8"/>
        <v>1.0900000000000001</v>
      </c>
      <c r="C160" s="124">
        <v>1.0900000000000001</v>
      </c>
      <c r="D160" s="123">
        <f t="shared" si="49"/>
        <v>1.0900000000000001</v>
      </c>
      <c r="E160" s="123">
        <f t="shared" si="49"/>
        <v>1.0900000000000001</v>
      </c>
      <c r="F160" s="123">
        <f t="shared" si="49"/>
        <v>1.0900000000000001</v>
      </c>
      <c r="G160" s="123">
        <f t="shared" si="49"/>
        <v>1.0900000000000001</v>
      </c>
      <c r="H160" s="123">
        <f t="shared" si="49"/>
        <v>1.0900000000000001</v>
      </c>
      <c r="I160" s="123">
        <f t="shared" si="49"/>
        <v>1.0900000000000001</v>
      </c>
      <c r="J160" s="123">
        <f t="shared" si="49"/>
        <v>1.0900000000000001</v>
      </c>
      <c r="K160" s="123">
        <f t="shared" si="49"/>
        <v>1.0900000000000001</v>
      </c>
      <c r="L160" s="123">
        <f t="shared" si="49"/>
        <v>1.0900000000000001</v>
      </c>
      <c r="M160" s="123">
        <f t="shared" si="49"/>
        <v>1.0900000000000001</v>
      </c>
      <c r="N160" s="123">
        <f t="shared" si="49"/>
        <v>1.0900000000000001</v>
      </c>
      <c r="O160" s="123">
        <f t="shared" si="49"/>
        <v>1.0900000000000001</v>
      </c>
      <c r="P160" s="123">
        <f t="shared" si="49"/>
        <v>1.0900000000000001</v>
      </c>
      <c r="Q160" s="123">
        <f t="shared" si="49"/>
        <v>1.0900000000000001</v>
      </c>
      <c r="R160" s="123">
        <f t="shared" si="49"/>
        <v>1.0900000000000001</v>
      </c>
      <c r="S160" s="123">
        <f t="shared" si="49"/>
        <v>1.0900000000000001</v>
      </c>
      <c r="T160" s="123">
        <f t="shared" si="50"/>
        <v>1.0900000000000001</v>
      </c>
      <c r="U160" s="123">
        <f t="shared" si="50"/>
        <v>1.0900000000000001</v>
      </c>
      <c r="V160" s="123">
        <f t="shared" si="50"/>
        <v>1.0900000000000001</v>
      </c>
      <c r="W160" s="123">
        <f t="shared" si="50"/>
        <v>1.0900000000000001</v>
      </c>
      <c r="X160" s="123">
        <f t="shared" si="50"/>
        <v>1.0900000000000001</v>
      </c>
      <c r="Y160" s="123">
        <f t="shared" si="50"/>
        <v>1.0900000000000001</v>
      </c>
      <c r="Z160" s="123">
        <f t="shared" si="50"/>
        <v>1.0900000000000001</v>
      </c>
      <c r="AA160" s="123">
        <f t="shared" si="50"/>
        <v>1.0900000000000001</v>
      </c>
      <c r="AB160" s="123">
        <f t="shared" si="50"/>
        <v>1.0900000000000001</v>
      </c>
      <c r="AC160" s="123">
        <f t="shared" si="50"/>
        <v>1.0900000000000001</v>
      </c>
      <c r="AD160" s="123">
        <f t="shared" si="50"/>
        <v>1.0900000000000001</v>
      </c>
      <c r="AE160" s="123">
        <f t="shared" si="50"/>
        <v>1.0900000000000001</v>
      </c>
      <c r="AF160" s="123">
        <f t="shared" si="50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8"/>
        <v>1.58</v>
      </c>
      <c r="C161" s="124">
        <v>1.58</v>
      </c>
      <c r="D161" s="123">
        <f t="shared" si="49"/>
        <v>1.58</v>
      </c>
      <c r="E161" s="123">
        <f t="shared" si="49"/>
        <v>1.58</v>
      </c>
      <c r="F161" s="123">
        <f t="shared" si="49"/>
        <v>1.58</v>
      </c>
      <c r="G161" s="123">
        <f t="shared" si="49"/>
        <v>1.58</v>
      </c>
      <c r="H161" s="123">
        <f t="shared" si="49"/>
        <v>1.58</v>
      </c>
      <c r="I161" s="123">
        <f t="shared" si="49"/>
        <v>1.58</v>
      </c>
      <c r="J161" s="123">
        <f t="shared" si="49"/>
        <v>1.58</v>
      </c>
      <c r="K161" s="123">
        <f t="shared" si="49"/>
        <v>1.58</v>
      </c>
      <c r="L161" s="123">
        <f t="shared" si="49"/>
        <v>1.58</v>
      </c>
      <c r="M161" s="123">
        <f t="shared" si="49"/>
        <v>1.58</v>
      </c>
      <c r="N161" s="123">
        <f t="shared" si="49"/>
        <v>1.58</v>
      </c>
      <c r="O161" s="123">
        <f t="shared" si="49"/>
        <v>1.58</v>
      </c>
      <c r="P161" s="123">
        <f t="shared" si="49"/>
        <v>1.58</v>
      </c>
      <c r="Q161" s="123">
        <f t="shared" si="49"/>
        <v>1.58</v>
      </c>
      <c r="R161" s="123">
        <f t="shared" si="49"/>
        <v>1.58</v>
      </c>
      <c r="S161" s="123">
        <f t="shared" si="49"/>
        <v>1.58</v>
      </c>
      <c r="T161" s="123">
        <f t="shared" si="50"/>
        <v>1.58</v>
      </c>
      <c r="U161" s="123">
        <f t="shared" si="50"/>
        <v>1.58</v>
      </c>
      <c r="V161" s="123">
        <f t="shared" si="50"/>
        <v>1.58</v>
      </c>
      <c r="W161" s="123">
        <f t="shared" si="50"/>
        <v>1.58</v>
      </c>
      <c r="X161" s="123">
        <f t="shared" si="50"/>
        <v>1.58</v>
      </c>
      <c r="Y161" s="123">
        <f t="shared" si="50"/>
        <v>1.58</v>
      </c>
      <c r="Z161" s="123">
        <f t="shared" si="50"/>
        <v>1.58</v>
      </c>
      <c r="AA161" s="123">
        <f t="shared" si="50"/>
        <v>1.58</v>
      </c>
      <c r="AB161" s="123">
        <f t="shared" si="50"/>
        <v>1.58</v>
      </c>
      <c r="AC161" s="123">
        <f t="shared" si="50"/>
        <v>1.58</v>
      </c>
      <c r="AD161" s="123">
        <f t="shared" si="50"/>
        <v>1.58</v>
      </c>
      <c r="AE161" s="123">
        <f t="shared" si="50"/>
        <v>1.58</v>
      </c>
      <c r="AF161" s="123">
        <f t="shared" si="50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8"/>
        <v>2</v>
      </c>
      <c r="C162" s="124">
        <v>2</v>
      </c>
      <c r="D162" s="123">
        <f t="shared" si="49"/>
        <v>2</v>
      </c>
      <c r="E162" s="123">
        <f t="shared" si="49"/>
        <v>2</v>
      </c>
      <c r="F162" s="123">
        <f t="shared" si="49"/>
        <v>2</v>
      </c>
      <c r="G162" s="123">
        <f t="shared" si="49"/>
        <v>2</v>
      </c>
      <c r="H162" s="123">
        <f t="shared" si="49"/>
        <v>2</v>
      </c>
      <c r="I162" s="123">
        <f t="shared" si="49"/>
        <v>2</v>
      </c>
      <c r="J162" s="123">
        <f t="shared" si="49"/>
        <v>2</v>
      </c>
      <c r="K162" s="123">
        <f t="shared" si="49"/>
        <v>2</v>
      </c>
      <c r="L162" s="123">
        <f t="shared" si="49"/>
        <v>2</v>
      </c>
      <c r="M162" s="123">
        <f t="shared" si="49"/>
        <v>2</v>
      </c>
      <c r="N162" s="123">
        <f t="shared" si="49"/>
        <v>2</v>
      </c>
      <c r="O162" s="123">
        <f t="shared" si="49"/>
        <v>2</v>
      </c>
      <c r="P162" s="123">
        <f t="shared" si="49"/>
        <v>2</v>
      </c>
      <c r="Q162" s="123">
        <f t="shared" si="49"/>
        <v>2</v>
      </c>
      <c r="R162" s="123">
        <f t="shared" si="49"/>
        <v>2</v>
      </c>
      <c r="S162" s="123">
        <f t="shared" si="49"/>
        <v>2</v>
      </c>
      <c r="T162" s="123">
        <f t="shared" si="50"/>
        <v>2</v>
      </c>
      <c r="U162" s="123">
        <f t="shared" si="50"/>
        <v>2</v>
      </c>
      <c r="V162" s="123">
        <f t="shared" si="50"/>
        <v>2</v>
      </c>
      <c r="W162" s="123">
        <f t="shared" si="50"/>
        <v>2</v>
      </c>
      <c r="X162" s="123">
        <f t="shared" si="50"/>
        <v>2</v>
      </c>
      <c r="Y162" s="123">
        <f t="shared" si="50"/>
        <v>2</v>
      </c>
      <c r="Z162" s="123">
        <f t="shared" si="50"/>
        <v>2</v>
      </c>
      <c r="AA162" s="123">
        <f t="shared" si="50"/>
        <v>2</v>
      </c>
      <c r="AB162" s="123">
        <f t="shared" si="50"/>
        <v>2</v>
      </c>
      <c r="AC162" s="123">
        <f t="shared" si="50"/>
        <v>2</v>
      </c>
      <c r="AD162" s="123">
        <f t="shared" si="50"/>
        <v>2</v>
      </c>
      <c r="AE162" s="123">
        <f t="shared" si="50"/>
        <v>2</v>
      </c>
      <c r="AF162" s="123">
        <f t="shared" si="50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8"/>
        <v>0.47</v>
      </c>
      <c r="C163" s="124">
        <v>0.47</v>
      </c>
      <c r="D163" s="123">
        <f t="shared" si="49"/>
        <v>0.47</v>
      </c>
      <c r="E163" s="123">
        <f t="shared" si="49"/>
        <v>0.47</v>
      </c>
      <c r="F163" s="123">
        <f t="shared" si="49"/>
        <v>0.47</v>
      </c>
      <c r="G163" s="123">
        <f t="shared" si="49"/>
        <v>0.47</v>
      </c>
      <c r="H163" s="123">
        <f t="shared" si="49"/>
        <v>0.47</v>
      </c>
      <c r="I163" s="123">
        <f t="shared" si="49"/>
        <v>0.47</v>
      </c>
      <c r="J163" s="123">
        <f t="shared" si="49"/>
        <v>0.47</v>
      </c>
      <c r="K163" s="123">
        <f t="shared" si="49"/>
        <v>0.47</v>
      </c>
      <c r="L163" s="123">
        <f t="shared" si="49"/>
        <v>0.47</v>
      </c>
      <c r="M163" s="123">
        <f t="shared" si="49"/>
        <v>0.47</v>
      </c>
      <c r="N163" s="123">
        <f t="shared" si="49"/>
        <v>0.47</v>
      </c>
      <c r="O163" s="123">
        <f t="shared" si="49"/>
        <v>0.47</v>
      </c>
      <c r="P163" s="123">
        <f t="shared" si="49"/>
        <v>0.47</v>
      </c>
      <c r="Q163" s="123">
        <f t="shared" si="49"/>
        <v>0.47</v>
      </c>
      <c r="R163" s="123">
        <f t="shared" si="49"/>
        <v>0.47</v>
      </c>
      <c r="S163" s="123">
        <f t="shared" si="49"/>
        <v>0.47</v>
      </c>
      <c r="T163" s="123">
        <f t="shared" si="50"/>
        <v>0.47</v>
      </c>
      <c r="U163" s="123">
        <f t="shared" si="50"/>
        <v>0.47</v>
      </c>
      <c r="V163" s="123">
        <f t="shared" si="50"/>
        <v>0.47</v>
      </c>
      <c r="W163" s="123">
        <f t="shared" si="50"/>
        <v>0.47</v>
      </c>
      <c r="X163" s="123">
        <f t="shared" si="50"/>
        <v>0.47</v>
      </c>
      <c r="Y163" s="123">
        <f t="shared" si="50"/>
        <v>0.47</v>
      </c>
      <c r="Z163" s="123">
        <f t="shared" si="50"/>
        <v>0.47</v>
      </c>
      <c r="AA163" s="123">
        <f t="shared" si="50"/>
        <v>0.47</v>
      </c>
      <c r="AB163" s="123">
        <f t="shared" si="50"/>
        <v>0.47</v>
      </c>
      <c r="AC163" s="123">
        <f t="shared" si="50"/>
        <v>0.47</v>
      </c>
      <c r="AD163" s="123">
        <f t="shared" si="50"/>
        <v>0.47</v>
      </c>
      <c r="AE163" s="123">
        <f t="shared" si="50"/>
        <v>0.47</v>
      </c>
      <c r="AF163" s="123">
        <f t="shared" si="50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8"/>
        <v>0</v>
      </c>
      <c r="C164" s="124">
        <v>0</v>
      </c>
      <c r="D164" s="123">
        <f t="shared" si="49"/>
        <v>0</v>
      </c>
      <c r="E164" s="123">
        <f t="shared" si="49"/>
        <v>0</v>
      </c>
      <c r="F164" s="123">
        <f t="shared" si="49"/>
        <v>0</v>
      </c>
      <c r="G164" s="123">
        <f t="shared" si="49"/>
        <v>0</v>
      </c>
      <c r="H164" s="123">
        <f t="shared" si="49"/>
        <v>0</v>
      </c>
      <c r="I164" s="123">
        <f t="shared" si="49"/>
        <v>0</v>
      </c>
      <c r="J164" s="123">
        <f t="shared" si="49"/>
        <v>0</v>
      </c>
      <c r="K164" s="123">
        <f t="shared" si="49"/>
        <v>0</v>
      </c>
      <c r="L164" s="123">
        <f t="shared" si="49"/>
        <v>0</v>
      </c>
      <c r="M164" s="123">
        <f t="shared" si="49"/>
        <v>0</v>
      </c>
      <c r="N164" s="123">
        <f t="shared" si="49"/>
        <v>0</v>
      </c>
      <c r="O164" s="123">
        <f t="shared" si="49"/>
        <v>0</v>
      </c>
      <c r="P164" s="123">
        <f t="shared" si="49"/>
        <v>0</v>
      </c>
      <c r="Q164" s="123">
        <f t="shared" si="49"/>
        <v>0</v>
      </c>
      <c r="R164" s="123">
        <f t="shared" si="49"/>
        <v>0</v>
      </c>
      <c r="S164" s="123">
        <f t="shared" si="49"/>
        <v>0</v>
      </c>
      <c r="T164" s="123">
        <f t="shared" si="50"/>
        <v>0</v>
      </c>
      <c r="U164" s="123">
        <f t="shared" si="50"/>
        <v>0</v>
      </c>
      <c r="V164" s="123">
        <f t="shared" si="50"/>
        <v>0</v>
      </c>
      <c r="W164" s="123">
        <f t="shared" si="50"/>
        <v>0</v>
      </c>
      <c r="X164" s="123">
        <f t="shared" si="50"/>
        <v>0</v>
      </c>
      <c r="Y164" s="123">
        <f t="shared" si="50"/>
        <v>0</v>
      </c>
      <c r="Z164" s="123">
        <f t="shared" si="50"/>
        <v>0</v>
      </c>
      <c r="AA164" s="123">
        <f t="shared" si="50"/>
        <v>0</v>
      </c>
      <c r="AB164" s="123">
        <f t="shared" si="50"/>
        <v>0</v>
      </c>
      <c r="AC164" s="123">
        <f t="shared" si="50"/>
        <v>0</v>
      </c>
      <c r="AD164" s="123">
        <f t="shared" si="50"/>
        <v>0</v>
      </c>
      <c r="AE164" s="123">
        <f t="shared" si="50"/>
        <v>0</v>
      </c>
      <c r="AF164" s="123">
        <f t="shared" si="50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8"/>
        <v>0</v>
      </c>
      <c r="C165" s="124">
        <v>0</v>
      </c>
      <c r="D165" s="123">
        <f t="shared" si="49"/>
        <v>0</v>
      </c>
      <c r="E165" s="123">
        <f t="shared" si="49"/>
        <v>0</v>
      </c>
      <c r="F165" s="123">
        <f t="shared" si="49"/>
        <v>0</v>
      </c>
      <c r="G165" s="123">
        <f t="shared" si="49"/>
        <v>0</v>
      </c>
      <c r="H165" s="123">
        <f t="shared" si="49"/>
        <v>0</v>
      </c>
      <c r="I165" s="123">
        <f t="shared" si="49"/>
        <v>0</v>
      </c>
      <c r="J165" s="123">
        <f t="shared" si="49"/>
        <v>0</v>
      </c>
      <c r="K165" s="123">
        <f t="shared" si="49"/>
        <v>0</v>
      </c>
      <c r="L165" s="123">
        <f t="shared" si="49"/>
        <v>0</v>
      </c>
      <c r="M165" s="123">
        <f t="shared" si="49"/>
        <v>0</v>
      </c>
      <c r="N165" s="123">
        <f t="shared" si="49"/>
        <v>0</v>
      </c>
      <c r="O165" s="123">
        <f t="shared" si="49"/>
        <v>0</v>
      </c>
      <c r="P165" s="123">
        <f t="shared" si="49"/>
        <v>0</v>
      </c>
      <c r="Q165" s="123">
        <f t="shared" si="49"/>
        <v>0</v>
      </c>
      <c r="R165" s="123">
        <f t="shared" si="49"/>
        <v>0</v>
      </c>
      <c r="S165" s="123">
        <f t="shared" si="50"/>
        <v>0</v>
      </c>
      <c r="T165" s="123">
        <f t="shared" si="50"/>
        <v>0</v>
      </c>
      <c r="U165" s="123">
        <f t="shared" si="50"/>
        <v>0</v>
      </c>
      <c r="V165" s="123">
        <f t="shared" si="50"/>
        <v>0</v>
      </c>
      <c r="W165" s="123">
        <f t="shared" si="50"/>
        <v>0</v>
      </c>
      <c r="X165" s="123">
        <f t="shared" si="50"/>
        <v>0</v>
      </c>
      <c r="Y165" s="123">
        <f t="shared" si="50"/>
        <v>0</v>
      </c>
      <c r="Z165" s="123">
        <f t="shared" si="50"/>
        <v>0</v>
      </c>
      <c r="AA165" s="123">
        <f t="shared" si="50"/>
        <v>0</v>
      </c>
      <c r="AB165" s="123">
        <f t="shared" si="50"/>
        <v>0</v>
      </c>
      <c r="AC165" s="123">
        <f t="shared" si="50"/>
        <v>0</v>
      </c>
      <c r="AD165" s="123">
        <f t="shared" si="50"/>
        <v>0</v>
      </c>
      <c r="AE165" s="123">
        <f t="shared" si="50"/>
        <v>0</v>
      </c>
      <c r="AF165" s="123">
        <f t="shared" si="50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8"/>
        <v>0.8</v>
      </c>
      <c r="C166" s="124">
        <v>0.8</v>
      </c>
      <c r="D166" s="123">
        <f t="shared" si="49"/>
        <v>0.8</v>
      </c>
      <c r="E166" s="123">
        <f t="shared" si="49"/>
        <v>0.8</v>
      </c>
      <c r="F166" s="123">
        <f t="shared" si="49"/>
        <v>0.8</v>
      </c>
      <c r="G166" s="123">
        <f t="shared" si="49"/>
        <v>0.8</v>
      </c>
      <c r="H166" s="123">
        <f t="shared" si="49"/>
        <v>0.8</v>
      </c>
      <c r="I166" s="123">
        <f t="shared" si="49"/>
        <v>0.8</v>
      </c>
      <c r="J166" s="123">
        <f t="shared" si="49"/>
        <v>0.8</v>
      </c>
      <c r="K166" s="123">
        <f t="shared" si="49"/>
        <v>0.8</v>
      </c>
      <c r="L166" s="123">
        <f t="shared" si="49"/>
        <v>0.8</v>
      </c>
      <c r="M166" s="123">
        <f t="shared" si="49"/>
        <v>0.8</v>
      </c>
      <c r="N166" s="123">
        <f t="shared" si="49"/>
        <v>0.8</v>
      </c>
      <c r="O166" s="123">
        <f t="shared" si="49"/>
        <v>0.8</v>
      </c>
      <c r="P166" s="123">
        <f t="shared" si="49"/>
        <v>0.8</v>
      </c>
      <c r="Q166" s="123">
        <f t="shared" si="49"/>
        <v>0.8</v>
      </c>
      <c r="R166" s="123">
        <f t="shared" si="49"/>
        <v>0.8</v>
      </c>
      <c r="S166" s="123">
        <f t="shared" si="50"/>
        <v>0.8</v>
      </c>
      <c r="T166" s="123">
        <f t="shared" si="50"/>
        <v>0.8</v>
      </c>
      <c r="U166" s="123">
        <f t="shared" si="50"/>
        <v>0.8</v>
      </c>
      <c r="V166" s="123">
        <f t="shared" si="50"/>
        <v>0.8</v>
      </c>
      <c r="W166" s="123">
        <f t="shared" si="50"/>
        <v>0.8</v>
      </c>
      <c r="X166" s="123">
        <f t="shared" si="50"/>
        <v>0.8</v>
      </c>
      <c r="Y166" s="123">
        <f t="shared" si="50"/>
        <v>0.8</v>
      </c>
      <c r="Z166" s="123">
        <f t="shared" si="50"/>
        <v>0.8</v>
      </c>
      <c r="AA166" s="123">
        <f t="shared" si="50"/>
        <v>0.8</v>
      </c>
      <c r="AB166" s="123">
        <f t="shared" si="50"/>
        <v>0.8</v>
      </c>
      <c r="AC166" s="123">
        <f t="shared" si="50"/>
        <v>0.8</v>
      </c>
      <c r="AD166" s="123">
        <f t="shared" si="50"/>
        <v>0.8</v>
      </c>
      <c r="AE166" s="123">
        <f t="shared" si="50"/>
        <v>0.8</v>
      </c>
      <c r="AF166" s="123">
        <f t="shared" si="50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8"/>
        <v>1.5</v>
      </c>
      <c r="C167" s="124">
        <v>1.5</v>
      </c>
      <c r="D167" s="123">
        <f t="shared" si="49"/>
        <v>1.5</v>
      </c>
      <c r="E167" s="123">
        <f t="shared" si="49"/>
        <v>1.5</v>
      </c>
      <c r="F167" s="123">
        <f t="shared" si="49"/>
        <v>1.5</v>
      </c>
      <c r="G167" s="123">
        <f t="shared" si="49"/>
        <v>1.5</v>
      </c>
      <c r="H167" s="123">
        <f t="shared" si="49"/>
        <v>1.5</v>
      </c>
      <c r="I167" s="123">
        <f t="shared" si="49"/>
        <v>1.5</v>
      </c>
      <c r="J167" s="123">
        <f t="shared" si="49"/>
        <v>1.5</v>
      </c>
      <c r="K167" s="123">
        <f t="shared" si="49"/>
        <v>1.5</v>
      </c>
      <c r="L167" s="123">
        <f t="shared" si="49"/>
        <v>1.5</v>
      </c>
      <c r="M167" s="123">
        <f t="shared" si="49"/>
        <v>1.5</v>
      </c>
      <c r="N167" s="123">
        <f t="shared" si="49"/>
        <v>1.5</v>
      </c>
      <c r="O167" s="123">
        <f t="shared" si="49"/>
        <v>1.5</v>
      </c>
      <c r="P167" s="123">
        <f t="shared" si="49"/>
        <v>1.5</v>
      </c>
      <c r="Q167" s="123">
        <f t="shared" si="49"/>
        <v>1.5</v>
      </c>
      <c r="R167" s="123">
        <f t="shared" si="49"/>
        <v>1.5</v>
      </c>
      <c r="S167" s="123">
        <f t="shared" si="50"/>
        <v>1.5</v>
      </c>
      <c r="T167" s="123">
        <f t="shared" si="50"/>
        <v>1.5</v>
      </c>
      <c r="U167" s="123">
        <f t="shared" si="50"/>
        <v>1.5</v>
      </c>
      <c r="V167" s="123">
        <f t="shared" si="50"/>
        <v>1.5</v>
      </c>
      <c r="W167" s="123">
        <f t="shared" si="50"/>
        <v>1.5</v>
      </c>
      <c r="X167" s="123">
        <f t="shared" si="50"/>
        <v>1.5</v>
      </c>
      <c r="Y167" s="123">
        <f t="shared" si="50"/>
        <v>1.5</v>
      </c>
      <c r="Z167" s="123">
        <f t="shared" si="50"/>
        <v>1.5</v>
      </c>
      <c r="AA167" s="123">
        <f t="shared" si="50"/>
        <v>1.5</v>
      </c>
      <c r="AB167" s="123">
        <f t="shared" si="50"/>
        <v>1.5</v>
      </c>
      <c r="AC167" s="123">
        <f t="shared" si="50"/>
        <v>1.5</v>
      </c>
      <c r="AD167" s="123">
        <f t="shared" si="50"/>
        <v>1.5</v>
      </c>
      <c r="AE167" s="123">
        <f t="shared" si="50"/>
        <v>1.5</v>
      </c>
      <c r="AF167" s="123">
        <f t="shared" si="50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8"/>
        <v>1</v>
      </c>
      <c r="C168" s="124">
        <v>1</v>
      </c>
      <c r="D168" s="123">
        <f t="shared" si="49"/>
        <v>1</v>
      </c>
      <c r="E168" s="123">
        <f t="shared" si="49"/>
        <v>1</v>
      </c>
      <c r="F168" s="123">
        <f t="shared" si="49"/>
        <v>1</v>
      </c>
      <c r="G168" s="123">
        <f t="shared" si="49"/>
        <v>1</v>
      </c>
      <c r="H168" s="123">
        <f t="shared" si="49"/>
        <v>1</v>
      </c>
      <c r="I168" s="123">
        <f t="shared" si="49"/>
        <v>1</v>
      </c>
      <c r="J168" s="123">
        <f t="shared" si="49"/>
        <v>1</v>
      </c>
      <c r="K168" s="123">
        <f t="shared" si="49"/>
        <v>1</v>
      </c>
      <c r="L168" s="123">
        <f t="shared" si="49"/>
        <v>1</v>
      </c>
      <c r="M168" s="123">
        <f t="shared" si="49"/>
        <v>1</v>
      </c>
      <c r="N168" s="123">
        <f t="shared" si="49"/>
        <v>1</v>
      </c>
      <c r="O168" s="123">
        <f t="shared" si="49"/>
        <v>1</v>
      </c>
      <c r="P168" s="123">
        <f t="shared" si="49"/>
        <v>1</v>
      </c>
      <c r="Q168" s="123">
        <f t="shared" si="49"/>
        <v>1</v>
      </c>
      <c r="R168" s="123">
        <f t="shared" si="49"/>
        <v>1</v>
      </c>
      <c r="S168" s="123">
        <f t="shared" si="50"/>
        <v>1</v>
      </c>
      <c r="T168" s="123">
        <f t="shared" si="50"/>
        <v>1</v>
      </c>
      <c r="U168" s="123">
        <f t="shared" si="50"/>
        <v>1</v>
      </c>
      <c r="V168" s="123">
        <f t="shared" si="50"/>
        <v>1</v>
      </c>
      <c r="W168" s="123">
        <f t="shared" si="50"/>
        <v>1</v>
      </c>
      <c r="X168" s="123">
        <f t="shared" si="50"/>
        <v>1</v>
      </c>
      <c r="Y168" s="123">
        <f t="shared" si="50"/>
        <v>1</v>
      </c>
      <c r="Z168" s="123">
        <f t="shared" si="50"/>
        <v>1</v>
      </c>
      <c r="AA168" s="123">
        <f t="shared" si="50"/>
        <v>1</v>
      </c>
      <c r="AB168" s="123">
        <f t="shared" si="50"/>
        <v>1</v>
      </c>
      <c r="AC168" s="123">
        <f t="shared" si="50"/>
        <v>1</v>
      </c>
      <c r="AD168" s="123">
        <f t="shared" si="50"/>
        <v>1</v>
      </c>
      <c r="AE168" s="123">
        <f t="shared" si="50"/>
        <v>1</v>
      </c>
      <c r="AF168" s="123">
        <f t="shared" si="50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1">AF170</f>
        <v>1</v>
      </c>
      <c r="C170" s="124">
        <v>1</v>
      </c>
      <c r="D170" s="123">
        <f t="shared" ref="D170:S177" si="52">C170</f>
        <v>1</v>
      </c>
      <c r="E170" s="123">
        <f t="shared" si="52"/>
        <v>1</v>
      </c>
      <c r="F170" s="123">
        <f t="shared" si="52"/>
        <v>1</v>
      </c>
      <c r="G170" s="123">
        <f t="shared" si="52"/>
        <v>1</v>
      </c>
      <c r="H170" s="123">
        <f t="shared" si="52"/>
        <v>1</v>
      </c>
      <c r="I170" s="123">
        <f t="shared" si="52"/>
        <v>1</v>
      </c>
      <c r="J170" s="123">
        <f t="shared" si="52"/>
        <v>1</v>
      </c>
      <c r="K170" s="123">
        <f t="shared" si="52"/>
        <v>1</v>
      </c>
      <c r="L170" s="123">
        <f t="shared" si="52"/>
        <v>1</v>
      </c>
      <c r="M170" s="123">
        <f t="shared" si="52"/>
        <v>1</v>
      </c>
      <c r="N170" s="123">
        <f t="shared" si="52"/>
        <v>1</v>
      </c>
      <c r="O170" s="123">
        <f t="shared" si="52"/>
        <v>1</v>
      </c>
      <c r="P170" s="123">
        <f t="shared" si="52"/>
        <v>1</v>
      </c>
      <c r="Q170" s="123">
        <f t="shared" si="52"/>
        <v>1</v>
      </c>
      <c r="R170" s="123">
        <f t="shared" si="52"/>
        <v>1</v>
      </c>
      <c r="S170" s="123">
        <f t="shared" si="52"/>
        <v>1</v>
      </c>
      <c r="T170" s="123">
        <f t="shared" ref="S170:AF177" si="53">S170</f>
        <v>1</v>
      </c>
      <c r="U170" s="123">
        <f t="shared" si="53"/>
        <v>1</v>
      </c>
      <c r="V170" s="123">
        <f t="shared" si="53"/>
        <v>1</v>
      </c>
      <c r="W170" s="123">
        <f t="shared" si="53"/>
        <v>1</v>
      </c>
      <c r="X170" s="123">
        <f t="shared" si="53"/>
        <v>1</v>
      </c>
      <c r="Y170" s="123">
        <f t="shared" si="53"/>
        <v>1</v>
      </c>
      <c r="Z170" s="123">
        <f t="shared" si="53"/>
        <v>1</v>
      </c>
      <c r="AA170" s="123">
        <f t="shared" si="53"/>
        <v>1</v>
      </c>
      <c r="AB170" s="123">
        <f t="shared" si="53"/>
        <v>1</v>
      </c>
      <c r="AC170" s="123">
        <f t="shared" si="53"/>
        <v>1</v>
      </c>
      <c r="AD170" s="123">
        <f t="shared" si="53"/>
        <v>1</v>
      </c>
      <c r="AE170" s="123">
        <f t="shared" si="53"/>
        <v>1</v>
      </c>
      <c r="AF170" s="123">
        <f t="shared" si="53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1"/>
        <v>0.42</v>
      </c>
      <c r="C171" s="124">
        <v>0.42</v>
      </c>
      <c r="D171" s="123">
        <f t="shared" si="52"/>
        <v>0.42</v>
      </c>
      <c r="E171" s="123">
        <f t="shared" si="52"/>
        <v>0.42</v>
      </c>
      <c r="F171" s="123">
        <f t="shared" si="52"/>
        <v>0.42</v>
      </c>
      <c r="G171" s="123">
        <f t="shared" si="52"/>
        <v>0.42</v>
      </c>
      <c r="H171" s="123">
        <f t="shared" si="52"/>
        <v>0.42</v>
      </c>
      <c r="I171" s="123">
        <f t="shared" si="52"/>
        <v>0.42</v>
      </c>
      <c r="J171" s="123">
        <f t="shared" si="52"/>
        <v>0.42</v>
      </c>
      <c r="K171" s="123">
        <f t="shared" si="52"/>
        <v>0.42</v>
      </c>
      <c r="L171" s="123">
        <f t="shared" si="52"/>
        <v>0.42</v>
      </c>
      <c r="M171" s="123">
        <f t="shared" si="52"/>
        <v>0.42</v>
      </c>
      <c r="N171" s="123">
        <f t="shared" si="52"/>
        <v>0.42</v>
      </c>
      <c r="O171" s="123">
        <f t="shared" si="52"/>
        <v>0.42</v>
      </c>
      <c r="P171" s="123">
        <f t="shared" si="52"/>
        <v>0.42</v>
      </c>
      <c r="Q171" s="123">
        <f t="shared" si="52"/>
        <v>0.42</v>
      </c>
      <c r="R171" s="123">
        <f t="shared" si="52"/>
        <v>0.42</v>
      </c>
      <c r="S171" s="123">
        <f t="shared" si="53"/>
        <v>0.42</v>
      </c>
      <c r="T171" s="123">
        <f t="shared" si="53"/>
        <v>0.42</v>
      </c>
      <c r="U171" s="123">
        <f t="shared" si="53"/>
        <v>0.42</v>
      </c>
      <c r="V171" s="123">
        <f t="shared" si="53"/>
        <v>0.42</v>
      </c>
      <c r="W171" s="123">
        <f t="shared" si="53"/>
        <v>0.42</v>
      </c>
      <c r="X171" s="123">
        <f t="shared" si="53"/>
        <v>0.42</v>
      </c>
      <c r="Y171" s="123">
        <f t="shared" si="53"/>
        <v>0.42</v>
      </c>
      <c r="Z171" s="123">
        <f t="shared" si="53"/>
        <v>0.42</v>
      </c>
      <c r="AA171" s="123">
        <f t="shared" si="53"/>
        <v>0.42</v>
      </c>
      <c r="AB171" s="123">
        <f t="shared" si="53"/>
        <v>0.42</v>
      </c>
      <c r="AC171" s="123">
        <f t="shared" si="53"/>
        <v>0.42</v>
      </c>
      <c r="AD171" s="123">
        <f t="shared" si="53"/>
        <v>0.42</v>
      </c>
      <c r="AE171" s="123">
        <f t="shared" si="53"/>
        <v>0.42</v>
      </c>
      <c r="AF171" s="123">
        <f t="shared" si="53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1"/>
        <v>0.46</v>
      </c>
      <c r="C172" s="124">
        <v>0.46</v>
      </c>
      <c r="D172" s="123">
        <f t="shared" si="52"/>
        <v>0.46</v>
      </c>
      <c r="E172" s="123">
        <f t="shared" si="52"/>
        <v>0.46</v>
      </c>
      <c r="F172" s="123">
        <f t="shared" si="52"/>
        <v>0.46</v>
      </c>
      <c r="G172" s="123">
        <f t="shared" si="52"/>
        <v>0.46</v>
      </c>
      <c r="H172" s="123">
        <f t="shared" si="52"/>
        <v>0.46</v>
      </c>
      <c r="I172" s="123">
        <f t="shared" si="52"/>
        <v>0.46</v>
      </c>
      <c r="J172" s="123">
        <f t="shared" si="52"/>
        <v>0.46</v>
      </c>
      <c r="K172" s="123">
        <f t="shared" si="52"/>
        <v>0.46</v>
      </c>
      <c r="L172" s="123">
        <f t="shared" si="52"/>
        <v>0.46</v>
      </c>
      <c r="M172" s="123">
        <f t="shared" si="52"/>
        <v>0.46</v>
      </c>
      <c r="N172" s="123">
        <f t="shared" si="52"/>
        <v>0.46</v>
      </c>
      <c r="O172" s="123">
        <f t="shared" si="52"/>
        <v>0.46</v>
      </c>
      <c r="P172" s="123">
        <f t="shared" si="52"/>
        <v>0.46</v>
      </c>
      <c r="Q172" s="123">
        <f t="shared" si="52"/>
        <v>0.46</v>
      </c>
      <c r="R172" s="123">
        <f t="shared" si="52"/>
        <v>0.46</v>
      </c>
      <c r="S172" s="123">
        <f t="shared" si="53"/>
        <v>0.46</v>
      </c>
      <c r="T172" s="123">
        <f t="shared" si="53"/>
        <v>0.46</v>
      </c>
      <c r="U172" s="123">
        <f t="shared" si="53"/>
        <v>0.46</v>
      </c>
      <c r="V172" s="123">
        <f t="shared" si="53"/>
        <v>0.46</v>
      </c>
      <c r="W172" s="123">
        <f t="shared" si="53"/>
        <v>0.46</v>
      </c>
      <c r="X172" s="123">
        <f t="shared" si="53"/>
        <v>0.46</v>
      </c>
      <c r="Y172" s="123">
        <f t="shared" si="53"/>
        <v>0.46</v>
      </c>
      <c r="Z172" s="123">
        <f t="shared" si="53"/>
        <v>0.46</v>
      </c>
      <c r="AA172" s="123">
        <f t="shared" si="53"/>
        <v>0.46</v>
      </c>
      <c r="AB172" s="123">
        <f t="shared" si="53"/>
        <v>0.46</v>
      </c>
      <c r="AC172" s="123">
        <f t="shared" si="53"/>
        <v>0.46</v>
      </c>
      <c r="AD172" s="123">
        <f t="shared" si="53"/>
        <v>0.46</v>
      </c>
      <c r="AE172" s="123">
        <f t="shared" si="53"/>
        <v>0.46</v>
      </c>
      <c r="AF172" s="123">
        <f t="shared" si="53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1"/>
        <v>0.85</v>
      </c>
      <c r="C173" s="124">
        <v>0.85</v>
      </c>
      <c r="D173" s="123">
        <f t="shared" si="52"/>
        <v>0.85</v>
      </c>
      <c r="E173" s="123">
        <f t="shared" si="52"/>
        <v>0.85</v>
      </c>
      <c r="F173" s="123">
        <f t="shared" si="52"/>
        <v>0.85</v>
      </c>
      <c r="G173" s="123">
        <f t="shared" si="52"/>
        <v>0.85</v>
      </c>
      <c r="H173" s="123">
        <f t="shared" si="52"/>
        <v>0.85</v>
      </c>
      <c r="I173" s="123">
        <f t="shared" si="52"/>
        <v>0.85</v>
      </c>
      <c r="J173" s="123">
        <f t="shared" si="52"/>
        <v>0.85</v>
      </c>
      <c r="K173" s="123">
        <f t="shared" si="52"/>
        <v>0.85</v>
      </c>
      <c r="L173" s="123">
        <f t="shared" si="52"/>
        <v>0.85</v>
      </c>
      <c r="M173" s="123">
        <f t="shared" si="52"/>
        <v>0.85</v>
      </c>
      <c r="N173" s="123">
        <f t="shared" si="52"/>
        <v>0.85</v>
      </c>
      <c r="O173" s="123">
        <f t="shared" si="52"/>
        <v>0.85</v>
      </c>
      <c r="P173" s="123">
        <f t="shared" si="52"/>
        <v>0.85</v>
      </c>
      <c r="Q173" s="123">
        <f t="shared" si="52"/>
        <v>0.85</v>
      </c>
      <c r="R173" s="123">
        <f t="shared" si="52"/>
        <v>0.85</v>
      </c>
      <c r="S173" s="123">
        <f t="shared" si="53"/>
        <v>0.85</v>
      </c>
      <c r="T173" s="123">
        <f t="shared" si="53"/>
        <v>0.85</v>
      </c>
      <c r="U173" s="123">
        <f t="shared" si="53"/>
        <v>0.85</v>
      </c>
      <c r="V173" s="123">
        <f t="shared" si="53"/>
        <v>0.85</v>
      </c>
      <c r="W173" s="123">
        <f t="shared" si="53"/>
        <v>0.85</v>
      </c>
      <c r="X173" s="123">
        <f t="shared" si="53"/>
        <v>0.85</v>
      </c>
      <c r="Y173" s="123">
        <f t="shared" si="53"/>
        <v>0.85</v>
      </c>
      <c r="Z173" s="123">
        <f t="shared" si="53"/>
        <v>0.85</v>
      </c>
      <c r="AA173" s="123">
        <f t="shared" si="53"/>
        <v>0.85</v>
      </c>
      <c r="AB173" s="123">
        <f t="shared" si="53"/>
        <v>0.85</v>
      </c>
      <c r="AC173" s="123">
        <f t="shared" si="53"/>
        <v>0.85</v>
      </c>
      <c r="AD173" s="123">
        <f t="shared" si="53"/>
        <v>0.85</v>
      </c>
      <c r="AE173" s="123">
        <f t="shared" si="53"/>
        <v>0.85</v>
      </c>
      <c r="AF173" s="123">
        <f t="shared" si="53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1"/>
        <v>0.9</v>
      </c>
      <c r="C174" s="124">
        <v>0.9</v>
      </c>
      <c r="D174" s="123">
        <f t="shared" si="52"/>
        <v>0.9</v>
      </c>
      <c r="E174" s="123">
        <f t="shared" si="52"/>
        <v>0.9</v>
      </c>
      <c r="F174" s="123">
        <f t="shared" si="52"/>
        <v>0.9</v>
      </c>
      <c r="G174" s="123">
        <f t="shared" si="52"/>
        <v>0.9</v>
      </c>
      <c r="H174" s="123">
        <f t="shared" si="52"/>
        <v>0.9</v>
      </c>
      <c r="I174" s="123">
        <f t="shared" si="52"/>
        <v>0.9</v>
      </c>
      <c r="J174" s="123">
        <f t="shared" si="52"/>
        <v>0.9</v>
      </c>
      <c r="K174" s="123">
        <f t="shared" si="52"/>
        <v>0.9</v>
      </c>
      <c r="L174" s="123">
        <f t="shared" si="52"/>
        <v>0.9</v>
      </c>
      <c r="M174" s="123">
        <f t="shared" si="52"/>
        <v>0.9</v>
      </c>
      <c r="N174" s="123">
        <f t="shared" si="52"/>
        <v>0.9</v>
      </c>
      <c r="O174" s="123">
        <f t="shared" si="52"/>
        <v>0.9</v>
      </c>
      <c r="P174" s="123">
        <f t="shared" si="52"/>
        <v>0.9</v>
      </c>
      <c r="Q174" s="123">
        <f t="shared" si="52"/>
        <v>0.9</v>
      </c>
      <c r="R174" s="123">
        <f t="shared" si="52"/>
        <v>0.9</v>
      </c>
      <c r="S174" s="123">
        <f t="shared" si="53"/>
        <v>0.9</v>
      </c>
      <c r="T174" s="123">
        <f t="shared" si="53"/>
        <v>0.9</v>
      </c>
      <c r="U174" s="123">
        <f t="shared" si="53"/>
        <v>0.9</v>
      </c>
      <c r="V174" s="123">
        <f t="shared" si="53"/>
        <v>0.9</v>
      </c>
      <c r="W174" s="123">
        <f t="shared" si="53"/>
        <v>0.9</v>
      </c>
      <c r="X174" s="123">
        <f t="shared" si="53"/>
        <v>0.9</v>
      </c>
      <c r="Y174" s="123">
        <f t="shared" si="53"/>
        <v>0.9</v>
      </c>
      <c r="Z174" s="123">
        <f t="shared" si="53"/>
        <v>0.9</v>
      </c>
      <c r="AA174" s="123">
        <f t="shared" si="53"/>
        <v>0.9</v>
      </c>
      <c r="AB174" s="123">
        <f t="shared" si="53"/>
        <v>0.9</v>
      </c>
      <c r="AC174" s="123">
        <f t="shared" si="53"/>
        <v>0.9</v>
      </c>
      <c r="AD174" s="123">
        <f t="shared" si="53"/>
        <v>0.9</v>
      </c>
      <c r="AE174" s="123">
        <f t="shared" si="53"/>
        <v>0.9</v>
      </c>
      <c r="AF174" s="123">
        <f t="shared" si="53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1"/>
        <v>0.44</v>
      </c>
      <c r="C175" s="124">
        <v>0.44</v>
      </c>
      <c r="D175" s="123">
        <f t="shared" si="52"/>
        <v>0.44</v>
      </c>
      <c r="E175" s="123">
        <f t="shared" si="52"/>
        <v>0.44</v>
      </c>
      <c r="F175" s="123">
        <f t="shared" si="52"/>
        <v>0.44</v>
      </c>
      <c r="G175" s="123">
        <f t="shared" si="52"/>
        <v>0.44</v>
      </c>
      <c r="H175" s="123">
        <f t="shared" si="52"/>
        <v>0.44</v>
      </c>
      <c r="I175" s="123">
        <f t="shared" si="52"/>
        <v>0.44</v>
      </c>
      <c r="J175" s="123">
        <f t="shared" si="52"/>
        <v>0.44</v>
      </c>
      <c r="K175" s="123">
        <f t="shared" si="52"/>
        <v>0.44</v>
      </c>
      <c r="L175" s="123">
        <f t="shared" si="52"/>
        <v>0.44</v>
      </c>
      <c r="M175" s="123">
        <f t="shared" si="52"/>
        <v>0.44</v>
      </c>
      <c r="N175" s="123">
        <f t="shared" si="52"/>
        <v>0.44</v>
      </c>
      <c r="O175" s="123">
        <f t="shared" si="52"/>
        <v>0.44</v>
      </c>
      <c r="P175" s="123">
        <f t="shared" si="52"/>
        <v>0.44</v>
      </c>
      <c r="Q175" s="123">
        <f t="shared" si="52"/>
        <v>0.44</v>
      </c>
      <c r="R175" s="123">
        <f t="shared" si="52"/>
        <v>0.44</v>
      </c>
      <c r="S175" s="123">
        <f t="shared" si="53"/>
        <v>0.44</v>
      </c>
      <c r="T175" s="123">
        <f t="shared" si="53"/>
        <v>0.44</v>
      </c>
      <c r="U175" s="123">
        <f t="shared" si="53"/>
        <v>0.44</v>
      </c>
      <c r="V175" s="123">
        <f t="shared" si="53"/>
        <v>0.44</v>
      </c>
      <c r="W175" s="123">
        <f t="shared" si="53"/>
        <v>0.44</v>
      </c>
      <c r="X175" s="123">
        <f t="shared" si="53"/>
        <v>0.44</v>
      </c>
      <c r="Y175" s="123">
        <f t="shared" si="53"/>
        <v>0.44</v>
      </c>
      <c r="Z175" s="123">
        <f t="shared" si="53"/>
        <v>0.44</v>
      </c>
      <c r="AA175" s="123">
        <f t="shared" si="53"/>
        <v>0.44</v>
      </c>
      <c r="AB175" s="123">
        <f t="shared" si="53"/>
        <v>0.44</v>
      </c>
      <c r="AC175" s="123">
        <f t="shared" si="53"/>
        <v>0.44</v>
      </c>
      <c r="AD175" s="123">
        <f t="shared" si="53"/>
        <v>0.44</v>
      </c>
      <c r="AE175" s="123">
        <f t="shared" si="53"/>
        <v>0.44</v>
      </c>
      <c r="AF175" s="123">
        <f t="shared" si="53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1"/>
        <v>2.1</v>
      </c>
      <c r="C176" s="124">
        <v>2.1</v>
      </c>
      <c r="D176" s="123">
        <f t="shared" si="52"/>
        <v>2.1</v>
      </c>
      <c r="E176" s="123">
        <f t="shared" si="52"/>
        <v>2.1</v>
      </c>
      <c r="F176" s="123">
        <f t="shared" si="52"/>
        <v>2.1</v>
      </c>
      <c r="G176" s="123">
        <f t="shared" si="52"/>
        <v>2.1</v>
      </c>
      <c r="H176" s="123">
        <f t="shared" si="52"/>
        <v>2.1</v>
      </c>
      <c r="I176" s="123">
        <f t="shared" si="52"/>
        <v>2.1</v>
      </c>
      <c r="J176" s="123">
        <f t="shared" si="52"/>
        <v>2.1</v>
      </c>
      <c r="K176" s="123">
        <f t="shared" si="52"/>
        <v>2.1</v>
      </c>
      <c r="L176" s="123">
        <f t="shared" si="52"/>
        <v>2.1</v>
      </c>
      <c r="M176" s="123">
        <f t="shared" si="52"/>
        <v>2.1</v>
      </c>
      <c r="N176" s="123">
        <f t="shared" si="52"/>
        <v>2.1</v>
      </c>
      <c r="O176" s="123">
        <f t="shared" si="52"/>
        <v>2.1</v>
      </c>
      <c r="P176" s="123">
        <f t="shared" si="52"/>
        <v>2.1</v>
      </c>
      <c r="Q176" s="123">
        <f t="shared" si="52"/>
        <v>2.1</v>
      </c>
      <c r="R176" s="123">
        <f t="shared" si="52"/>
        <v>2.1</v>
      </c>
      <c r="S176" s="123">
        <f t="shared" si="53"/>
        <v>2.1</v>
      </c>
      <c r="T176" s="123">
        <f t="shared" si="53"/>
        <v>2.1</v>
      </c>
      <c r="U176" s="123">
        <f t="shared" si="53"/>
        <v>2.1</v>
      </c>
      <c r="V176" s="123">
        <f t="shared" si="53"/>
        <v>2.1</v>
      </c>
      <c r="W176" s="123">
        <f t="shared" si="53"/>
        <v>2.1</v>
      </c>
      <c r="X176" s="123">
        <f t="shared" si="53"/>
        <v>2.1</v>
      </c>
      <c r="Y176" s="123">
        <f t="shared" si="53"/>
        <v>2.1</v>
      </c>
      <c r="Z176" s="123">
        <f t="shared" si="53"/>
        <v>2.1</v>
      </c>
      <c r="AA176" s="123">
        <f t="shared" si="53"/>
        <v>2.1</v>
      </c>
      <c r="AB176" s="123">
        <f t="shared" si="53"/>
        <v>2.1</v>
      </c>
      <c r="AC176" s="123">
        <f t="shared" si="53"/>
        <v>2.1</v>
      </c>
      <c r="AD176" s="123">
        <f t="shared" si="53"/>
        <v>2.1</v>
      </c>
      <c r="AE176" s="123">
        <f t="shared" si="53"/>
        <v>2.1</v>
      </c>
      <c r="AF176" s="123">
        <f t="shared" si="53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1"/>
        <v>0.9</v>
      </c>
      <c r="C177" s="124">
        <v>0.9</v>
      </c>
      <c r="D177" s="123">
        <f t="shared" si="52"/>
        <v>0.9</v>
      </c>
      <c r="E177" s="123">
        <f t="shared" si="52"/>
        <v>0.9</v>
      </c>
      <c r="F177" s="123">
        <f t="shared" si="52"/>
        <v>0.9</v>
      </c>
      <c r="G177" s="123">
        <f t="shared" si="52"/>
        <v>0.9</v>
      </c>
      <c r="H177" s="123">
        <f t="shared" si="52"/>
        <v>0.9</v>
      </c>
      <c r="I177" s="123">
        <f t="shared" si="52"/>
        <v>0.9</v>
      </c>
      <c r="J177" s="123">
        <f t="shared" si="52"/>
        <v>0.9</v>
      </c>
      <c r="K177" s="123">
        <f t="shared" si="52"/>
        <v>0.9</v>
      </c>
      <c r="L177" s="123">
        <f t="shared" si="52"/>
        <v>0.9</v>
      </c>
      <c r="M177" s="123">
        <f t="shared" si="52"/>
        <v>0.9</v>
      </c>
      <c r="N177" s="123">
        <f t="shared" si="52"/>
        <v>0.9</v>
      </c>
      <c r="O177" s="123">
        <f t="shared" si="52"/>
        <v>0.9</v>
      </c>
      <c r="P177" s="123">
        <f t="shared" si="52"/>
        <v>0.9</v>
      </c>
      <c r="Q177" s="123">
        <f t="shared" si="52"/>
        <v>0.9</v>
      </c>
      <c r="R177" s="123">
        <f t="shared" si="52"/>
        <v>0.9</v>
      </c>
      <c r="S177" s="123">
        <f t="shared" si="53"/>
        <v>0.9</v>
      </c>
      <c r="T177" s="123">
        <f t="shared" si="53"/>
        <v>0.9</v>
      </c>
      <c r="U177" s="123">
        <f t="shared" si="53"/>
        <v>0.9</v>
      </c>
      <c r="V177" s="123">
        <f t="shared" si="53"/>
        <v>0.9</v>
      </c>
      <c r="W177" s="123">
        <f t="shared" si="53"/>
        <v>0.9</v>
      </c>
      <c r="X177" s="123">
        <f t="shared" si="53"/>
        <v>0.9</v>
      </c>
      <c r="Y177" s="123">
        <f t="shared" si="53"/>
        <v>0.9</v>
      </c>
      <c r="Z177" s="123">
        <f t="shared" si="53"/>
        <v>0.9</v>
      </c>
      <c r="AA177" s="123">
        <f t="shared" si="53"/>
        <v>0.9</v>
      </c>
      <c r="AB177" s="123">
        <f t="shared" si="53"/>
        <v>0.9</v>
      </c>
      <c r="AC177" s="123">
        <f t="shared" si="53"/>
        <v>0.9</v>
      </c>
      <c r="AD177" s="123">
        <f t="shared" si="53"/>
        <v>0.9</v>
      </c>
      <c r="AE177" s="123">
        <f t="shared" si="53"/>
        <v>0.9</v>
      </c>
      <c r="AF177" s="123">
        <f t="shared" si="53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4">AF179</f>
        <v>0.57999999999999996</v>
      </c>
      <c r="C179" s="124">
        <v>0.57999999999999996</v>
      </c>
      <c r="D179" s="123">
        <f t="shared" ref="D179:S191" si="55">C179</f>
        <v>0.57999999999999996</v>
      </c>
      <c r="E179" s="123">
        <f t="shared" si="55"/>
        <v>0.57999999999999996</v>
      </c>
      <c r="F179" s="123">
        <f t="shared" si="55"/>
        <v>0.57999999999999996</v>
      </c>
      <c r="G179" s="123">
        <f t="shared" si="55"/>
        <v>0.57999999999999996</v>
      </c>
      <c r="H179" s="123">
        <f t="shared" si="55"/>
        <v>0.57999999999999996</v>
      </c>
      <c r="I179" s="123">
        <f t="shared" si="55"/>
        <v>0.57999999999999996</v>
      </c>
      <c r="J179" s="123">
        <f t="shared" si="55"/>
        <v>0.57999999999999996</v>
      </c>
      <c r="K179" s="123">
        <f t="shared" si="55"/>
        <v>0.57999999999999996</v>
      </c>
      <c r="L179" s="123">
        <f t="shared" si="55"/>
        <v>0.57999999999999996</v>
      </c>
      <c r="M179" s="123">
        <f t="shared" si="55"/>
        <v>0.57999999999999996</v>
      </c>
      <c r="N179" s="123">
        <f t="shared" si="55"/>
        <v>0.57999999999999996</v>
      </c>
      <c r="O179" s="123">
        <f t="shared" si="55"/>
        <v>0.57999999999999996</v>
      </c>
      <c r="P179" s="123">
        <f t="shared" si="55"/>
        <v>0.57999999999999996</v>
      </c>
      <c r="Q179" s="123">
        <f t="shared" si="55"/>
        <v>0.57999999999999996</v>
      </c>
      <c r="R179" s="123">
        <f t="shared" si="55"/>
        <v>0.57999999999999996</v>
      </c>
      <c r="S179" s="123">
        <f t="shared" si="55"/>
        <v>0.57999999999999996</v>
      </c>
      <c r="T179" s="123">
        <f t="shared" ref="S179:AF191" si="56">S179</f>
        <v>0.57999999999999996</v>
      </c>
      <c r="U179" s="123">
        <f t="shared" si="56"/>
        <v>0.57999999999999996</v>
      </c>
      <c r="V179" s="123">
        <f t="shared" si="56"/>
        <v>0.57999999999999996</v>
      </c>
      <c r="W179" s="123">
        <f t="shared" si="56"/>
        <v>0.57999999999999996</v>
      </c>
      <c r="X179" s="123">
        <f t="shared" si="56"/>
        <v>0.57999999999999996</v>
      </c>
      <c r="Y179" s="123">
        <f t="shared" si="56"/>
        <v>0.57999999999999996</v>
      </c>
      <c r="Z179" s="123">
        <f t="shared" si="56"/>
        <v>0.57999999999999996</v>
      </c>
      <c r="AA179" s="123">
        <f t="shared" si="56"/>
        <v>0.57999999999999996</v>
      </c>
      <c r="AB179" s="123">
        <f t="shared" si="56"/>
        <v>0.57999999999999996</v>
      </c>
      <c r="AC179" s="123">
        <f t="shared" si="56"/>
        <v>0.57999999999999996</v>
      </c>
      <c r="AD179" s="123">
        <f t="shared" si="56"/>
        <v>0.57999999999999996</v>
      </c>
      <c r="AE179" s="123">
        <f t="shared" si="56"/>
        <v>0.57999999999999996</v>
      </c>
      <c r="AF179" s="123">
        <f t="shared" si="56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4"/>
        <v>0.8</v>
      </c>
      <c r="C180" s="124">
        <v>0.8</v>
      </c>
      <c r="D180" s="123">
        <f t="shared" si="55"/>
        <v>0.8</v>
      </c>
      <c r="E180" s="123">
        <f t="shared" si="55"/>
        <v>0.8</v>
      </c>
      <c r="F180" s="123">
        <f t="shared" si="55"/>
        <v>0.8</v>
      </c>
      <c r="G180" s="123">
        <f t="shared" si="55"/>
        <v>0.8</v>
      </c>
      <c r="H180" s="123">
        <f t="shared" si="55"/>
        <v>0.8</v>
      </c>
      <c r="I180" s="123">
        <f t="shared" si="55"/>
        <v>0.8</v>
      </c>
      <c r="J180" s="123">
        <f t="shared" si="55"/>
        <v>0.8</v>
      </c>
      <c r="K180" s="123">
        <f t="shared" si="55"/>
        <v>0.8</v>
      </c>
      <c r="L180" s="123">
        <f t="shared" si="55"/>
        <v>0.8</v>
      </c>
      <c r="M180" s="123">
        <f t="shared" si="55"/>
        <v>0.8</v>
      </c>
      <c r="N180" s="123">
        <f t="shared" si="55"/>
        <v>0.8</v>
      </c>
      <c r="O180" s="123">
        <f t="shared" si="55"/>
        <v>0.8</v>
      </c>
      <c r="P180" s="123">
        <f t="shared" si="55"/>
        <v>0.8</v>
      </c>
      <c r="Q180" s="123">
        <f t="shared" si="55"/>
        <v>0.8</v>
      </c>
      <c r="R180" s="123">
        <f t="shared" si="55"/>
        <v>0.8</v>
      </c>
      <c r="S180" s="123">
        <f t="shared" si="55"/>
        <v>0.8</v>
      </c>
      <c r="T180" s="123">
        <f t="shared" si="56"/>
        <v>0.8</v>
      </c>
      <c r="U180" s="123">
        <f t="shared" si="56"/>
        <v>0.8</v>
      </c>
      <c r="V180" s="123">
        <f t="shared" si="56"/>
        <v>0.8</v>
      </c>
      <c r="W180" s="123">
        <f t="shared" si="56"/>
        <v>0.8</v>
      </c>
      <c r="X180" s="123">
        <f t="shared" si="56"/>
        <v>0.8</v>
      </c>
      <c r="Y180" s="123">
        <f t="shared" si="56"/>
        <v>0.8</v>
      </c>
      <c r="Z180" s="123">
        <f t="shared" si="56"/>
        <v>0.8</v>
      </c>
      <c r="AA180" s="123">
        <f t="shared" si="56"/>
        <v>0.8</v>
      </c>
      <c r="AB180" s="123">
        <f t="shared" si="56"/>
        <v>0.8</v>
      </c>
      <c r="AC180" s="123">
        <f t="shared" si="56"/>
        <v>0.8</v>
      </c>
      <c r="AD180" s="123">
        <f t="shared" si="56"/>
        <v>0.8</v>
      </c>
      <c r="AE180" s="123">
        <f t="shared" si="56"/>
        <v>0.8</v>
      </c>
      <c r="AF180" s="123">
        <f t="shared" si="56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4"/>
        <v>0</v>
      </c>
      <c r="C181" s="124">
        <v>0</v>
      </c>
      <c r="D181" s="123">
        <f t="shared" si="55"/>
        <v>0</v>
      </c>
      <c r="E181" s="123">
        <f t="shared" si="55"/>
        <v>0</v>
      </c>
      <c r="F181" s="123">
        <f t="shared" si="55"/>
        <v>0</v>
      </c>
      <c r="G181" s="123">
        <f t="shared" si="55"/>
        <v>0</v>
      </c>
      <c r="H181" s="123">
        <f t="shared" si="55"/>
        <v>0</v>
      </c>
      <c r="I181" s="123">
        <f t="shared" si="55"/>
        <v>0</v>
      </c>
      <c r="J181" s="123">
        <f t="shared" si="55"/>
        <v>0</v>
      </c>
      <c r="K181" s="123">
        <f t="shared" si="55"/>
        <v>0</v>
      </c>
      <c r="L181" s="123">
        <f t="shared" si="55"/>
        <v>0</v>
      </c>
      <c r="M181" s="123">
        <f t="shared" si="55"/>
        <v>0</v>
      </c>
      <c r="N181" s="123">
        <f t="shared" si="55"/>
        <v>0</v>
      </c>
      <c r="O181" s="123">
        <f t="shared" si="55"/>
        <v>0</v>
      </c>
      <c r="P181" s="123">
        <f t="shared" si="55"/>
        <v>0</v>
      </c>
      <c r="Q181" s="123">
        <f t="shared" si="55"/>
        <v>0</v>
      </c>
      <c r="R181" s="123">
        <f t="shared" si="55"/>
        <v>0</v>
      </c>
      <c r="S181" s="123">
        <f t="shared" si="55"/>
        <v>0</v>
      </c>
      <c r="T181" s="123">
        <f t="shared" si="56"/>
        <v>0</v>
      </c>
      <c r="U181" s="123">
        <f t="shared" si="56"/>
        <v>0</v>
      </c>
      <c r="V181" s="123">
        <f t="shared" si="56"/>
        <v>0</v>
      </c>
      <c r="W181" s="123">
        <f t="shared" si="56"/>
        <v>0</v>
      </c>
      <c r="X181" s="123">
        <f t="shared" si="56"/>
        <v>0</v>
      </c>
      <c r="Y181" s="123">
        <f t="shared" si="56"/>
        <v>0</v>
      </c>
      <c r="Z181" s="123">
        <f t="shared" si="56"/>
        <v>0</v>
      </c>
      <c r="AA181" s="123">
        <f t="shared" si="56"/>
        <v>0</v>
      </c>
      <c r="AB181" s="123">
        <f t="shared" si="56"/>
        <v>0</v>
      </c>
      <c r="AC181" s="123">
        <f t="shared" si="56"/>
        <v>0</v>
      </c>
      <c r="AD181" s="123">
        <f t="shared" si="56"/>
        <v>0</v>
      </c>
      <c r="AE181" s="123">
        <f t="shared" si="56"/>
        <v>0</v>
      </c>
      <c r="AF181" s="123">
        <f t="shared" si="56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4"/>
        <v>0.6</v>
      </c>
      <c r="C182" s="124">
        <v>0.6</v>
      </c>
      <c r="D182" s="123">
        <f t="shared" si="55"/>
        <v>0.6</v>
      </c>
      <c r="E182" s="123">
        <f t="shared" si="55"/>
        <v>0.6</v>
      </c>
      <c r="F182" s="123">
        <f t="shared" si="55"/>
        <v>0.6</v>
      </c>
      <c r="G182" s="123">
        <f t="shared" si="55"/>
        <v>0.6</v>
      </c>
      <c r="H182" s="123">
        <f t="shared" si="55"/>
        <v>0.6</v>
      </c>
      <c r="I182" s="123">
        <f t="shared" si="55"/>
        <v>0.6</v>
      </c>
      <c r="J182" s="123">
        <f t="shared" si="55"/>
        <v>0.6</v>
      </c>
      <c r="K182" s="123">
        <f t="shared" si="55"/>
        <v>0.6</v>
      </c>
      <c r="L182" s="123">
        <f t="shared" si="55"/>
        <v>0.6</v>
      </c>
      <c r="M182" s="123">
        <f t="shared" si="55"/>
        <v>0.6</v>
      </c>
      <c r="N182" s="123">
        <f t="shared" si="55"/>
        <v>0.6</v>
      </c>
      <c r="O182" s="123">
        <f t="shared" si="55"/>
        <v>0.6</v>
      </c>
      <c r="P182" s="123">
        <f t="shared" si="55"/>
        <v>0.6</v>
      </c>
      <c r="Q182" s="123">
        <f t="shared" si="55"/>
        <v>0.6</v>
      </c>
      <c r="R182" s="123">
        <f t="shared" si="55"/>
        <v>0.6</v>
      </c>
      <c r="S182" s="123">
        <f t="shared" si="55"/>
        <v>0.6</v>
      </c>
      <c r="T182" s="123">
        <f t="shared" si="56"/>
        <v>0.6</v>
      </c>
      <c r="U182" s="123">
        <f t="shared" si="56"/>
        <v>0.6</v>
      </c>
      <c r="V182" s="123">
        <f t="shared" si="56"/>
        <v>0.6</v>
      </c>
      <c r="W182" s="123">
        <f t="shared" si="56"/>
        <v>0.6</v>
      </c>
      <c r="X182" s="123">
        <f t="shared" si="56"/>
        <v>0.6</v>
      </c>
      <c r="Y182" s="123">
        <f t="shared" si="56"/>
        <v>0.6</v>
      </c>
      <c r="Z182" s="123">
        <f t="shared" si="56"/>
        <v>0.6</v>
      </c>
      <c r="AA182" s="123">
        <f t="shared" si="56"/>
        <v>0.6</v>
      </c>
      <c r="AB182" s="123">
        <f t="shared" si="56"/>
        <v>0.6</v>
      </c>
      <c r="AC182" s="123">
        <f t="shared" si="56"/>
        <v>0.6</v>
      </c>
      <c r="AD182" s="123">
        <f t="shared" si="56"/>
        <v>0.6</v>
      </c>
      <c r="AE182" s="123">
        <f t="shared" si="56"/>
        <v>0.6</v>
      </c>
      <c r="AF182" s="123">
        <f t="shared" si="56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4"/>
        <v>0.6</v>
      </c>
      <c r="C183" s="124">
        <v>0.6</v>
      </c>
      <c r="D183" s="123">
        <f t="shared" si="55"/>
        <v>0.6</v>
      </c>
      <c r="E183" s="123">
        <f t="shared" si="55"/>
        <v>0.6</v>
      </c>
      <c r="F183" s="123">
        <f t="shared" si="55"/>
        <v>0.6</v>
      </c>
      <c r="G183" s="123">
        <f t="shared" si="55"/>
        <v>0.6</v>
      </c>
      <c r="H183" s="123">
        <f t="shared" si="55"/>
        <v>0.6</v>
      </c>
      <c r="I183" s="123">
        <f t="shared" si="55"/>
        <v>0.6</v>
      </c>
      <c r="J183" s="123">
        <f t="shared" si="55"/>
        <v>0.6</v>
      </c>
      <c r="K183" s="123">
        <f t="shared" si="55"/>
        <v>0.6</v>
      </c>
      <c r="L183" s="123">
        <f t="shared" si="55"/>
        <v>0.6</v>
      </c>
      <c r="M183" s="123">
        <f t="shared" si="55"/>
        <v>0.6</v>
      </c>
      <c r="N183" s="123">
        <f t="shared" si="55"/>
        <v>0.6</v>
      </c>
      <c r="O183" s="123">
        <f t="shared" si="55"/>
        <v>0.6</v>
      </c>
      <c r="P183" s="123">
        <f t="shared" si="55"/>
        <v>0.6</v>
      </c>
      <c r="Q183" s="123">
        <f t="shared" si="55"/>
        <v>0.6</v>
      </c>
      <c r="R183" s="123">
        <f t="shared" si="55"/>
        <v>0.6</v>
      </c>
      <c r="S183" s="123">
        <f t="shared" si="55"/>
        <v>0.6</v>
      </c>
      <c r="T183" s="123">
        <f t="shared" si="56"/>
        <v>0.6</v>
      </c>
      <c r="U183" s="123">
        <f t="shared" si="56"/>
        <v>0.6</v>
      </c>
      <c r="V183" s="123">
        <f t="shared" si="56"/>
        <v>0.6</v>
      </c>
      <c r="W183" s="123">
        <f t="shared" si="56"/>
        <v>0.6</v>
      </c>
      <c r="X183" s="123">
        <f t="shared" si="56"/>
        <v>0.6</v>
      </c>
      <c r="Y183" s="123">
        <f t="shared" si="56"/>
        <v>0.6</v>
      </c>
      <c r="Z183" s="123">
        <f t="shared" si="56"/>
        <v>0.6</v>
      </c>
      <c r="AA183" s="123">
        <f t="shared" si="56"/>
        <v>0.6</v>
      </c>
      <c r="AB183" s="123">
        <f t="shared" si="56"/>
        <v>0.6</v>
      </c>
      <c r="AC183" s="123">
        <f t="shared" si="56"/>
        <v>0.6</v>
      </c>
      <c r="AD183" s="123">
        <f t="shared" si="56"/>
        <v>0.6</v>
      </c>
      <c r="AE183" s="123">
        <f t="shared" si="56"/>
        <v>0.6</v>
      </c>
      <c r="AF183" s="123">
        <f t="shared" si="56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4"/>
        <v>0.35</v>
      </c>
      <c r="C184" s="124">
        <v>0.35</v>
      </c>
      <c r="D184" s="123">
        <f t="shared" si="55"/>
        <v>0.35</v>
      </c>
      <c r="E184" s="123">
        <f t="shared" si="55"/>
        <v>0.35</v>
      </c>
      <c r="F184" s="123">
        <f t="shared" si="55"/>
        <v>0.35</v>
      </c>
      <c r="G184" s="123">
        <f t="shared" si="55"/>
        <v>0.35</v>
      </c>
      <c r="H184" s="123">
        <f t="shared" si="55"/>
        <v>0.35</v>
      </c>
      <c r="I184" s="123">
        <f t="shared" si="55"/>
        <v>0.35</v>
      </c>
      <c r="J184" s="123">
        <f t="shared" si="55"/>
        <v>0.35</v>
      </c>
      <c r="K184" s="123">
        <f t="shared" si="55"/>
        <v>0.35</v>
      </c>
      <c r="L184" s="123">
        <f t="shared" si="55"/>
        <v>0.35</v>
      </c>
      <c r="M184" s="123">
        <f t="shared" si="55"/>
        <v>0.35</v>
      </c>
      <c r="N184" s="123">
        <f t="shared" si="55"/>
        <v>0.35</v>
      </c>
      <c r="O184" s="123">
        <f t="shared" si="55"/>
        <v>0.35</v>
      </c>
      <c r="P184" s="123">
        <f t="shared" si="55"/>
        <v>0.35</v>
      </c>
      <c r="Q184" s="123">
        <f t="shared" si="55"/>
        <v>0.35</v>
      </c>
      <c r="R184" s="123">
        <f t="shared" si="55"/>
        <v>0.35</v>
      </c>
      <c r="S184" s="123">
        <f t="shared" si="55"/>
        <v>0.35</v>
      </c>
      <c r="T184" s="123">
        <f t="shared" si="56"/>
        <v>0.35</v>
      </c>
      <c r="U184" s="123">
        <f t="shared" si="56"/>
        <v>0.35</v>
      </c>
      <c r="V184" s="123">
        <f t="shared" si="56"/>
        <v>0.35</v>
      </c>
      <c r="W184" s="123">
        <f t="shared" si="56"/>
        <v>0.35</v>
      </c>
      <c r="X184" s="123">
        <f t="shared" si="56"/>
        <v>0.35</v>
      </c>
      <c r="Y184" s="123">
        <f t="shared" si="56"/>
        <v>0.35</v>
      </c>
      <c r="Z184" s="123">
        <f t="shared" si="56"/>
        <v>0.35</v>
      </c>
      <c r="AA184" s="123">
        <f t="shared" si="56"/>
        <v>0.35</v>
      </c>
      <c r="AB184" s="123">
        <f t="shared" si="56"/>
        <v>0.35</v>
      </c>
      <c r="AC184" s="123">
        <f t="shared" si="56"/>
        <v>0.35</v>
      </c>
      <c r="AD184" s="123">
        <f t="shared" si="56"/>
        <v>0.35</v>
      </c>
      <c r="AE184" s="123">
        <f t="shared" si="56"/>
        <v>0.35</v>
      </c>
      <c r="AF184" s="123">
        <f t="shared" si="56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4"/>
        <v>0.28999999999999998</v>
      </c>
      <c r="C185" s="124">
        <v>0.28999999999999998</v>
      </c>
      <c r="D185" s="123">
        <f t="shared" si="55"/>
        <v>0.28999999999999998</v>
      </c>
      <c r="E185" s="123">
        <f t="shared" si="55"/>
        <v>0.28999999999999998</v>
      </c>
      <c r="F185" s="123">
        <f t="shared" si="55"/>
        <v>0.28999999999999998</v>
      </c>
      <c r="G185" s="123">
        <f t="shared" si="55"/>
        <v>0.28999999999999998</v>
      </c>
      <c r="H185" s="123">
        <f t="shared" si="55"/>
        <v>0.28999999999999998</v>
      </c>
      <c r="I185" s="123">
        <f t="shared" si="55"/>
        <v>0.28999999999999998</v>
      </c>
      <c r="J185" s="123">
        <f t="shared" si="55"/>
        <v>0.28999999999999998</v>
      </c>
      <c r="K185" s="123">
        <f t="shared" si="55"/>
        <v>0.28999999999999998</v>
      </c>
      <c r="L185" s="123">
        <f t="shared" si="55"/>
        <v>0.28999999999999998</v>
      </c>
      <c r="M185" s="123">
        <f t="shared" si="55"/>
        <v>0.28999999999999998</v>
      </c>
      <c r="N185" s="123">
        <f t="shared" si="55"/>
        <v>0.28999999999999998</v>
      </c>
      <c r="O185" s="123">
        <f t="shared" si="55"/>
        <v>0.28999999999999998</v>
      </c>
      <c r="P185" s="123">
        <f t="shared" si="55"/>
        <v>0.28999999999999998</v>
      </c>
      <c r="Q185" s="123">
        <f t="shared" si="55"/>
        <v>0.28999999999999998</v>
      </c>
      <c r="R185" s="123">
        <f t="shared" si="55"/>
        <v>0.28999999999999998</v>
      </c>
      <c r="S185" s="123">
        <f t="shared" si="55"/>
        <v>0.28999999999999998</v>
      </c>
      <c r="T185" s="123">
        <f t="shared" si="56"/>
        <v>0.28999999999999998</v>
      </c>
      <c r="U185" s="123">
        <f t="shared" si="56"/>
        <v>0.28999999999999998</v>
      </c>
      <c r="V185" s="123">
        <f t="shared" si="56"/>
        <v>0.28999999999999998</v>
      </c>
      <c r="W185" s="123">
        <f t="shared" si="56"/>
        <v>0.28999999999999998</v>
      </c>
      <c r="X185" s="123">
        <f t="shared" si="56"/>
        <v>0.28999999999999998</v>
      </c>
      <c r="Y185" s="123">
        <f t="shared" si="56"/>
        <v>0.28999999999999998</v>
      </c>
      <c r="Z185" s="123">
        <f t="shared" si="56"/>
        <v>0.28999999999999998</v>
      </c>
      <c r="AA185" s="123">
        <f t="shared" si="56"/>
        <v>0.28999999999999998</v>
      </c>
      <c r="AB185" s="123">
        <f t="shared" si="56"/>
        <v>0.28999999999999998</v>
      </c>
      <c r="AC185" s="123">
        <f t="shared" si="56"/>
        <v>0.28999999999999998</v>
      </c>
      <c r="AD185" s="123">
        <f t="shared" si="56"/>
        <v>0.28999999999999998</v>
      </c>
      <c r="AE185" s="123">
        <f t="shared" si="56"/>
        <v>0.28999999999999998</v>
      </c>
      <c r="AF185" s="123">
        <f t="shared" si="56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4"/>
        <v>0.06</v>
      </c>
      <c r="C186" s="124">
        <v>0.06</v>
      </c>
      <c r="D186" s="123">
        <f t="shared" si="55"/>
        <v>0.06</v>
      </c>
      <c r="E186" s="123">
        <f t="shared" si="55"/>
        <v>0.06</v>
      </c>
      <c r="F186" s="123">
        <f t="shared" si="55"/>
        <v>0.06</v>
      </c>
      <c r="G186" s="123">
        <f t="shared" si="55"/>
        <v>0.06</v>
      </c>
      <c r="H186" s="123">
        <f t="shared" si="55"/>
        <v>0.06</v>
      </c>
      <c r="I186" s="123">
        <f t="shared" si="55"/>
        <v>0.06</v>
      </c>
      <c r="J186" s="123">
        <f t="shared" si="55"/>
        <v>0.06</v>
      </c>
      <c r="K186" s="123">
        <f t="shared" si="55"/>
        <v>0.06</v>
      </c>
      <c r="L186" s="123">
        <f t="shared" si="55"/>
        <v>0.06</v>
      </c>
      <c r="M186" s="123">
        <f t="shared" si="55"/>
        <v>0.06</v>
      </c>
      <c r="N186" s="123">
        <f t="shared" si="55"/>
        <v>0.06</v>
      </c>
      <c r="O186" s="123">
        <f t="shared" si="55"/>
        <v>0.06</v>
      </c>
      <c r="P186" s="123">
        <f t="shared" si="55"/>
        <v>0.06</v>
      </c>
      <c r="Q186" s="123">
        <f t="shared" si="55"/>
        <v>0.06</v>
      </c>
      <c r="R186" s="123">
        <f t="shared" si="55"/>
        <v>0.06</v>
      </c>
      <c r="S186" s="123">
        <f t="shared" si="55"/>
        <v>0.06</v>
      </c>
      <c r="T186" s="123">
        <f t="shared" si="56"/>
        <v>0.06</v>
      </c>
      <c r="U186" s="123">
        <f t="shared" si="56"/>
        <v>0.06</v>
      </c>
      <c r="V186" s="123">
        <f t="shared" si="56"/>
        <v>0.06</v>
      </c>
      <c r="W186" s="123">
        <f t="shared" si="56"/>
        <v>0.06</v>
      </c>
      <c r="X186" s="123">
        <f t="shared" si="56"/>
        <v>0.06</v>
      </c>
      <c r="Y186" s="123">
        <f t="shared" si="56"/>
        <v>0.06</v>
      </c>
      <c r="Z186" s="123">
        <f t="shared" si="56"/>
        <v>0.06</v>
      </c>
      <c r="AA186" s="123">
        <f t="shared" si="56"/>
        <v>0.06</v>
      </c>
      <c r="AB186" s="123">
        <f t="shared" si="56"/>
        <v>0.06</v>
      </c>
      <c r="AC186" s="123">
        <f t="shared" si="56"/>
        <v>0.06</v>
      </c>
      <c r="AD186" s="123">
        <f t="shared" si="56"/>
        <v>0.06</v>
      </c>
      <c r="AE186" s="123">
        <f t="shared" si="56"/>
        <v>0.06</v>
      </c>
      <c r="AF186" s="123">
        <f t="shared" si="56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4"/>
        <v>0.11</v>
      </c>
      <c r="C187" s="124">
        <v>0.11</v>
      </c>
      <c r="D187" s="123">
        <f t="shared" si="55"/>
        <v>0.11</v>
      </c>
      <c r="E187" s="123">
        <f t="shared" si="55"/>
        <v>0.11</v>
      </c>
      <c r="F187" s="123">
        <f t="shared" si="55"/>
        <v>0.11</v>
      </c>
      <c r="G187" s="123">
        <f t="shared" si="55"/>
        <v>0.11</v>
      </c>
      <c r="H187" s="123">
        <f t="shared" si="55"/>
        <v>0.11</v>
      </c>
      <c r="I187" s="123">
        <f t="shared" si="55"/>
        <v>0.11</v>
      </c>
      <c r="J187" s="123">
        <f t="shared" si="55"/>
        <v>0.11</v>
      </c>
      <c r="K187" s="123">
        <f t="shared" si="55"/>
        <v>0.11</v>
      </c>
      <c r="L187" s="123">
        <f t="shared" si="55"/>
        <v>0.11</v>
      </c>
      <c r="M187" s="123">
        <f t="shared" si="55"/>
        <v>0.11</v>
      </c>
      <c r="N187" s="123">
        <f t="shared" si="55"/>
        <v>0.11</v>
      </c>
      <c r="O187" s="123">
        <f t="shared" si="55"/>
        <v>0.11</v>
      </c>
      <c r="P187" s="123">
        <f t="shared" si="55"/>
        <v>0.11</v>
      </c>
      <c r="Q187" s="123">
        <f t="shared" si="55"/>
        <v>0.11</v>
      </c>
      <c r="R187" s="123">
        <f t="shared" si="55"/>
        <v>0.11</v>
      </c>
      <c r="S187" s="123">
        <f t="shared" si="55"/>
        <v>0.11</v>
      </c>
      <c r="T187" s="123">
        <f t="shared" si="56"/>
        <v>0.11</v>
      </c>
      <c r="U187" s="123">
        <f t="shared" si="56"/>
        <v>0.11</v>
      </c>
      <c r="V187" s="123">
        <f t="shared" si="56"/>
        <v>0.11</v>
      </c>
      <c r="W187" s="123">
        <f t="shared" si="56"/>
        <v>0.11</v>
      </c>
      <c r="X187" s="123">
        <f t="shared" si="56"/>
        <v>0.11</v>
      </c>
      <c r="Y187" s="123">
        <f t="shared" si="56"/>
        <v>0.11</v>
      </c>
      <c r="Z187" s="123">
        <f t="shared" si="56"/>
        <v>0.11</v>
      </c>
      <c r="AA187" s="123">
        <f t="shared" si="56"/>
        <v>0.11</v>
      </c>
      <c r="AB187" s="123">
        <f t="shared" si="56"/>
        <v>0.11</v>
      </c>
      <c r="AC187" s="123">
        <f t="shared" si="56"/>
        <v>0.11</v>
      </c>
      <c r="AD187" s="123">
        <f t="shared" si="56"/>
        <v>0.11</v>
      </c>
      <c r="AE187" s="123">
        <f t="shared" si="56"/>
        <v>0.11</v>
      </c>
      <c r="AF187" s="123">
        <f t="shared" si="56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4"/>
        <v>0.1</v>
      </c>
      <c r="C188" s="124">
        <v>0.1</v>
      </c>
      <c r="D188" s="123">
        <f t="shared" si="55"/>
        <v>0.1</v>
      </c>
      <c r="E188" s="123">
        <f t="shared" si="55"/>
        <v>0.1</v>
      </c>
      <c r="F188" s="123">
        <f t="shared" si="55"/>
        <v>0.1</v>
      </c>
      <c r="G188" s="123">
        <f t="shared" si="55"/>
        <v>0.1</v>
      </c>
      <c r="H188" s="123">
        <f t="shared" si="55"/>
        <v>0.1</v>
      </c>
      <c r="I188" s="123">
        <f t="shared" si="55"/>
        <v>0.1</v>
      </c>
      <c r="J188" s="123">
        <f t="shared" si="55"/>
        <v>0.1</v>
      </c>
      <c r="K188" s="123">
        <f t="shared" si="55"/>
        <v>0.1</v>
      </c>
      <c r="L188" s="123">
        <f t="shared" si="55"/>
        <v>0.1</v>
      </c>
      <c r="M188" s="123">
        <f t="shared" si="55"/>
        <v>0.1</v>
      </c>
      <c r="N188" s="123">
        <f t="shared" si="55"/>
        <v>0.1</v>
      </c>
      <c r="O188" s="123">
        <f t="shared" si="55"/>
        <v>0.1</v>
      </c>
      <c r="P188" s="123">
        <f t="shared" si="55"/>
        <v>0.1</v>
      </c>
      <c r="Q188" s="123">
        <f t="shared" si="55"/>
        <v>0.1</v>
      </c>
      <c r="R188" s="123">
        <f t="shared" si="55"/>
        <v>0.1</v>
      </c>
      <c r="S188" s="123">
        <f t="shared" si="56"/>
        <v>0.1</v>
      </c>
      <c r="T188" s="123">
        <f t="shared" si="56"/>
        <v>0.1</v>
      </c>
      <c r="U188" s="123">
        <f t="shared" si="56"/>
        <v>0.1</v>
      </c>
      <c r="V188" s="123">
        <f t="shared" si="56"/>
        <v>0.1</v>
      </c>
      <c r="W188" s="123">
        <f t="shared" si="56"/>
        <v>0.1</v>
      </c>
      <c r="X188" s="123">
        <f t="shared" si="56"/>
        <v>0.1</v>
      </c>
      <c r="Y188" s="123">
        <f t="shared" si="56"/>
        <v>0.1</v>
      </c>
      <c r="Z188" s="123">
        <f t="shared" si="56"/>
        <v>0.1</v>
      </c>
      <c r="AA188" s="123">
        <f t="shared" si="56"/>
        <v>0.1</v>
      </c>
      <c r="AB188" s="123">
        <f t="shared" si="56"/>
        <v>0.1</v>
      </c>
      <c r="AC188" s="123">
        <f t="shared" si="56"/>
        <v>0.1</v>
      </c>
      <c r="AD188" s="123">
        <f t="shared" si="56"/>
        <v>0.1</v>
      </c>
      <c r="AE188" s="123">
        <f t="shared" si="56"/>
        <v>0.1</v>
      </c>
      <c r="AF188" s="123">
        <f t="shared" si="56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4"/>
        <v>0.09</v>
      </c>
      <c r="C189" s="124">
        <v>0.09</v>
      </c>
      <c r="D189" s="123">
        <f t="shared" si="55"/>
        <v>0.09</v>
      </c>
      <c r="E189" s="123">
        <f t="shared" si="55"/>
        <v>0.09</v>
      </c>
      <c r="F189" s="123">
        <f t="shared" si="55"/>
        <v>0.09</v>
      </c>
      <c r="G189" s="123">
        <f t="shared" si="55"/>
        <v>0.09</v>
      </c>
      <c r="H189" s="123">
        <f t="shared" si="55"/>
        <v>0.09</v>
      </c>
      <c r="I189" s="123">
        <f t="shared" si="55"/>
        <v>0.09</v>
      </c>
      <c r="J189" s="123">
        <f t="shared" si="55"/>
        <v>0.09</v>
      </c>
      <c r="K189" s="123">
        <f t="shared" si="55"/>
        <v>0.09</v>
      </c>
      <c r="L189" s="123">
        <f t="shared" si="55"/>
        <v>0.09</v>
      </c>
      <c r="M189" s="123">
        <f t="shared" si="55"/>
        <v>0.09</v>
      </c>
      <c r="N189" s="123">
        <f t="shared" si="55"/>
        <v>0.09</v>
      </c>
      <c r="O189" s="123">
        <f t="shared" si="55"/>
        <v>0.09</v>
      </c>
      <c r="P189" s="123">
        <f t="shared" si="55"/>
        <v>0.09</v>
      </c>
      <c r="Q189" s="123">
        <f t="shared" si="55"/>
        <v>0.09</v>
      </c>
      <c r="R189" s="123">
        <f t="shared" si="55"/>
        <v>0.09</v>
      </c>
      <c r="S189" s="123">
        <f t="shared" si="56"/>
        <v>0.09</v>
      </c>
      <c r="T189" s="123">
        <f t="shared" si="56"/>
        <v>0.09</v>
      </c>
      <c r="U189" s="123">
        <f t="shared" si="56"/>
        <v>0.09</v>
      </c>
      <c r="V189" s="123">
        <f t="shared" si="56"/>
        <v>0.09</v>
      </c>
      <c r="W189" s="123">
        <f t="shared" si="56"/>
        <v>0.09</v>
      </c>
      <c r="X189" s="123">
        <f t="shared" si="56"/>
        <v>0.09</v>
      </c>
      <c r="Y189" s="123">
        <f t="shared" si="56"/>
        <v>0.09</v>
      </c>
      <c r="Z189" s="123">
        <f t="shared" si="56"/>
        <v>0.09</v>
      </c>
      <c r="AA189" s="123">
        <f t="shared" si="56"/>
        <v>0.09</v>
      </c>
      <c r="AB189" s="123">
        <f t="shared" si="56"/>
        <v>0.09</v>
      </c>
      <c r="AC189" s="123">
        <f t="shared" si="56"/>
        <v>0.09</v>
      </c>
      <c r="AD189" s="123">
        <f t="shared" si="56"/>
        <v>0.09</v>
      </c>
      <c r="AE189" s="123">
        <f t="shared" si="56"/>
        <v>0.09</v>
      </c>
      <c r="AF189" s="123">
        <f t="shared" si="56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4"/>
        <v>0.04</v>
      </c>
      <c r="C190" s="54">
        <v>0.04</v>
      </c>
      <c r="D190" s="123">
        <f t="shared" si="55"/>
        <v>0.04</v>
      </c>
      <c r="E190" s="123">
        <f t="shared" si="55"/>
        <v>0.04</v>
      </c>
      <c r="F190" s="123">
        <f t="shared" si="55"/>
        <v>0.04</v>
      </c>
      <c r="G190" s="123">
        <f t="shared" si="55"/>
        <v>0.04</v>
      </c>
      <c r="H190" s="123">
        <f t="shared" si="55"/>
        <v>0.04</v>
      </c>
      <c r="I190" s="123">
        <f t="shared" si="55"/>
        <v>0.04</v>
      </c>
      <c r="J190" s="123">
        <f t="shared" si="55"/>
        <v>0.04</v>
      </c>
      <c r="K190" s="123">
        <f t="shared" si="55"/>
        <v>0.04</v>
      </c>
      <c r="L190" s="123">
        <f t="shared" si="55"/>
        <v>0.04</v>
      </c>
      <c r="M190" s="123">
        <f t="shared" si="55"/>
        <v>0.04</v>
      </c>
      <c r="N190" s="123">
        <f t="shared" si="55"/>
        <v>0.04</v>
      </c>
      <c r="O190" s="123">
        <f t="shared" si="55"/>
        <v>0.04</v>
      </c>
      <c r="P190" s="123">
        <f t="shared" si="55"/>
        <v>0.04</v>
      </c>
      <c r="Q190" s="123">
        <f t="shared" si="55"/>
        <v>0.04</v>
      </c>
      <c r="R190" s="123">
        <f t="shared" si="55"/>
        <v>0.04</v>
      </c>
      <c r="S190" s="123">
        <f t="shared" si="56"/>
        <v>0.04</v>
      </c>
      <c r="T190" s="123">
        <f t="shared" si="56"/>
        <v>0.04</v>
      </c>
      <c r="U190" s="123">
        <f t="shared" si="56"/>
        <v>0.04</v>
      </c>
      <c r="V190" s="123">
        <f t="shared" si="56"/>
        <v>0.04</v>
      </c>
      <c r="W190" s="123">
        <f t="shared" si="56"/>
        <v>0.04</v>
      </c>
      <c r="X190" s="123">
        <f t="shared" si="56"/>
        <v>0.04</v>
      </c>
      <c r="Y190" s="123">
        <f t="shared" si="56"/>
        <v>0.04</v>
      </c>
      <c r="Z190" s="123">
        <f t="shared" si="56"/>
        <v>0.04</v>
      </c>
      <c r="AA190" s="123">
        <f t="shared" si="56"/>
        <v>0.04</v>
      </c>
      <c r="AB190" s="123">
        <f t="shared" si="56"/>
        <v>0.04</v>
      </c>
      <c r="AC190" s="123">
        <f t="shared" si="56"/>
        <v>0.04</v>
      </c>
      <c r="AD190" s="123">
        <f t="shared" si="56"/>
        <v>0.04</v>
      </c>
      <c r="AE190" s="123">
        <f t="shared" si="56"/>
        <v>0.04</v>
      </c>
      <c r="AF190" s="123">
        <f t="shared" si="56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4"/>
        <v>2.3E-2</v>
      </c>
      <c r="C191" s="54">
        <v>2.3E-2</v>
      </c>
      <c r="D191" s="123">
        <f>C191</f>
        <v>2.3E-2</v>
      </c>
      <c r="E191" s="123">
        <f t="shared" si="55"/>
        <v>2.3E-2</v>
      </c>
      <c r="F191" s="123">
        <f t="shared" si="55"/>
        <v>2.3E-2</v>
      </c>
      <c r="G191" s="123">
        <f t="shared" si="55"/>
        <v>2.3E-2</v>
      </c>
      <c r="H191" s="123">
        <f t="shared" si="55"/>
        <v>2.3E-2</v>
      </c>
      <c r="I191" s="123">
        <f t="shared" si="55"/>
        <v>2.3E-2</v>
      </c>
      <c r="J191" s="123">
        <f t="shared" si="55"/>
        <v>2.3E-2</v>
      </c>
      <c r="K191" s="123">
        <f t="shared" si="55"/>
        <v>2.3E-2</v>
      </c>
      <c r="L191" s="123">
        <f t="shared" si="55"/>
        <v>2.3E-2</v>
      </c>
      <c r="M191" s="123">
        <f t="shared" si="55"/>
        <v>2.3E-2</v>
      </c>
      <c r="N191" s="123">
        <f t="shared" si="55"/>
        <v>2.3E-2</v>
      </c>
      <c r="O191" s="123">
        <f t="shared" si="55"/>
        <v>2.3E-2</v>
      </c>
      <c r="P191" s="123">
        <f t="shared" si="55"/>
        <v>2.3E-2</v>
      </c>
      <c r="Q191" s="123">
        <f t="shared" si="55"/>
        <v>2.3E-2</v>
      </c>
      <c r="R191" s="123">
        <f t="shared" si="55"/>
        <v>2.3E-2</v>
      </c>
      <c r="S191" s="123">
        <f t="shared" si="56"/>
        <v>2.3E-2</v>
      </c>
      <c r="T191" s="123">
        <f t="shared" si="56"/>
        <v>2.3E-2</v>
      </c>
      <c r="U191" s="123">
        <f t="shared" si="56"/>
        <v>2.3E-2</v>
      </c>
      <c r="V191" s="123">
        <f t="shared" si="56"/>
        <v>2.3E-2</v>
      </c>
      <c r="W191" s="123">
        <f t="shared" si="56"/>
        <v>2.3E-2</v>
      </c>
      <c r="X191" s="123">
        <f t="shared" si="56"/>
        <v>2.3E-2</v>
      </c>
      <c r="Y191" s="123">
        <f t="shared" si="56"/>
        <v>2.3E-2</v>
      </c>
      <c r="Z191" s="123">
        <f t="shared" si="56"/>
        <v>2.3E-2</v>
      </c>
      <c r="AA191" s="123">
        <f t="shared" si="56"/>
        <v>2.3E-2</v>
      </c>
      <c r="AB191" s="123">
        <f t="shared" si="56"/>
        <v>2.3E-2</v>
      </c>
      <c r="AC191" s="123">
        <f t="shared" si="56"/>
        <v>2.3E-2</v>
      </c>
      <c r="AD191" s="123">
        <f t="shared" si="56"/>
        <v>2.3E-2</v>
      </c>
      <c r="AE191" s="123">
        <f t="shared" si="56"/>
        <v>2.3E-2</v>
      </c>
      <c r="AF191" s="123">
        <f t="shared" si="56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7">SUM(C102:C191)</f>
        <v>194.70600000000002</v>
      </c>
      <c r="D192" s="128">
        <f t="shared" si="57"/>
        <v>194.70600000000002</v>
      </c>
      <c r="E192" s="128">
        <f t="shared" si="57"/>
        <v>194.70600000000002</v>
      </c>
      <c r="F192" s="128">
        <f t="shared" si="57"/>
        <v>194.70600000000002</v>
      </c>
      <c r="G192" s="128">
        <f t="shared" si="57"/>
        <v>194.70600000000002</v>
      </c>
      <c r="H192" s="128">
        <f t="shared" si="57"/>
        <v>194.70600000000002</v>
      </c>
      <c r="I192" s="128">
        <f t="shared" si="57"/>
        <v>189.70600000000005</v>
      </c>
      <c r="J192" s="128">
        <f t="shared" si="57"/>
        <v>187.10600000000005</v>
      </c>
      <c r="K192" s="128">
        <f t="shared" si="57"/>
        <v>187.10600000000005</v>
      </c>
      <c r="L192" s="128">
        <f t="shared" si="57"/>
        <v>187.10600000000005</v>
      </c>
      <c r="M192" s="128">
        <f t="shared" si="57"/>
        <v>187.10600000000005</v>
      </c>
      <c r="N192" s="128">
        <f t="shared" si="57"/>
        <v>187.10600000000005</v>
      </c>
      <c r="O192" s="128">
        <f t="shared" si="57"/>
        <v>187.10600000000005</v>
      </c>
      <c r="P192" s="128">
        <f t="shared" si="57"/>
        <v>187.10600000000005</v>
      </c>
      <c r="Q192" s="128">
        <f t="shared" si="57"/>
        <v>187.10600000000005</v>
      </c>
      <c r="R192" s="128">
        <f t="shared" si="57"/>
        <v>187.10600000000005</v>
      </c>
      <c r="S192" s="128">
        <f t="shared" si="57"/>
        <v>187.10600000000005</v>
      </c>
      <c r="T192" s="128">
        <f t="shared" si="57"/>
        <v>187.10600000000005</v>
      </c>
      <c r="U192" s="128">
        <f t="shared" si="57"/>
        <v>187.10600000000005</v>
      </c>
      <c r="V192" s="128">
        <f t="shared" si="57"/>
        <v>187.10600000000005</v>
      </c>
      <c r="W192" s="128">
        <f t="shared" si="57"/>
        <v>187.10600000000005</v>
      </c>
      <c r="X192" s="128">
        <f t="shared" si="57"/>
        <v>187.10600000000005</v>
      </c>
      <c r="Y192" s="128">
        <f t="shared" si="57"/>
        <v>187.10600000000005</v>
      </c>
      <c r="Z192" s="128">
        <f t="shared" si="57"/>
        <v>187.10600000000005</v>
      </c>
      <c r="AA192" s="128">
        <f t="shared" si="57"/>
        <v>187.10600000000005</v>
      </c>
      <c r="AB192" s="128">
        <f t="shared" si="57"/>
        <v>187.10600000000005</v>
      </c>
      <c r="AC192" s="128">
        <f t="shared" si="57"/>
        <v>187.10600000000005</v>
      </c>
      <c r="AD192" s="128">
        <f t="shared" si="57"/>
        <v>187.10600000000005</v>
      </c>
      <c r="AE192" s="128">
        <f t="shared" si="57"/>
        <v>187.10600000000005</v>
      </c>
      <c r="AF192" s="128">
        <f t="shared" si="57"/>
        <v>187.10600000000005</v>
      </c>
      <c r="AG192" s="129">
        <f t="shared" si="57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8">AF194</f>
        <v>0.3</v>
      </c>
      <c r="C194" s="130">
        <v>0.3</v>
      </c>
      <c r="D194" s="130">
        <f t="shared" ref="D194:S199" si="59">C194</f>
        <v>0.3</v>
      </c>
      <c r="E194" s="130">
        <f t="shared" si="59"/>
        <v>0.3</v>
      </c>
      <c r="F194" s="130">
        <f t="shared" si="59"/>
        <v>0.3</v>
      </c>
      <c r="G194" s="130">
        <f t="shared" si="59"/>
        <v>0.3</v>
      </c>
      <c r="H194" s="130">
        <f t="shared" si="59"/>
        <v>0.3</v>
      </c>
      <c r="I194" s="130">
        <f t="shared" si="59"/>
        <v>0.3</v>
      </c>
      <c r="J194" s="130">
        <f t="shared" si="59"/>
        <v>0.3</v>
      </c>
      <c r="K194" s="130">
        <f t="shared" si="59"/>
        <v>0.3</v>
      </c>
      <c r="L194" s="130">
        <f t="shared" si="59"/>
        <v>0.3</v>
      </c>
      <c r="M194" s="130">
        <f t="shared" si="59"/>
        <v>0.3</v>
      </c>
      <c r="N194" s="130">
        <f t="shared" si="59"/>
        <v>0.3</v>
      </c>
      <c r="O194" s="130">
        <f t="shared" si="59"/>
        <v>0.3</v>
      </c>
      <c r="P194" s="130">
        <f t="shared" si="59"/>
        <v>0.3</v>
      </c>
      <c r="Q194" s="130">
        <f t="shared" si="59"/>
        <v>0.3</v>
      </c>
      <c r="R194" s="130">
        <f t="shared" si="59"/>
        <v>0.3</v>
      </c>
      <c r="S194" s="130">
        <f t="shared" si="59"/>
        <v>0.3</v>
      </c>
      <c r="T194" s="130">
        <f t="shared" ref="T194:AF199" si="60">S194</f>
        <v>0.3</v>
      </c>
      <c r="U194" s="130">
        <f t="shared" si="60"/>
        <v>0.3</v>
      </c>
      <c r="V194" s="130">
        <f t="shared" si="60"/>
        <v>0.3</v>
      </c>
      <c r="W194" s="130">
        <f t="shared" si="60"/>
        <v>0.3</v>
      </c>
      <c r="X194" s="130">
        <f t="shared" si="60"/>
        <v>0.3</v>
      </c>
      <c r="Y194" s="130">
        <f t="shared" si="60"/>
        <v>0.3</v>
      </c>
      <c r="Z194" s="130">
        <f t="shared" si="60"/>
        <v>0.3</v>
      </c>
      <c r="AA194" s="130">
        <f t="shared" si="60"/>
        <v>0.3</v>
      </c>
      <c r="AB194" s="130">
        <f t="shared" si="60"/>
        <v>0.3</v>
      </c>
      <c r="AC194" s="130">
        <f t="shared" si="60"/>
        <v>0.3</v>
      </c>
      <c r="AD194" s="130">
        <f t="shared" si="60"/>
        <v>0.3</v>
      </c>
      <c r="AE194" s="130">
        <f t="shared" si="60"/>
        <v>0.3</v>
      </c>
      <c r="AF194" s="130">
        <f t="shared" si="60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8"/>
        <v>0.4</v>
      </c>
      <c r="C195" s="123">
        <v>0.4</v>
      </c>
      <c r="D195" s="123">
        <f t="shared" si="59"/>
        <v>0.4</v>
      </c>
      <c r="E195" s="123">
        <f t="shared" si="59"/>
        <v>0.4</v>
      </c>
      <c r="F195" s="123">
        <f t="shared" si="59"/>
        <v>0.4</v>
      </c>
      <c r="G195" s="123">
        <f t="shared" si="59"/>
        <v>0.4</v>
      </c>
      <c r="H195" s="123">
        <f t="shared" si="59"/>
        <v>0.4</v>
      </c>
      <c r="I195" s="123">
        <f t="shared" si="59"/>
        <v>0.4</v>
      </c>
      <c r="J195" s="123">
        <f t="shared" si="59"/>
        <v>0.4</v>
      </c>
      <c r="K195" s="123">
        <f t="shared" si="59"/>
        <v>0.4</v>
      </c>
      <c r="L195" s="123">
        <f t="shared" si="59"/>
        <v>0.4</v>
      </c>
      <c r="M195" s="123">
        <f t="shared" si="59"/>
        <v>0.4</v>
      </c>
      <c r="N195" s="123">
        <f t="shared" si="59"/>
        <v>0.4</v>
      </c>
      <c r="O195" s="123">
        <f t="shared" si="59"/>
        <v>0.4</v>
      </c>
      <c r="P195" s="123">
        <f t="shared" si="59"/>
        <v>0.4</v>
      </c>
      <c r="Q195" s="123">
        <f t="shared" si="59"/>
        <v>0.4</v>
      </c>
      <c r="R195" s="123">
        <f t="shared" si="59"/>
        <v>0.4</v>
      </c>
      <c r="S195" s="123">
        <f t="shared" si="59"/>
        <v>0.4</v>
      </c>
      <c r="T195" s="123">
        <f t="shared" si="60"/>
        <v>0.4</v>
      </c>
      <c r="U195" s="123">
        <f t="shared" si="60"/>
        <v>0.4</v>
      </c>
      <c r="V195" s="123">
        <f t="shared" si="60"/>
        <v>0.4</v>
      </c>
      <c r="W195" s="123">
        <f>V195</f>
        <v>0.4</v>
      </c>
      <c r="X195" s="123">
        <f>W195</f>
        <v>0.4</v>
      </c>
      <c r="Y195" s="123">
        <f t="shared" si="60"/>
        <v>0.4</v>
      </c>
      <c r="Z195" s="123">
        <f t="shared" si="60"/>
        <v>0.4</v>
      </c>
      <c r="AA195" s="123">
        <f t="shared" si="60"/>
        <v>0.4</v>
      </c>
      <c r="AB195" s="123">
        <f t="shared" si="60"/>
        <v>0.4</v>
      </c>
      <c r="AC195" s="123">
        <f t="shared" si="60"/>
        <v>0.4</v>
      </c>
      <c r="AD195" s="123">
        <f t="shared" si="60"/>
        <v>0.4</v>
      </c>
      <c r="AE195" s="123">
        <f t="shared" si="60"/>
        <v>0.4</v>
      </c>
      <c r="AF195" s="123">
        <f t="shared" si="60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8"/>
        <v>1.5</v>
      </c>
      <c r="C196" s="123">
        <v>1.5</v>
      </c>
      <c r="D196" s="123">
        <f t="shared" si="59"/>
        <v>1.5</v>
      </c>
      <c r="E196" s="123">
        <f t="shared" si="59"/>
        <v>1.5</v>
      </c>
      <c r="F196" s="123">
        <f t="shared" si="59"/>
        <v>1.5</v>
      </c>
      <c r="G196" s="123">
        <f t="shared" si="59"/>
        <v>1.5</v>
      </c>
      <c r="H196" s="123">
        <f t="shared" si="59"/>
        <v>1.5</v>
      </c>
      <c r="I196" s="123">
        <f t="shared" si="59"/>
        <v>1.5</v>
      </c>
      <c r="J196" s="123">
        <f t="shared" si="59"/>
        <v>1.5</v>
      </c>
      <c r="K196" s="123">
        <f t="shared" si="59"/>
        <v>1.5</v>
      </c>
      <c r="L196" s="123">
        <f t="shared" si="59"/>
        <v>1.5</v>
      </c>
      <c r="M196" s="123">
        <f t="shared" si="59"/>
        <v>1.5</v>
      </c>
      <c r="N196" s="123">
        <f t="shared" si="59"/>
        <v>1.5</v>
      </c>
      <c r="O196" s="123">
        <f t="shared" si="59"/>
        <v>1.5</v>
      </c>
      <c r="P196" s="123">
        <f t="shared" si="59"/>
        <v>1.5</v>
      </c>
      <c r="Q196" s="123">
        <f t="shared" si="59"/>
        <v>1.5</v>
      </c>
      <c r="R196" s="123">
        <f t="shared" si="59"/>
        <v>1.5</v>
      </c>
      <c r="S196" s="123">
        <f t="shared" si="59"/>
        <v>1.5</v>
      </c>
      <c r="T196" s="123">
        <f t="shared" si="60"/>
        <v>1.5</v>
      </c>
      <c r="U196" s="123">
        <f t="shared" si="60"/>
        <v>1.5</v>
      </c>
      <c r="V196" s="123">
        <f t="shared" si="60"/>
        <v>1.5</v>
      </c>
      <c r="W196" s="123">
        <f t="shared" si="60"/>
        <v>1.5</v>
      </c>
      <c r="X196" s="123">
        <f t="shared" si="60"/>
        <v>1.5</v>
      </c>
      <c r="Y196" s="123">
        <f t="shared" si="60"/>
        <v>1.5</v>
      </c>
      <c r="Z196" s="123">
        <f t="shared" si="60"/>
        <v>1.5</v>
      </c>
      <c r="AA196" s="123">
        <f t="shared" si="60"/>
        <v>1.5</v>
      </c>
      <c r="AB196" s="123">
        <f t="shared" si="60"/>
        <v>1.5</v>
      </c>
      <c r="AC196" s="123">
        <f t="shared" si="60"/>
        <v>1.5</v>
      </c>
      <c r="AD196" s="123">
        <f t="shared" si="60"/>
        <v>1.5</v>
      </c>
      <c r="AE196" s="123">
        <f t="shared" si="60"/>
        <v>1.5</v>
      </c>
      <c r="AF196" s="123">
        <f t="shared" si="60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8"/>
        <v>0.3</v>
      </c>
      <c r="C197" s="123">
        <v>0.3</v>
      </c>
      <c r="D197" s="123">
        <f t="shared" si="59"/>
        <v>0.3</v>
      </c>
      <c r="E197" s="123">
        <f t="shared" si="59"/>
        <v>0.3</v>
      </c>
      <c r="F197" s="123">
        <f t="shared" si="59"/>
        <v>0.3</v>
      </c>
      <c r="G197" s="123">
        <f t="shared" si="59"/>
        <v>0.3</v>
      </c>
      <c r="H197" s="123">
        <f t="shared" si="59"/>
        <v>0.3</v>
      </c>
      <c r="I197" s="123">
        <f t="shared" si="59"/>
        <v>0.3</v>
      </c>
      <c r="J197" s="123">
        <f t="shared" si="59"/>
        <v>0.3</v>
      </c>
      <c r="K197" s="123">
        <f t="shared" si="59"/>
        <v>0.3</v>
      </c>
      <c r="L197" s="123">
        <f t="shared" si="59"/>
        <v>0.3</v>
      </c>
      <c r="M197" s="123">
        <f t="shared" si="59"/>
        <v>0.3</v>
      </c>
      <c r="N197" s="123">
        <f t="shared" si="59"/>
        <v>0.3</v>
      </c>
      <c r="O197" s="123">
        <f t="shared" si="59"/>
        <v>0.3</v>
      </c>
      <c r="P197" s="123">
        <f t="shared" si="59"/>
        <v>0.3</v>
      </c>
      <c r="Q197" s="123">
        <f t="shared" si="59"/>
        <v>0.3</v>
      </c>
      <c r="R197" s="123">
        <f t="shared" si="59"/>
        <v>0.3</v>
      </c>
      <c r="S197" s="123">
        <f t="shared" si="59"/>
        <v>0.3</v>
      </c>
      <c r="T197" s="123">
        <f t="shared" si="60"/>
        <v>0.3</v>
      </c>
      <c r="U197" s="123">
        <f t="shared" si="60"/>
        <v>0.3</v>
      </c>
      <c r="V197" s="123">
        <f t="shared" si="60"/>
        <v>0.3</v>
      </c>
      <c r="W197" s="123">
        <f t="shared" si="60"/>
        <v>0.3</v>
      </c>
      <c r="X197" s="123">
        <f t="shared" si="60"/>
        <v>0.3</v>
      </c>
      <c r="Y197" s="123">
        <f t="shared" si="60"/>
        <v>0.3</v>
      </c>
      <c r="Z197" s="123">
        <f t="shared" si="60"/>
        <v>0.3</v>
      </c>
      <c r="AA197" s="123">
        <f t="shared" si="60"/>
        <v>0.3</v>
      </c>
      <c r="AB197" s="123">
        <f t="shared" si="60"/>
        <v>0.3</v>
      </c>
      <c r="AC197" s="123">
        <f t="shared" si="60"/>
        <v>0.3</v>
      </c>
      <c r="AD197" s="123">
        <f t="shared" si="60"/>
        <v>0.3</v>
      </c>
      <c r="AE197" s="123">
        <f t="shared" si="60"/>
        <v>0.3</v>
      </c>
      <c r="AF197" s="123">
        <f t="shared" si="60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8"/>
        <v>0.4</v>
      </c>
      <c r="C198" s="123">
        <v>0.4</v>
      </c>
      <c r="D198" s="123">
        <f t="shared" si="59"/>
        <v>0.4</v>
      </c>
      <c r="E198" s="123">
        <f t="shared" si="59"/>
        <v>0.4</v>
      </c>
      <c r="F198" s="123">
        <f t="shared" si="59"/>
        <v>0.4</v>
      </c>
      <c r="G198" s="123">
        <f t="shared" si="59"/>
        <v>0.4</v>
      </c>
      <c r="H198" s="123">
        <f t="shared" si="59"/>
        <v>0.4</v>
      </c>
      <c r="I198" s="123">
        <f t="shared" si="59"/>
        <v>0.4</v>
      </c>
      <c r="J198" s="123">
        <f t="shared" si="59"/>
        <v>0.4</v>
      </c>
      <c r="K198" s="123">
        <f t="shared" si="59"/>
        <v>0.4</v>
      </c>
      <c r="L198" s="123">
        <f t="shared" si="59"/>
        <v>0.4</v>
      </c>
      <c r="M198" s="123">
        <f t="shared" si="59"/>
        <v>0.4</v>
      </c>
      <c r="N198" s="123">
        <f t="shared" si="59"/>
        <v>0.4</v>
      </c>
      <c r="O198" s="123">
        <f t="shared" si="59"/>
        <v>0.4</v>
      </c>
      <c r="P198" s="123">
        <f t="shared" si="59"/>
        <v>0.4</v>
      </c>
      <c r="Q198" s="123">
        <f t="shared" si="59"/>
        <v>0.4</v>
      </c>
      <c r="R198" s="123">
        <f t="shared" si="59"/>
        <v>0.4</v>
      </c>
      <c r="S198" s="123">
        <f t="shared" si="59"/>
        <v>0.4</v>
      </c>
      <c r="T198" s="123">
        <f t="shared" si="60"/>
        <v>0.4</v>
      </c>
      <c r="U198" s="123">
        <f t="shared" si="60"/>
        <v>0.4</v>
      </c>
      <c r="V198" s="123">
        <f t="shared" si="60"/>
        <v>0.4</v>
      </c>
      <c r="W198" s="123">
        <f t="shared" si="60"/>
        <v>0.4</v>
      </c>
      <c r="X198" s="123">
        <f t="shared" si="60"/>
        <v>0.4</v>
      </c>
      <c r="Y198" s="123">
        <f t="shared" si="60"/>
        <v>0.4</v>
      </c>
      <c r="Z198" s="123">
        <f t="shared" si="60"/>
        <v>0.4</v>
      </c>
      <c r="AA198" s="123">
        <f t="shared" si="60"/>
        <v>0.4</v>
      </c>
      <c r="AB198" s="123">
        <f t="shared" si="60"/>
        <v>0.4</v>
      </c>
      <c r="AC198" s="123">
        <f t="shared" si="60"/>
        <v>0.4</v>
      </c>
      <c r="AD198" s="123">
        <f t="shared" si="60"/>
        <v>0.4</v>
      </c>
      <c r="AE198" s="123">
        <f t="shared" si="60"/>
        <v>0.4</v>
      </c>
      <c r="AF198" s="123">
        <f t="shared" si="60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8"/>
        <v>0.64</v>
      </c>
      <c r="C199" s="133">
        <v>0.64</v>
      </c>
      <c r="D199" s="133">
        <f t="shared" si="59"/>
        <v>0.64</v>
      </c>
      <c r="E199" s="133">
        <f t="shared" si="59"/>
        <v>0.64</v>
      </c>
      <c r="F199" s="133">
        <f t="shared" si="59"/>
        <v>0.64</v>
      </c>
      <c r="G199" s="133">
        <f t="shared" si="59"/>
        <v>0.64</v>
      </c>
      <c r="H199" s="133">
        <f t="shared" si="59"/>
        <v>0.64</v>
      </c>
      <c r="I199" s="133">
        <f t="shared" si="59"/>
        <v>0.64</v>
      </c>
      <c r="J199" s="133">
        <f t="shared" si="59"/>
        <v>0.64</v>
      </c>
      <c r="K199" s="133">
        <f t="shared" si="59"/>
        <v>0.64</v>
      </c>
      <c r="L199" s="133">
        <f t="shared" si="59"/>
        <v>0.64</v>
      </c>
      <c r="M199" s="133">
        <f t="shared" si="59"/>
        <v>0.64</v>
      </c>
      <c r="N199" s="133">
        <f t="shared" si="59"/>
        <v>0.64</v>
      </c>
      <c r="O199" s="133">
        <f t="shared" si="59"/>
        <v>0.64</v>
      </c>
      <c r="P199" s="133">
        <f t="shared" si="59"/>
        <v>0.64</v>
      </c>
      <c r="Q199" s="133">
        <f t="shared" si="59"/>
        <v>0.64</v>
      </c>
      <c r="R199" s="133">
        <f t="shared" si="59"/>
        <v>0.64</v>
      </c>
      <c r="S199" s="133">
        <f t="shared" si="59"/>
        <v>0.64</v>
      </c>
      <c r="T199" s="133">
        <f t="shared" si="60"/>
        <v>0.64</v>
      </c>
      <c r="U199" s="133">
        <f t="shared" si="60"/>
        <v>0.64</v>
      </c>
      <c r="V199" s="133">
        <f t="shared" si="60"/>
        <v>0.64</v>
      </c>
      <c r="W199" s="133">
        <f t="shared" si="60"/>
        <v>0.64</v>
      </c>
      <c r="X199" s="133">
        <f t="shared" si="60"/>
        <v>0.64</v>
      </c>
      <c r="Y199" s="133">
        <f t="shared" si="60"/>
        <v>0.64</v>
      </c>
      <c r="Z199" s="133">
        <f t="shared" si="60"/>
        <v>0.64</v>
      </c>
      <c r="AA199" s="133">
        <f t="shared" si="60"/>
        <v>0.64</v>
      </c>
      <c r="AB199" s="133">
        <f t="shared" si="60"/>
        <v>0.64</v>
      </c>
      <c r="AC199" s="133">
        <f t="shared" si="60"/>
        <v>0.64</v>
      </c>
      <c r="AD199" s="133">
        <f t="shared" si="60"/>
        <v>0.64</v>
      </c>
      <c r="AE199" s="133">
        <f t="shared" si="60"/>
        <v>0.64</v>
      </c>
      <c r="AF199" s="133">
        <f t="shared" si="60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1">SUM(D194:D199)</f>
        <v>3.54</v>
      </c>
      <c r="E200" s="136">
        <f t="shared" si="61"/>
        <v>3.54</v>
      </c>
      <c r="F200" s="136">
        <f t="shared" si="61"/>
        <v>3.54</v>
      </c>
      <c r="G200" s="136">
        <f t="shared" si="61"/>
        <v>3.54</v>
      </c>
      <c r="H200" s="136">
        <f t="shared" si="61"/>
        <v>3.54</v>
      </c>
      <c r="I200" s="136">
        <f t="shared" si="61"/>
        <v>3.54</v>
      </c>
      <c r="J200" s="136">
        <f t="shared" si="61"/>
        <v>3.54</v>
      </c>
      <c r="K200" s="136">
        <f t="shared" si="61"/>
        <v>3.54</v>
      </c>
      <c r="L200" s="136">
        <f t="shared" si="61"/>
        <v>3.54</v>
      </c>
      <c r="M200" s="136">
        <f>SUM(M194:M199)</f>
        <v>3.54</v>
      </c>
      <c r="N200" s="136">
        <f t="shared" ref="N200:S200" si="62">SUM(N194:N199)</f>
        <v>3.54</v>
      </c>
      <c r="O200" s="136">
        <f t="shared" si="62"/>
        <v>3.54</v>
      </c>
      <c r="P200" s="136">
        <f t="shared" si="62"/>
        <v>3.54</v>
      </c>
      <c r="Q200" s="136">
        <f t="shared" si="62"/>
        <v>3.54</v>
      </c>
      <c r="R200" s="136">
        <f t="shared" si="62"/>
        <v>3.54</v>
      </c>
      <c r="S200" s="136">
        <f t="shared" si="62"/>
        <v>3.54</v>
      </c>
      <c r="T200" s="136">
        <f>SUM(T194:T199)</f>
        <v>3.54</v>
      </c>
      <c r="U200" s="136">
        <f t="shared" ref="U200:AG200" si="63">SUM(U194:U199)</f>
        <v>3.54</v>
      </c>
      <c r="V200" s="136">
        <f t="shared" si="63"/>
        <v>3.54</v>
      </c>
      <c r="W200" s="136">
        <f t="shared" si="63"/>
        <v>3.54</v>
      </c>
      <c r="X200" s="136">
        <f t="shared" si="63"/>
        <v>3.54</v>
      </c>
      <c r="Y200" s="136">
        <f t="shared" si="63"/>
        <v>3.54</v>
      </c>
      <c r="Z200" s="136">
        <f t="shared" si="63"/>
        <v>3.54</v>
      </c>
      <c r="AA200" s="136">
        <f t="shared" si="63"/>
        <v>3.54</v>
      </c>
      <c r="AB200" s="136">
        <f t="shared" si="63"/>
        <v>3.54</v>
      </c>
      <c r="AC200" s="136">
        <f t="shared" si="63"/>
        <v>3.54</v>
      </c>
      <c r="AD200" s="136">
        <f t="shared" si="63"/>
        <v>3.54</v>
      </c>
      <c r="AE200" s="136">
        <f t="shared" si="63"/>
        <v>3.54</v>
      </c>
      <c r="AF200" s="136">
        <f t="shared" si="63"/>
        <v>3.54</v>
      </c>
      <c r="AG200" s="137">
        <f t="shared" si="63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1667.64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7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2079/02/7)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2079/02/7)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4">B75</f>
        <v>1691.9399999999998</v>
      </c>
      <c r="U214" s="161">
        <f t="shared" si="64"/>
        <v>1681.9399999999998</v>
      </c>
      <c r="V214" s="161">
        <f t="shared" si="64"/>
        <v>1661.4399999999998</v>
      </c>
      <c r="W214" s="161">
        <f t="shared" si="64"/>
        <v>1632.54</v>
      </c>
      <c r="X214" s="161">
        <f t="shared" si="64"/>
        <v>1614.84</v>
      </c>
      <c r="Y214" s="161">
        <f t="shared" si="64"/>
        <v>1620.24</v>
      </c>
      <c r="Z214" s="161">
        <f t="shared" si="64"/>
        <v>1540.04</v>
      </c>
      <c r="AA214" s="161">
        <f t="shared" si="64"/>
        <v>1535.74</v>
      </c>
      <c r="AB214" s="161">
        <f t="shared" si="64"/>
        <v>1486.44</v>
      </c>
      <c r="AC214" s="161">
        <f t="shared" si="64"/>
        <v>1504.2400000000002</v>
      </c>
      <c r="AD214" s="161">
        <f t="shared" si="64"/>
        <v>1586.6400000000003</v>
      </c>
      <c r="AE214" s="161">
        <f t="shared" si="64"/>
        <v>1601.3400000000001</v>
      </c>
      <c r="AF214" s="161">
        <f t="shared" si="64"/>
        <v>1667.64</v>
      </c>
      <c r="AG214" s="161">
        <f t="shared" si="64"/>
        <v>1634.64</v>
      </c>
      <c r="AH214" s="161">
        <f t="shared" si="64"/>
        <v>1686.44</v>
      </c>
      <c r="AI214" s="161">
        <f t="shared" si="64"/>
        <v>1695.94</v>
      </c>
      <c r="AJ214" s="161">
        <f t="shared" si="64"/>
        <v>1698.24</v>
      </c>
      <c r="AK214" s="161">
        <f t="shared" si="64"/>
        <v>1687.9399999999998</v>
      </c>
      <c r="AL214" s="161">
        <f t="shared" si="64"/>
        <v>1675.4399999999998</v>
      </c>
      <c r="AM214" s="161">
        <f t="shared" si="64"/>
        <v>1682.54</v>
      </c>
      <c r="AN214" s="161">
        <f t="shared" si="64"/>
        <v>1635.9400000000003</v>
      </c>
      <c r="AO214" s="161">
        <f t="shared" si="64"/>
        <v>1639.0400000000002</v>
      </c>
      <c r="AP214" s="161">
        <f t="shared" si="64"/>
        <v>1547.54</v>
      </c>
      <c r="AQ214" s="161">
        <f t="shared" si="64"/>
        <v>1556.6399999999999</v>
      </c>
      <c r="AR214" s="161">
        <f t="shared" si="64"/>
        <v>1587.7399999999998</v>
      </c>
      <c r="AS214" s="161">
        <f t="shared" si="64"/>
        <v>1710.74</v>
      </c>
      <c r="AT214" s="161">
        <f t="shared" si="64"/>
        <v>1699.74</v>
      </c>
      <c r="AU214" s="161">
        <f t="shared" si="64"/>
        <v>1698.04</v>
      </c>
      <c r="AV214" s="161">
        <f t="shared" si="64"/>
        <v>1701.74</v>
      </c>
      <c r="AW214" s="161">
        <f t="shared" si="64"/>
        <v>1722.84</v>
      </c>
      <c r="AX214" s="161">
        <f t="shared" si="64"/>
        <v>1648.64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5">C199</f>
        <v>0.64</v>
      </c>
      <c r="C235" s="164">
        <f t="shared" si="65"/>
        <v>0.64</v>
      </c>
      <c r="D235" s="164">
        <f t="shared" si="65"/>
        <v>0.64</v>
      </c>
      <c r="E235" s="164">
        <f t="shared" si="65"/>
        <v>0.64</v>
      </c>
      <c r="F235" s="164">
        <f t="shared" si="65"/>
        <v>0.64</v>
      </c>
      <c r="G235" s="164">
        <f t="shared" si="65"/>
        <v>0.64</v>
      </c>
      <c r="H235" s="164">
        <f t="shared" si="65"/>
        <v>0.64</v>
      </c>
      <c r="I235" s="164">
        <f t="shared" si="65"/>
        <v>0.64</v>
      </c>
      <c r="J235" s="164">
        <f t="shared" si="65"/>
        <v>0.64</v>
      </c>
      <c r="K235" s="164">
        <f t="shared" si="65"/>
        <v>0.64</v>
      </c>
      <c r="L235" s="164">
        <f t="shared" si="65"/>
        <v>0.64</v>
      </c>
      <c r="M235" s="164">
        <f t="shared" si="65"/>
        <v>0.64</v>
      </c>
      <c r="N235" s="164">
        <f t="shared" si="65"/>
        <v>0.64</v>
      </c>
      <c r="O235" s="164">
        <f t="shared" si="65"/>
        <v>0.64</v>
      </c>
      <c r="P235" s="164">
        <f t="shared" si="65"/>
        <v>0.64</v>
      </c>
      <c r="Q235" s="164">
        <f t="shared" si="65"/>
        <v>0.64</v>
      </c>
      <c r="R235" s="164">
        <f t="shared" si="65"/>
        <v>0.64</v>
      </c>
      <c r="S235" s="164">
        <f t="shared" si="65"/>
        <v>0.64</v>
      </c>
      <c r="T235" s="164">
        <f t="shared" si="65"/>
        <v>0.64</v>
      </c>
      <c r="U235" s="164">
        <f t="shared" si="65"/>
        <v>0.64</v>
      </c>
      <c r="V235" s="164">
        <f t="shared" si="65"/>
        <v>0.64</v>
      </c>
      <c r="W235" s="164">
        <f t="shared" si="65"/>
        <v>0.64</v>
      </c>
      <c r="X235" s="164">
        <f t="shared" si="65"/>
        <v>0.64</v>
      </c>
      <c r="Y235" s="164">
        <f t="shared" si="65"/>
        <v>0.64</v>
      </c>
      <c r="Z235" s="164">
        <f t="shared" si="65"/>
        <v>0.64</v>
      </c>
      <c r="AA235" s="164">
        <f t="shared" si="65"/>
        <v>0.64</v>
      </c>
      <c r="AB235" s="164">
        <f t="shared" si="65"/>
        <v>0.64</v>
      </c>
      <c r="AC235" s="164">
        <f t="shared" si="65"/>
        <v>0.64</v>
      </c>
      <c r="AD235" s="164">
        <f t="shared" si="65"/>
        <v>0.64</v>
      </c>
      <c r="AE235" s="164">
        <f t="shared" si="6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6">IF(C203&lt;100,"",C203-520)</f>
        <v/>
      </c>
      <c r="D236" s="107" t="str">
        <f t="shared" si="66"/>
        <v/>
      </c>
      <c r="E236" s="107" t="str">
        <f t="shared" si="66"/>
        <v/>
      </c>
      <c r="F236" s="107" t="str">
        <f t="shared" si="66"/>
        <v/>
      </c>
      <c r="G236" s="107" t="str">
        <f t="shared" si="66"/>
        <v/>
      </c>
      <c r="H236" s="107" t="str">
        <f t="shared" si="66"/>
        <v/>
      </c>
      <c r="I236" s="107" t="str">
        <f t="shared" si="66"/>
        <v/>
      </c>
      <c r="J236" s="107" t="str">
        <f t="shared" si="66"/>
        <v/>
      </c>
      <c r="K236" s="107" t="str">
        <f t="shared" si="66"/>
        <v/>
      </c>
      <c r="L236" s="107" t="str">
        <f t="shared" si="66"/>
        <v/>
      </c>
      <c r="M236" s="107" t="str">
        <f t="shared" si="66"/>
        <v/>
      </c>
      <c r="N236" s="107" t="str">
        <f t="shared" si="66"/>
        <v/>
      </c>
      <c r="O236" s="107" t="str">
        <f t="shared" si="66"/>
        <v/>
      </c>
      <c r="P236" s="107" t="str">
        <f t="shared" si="66"/>
        <v/>
      </c>
      <c r="Q236" s="107" t="str">
        <f t="shared" si="66"/>
        <v/>
      </c>
      <c r="R236" s="107" t="str">
        <f t="shared" si="66"/>
        <v/>
      </c>
      <c r="S236" s="107" t="str">
        <f t="shared" si="66"/>
        <v/>
      </c>
      <c r="T236" s="107" t="str">
        <f t="shared" si="66"/>
        <v/>
      </c>
      <c r="U236" s="107" t="str">
        <f t="shared" si="66"/>
        <v/>
      </c>
      <c r="V236" s="107" t="str">
        <f t="shared" si="66"/>
        <v/>
      </c>
      <c r="W236" s="107" t="str">
        <f t="shared" si="66"/>
        <v/>
      </c>
      <c r="X236" s="107" t="str">
        <f t="shared" si="66"/>
        <v/>
      </c>
      <c r="Y236" s="107" t="str">
        <f t="shared" si="66"/>
        <v/>
      </c>
      <c r="Z236" s="107" t="str">
        <f t="shared" si="66"/>
        <v/>
      </c>
      <c r="AA236" s="107" t="str">
        <f t="shared" si="66"/>
        <v/>
      </c>
      <c r="AB236" s="107" t="str">
        <f t="shared" si="66"/>
        <v/>
      </c>
      <c r="AC236" s="107" t="str">
        <f t="shared" si="66"/>
        <v/>
      </c>
      <c r="AD236" s="107" t="str">
        <f t="shared" si="66"/>
        <v/>
      </c>
      <c r="AE236" s="107" t="str">
        <f t="shared" si="66"/>
        <v/>
      </c>
      <c r="AF236" s="107" t="str">
        <f t="shared" si="6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7">IF(B204&lt;100,"",B204-620)</f>
        <v/>
      </c>
      <c r="C237" s="107" t="str">
        <f t="shared" si="67"/>
        <v/>
      </c>
      <c r="D237" s="107" t="str">
        <f t="shared" si="67"/>
        <v/>
      </c>
      <c r="E237" s="107" t="str">
        <f t="shared" si="67"/>
        <v/>
      </c>
      <c r="F237" s="107" t="str">
        <f t="shared" si="67"/>
        <v/>
      </c>
      <c r="G237" s="107" t="str">
        <f t="shared" si="67"/>
        <v/>
      </c>
      <c r="H237" s="107" t="str">
        <f t="shared" si="67"/>
        <v/>
      </c>
      <c r="I237" s="107" t="str">
        <f t="shared" si="67"/>
        <v/>
      </c>
      <c r="J237" s="107" t="str">
        <f t="shared" si="67"/>
        <v/>
      </c>
      <c r="K237" s="107" t="str">
        <f t="shared" si="67"/>
        <v/>
      </c>
      <c r="L237" s="107" t="str">
        <f t="shared" si="67"/>
        <v/>
      </c>
      <c r="M237" s="107" t="str">
        <f t="shared" si="67"/>
        <v/>
      </c>
      <c r="N237" s="107" t="str">
        <f t="shared" si="67"/>
        <v/>
      </c>
      <c r="O237" s="107" t="str">
        <f t="shared" si="67"/>
        <v/>
      </c>
      <c r="P237" s="107" t="str">
        <f t="shared" si="67"/>
        <v/>
      </c>
      <c r="Q237" s="107" t="str">
        <f t="shared" si="67"/>
        <v/>
      </c>
      <c r="R237" s="107" t="str">
        <f t="shared" si="67"/>
        <v/>
      </c>
      <c r="S237" s="107" t="str">
        <f t="shared" si="67"/>
        <v/>
      </c>
      <c r="T237" s="107" t="str">
        <f t="shared" si="67"/>
        <v/>
      </c>
      <c r="U237" s="107" t="str">
        <f t="shared" si="67"/>
        <v/>
      </c>
      <c r="V237" s="107" t="str">
        <f t="shared" si="67"/>
        <v/>
      </c>
      <c r="W237" s="107" t="str">
        <f t="shared" si="67"/>
        <v/>
      </c>
      <c r="X237" s="107" t="str">
        <f t="shared" si="67"/>
        <v/>
      </c>
      <c r="Y237" s="107" t="str">
        <f t="shared" si="67"/>
        <v/>
      </c>
      <c r="Z237" s="107" t="str">
        <f t="shared" si="67"/>
        <v/>
      </c>
      <c r="AA237" s="107" t="str">
        <f t="shared" si="67"/>
        <v/>
      </c>
      <c r="AB237" s="107" t="str">
        <f t="shared" si="67"/>
        <v/>
      </c>
      <c r="AC237" s="107" t="str">
        <f t="shared" si="67"/>
        <v/>
      </c>
      <c r="AD237" s="107" t="str">
        <f t="shared" si="67"/>
        <v/>
      </c>
      <c r="AE237" s="107" t="str">
        <f t="shared" si="67"/>
        <v/>
      </c>
      <c r="AF237" s="107" t="str">
        <f t="shared" si="6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8">IF(B205&lt;100,"",B205-330)</f>
        <v/>
      </c>
      <c r="C238" s="107" t="str">
        <f t="shared" si="68"/>
        <v/>
      </c>
      <c r="D238" s="107" t="str">
        <f t="shared" si="68"/>
        <v/>
      </c>
      <c r="E238" s="107" t="str">
        <f t="shared" si="68"/>
        <v/>
      </c>
      <c r="F238" s="107" t="str">
        <f t="shared" si="68"/>
        <v/>
      </c>
      <c r="G238" s="107" t="str">
        <f t="shared" si="68"/>
        <v/>
      </c>
      <c r="H238" s="107" t="str">
        <f t="shared" si="68"/>
        <v/>
      </c>
      <c r="I238" s="107" t="str">
        <f t="shared" si="68"/>
        <v/>
      </c>
      <c r="J238" s="107" t="str">
        <f t="shared" si="68"/>
        <v/>
      </c>
      <c r="K238" s="107" t="str">
        <f t="shared" si="68"/>
        <v/>
      </c>
      <c r="L238" s="107" t="str">
        <f t="shared" si="68"/>
        <v/>
      </c>
      <c r="M238" s="107" t="str">
        <f t="shared" si="68"/>
        <v/>
      </c>
      <c r="N238" s="107" t="str">
        <f t="shared" si="68"/>
        <v/>
      </c>
      <c r="O238" s="107" t="str">
        <f t="shared" si="68"/>
        <v/>
      </c>
      <c r="P238" s="107" t="str">
        <f t="shared" si="68"/>
        <v/>
      </c>
      <c r="Q238" s="107" t="str">
        <f t="shared" si="68"/>
        <v/>
      </c>
      <c r="R238" s="107" t="str">
        <f t="shared" si="68"/>
        <v/>
      </c>
      <c r="S238" s="107" t="str">
        <f t="shared" si="68"/>
        <v/>
      </c>
      <c r="T238" s="107" t="str">
        <f t="shared" si="68"/>
        <v/>
      </c>
      <c r="U238" s="107" t="str">
        <f t="shared" si="68"/>
        <v/>
      </c>
      <c r="V238" s="107" t="str">
        <f t="shared" si="68"/>
        <v/>
      </c>
      <c r="W238" s="107" t="str">
        <f t="shared" si="68"/>
        <v/>
      </c>
      <c r="X238" s="107" t="str">
        <f t="shared" si="68"/>
        <v/>
      </c>
      <c r="Y238" s="107" t="str">
        <f t="shared" si="68"/>
        <v/>
      </c>
      <c r="Z238" s="107" t="str">
        <f t="shared" si="68"/>
        <v/>
      </c>
      <c r="AA238" s="107" t="str">
        <f t="shared" si="68"/>
        <v/>
      </c>
      <c r="AB238" s="107" t="str">
        <f t="shared" si="68"/>
        <v/>
      </c>
      <c r="AC238" s="107" t="str">
        <f t="shared" si="68"/>
        <v/>
      </c>
      <c r="AD238" s="107" t="str">
        <f t="shared" si="68"/>
        <v/>
      </c>
      <c r="AE238" s="107" t="str">
        <f t="shared" si="68"/>
        <v/>
      </c>
      <c r="AF238" s="107" t="str">
        <f t="shared" si="6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9">IF(C206&lt;100,"",C206-1500)</f>
        <v/>
      </c>
      <c r="D239" s="107" t="str">
        <f t="shared" si="69"/>
        <v/>
      </c>
      <c r="E239" s="107" t="str">
        <f t="shared" si="69"/>
        <v/>
      </c>
      <c r="F239" s="107" t="str">
        <f t="shared" si="69"/>
        <v/>
      </c>
      <c r="G239" s="107" t="str">
        <f t="shared" si="69"/>
        <v/>
      </c>
      <c r="H239" s="107" t="str">
        <f t="shared" si="69"/>
        <v/>
      </c>
      <c r="I239" s="107" t="str">
        <f t="shared" si="69"/>
        <v/>
      </c>
      <c r="J239" s="107" t="str">
        <f t="shared" si="69"/>
        <v/>
      </c>
      <c r="K239" s="107" t="str">
        <f t="shared" si="69"/>
        <v/>
      </c>
      <c r="L239" s="107" t="str">
        <f t="shared" si="69"/>
        <v/>
      </c>
      <c r="M239" s="107" t="str">
        <f t="shared" si="69"/>
        <v/>
      </c>
      <c r="N239" s="107" t="str">
        <f t="shared" si="69"/>
        <v/>
      </c>
      <c r="O239" s="107" t="str">
        <f t="shared" si="69"/>
        <v/>
      </c>
      <c r="P239" s="107" t="str">
        <f t="shared" si="69"/>
        <v/>
      </c>
      <c r="Q239" s="107" t="str">
        <f t="shared" si="69"/>
        <v/>
      </c>
      <c r="R239" s="107" t="str">
        <f t="shared" si="69"/>
        <v/>
      </c>
      <c r="S239" s="107" t="str">
        <f t="shared" si="69"/>
        <v/>
      </c>
      <c r="T239" s="107" t="str">
        <f t="shared" si="69"/>
        <v/>
      </c>
      <c r="U239" s="107" t="str">
        <f t="shared" si="69"/>
        <v/>
      </c>
      <c r="V239" s="107" t="str">
        <f t="shared" si="69"/>
        <v/>
      </c>
      <c r="W239" s="107" t="str">
        <f t="shared" si="69"/>
        <v/>
      </c>
      <c r="X239" s="107" t="str">
        <f t="shared" si="69"/>
        <v/>
      </c>
      <c r="Y239" s="107" t="str">
        <f t="shared" si="69"/>
        <v/>
      </c>
      <c r="Z239" s="107" t="str">
        <f t="shared" si="69"/>
        <v/>
      </c>
      <c r="AA239" s="107" t="str">
        <f t="shared" si="69"/>
        <v/>
      </c>
      <c r="AB239" s="107" t="str">
        <f t="shared" si="69"/>
        <v/>
      </c>
      <c r="AC239" s="107" t="str">
        <f t="shared" si="69"/>
        <v/>
      </c>
      <c r="AD239" s="107" t="str">
        <f t="shared" si="69"/>
        <v/>
      </c>
      <c r="AE239" s="107" t="str">
        <f t="shared" si="69"/>
        <v/>
      </c>
      <c r="AF239" s="107" t="str">
        <f t="shared" si="6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T11:AF11 C94:AF100">
    <cfRule type="expression" dxfId="5501" priority="210">
      <formula>B$9&gt;=20/24</formula>
    </cfRule>
    <cfRule type="expression" dxfId="5500" priority="211">
      <formula>AND(B$9&gt;=14/24,B$9&lt;20/24)</formula>
    </cfRule>
    <cfRule type="expression" dxfId="5499" priority="212">
      <formula>AND(B$9&gt;=8/24,B$9&lt;14/24)</formula>
    </cfRule>
    <cfRule type="expression" dxfId="5498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497" priority="205">
      <formula>S$9&gt;=20/24</formula>
    </cfRule>
    <cfRule type="expression" dxfId="5496" priority="206">
      <formula>AND(S$9&gt;=14/24,S$9&lt;20/24)</formula>
    </cfRule>
    <cfRule type="expression" dxfId="5495" priority="207">
      <formula>AND(S$9&gt;=8/24,S$9&lt;14/24)</formula>
    </cfRule>
    <cfRule type="expression" dxfId="5494" priority="208">
      <formula>S$9&lt;8/24</formula>
    </cfRule>
  </conditionalFormatting>
  <conditionalFormatting sqref="AG51 S37:AF37 J11:AF11">
    <cfRule type="expression" dxfId="5493" priority="204">
      <formula>J11&gt;$AG11</formula>
    </cfRule>
  </conditionalFormatting>
  <conditionalFormatting sqref="A101:A157 A84:A97 A11:A14 A16:A32 A45:A72 A80:A82 A74:A78 A35:A43 A170:A200">
    <cfRule type="expression" dxfId="5492" priority="203">
      <formula>$AH11=0</formula>
    </cfRule>
  </conditionalFormatting>
  <conditionalFormatting sqref="A98">
    <cfRule type="expression" dxfId="5491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490" priority="200">
      <formula>$AH34=0</formula>
    </cfRule>
  </conditionalFormatting>
  <conditionalFormatting sqref="A83">
    <cfRule type="expression" dxfId="5489" priority="199">
      <formula>$AH83=0</formula>
    </cfRule>
  </conditionalFormatting>
  <conditionalFormatting sqref="A15">
    <cfRule type="expression" dxfId="5488" priority="198">
      <formula>$AH15=0</formula>
    </cfRule>
  </conditionalFormatting>
  <conditionalFormatting sqref="A164:A169">
    <cfRule type="expression" dxfId="5487" priority="197">
      <formula>$AH164=0</formula>
    </cfRule>
  </conditionalFormatting>
  <conditionalFormatting sqref="A158:A163">
    <cfRule type="expression" dxfId="5486" priority="196">
      <formula>$AH158=0</formula>
    </cfRule>
  </conditionalFormatting>
  <conditionalFormatting sqref="A44">
    <cfRule type="expression" dxfId="5485" priority="195">
      <formula>$AH44=0</formula>
    </cfRule>
  </conditionalFormatting>
  <conditionalFormatting sqref="A79">
    <cfRule type="expression" dxfId="5484" priority="194">
      <formula>$AH79=0</formula>
    </cfRule>
  </conditionalFormatting>
  <conditionalFormatting sqref="A73">
    <cfRule type="expression" dxfId="5483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482" priority="189">
      <formula>C$9&gt;=20/24</formula>
    </cfRule>
    <cfRule type="expression" dxfId="5481" priority="190">
      <formula>AND(C$9&gt;=14/24,C$9&lt;20/24)</formula>
    </cfRule>
    <cfRule type="expression" dxfId="5480" priority="191">
      <formula>AND(C$9&gt;=8/24,C$9&lt;14/24)</formula>
    </cfRule>
    <cfRule type="expression" dxfId="5479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478" priority="217">
      <formula>C$9&gt;=20/24</formula>
    </cfRule>
    <cfRule type="expression" dxfId="5477" priority="218">
      <formula>AND(C$9&gt;=14/24,C$9&lt;20/24)</formula>
    </cfRule>
    <cfRule type="expression" dxfId="5476" priority="219">
      <formula>AND(C$9&gt;=8/24,C$9&lt;14/24)</formula>
    </cfRule>
    <cfRule type="expression" dxfId="5475" priority="220">
      <formula>C$9&lt;8/24</formula>
    </cfRule>
  </conditionalFormatting>
  <conditionalFormatting sqref="A201">
    <cfRule type="expression" dxfId="5474" priority="221">
      <formula>$AH201=0</formula>
    </cfRule>
  </conditionalFormatting>
  <conditionalFormatting sqref="AG213">
    <cfRule type="expression" dxfId="5473" priority="222">
      <formula>B$9&gt;=20/24</formula>
    </cfRule>
    <cfRule type="expression" dxfId="5472" priority="223">
      <formula>AND(B$9&gt;=14/24,B$9&lt;20/24)</formula>
    </cfRule>
    <cfRule type="expression" dxfId="5471" priority="224">
      <formula>AND(B$9&gt;=8/24,B$9&lt;14/24)</formula>
    </cfRule>
    <cfRule type="expression" dxfId="5470" priority="225">
      <formula>B$9&lt;8/24</formula>
    </cfRule>
  </conditionalFormatting>
  <conditionalFormatting sqref="S8">
    <cfRule type="expression" dxfId="5469" priority="184">
      <formula>U$9&gt;=20/24</formula>
    </cfRule>
    <cfRule type="expression" dxfId="5468" priority="185">
      <formula>AND(U$9&gt;=14/24,U$9&lt;20/24)</formula>
    </cfRule>
    <cfRule type="expression" dxfId="5467" priority="186">
      <formula>AND(U$9&gt;=8/24,U$9&lt;14/24)</formula>
    </cfRule>
    <cfRule type="expression" dxfId="5466" priority="187">
      <formula>U$9&lt;8/24</formula>
    </cfRule>
  </conditionalFormatting>
  <conditionalFormatting sqref="AB8">
    <cfRule type="expression" dxfId="5465" priority="180">
      <formula>AD$9&gt;=20/24</formula>
    </cfRule>
    <cfRule type="expression" dxfId="5464" priority="181">
      <formula>AND(AD$9&gt;=14/24,AD$9&lt;20/24)</formula>
    </cfRule>
    <cfRule type="expression" dxfId="5463" priority="182">
      <formula>AND(AD$9&gt;=8/24,AD$9&lt;14/24)</formula>
    </cfRule>
    <cfRule type="expression" dxfId="5462" priority="183">
      <formula>AD$9&lt;8/24</formula>
    </cfRule>
  </conditionalFormatting>
  <conditionalFormatting sqref="AH213:AX213">
    <cfRule type="expression" dxfId="5461" priority="226">
      <formula>AG$9&gt;=20/24</formula>
    </cfRule>
    <cfRule type="expression" dxfId="5460" priority="227">
      <formula>AND(AG$9&gt;=14/24,AG$9&lt;20/24)</formula>
    </cfRule>
    <cfRule type="expression" dxfId="5459" priority="228">
      <formula>AND(AG$9&gt;=8/24,AG$9&lt;14/24)</formula>
    </cfRule>
    <cfRule type="expression" dxfId="5458" priority="229">
      <formula>AG$9&lt;8/24</formula>
    </cfRule>
  </conditionalFormatting>
  <conditionalFormatting sqref="T213">
    <cfRule type="expression" dxfId="5457" priority="230">
      <formula>AX$9&gt;=20/24</formula>
    </cfRule>
    <cfRule type="expression" dxfId="5456" priority="231">
      <formula>AND(AX$9&gt;=14/24,AX$9&lt;20/24)</formula>
    </cfRule>
    <cfRule type="expression" dxfId="5455" priority="232">
      <formula>AND(AX$9&gt;=8/24,AX$9&lt;14/24)</formula>
    </cfRule>
    <cfRule type="expression" dxfId="5454" priority="233">
      <formula>AX$9&lt;8/24</formula>
    </cfRule>
  </conditionalFormatting>
  <conditionalFormatting sqref="A99:A100">
    <cfRule type="expression" dxfId="5453" priority="179">
      <formula>$AH99=0</formula>
    </cfRule>
  </conditionalFormatting>
  <conditionalFormatting sqref="S40:W41 E11:I11 E40:L41 AA36:AF36 Y40:AF41 E57:AF57">
    <cfRule type="expression" dxfId="5452" priority="175">
      <formula>E$9&gt;=20/24</formula>
    </cfRule>
    <cfRule type="expression" dxfId="5451" priority="176">
      <formula>AND(E$9&gt;=14/24,E$9&lt;20/24)</formula>
    </cfRule>
    <cfRule type="expression" dxfId="5450" priority="177">
      <formula>AND(E$9&gt;=8/24,E$9&lt;14/24)</formula>
    </cfRule>
    <cfRule type="expression" dxfId="5449" priority="178">
      <formula>E$9&lt;8/24</formula>
    </cfRule>
  </conditionalFormatting>
  <conditionalFormatting sqref="S39:W39 E39:L39 Y39:AF39">
    <cfRule type="expression" dxfId="5448" priority="171">
      <formula>E$9&gt;=20/24</formula>
    </cfRule>
    <cfRule type="expression" dxfId="5447" priority="172">
      <formula>AND(E$9&gt;=14/24,E$9&lt;20/24)</formula>
    </cfRule>
    <cfRule type="expression" dxfId="5446" priority="173">
      <formula>AND(E$9&gt;=8/24,E$9&lt;14/24)</formula>
    </cfRule>
    <cfRule type="expression" dxfId="5445" priority="174">
      <formula>E$9&lt;8/24</formula>
    </cfRule>
  </conditionalFormatting>
  <conditionalFormatting sqref="S39:W41 E11:I11 E39:L41 AA36:AF36 Y39:AF41">
    <cfRule type="expression" dxfId="5444" priority="170">
      <formula>E11&gt;$AG11</formula>
    </cfRule>
  </conditionalFormatting>
  <conditionalFormatting sqref="M11 C81:AF81 C69:AF72 H58:AA59 E58:G62 E12:M14 H60:L62 M18:P19 M21:P21 B20:P20 B22:P22 N11:S14 M36:Z36 M60:AA67 C85:AF91 C53:AF56 T12:AF14 M16:AF16 M28:AF31 M24:AF26 Q18:AF22 AB58:AF67">
    <cfRule type="expression" dxfId="5443" priority="166">
      <formula>B$9&gt;=20/24</formula>
    </cfRule>
    <cfRule type="expression" dxfId="5442" priority="167">
      <formula>AND(B$9&gt;=14/24,B$9&lt;20/24)</formula>
    </cfRule>
    <cfRule type="expression" dxfId="5441" priority="168">
      <formula>AND(B$9&gt;=8/24,B$9&lt;14/24)</formula>
    </cfRule>
    <cfRule type="expression" dxfId="5440" priority="169">
      <formula>B$9&lt;8/24</formula>
    </cfRule>
  </conditionalFormatting>
  <conditionalFormatting sqref="M32:AF32">
    <cfRule type="expression" dxfId="5439" priority="162">
      <formula>M$9&gt;=20/24</formula>
    </cfRule>
    <cfRule type="expression" dxfId="5438" priority="163">
      <formula>AND(M$9&gt;=14/24,M$9&lt;20/24)</formula>
    </cfRule>
    <cfRule type="expression" dxfId="5437" priority="164">
      <formula>AND(M$9&gt;=8/24,M$9&lt;14/24)</formula>
    </cfRule>
    <cfRule type="expression" dxfId="5436" priority="165">
      <formula>M$9&lt;8/24</formula>
    </cfRule>
  </conditionalFormatting>
  <conditionalFormatting sqref="M35:AF35">
    <cfRule type="expression" dxfId="5435" priority="158">
      <formula>M$9&gt;=20/24</formula>
    </cfRule>
    <cfRule type="expression" dxfId="5434" priority="159">
      <formula>AND(M$9&gt;=14/24,M$9&lt;20/24)</formula>
    </cfRule>
    <cfRule type="expression" dxfId="5433" priority="160">
      <formula>AND(M$9&gt;=8/24,M$9&lt;14/24)</formula>
    </cfRule>
    <cfRule type="expression" dxfId="5432" priority="161">
      <formula>M$9&lt;8/24</formula>
    </cfRule>
  </conditionalFormatting>
  <conditionalFormatting sqref="C51:AF51 M34:M36 C37:M37 E12:L15 E42:L43 M18:P19 M21:P21 B20:P20 B22:P22 N34:R37 M11:S16 S34:Z36 C53:AF56 AA34:AF35 M24:AF32 Q18:AF22 T12:AF16">
    <cfRule type="expression" dxfId="5431" priority="157">
      <formula>B11&gt;$AG11</formula>
    </cfRule>
  </conditionalFormatting>
  <conditionalFormatting sqref="M34:AF34">
    <cfRule type="expression" dxfId="5430" priority="153">
      <formula>M$9&gt;=20/24</formula>
    </cfRule>
    <cfRule type="expression" dxfId="5429" priority="154">
      <formula>AND(M$9&gt;=14/24,M$9&lt;20/24)</formula>
    </cfRule>
    <cfRule type="expression" dxfId="5428" priority="155">
      <formula>AND(M$9&gt;=8/24,M$9&lt;14/24)</formula>
    </cfRule>
    <cfRule type="expression" dxfId="5427" priority="156">
      <formula>M$9&lt;8/24</formula>
    </cfRule>
  </conditionalFormatting>
  <conditionalFormatting sqref="E15:AF15">
    <cfRule type="expression" dxfId="5426" priority="149">
      <formula>E$9&gt;=20/24</formula>
    </cfRule>
    <cfRule type="expression" dxfId="5425" priority="150">
      <formula>AND(E$9&gt;=14/24,E$9&lt;20/24)</formula>
    </cfRule>
    <cfRule type="expression" dxfId="5424" priority="151">
      <formula>AND(E$9&gt;=8/24,E$9&lt;14/24)</formula>
    </cfRule>
    <cfRule type="expression" dxfId="5423" priority="152">
      <formula>E$9&lt;8/24</formula>
    </cfRule>
  </conditionalFormatting>
  <conditionalFormatting sqref="M33:AF33">
    <cfRule type="expression" dxfId="5422" priority="145">
      <formula>M$9&gt;=20/24</formula>
    </cfRule>
    <cfRule type="expression" dxfId="5421" priority="146">
      <formula>AND(M$9&gt;=14/24,M$9&lt;20/24)</formula>
    </cfRule>
    <cfRule type="expression" dxfId="5420" priority="147">
      <formula>AND(M$9&gt;=8/24,M$9&lt;14/24)</formula>
    </cfRule>
    <cfRule type="expression" dxfId="5419" priority="148">
      <formula>M$9&lt;8/24</formula>
    </cfRule>
  </conditionalFormatting>
  <conditionalFormatting sqref="M33:AF33">
    <cfRule type="expression" dxfId="5418" priority="144">
      <formula>M33&gt;$AG33</formula>
    </cfRule>
  </conditionalFormatting>
  <conditionalFormatting sqref="S11">
    <cfRule type="expression" dxfId="5417" priority="140">
      <formula>S$9&gt;=20/24</formula>
    </cfRule>
    <cfRule type="expression" dxfId="5416" priority="141">
      <formula>AND(S$9&gt;=14/24,S$9&lt;20/24)</formula>
    </cfRule>
    <cfRule type="expression" dxfId="5415" priority="142">
      <formula>AND(S$9&gt;=8/24,S$9&lt;14/24)</formula>
    </cfRule>
    <cfRule type="expression" dxfId="5414" priority="143">
      <formula>S$9&lt;8/24</formula>
    </cfRule>
  </conditionalFormatting>
  <conditionalFormatting sqref="V42:AF43">
    <cfRule type="expression" dxfId="5413" priority="136">
      <formula>V$9&gt;=20/24</formula>
    </cfRule>
    <cfRule type="expression" dxfId="5412" priority="137">
      <formula>AND(V$9&gt;=14/24,V$9&lt;20/24)</formula>
    </cfRule>
    <cfRule type="expression" dxfId="5411" priority="138">
      <formula>AND(V$9&gt;=8/24,V$9&lt;14/24)</formula>
    </cfRule>
    <cfRule type="expression" dxfId="5410" priority="139">
      <formula>V$9&lt;8/24</formula>
    </cfRule>
  </conditionalFormatting>
  <conditionalFormatting sqref="V42:AF43">
    <cfRule type="expression" dxfId="5409" priority="135">
      <formula>V42&gt;$AG42</formula>
    </cfRule>
  </conditionalFormatting>
  <conditionalFormatting sqref="M39:R50 S42:U50 V44:AF50">
    <cfRule type="expression" dxfId="5408" priority="131">
      <formula>M$9&gt;=20/24</formula>
    </cfRule>
    <cfRule type="expression" dxfId="5407" priority="132">
      <formula>AND(M$9&gt;=14/24,M$9&lt;20/24)</formula>
    </cfRule>
    <cfRule type="expression" dxfId="5406" priority="133">
      <formula>AND(M$9&gt;=8/24,M$9&lt;14/24)</formula>
    </cfRule>
    <cfRule type="expression" dxfId="5405" priority="134">
      <formula>M$9&lt;8/24</formula>
    </cfRule>
  </conditionalFormatting>
  <conditionalFormatting sqref="M39:R50 S42:U50 V44:AF50">
    <cfRule type="expression" dxfId="5404" priority="130">
      <formula>M39&gt;$AG39</formula>
    </cfRule>
  </conditionalFormatting>
  <conditionalFormatting sqref="M27:AF27">
    <cfRule type="expression" dxfId="5403" priority="126">
      <formula>M$9&gt;=20/24</formula>
    </cfRule>
    <cfRule type="expression" dxfId="5402" priority="127">
      <formula>AND(M$9&gt;=14/24,M$9&lt;20/24)</formula>
    </cfRule>
    <cfRule type="expression" dxfId="5401" priority="128">
      <formula>AND(M$9&gt;=8/24,M$9&lt;14/24)</formula>
    </cfRule>
    <cfRule type="expression" dxfId="5400" priority="129">
      <formula>M$9&lt;8/24</formula>
    </cfRule>
  </conditionalFormatting>
  <conditionalFormatting sqref="C11:D11 D16:E16 E17 F16:L17 M23:AF23 M17:AF17">
    <cfRule type="expression" dxfId="5399" priority="122">
      <formula>C$9&gt;=20/24</formula>
    </cfRule>
    <cfRule type="expression" dxfId="5398" priority="123">
      <formula>AND(C$9&gt;=14/24,C$9&lt;20/24)</formula>
    </cfRule>
    <cfRule type="expression" dxfId="5397" priority="124">
      <formula>AND(C$9&gt;=8/24,C$9&lt;14/24)</formula>
    </cfRule>
    <cfRule type="expression" dxfId="5396" priority="125">
      <formula>C$9&lt;8/24</formula>
    </cfRule>
  </conditionalFormatting>
  <conditionalFormatting sqref="C11:D11 E17 D16:E16 F16:L17 M23:AF23 M17:AF17">
    <cfRule type="expression" dxfId="5395" priority="113">
      <formula>C11&gt;$AG11</formula>
    </cfRule>
  </conditionalFormatting>
  <conditionalFormatting sqref="X40:X41">
    <cfRule type="expression" dxfId="5394" priority="77">
      <formula>X$9&gt;=20/24</formula>
    </cfRule>
    <cfRule type="expression" dxfId="5393" priority="78">
      <formula>AND(X$9&gt;=14/24,X$9&lt;20/24)</formula>
    </cfRule>
    <cfRule type="expression" dxfId="5392" priority="79">
      <formula>AND(X$9&gt;=8/24,X$9&lt;14/24)</formula>
    </cfRule>
    <cfRule type="expression" dxfId="5391" priority="80">
      <formula>X$9&lt;8/24</formula>
    </cfRule>
  </conditionalFormatting>
  <conditionalFormatting sqref="X39">
    <cfRule type="expression" dxfId="5390" priority="73">
      <formula>X$9&gt;=20/24</formula>
    </cfRule>
    <cfRule type="expression" dxfId="5389" priority="74">
      <formula>AND(X$9&gt;=14/24,X$9&lt;20/24)</formula>
    </cfRule>
    <cfRule type="expression" dxfId="5388" priority="75">
      <formula>AND(X$9&gt;=8/24,X$9&lt;14/24)</formula>
    </cfRule>
    <cfRule type="expression" dxfId="5387" priority="76">
      <formula>X$9&lt;8/24</formula>
    </cfRule>
  </conditionalFormatting>
  <conditionalFormatting sqref="X39:X41">
    <cfRule type="expression" dxfId="5386" priority="72">
      <formula>X39&gt;$AG39</formula>
    </cfRule>
  </conditionalFormatting>
  <conditionalFormatting sqref="B94:B100 B11 B82:AF82 B74:AF74">
    <cfRule type="expression" dxfId="5385" priority="68">
      <formula>B$9&gt;=20/24</formula>
    </cfRule>
    <cfRule type="expression" dxfId="5384" priority="69">
      <formula>AND(B$9&gt;=14/24,B$9&lt;20/24)</formula>
    </cfRule>
    <cfRule type="expression" dxfId="5383" priority="70">
      <formula>AND(B$9&gt;=8/24,B$9&lt;14/24)</formula>
    </cfRule>
    <cfRule type="expression" dxfId="5382" priority="71">
      <formula>B$9&lt;8/24</formula>
    </cfRule>
  </conditionalFormatting>
  <conditionalFormatting sqref="B37">
    <cfRule type="expression" dxfId="5381" priority="64">
      <formula>B$9&gt;=20/24</formula>
    </cfRule>
    <cfRule type="expression" dxfId="5380" priority="65">
      <formula>AND(B$9&gt;=14/24,B$9&lt;20/24)</formula>
    </cfRule>
    <cfRule type="expression" dxfId="5379" priority="66">
      <formula>AND(B$9&gt;=8/24,B$9&lt;14/24)</formula>
    </cfRule>
    <cfRule type="expression" dxfId="5378" priority="67">
      <formula>B$9&lt;8/24</formula>
    </cfRule>
  </conditionalFormatting>
  <conditionalFormatting sqref="B37 B11">
    <cfRule type="expression" dxfId="5377" priority="63">
      <formula>B11&gt;$AG11</formula>
    </cfRule>
  </conditionalFormatting>
  <conditionalFormatting sqref="B84">
    <cfRule type="expression" dxfId="5376" priority="59">
      <formula>B$9&gt;=20/24</formula>
    </cfRule>
    <cfRule type="expression" dxfId="5375" priority="60">
      <formula>AND(B$9&gt;=14/24,B$9&lt;20/24)</formula>
    </cfRule>
    <cfRule type="expression" dxfId="5374" priority="61">
      <formula>AND(B$9&gt;=8/24,B$9&lt;14/24)</formula>
    </cfRule>
    <cfRule type="expression" dxfId="5373" priority="62">
      <formula>B$9&lt;8/24</formula>
    </cfRule>
  </conditionalFormatting>
  <conditionalFormatting sqref="B40:D41 B57:D57 B36:L36">
    <cfRule type="expression" dxfId="5372" priority="55">
      <formula>B$9&gt;=20/24</formula>
    </cfRule>
    <cfRule type="expression" dxfId="5371" priority="56">
      <formula>AND(B$9&gt;=14/24,B$9&lt;20/24)</formula>
    </cfRule>
    <cfRule type="expression" dxfId="5370" priority="57">
      <formula>AND(B$9&gt;=8/24,B$9&lt;14/24)</formula>
    </cfRule>
    <cfRule type="expression" dxfId="5369" priority="58">
      <formula>B$9&lt;8/24</formula>
    </cfRule>
  </conditionalFormatting>
  <conditionalFormatting sqref="B39:D39">
    <cfRule type="expression" dxfId="5368" priority="51">
      <formula>B$9&gt;=20/24</formula>
    </cfRule>
    <cfRule type="expression" dxfId="5367" priority="52">
      <formula>AND(B$9&gt;=14/24,B$9&lt;20/24)</formula>
    </cfRule>
    <cfRule type="expression" dxfId="5366" priority="53">
      <formula>AND(B$9&gt;=8/24,B$9&lt;14/24)</formula>
    </cfRule>
    <cfRule type="expression" dxfId="5365" priority="54">
      <formula>B$9&lt;8/24</formula>
    </cfRule>
  </conditionalFormatting>
  <conditionalFormatting sqref="B39:D41 B36:L36">
    <cfRule type="expression" dxfId="5364" priority="50">
      <formula>B36&gt;$AG36</formula>
    </cfRule>
  </conditionalFormatting>
  <conditionalFormatting sqref="B85:B91 B53:B56 B69:B73 B75:AF75 C73:AF73 B81 B83:AF83 B16:C16 B12:D14 B58:D67 B28:L31 B18:L19 B24:L26 E63:L67 B21:L21">
    <cfRule type="expression" dxfId="5363" priority="46">
      <formula>B$9&gt;=20/24</formula>
    </cfRule>
    <cfRule type="expression" dxfId="5362" priority="47">
      <formula>AND(B$9&gt;=14/24,B$9&lt;20/24)</formula>
    </cfRule>
    <cfRule type="expression" dxfId="5361" priority="48">
      <formula>AND(B$9&gt;=8/24,B$9&lt;14/24)</formula>
    </cfRule>
    <cfRule type="expression" dxfId="5360" priority="49">
      <formula>B$9&lt;8/24</formula>
    </cfRule>
  </conditionalFormatting>
  <conditionalFormatting sqref="B32:L32">
    <cfRule type="expression" dxfId="5359" priority="42">
      <formula>B$9&gt;=20/24</formula>
    </cfRule>
    <cfRule type="expression" dxfId="5358" priority="43">
      <formula>AND(B$9&gt;=14/24,B$9&lt;20/24)</formula>
    </cfRule>
    <cfRule type="expression" dxfId="5357" priority="44">
      <formula>AND(B$9&gt;=8/24,B$9&lt;14/24)</formula>
    </cfRule>
    <cfRule type="expression" dxfId="5356" priority="45">
      <formula>B$9&lt;8/24</formula>
    </cfRule>
  </conditionalFormatting>
  <conditionalFormatting sqref="B35:L35">
    <cfRule type="expression" dxfId="5355" priority="38">
      <formula>B$9&gt;=20/24</formula>
    </cfRule>
    <cfRule type="expression" dxfId="5354" priority="39">
      <formula>AND(B$9&gt;=14/24,B$9&lt;20/24)</formula>
    </cfRule>
    <cfRule type="expression" dxfId="5353" priority="40">
      <formula>AND(B$9&gt;=8/24,B$9&lt;14/24)</formula>
    </cfRule>
    <cfRule type="expression" dxfId="5352" priority="41">
      <formula>B$9&lt;8/24</formula>
    </cfRule>
  </conditionalFormatting>
  <conditionalFormatting sqref="B51:B56 B38:AF38 C52:AF52 B12:C16 D12:D15 B42:D43 B34:L35 B18:L19 B21:L21 B24:L32">
    <cfRule type="expression" dxfId="5351" priority="37">
      <formula>B12&gt;$AG12</formula>
    </cfRule>
  </conditionalFormatting>
  <conditionalFormatting sqref="B34:L34">
    <cfRule type="expression" dxfId="5350" priority="33">
      <formula>B$9&gt;=20/24</formula>
    </cfRule>
    <cfRule type="expression" dxfId="5349" priority="34">
      <formula>AND(B$9&gt;=14/24,B$9&lt;20/24)</formula>
    </cfRule>
    <cfRule type="expression" dxfId="5348" priority="35">
      <formula>AND(B$9&gt;=8/24,B$9&lt;14/24)</formula>
    </cfRule>
    <cfRule type="expression" dxfId="5347" priority="36">
      <formula>B$9&lt;8/24</formula>
    </cfRule>
  </conditionalFormatting>
  <conditionalFormatting sqref="B15:D15">
    <cfRule type="expression" dxfId="5346" priority="29">
      <formula>B$9&gt;=20/24</formula>
    </cfRule>
    <cfRule type="expression" dxfId="5345" priority="30">
      <formula>AND(B$9&gt;=14/24,B$9&lt;20/24)</formula>
    </cfRule>
    <cfRule type="expression" dxfId="5344" priority="31">
      <formula>AND(B$9&gt;=8/24,B$9&lt;14/24)</formula>
    </cfRule>
    <cfRule type="expression" dxfId="5343" priority="32">
      <formula>B$9&lt;8/24</formula>
    </cfRule>
  </conditionalFormatting>
  <conditionalFormatting sqref="B33:L33">
    <cfRule type="expression" dxfId="5342" priority="25">
      <formula>B$9&gt;=20/24</formula>
    </cfRule>
    <cfRule type="expression" dxfId="5341" priority="26">
      <formula>AND(B$9&gt;=14/24,B$9&lt;20/24)</formula>
    </cfRule>
    <cfRule type="expression" dxfId="5340" priority="27">
      <formula>AND(B$9&gt;=8/24,B$9&lt;14/24)</formula>
    </cfRule>
    <cfRule type="expression" dxfId="5339" priority="28">
      <formula>B$9&lt;8/24</formula>
    </cfRule>
  </conditionalFormatting>
  <conditionalFormatting sqref="B33:L33">
    <cfRule type="expression" dxfId="5338" priority="24">
      <formula>B33&gt;$AG33</formula>
    </cfRule>
  </conditionalFormatting>
  <conditionalFormatting sqref="B44:L50">
    <cfRule type="expression" dxfId="5337" priority="20">
      <formula>B$9&gt;=20/24</formula>
    </cfRule>
    <cfRule type="expression" dxfId="5336" priority="21">
      <formula>AND(B$9&gt;=14/24,B$9&lt;20/24)</formula>
    </cfRule>
    <cfRule type="expression" dxfId="5335" priority="22">
      <formula>AND(B$9&gt;=8/24,B$9&lt;14/24)</formula>
    </cfRule>
    <cfRule type="expression" dxfId="5334" priority="23">
      <formula>B$9&lt;8/24</formula>
    </cfRule>
  </conditionalFormatting>
  <conditionalFormatting sqref="B44:L50">
    <cfRule type="expression" dxfId="5333" priority="19">
      <formula>B44&gt;$AG44</formula>
    </cfRule>
  </conditionalFormatting>
  <conditionalFormatting sqref="B27:L27">
    <cfRule type="expression" dxfId="5332" priority="15">
      <formula>B$9&gt;=20/24</formula>
    </cfRule>
    <cfRule type="expression" dxfId="5331" priority="16">
      <formula>AND(B$9&gt;=14/24,B$9&lt;20/24)</formula>
    </cfRule>
    <cfRule type="expression" dxfId="5330" priority="17">
      <formula>AND(B$9&gt;=8/24,B$9&lt;14/24)</formula>
    </cfRule>
    <cfRule type="expression" dxfId="5329" priority="18">
      <formula>B$9&lt;8/24</formula>
    </cfRule>
  </conditionalFormatting>
  <conditionalFormatting sqref="B17:D17 B23:L23">
    <cfRule type="expression" dxfId="5328" priority="11">
      <formula>B$9&gt;=20/24</formula>
    </cfRule>
    <cfRule type="expression" dxfId="5327" priority="12">
      <formula>AND(B$9&gt;=14/24,B$9&lt;20/24)</formula>
    </cfRule>
    <cfRule type="expression" dxfId="5326" priority="13">
      <formula>AND(B$9&gt;=8/24,B$9&lt;14/24)</formula>
    </cfRule>
    <cfRule type="expression" dxfId="5325" priority="14">
      <formula>B$9&lt;8/24</formula>
    </cfRule>
  </conditionalFormatting>
  <conditionalFormatting sqref="B17:D17 B23:L23">
    <cfRule type="expression" dxfId="5324" priority="10">
      <formula>B17&gt;$AG17</formula>
    </cfRule>
  </conditionalFormatting>
  <conditionalFormatting sqref="A33">
    <cfRule type="expression" dxfId="5323" priority="9">
      <formula>$AH33=0</formula>
    </cfRule>
  </conditionalFormatting>
  <conditionalFormatting sqref="B68:AF68">
    <cfRule type="expression" dxfId="5322" priority="5">
      <formula>B$9&gt;=20/24</formula>
    </cfRule>
    <cfRule type="expression" dxfId="5321" priority="6">
      <formula>AND(B$9&gt;=14/24,B$9&lt;20/24)</formula>
    </cfRule>
    <cfRule type="expression" dxfId="5320" priority="7">
      <formula>AND(B$9&gt;=8/24,B$9&lt;14/24)</formula>
    </cfRule>
    <cfRule type="expression" dxfId="5319" priority="8">
      <formula>B$9&lt;8/24</formula>
    </cfRule>
  </conditionalFormatting>
  <conditionalFormatting sqref="B76:AF80">
    <cfRule type="expression" dxfId="5318" priority="1">
      <formula>B$9&gt;=20/24</formula>
    </cfRule>
    <cfRule type="expression" dxfId="5317" priority="2">
      <formula>AND(B$9&gt;=14/24,B$9&lt;20/24)</formula>
    </cfRule>
    <cfRule type="expression" dxfId="5316" priority="3">
      <formula>AND(B$9&gt;=8/24,B$9&lt;14/24)</formula>
    </cfRule>
    <cfRule type="expression" dxfId="5315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A85" sqref="A85:XFD8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2079/02/8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85</v>
      </c>
      <c r="C5" s="32">
        <f t="shared" si="0"/>
        <v>0</v>
      </c>
      <c r="D5" s="32">
        <f t="shared" si="0"/>
        <v>0</v>
      </c>
      <c r="E5" s="32">
        <f t="shared" si="0"/>
        <v>75</v>
      </c>
      <c r="F5" s="32">
        <f t="shared" si="0"/>
        <v>70</v>
      </c>
      <c r="G5" s="32">
        <f t="shared" si="0"/>
        <v>72</v>
      </c>
      <c r="H5" s="32">
        <f t="shared" si="0"/>
        <v>69</v>
      </c>
      <c r="I5" s="32">
        <f t="shared" si="0"/>
        <v>77</v>
      </c>
      <c r="J5" s="32">
        <f t="shared" si="0"/>
        <v>81</v>
      </c>
      <c r="K5" s="32">
        <f t="shared" si="0"/>
        <v>81</v>
      </c>
      <c r="L5" s="32">
        <f t="shared" si="0"/>
        <v>87.5</v>
      </c>
      <c r="M5" s="32">
        <f t="shared" si="0"/>
        <v>77.599999999999994</v>
      </c>
      <c r="N5" s="32">
        <f t="shared" si="0"/>
        <v>91.5</v>
      </c>
      <c r="O5" s="32">
        <f t="shared" si="0"/>
        <v>89.3</v>
      </c>
      <c r="P5" s="32">
        <f t="shared" si="0"/>
        <v>87.3</v>
      </c>
      <c r="Q5" s="32">
        <f t="shared" si="0"/>
        <v>92.5</v>
      </c>
      <c r="R5" s="32">
        <f t="shared" si="0"/>
        <v>92.8</v>
      </c>
      <c r="S5" s="32">
        <f t="shared" si="0"/>
        <v>91.5</v>
      </c>
      <c r="T5" s="32">
        <f t="shared" si="0"/>
        <v>84.5</v>
      </c>
      <c r="U5" s="32">
        <f t="shared" si="0"/>
        <v>99.5</v>
      </c>
      <c r="V5" s="32">
        <f t="shared" si="0"/>
        <v>98.5</v>
      </c>
      <c r="W5" s="32">
        <f t="shared" si="0"/>
        <v>100.69999999999999</v>
      </c>
      <c r="X5" s="32">
        <f t="shared" si="0"/>
        <v>100.6</v>
      </c>
      <c r="Y5" s="32">
        <f t="shared" si="0"/>
        <v>93.7</v>
      </c>
      <c r="Z5" s="32">
        <f t="shared" si="0"/>
        <v>104.69999999999999</v>
      </c>
      <c r="AA5" s="32">
        <f t="shared" si="0"/>
        <v>90.3</v>
      </c>
      <c r="AB5" s="32">
        <f t="shared" si="0"/>
        <v>87.6</v>
      </c>
      <c r="AC5" s="32">
        <f t="shared" si="0"/>
        <v>89.6</v>
      </c>
      <c r="AD5" s="32">
        <f t="shared" si="0"/>
        <v>89.9</v>
      </c>
      <c r="AE5" s="32">
        <f t="shared" si="0"/>
        <v>87</v>
      </c>
      <c r="AF5" s="32">
        <f>B68</f>
        <v>95.9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1713MW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Load=579</v>
      </c>
      <c r="B7" s="37">
        <f>B75</f>
        <v>1648.64</v>
      </c>
      <c r="C7" s="37">
        <f t="shared" ref="C7:AF7" si="1">C75</f>
        <v>1716.6399999999999</v>
      </c>
      <c r="D7" s="37">
        <f t="shared" si="1"/>
        <v>579.04</v>
      </c>
      <c r="E7" s="37">
        <f t="shared" si="1"/>
        <v>579.04</v>
      </c>
      <c r="F7" s="37">
        <f t="shared" si="1"/>
        <v>1650.74</v>
      </c>
      <c r="G7" s="37">
        <f t="shared" si="1"/>
        <v>1610.34</v>
      </c>
      <c r="H7" s="37">
        <f t="shared" si="1"/>
        <v>1645.44</v>
      </c>
      <c r="I7" s="37">
        <f t="shared" si="1"/>
        <v>1643.6399999999999</v>
      </c>
      <c r="J7" s="37">
        <f t="shared" si="1"/>
        <v>1664.54</v>
      </c>
      <c r="K7" s="37">
        <f t="shared" si="1"/>
        <v>1696.3400000000001</v>
      </c>
      <c r="L7" s="37">
        <f t="shared" si="1"/>
        <v>1700.2400000000002</v>
      </c>
      <c r="M7" s="37">
        <f t="shared" si="1"/>
        <v>1712.8400000000001</v>
      </c>
      <c r="N7" s="37">
        <f t="shared" si="1"/>
        <v>1702.94</v>
      </c>
      <c r="O7" s="37">
        <f t="shared" si="1"/>
        <v>1725.64</v>
      </c>
      <c r="P7" s="37">
        <f t="shared" si="1"/>
        <v>1723.44</v>
      </c>
      <c r="Q7" s="37">
        <f t="shared" si="1"/>
        <v>1720.44</v>
      </c>
      <c r="R7" s="37">
        <f t="shared" si="1"/>
        <v>1729.64</v>
      </c>
      <c r="S7" s="37">
        <f t="shared" si="1"/>
        <v>1741.34</v>
      </c>
      <c r="T7" s="37">
        <f t="shared" si="1"/>
        <v>1703.4399999999998</v>
      </c>
      <c r="U7" s="37">
        <f t="shared" si="1"/>
        <v>1717.1399999999999</v>
      </c>
      <c r="V7" s="37">
        <f t="shared" si="1"/>
        <v>1733.34</v>
      </c>
      <c r="W7" s="37">
        <f t="shared" si="1"/>
        <v>1732.34</v>
      </c>
      <c r="X7" s="37">
        <f t="shared" si="1"/>
        <v>1722.6399999999999</v>
      </c>
      <c r="Y7" s="37">
        <f t="shared" si="1"/>
        <v>1687.84</v>
      </c>
      <c r="Z7" s="37">
        <f t="shared" si="1"/>
        <v>1711.6399999999999</v>
      </c>
      <c r="AA7" s="37">
        <f t="shared" si="1"/>
        <v>1746.6399999999999</v>
      </c>
      <c r="AB7" s="37">
        <f t="shared" si="1"/>
        <v>1738.0399999999997</v>
      </c>
      <c r="AC7" s="37">
        <f t="shared" si="1"/>
        <v>1749.2399999999998</v>
      </c>
      <c r="AD7" s="37">
        <f t="shared" si="1"/>
        <v>1736.9399999999998</v>
      </c>
      <c r="AE7" s="37">
        <f t="shared" si="1"/>
        <v>1739.24</v>
      </c>
      <c r="AF7" s="37">
        <f t="shared" si="1"/>
        <v>1736.34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2">
        <v>456</v>
      </c>
      <c r="L11" s="52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1">
        <v>456</v>
      </c>
      <c r="Y11" s="51">
        <v>425</v>
      </c>
      <c r="Z11" s="51">
        <v>456</v>
      </c>
      <c r="AA11" s="51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425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53.5</v>
      </c>
      <c r="C13" s="51">
        <v>53.5</v>
      </c>
      <c r="D13" s="51">
        <v>53.5</v>
      </c>
      <c r="E13" s="51">
        <v>53.5</v>
      </c>
      <c r="F13" s="51">
        <v>53.4</v>
      </c>
      <c r="G13" s="51">
        <v>53.4</v>
      </c>
      <c r="H13" s="51">
        <v>53.4</v>
      </c>
      <c r="I13" s="51">
        <v>53.4</v>
      </c>
      <c r="J13" s="51">
        <v>53.4</v>
      </c>
      <c r="K13" s="51">
        <v>53.4</v>
      </c>
      <c r="L13" s="51">
        <v>53.4</v>
      </c>
      <c r="M13" s="51">
        <v>53.4</v>
      </c>
      <c r="N13" s="51">
        <v>53.4</v>
      </c>
      <c r="O13" s="51">
        <v>53.4</v>
      </c>
      <c r="P13" s="51">
        <v>53.4</v>
      </c>
      <c r="Q13" s="51">
        <v>53.4</v>
      </c>
      <c r="R13" s="51">
        <v>53.4</v>
      </c>
      <c r="S13" s="51">
        <v>53.3</v>
      </c>
      <c r="T13" s="51">
        <v>53.3</v>
      </c>
      <c r="U13" s="51">
        <v>53.3</v>
      </c>
      <c r="V13" s="51">
        <v>53.3</v>
      </c>
      <c r="W13" s="51">
        <v>53.3</v>
      </c>
      <c r="X13" s="51">
        <v>53.3</v>
      </c>
      <c r="Y13" s="51">
        <v>53.4</v>
      </c>
      <c r="Z13" s="51">
        <v>53.4</v>
      </c>
      <c r="AA13" s="51">
        <v>53.4</v>
      </c>
      <c r="AB13" s="51">
        <v>53.4</v>
      </c>
      <c r="AC13" s="51">
        <v>53.4</v>
      </c>
      <c r="AD13" s="51">
        <v>53.4</v>
      </c>
      <c r="AE13" s="51">
        <v>53.4</v>
      </c>
      <c r="AF13" s="51">
        <v>53.4</v>
      </c>
      <c r="AG13" s="59">
        <v>52.4</v>
      </c>
      <c r="AH13" s="55">
        <f t="shared" si="2"/>
        <v>53.5</v>
      </c>
      <c r="AI13" s="56">
        <f t="shared" si="3"/>
        <v>53.3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50.4</v>
      </c>
      <c r="C14" s="51">
        <v>50.4</v>
      </c>
      <c r="D14" s="51"/>
      <c r="E14" s="51"/>
      <c r="F14" s="51">
        <v>50</v>
      </c>
      <c r="G14" s="51">
        <v>50</v>
      </c>
      <c r="H14" s="51">
        <v>50</v>
      </c>
      <c r="I14" s="51">
        <v>50</v>
      </c>
      <c r="J14" s="51">
        <v>50</v>
      </c>
      <c r="K14" s="51">
        <v>50</v>
      </c>
      <c r="L14" s="51">
        <v>50</v>
      </c>
      <c r="M14" s="51">
        <v>50</v>
      </c>
      <c r="N14" s="51">
        <v>50</v>
      </c>
      <c r="O14" s="51">
        <v>50</v>
      </c>
      <c r="P14" s="51">
        <v>50</v>
      </c>
      <c r="Q14" s="51">
        <v>50</v>
      </c>
      <c r="R14" s="51">
        <v>50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50.3</v>
      </c>
      <c r="Y14" s="51">
        <v>50.2</v>
      </c>
      <c r="Z14" s="51">
        <v>50.3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9">
        <v>50</v>
      </c>
      <c r="AH14" s="55">
        <f t="shared" si="2"/>
        <v>50.5</v>
      </c>
      <c r="AI14" s="56">
        <f t="shared" si="3"/>
        <v>50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45.4</v>
      </c>
      <c r="C15" s="51">
        <v>45.4</v>
      </c>
      <c r="D15" s="51" t="s">
        <v>236</v>
      </c>
      <c r="E15" s="51" t="s">
        <v>236</v>
      </c>
      <c r="F15" s="51">
        <v>45.5</v>
      </c>
      <c r="G15" s="51">
        <v>45.5</v>
      </c>
      <c r="H15" s="51">
        <v>45.5</v>
      </c>
      <c r="I15" s="51">
        <v>45.5</v>
      </c>
      <c r="J15" s="51">
        <v>45.5</v>
      </c>
      <c r="K15" s="51">
        <v>45.7</v>
      </c>
      <c r="L15" s="51">
        <v>45.7</v>
      </c>
      <c r="M15" s="51">
        <v>45.7</v>
      </c>
      <c r="N15" s="51">
        <v>45.7</v>
      </c>
      <c r="O15" s="51">
        <v>45.7</v>
      </c>
      <c r="P15" s="51">
        <v>45.7</v>
      </c>
      <c r="Q15" s="51">
        <v>45.7</v>
      </c>
      <c r="R15" s="51">
        <v>45.7</v>
      </c>
      <c r="S15" s="51">
        <v>45.3</v>
      </c>
      <c r="T15" s="51">
        <v>45.3</v>
      </c>
      <c r="U15" s="51">
        <v>45.3</v>
      </c>
      <c r="V15" s="51">
        <v>45.3</v>
      </c>
      <c r="W15" s="51">
        <v>45.3</v>
      </c>
      <c r="X15" s="51">
        <v>45.3</v>
      </c>
      <c r="Y15" s="51">
        <v>45.3</v>
      </c>
      <c r="Z15" s="51">
        <v>45.3</v>
      </c>
      <c r="AA15" s="51">
        <v>45.4</v>
      </c>
      <c r="AB15" s="51">
        <v>45.4</v>
      </c>
      <c r="AC15" s="51">
        <v>45.4</v>
      </c>
      <c r="AD15" s="51">
        <v>45.4</v>
      </c>
      <c r="AE15" s="51">
        <v>45.4</v>
      </c>
      <c r="AF15" s="51">
        <v>45.4</v>
      </c>
      <c r="AG15" s="60">
        <v>45</v>
      </c>
      <c r="AH15" s="55">
        <f t="shared" si="2"/>
        <v>45.7</v>
      </c>
      <c r="AI15" s="56">
        <f t="shared" si="3"/>
        <v>45.3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36</v>
      </c>
      <c r="C16" s="51">
        <v>36</v>
      </c>
      <c r="D16" s="51" t="s">
        <v>237</v>
      </c>
      <c r="E16" s="51" t="s">
        <v>237</v>
      </c>
      <c r="F16" s="51">
        <v>25</v>
      </c>
      <c r="G16" s="51">
        <v>25</v>
      </c>
      <c r="H16" s="51">
        <v>25</v>
      </c>
      <c r="I16" s="51">
        <v>25</v>
      </c>
      <c r="J16" s="51">
        <v>32</v>
      </c>
      <c r="K16" s="51">
        <v>32</v>
      </c>
      <c r="L16" s="51">
        <v>32</v>
      </c>
      <c r="M16" s="51">
        <v>38</v>
      </c>
      <c r="N16" s="51">
        <v>38</v>
      </c>
      <c r="O16" s="51">
        <v>38</v>
      </c>
      <c r="P16" s="51">
        <v>38</v>
      </c>
      <c r="Q16" s="51">
        <v>37</v>
      </c>
      <c r="R16" s="51">
        <v>30</v>
      </c>
      <c r="S16" s="51">
        <v>30</v>
      </c>
      <c r="T16" s="51">
        <v>30</v>
      </c>
      <c r="U16" s="51">
        <v>34</v>
      </c>
      <c r="V16" s="51">
        <v>34</v>
      </c>
      <c r="W16" s="51">
        <v>34</v>
      </c>
      <c r="X16" s="51">
        <v>34</v>
      </c>
      <c r="Y16" s="51">
        <v>34</v>
      </c>
      <c r="Z16" s="51">
        <v>34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 t="s">
        <v>234</v>
      </c>
      <c r="E17" s="51" t="s">
        <v>234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23</v>
      </c>
      <c r="C18" s="51">
        <v>23</v>
      </c>
      <c r="D18" s="51" t="s">
        <v>235</v>
      </c>
      <c r="E18" s="51" t="s">
        <v>235</v>
      </c>
      <c r="F18" s="51">
        <v>23</v>
      </c>
      <c r="G18" s="51">
        <v>23</v>
      </c>
      <c r="H18" s="51">
        <v>23</v>
      </c>
      <c r="I18" s="51">
        <v>23</v>
      </c>
      <c r="J18" s="51">
        <v>23</v>
      </c>
      <c r="K18" s="51">
        <v>23</v>
      </c>
      <c r="L18" s="51">
        <v>23</v>
      </c>
      <c r="M18" s="51">
        <v>23</v>
      </c>
      <c r="N18" s="51">
        <v>23</v>
      </c>
      <c r="O18" s="51">
        <v>23</v>
      </c>
      <c r="P18" s="51">
        <v>23</v>
      </c>
      <c r="Q18" s="51">
        <v>23</v>
      </c>
      <c r="R18" s="51">
        <v>23</v>
      </c>
      <c r="S18" s="51">
        <v>23</v>
      </c>
      <c r="T18" s="51">
        <v>23</v>
      </c>
      <c r="U18" s="51">
        <v>23</v>
      </c>
      <c r="V18" s="51">
        <v>23</v>
      </c>
      <c r="W18" s="51">
        <v>23</v>
      </c>
      <c r="X18" s="51">
        <v>23</v>
      </c>
      <c r="Y18" s="51">
        <v>23</v>
      </c>
      <c r="Z18" s="51">
        <v>23</v>
      </c>
      <c r="AA18" s="51">
        <v>23</v>
      </c>
      <c r="AB18" s="51">
        <v>23</v>
      </c>
      <c r="AC18" s="51">
        <v>23</v>
      </c>
      <c r="AD18" s="51">
        <v>23</v>
      </c>
      <c r="AE18" s="51">
        <v>23</v>
      </c>
      <c r="AF18" s="51">
        <v>23</v>
      </c>
      <c r="AG18" s="59">
        <v>36</v>
      </c>
      <c r="AH18" s="55">
        <f t="shared" si="2"/>
        <v>23</v>
      </c>
      <c r="AI18" s="56">
        <f t="shared" si="3"/>
        <v>23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26.4</v>
      </c>
      <c r="C19" s="51">
        <v>26.4</v>
      </c>
      <c r="D19" s="51" t="s">
        <v>238</v>
      </c>
      <c r="E19" s="51" t="s">
        <v>238</v>
      </c>
      <c r="F19" s="51">
        <v>26.4</v>
      </c>
      <c r="G19" s="51">
        <v>26.4</v>
      </c>
      <c r="H19" s="51">
        <v>26.4</v>
      </c>
      <c r="I19" s="51">
        <v>26.4</v>
      </c>
      <c r="J19" s="51">
        <v>26.4</v>
      </c>
      <c r="K19" s="51">
        <v>26</v>
      </c>
      <c r="L19" s="51">
        <v>26</v>
      </c>
      <c r="M19" s="51">
        <v>26.1</v>
      </c>
      <c r="N19" s="51">
        <v>26.1</v>
      </c>
      <c r="O19" s="51">
        <v>26.1</v>
      </c>
      <c r="P19" s="51">
        <v>26.1</v>
      </c>
      <c r="Q19" s="51">
        <v>26.1</v>
      </c>
      <c r="R19" s="51">
        <v>26.1</v>
      </c>
      <c r="S19" s="51">
        <v>22</v>
      </c>
      <c r="T19" s="51">
        <v>22</v>
      </c>
      <c r="U19" s="51">
        <v>26</v>
      </c>
      <c r="V19" s="51">
        <v>26</v>
      </c>
      <c r="W19" s="51">
        <v>26</v>
      </c>
      <c r="X19" s="51">
        <v>26</v>
      </c>
      <c r="Y19" s="51">
        <v>23.3</v>
      </c>
      <c r="Z19" s="51">
        <v>23.1</v>
      </c>
      <c r="AA19" s="51">
        <v>25.3</v>
      </c>
      <c r="AB19" s="51">
        <v>25.3</v>
      </c>
      <c r="AC19" s="51">
        <v>25.3</v>
      </c>
      <c r="AD19" s="51">
        <v>25.3</v>
      </c>
      <c r="AE19" s="51">
        <v>25.3</v>
      </c>
      <c r="AF19" s="51">
        <v>25.3</v>
      </c>
      <c r="AG19" s="59">
        <v>30</v>
      </c>
      <c r="AH19" s="55">
        <f t="shared" si="2"/>
        <v>26.4</v>
      </c>
      <c r="AI19" s="56">
        <f t="shared" si="3"/>
        <v>22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5</v>
      </c>
      <c r="C20" s="51">
        <v>5</v>
      </c>
      <c r="D20" s="51" t="s">
        <v>239</v>
      </c>
      <c r="E20" s="51" t="s">
        <v>239</v>
      </c>
      <c r="F20" s="51">
        <v>5</v>
      </c>
      <c r="G20" s="51">
        <v>5</v>
      </c>
      <c r="H20" s="51">
        <v>5</v>
      </c>
      <c r="I20" s="51">
        <v>5</v>
      </c>
      <c r="J20" s="51">
        <v>5</v>
      </c>
      <c r="K20" s="51">
        <v>5</v>
      </c>
      <c r="L20" s="51">
        <v>5</v>
      </c>
      <c r="M20" s="51">
        <v>5</v>
      </c>
      <c r="N20" s="51">
        <v>5</v>
      </c>
      <c r="O20" s="51">
        <v>5</v>
      </c>
      <c r="P20" s="51">
        <v>5</v>
      </c>
      <c r="Q20" s="51">
        <v>5</v>
      </c>
      <c r="R20" s="51">
        <v>5</v>
      </c>
      <c r="S20" s="51">
        <v>5</v>
      </c>
      <c r="T20" s="51">
        <v>5</v>
      </c>
      <c r="U20" s="51">
        <v>5</v>
      </c>
      <c r="V20" s="51">
        <v>5</v>
      </c>
      <c r="W20" s="51">
        <v>5</v>
      </c>
      <c r="X20" s="51">
        <v>5</v>
      </c>
      <c r="Y20" s="51">
        <v>5</v>
      </c>
      <c r="Z20" s="51">
        <v>5</v>
      </c>
      <c r="AA20" s="51">
        <v>5</v>
      </c>
      <c r="AB20" s="51">
        <v>5</v>
      </c>
      <c r="AC20" s="51">
        <v>5</v>
      </c>
      <c r="AD20" s="51">
        <v>5</v>
      </c>
      <c r="AE20" s="51">
        <v>5</v>
      </c>
      <c r="AF20" s="51">
        <v>5</v>
      </c>
      <c r="AG20" s="59">
        <v>27</v>
      </c>
      <c r="AH20" s="55">
        <f t="shared" si="2"/>
        <v>5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12</v>
      </c>
      <c r="C21" s="51">
        <v>12</v>
      </c>
      <c r="D21" s="51" t="s">
        <v>240</v>
      </c>
      <c r="E21" s="51" t="s">
        <v>240</v>
      </c>
      <c r="F21" s="51">
        <v>12</v>
      </c>
      <c r="G21" s="51">
        <v>12</v>
      </c>
      <c r="H21" s="51">
        <v>12</v>
      </c>
      <c r="I21" s="51">
        <v>12</v>
      </c>
      <c r="J21" s="51">
        <v>12</v>
      </c>
      <c r="K21" s="51">
        <v>12</v>
      </c>
      <c r="L21" s="51">
        <v>12</v>
      </c>
      <c r="M21" s="51">
        <v>12</v>
      </c>
      <c r="N21" s="51">
        <v>12</v>
      </c>
      <c r="O21" s="51">
        <v>12</v>
      </c>
      <c r="P21" s="51">
        <v>12</v>
      </c>
      <c r="Q21" s="51">
        <v>12</v>
      </c>
      <c r="R21" s="51">
        <v>12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12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25</v>
      </c>
      <c r="C22" s="51">
        <v>25</v>
      </c>
      <c r="D22" s="51"/>
      <c r="E22" s="51"/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25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/>
      <c r="E23" s="51"/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/>
      <c r="E24" s="51"/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/>
      <c r="E25" s="51"/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/>
      <c r="E26" s="51"/>
      <c r="F26" s="51">
        <v>0</v>
      </c>
      <c r="G26" s="51">
        <v>0</v>
      </c>
      <c r="H26" s="51">
        <v>0</v>
      </c>
      <c r="I26" s="51">
        <v>0</v>
      </c>
      <c r="J26" s="51">
        <v>5</v>
      </c>
      <c r="K26" s="51">
        <v>5</v>
      </c>
      <c r="L26" s="51">
        <v>5</v>
      </c>
      <c r="M26" s="51">
        <v>5</v>
      </c>
      <c r="N26" s="51">
        <v>5</v>
      </c>
      <c r="O26" s="51">
        <v>5</v>
      </c>
      <c r="P26" s="51">
        <v>5</v>
      </c>
      <c r="Q26" s="51">
        <v>5</v>
      </c>
      <c r="R26" s="51">
        <v>5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/>
      <c r="E27" s="51"/>
      <c r="F27" s="51">
        <v>14.9</v>
      </c>
      <c r="G27" s="51">
        <v>14.9</v>
      </c>
      <c r="H27" s="51">
        <v>14.9</v>
      </c>
      <c r="I27" s="51">
        <v>14.9</v>
      </c>
      <c r="J27" s="51">
        <v>14.9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14.9</v>
      </c>
      <c r="R27" s="51">
        <v>14.9</v>
      </c>
      <c r="S27" s="51">
        <v>14.9</v>
      </c>
      <c r="T27" s="51">
        <v>14.9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>
        <v>14.9</v>
      </c>
      <c r="AG27" s="59">
        <v>23.5</v>
      </c>
      <c r="AH27" s="55">
        <f t="shared" si="2"/>
        <v>14.9</v>
      </c>
      <c r="AI27" s="56">
        <f t="shared" si="3"/>
        <v>14.9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/>
      <c r="E28" s="51"/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/>
      <c r="E29" s="51"/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10</v>
      </c>
      <c r="C30" s="51">
        <v>10</v>
      </c>
      <c r="D30" s="51"/>
      <c r="E30" s="51"/>
      <c r="F30" s="51">
        <v>10</v>
      </c>
      <c r="G30" s="51">
        <v>10</v>
      </c>
      <c r="H30" s="51">
        <v>10</v>
      </c>
      <c r="I30" s="51">
        <v>10</v>
      </c>
      <c r="J30" s="51">
        <v>10</v>
      </c>
      <c r="K30" s="51">
        <v>10</v>
      </c>
      <c r="L30" s="51">
        <v>10</v>
      </c>
      <c r="M30" s="51">
        <v>10</v>
      </c>
      <c r="N30" s="51">
        <v>10</v>
      </c>
      <c r="O30" s="51">
        <v>10</v>
      </c>
      <c r="P30" s="51">
        <v>10</v>
      </c>
      <c r="Q30" s="51">
        <v>10</v>
      </c>
      <c r="R30" s="51">
        <v>10</v>
      </c>
      <c r="S30" s="51">
        <v>10</v>
      </c>
      <c r="T30" s="51">
        <v>10</v>
      </c>
      <c r="U30" s="51">
        <v>10</v>
      </c>
      <c r="V30" s="51">
        <v>10</v>
      </c>
      <c r="W30" s="51">
        <v>10</v>
      </c>
      <c r="X30" s="51">
        <v>10</v>
      </c>
      <c r="Y30" s="51">
        <v>10</v>
      </c>
      <c r="Z30" s="51">
        <v>10</v>
      </c>
      <c r="AA30" s="51">
        <v>10</v>
      </c>
      <c r="AB30" s="51">
        <v>10</v>
      </c>
      <c r="AC30" s="51">
        <v>10</v>
      </c>
      <c r="AD30" s="51">
        <v>10</v>
      </c>
      <c r="AE30" s="51">
        <v>10</v>
      </c>
      <c r="AF30" s="51">
        <v>10</v>
      </c>
      <c r="AG30" s="59">
        <v>22.1</v>
      </c>
      <c r="AH30" s="55">
        <f t="shared" si="2"/>
        <v>10</v>
      </c>
      <c r="AI30" s="56">
        <f t="shared" si="3"/>
        <v>10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/>
      <c r="E31" s="51"/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3.8</v>
      </c>
      <c r="C32" s="51">
        <v>3.8</v>
      </c>
      <c r="D32" s="51"/>
      <c r="E32" s="51"/>
      <c r="F32" s="51">
        <v>3.8</v>
      </c>
      <c r="G32" s="51">
        <v>3.8</v>
      </c>
      <c r="H32" s="51">
        <v>3.8</v>
      </c>
      <c r="I32" s="51">
        <v>3.8</v>
      </c>
      <c r="J32" s="51">
        <v>3.8</v>
      </c>
      <c r="K32" s="51">
        <v>3.8</v>
      </c>
      <c r="L32" s="51">
        <v>3.8</v>
      </c>
      <c r="M32" s="51">
        <v>3.8</v>
      </c>
      <c r="N32" s="51">
        <v>3.8</v>
      </c>
      <c r="O32" s="51">
        <v>3.8</v>
      </c>
      <c r="P32" s="51">
        <v>3.8</v>
      </c>
      <c r="Q32" s="51">
        <v>3.8</v>
      </c>
      <c r="R32" s="51">
        <v>3.8</v>
      </c>
      <c r="S32" s="51">
        <v>3.8</v>
      </c>
      <c r="T32" s="51">
        <v>3.8</v>
      </c>
      <c r="U32" s="51">
        <v>3.8</v>
      </c>
      <c r="V32" s="51">
        <v>3.8</v>
      </c>
      <c r="W32" s="51">
        <v>3.8</v>
      </c>
      <c r="X32" s="51">
        <v>3.8</v>
      </c>
      <c r="Y32" s="51">
        <v>3.8</v>
      </c>
      <c r="Z32" s="51">
        <v>3.8</v>
      </c>
      <c r="AA32" s="51">
        <v>3.8</v>
      </c>
      <c r="AB32" s="51">
        <v>3.8</v>
      </c>
      <c r="AC32" s="51">
        <v>3.8</v>
      </c>
      <c r="AD32" s="51">
        <v>3.8</v>
      </c>
      <c r="AE32" s="51">
        <v>3.8</v>
      </c>
      <c r="AF32" s="51">
        <v>3.8</v>
      </c>
      <c r="AG32" s="64">
        <v>22</v>
      </c>
      <c r="AH32" s="55">
        <f t="shared" si="2"/>
        <v>3.8</v>
      </c>
      <c r="AI32" s="56">
        <f t="shared" si="3"/>
        <v>3.8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/>
      <c r="E33" s="51"/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8.4</v>
      </c>
      <c r="C34" s="51">
        <v>8.4</v>
      </c>
      <c r="D34" s="51"/>
      <c r="E34" s="51"/>
      <c r="F34" s="51">
        <v>8.4</v>
      </c>
      <c r="G34" s="51">
        <v>8.4</v>
      </c>
      <c r="H34" s="51">
        <v>8.4</v>
      </c>
      <c r="I34" s="51">
        <v>8.4</v>
      </c>
      <c r="J34" s="51">
        <v>8.4</v>
      </c>
      <c r="K34" s="51">
        <v>8.4</v>
      </c>
      <c r="L34" s="51">
        <v>8.4</v>
      </c>
      <c r="M34" s="51">
        <v>8.4</v>
      </c>
      <c r="N34" s="51">
        <v>8.4</v>
      </c>
      <c r="O34" s="51">
        <v>8.4</v>
      </c>
      <c r="P34" s="51">
        <v>8.4</v>
      </c>
      <c r="Q34" s="51">
        <v>8.4</v>
      </c>
      <c r="R34" s="51">
        <v>8.4</v>
      </c>
      <c r="S34" s="51">
        <v>8.4</v>
      </c>
      <c r="T34" s="51">
        <v>8.4</v>
      </c>
      <c r="U34" s="51">
        <v>8.4</v>
      </c>
      <c r="V34" s="51">
        <v>8.4</v>
      </c>
      <c r="W34" s="51">
        <v>8.4</v>
      </c>
      <c r="X34" s="51">
        <v>8.4</v>
      </c>
      <c r="Y34" s="51">
        <v>8.4</v>
      </c>
      <c r="Z34" s="51">
        <v>8.4</v>
      </c>
      <c r="AA34" s="51">
        <v>8.4</v>
      </c>
      <c r="AB34" s="51">
        <v>8.4</v>
      </c>
      <c r="AC34" s="51">
        <v>8.4</v>
      </c>
      <c r="AD34" s="51">
        <v>8.4</v>
      </c>
      <c r="AE34" s="51">
        <v>8.4</v>
      </c>
      <c r="AF34" s="51">
        <v>8.4</v>
      </c>
      <c r="AG34" s="64">
        <v>20</v>
      </c>
      <c r="AH34" s="55">
        <f t="shared" si="2"/>
        <v>8.4</v>
      </c>
      <c r="AI34" s="56">
        <f t="shared" si="3"/>
        <v>8.4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/>
      <c r="E35" s="51"/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/>
      <c r="E36" s="66"/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131</v>
      </c>
      <c r="C37" s="68">
        <v>131</v>
      </c>
      <c r="D37" s="66"/>
      <c r="E37" s="66"/>
      <c r="F37" s="66">
        <f>93.3+36.2</f>
        <v>129.5</v>
      </c>
      <c r="G37" s="66">
        <f>92.6+36.2</f>
        <v>128.80000000000001</v>
      </c>
      <c r="H37" s="66">
        <f>92.5+35.9</f>
        <v>128.4</v>
      </c>
      <c r="I37" s="66">
        <f>92+35.6</f>
        <v>127.6</v>
      </c>
      <c r="J37" s="66">
        <f>92.5+35.4</f>
        <v>127.9</v>
      </c>
      <c r="K37" s="66">
        <f>92.4+35.2</f>
        <v>127.60000000000001</v>
      </c>
      <c r="L37" s="66">
        <f>35+91.3</f>
        <v>126.3</v>
      </c>
      <c r="M37" s="66">
        <f>35+91.7</f>
        <v>126.7</v>
      </c>
      <c r="N37" s="66">
        <f>35.5+92.1</f>
        <v>127.6</v>
      </c>
      <c r="O37" s="66">
        <f>35.4+86.4</f>
        <v>121.80000000000001</v>
      </c>
      <c r="P37" s="66">
        <f>35.4+86.4</f>
        <v>121.80000000000001</v>
      </c>
      <c r="Q37" s="66">
        <f>35.4+86.4</f>
        <v>121.80000000000001</v>
      </c>
      <c r="R37" s="66">
        <f>35.8+92.6</f>
        <v>128.39999999999998</v>
      </c>
      <c r="S37" s="66">
        <f>34.2+92.6</f>
        <v>126.8</v>
      </c>
      <c r="T37" s="66">
        <f>34.1+92.7</f>
        <v>126.80000000000001</v>
      </c>
      <c r="U37" s="66">
        <f>34.1+92.6</f>
        <v>126.69999999999999</v>
      </c>
      <c r="V37" s="66">
        <f>34.1+92.6</f>
        <v>126.69999999999999</v>
      </c>
      <c r="W37" s="66">
        <f>34.1+92.6</f>
        <v>126.69999999999999</v>
      </c>
      <c r="X37" s="66">
        <f>33.5+92.3</f>
        <v>125.8</v>
      </c>
      <c r="Y37" s="66">
        <f>32.5+93.6</f>
        <v>126.1</v>
      </c>
      <c r="Z37" s="66">
        <f>32+90.8</f>
        <v>122.8</v>
      </c>
      <c r="AA37" s="66">
        <f>31.3+83.6</f>
        <v>114.89999999999999</v>
      </c>
      <c r="AB37" s="68">
        <f>94+31.4</f>
        <v>125.4</v>
      </c>
      <c r="AC37" s="68">
        <f>93.8+32</f>
        <v>125.8</v>
      </c>
      <c r="AD37" s="68">
        <f>93.7+32.6</f>
        <v>126.30000000000001</v>
      </c>
      <c r="AE37" s="68">
        <f>95.4+33.5</f>
        <v>128.9</v>
      </c>
      <c r="AF37" s="68">
        <v>127.6</v>
      </c>
      <c r="AG37" s="64">
        <v>240</v>
      </c>
      <c r="AH37" s="55">
        <f t="shared" si="2"/>
        <v>131</v>
      </c>
      <c r="AI37" s="56">
        <f t="shared" si="3"/>
        <v>114.89999999999999</v>
      </c>
      <c r="AK37" s="57"/>
    </row>
    <row r="38" spans="1:88" ht="15.75" thickBot="1" x14ac:dyDescent="0.3">
      <c r="A38" s="69" t="s">
        <v>46</v>
      </c>
      <c r="B38" s="70">
        <v>1143</v>
      </c>
      <c r="C38" s="70">
        <f t="shared" ref="C38:AF38" si="4">SUM(C11:C36)</f>
        <v>1219</v>
      </c>
      <c r="D38" s="70">
        <f t="shared" si="4"/>
        <v>569.5</v>
      </c>
      <c r="E38" s="70">
        <f t="shared" si="4"/>
        <v>569.5</v>
      </c>
      <c r="F38" s="70">
        <f t="shared" si="4"/>
        <v>1194.5999999999999</v>
      </c>
      <c r="G38" s="70">
        <f t="shared" si="4"/>
        <v>1194.5999999999999</v>
      </c>
      <c r="H38" s="70">
        <f t="shared" si="4"/>
        <v>1194.5999999999999</v>
      </c>
      <c r="I38" s="70">
        <f t="shared" si="4"/>
        <v>1194.5999999999999</v>
      </c>
      <c r="J38" s="70">
        <f t="shared" si="4"/>
        <v>1206.5999999999999</v>
      </c>
      <c r="K38" s="70">
        <f t="shared" si="4"/>
        <v>1206.4000000000001</v>
      </c>
      <c r="L38" s="70">
        <f t="shared" si="4"/>
        <v>1206.4000000000001</v>
      </c>
      <c r="M38" s="70">
        <f t="shared" si="4"/>
        <v>1212.5</v>
      </c>
      <c r="N38" s="70">
        <f t="shared" si="4"/>
        <v>1212.5</v>
      </c>
      <c r="O38" s="70">
        <f t="shared" si="4"/>
        <v>1212.5</v>
      </c>
      <c r="P38" s="70">
        <f t="shared" si="4"/>
        <v>1212.5</v>
      </c>
      <c r="Q38" s="70">
        <f t="shared" si="4"/>
        <v>1211.5</v>
      </c>
      <c r="R38" s="70">
        <f t="shared" si="4"/>
        <v>1204.5</v>
      </c>
      <c r="S38" s="70">
        <f t="shared" si="4"/>
        <v>1202.3999999999999</v>
      </c>
      <c r="T38" s="70">
        <f t="shared" si="4"/>
        <v>1202.3999999999999</v>
      </c>
      <c r="U38" s="70">
        <f t="shared" si="4"/>
        <v>1210.3999999999999</v>
      </c>
      <c r="V38" s="70">
        <f t="shared" si="4"/>
        <v>1210.3999999999999</v>
      </c>
      <c r="W38" s="70">
        <f t="shared" si="4"/>
        <v>1210.3999999999999</v>
      </c>
      <c r="X38" s="70">
        <f t="shared" si="4"/>
        <v>1210.1999999999998</v>
      </c>
      <c r="Y38" s="70">
        <f t="shared" si="4"/>
        <v>1176.5</v>
      </c>
      <c r="Z38" s="70">
        <f t="shared" si="4"/>
        <v>1207.3999999999999</v>
      </c>
      <c r="AA38" s="70">
        <f t="shared" si="4"/>
        <v>1215.8999999999999</v>
      </c>
      <c r="AB38" s="70">
        <f t="shared" si="4"/>
        <v>1215.8999999999999</v>
      </c>
      <c r="AC38" s="70">
        <f t="shared" si="4"/>
        <v>1215.8999999999999</v>
      </c>
      <c r="AD38" s="70">
        <f t="shared" si="4"/>
        <v>1215.8999999999999</v>
      </c>
      <c r="AE38" s="70">
        <f t="shared" si="4"/>
        <v>1215.8999999999999</v>
      </c>
      <c r="AF38" s="70">
        <f t="shared" si="4"/>
        <v>1215.8999999999999</v>
      </c>
      <c r="AG38" s="64">
        <f>SUM(AG11:AG37)</f>
        <v>1492.8299999999997</v>
      </c>
      <c r="AH38" s="55">
        <f t="shared" si="2"/>
        <v>1219</v>
      </c>
      <c r="AI38" s="56">
        <f t="shared" si="3"/>
        <v>569.5</v>
      </c>
      <c r="AK38" s="57"/>
    </row>
    <row r="39" spans="1:88" x14ac:dyDescent="0.25">
      <c r="A39" s="58" t="s">
        <v>47</v>
      </c>
      <c r="B39" s="51">
        <v>144.30000000000001</v>
      </c>
      <c r="C39" s="51">
        <v>144.30000000000001</v>
      </c>
      <c r="D39" s="51"/>
      <c r="E39" s="51"/>
      <c r="F39" s="51">
        <v>106.3</v>
      </c>
      <c r="G39" s="51">
        <v>122</v>
      </c>
      <c r="H39" s="51">
        <v>142.5</v>
      </c>
      <c r="I39" s="51">
        <v>142</v>
      </c>
      <c r="J39" s="51">
        <v>141.9</v>
      </c>
      <c r="K39" s="51">
        <v>141.80000000000001</v>
      </c>
      <c r="L39" s="51">
        <v>144</v>
      </c>
      <c r="M39" s="51">
        <v>144</v>
      </c>
      <c r="N39" s="51">
        <v>144</v>
      </c>
      <c r="O39" s="51">
        <v>144.1</v>
      </c>
      <c r="P39" s="51">
        <v>144.1</v>
      </c>
      <c r="Q39" s="51">
        <v>144.1</v>
      </c>
      <c r="R39" s="51">
        <v>144.1</v>
      </c>
      <c r="S39" s="51">
        <v>143.80000000000001</v>
      </c>
      <c r="T39" s="51">
        <v>144.19999999999999</v>
      </c>
      <c r="U39" s="51">
        <v>142.80000000000001</v>
      </c>
      <c r="V39" s="51">
        <v>144</v>
      </c>
      <c r="W39" s="51">
        <v>144</v>
      </c>
      <c r="X39" s="51">
        <v>144.5</v>
      </c>
      <c r="Y39" s="51">
        <v>144.1</v>
      </c>
      <c r="Z39" s="51">
        <v>144</v>
      </c>
      <c r="AA39" s="51">
        <v>144</v>
      </c>
      <c r="AB39" s="51">
        <v>144.19999999999999</v>
      </c>
      <c r="AC39" s="51">
        <v>143.9</v>
      </c>
      <c r="AD39" s="51">
        <v>144.19999999999999</v>
      </c>
      <c r="AE39" s="51">
        <v>144.19999999999999</v>
      </c>
      <c r="AF39" s="51">
        <v>144.19999999999999</v>
      </c>
      <c r="AG39" s="60">
        <v>144</v>
      </c>
      <c r="AH39" s="55">
        <f t="shared" si="2"/>
        <v>144.5</v>
      </c>
      <c r="AI39" s="56">
        <f t="shared" si="3"/>
        <v>106.3</v>
      </c>
      <c r="AK39" s="57"/>
    </row>
    <row r="40" spans="1:88" x14ac:dyDescent="0.25">
      <c r="A40" s="63" t="s">
        <v>48</v>
      </c>
      <c r="B40" s="49">
        <v>70.8</v>
      </c>
      <c r="C40" s="49">
        <v>70.8</v>
      </c>
      <c r="D40" s="49"/>
      <c r="E40" s="49"/>
      <c r="F40" s="49">
        <v>50.2</v>
      </c>
      <c r="G40" s="49">
        <v>57</v>
      </c>
      <c r="H40" s="49">
        <v>69</v>
      </c>
      <c r="I40" s="49">
        <v>69.5</v>
      </c>
      <c r="J40" s="49">
        <v>70</v>
      </c>
      <c r="K40" s="49">
        <v>69.3</v>
      </c>
      <c r="L40" s="49">
        <v>70.599999999999994</v>
      </c>
      <c r="M40" s="49">
        <v>70.599999999999994</v>
      </c>
      <c r="N40" s="49">
        <v>70.599999999999994</v>
      </c>
      <c r="O40" s="51">
        <v>70.599999999999994</v>
      </c>
      <c r="P40" s="51">
        <v>70.599999999999994</v>
      </c>
      <c r="Q40" s="51">
        <v>70.599999999999994</v>
      </c>
      <c r="R40" s="51">
        <v>70.599999999999994</v>
      </c>
      <c r="S40" s="49">
        <v>72.3</v>
      </c>
      <c r="T40" s="49">
        <v>35</v>
      </c>
      <c r="U40" s="49">
        <v>72.3</v>
      </c>
      <c r="V40" s="49">
        <v>72.3</v>
      </c>
      <c r="W40" s="49">
        <v>72.3</v>
      </c>
      <c r="X40" s="49">
        <v>71.099999999999994</v>
      </c>
      <c r="Y40" s="49">
        <v>72</v>
      </c>
      <c r="Z40" s="49">
        <v>72.3</v>
      </c>
      <c r="AA40" s="49">
        <v>74</v>
      </c>
      <c r="AB40" s="49">
        <v>70.400000000000006</v>
      </c>
      <c r="AC40" s="49">
        <v>70</v>
      </c>
      <c r="AD40" s="49">
        <v>70.599999999999994</v>
      </c>
      <c r="AE40" s="49">
        <v>72.599999999999994</v>
      </c>
      <c r="AF40" s="49">
        <v>72.599999999999994</v>
      </c>
      <c r="AG40" s="64">
        <v>70</v>
      </c>
      <c r="AH40" s="55">
        <f t="shared" si="2"/>
        <v>74</v>
      </c>
      <c r="AI40" s="56">
        <f t="shared" si="3"/>
        <v>35</v>
      </c>
      <c r="AK40" s="57"/>
    </row>
    <row r="41" spans="1:88" x14ac:dyDescent="0.25">
      <c r="A41" s="63" t="s">
        <v>49</v>
      </c>
      <c r="B41" s="49">
        <v>57</v>
      </c>
      <c r="C41" s="49">
        <v>57</v>
      </c>
      <c r="D41" s="49"/>
      <c r="E41" s="49"/>
      <c r="F41" s="49">
        <v>53.9</v>
      </c>
      <c r="G41" s="49">
        <v>56</v>
      </c>
      <c r="H41" s="49">
        <v>60.1</v>
      </c>
      <c r="I41" s="49">
        <v>61.3</v>
      </c>
      <c r="J41" s="49">
        <v>61.6</v>
      </c>
      <c r="K41" s="49">
        <v>61.1</v>
      </c>
      <c r="L41" s="49">
        <v>61.1</v>
      </c>
      <c r="M41" s="49">
        <v>61.1</v>
      </c>
      <c r="N41" s="49">
        <v>61.1</v>
      </c>
      <c r="O41" s="51">
        <v>61.3</v>
      </c>
      <c r="P41" s="51">
        <v>61.3</v>
      </c>
      <c r="Q41" s="51">
        <v>61.3</v>
      </c>
      <c r="R41" s="51">
        <v>61.3</v>
      </c>
      <c r="S41" s="49">
        <v>62.5</v>
      </c>
      <c r="T41" s="49">
        <v>61.9</v>
      </c>
      <c r="U41" s="49">
        <v>61.5</v>
      </c>
      <c r="V41" s="49">
        <v>61.5</v>
      </c>
      <c r="W41" s="49">
        <v>61.5</v>
      </c>
      <c r="X41" s="49">
        <v>61.8</v>
      </c>
      <c r="Y41" s="49">
        <v>61.6</v>
      </c>
      <c r="Z41" s="49">
        <v>62</v>
      </c>
      <c r="AA41" s="49">
        <v>61.9</v>
      </c>
      <c r="AB41" s="49">
        <v>62</v>
      </c>
      <c r="AC41" s="49">
        <v>61.6</v>
      </c>
      <c r="AD41" s="49">
        <v>61.4</v>
      </c>
      <c r="AE41" s="49">
        <v>61.4</v>
      </c>
      <c r="AF41" s="49">
        <v>61.4</v>
      </c>
      <c r="AG41" s="64">
        <v>69</v>
      </c>
      <c r="AH41" s="55">
        <f t="shared" si="2"/>
        <v>62.5</v>
      </c>
      <c r="AI41" s="56">
        <f t="shared" si="3"/>
        <v>53.9</v>
      </c>
      <c r="AK41" s="57"/>
    </row>
    <row r="42" spans="1:88" x14ac:dyDescent="0.25">
      <c r="A42" s="63" t="s">
        <v>50</v>
      </c>
      <c r="B42" s="66">
        <v>60.9</v>
      </c>
      <c r="C42" s="66">
        <v>60.9</v>
      </c>
      <c r="D42" s="66"/>
      <c r="E42" s="66"/>
      <c r="F42" s="66">
        <v>20</v>
      </c>
      <c r="G42" s="66">
        <v>30</v>
      </c>
      <c r="H42" s="66">
        <v>30.5</v>
      </c>
      <c r="I42" s="66">
        <v>30.5</v>
      </c>
      <c r="J42" s="66">
        <v>30.7</v>
      </c>
      <c r="K42" s="66">
        <v>60</v>
      </c>
      <c r="L42" s="66">
        <v>60.4</v>
      </c>
      <c r="M42" s="66">
        <v>60.4</v>
      </c>
      <c r="N42" s="66">
        <v>60.4</v>
      </c>
      <c r="O42" s="51">
        <v>60.2</v>
      </c>
      <c r="P42" s="51">
        <v>60.2</v>
      </c>
      <c r="Q42" s="51">
        <v>60.2</v>
      </c>
      <c r="R42" s="51">
        <v>60.2</v>
      </c>
      <c r="S42" s="51">
        <v>60.4</v>
      </c>
      <c r="T42" s="51">
        <v>60.4</v>
      </c>
      <c r="U42" s="51">
        <v>60.4</v>
      </c>
      <c r="V42" s="51">
        <v>60.4</v>
      </c>
      <c r="W42" s="51">
        <v>60.4</v>
      </c>
      <c r="X42" s="49">
        <v>60.4</v>
      </c>
      <c r="Y42" s="49">
        <v>60.4</v>
      </c>
      <c r="Z42" s="49">
        <v>60.4</v>
      </c>
      <c r="AA42" s="49">
        <v>60.4</v>
      </c>
      <c r="AB42" s="66">
        <v>60.4</v>
      </c>
      <c r="AC42" s="66">
        <v>60.4</v>
      </c>
      <c r="AD42" s="66">
        <v>60.4</v>
      </c>
      <c r="AE42" s="66">
        <v>60.4</v>
      </c>
      <c r="AF42" s="66">
        <v>60.4</v>
      </c>
      <c r="AG42" s="64">
        <v>60</v>
      </c>
      <c r="AH42" s="55">
        <f t="shared" si="2"/>
        <v>60.9</v>
      </c>
      <c r="AI42" s="56">
        <f t="shared" si="3"/>
        <v>20</v>
      </c>
      <c r="AK42" s="57"/>
    </row>
    <row r="43" spans="1:88" x14ac:dyDescent="0.25">
      <c r="A43" s="63" t="s">
        <v>51</v>
      </c>
      <c r="B43" s="66">
        <v>18</v>
      </c>
      <c r="C43" s="66">
        <v>18</v>
      </c>
      <c r="D43" s="66"/>
      <c r="E43" s="66"/>
      <c r="F43" s="66">
        <v>15</v>
      </c>
      <c r="G43" s="66">
        <v>15</v>
      </c>
      <c r="H43" s="66">
        <v>10</v>
      </c>
      <c r="I43" s="66">
        <v>10</v>
      </c>
      <c r="J43" s="66">
        <v>10</v>
      </c>
      <c r="K43" s="66">
        <v>10</v>
      </c>
      <c r="L43" s="66">
        <v>10</v>
      </c>
      <c r="M43" s="51">
        <v>10</v>
      </c>
      <c r="N43" s="51">
        <v>10</v>
      </c>
      <c r="O43" s="51">
        <v>19</v>
      </c>
      <c r="P43" s="51">
        <v>19</v>
      </c>
      <c r="Q43" s="51">
        <v>19</v>
      </c>
      <c r="R43" s="51">
        <v>30</v>
      </c>
      <c r="S43" s="51">
        <v>28</v>
      </c>
      <c r="T43" s="51">
        <v>28.9</v>
      </c>
      <c r="U43" s="51">
        <v>6.2</v>
      </c>
      <c r="V43" s="51">
        <v>6.2</v>
      </c>
      <c r="W43" s="51">
        <v>6.2</v>
      </c>
      <c r="X43" s="49">
        <v>6.4</v>
      </c>
      <c r="Y43" s="49">
        <v>6.4</v>
      </c>
      <c r="Z43" s="49">
        <v>6.5</v>
      </c>
      <c r="AA43" s="49">
        <v>21</v>
      </c>
      <c r="AB43" s="66">
        <v>30</v>
      </c>
      <c r="AC43" s="66">
        <v>30</v>
      </c>
      <c r="AD43" s="66">
        <v>30</v>
      </c>
      <c r="AE43" s="66">
        <v>30</v>
      </c>
      <c r="AF43" s="66">
        <v>30</v>
      </c>
      <c r="AG43" s="64">
        <v>30</v>
      </c>
      <c r="AH43" s="55">
        <f t="shared" si="2"/>
        <v>30</v>
      </c>
      <c r="AI43" s="56">
        <f t="shared" si="3"/>
        <v>6.2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/>
      <c r="E44" s="49"/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12</v>
      </c>
      <c r="T44" s="51">
        <v>12</v>
      </c>
      <c r="U44" s="51">
        <v>12</v>
      </c>
      <c r="V44" s="51">
        <v>12</v>
      </c>
      <c r="W44" s="51">
        <v>12</v>
      </c>
      <c r="X44" s="51">
        <v>5</v>
      </c>
      <c r="Y44" s="51">
        <v>2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12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17.7</v>
      </c>
      <c r="C45" s="49">
        <v>17.7</v>
      </c>
      <c r="D45" s="49"/>
      <c r="E45" s="49"/>
      <c r="F45" s="49">
        <v>16.5</v>
      </c>
      <c r="G45" s="49">
        <v>16.5</v>
      </c>
      <c r="H45" s="49">
        <v>17.5</v>
      </c>
      <c r="I45" s="49">
        <v>17.5</v>
      </c>
      <c r="J45" s="49">
        <v>17.5</v>
      </c>
      <c r="K45" s="49">
        <v>17.5</v>
      </c>
      <c r="L45" s="49">
        <v>17.5</v>
      </c>
      <c r="M45" s="49">
        <v>17.5</v>
      </c>
      <c r="N45" s="49">
        <v>17.5</v>
      </c>
      <c r="O45" s="51">
        <v>17.399999999999999</v>
      </c>
      <c r="P45" s="51">
        <v>17.399999999999999</v>
      </c>
      <c r="Q45" s="51">
        <v>17.399999999999999</v>
      </c>
      <c r="R45" s="51">
        <v>17.399999999999999</v>
      </c>
      <c r="S45" s="51">
        <v>17.5</v>
      </c>
      <c r="T45" s="51">
        <v>17.5</v>
      </c>
      <c r="U45" s="51">
        <v>17.399999999999999</v>
      </c>
      <c r="V45" s="51">
        <v>17.399999999999999</v>
      </c>
      <c r="W45" s="51">
        <v>17.399999999999999</v>
      </c>
      <c r="X45" s="51">
        <v>16.5</v>
      </c>
      <c r="Y45" s="51">
        <v>16.399999999999999</v>
      </c>
      <c r="Z45" s="51">
        <v>16.399999999999999</v>
      </c>
      <c r="AA45" s="51">
        <v>16.8</v>
      </c>
      <c r="AB45" s="51">
        <v>16.899999999999999</v>
      </c>
      <c r="AC45" s="51">
        <v>16.899999999999999</v>
      </c>
      <c r="AD45" s="51">
        <v>16.899999999999999</v>
      </c>
      <c r="AE45" s="51">
        <v>16.899999999999999</v>
      </c>
      <c r="AF45" s="51">
        <v>16.899999999999999</v>
      </c>
      <c r="AG45" s="64">
        <v>24</v>
      </c>
      <c r="AH45" s="55">
        <f t="shared" si="2"/>
        <v>17.7</v>
      </c>
      <c r="AI45" s="56">
        <f t="shared" si="3"/>
        <v>16.399999999999999</v>
      </c>
      <c r="AK45" s="57"/>
    </row>
    <row r="46" spans="1:88" x14ac:dyDescent="0.25">
      <c r="A46" s="63" t="s">
        <v>54</v>
      </c>
      <c r="B46" s="49">
        <v>0</v>
      </c>
      <c r="C46" s="49">
        <v>0</v>
      </c>
      <c r="D46" s="49"/>
      <c r="E46" s="49"/>
      <c r="F46" s="49">
        <v>2.5</v>
      </c>
      <c r="G46" s="49">
        <v>2.5</v>
      </c>
      <c r="H46" s="49">
        <v>2.5</v>
      </c>
      <c r="I46" s="49">
        <v>2.5</v>
      </c>
      <c r="J46" s="49">
        <v>2.5</v>
      </c>
      <c r="K46" s="49">
        <v>2.5</v>
      </c>
      <c r="L46" s="49">
        <v>2.5</v>
      </c>
      <c r="M46" s="49">
        <v>2.5</v>
      </c>
      <c r="N46" s="49">
        <v>2.5</v>
      </c>
      <c r="O46" s="51">
        <v>2.5</v>
      </c>
      <c r="P46" s="51">
        <v>2.5</v>
      </c>
      <c r="Q46" s="51">
        <v>2.5</v>
      </c>
      <c r="R46" s="51">
        <v>2.5</v>
      </c>
      <c r="S46" s="51">
        <v>2.5</v>
      </c>
      <c r="T46" s="51">
        <v>2.5</v>
      </c>
      <c r="U46" s="51">
        <v>2.5</v>
      </c>
      <c r="V46" s="51">
        <v>2.5</v>
      </c>
      <c r="W46" s="51">
        <v>2.5</v>
      </c>
      <c r="X46" s="51">
        <v>2.5</v>
      </c>
      <c r="Y46" s="51">
        <v>2.5</v>
      </c>
      <c r="Z46" s="51">
        <v>2.5</v>
      </c>
      <c r="AA46" s="51">
        <v>2.5</v>
      </c>
      <c r="AB46" s="51">
        <v>2.5</v>
      </c>
      <c r="AC46" s="51">
        <v>2.5</v>
      </c>
      <c r="AD46" s="51">
        <v>2.5</v>
      </c>
      <c r="AE46" s="51">
        <v>2.5</v>
      </c>
      <c r="AF46" s="51">
        <v>2.5</v>
      </c>
      <c r="AG46" s="64">
        <v>15</v>
      </c>
      <c r="AH46" s="55">
        <f t="shared" si="2"/>
        <v>2.5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13.5</v>
      </c>
      <c r="C47" s="49">
        <v>13.5</v>
      </c>
      <c r="D47" s="49"/>
      <c r="E47" s="49"/>
      <c r="F47" s="49">
        <v>14</v>
      </c>
      <c r="G47" s="49">
        <v>14</v>
      </c>
      <c r="H47" s="49">
        <v>14</v>
      </c>
      <c r="I47" s="49">
        <v>14</v>
      </c>
      <c r="J47" s="49">
        <v>14</v>
      </c>
      <c r="K47" s="49">
        <v>14</v>
      </c>
      <c r="L47" s="49">
        <v>14</v>
      </c>
      <c r="M47" s="49">
        <v>14</v>
      </c>
      <c r="N47" s="49">
        <v>14</v>
      </c>
      <c r="O47" s="51">
        <v>13.8</v>
      </c>
      <c r="P47" s="51">
        <v>13.8</v>
      </c>
      <c r="Q47" s="51">
        <v>13.8</v>
      </c>
      <c r="R47" s="51">
        <v>13.8</v>
      </c>
      <c r="S47" s="51">
        <v>14.5</v>
      </c>
      <c r="T47" s="51">
        <v>14.5</v>
      </c>
      <c r="U47" s="51">
        <v>14.5</v>
      </c>
      <c r="V47" s="51">
        <v>14.5</v>
      </c>
      <c r="W47" s="51">
        <v>14.5</v>
      </c>
      <c r="X47" s="51">
        <v>10.6</v>
      </c>
      <c r="Y47" s="51">
        <v>12.4</v>
      </c>
      <c r="Z47" s="51">
        <v>13.7</v>
      </c>
      <c r="AA47" s="51">
        <v>12.6</v>
      </c>
      <c r="AB47" s="51">
        <v>12.6</v>
      </c>
      <c r="AC47" s="51">
        <v>12.6</v>
      </c>
      <c r="AD47" s="51">
        <v>12.6</v>
      </c>
      <c r="AE47" s="51">
        <v>12.6</v>
      </c>
      <c r="AF47" s="51">
        <v>12.6</v>
      </c>
      <c r="AG47" s="64">
        <v>14.1</v>
      </c>
      <c r="AH47" s="55">
        <f t="shared" si="2"/>
        <v>14.5</v>
      </c>
      <c r="AI47" s="56">
        <f t="shared" si="3"/>
        <v>10.6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13.5</v>
      </c>
      <c r="C48" s="49">
        <v>13.5</v>
      </c>
      <c r="D48" s="49"/>
      <c r="E48" s="49"/>
      <c r="F48" s="49">
        <v>13.6</v>
      </c>
      <c r="G48" s="49">
        <v>13.6</v>
      </c>
      <c r="H48" s="49">
        <v>13.6</v>
      </c>
      <c r="I48" s="49">
        <v>13.6</v>
      </c>
      <c r="J48" s="49">
        <v>13.6</v>
      </c>
      <c r="K48" s="49">
        <v>13.6</v>
      </c>
      <c r="L48" s="49">
        <v>13.6</v>
      </c>
      <c r="M48" s="49">
        <v>13.6</v>
      </c>
      <c r="N48" s="49">
        <v>13.6</v>
      </c>
      <c r="O48" s="51">
        <v>13.6</v>
      </c>
      <c r="P48" s="51">
        <v>13.6</v>
      </c>
      <c r="Q48" s="51">
        <v>13.6</v>
      </c>
      <c r="R48" s="51">
        <v>13.6</v>
      </c>
      <c r="S48" s="51">
        <v>13.6</v>
      </c>
      <c r="T48" s="51">
        <v>13.6</v>
      </c>
      <c r="U48" s="51">
        <v>13.6</v>
      </c>
      <c r="V48" s="51">
        <v>13.6</v>
      </c>
      <c r="W48" s="51">
        <v>13.6</v>
      </c>
      <c r="X48" s="51">
        <v>13.8</v>
      </c>
      <c r="Y48" s="51">
        <v>13.8</v>
      </c>
      <c r="Z48" s="51">
        <v>13.7</v>
      </c>
      <c r="AA48" s="51">
        <v>13.8</v>
      </c>
      <c r="AB48" s="51">
        <v>13.8</v>
      </c>
      <c r="AC48" s="51">
        <v>13.8</v>
      </c>
      <c r="AD48" s="51">
        <v>13.8</v>
      </c>
      <c r="AE48" s="51">
        <v>13.8</v>
      </c>
      <c r="AF48" s="51">
        <v>13.8</v>
      </c>
      <c r="AG48" s="64">
        <v>14</v>
      </c>
      <c r="AH48" s="55">
        <f t="shared" si="2"/>
        <v>13.8</v>
      </c>
      <c r="AI48" s="56">
        <f t="shared" si="3"/>
        <v>13.5</v>
      </c>
      <c r="AK48" s="57"/>
    </row>
    <row r="49" spans="1:37" x14ac:dyDescent="0.25">
      <c r="A49" s="63" t="s">
        <v>57</v>
      </c>
      <c r="B49" s="49">
        <v>7.4</v>
      </c>
      <c r="C49" s="49">
        <v>7.4</v>
      </c>
      <c r="D49" s="49"/>
      <c r="E49" s="49"/>
      <c r="F49" s="49">
        <v>9.6</v>
      </c>
      <c r="G49" s="49">
        <v>9.6</v>
      </c>
      <c r="H49" s="49">
        <v>9.6</v>
      </c>
      <c r="I49" s="49">
        <v>9.6</v>
      </c>
      <c r="J49" s="49">
        <v>9.6</v>
      </c>
      <c r="K49" s="49">
        <v>9.6</v>
      </c>
      <c r="L49" s="49">
        <v>9.6</v>
      </c>
      <c r="M49" s="49">
        <v>9.6</v>
      </c>
      <c r="N49" s="49">
        <v>9.6</v>
      </c>
      <c r="O49" s="51">
        <v>9.6</v>
      </c>
      <c r="P49" s="51">
        <v>9.6</v>
      </c>
      <c r="Q49" s="51">
        <v>9.6</v>
      </c>
      <c r="R49" s="51">
        <v>9.6</v>
      </c>
      <c r="S49" s="51">
        <v>9.5</v>
      </c>
      <c r="T49" s="51">
        <v>9.5</v>
      </c>
      <c r="U49" s="51">
        <v>9.5</v>
      </c>
      <c r="V49" s="51">
        <v>9.5</v>
      </c>
      <c r="W49" s="51">
        <v>9.5</v>
      </c>
      <c r="X49" s="51">
        <v>9.6</v>
      </c>
      <c r="Y49" s="51">
        <v>9.6</v>
      </c>
      <c r="Z49" s="51">
        <v>9.5</v>
      </c>
      <c r="AA49" s="51">
        <v>9.5</v>
      </c>
      <c r="AB49" s="51">
        <v>9.5</v>
      </c>
      <c r="AC49" s="51">
        <v>9.5</v>
      </c>
      <c r="AD49" s="51">
        <v>9.5</v>
      </c>
      <c r="AE49" s="51">
        <v>9.5</v>
      </c>
      <c r="AF49" s="51">
        <v>9.5</v>
      </c>
      <c r="AG49" s="64">
        <v>10.050000000000001</v>
      </c>
      <c r="AH49" s="55">
        <f t="shared" si="2"/>
        <v>9.6</v>
      </c>
      <c r="AI49" s="56">
        <f t="shared" si="3"/>
        <v>7.4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49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51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v>409.74</v>
      </c>
      <c r="C52" s="70">
        <f t="shared" ref="C52:AF52" si="6">SUM(C39:C51)</f>
        <v>412.64</v>
      </c>
      <c r="D52" s="70">
        <f t="shared" si="6"/>
        <v>9.5399999999999991</v>
      </c>
      <c r="E52" s="70">
        <f t="shared" si="6"/>
        <v>9.5399999999999991</v>
      </c>
      <c r="F52" s="70">
        <f t="shared" si="6"/>
        <v>311.14000000000004</v>
      </c>
      <c r="G52" s="70">
        <f t="shared" si="6"/>
        <v>345.74000000000007</v>
      </c>
      <c r="H52" s="70">
        <f t="shared" si="6"/>
        <v>378.84000000000009</v>
      </c>
      <c r="I52" s="70">
        <f t="shared" si="6"/>
        <v>380.04000000000008</v>
      </c>
      <c r="J52" s="70">
        <f t="shared" si="6"/>
        <v>380.94000000000005</v>
      </c>
      <c r="K52" s="70">
        <f t="shared" si="6"/>
        <v>408.94000000000011</v>
      </c>
      <c r="L52" s="70">
        <f t="shared" si="6"/>
        <v>412.84000000000003</v>
      </c>
      <c r="M52" s="70">
        <f t="shared" si="6"/>
        <v>412.84000000000003</v>
      </c>
      <c r="N52" s="70">
        <f t="shared" si="6"/>
        <v>412.84000000000003</v>
      </c>
      <c r="O52" s="70">
        <f t="shared" si="6"/>
        <v>421.64000000000004</v>
      </c>
      <c r="P52" s="70">
        <f t="shared" si="6"/>
        <v>421.64000000000004</v>
      </c>
      <c r="Q52" s="70">
        <f t="shared" si="6"/>
        <v>421.64000000000004</v>
      </c>
      <c r="R52" s="70">
        <f t="shared" si="6"/>
        <v>432.64000000000004</v>
      </c>
      <c r="S52" s="70">
        <f t="shared" si="6"/>
        <v>446.14000000000004</v>
      </c>
      <c r="T52" s="70">
        <f t="shared" si="6"/>
        <v>409.54</v>
      </c>
      <c r="U52" s="70">
        <f t="shared" si="6"/>
        <v>422.24</v>
      </c>
      <c r="V52" s="70">
        <f t="shared" si="6"/>
        <v>423.44</v>
      </c>
      <c r="W52" s="70">
        <f t="shared" si="6"/>
        <v>423.44</v>
      </c>
      <c r="X52" s="70">
        <f t="shared" si="6"/>
        <v>411.74</v>
      </c>
      <c r="Y52" s="70">
        <f t="shared" si="6"/>
        <v>410.73999999999995</v>
      </c>
      <c r="Z52" s="70">
        <f t="shared" si="6"/>
        <v>410.53999999999996</v>
      </c>
      <c r="AA52" s="70">
        <f t="shared" si="6"/>
        <v>426.04</v>
      </c>
      <c r="AB52" s="70">
        <f t="shared" si="6"/>
        <v>431.84000000000003</v>
      </c>
      <c r="AC52" s="70">
        <f t="shared" si="6"/>
        <v>430.74</v>
      </c>
      <c r="AD52" s="70">
        <f t="shared" si="6"/>
        <v>431.44</v>
      </c>
      <c r="AE52" s="70">
        <f t="shared" si="6"/>
        <v>433.44</v>
      </c>
      <c r="AF52" s="70">
        <f t="shared" si="6"/>
        <v>433.44</v>
      </c>
      <c r="AG52" s="74">
        <f>SUM(AG39:AG51)</f>
        <v>489.91</v>
      </c>
      <c r="AH52" s="55">
        <f t="shared" si="2"/>
        <v>446.14000000000004</v>
      </c>
      <c r="AI52" s="56">
        <f t="shared" si="3"/>
        <v>9.5399999999999991</v>
      </c>
      <c r="AK52" s="57"/>
    </row>
    <row r="53" spans="1:37" x14ac:dyDescent="0.25">
      <c r="A53" s="58" t="s">
        <v>61</v>
      </c>
      <c r="B53" s="51">
        <v>20</v>
      </c>
      <c r="C53" s="51">
        <v>20</v>
      </c>
      <c r="D53" s="51"/>
      <c r="E53" s="51"/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14</v>
      </c>
      <c r="M53" s="51">
        <v>14.1</v>
      </c>
      <c r="N53" s="51">
        <v>14</v>
      </c>
      <c r="O53" s="51">
        <v>50</v>
      </c>
      <c r="P53" s="51">
        <v>60</v>
      </c>
      <c r="Q53" s="51">
        <v>60</v>
      </c>
      <c r="R53" s="51">
        <v>50</v>
      </c>
      <c r="S53" s="51">
        <v>50</v>
      </c>
      <c r="T53" s="51">
        <v>50</v>
      </c>
      <c r="U53" s="51">
        <v>19.5</v>
      </c>
      <c r="V53" s="51">
        <v>20</v>
      </c>
      <c r="W53" s="51">
        <v>30</v>
      </c>
      <c r="X53" s="51">
        <v>13.7</v>
      </c>
      <c r="Y53" s="51">
        <v>13.7</v>
      </c>
      <c r="Z53" s="51">
        <v>14.1</v>
      </c>
      <c r="AA53" s="51">
        <v>43.6</v>
      </c>
      <c r="AB53" s="51">
        <v>60</v>
      </c>
      <c r="AC53" s="51">
        <v>60</v>
      </c>
      <c r="AD53" s="51">
        <v>60</v>
      </c>
      <c r="AE53" s="51">
        <v>40</v>
      </c>
      <c r="AF53" s="51">
        <v>14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10.3</v>
      </c>
      <c r="C54" s="49">
        <v>10.3</v>
      </c>
      <c r="D54" s="49"/>
      <c r="E54" s="49"/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11.3</v>
      </c>
      <c r="M54" s="49">
        <v>5.3</v>
      </c>
      <c r="N54" s="49">
        <v>7.3</v>
      </c>
      <c r="O54" s="49">
        <v>15</v>
      </c>
      <c r="P54" s="49">
        <v>30.9</v>
      </c>
      <c r="Q54" s="49">
        <v>30.9</v>
      </c>
      <c r="R54" s="49">
        <v>23</v>
      </c>
      <c r="S54" s="49">
        <v>22.6</v>
      </c>
      <c r="T54" s="49">
        <v>22.6</v>
      </c>
      <c r="U54" s="49">
        <v>9.1999999999999993</v>
      </c>
      <c r="V54" s="49">
        <v>9.8000000000000007</v>
      </c>
      <c r="W54" s="49">
        <v>14</v>
      </c>
      <c r="X54" s="49">
        <v>6.9</v>
      </c>
      <c r="Y54" s="49">
        <v>6.2</v>
      </c>
      <c r="Z54" s="49">
        <v>6.4</v>
      </c>
      <c r="AA54" s="49">
        <v>19.8</v>
      </c>
      <c r="AB54" s="49">
        <v>31.2</v>
      </c>
      <c r="AC54" s="49">
        <v>31.2</v>
      </c>
      <c r="AD54" s="49">
        <v>31.2</v>
      </c>
      <c r="AE54" s="49">
        <v>18.8</v>
      </c>
      <c r="AF54" s="49">
        <v>6.2</v>
      </c>
      <c r="AG54" s="64">
        <v>32</v>
      </c>
      <c r="AH54" s="55">
        <f t="shared" si="2"/>
        <v>31.2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3.8</v>
      </c>
      <c r="C55" s="75">
        <v>3.8</v>
      </c>
      <c r="D55" s="75"/>
      <c r="E55" s="75"/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4.0999999999999996</v>
      </c>
      <c r="M55" s="75">
        <v>1.9</v>
      </c>
      <c r="N55" s="75">
        <v>2.7</v>
      </c>
      <c r="O55" s="75">
        <v>5.2</v>
      </c>
      <c r="P55" s="75">
        <v>11.3</v>
      </c>
      <c r="Q55" s="75">
        <v>11.3</v>
      </c>
      <c r="R55" s="75">
        <v>8.4</v>
      </c>
      <c r="S55" s="75">
        <v>8.1999999999999993</v>
      </c>
      <c r="T55" s="75">
        <v>8.1999999999999993</v>
      </c>
      <c r="U55" s="75">
        <v>3.4</v>
      </c>
      <c r="V55" s="75">
        <v>4</v>
      </c>
      <c r="W55" s="75">
        <v>5.2</v>
      </c>
      <c r="X55" s="75">
        <v>2.5</v>
      </c>
      <c r="Y55" s="75">
        <v>2.2999999999999998</v>
      </c>
      <c r="Z55" s="75">
        <v>2.4</v>
      </c>
      <c r="AA55" s="75">
        <v>7.2</v>
      </c>
      <c r="AB55" s="75">
        <v>11.4</v>
      </c>
      <c r="AC55" s="75">
        <v>11.4</v>
      </c>
      <c r="AD55" s="75">
        <v>11.4</v>
      </c>
      <c r="AE55" s="75">
        <v>6.9</v>
      </c>
      <c r="AF55" s="75">
        <v>3.2</v>
      </c>
      <c r="AG55" s="76">
        <v>14</v>
      </c>
      <c r="AH55" s="55">
        <f t="shared" si="2"/>
        <v>11.4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v>34.1</v>
      </c>
      <c r="C56" s="70">
        <f t="shared" ref="C56:AF56" si="7">SUM(C53:C55)</f>
        <v>34.1</v>
      </c>
      <c r="D56" s="70">
        <f t="shared" si="7"/>
        <v>0</v>
      </c>
      <c r="E56" s="70">
        <f t="shared" si="7"/>
        <v>0</v>
      </c>
      <c r="F56" s="70">
        <f t="shared" si="7"/>
        <v>0</v>
      </c>
      <c r="G56" s="70">
        <f t="shared" si="7"/>
        <v>0</v>
      </c>
      <c r="H56" s="70">
        <f t="shared" si="7"/>
        <v>0</v>
      </c>
      <c r="I56" s="70">
        <f t="shared" si="7"/>
        <v>0</v>
      </c>
      <c r="J56" s="70">
        <f t="shared" si="7"/>
        <v>0</v>
      </c>
      <c r="K56" s="70">
        <f t="shared" si="7"/>
        <v>0</v>
      </c>
      <c r="L56" s="70">
        <f t="shared" si="7"/>
        <v>29.4</v>
      </c>
      <c r="M56" s="70">
        <f t="shared" si="7"/>
        <v>21.299999999999997</v>
      </c>
      <c r="N56" s="70">
        <f t="shared" si="7"/>
        <v>24</v>
      </c>
      <c r="O56" s="70">
        <f t="shared" si="7"/>
        <v>70.2</v>
      </c>
      <c r="P56" s="70">
        <f t="shared" si="7"/>
        <v>102.2</v>
      </c>
      <c r="Q56" s="70">
        <f t="shared" si="7"/>
        <v>102.2</v>
      </c>
      <c r="R56" s="70">
        <f t="shared" si="7"/>
        <v>81.400000000000006</v>
      </c>
      <c r="S56" s="70">
        <f t="shared" si="7"/>
        <v>80.8</v>
      </c>
      <c r="T56" s="70">
        <f t="shared" si="7"/>
        <v>80.8</v>
      </c>
      <c r="U56" s="70">
        <f t="shared" si="7"/>
        <v>32.1</v>
      </c>
      <c r="V56" s="70">
        <f t="shared" si="7"/>
        <v>33.799999999999997</v>
      </c>
      <c r="W56" s="70">
        <f t="shared" si="7"/>
        <v>49.2</v>
      </c>
      <c r="X56" s="70">
        <f t="shared" si="7"/>
        <v>23.1</v>
      </c>
      <c r="Y56" s="70">
        <f t="shared" si="7"/>
        <v>22.2</v>
      </c>
      <c r="Z56" s="70">
        <f t="shared" si="7"/>
        <v>22.9</v>
      </c>
      <c r="AA56" s="70">
        <f t="shared" si="7"/>
        <v>70.600000000000009</v>
      </c>
      <c r="AB56" s="70">
        <f t="shared" si="7"/>
        <v>102.60000000000001</v>
      </c>
      <c r="AC56" s="70">
        <f t="shared" si="7"/>
        <v>102.60000000000001</v>
      </c>
      <c r="AD56" s="70">
        <f t="shared" si="7"/>
        <v>102.60000000000001</v>
      </c>
      <c r="AE56" s="70">
        <f t="shared" si="7"/>
        <v>65.7</v>
      </c>
      <c r="AF56" s="70">
        <f t="shared" si="7"/>
        <v>23.4</v>
      </c>
      <c r="AG56" s="74">
        <f>SUM(AG53:AG55)</f>
        <v>106</v>
      </c>
      <c r="AH56" s="55">
        <f t="shared" si="2"/>
        <v>102.60000000000001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74.900000000000006</v>
      </c>
      <c r="C57" s="51">
        <v>68</v>
      </c>
      <c r="D57" s="51"/>
      <c r="E57" s="51"/>
      <c r="F57" s="51">
        <v>71</v>
      </c>
      <c r="G57" s="51">
        <v>70</v>
      </c>
      <c r="H57" s="51">
        <v>72</v>
      </c>
      <c r="I57" s="51">
        <v>69</v>
      </c>
      <c r="J57" s="51">
        <v>65</v>
      </c>
      <c r="K57" s="51">
        <v>65</v>
      </c>
      <c r="L57" s="51">
        <v>65</v>
      </c>
      <c r="M57" s="51">
        <v>71.5</v>
      </c>
      <c r="N57" s="51">
        <v>61.6</v>
      </c>
      <c r="O57" s="51">
        <v>75</v>
      </c>
      <c r="P57" s="51">
        <v>72.8</v>
      </c>
      <c r="Q57" s="51">
        <v>70.8</v>
      </c>
      <c r="R57" s="51">
        <v>76</v>
      </c>
      <c r="S57" s="51">
        <v>76.3</v>
      </c>
      <c r="T57" s="51">
        <v>75</v>
      </c>
      <c r="U57" s="51">
        <v>68</v>
      </c>
      <c r="V57" s="51">
        <v>67</v>
      </c>
      <c r="W57" s="51">
        <v>62</v>
      </c>
      <c r="X57" s="51">
        <v>63.8</v>
      </c>
      <c r="Y57" s="51">
        <v>63.5</v>
      </c>
      <c r="Z57" s="51">
        <v>62.5</v>
      </c>
      <c r="AA57" s="51">
        <v>73.8</v>
      </c>
      <c r="AB57" s="51">
        <v>59.4</v>
      </c>
      <c r="AC57" s="51">
        <v>70.099999999999994</v>
      </c>
      <c r="AD57" s="51">
        <v>72.099999999999994</v>
      </c>
      <c r="AE57" s="51">
        <v>72.400000000000006</v>
      </c>
      <c r="AF57" s="51">
        <v>69.5</v>
      </c>
      <c r="AG57" s="60"/>
      <c r="AH57" s="55">
        <f t="shared" si="2"/>
        <v>76.3</v>
      </c>
      <c r="AI57" s="56">
        <f t="shared" si="3"/>
        <v>59.4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/>
      <c r="E58" s="49"/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-365</v>
      </c>
      <c r="C59" s="49">
        <v>-375</v>
      </c>
      <c r="D59" s="49">
        <v>-300</v>
      </c>
      <c r="E59" s="49">
        <v>-450</v>
      </c>
      <c r="F59" s="49">
        <v>-415</v>
      </c>
      <c r="G59" s="49">
        <v>-380</v>
      </c>
      <c r="H59" s="49">
        <v>-388</v>
      </c>
      <c r="I59" s="49">
        <v>-375</v>
      </c>
      <c r="J59" s="49">
        <v>-340</v>
      </c>
      <c r="K59" s="49">
        <v>-289</v>
      </c>
      <c r="L59" s="49">
        <v>-289</v>
      </c>
      <c r="M59" s="49">
        <v>-324</v>
      </c>
      <c r="N59" s="49">
        <v>-293.5</v>
      </c>
      <c r="O59" s="49">
        <v>-297.8</v>
      </c>
      <c r="P59" s="49">
        <v>-265</v>
      </c>
      <c r="Q59" s="49">
        <v>-287</v>
      </c>
      <c r="R59" s="49">
        <v>-266</v>
      </c>
      <c r="S59" s="49">
        <v>-255</v>
      </c>
      <c r="T59" s="49">
        <v>-250</v>
      </c>
      <c r="U59" s="49">
        <v>-264.39999999999998</v>
      </c>
      <c r="V59" s="49">
        <v>-252</v>
      </c>
      <c r="W59" s="49">
        <v>-280</v>
      </c>
      <c r="X59" s="49">
        <v>-289</v>
      </c>
      <c r="Y59" s="49">
        <v>-276</v>
      </c>
      <c r="Z59" s="49">
        <v>-255</v>
      </c>
      <c r="AA59" s="49">
        <v>-204</v>
      </c>
      <c r="AB59" s="49">
        <v>-212.8</v>
      </c>
      <c r="AC59" s="49">
        <v>-210.7</v>
      </c>
      <c r="AD59" s="49">
        <v>-260.2</v>
      </c>
      <c r="AE59" s="49">
        <v>-307.5</v>
      </c>
      <c r="AF59" s="49">
        <v>-310</v>
      </c>
      <c r="AG59" s="77"/>
      <c r="AH59" s="55">
        <f t="shared" si="2"/>
        <v>-204</v>
      </c>
      <c r="AI59" s="56">
        <f t="shared" si="3"/>
        <v>-450</v>
      </c>
      <c r="AK59" s="57"/>
    </row>
    <row r="60" spans="1:37" x14ac:dyDescent="0.25">
      <c r="A60" s="63" t="s">
        <v>68</v>
      </c>
      <c r="B60" s="78">
        <v>13</v>
      </c>
      <c r="C60" s="78">
        <v>13</v>
      </c>
      <c r="D60" s="78"/>
      <c r="E60" s="78"/>
      <c r="F60" s="78">
        <v>0</v>
      </c>
      <c r="G60" s="78">
        <v>0</v>
      </c>
      <c r="H60" s="78">
        <v>0</v>
      </c>
      <c r="I60" s="78">
        <v>0</v>
      </c>
      <c r="J60" s="78">
        <v>12</v>
      </c>
      <c r="K60" s="78">
        <v>12</v>
      </c>
      <c r="L60" s="78">
        <v>12</v>
      </c>
      <c r="M60" s="78">
        <v>12</v>
      </c>
      <c r="N60" s="78">
        <v>12</v>
      </c>
      <c r="O60" s="78">
        <v>12</v>
      </c>
      <c r="P60" s="78">
        <v>12</v>
      </c>
      <c r="Q60" s="78">
        <v>12</v>
      </c>
      <c r="R60" s="78">
        <v>12</v>
      </c>
      <c r="S60" s="78">
        <v>12</v>
      </c>
      <c r="T60" s="78">
        <v>12</v>
      </c>
      <c r="U60" s="78">
        <v>12</v>
      </c>
      <c r="V60" s="78">
        <v>28</v>
      </c>
      <c r="W60" s="78">
        <v>32</v>
      </c>
      <c r="X60" s="78">
        <v>32.4</v>
      </c>
      <c r="Y60" s="78">
        <v>32.6</v>
      </c>
      <c r="Z60" s="78">
        <v>26.7</v>
      </c>
      <c r="AA60" s="78">
        <v>26.4</v>
      </c>
      <c r="AB60" s="78">
        <v>26.4</v>
      </c>
      <c r="AC60" s="78">
        <v>13</v>
      </c>
      <c r="AD60" s="78">
        <v>13</v>
      </c>
      <c r="AE60" s="78">
        <v>13</v>
      </c>
      <c r="AF60" s="78">
        <v>13</v>
      </c>
      <c r="AG60" s="77"/>
      <c r="AH60" s="55">
        <f t="shared" si="2"/>
        <v>32.6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/>
      <c r="E61" s="51"/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4</v>
      </c>
      <c r="C62" s="79">
        <v>4</v>
      </c>
      <c r="D62" s="79"/>
      <c r="E62" s="79"/>
      <c r="F62" s="79">
        <v>4</v>
      </c>
      <c r="G62" s="79">
        <v>0</v>
      </c>
      <c r="H62" s="79">
        <v>0</v>
      </c>
      <c r="I62" s="79">
        <v>0</v>
      </c>
      <c r="J62" s="79">
        <v>0</v>
      </c>
      <c r="K62" s="79">
        <v>4</v>
      </c>
      <c r="L62" s="79">
        <v>4</v>
      </c>
      <c r="M62" s="79">
        <v>4</v>
      </c>
      <c r="N62" s="79">
        <v>4</v>
      </c>
      <c r="O62" s="79">
        <v>4.5</v>
      </c>
      <c r="P62" s="79">
        <v>4.5</v>
      </c>
      <c r="Q62" s="79">
        <v>4.5</v>
      </c>
      <c r="R62" s="79">
        <v>4.5</v>
      </c>
      <c r="S62" s="79">
        <v>4.5</v>
      </c>
      <c r="T62" s="79">
        <v>4.5</v>
      </c>
      <c r="U62" s="79">
        <v>4.5</v>
      </c>
      <c r="V62" s="79">
        <v>4.5</v>
      </c>
      <c r="W62" s="79">
        <v>4.5</v>
      </c>
      <c r="X62" s="79">
        <v>4.5</v>
      </c>
      <c r="Y62" s="79">
        <v>4.5</v>
      </c>
      <c r="Z62" s="79">
        <v>4.5</v>
      </c>
      <c r="AA62" s="79">
        <v>4.5</v>
      </c>
      <c r="AB62" s="79">
        <v>4.5</v>
      </c>
      <c r="AC62" s="79">
        <v>4.5</v>
      </c>
      <c r="AD62" s="79">
        <v>4.5</v>
      </c>
      <c r="AE62" s="79">
        <v>4.5</v>
      </c>
      <c r="AF62" s="79">
        <v>4.5</v>
      </c>
      <c r="AG62" s="77"/>
      <c r="AH62" s="55">
        <f t="shared" si="2"/>
        <v>4.5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/>
      <c r="E63" s="79"/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/>
      <c r="E64" s="78"/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9">
        <v>0</v>
      </c>
      <c r="Y64" s="79">
        <v>0</v>
      </c>
      <c r="Z64" s="79">
        <v>0</v>
      </c>
      <c r="AA64" s="79">
        <v>0</v>
      </c>
      <c r="AB64" s="79">
        <v>0</v>
      </c>
      <c r="AC64" s="79">
        <v>0</v>
      </c>
      <c r="AD64" s="79">
        <v>0</v>
      </c>
      <c r="AE64" s="79">
        <v>0</v>
      </c>
      <c r="AF64" s="79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/>
      <c r="E65" s="78"/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9">
        <v>0</v>
      </c>
      <c r="Y65" s="79">
        <v>0</v>
      </c>
      <c r="Z65" s="79">
        <v>0</v>
      </c>
      <c r="AA65" s="79">
        <v>0</v>
      </c>
      <c r="AB65" s="79">
        <v>0</v>
      </c>
      <c r="AC65" s="79">
        <v>0</v>
      </c>
      <c r="AD65" s="79">
        <v>0</v>
      </c>
      <c r="AE65" s="79">
        <v>0</v>
      </c>
      <c r="AF65" s="79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/>
      <c r="E66" s="81"/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79">
        <v>0</v>
      </c>
      <c r="Y66" s="79">
        <v>0</v>
      </c>
      <c r="Z66" s="79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/>
      <c r="E67" s="81"/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79">
        <v>0</v>
      </c>
      <c r="Y67" s="79">
        <v>0</v>
      </c>
      <c r="Z67" s="79">
        <v>0</v>
      </c>
      <c r="AA67" s="79">
        <v>0</v>
      </c>
      <c r="AB67" s="79">
        <v>0</v>
      </c>
      <c r="AC67" s="79">
        <v>0</v>
      </c>
      <c r="AD67" s="79">
        <v>0</v>
      </c>
      <c r="AE67" s="79">
        <v>0</v>
      </c>
      <c r="AF67" s="79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v>95.9</v>
      </c>
      <c r="C68" s="70">
        <f t="shared" ref="C68:AF68" si="8">SUMIF(C57:C67,"&gt;0")</f>
        <v>85</v>
      </c>
      <c r="D68" s="70">
        <f t="shared" si="8"/>
        <v>0</v>
      </c>
      <c r="E68" s="70">
        <f t="shared" si="8"/>
        <v>0</v>
      </c>
      <c r="F68" s="70">
        <f t="shared" si="8"/>
        <v>75</v>
      </c>
      <c r="G68" s="70">
        <f t="shared" si="8"/>
        <v>70</v>
      </c>
      <c r="H68" s="70">
        <f t="shared" si="8"/>
        <v>72</v>
      </c>
      <c r="I68" s="70">
        <f t="shared" si="8"/>
        <v>69</v>
      </c>
      <c r="J68" s="70">
        <f t="shared" si="8"/>
        <v>77</v>
      </c>
      <c r="K68" s="70">
        <f t="shared" si="8"/>
        <v>81</v>
      </c>
      <c r="L68" s="70">
        <f t="shared" si="8"/>
        <v>81</v>
      </c>
      <c r="M68" s="70">
        <f t="shared" si="8"/>
        <v>87.5</v>
      </c>
      <c r="N68" s="70">
        <f t="shared" si="8"/>
        <v>77.599999999999994</v>
      </c>
      <c r="O68" s="70">
        <f t="shared" si="8"/>
        <v>91.5</v>
      </c>
      <c r="P68" s="70">
        <f t="shared" si="8"/>
        <v>89.3</v>
      </c>
      <c r="Q68" s="70">
        <f t="shared" si="8"/>
        <v>87.3</v>
      </c>
      <c r="R68" s="70">
        <f t="shared" si="8"/>
        <v>92.5</v>
      </c>
      <c r="S68" s="70">
        <f t="shared" si="8"/>
        <v>92.8</v>
      </c>
      <c r="T68" s="70">
        <f t="shared" si="8"/>
        <v>91.5</v>
      </c>
      <c r="U68" s="70">
        <f t="shared" si="8"/>
        <v>84.5</v>
      </c>
      <c r="V68" s="70">
        <f t="shared" si="8"/>
        <v>99.5</v>
      </c>
      <c r="W68" s="70">
        <f t="shared" si="8"/>
        <v>98.5</v>
      </c>
      <c r="X68" s="70">
        <f t="shared" si="8"/>
        <v>100.69999999999999</v>
      </c>
      <c r="Y68" s="70">
        <f t="shared" si="8"/>
        <v>100.6</v>
      </c>
      <c r="Z68" s="70">
        <f t="shared" si="8"/>
        <v>93.7</v>
      </c>
      <c r="AA68" s="70">
        <f t="shared" si="8"/>
        <v>104.69999999999999</v>
      </c>
      <c r="AB68" s="70">
        <f t="shared" si="8"/>
        <v>90.3</v>
      </c>
      <c r="AC68" s="70">
        <f t="shared" si="8"/>
        <v>87.6</v>
      </c>
      <c r="AD68" s="70">
        <f t="shared" si="8"/>
        <v>89.6</v>
      </c>
      <c r="AE68" s="70">
        <f t="shared" si="8"/>
        <v>89.9</v>
      </c>
      <c r="AF68" s="70">
        <f t="shared" si="8"/>
        <v>87</v>
      </c>
      <c r="AG68" s="74">
        <f>SUM(AG57:AG67)</f>
        <v>0</v>
      </c>
      <c r="AH68" s="55">
        <f t="shared" si="2"/>
        <v>104.69999999999999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v>1648.64</v>
      </c>
      <c r="C73" s="84">
        <f t="shared" ref="C73:AF73" si="9">C38+C52+C68+C72</f>
        <v>1716.6399999999999</v>
      </c>
      <c r="D73" s="84">
        <f t="shared" si="9"/>
        <v>579.04</v>
      </c>
      <c r="E73" s="84">
        <f t="shared" si="9"/>
        <v>579.04</v>
      </c>
      <c r="F73" s="84">
        <f t="shared" si="9"/>
        <v>1580.74</v>
      </c>
      <c r="G73" s="84">
        <f t="shared" si="9"/>
        <v>1610.34</v>
      </c>
      <c r="H73" s="84">
        <f t="shared" si="9"/>
        <v>1645.44</v>
      </c>
      <c r="I73" s="84">
        <f t="shared" si="9"/>
        <v>1643.6399999999999</v>
      </c>
      <c r="J73" s="84">
        <f t="shared" si="9"/>
        <v>1664.54</v>
      </c>
      <c r="K73" s="84">
        <f t="shared" si="9"/>
        <v>1696.3400000000001</v>
      </c>
      <c r="L73" s="84">
        <f t="shared" si="9"/>
        <v>1700.2400000000002</v>
      </c>
      <c r="M73" s="84">
        <f t="shared" si="9"/>
        <v>1712.8400000000001</v>
      </c>
      <c r="N73" s="84">
        <f t="shared" si="9"/>
        <v>1702.94</v>
      </c>
      <c r="O73" s="84">
        <f t="shared" si="9"/>
        <v>1725.64</v>
      </c>
      <c r="P73" s="84">
        <f t="shared" si="9"/>
        <v>1723.44</v>
      </c>
      <c r="Q73" s="84">
        <f t="shared" si="9"/>
        <v>1720.44</v>
      </c>
      <c r="R73" s="84">
        <f t="shared" si="9"/>
        <v>1729.64</v>
      </c>
      <c r="S73" s="84">
        <f t="shared" si="9"/>
        <v>1741.34</v>
      </c>
      <c r="T73" s="84">
        <f t="shared" si="9"/>
        <v>1703.4399999999998</v>
      </c>
      <c r="U73" s="84">
        <f t="shared" si="9"/>
        <v>1717.1399999999999</v>
      </c>
      <c r="V73" s="84">
        <f t="shared" si="9"/>
        <v>1733.34</v>
      </c>
      <c r="W73" s="84">
        <f t="shared" si="9"/>
        <v>1732.34</v>
      </c>
      <c r="X73" s="84">
        <f t="shared" si="9"/>
        <v>1722.6399999999999</v>
      </c>
      <c r="Y73" s="84">
        <f t="shared" si="9"/>
        <v>1687.84</v>
      </c>
      <c r="Z73" s="84">
        <f t="shared" si="9"/>
        <v>1711.6399999999999</v>
      </c>
      <c r="AA73" s="84">
        <f t="shared" si="9"/>
        <v>1746.6399999999999</v>
      </c>
      <c r="AB73" s="84">
        <f t="shared" si="9"/>
        <v>1738.0399999999997</v>
      </c>
      <c r="AC73" s="84">
        <f t="shared" si="9"/>
        <v>1734.2399999999998</v>
      </c>
      <c r="AD73" s="84">
        <f t="shared" si="9"/>
        <v>1736.9399999999998</v>
      </c>
      <c r="AE73" s="84">
        <f t="shared" si="9"/>
        <v>1739.24</v>
      </c>
      <c r="AF73" s="84">
        <f t="shared" si="9"/>
        <v>1736.34</v>
      </c>
      <c r="AG73" s="84">
        <f t="shared" ref="AG73" si="10">AG68+AG56+AG52+AG38+AG72</f>
        <v>2144.14</v>
      </c>
      <c r="AH73" s="55">
        <f t="shared" si="2"/>
        <v>1746.6399999999999</v>
      </c>
      <c r="AI73" s="56">
        <f t="shared" si="3"/>
        <v>579.04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>
        <v>70</v>
      </c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>
        <v>15</v>
      </c>
      <c r="AD74" s="86"/>
      <c r="AE74" s="86"/>
      <c r="AF74" s="86"/>
      <c r="AG74" s="74"/>
      <c r="AH74" s="55">
        <f t="shared" si="2"/>
        <v>70</v>
      </c>
      <c r="AI74" s="56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v>1648.64</v>
      </c>
      <c r="C75" s="84">
        <f t="shared" ref="C75:AF75" si="11">C73+C74</f>
        <v>1716.6399999999999</v>
      </c>
      <c r="D75" s="84">
        <f t="shared" si="11"/>
        <v>579.04</v>
      </c>
      <c r="E75" s="84">
        <f t="shared" si="11"/>
        <v>579.04</v>
      </c>
      <c r="F75" s="84">
        <f t="shared" si="11"/>
        <v>1650.74</v>
      </c>
      <c r="G75" s="84">
        <f t="shared" si="11"/>
        <v>1610.34</v>
      </c>
      <c r="H75" s="84">
        <f t="shared" si="11"/>
        <v>1645.44</v>
      </c>
      <c r="I75" s="84">
        <f t="shared" si="11"/>
        <v>1643.6399999999999</v>
      </c>
      <c r="J75" s="84">
        <f t="shared" si="11"/>
        <v>1664.54</v>
      </c>
      <c r="K75" s="84">
        <f t="shared" si="11"/>
        <v>1696.3400000000001</v>
      </c>
      <c r="L75" s="84">
        <f t="shared" si="11"/>
        <v>1700.2400000000002</v>
      </c>
      <c r="M75" s="84">
        <f t="shared" si="11"/>
        <v>1712.8400000000001</v>
      </c>
      <c r="N75" s="84">
        <f t="shared" si="11"/>
        <v>1702.94</v>
      </c>
      <c r="O75" s="84">
        <f t="shared" si="11"/>
        <v>1725.64</v>
      </c>
      <c r="P75" s="84">
        <f t="shared" si="11"/>
        <v>1723.44</v>
      </c>
      <c r="Q75" s="84">
        <f t="shared" si="11"/>
        <v>1720.44</v>
      </c>
      <c r="R75" s="84">
        <f t="shared" si="11"/>
        <v>1729.64</v>
      </c>
      <c r="S75" s="84">
        <f t="shared" si="11"/>
        <v>1741.34</v>
      </c>
      <c r="T75" s="84">
        <f t="shared" si="11"/>
        <v>1703.4399999999998</v>
      </c>
      <c r="U75" s="84">
        <f t="shared" si="11"/>
        <v>1717.1399999999999</v>
      </c>
      <c r="V75" s="84">
        <f t="shared" si="11"/>
        <v>1733.34</v>
      </c>
      <c r="W75" s="84">
        <f t="shared" si="11"/>
        <v>1732.34</v>
      </c>
      <c r="X75" s="84">
        <f t="shared" si="11"/>
        <v>1722.6399999999999</v>
      </c>
      <c r="Y75" s="84">
        <f t="shared" si="11"/>
        <v>1687.84</v>
      </c>
      <c r="Z75" s="84">
        <f t="shared" si="11"/>
        <v>1711.6399999999999</v>
      </c>
      <c r="AA75" s="84">
        <f t="shared" si="11"/>
        <v>1746.6399999999999</v>
      </c>
      <c r="AB75" s="84">
        <f t="shared" si="11"/>
        <v>1738.0399999999997</v>
      </c>
      <c r="AC75" s="84">
        <f t="shared" si="11"/>
        <v>1749.2399999999998</v>
      </c>
      <c r="AD75" s="84">
        <f t="shared" si="11"/>
        <v>1736.9399999999998</v>
      </c>
      <c r="AE75" s="84">
        <f t="shared" si="11"/>
        <v>1739.24</v>
      </c>
      <c r="AF75" s="84">
        <f t="shared" si="11"/>
        <v>1736.34</v>
      </c>
      <c r="AG75" s="74">
        <f>AG72+AG68+AG56+AG52+AG38+AG74</f>
        <v>2144.14</v>
      </c>
      <c r="AH75" s="55">
        <f t="shared" si="2"/>
        <v>1749.2399999999998</v>
      </c>
      <c r="AI75" s="56">
        <f t="shared" si="3"/>
        <v>579.04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v>0</v>
      </c>
      <c r="C76" s="78">
        <f t="shared" ref="C76:AF76" si="12">IF(C60&lt;0,C60*-1,0)</f>
        <v>0</v>
      </c>
      <c r="D76" s="78">
        <f t="shared" si="12"/>
        <v>0</v>
      </c>
      <c r="E76" s="78">
        <f t="shared" si="12"/>
        <v>0</v>
      </c>
      <c r="F76" s="78">
        <f t="shared" si="12"/>
        <v>0</v>
      </c>
      <c r="G76" s="78">
        <f t="shared" si="12"/>
        <v>0</v>
      </c>
      <c r="H76" s="78">
        <f t="shared" si="12"/>
        <v>0</v>
      </c>
      <c r="I76" s="78">
        <f t="shared" si="12"/>
        <v>0</v>
      </c>
      <c r="J76" s="78">
        <f t="shared" si="12"/>
        <v>0</v>
      </c>
      <c r="K76" s="78">
        <f t="shared" si="12"/>
        <v>0</v>
      </c>
      <c r="L76" s="78">
        <f t="shared" si="12"/>
        <v>0</v>
      </c>
      <c r="M76" s="78">
        <f t="shared" si="12"/>
        <v>0</v>
      </c>
      <c r="N76" s="78">
        <f t="shared" si="12"/>
        <v>0</v>
      </c>
      <c r="O76" s="78">
        <f t="shared" si="12"/>
        <v>0</v>
      </c>
      <c r="P76" s="78">
        <f t="shared" si="12"/>
        <v>0</v>
      </c>
      <c r="Q76" s="78">
        <f t="shared" si="12"/>
        <v>0</v>
      </c>
      <c r="R76" s="78">
        <f t="shared" si="12"/>
        <v>0</v>
      </c>
      <c r="S76" s="78">
        <f t="shared" si="12"/>
        <v>0</v>
      </c>
      <c r="T76" s="78">
        <f t="shared" si="12"/>
        <v>0</v>
      </c>
      <c r="U76" s="78">
        <f t="shared" si="12"/>
        <v>0</v>
      </c>
      <c r="V76" s="78">
        <f t="shared" si="12"/>
        <v>0</v>
      </c>
      <c r="W76" s="78">
        <f t="shared" si="12"/>
        <v>0</v>
      </c>
      <c r="X76" s="78">
        <f t="shared" si="12"/>
        <v>0</v>
      </c>
      <c r="Y76" s="78">
        <f t="shared" si="12"/>
        <v>0</v>
      </c>
      <c r="Z76" s="78">
        <f t="shared" si="12"/>
        <v>0</v>
      </c>
      <c r="AA76" s="78">
        <f t="shared" si="12"/>
        <v>0</v>
      </c>
      <c r="AB76" s="78">
        <f t="shared" si="12"/>
        <v>0</v>
      </c>
      <c r="AC76" s="78">
        <f t="shared" si="12"/>
        <v>0</v>
      </c>
      <c r="AD76" s="78">
        <f t="shared" si="12"/>
        <v>0</v>
      </c>
      <c r="AE76" s="78">
        <f t="shared" si="12"/>
        <v>0</v>
      </c>
      <c r="AF76" s="78">
        <f t="shared" si="12"/>
        <v>0</v>
      </c>
      <c r="AG76" s="60"/>
      <c r="AH76" s="55">
        <f t="shared" ref="AH76:AH91" si="13">MAX(B76:AF76)</f>
        <v>0</v>
      </c>
      <c r="AI76" s="56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v>0</v>
      </c>
      <c r="C77" s="78">
        <f t="shared" ref="C77:AF77" si="15">IF(C58&lt;0,C58*-1,0)</f>
        <v>0</v>
      </c>
      <c r="D77" s="78">
        <f t="shared" si="15"/>
        <v>0</v>
      </c>
      <c r="E77" s="78">
        <f t="shared" si="15"/>
        <v>0</v>
      </c>
      <c r="F77" s="78">
        <f t="shared" si="15"/>
        <v>0</v>
      </c>
      <c r="G77" s="78">
        <f t="shared" si="15"/>
        <v>0</v>
      </c>
      <c r="H77" s="78">
        <f t="shared" si="15"/>
        <v>0</v>
      </c>
      <c r="I77" s="78">
        <f t="shared" si="15"/>
        <v>0</v>
      </c>
      <c r="J77" s="78">
        <f t="shared" si="15"/>
        <v>0</v>
      </c>
      <c r="K77" s="78">
        <f t="shared" si="15"/>
        <v>0</v>
      </c>
      <c r="L77" s="78">
        <f t="shared" si="15"/>
        <v>0</v>
      </c>
      <c r="M77" s="78">
        <f t="shared" si="15"/>
        <v>0</v>
      </c>
      <c r="N77" s="78">
        <f t="shared" si="15"/>
        <v>0</v>
      </c>
      <c r="O77" s="78">
        <f t="shared" si="15"/>
        <v>0</v>
      </c>
      <c r="P77" s="78">
        <f t="shared" si="15"/>
        <v>0</v>
      </c>
      <c r="Q77" s="78">
        <f t="shared" si="15"/>
        <v>0</v>
      </c>
      <c r="R77" s="78">
        <f t="shared" si="15"/>
        <v>0</v>
      </c>
      <c r="S77" s="78">
        <f t="shared" si="15"/>
        <v>0</v>
      </c>
      <c r="T77" s="78">
        <f t="shared" si="15"/>
        <v>0</v>
      </c>
      <c r="U77" s="78">
        <f t="shared" si="15"/>
        <v>0</v>
      </c>
      <c r="V77" s="78">
        <f t="shared" si="15"/>
        <v>0</v>
      </c>
      <c r="W77" s="78">
        <f t="shared" si="15"/>
        <v>0</v>
      </c>
      <c r="X77" s="78">
        <f t="shared" si="15"/>
        <v>0</v>
      </c>
      <c r="Y77" s="78">
        <f t="shared" si="15"/>
        <v>0</v>
      </c>
      <c r="Z77" s="78">
        <f t="shared" si="15"/>
        <v>0</v>
      </c>
      <c r="AA77" s="78">
        <f t="shared" si="15"/>
        <v>0</v>
      </c>
      <c r="AB77" s="78">
        <f t="shared" si="15"/>
        <v>0</v>
      </c>
      <c r="AC77" s="78">
        <f t="shared" si="15"/>
        <v>0</v>
      </c>
      <c r="AD77" s="78">
        <f t="shared" si="15"/>
        <v>0</v>
      </c>
      <c r="AE77" s="78">
        <f t="shared" si="15"/>
        <v>0</v>
      </c>
      <c r="AF77" s="78">
        <f t="shared" si="15"/>
        <v>0</v>
      </c>
      <c r="AG77" s="64"/>
      <c r="AH77" s="55">
        <f t="shared" si="13"/>
        <v>0</v>
      </c>
      <c r="AI77" s="56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f t="shared" ref="C78:AF78" si="16">IF(C61&lt;0,C61*-1,0)</f>
        <v>0</v>
      </c>
      <c r="D78" s="78">
        <f t="shared" si="16"/>
        <v>0</v>
      </c>
      <c r="E78" s="78">
        <f t="shared" si="16"/>
        <v>0</v>
      </c>
      <c r="F78" s="78">
        <f t="shared" si="16"/>
        <v>0</v>
      </c>
      <c r="G78" s="78">
        <f t="shared" si="16"/>
        <v>0</v>
      </c>
      <c r="H78" s="78">
        <f t="shared" si="16"/>
        <v>0</v>
      </c>
      <c r="I78" s="78">
        <f t="shared" si="16"/>
        <v>0</v>
      </c>
      <c r="J78" s="78">
        <f t="shared" si="16"/>
        <v>0</v>
      </c>
      <c r="K78" s="78">
        <f t="shared" si="16"/>
        <v>0</v>
      </c>
      <c r="L78" s="78">
        <f t="shared" si="16"/>
        <v>0</v>
      </c>
      <c r="M78" s="78">
        <f t="shared" si="16"/>
        <v>0</v>
      </c>
      <c r="N78" s="78">
        <f t="shared" si="16"/>
        <v>0</v>
      </c>
      <c r="O78" s="78">
        <f t="shared" si="16"/>
        <v>0</v>
      </c>
      <c r="P78" s="78">
        <f t="shared" si="16"/>
        <v>0</v>
      </c>
      <c r="Q78" s="78">
        <f t="shared" si="16"/>
        <v>0</v>
      </c>
      <c r="R78" s="78">
        <f t="shared" si="16"/>
        <v>0</v>
      </c>
      <c r="S78" s="78">
        <f t="shared" si="16"/>
        <v>0</v>
      </c>
      <c r="T78" s="78">
        <f t="shared" si="16"/>
        <v>0</v>
      </c>
      <c r="U78" s="78">
        <f t="shared" si="16"/>
        <v>0</v>
      </c>
      <c r="V78" s="78">
        <f t="shared" si="16"/>
        <v>0</v>
      </c>
      <c r="W78" s="78">
        <f t="shared" si="16"/>
        <v>0</v>
      </c>
      <c r="X78" s="78">
        <f t="shared" si="16"/>
        <v>0</v>
      </c>
      <c r="Y78" s="78">
        <f t="shared" si="16"/>
        <v>0</v>
      </c>
      <c r="Z78" s="78">
        <f t="shared" si="16"/>
        <v>0</v>
      </c>
      <c r="AA78" s="78">
        <f t="shared" si="16"/>
        <v>0</v>
      </c>
      <c r="AB78" s="78">
        <f t="shared" si="16"/>
        <v>0</v>
      </c>
      <c r="AC78" s="78">
        <f t="shared" si="16"/>
        <v>0</v>
      </c>
      <c r="AD78" s="78">
        <f t="shared" si="16"/>
        <v>0</v>
      </c>
      <c r="AE78" s="78">
        <f t="shared" si="16"/>
        <v>0</v>
      </c>
      <c r="AF78" s="78">
        <f t="shared" si="16"/>
        <v>0</v>
      </c>
      <c r="AG78" s="87"/>
      <c r="AH78" s="55">
        <f t="shared" si="13"/>
        <v>0</v>
      </c>
      <c r="AI78" s="56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v>257</v>
      </c>
      <c r="C79" s="78">
        <f t="shared" ref="C79:AF79" si="17">IF(C59&lt;0,C59*-1,0)</f>
        <v>375</v>
      </c>
      <c r="D79" s="78">
        <f t="shared" si="17"/>
        <v>300</v>
      </c>
      <c r="E79" s="78">
        <f t="shared" si="17"/>
        <v>450</v>
      </c>
      <c r="F79" s="78">
        <f t="shared" si="17"/>
        <v>415</v>
      </c>
      <c r="G79" s="78">
        <f t="shared" si="17"/>
        <v>380</v>
      </c>
      <c r="H79" s="78">
        <f t="shared" si="17"/>
        <v>388</v>
      </c>
      <c r="I79" s="78">
        <f t="shared" si="17"/>
        <v>375</v>
      </c>
      <c r="J79" s="78">
        <f t="shared" si="17"/>
        <v>340</v>
      </c>
      <c r="K79" s="78">
        <f t="shared" si="17"/>
        <v>289</v>
      </c>
      <c r="L79" s="78">
        <f t="shared" si="17"/>
        <v>289</v>
      </c>
      <c r="M79" s="78">
        <f t="shared" si="17"/>
        <v>324</v>
      </c>
      <c r="N79" s="78">
        <f t="shared" si="17"/>
        <v>293.5</v>
      </c>
      <c r="O79" s="78">
        <f t="shared" si="17"/>
        <v>297.8</v>
      </c>
      <c r="P79" s="78">
        <f t="shared" si="17"/>
        <v>265</v>
      </c>
      <c r="Q79" s="78">
        <f t="shared" si="17"/>
        <v>287</v>
      </c>
      <c r="R79" s="78">
        <f t="shared" si="17"/>
        <v>266</v>
      </c>
      <c r="S79" s="78">
        <f t="shared" si="17"/>
        <v>255</v>
      </c>
      <c r="T79" s="78">
        <f t="shared" si="17"/>
        <v>250</v>
      </c>
      <c r="U79" s="78">
        <f t="shared" si="17"/>
        <v>264.39999999999998</v>
      </c>
      <c r="V79" s="78">
        <f t="shared" si="17"/>
        <v>252</v>
      </c>
      <c r="W79" s="78">
        <f t="shared" si="17"/>
        <v>280</v>
      </c>
      <c r="X79" s="78">
        <f t="shared" si="17"/>
        <v>289</v>
      </c>
      <c r="Y79" s="78">
        <f t="shared" si="17"/>
        <v>276</v>
      </c>
      <c r="Z79" s="78">
        <f t="shared" si="17"/>
        <v>255</v>
      </c>
      <c r="AA79" s="78">
        <f t="shared" si="17"/>
        <v>204</v>
      </c>
      <c r="AB79" s="78">
        <f t="shared" si="17"/>
        <v>212.8</v>
      </c>
      <c r="AC79" s="78">
        <f t="shared" si="17"/>
        <v>210.7</v>
      </c>
      <c r="AD79" s="78">
        <f t="shared" si="17"/>
        <v>260.2</v>
      </c>
      <c r="AE79" s="78">
        <f t="shared" si="17"/>
        <v>307.5</v>
      </c>
      <c r="AF79" s="78">
        <f t="shared" si="17"/>
        <v>310</v>
      </c>
      <c r="AG79" s="87"/>
      <c r="AH79" s="55">
        <f t="shared" si="13"/>
        <v>450</v>
      </c>
      <c r="AI79" s="56">
        <f t="shared" si="14"/>
        <v>204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f t="shared" ref="C80:AF80" si="18">IF(C57&lt;0,C57*-1,0)</f>
        <v>0</v>
      </c>
      <c r="D80" s="78">
        <f t="shared" si="18"/>
        <v>0</v>
      </c>
      <c r="E80" s="78">
        <f t="shared" si="18"/>
        <v>0</v>
      </c>
      <c r="F80" s="78">
        <f t="shared" si="18"/>
        <v>0</v>
      </c>
      <c r="G80" s="78">
        <f t="shared" si="18"/>
        <v>0</v>
      </c>
      <c r="H80" s="78">
        <f t="shared" si="18"/>
        <v>0</v>
      </c>
      <c r="I80" s="78">
        <f t="shared" si="18"/>
        <v>0</v>
      </c>
      <c r="J80" s="78">
        <f t="shared" si="18"/>
        <v>0</v>
      </c>
      <c r="K80" s="78">
        <f t="shared" si="18"/>
        <v>0</v>
      </c>
      <c r="L80" s="78">
        <f t="shared" si="18"/>
        <v>0</v>
      </c>
      <c r="M80" s="78">
        <f t="shared" si="18"/>
        <v>0</v>
      </c>
      <c r="N80" s="78">
        <f t="shared" si="18"/>
        <v>0</v>
      </c>
      <c r="O80" s="78">
        <f t="shared" si="18"/>
        <v>0</v>
      </c>
      <c r="P80" s="78">
        <f t="shared" si="18"/>
        <v>0</v>
      </c>
      <c r="Q80" s="78">
        <f t="shared" si="18"/>
        <v>0</v>
      </c>
      <c r="R80" s="78">
        <f t="shared" si="18"/>
        <v>0</v>
      </c>
      <c r="S80" s="78">
        <f t="shared" si="18"/>
        <v>0</v>
      </c>
      <c r="T80" s="78">
        <f t="shared" si="18"/>
        <v>0</v>
      </c>
      <c r="U80" s="78">
        <f t="shared" si="18"/>
        <v>0</v>
      </c>
      <c r="V80" s="78">
        <f t="shared" si="18"/>
        <v>0</v>
      </c>
      <c r="W80" s="78">
        <f t="shared" si="18"/>
        <v>0</v>
      </c>
      <c r="X80" s="78">
        <f t="shared" si="18"/>
        <v>0</v>
      </c>
      <c r="Y80" s="78">
        <f t="shared" si="18"/>
        <v>0</v>
      </c>
      <c r="Z80" s="78">
        <f t="shared" si="18"/>
        <v>0</v>
      </c>
      <c r="AA80" s="78">
        <f t="shared" si="18"/>
        <v>0</v>
      </c>
      <c r="AB80" s="78">
        <f t="shared" si="18"/>
        <v>0</v>
      </c>
      <c r="AC80" s="78">
        <f t="shared" si="18"/>
        <v>0</v>
      </c>
      <c r="AD80" s="78">
        <f t="shared" si="18"/>
        <v>0</v>
      </c>
      <c r="AE80" s="78">
        <f t="shared" si="18"/>
        <v>0</v>
      </c>
      <c r="AF80" s="78">
        <f t="shared" si="18"/>
        <v>0</v>
      </c>
      <c r="AG80" s="87"/>
      <c r="AH80" s="55">
        <f t="shared" si="13"/>
        <v>0</v>
      </c>
      <c r="AI80" s="56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3"/>
        <v>0</v>
      </c>
      <c r="AI81" s="56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v>257</v>
      </c>
      <c r="C82" s="70">
        <f t="shared" ref="C82:AG82" si="19">SUM(C76:C81)</f>
        <v>375</v>
      </c>
      <c r="D82" s="70">
        <f t="shared" si="19"/>
        <v>300</v>
      </c>
      <c r="E82" s="70">
        <f t="shared" si="19"/>
        <v>450</v>
      </c>
      <c r="F82" s="70">
        <f t="shared" si="19"/>
        <v>415</v>
      </c>
      <c r="G82" s="70">
        <f t="shared" si="19"/>
        <v>380</v>
      </c>
      <c r="H82" s="70">
        <f t="shared" si="19"/>
        <v>388</v>
      </c>
      <c r="I82" s="70">
        <f t="shared" si="19"/>
        <v>375</v>
      </c>
      <c r="J82" s="70">
        <f t="shared" si="19"/>
        <v>340</v>
      </c>
      <c r="K82" s="70">
        <f t="shared" si="19"/>
        <v>289</v>
      </c>
      <c r="L82" s="70">
        <f t="shared" si="19"/>
        <v>289</v>
      </c>
      <c r="M82" s="70">
        <f t="shared" si="19"/>
        <v>324</v>
      </c>
      <c r="N82" s="70">
        <f t="shared" si="19"/>
        <v>293.5</v>
      </c>
      <c r="O82" s="70">
        <f t="shared" si="19"/>
        <v>297.8</v>
      </c>
      <c r="P82" s="70">
        <f t="shared" si="19"/>
        <v>265</v>
      </c>
      <c r="Q82" s="70">
        <f t="shared" si="19"/>
        <v>287</v>
      </c>
      <c r="R82" s="70">
        <f t="shared" si="19"/>
        <v>266</v>
      </c>
      <c r="S82" s="70">
        <f t="shared" si="19"/>
        <v>255</v>
      </c>
      <c r="T82" s="70">
        <f t="shared" si="19"/>
        <v>250</v>
      </c>
      <c r="U82" s="70">
        <f t="shared" si="19"/>
        <v>264.39999999999998</v>
      </c>
      <c r="V82" s="70">
        <f t="shared" si="19"/>
        <v>252</v>
      </c>
      <c r="W82" s="70">
        <f t="shared" si="19"/>
        <v>280</v>
      </c>
      <c r="X82" s="70">
        <f t="shared" si="19"/>
        <v>289</v>
      </c>
      <c r="Y82" s="70">
        <f t="shared" si="19"/>
        <v>276</v>
      </c>
      <c r="Z82" s="70">
        <f t="shared" si="19"/>
        <v>255</v>
      </c>
      <c r="AA82" s="70">
        <f t="shared" si="19"/>
        <v>204</v>
      </c>
      <c r="AB82" s="70">
        <f t="shared" si="19"/>
        <v>212.8</v>
      </c>
      <c r="AC82" s="70">
        <f t="shared" si="19"/>
        <v>210.7</v>
      </c>
      <c r="AD82" s="70">
        <f t="shared" si="19"/>
        <v>260.2</v>
      </c>
      <c r="AE82" s="70">
        <f t="shared" si="19"/>
        <v>307.5</v>
      </c>
      <c r="AF82" s="70">
        <f t="shared" si="19"/>
        <v>310</v>
      </c>
      <c r="AG82" s="74">
        <f t="shared" si="19"/>
        <v>0</v>
      </c>
      <c r="AH82" s="55">
        <f t="shared" si="13"/>
        <v>450</v>
      </c>
      <c r="AI82" s="56">
        <f t="shared" si="14"/>
        <v>204</v>
      </c>
      <c r="AK82" s="57"/>
    </row>
    <row r="83" spans="1:88" s="1" customFormat="1" ht="15.75" thickBot="1" x14ac:dyDescent="0.3">
      <c r="A83" s="69" t="s">
        <v>88</v>
      </c>
      <c r="B83" s="70">
        <v>-161.1</v>
      </c>
      <c r="C83" s="70">
        <f t="shared" ref="C83:AF83" si="20">C68-C82</f>
        <v>-290</v>
      </c>
      <c r="D83" s="70">
        <f t="shared" si="20"/>
        <v>-300</v>
      </c>
      <c r="E83" s="70">
        <f t="shared" si="20"/>
        <v>-450</v>
      </c>
      <c r="F83" s="70">
        <f t="shared" si="20"/>
        <v>-340</v>
      </c>
      <c r="G83" s="70">
        <f t="shared" si="20"/>
        <v>-310</v>
      </c>
      <c r="H83" s="70">
        <f t="shared" si="20"/>
        <v>-316</v>
      </c>
      <c r="I83" s="70">
        <f t="shared" si="20"/>
        <v>-306</v>
      </c>
      <c r="J83" s="70">
        <f t="shared" si="20"/>
        <v>-263</v>
      </c>
      <c r="K83" s="70">
        <f t="shared" si="20"/>
        <v>-208</v>
      </c>
      <c r="L83" s="70">
        <f t="shared" si="20"/>
        <v>-208</v>
      </c>
      <c r="M83" s="70">
        <f t="shared" si="20"/>
        <v>-236.5</v>
      </c>
      <c r="N83" s="70">
        <f t="shared" si="20"/>
        <v>-215.9</v>
      </c>
      <c r="O83" s="70">
        <f t="shared" si="20"/>
        <v>-206.3</v>
      </c>
      <c r="P83" s="70">
        <f t="shared" si="20"/>
        <v>-175.7</v>
      </c>
      <c r="Q83" s="70">
        <f t="shared" si="20"/>
        <v>-199.7</v>
      </c>
      <c r="R83" s="70">
        <f t="shared" si="20"/>
        <v>-173.5</v>
      </c>
      <c r="S83" s="70">
        <f t="shared" si="20"/>
        <v>-162.19999999999999</v>
      </c>
      <c r="T83" s="70">
        <f t="shared" si="20"/>
        <v>-158.5</v>
      </c>
      <c r="U83" s="70">
        <f t="shared" si="20"/>
        <v>-179.89999999999998</v>
      </c>
      <c r="V83" s="70">
        <f t="shared" si="20"/>
        <v>-152.5</v>
      </c>
      <c r="W83" s="70">
        <f t="shared" si="20"/>
        <v>-181.5</v>
      </c>
      <c r="X83" s="70">
        <f t="shared" si="20"/>
        <v>-188.3</v>
      </c>
      <c r="Y83" s="70">
        <f t="shared" si="20"/>
        <v>-175.4</v>
      </c>
      <c r="Z83" s="70">
        <f t="shared" si="20"/>
        <v>-161.30000000000001</v>
      </c>
      <c r="AA83" s="70">
        <f t="shared" si="20"/>
        <v>-99.300000000000011</v>
      </c>
      <c r="AB83" s="70">
        <f t="shared" si="20"/>
        <v>-122.50000000000001</v>
      </c>
      <c r="AC83" s="70">
        <f t="shared" si="20"/>
        <v>-123.1</v>
      </c>
      <c r="AD83" s="70">
        <f t="shared" si="20"/>
        <v>-170.6</v>
      </c>
      <c r="AE83" s="70">
        <f t="shared" si="20"/>
        <v>-217.6</v>
      </c>
      <c r="AF83" s="70">
        <f t="shared" si="20"/>
        <v>-223</v>
      </c>
      <c r="AG83" s="74">
        <f t="shared" ref="AG83" si="21">SUM(AG70:AG82)</f>
        <v>4360.08</v>
      </c>
      <c r="AH83" s="55">
        <f t="shared" si="13"/>
        <v>-99.300000000000011</v>
      </c>
      <c r="AI83" s="56">
        <f t="shared" si="14"/>
        <v>-450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50.01</v>
      </c>
      <c r="C84" s="90">
        <v>49.89</v>
      </c>
      <c r="D84" s="90"/>
      <c r="E84" s="90"/>
      <c r="F84" s="90">
        <v>49.978999999999999</v>
      </c>
      <c r="G84" s="90">
        <v>50.034999999999997</v>
      </c>
      <c r="H84" s="90">
        <v>49.988</v>
      </c>
      <c r="I84" s="90">
        <v>49.966000000000001</v>
      </c>
      <c r="J84" s="90">
        <v>50.052</v>
      </c>
      <c r="K84" s="90">
        <v>50.031999999999996</v>
      </c>
      <c r="L84" s="90">
        <v>50.05</v>
      </c>
      <c r="M84" s="90">
        <v>49.999000000000002</v>
      </c>
      <c r="N84" s="90">
        <v>50.031999999999996</v>
      </c>
      <c r="O84" s="90">
        <v>49.994</v>
      </c>
      <c r="P84" s="90">
        <v>49.906999999999996</v>
      </c>
      <c r="Q84" s="90">
        <v>49.869</v>
      </c>
      <c r="R84" s="90">
        <v>50.05</v>
      </c>
      <c r="S84" s="90">
        <v>49.98</v>
      </c>
      <c r="T84" s="90">
        <v>50</v>
      </c>
      <c r="U84" s="90">
        <v>50.05</v>
      </c>
      <c r="V84" s="90">
        <v>49.844999999999999</v>
      </c>
      <c r="W84" s="90">
        <v>49.844999999999999</v>
      </c>
      <c r="X84" s="90">
        <v>49.98</v>
      </c>
      <c r="Y84" s="90">
        <v>49.91</v>
      </c>
      <c r="Z84" s="90">
        <v>49.99</v>
      </c>
      <c r="AA84" s="90">
        <v>49.87</v>
      </c>
      <c r="AB84" s="90">
        <v>49.853999999999999</v>
      </c>
      <c r="AC84" s="90">
        <v>49.889000000000003</v>
      </c>
      <c r="AD84" s="90">
        <v>49.743000000000002</v>
      </c>
      <c r="AE84" s="90">
        <v>49.860999999999997</v>
      </c>
      <c r="AF84" s="90">
        <v>49.942</v>
      </c>
      <c r="AG84" s="91"/>
      <c r="AH84" s="55">
        <f t="shared" si="13"/>
        <v>50.052</v>
      </c>
      <c r="AI84" s="56">
        <f t="shared" si="14"/>
        <v>49.743000000000002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ht="30" customHeight="1" x14ac:dyDescent="0.25">
      <c r="A85" s="92" t="s">
        <v>90</v>
      </c>
      <c r="B85" s="49">
        <v>125.9</v>
      </c>
      <c r="C85" s="49"/>
      <c r="D85" s="49"/>
      <c r="E85" s="49"/>
      <c r="F85" s="49">
        <v>124.5</v>
      </c>
      <c r="G85" s="49">
        <v>124.2</v>
      </c>
      <c r="H85" s="49">
        <v>122</v>
      </c>
      <c r="I85" s="49">
        <v>122.2</v>
      </c>
      <c r="J85" s="49">
        <v>124</v>
      </c>
      <c r="K85" s="49">
        <v>124.6</v>
      </c>
      <c r="L85" s="49">
        <v>124.8</v>
      </c>
      <c r="M85" s="49">
        <v>123.7</v>
      </c>
      <c r="N85" s="49">
        <v>123.7</v>
      </c>
      <c r="O85" s="49">
        <v>123.9</v>
      </c>
      <c r="P85" s="49">
        <v>122.2</v>
      </c>
      <c r="Q85" s="49">
        <v>122.5</v>
      </c>
      <c r="R85" s="49">
        <v>122.5</v>
      </c>
      <c r="S85" s="49">
        <v>122.8</v>
      </c>
      <c r="T85" s="49">
        <v>123.5</v>
      </c>
      <c r="U85" s="49">
        <v>123.4</v>
      </c>
      <c r="V85" s="49">
        <v>124</v>
      </c>
      <c r="W85" s="49">
        <v>124</v>
      </c>
      <c r="X85" s="49">
        <v>124.1</v>
      </c>
      <c r="Y85" s="49">
        <v>125.6</v>
      </c>
      <c r="Z85" s="49">
        <v>125.3</v>
      </c>
      <c r="AA85" s="49">
        <v>124.1</v>
      </c>
      <c r="AB85" s="49">
        <v>125.4</v>
      </c>
      <c r="AC85" s="49">
        <v>125.4</v>
      </c>
      <c r="AD85" s="49">
        <v>125.4</v>
      </c>
      <c r="AE85" s="49">
        <v>124.9</v>
      </c>
      <c r="AF85" s="49">
        <v>124</v>
      </c>
      <c r="AG85" s="93"/>
      <c r="AH85" s="55">
        <f t="shared" si="13"/>
        <v>125.9</v>
      </c>
      <c r="AI85" s="56">
        <f t="shared" si="14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131</v>
      </c>
      <c r="C86" s="49"/>
      <c r="D86" s="49"/>
      <c r="E86" s="49"/>
      <c r="F86" s="49">
        <v>129.5</v>
      </c>
      <c r="G86" s="49">
        <v>128.80000000000001</v>
      </c>
      <c r="H86" s="49">
        <v>127.1</v>
      </c>
      <c r="I86" s="49">
        <v>127.1</v>
      </c>
      <c r="J86" s="49">
        <v>128.19999999999999</v>
      </c>
      <c r="K86" s="49">
        <v>128.5</v>
      </c>
      <c r="L86" s="49">
        <v>128.5</v>
      </c>
      <c r="M86" s="49">
        <v>127.5</v>
      </c>
      <c r="N86" s="49">
        <v>127.5</v>
      </c>
      <c r="O86" s="49">
        <v>127.4</v>
      </c>
      <c r="P86" s="49">
        <v>126.8</v>
      </c>
      <c r="Q86" s="49">
        <v>126.8</v>
      </c>
      <c r="R86" s="49">
        <v>126.9</v>
      </c>
      <c r="S86" s="49">
        <v>127.6</v>
      </c>
      <c r="T86" s="49">
        <v>127.9</v>
      </c>
      <c r="U86" s="49">
        <v>127.7</v>
      </c>
      <c r="V86" s="49">
        <v>128</v>
      </c>
      <c r="W86" s="49">
        <v>128</v>
      </c>
      <c r="X86" s="49">
        <v>128.69999999999999</v>
      </c>
      <c r="Y86" s="49">
        <v>129.4</v>
      </c>
      <c r="Z86" s="49">
        <v>129.1</v>
      </c>
      <c r="AA86" s="49">
        <v>123.7</v>
      </c>
      <c r="AB86" s="49">
        <v>129</v>
      </c>
      <c r="AC86" s="49">
        <v>129.6</v>
      </c>
      <c r="AD86" s="49">
        <v>129.69999999999999</v>
      </c>
      <c r="AE86" s="49">
        <v>129.69999999999999</v>
      </c>
      <c r="AF86" s="49">
        <v>129.5</v>
      </c>
      <c r="AG86" s="93"/>
      <c r="AH86" s="55">
        <f t="shared" si="13"/>
        <v>131</v>
      </c>
      <c r="AI86" s="56">
        <f t="shared" si="14"/>
        <v>123.7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128.69999999999999</v>
      </c>
      <c r="C87" s="49"/>
      <c r="D87" s="49"/>
      <c r="E87" s="49"/>
      <c r="F87" s="49">
        <v>128.4</v>
      </c>
      <c r="G87" s="49">
        <v>129</v>
      </c>
      <c r="H87" s="49">
        <v>129.1</v>
      </c>
      <c r="I87" s="49">
        <v>127.5</v>
      </c>
      <c r="J87" s="49">
        <v>125.9</v>
      </c>
      <c r="K87" s="49">
        <v>130.19999999999999</v>
      </c>
      <c r="L87" s="49">
        <v>130.19999999999999</v>
      </c>
      <c r="M87" s="49">
        <v>127.5</v>
      </c>
      <c r="N87" s="49">
        <v>127.5</v>
      </c>
      <c r="O87" s="49">
        <v>127.8</v>
      </c>
      <c r="P87" s="49">
        <v>125.4</v>
      </c>
      <c r="Q87" s="49">
        <v>126</v>
      </c>
      <c r="R87" s="49">
        <v>123</v>
      </c>
      <c r="S87" s="49">
        <v>123.9</v>
      </c>
      <c r="T87" s="49">
        <v>127.2</v>
      </c>
      <c r="U87" s="49">
        <v>125.6</v>
      </c>
      <c r="V87" s="49">
        <v>127</v>
      </c>
      <c r="W87" s="49">
        <v>127</v>
      </c>
      <c r="X87" s="49">
        <v>127.2</v>
      </c>
      <c r="Y87" s="49">
        <v>128</v>
      </c>
      <c r="Z87" s="49">
        <v>125.7</v>
      </c>
      <c r="AA87" s="49">
        <v>125.9</v>
      </c>
      <c r="AB87" s="49">
        <v>125.7</v>
      </c>
      <c r="AC87" s="49">
        <v>123.9</v>
      </c>
      <c r="AD87" s="49">
        <v>123.4</v>
      </c>
      <c r="AE87" s="49">
        <v>125.4</v>
      </c>
      <c r="AF87" s="49">
        <v>125.8</v>
      </c>
      <c r="AG87" s="93"/>
      <c r="AH87" s="55">
        <f t="shared" si="13"/>
        <v>130.19999999999999</v>
      </c>
      <c r="AI87" s="56">
        <f t="shared" si="14"/>
        <v>123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133.5</v>
      </c>
      <c r="C88" s="49"/>
      <c r="D88" s="49"/>
      <c r="E88" s="49"/>
      <c r="F88" s="49">
        <v>132.1</v>
      </c>
      <c r="G88" s="49">
        <v>132.69999999999999</v>
      </c>
      <c r="H88" s="49">
        <v>132.5</v>
      </c>
      <c r="I88" s="49">
        <v>130.9</v>
      </c>
      <c r="J88" s="49">
        <v>129.19999999999999</v>
      </c>
      <c r="K88" s="49">
        <v>131.9</v>
      </c>
      <c r="L88" s="49">
        <v>131.9</v>
      </c>
      <c r="M88" s="49">
        <v>130.19999999999999</v>
      </c>
      <c r="N88" s="49">
        <v>130.19999999999999</v>
      </c>
      <c r="O88" s="49">
        <v>129.4</v>
      </c>
      <c r="P88" s="49">
        <v>127.3</v>
      </c>
      <c r="Q88" s="49">
        <v>128</v>
      </c>
      <c r="R88" s="49">
        <v>125.5</v>
      </c>
      <c r="S88" s="49">
        <v>126.5</v>
      </c>
      <c r="T88" s="49">
        <v>128.69999999999999</v>
      </c>
      <c r="U88" s="49">
        <v>128.5</v>
      </c>
      <c r="V88" s="49">
        <v>129</v>
      </c>
      <c r="W88" s="49">
        <v>129</v>
      </c>
      <c r="X88" s="49">
        <v>129.19999999999999</v>
      </c>
      <c r="Y88" s="49">
        <v>129.9</v>
      </c>
      <c r="Z88" s="49">
        <v>127.8</v>
      </c>
      <c r="AA88" s="49">
        <v>128.19999999999999</v>
      </c>
      <c r="AB88" s="49">
        <v>130.1</v>
      </c>
      <c r="AC88" s="49">
        <v>128.19999999999999</v>
      </c>
      <c r="AD88" s="49">
        <v>128</v>
      </c>
      <c r="AE88" s="49">
        <v>130.19999999999999</v>
      </c>
      <c r="AF88" s="49">
        <v>131.19999999999999</v>
      </c>
      <c r="AG88" s="93"/>
      <c r="AH88" s="55">
        <f t="shared" si="13"/>
        <v>133.5</v>
      </c>
      <c r="AI88" s="56">
        <f t="shared" si="14"/>
        <v>125.5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132.9</v>
      </c>
      <c r="C89" s="95"/>
      <c r="D89" s="95"/>
      <c r="E89" s="95"/>
      <c r="F89" s="95">
        <v>131.6</v>
      </c>
      <c r="G89" s="95">
        <v>131.69999999999999</v>
      </c>
      <c r="H89" s="95">
        <v>130.19999999999999</v>
      </c>
      <c r="I89" s="95">
        <v>126.6</v>
      </c>
      <c r="J89" s="95">
        <v>132.19999999999999</v>
      </c>
      <c r="K89" s="95">
        <v>134.19999999999999</v>
      </c>
      <c r="L89" s="95">
        <v>134.19999999999999</v>
      </c>
      <c r="M89" s="95">
        <v>131.6</v>
      </c>
      <c r="N89" s="95">
        <v>131.6</v>
      </c>
      <c r="O89" s="95">
        <v>134.1</v>
      </c>
      <c r="P89" s="95">
        <v>131.80000000000001</v>
      </c>
      <c r="Q89" s="95">
        <v>130.5</v>
      </c>
      <c r="R89" s="95">
        <v>130.5</v>
      </c>
      <c r="S89" s="95">
        <v>131.9</v>
      </c>
      <c r="T89" s="95">
        <v>131.30000000000001</v>
      </c>
      <c r="U89" s="95">
        <v>130.69999999999999</v>
      </c>
      <c r="V89" s="95">
        <v>131</v>
      </c>
      <c r="W89" s="95">
        <v>131</v>
      </c>
      <c r="X89" s="95">
        <v>132.30000000000001</v>
      </c>
      <c r="Y89" s="95">
        <v>133.1</v>
      </c>
      <c r="Z89" s="95">
        <v>135.80000000000001</v>
      </c>
      <c r="AA89" s="95">
        <v>133.69999999999999</v>
      </c>
      <c r="AB89" s="95">
        <v>135.9</v>
      </c>
      <c r="AC89" s="95">
        <v>133.1</v>
      </c>
      <c r="AD89" s="95">
        <v>133.69999999999999</v>
      </c>
      <c r="AE89" s="95">
        <v>130.1</v>
      </c>
      <c r="AF89" s="95">
        <v>130.1</v>
      </c>
      <c r="AG89" s="96"/>
      <c r="AH89" s="55">
        <f t="shared" si="13"/>
        <v>135.9</v>
      </c>
      <c r="AI89" s="56">
        <f t="shared" si="14"/>
        <v>126.6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131.5</v>
      </c>
      <c r="C90" s="49"/>
      <c r="D90" s="49"/>
      <c r="E90" s="49"/>
      <c r="F90" s="49">
        <v>129.9</v>
      </c>
      <c r="G90" s="49">
        <v>130.69999999999999</v>
      </c>
      <c r="H90" s="49">
        <v>127</v>
      </c>
      <c r="I90" s="49">
        <v>121.8</v>
      </c>
      <c r="J90" s="49">
        <v>129.6</v>
      </c>
      <c r="K90" s="49">
        <v>131.4</v>
      </c>
      <c r="L90" s="49">
        <v>131.4</v>
      </c>
      <c r="M90" s="49">
        <v>125.8</v>
      </c>
      <c r="N90" s="49">
        <v>125.8</v>
      </c>
      <c r="O90" s="49">
        <v>120.6</v>
      </c>
      <c r="P90" s="49">
        <v>127.1</v>
      </c>
      <c r="Q90" s="49">
        <v>123.8</v>
      </c>
      <c r="R90" s="49">
        <v>123.8</v>
      </c>
      <c r="S90" s="49">
        <v>121.8</v>
      </c>
      <c r="T90" s="49">
        <v>122.5</v>
      </c>
      <c r="U90" s="49">
        <v>124.8</v>
      </c>
      <c r="V90" s="49">
        <v>121</v>
      </c>
      <c r="W90" s="49">
        <v>121</v>
      </c>
      <c r="X90" s="49">
        <v>122.7</v>
      </c>
      <c r="Y90" s="49">
        <v>125</v>
      </c>
      <c r="Z90" s="49">
        <v>130.6</v>
      </c>
      <c r="AA90" s="49">
        <v>125.8</v>
      </c>
      <c r="AB90" s="49">
        <v>133.1</v>
      </c>
      <c r="AC90" s="49">
        <v>129</v>
      </c>
      <c r="AD90" s="49">
        <v>129.1</v>
      </c>
      <c r="AE90" s="49">
        <v>122.1</v>
      </c>
      <c r="AF90" s="49">
        <v>122.1</v>
      </c>
      <c r="AG90" s="93"/>
      <c r="AH90" s="55">
        <f t="shared" si="13"/>
        <v>133.1</v>
      </c>
      <c r="AI90" s="56">
        <f t="shared" si="14"/>
        <v>120.6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66.2</v>
      </c>
      <c r="C91" s="97"/>
      <c r="D91" s="97"/>
      <c r="E91" s="97"/>
      <c r="F91" s="97">
        <v>65</v>
      </c>
      <c r="G91" s="97">
        <v>64.599999999999994</v>
      </c>
      <c r="H91" s="97">
        <v>63.9</v>
      </c>
      <c r="I91" s="97">
        <v>64.400000000000006</v>
      </c>
      <c r="J91" s="97">
        <v>64.599999999999994</v>
      </c>
      <c r="K91" s="97">
        <v>65.099999999999994</v>
      </c>
      <c r="L91" s="97">
        <v>65.099999999999994</v>
      </c>
      <c r="M91" s="97">
        <v>64.3</v>
      </c>
      <c r="N91" s="97">
        <v>64.3</v>
      </c>
      <c r="O91" s="97">
        <v>64.3</v>
      </c>
      <c r="P91" s="97">
        <v>63.9</v>
      </c>
      <c r="Q91" s="97">
        <v>64.099999999999994</v>
      </c>
      <c r="R91" s="97">
        <v>64.099999999999994</v>
      </c>
      <c r="S91" s="97">
        <v>64.599999999999994</v>
      </c>
      <c r="T91" s="97">
        <v>64.8</v>
      </c>
      <c r="U91" s="97">
        <v>64.599999999999994</v>
      </c>
      <c r="V91" s="97">
        <v>65</v>
      </c>
      <c r="W91" s="97">
        <v>65</v>
      </c>
      <c r="X91" s="97">
        <v>65.2</v>
      </c>
      <c r="Y91" s="97">
        <v>65.599999999999994</v>
      </c>
      <c r="Z91" s="97">
        <v>65.5</v>
      </c>
      <c r="AA91" s="97">
        <v>64.400000000000006</v>
      </c>
      <c r="AB91" s="97">
        <v>65.2</v>
      </c>
      <c r="AC91" s="97">
        <v>65.5</v>
      </c>
      <c r="AD91" s="97">
        <v>65.599999999999994</v>
      </c>
      <c r="AE91" s="97">
        <v>65.7</v>
      </c>
      <c r="AF91" s="97">
        <v>65.7</v>
      </c>
      <c r="AG91" s="98"/>
      <c r="AH91" s="55">
        <f t="shared" si="13"/>
        <v>66.2</v>
      </c>
      <c r="AI91" s="56">
        <f t="shared" si="14"/>
        <v>63.9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v>239.73999999999998</v>
      </c>
      <c r="C93" s="103">
        <f t="shared" ref="C93:AF93" si="22">SUM(C15,C18,C21:C22,C42,C44:C45,C47,C49,C94:C97,C103,C109,C115,C124,C126,C138,C145,C148:C149,C156,C158,C160,C164:C166,C168:C170,C175,C181:C182,C184:C186,C194,C199)</f>
        <v>239.73999999999998</v>
      </c>
      <c r="D93" s="103">
        <f t="shared" si="22"/>
        <v>34.840000000000003</v>
      </c>
      <c r="E93" s="103">
        <f t="shared" si="22"/>
        <v>34.840000000000003</v>
      </c>
      <c r="F93" s="103">
        <f t="shared" si="22"/>
        <v>117.13999999999997</v>
      </c>
      <c r="G93" s="103">
        <f t="shared" si="22"/>
        <v>143.54</v>
      </c>
      <c r="H93" s="103">
        <f t="shared" si="22"/>
        <v>157.73999999999998</v>
      </c>
      <c r="I93" s="103">
        <f t="shared" si="22"/>
        <v>164.03999999999996</v>
      </c>
      <c r="J93" s="103">
        <f t="shared" si="22"/>
        <v>193.63999999999996</v>
      </c>
      <c r="K93" s="103">
        <f t="shared" si="22"/>
        <v>242.93999999999997</v>
      </c>
      <c r="L93" s="103">
        <f t="shared" si="22"/>
        <v>243.33999999999995</v>
      </c>
      <c r="M93" s="103">
        <f t="shared" si="22"/>
        <v>245.13999999999996</v>
      </c>
      <c r="N93" s="103">
        <f t="shared" si="22"/>
        <v>241.13999999999996</v>
      </c>
      <c r="O93" s="103">
        <f t="shared" si="22"/>
        <v>252.73999999999995</v>
      </c>
      <c r="P93" s="103">
        <f t="shared" si="22"/>
        <v>258.94000000000005</v>
      </c>
      <c r="Q93" s="103">
        <f t="shared" si="22"/>
        <v>273.54000000000002</v>
      </c>
      <c r="R93" s="103">
        <f t="shared" si="22"/>
        <v>237.14</v>
      </c>
      <c r="S93" s="103">
        <f t="shared" si="22"/>
        <v>239.43999999999994</v>
      </c>
      <c r="T93" s="103">
        <f t="shared" si="22"/>
        <v>263.64000000000004</v>
      </c>
      <c r="U93" s="103">
        <f t="shared" si="22"/>
        <v>253.04000000000002</v>
      </c>
      <c r="V93" s="103">
        <f t="shared" si="22"/>
        <v>300.94000000000005</v>
      </c>
      <c r="W93" s="103">
        <f>SUM(W15,W18,W21:W22,W42,W44:W45,W47,W49,W94:W97,W103,W109,W115,W124,W126,W138,W145,W148:W149,W156,W158,W160,W164:W166,W168:W170,W175,W181:W182,W184:W186,W194,W199)</f>
        <v>293.94000000000005</v>
      </c>
      <c r="X93" s="103">
        <f>SUM(X15,X18,X21:X22,X42,X44:X45,X47,X49,X94:X97,X103,X109,X115,X124,X126,X138,X145,X148:X149,X156,X158,X160,X164:X166,X168:X170,X175,X181:X182,X184:X186,X194,X199)</f>
        <v>239.13999999999996</v>
      </c>
      <c r="Y93" s="103">
        <f t="shared" si="22"/>
        <v>250.33999999999997</v>
      </c>
      <c r="Z93" s="103">
        <f t="shared" si="22"/>
        <v>256.33999999999997</v>
      </c>
      <c r="AA93" s="103">
        <f t="shared" si="22"/>
        <v>288.74000000000007</v>
      </c>
      <c r="AB93" s="103">
        <f t="shared" si="22"/>
        <v>283.04000000000008</v>
      </c>
      <c r="AC93" s="103">
        <f t="shared" si="22"/>
        <v>260.74000000000007</v>
      </c>
      <c r="AD93" s="103">
        <f t="shared" si="22"/>
        <v>217.43999999999994</v>
      </c>
      <c r="AE93" s="103">
        <f t="shared" si="22"/>
        <v>166.64</v>
      </c>
      <c r="AF93" s="103">
        <f t="shared" si="22"/>
        <v>181.93999999999997</v>
      </c>
      <c r="AG93" s="104"/>
      <c r="AH93" s="55">
        <f>MAX(C93:AF93)</f>
        <v>300.94000000000005</v>
      </c>
      <c r="AI93" s="56">
        <f>MIN(C93:AF93)</f>
        <v>34.840000000000003</v>
      </c>
    </row>
    <row r="94" spans="1:88" x14ac:dyDescent="0.25">
      <c r="A94" s="105" t="s">
        <v>98</v>
      </c>
      <c r="B94" s="106">
        <v>14.1</v>
      </c>
      <c r="C94" s="106"/>
      <c r="D94" s="106"/>
      <c r="E94" s="106"/>
      <c r="F94" s="106">
        <v>29.2</v>
      </c>
      <c r="G94" s="106">
        <v>27.8</v>
      </c>
      <c r="H94" s="106">
        <v>39.1</v>
      </c>
      <c r="I94" s="106">
        <v>21.7</v>
      </c>
      <c r="J94" s="106">
        <v>27.5</v>
      </c>
      <c r="K94" s="106">
        <v>35.700000000000003</v>
      </c>
      <c r="L94" s="106">
        <v>35.700000000000003</v>
      </c>
      <c r="M94" s="106">
        <v>31.1</v>
      </c>
      <c r="N94" s="106">
        <v>24</v>
      </c>
      <c r="O94" s="106">
        <v>20.7</v>
      </c>
      <c r="P94" s="106">
        <v>16</v>
      </c>
      <c r="Q94" s="106">
        <v>14.6</v>
      </c>
      <c r="R94" s="106">
        <v>15.1</v>
      </c>
      <c r="S94" s="106">
        <v>19.100000000000001</v>
      </c>
      <c r="T94" s="106">
        <v>21.3</v>
      </c>
      <c r="U94" s="106">
        <v>21.3</v>
      </c>
      <c r="V94" s="106">
        <f>20+37</f>
        <v>57</v>
      </c>
      <c r="W94" s="106">
        <f>42+23</f>
        <v>65</v>
      </c>
      <c r="X94" s="106">
        <v>24.8</v>
      </c>
      <c r="Y94" s="106">
        <v>22.8</v>
      </c>
      <c r="Z94" s="106">
        <v>26</v>
      </c>
      <c r="AA94" s="106">
        <v>23.8</v>
      </c>
      <c r="AB94" s="106">
        <v>17.3</v>
      </c>
      <c r="AC94" s="106">
        <v>14.1</v>
      </c>
      <c r="AD94" s="106">
        <v>16.7</v>
      </c>
      <c r="AE94" s="106">
        <v>18.600000000000001</v>
      </c>
      <c r="AF94" s="106">
        <v>16.7</v>
      </c>
      <c r="AG94" s="107">
        <v>75</v>
      </c>
      <c r="AH94" s="55">
        <f t="shared" ref="AH94:AH100" si="23">IF(ABS(MAX(C94:AF94))&gt;ABS(MIN(C94:AF94)),MAX(C94:AF94),MIN(C94:AF94))</f>
        <v>65</v>
      </c>
      <c r="AI94" s="108">
        <f t="shared" ref="AI94:AI100" si="24">INDEX($C$9:$AF$9,1,MATCH(AH94,C94:AF94,0))</f>
        <v>0.72916666666666663</v>
      </c>
    </row>
    <row r="95" spans="1:88" x14ac:dyDescent="0.25">
      <c r="A95" s="109" t="s">
        <v>99</v>
      </c>
      <c r="B95" s="110">
        <f>-61.4-69.9</f>
        <v>-131.30000000000001</v>
      </c>
      <c r="C95" s="110"/>
      <c r="D95" s="110"/>
      <c r="E95" s="110"/>
      <c r="F95" s="110">
        <v>-110</v>
      </c>
      <c r="G95" s="110">
        <v>-95</v>
      </c>
      <c r="H95" s="110">
        <v>-94</v>
      </c>
      <c r="I95" s="110">
        <v>-75</v>
      </c>
      <c r="J95" s="110">
        <v>-54</v>
      </c>
      <c r="K95" s="110">
        <v>-95</v>
      </c>
      <c r="L95" s="110">
        <v>-95</v>
      </c>
      <c r="M95" s="110">
        <v>-93.5</v>
      </c>
      <c r="N95" s="110">
        <v>-90</v>
      </c>
      <c r="O95" s="110">
        <v>-90</v>
      </c>
      <c r="P95" s="110">
        <f>-38.3-52.7</f>
        <v>-91</v>
      </c>
      <c r="Q95" s="110">
        <f>-36-50</f>
        <v>-86</v>
      </c>
      <c r="R95" s="110">
        <v>-101</v>
      </c>
      <c r="S95" s="110">
        <f>-48.3-60.8</f>
        <v>-109.1</v>
      </c>
      <c r="T95" s="110">
        <f>-44-53.6</f>
        <v>-97.6</v>
      </c>
      <c r="U95" s="110">
        <f>-46-53.8</f>
        <v>-99.8</v>
      </c>
      <c r="V95" s="110">
        <v>-94</v>
      </c>
      <c r="W95" s="110">
        <v>-100</v>
      </c>
      <c r="X95" s="110">
        <f>-45.7-52.8</f>
        <v>-98.5</v>
      </c>
      <c r="Y95" s="110">
        <f>-41.2-48.7</f>
        <v>-89.9</v>
      </c>
      <c r="Z95" s="110">
        <f>-40.5-47.8</f>
        <v>-88.3</v>
      </c>
      <c r="AA95" s="110">
        <f>-33.1-43.8</f>
        <v>-76.900000000000006</v>
      </c>
      <c r="AB95" s="110">
        <f>-31.7-45.5</f>
        <v>-77.2</v>
      </c>
      <c r="AC95" s="110">
        <f>-36.9-51</f>
        <v>-87.9</v>
      </c>
      <c r="AD95" s="110">
        <f>-46-59.9</f>
        <v>-105.9</v>
      </c>
      <c r="AE95" s="110">
        <f>-52.9-64.3</f>
        <v>-117.19999999999999</v>
      </c>
      <c r="AF95" s="110">
        <f>-52-59.7</f>
        <v>-111.7</v>
      </c>
      <c r="AG95" s="107">
        <v>240</v>
      </c>
      <c r="AH95" s="55">
        <f t="shared" si="23"/>
        <v>-117.19999999999999</v>
      </c>
      <c r="AI95" s="108">
        <f t="shared" si="24"/>
        <v>0.91666666666666696</v>
      </c>
    </row>
    <row r="96" spans="1:88" x14ac:dyDescent="0.25">
      <c r="A96" s="109" t="s">
        <v>100</v>
      </c>
      <c r="B96" s="110">
        <v>6.6</v>
      </c>
      <c r="C96" s="110"/>
      <c r="D96" s="110"/>
      <c r="E96" s="110"/>
      <c r="F96" s="110">
        <v>0.5</v>
      </c>
      <c r="G96" s="110">
        <v>3.3</v>
      </c>
      <c r="H96" s="110">
        <v>3.7</v>
      </c>
      <c r="I96" s="110">
        <v>8.4</v>
      </c>
      <c r="J96" s="110">
        <v>11</v>
      </c>
      <c r="K96" s="110">
        <v>6.2</v>
      </c>
      <c r="L96" s="110">
        <v>6.2</v>
      </c>
      <c r="M96" s="110">
        <v>13.9</v>
      </c>
      <c r="N96" s="110">
        <v>13.7</v>
      </c>
      <c r="O96" s="110">
        <v>36.799999999999997</v>
      </c>
      <c r="P96" s="110">
        <v>43.4</v>
      </c>
      <c r="Q96" s="110">
        <v>43.9</v>
      </c>
      <c r="R96" s="110">
        <v>32.1</v>
      </c>
      <c r="S96" s="110">
        <v>32.1</v>
      </c>
      <c r="T96" s="110">
        <v>25.9</v>
      </c>
      <c r="U96" s="110">
        <v>17.399999999999999</v>
      </c>
      <c r="V96" s="110">
        <v>19</v>
      </c>
      <c r="W96" s="110">
        <v>23</v>
      </c>
      <c r="X96" s="110">
        <v>11.5</v>
      </c>
      <c r="Y96" s="110">
        <v>15.4</v>
      </c>
      <c r="Z96" s="110">
        <v>15.6</v>
      </c>
      <c r="AA96" s="110">
        <v>37.4</v>
      </c>
      <c r="AB96" s="110">
        <v>40.799999999999997</v>
      </c>
      <c r="AC96" s="110">
        <v>38.5</v>
      </c>
      <c r="AD96" s="110">
        <v>33.299999999999997</v>
      </c>
      <c r="AE96" s="110">
        <v>21.6</v>
      </c>
      <c r="AF96" s="110">
        <v>33.299999999999997</v>
      </c>
      <c r="AG96" s="107">
        <v>60</v>
      </c>
      <c r="AH96" s="55">
        <f t="shared" si="23"/>
        <v>43.9</v>
      </c>
      <c r="AI96" s="108">
        <f t="shared" si="24"/>
        <v>0.5</v>
      </c>
    </row>
    <row r="97" spans="1:37" x14ac:dyDescent="0.25">
      <c r="A97" s="111" t="s">
        <v>101</v>
      </c>
      <c r="B97" s="112">
        <v>28.6</v>
      </c>
      <c r="C97" s="112"/>
      <c r="D97" s="112"/>
      <c r="E97" s="112"/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57.4</v>
      </c>
      <c r="L97" s="112">
        <v>57.4</v>
      </c>
      <c r="M97" s="112">
        <v>54.6</v>
      </c>
      <c r="N97" s="112">
        <v>54.4</v>
      </c>
      <c r="O97" s="112">
        <v>46.7</v>
      </c>
      <c r="P97" s="112">
        <v>52</v>
      </c>
      <c r="Q97" s="112">
        <v>62.5</v>
      </c>
      <c r="R97" s="112">
        <v>52.4</v>
      </c>
      <c r="S97" s="112">
        <v>39.299999999999997</v>
      </c>
      <c r="T97" s="112">
        <v>56</v>
      </c>
      <c r="U97" s="112">
        <v>56.2</v>
      </c>
      <c r="V97" s="112">
        <v>61</v>
      </c>
      <c r="W97" s="112">
        <v>48</v>
      </c>
      <c r="X97" s="112">
        <v>55.1</v>
      </c>
      <c r="Y97" s="112">
        <v>57.1</v>
      </c>
      <c r="Z97" s="112">
        <v>58.9</v>
      </c>
      <c r="AA97" s="112">
        <v>60.9</v>
      </c>
      <c r="AB97" s="112">
        <v>58.5</v>
      </c>
      <c r="AC97" s="112">
        <v>52.4</v>
      </c>
      <c r="AD97" s="112">
        <v>29.7</v>
      </c>
      <c r="AE97" s="112">
        <v>0</v>
      </c>
      <c r="AF97" s="112">
        <v>0</v>
      </c>
      <c r="AG97" s="113">
        <v>120</v>
      </c>
      <c r="AH97" s="55">
        <f t="shared" si="23"/>
        <v>62.5</v>
      </c>
      <c r="AI97" s="108">
        <f t="shared" si="24"/>
        <v>0.5</v>
      </c>
    </row>
    <row r="98" spans="1:37" x14ac:dyDescent="0.25">
      <c r="A98" s="111" t="s">
        <v>102</v>
      </c>
      <c r="B98" s="112">
        <v>41.5</v>
      </c>
      <c r="C98" s="112"/>
      <c r="D98" s="112"/>
      <c r="E98" s="112"/>
      <c r="F98" s="112">
        <v>16</v>
      </c>
      <c r="G98" s="112">
        <v>46</v>
      </c>
      <c r="H98" s="112">
        <v>44</v>
      </c>
      <c r="I98" s="112">
        <v>70.099999999999994</v>
      </c>
      <c r="J98" s="112">
        <v>76</v>
      </c>
      <c r="K98" s="112">
        <v>54</v>
      </c>
      <c r="L98" s="112">
        <v>54</v>
      </c>
      <c r="M98" s="112">
        <v>47.3</v>
      </c>
      <c r="N98" s="112">
        <v>53.4</v>
      </c>
      <c r="O98" s="112">
        <v>43.5</v>
      </c>
      <c r="P98" s="112">
        <v>50.3</v>
      </c>
      <c r="Q98" s="112">
        <v>58</v>
      </c>
      <c r="R98" s="112">
        <v>59.6</v>
      </c>
      <c r="S98" s="112">
        <v>48.5</v>
      </c>
      <c r="T98" s="112">
        <v>54</v>
      </c>
      <c r="U98" s="112">
        <v>54.9</v>
      </c>
      <c r="V98" s="112">
        <v>55</v>
      </c>
      <c r="W98" s="112">
        <v>45</v>
      </c>
      <c r="X98" s="112">
        <v>48.4</v>
      </c>
      <c r="Y98" s="112">
        <v>49.5</v>
      </c>
      <c r="Z98" s="112">
        <v>43.3</v>
      </c>
      <c r="AA98" s="112">
        <v>56.6</v>
      </c>
      <c r="AB98" s="112">
        <v>51.2</v>
      </c>
      <c r="AC98" s="112">
        <v>45.5</v>
      </c>
      <c r="AD98" s="112">
        <v>26.8</v>
      </c>
      <c r="AE98" s="112">
        <v>36.6</v>
      </c>
      <c r="AF98" s="112">
        <v>56.7</v>
      </c>
      <c r="AG98" s="113"/>
      <c r="AH98" s="55">
        <f t="shared" si="23"/>
        <v>76</v>
      </c>
      <c r="AI98" s="108">
        <f t="shared" si="24"/>
        <v>0.27083333333333331</v>
      </c>
    </row>
    <row r="99" spans="1:37" x14ac:dyDescent="0.25">
      <c r="A99" s="111" t="s">
        <v>103</v>
      </c>
      <c r="B99" s="112">
        <v>77</v>
      </c>
      <c r="C99" s="112"/>
      <c r="D99" s="112"/>
      <c r="E99" s="112"/>
      <c r="F99" s="112">
        <v>38</v>
      </c>
      <c r="G99" s="112">
        <v>53</v>
      </c>
      <c r="H99" s="112">
        <v>40</v>
      </c>
      <c r="I99" s="112">
        <v>32</v>
      </c>
      <c r="J99" s="112">
        <v>31</v>
      </c>
      <c r="K99" s="112">
        <v>48</v>
      </c>
      <c r="L99" s="112">
        <v>48</v>
      </c>
      <c r="M99" s="112">
        <v>27.2</v>
      </c>
      <c r="N99" s="112">
        <v>49.3</v>
      </c>
      <c r="O99" s="112">
        <v>58</v>
      </c>
      <c r="P99" s="112">
        <v>73.8</v>
      </c>
      <c r="Q99" s="112">
        <v>80</v>
      </c>
      <c r="R99" s="112">
        <v>76.7</v>
      </c>
      <c r="S99" s="112">
        <v>60.5</v>
      </c>
      <c r="T99" s="112">
        <v>48.6</v>
      </c>
      <c r="U99" s="112">
        <v>54.5</v>
      </c>
      <c r="V99" s="112">
        <v>59</v>
      </c>
      <c r="W99" s="112">
        <v>44</v>
      </c>
      <c r="X99" s="112">
        <v>37.9</v>
      </c>
      <c r="Y99" s="112">
        <v>56.2</v>
      </c>
      <c r="Z99" s="112">
        <v>40.200000000000003</v>
      </c>
      <c r="AA99" s="112">
        <v>43.9</v>
      </c>
      <c r="AB99" s="112">
        <v>74.2</v>
      </c>
      <c r="AC99" s="112">
        <v>76.5</v>
      </c>
      <c r="AD99" s="112">
        <v>64.5</v>
      </c>
      <c r="AE99" s="112">
        <v>71.2</v>
      </c>
      <c r="AF99" s="112">
        <v>81.2</v>
      </c>
      <c r="AG99" s="114"/>
      <c r="AH99" s="55">
        <f t="shared" si="23"/>
        <v>81.2</v>
      </c>
      <c r="AI99" s="108">
        <f t="shared" si="24"/>
        <v>0.95833333333333304</v>
      </c>
    </row>
    <row r="100" spans="1:37" ht="15.75" thickBot="1" x14ac:dyDescent="0.3">
      <c r="A100" s="115" t="s">
        <v>104</v>
      </c>
      <c r="B100" s="95">
        <v>48.9</v>
      </c>
      <c r="C100" s="95"/>
      <c r="D100" s="95"/>
      <c r="E100" s="95"/>
      <c r="F100" s="95">
        <v>22</v>
      </c>
      <c r="G100" s="95">
        <v>22</v>
      </c>
      <c r="H100" s="95">
        <v>15</v>
      </c>
      <c r="I100" s="95">
        <v>16</v>
      </c>
      <c r="J100" s="95">
        <v>25</v>
      </c>
      <c r="K100" s="95">
        <v>36</v>
      </c>
      <c r="L100" s="95">
        <v>36</v>
      </c>
      <c r="M100" s="95">
        <v>30</v>
      </c>
      <c r="N100" s="95">
        <v>30</v>
      </c>
      <c r="O100" s="95">
        <v>51.8</v>
      </c>
      <c r="P100" s="95">
        <v>50.3</v>
      </c>
      <c r="Q100" s="95">
        <v>44.6</v>
      </c>
      <c r="R100" s="95">
        <v>53.1</v>
      </c>
      <c r="S100" s="95">
        <v>62.3</v>
      </c>
      <c r="T100" s="95">
        <v>54.8</v>
      </c>
      <c r="U100" s="95">
        <v>53.2</v>
      </c>
      <c r="V100" s="95">
        <v>53</v>
      </c>
      <c r="W100" s="95">
        <v>54</v>
      </c>
      <c r="X100" s="95">
        <v>45.9</v>
      </c>
      <c r="Y100" s="95">
        <v>38.9</v>
      </c>
      <c r="Z100" s="95">
        <v>66.2</v>
      </c>
      <c r="AA100" s="95">
        <v>74</v>
      </c>
      <c r="AB100" s="95">
        <v>70.400000000000006</v>
      </c>
      <c r="AC100" s="95">
        <v>76.5</v>
      </c>
      <c r="AD100" s="95">
        <v>71.5</v>
      </c>
      <c r="AE100" s="95">
        <v>66.5</v>
      </c>
      <c r="AF100" s="95">
        <v>55.3</v>
      </c>
      <c r="AG100" s="114"/>
      <c r="AH100" s="55">
        <f t="shared" si="23"/>
        <v>76.5</v>
      </c>
      <c r="AI100" s="108">
        <f t="shared" si="24"/>
        <v>0.85416666666666663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5">AF102</f>
        <v>9.9</v>
      </c>
      <c r="C102" s="54">
        <v>9.9</v>
      </c>
      <c r="D102" s="121">
        <f t="shared" ref="D102:S107" si="26">C102</f>
        <v>9.9</v>
      </c>
      <c r="E102" s="121">
        <f t="shared" si="26"/>
        <v>9.9</v>
      </c>
      <c r="F102" s="121">
        <f t="shared" si="26"/>
        <v>9.9</v>
      </c>
      <c r="G102" s="121">
        <f t="shared" si="26"/>
        <v>9.9</v>
      </c>
      <c r="H102" s="121">
        <f t="shared" si="26"/>
        <v>9.9</v>
      </c>
      <c r="I102" s="121">
        <f t="shared" si="26"/>
        <v>9.9</v>
      </c>
      <c r="J102" s="121">
        <f t="shared" si="26"/>
        <v>9.9</v>
      </c>
      <c r="K102" s="121">
        <f t="shared" si="26"/>
        <v>9.9</v>
      </c>
      <c r="L102" s="121">
        <f t="shared" si="26"/>
        <v>9.9</v>
      </c>
      <c r="M102" s="121">
        <f t="shared" si="26"/>
        <v>9.9</v>
      </c>
      <c r="N102" s="121">
        <f t="shared" si="26"/>
        <v>9.9</v>
      </c>
      <c r="O102" s="121">
        <f t="shared" si="26"/>
        <v>9.9</v>
      </c>
      <c r="P102" s="121">
        <f t="shared" si="26"/>
        <v>9.9</v>
      </c>
      <c r="Q102" s="121">
        <f t="shared" si="26"/>
        <v>9.9</v>
      </c>
      <c r="R102" s="121">
        <f t="shared" si="26"/>
        <v>9.9</v>
      </c>
      <c r="S102" s="121">
        <f t="shared" si="26"/>
        <v>9.9</v>
      </c>
      <c r="T102" s="121">
        <f t="shared" ref="T102:AF107" si="27">S102</f>
        <v>9.9</v>
      </c>
      <c r="U102" s="121">
        <f t="shared" si="27"/>
        <v>9.9</v>
      </c>
      <c r="V102" s="121">
        <f t="shared" si="27"/>
        <v>9.9</v>
      </c>
      <c r="W102" s="121">
        <f t="shared" si="27"/>
        <v>9.9</v>
      </c>
      <c r="X102" s="121">
        <f t="shared" si="27"/>
        <v>9.9</v>
      </c>
      <c r="Y102" s="121">
        <f t="shared" si="27"/>
        <v>9.9</v>
      </c>
      <c r="Z102" s="121">
        <f t="shared" si="27"/>
        <v>9.9</v>
      </c>
      <c r="AA102" s="121">
        <f t="shared" si="27"/>
        <v>9.9</v>
      </c>
      <c r="AB102" s="121">
        <f t="shared" si="27"/>
        <v>9.9</v>
      </c>
      <c r="AC102" s="121">
        <f t="shared" si="27"/>
        <v>9.9</v>
      </c>
      <c r="AD102" s="121">
        <f t="shared" si="27"/>
        <v>9.9</v>
      </c>
      <c r="AE102" s="121">
        <f t="shared" si="27"/>
        <v>9.9</v>
      </c>
      <c r="AF102" s="121">
        <f t="shared" si="27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5"/>
        <v>9.6</v>
      </c>
      <c r="C103" s="124">
        <v>9.6</v>
      </c>
      <c r="D103" s="123">
        <f t="shared" si="26"/>
        <v>9.6</v>
      </c>
      <c r="E103" s="123">
        <f t="shared" si="26"/>
        <v>9.6</v>
      </c>
      <c r="F103" s="123">
        <f t="shared" si="26"/>
        <v>9.6</v>
      </c>
      <c r="G103" s="123">
        <f t="shared" si="26"/>
        <v>9.6</v>
      </c>
      <c r="H103" s="123">
        <f t="shared" si="26"/>
        <v>9.6</v>
      </c>
      <c r="I103" s="123">
        <f t="shared" si="26"/>
        <v>9.6</v>
      </c>
      <c r="J103" s="123">
        <f t="shared" si="26"/>
        <v>9.6</v>
      </c>
      <c r="K103" s="123">
        <f t="shared" si="26"/>
        <v>9.6</v>
      </c>
      <c r="L103" s="123">
        <f t="shared" si="26"/>
        <v>9.6</v>
      </c>
      <c r="M103" s="123">
        <f t="shared" si="26"/>
        <v>9.6</v>
      </c>
      <c r="N103" s="123">
        <f t="shared" si="26"/>
        <v>9.6</v>
      </c>
      <c r="O103" s="123">
        <f t="shared" si="26"/>
        <v>9.6</v>
      </c>
      <c r="P103" s="123">
        <f t="shared" si="26"/>
        <v>9.6</v>
      </c>
      <c r="Q103" s="123">
        <f t="shared" si="26"/>
        <v>9.6</v>
      </c>
      <c r="R103" s="123">
        <f t="shared" si="26"/>
        <v>9.6</v>
      </c>
      <c r="S103" s="123">
        <f t="shared" si="26"/>
        <v>9.6</v>
      </c>
      <c r="T103" s="123">
        <f t="shared" si="27"/>
        <v>9.6</v>
      </c>
      <c r="U103" s="123">
        <f t="shared" si="27"/>
        <v>9.6</v>
      </c>
      <c r="V103" s="123">
        <f t="shared" si="27"/>
        <v>9.6</v>
      </c>
      <c r="W103" s="123">
        <f t="shared" si="27"/>
        <v>9.6</v>
      </c>
      <c r="X103" s="123">
        <f t="shared" si="27"/>
        <v>9.6</v>
      </c>
      <c r="Y103" s="123">
        <f t="shared" si="27"/>
        <v>9.6</v>
      </c>
      <c r="Z103" s="123">
        <f t="shared" si="27"/>
        <v>9.6</v>
      </c>
      <c r="AA103" s="123">
        <f t="shared" si="27"/>
        <v>9.6</v>
      </c>
      <c r="AB103" s="123">
        <f t="shared" si="27"/>
        <v>9.6</v>
      </c>
      <c r="AC103" s="123">
        <f t="shared" si="27"/>
        <v>9.6</v>
      </c>
      <c r="AD103" s="123">
        <f t="shared" si="27"/>
        <v>9.6</v>
      </c>
      <c r="AE103" s="123">
        <f t="shared" si="27"/>
        <v>9.6</v>
      </c>
      <c r="AF103" s="123">
        <f t="shared" si="27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5"/>
        <v>9.98</v>
      </c>
      <c r="C104" s="124">
        <v>9.98</v>
      </c>
      <c r="D104" s="123">
        <f t="shared" si="26"/>
        <v>9.98</v>
      </c>
      <c r="E104" s="123">
        <f t="shared" si="26"/>
        <v>9.98</v>
      </c>
      <c r="F104" s="123">
        <f t="shared" si="26"/>
        <v>9.98</v>
      </c>
      <c r="G104" s="123">
        <f t="shared" si="26"/>
        <v>9.98</v>
      </c>
      <c r="H104" s="123">
        <f t="shared" si="26"/>
        <v>9.98</v>
      </c>
      <c r="I104" s="123">
        <f t="shared" si="26"/>
        <v>9.98</v>
      </c>
      <c r="J104" s="123">
        <f t="shared" si="26"/>
        <v>9.98</v>
      </c>
      <c r="K104" s="123">
        <f t="shared" si="26"/>
        <v>9.98</v>
      </c>
      <c r="L104" s="123">
        <f t="shared" si="26"/>
        <v>9.98</v>
      </c>
      <c r="M104" s="123">
        <f t="shared" si="26"/>
        <v>9.98</v>
      </c>
      <c r="N104" s="123">
        <f t="shared" si="26"/>
        <v>9.98</v>
      </c>
      <c r="O104" s="123">
        <f t="shared" si="26"/>
        <v>9.98</v>
      </c>
      <c r="P104" s="123">
        <f t="shared" si="26"/>
        <v>9.98</v>
      </c>
      <c r="Q104" s="123">
        <f t="shared" si="26"/>
        <v>9.98</v>
      </c>
      <c r="R104" s="123">
        <f t="shared" si="26"/>
        <v>9.98</v>
      </c>
      <c r="S104" s="123">
        <f t="shared" si="26"/>
        <v>9.98</v>
      </c>
      <c r="T104" s="123">
        <f t="shared" si="27"/>
        <v>9.98</v>
      </c>
      <c r="U104" s="123">
        <f t="shared" si="27"/>
        <v>9.98</v>
      </c>
      <c r="V104" s="123">
        <f t="shared" si="27"/>
        <v>9.98</v>
      </c>
      <c r="W104" s="123">
        <f t="shared" si="27"/>
        <v>9.98</v>
      </c>
      <c r="X104" s="123">
        <f t="shared" si="27"/>
        <v>9.98</v>
      </c>
      <c r="Y104" s="123">
        <f t="shared" si="27"/>
        <v>9.98</v>
      </c>
      <c r="Z104" s="123">
        <f t="shared" si="27"/>
        <v>9.98</v>
      </c>
      <c r="AA104" s="123">
        <f t="shared" si="27"/>
        <v>9.98</v>
      </c>
      <c r="AB104" s="123">
        <f t="shared" si="27"/>
        <v>9.98</v>
      </c>
      <c r="AC104" s="123">
        <f t="shared" si="27"/>
        <v>9.98</v>
      </c>
      <c r="AD104" s="123">
        <f t="shared" si="27"/>
        <v>9.98</v>
      </c>
      <c r="AE104" s="123">
        <f t="shared" si="27"/>
        <v>9.98</v>
      </c>
      <c r="AF104" s="123">
        <f t="shared" si="27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5"/>
        <v>9.1</v>
      </c>
      <c r="C105" s="124">
        <v>9.1</v>
      </c>
      <c r="D105" s="123">
        <f t="shared" si="26"/>
        <v>9.1</v>
      </c>
      <c r="E105" s="123">
        <f t="shared" si="26"/>
        <v>9.1</v>
      </c>
      <c r="F105" s="123">
        <f t="shared" si="26"/>
        <v>9.1</v>
      </c>
      <c r="G105" s="123">
        <f t="shared" si="26"/>
        <v>9.1</v>
      </c>
      <c r="H105" s="123">
        <f t="shared" si="26"/>
        <v>9.1</v>
      </c>
      <c r="I105" s="123">
        <f t="shared" si="26"/>
        <v>9.1</v>
      </c>
      <c r="J105" s="123">
        <f t="shared" si="26"/>
        <v>9.1</v>
      </c>
      <c r="K105" s="123">
        <f t="shared" si="26"/>
        <v>9.1</v>
      </c>
      <c r="L105" s="123">
        <f t="shared" si="26"/>
        <v>9.1</v>
      </c>
      <c r="M105" s="123">
        <f t="shared" si="26"/>
        <v>9.1</v>
      </c>
      <c r="N105" s="123">
        <f t="shared" si="26"/>
        <v>9.1</v>
      </c>
      <c r="O105" s="123">
        <f t="shared" si="26"/>
        <v>9.1</v>
      </c>
      <c r="P105" s="123">
        <f t="shared" si="26"/>
        <v>9.1</v>
      </c>
      <c r="Q105" s="123">
        <f t="shared" si="26"/>
        <v>9.1</v>
      </c>
      <c r="R105" s="123">
        <f t="shared" si="26"/>
        <v>9.1</v>
      </c>
      <c r="S105" s="123">
        <f t="shared" si="26"/>
        <v>9.1</v>
      </c>
      <c r="T105" s="123">
        <f t="shared" si="27"/>
        <v>9.1</v>
      </c>
      <c r="U105" s="123">
        <f t="shared" si="27"/>
        <v>9.1</v>
      </c>
      <c r="V105" s="123">
        <f t="shared" si="27"/>
        <v>9.1</v>
      </c>
      <c r="W105" s="123">
        <f t="shared" si="27"/>
        <v>9.1</v>
      </c>
      <c r="X105" s="123">
        <f t="shared" si="27"/>
        <v>9.1</v>
      </c>
      <c r="Y105" s="123">
        <f t="shared" si="27"/>
        <v>9.1</v>
      </c>
      <c r="Z105" s="123">
        <f t="shared" si="27"/>
        <v>9.1</v>
      </c>
      <c r="AA105" s="123">
        <f t="shared" si="27"/>
        <v>9.1</v>
      </c>
      <c r="AB105" s="123">
        <f t="shared" si="27"/>
        <v>9.1</v>
      </c>
      <c r="AC105" s="123">
        <f t="shared" si="27"/>
        <v>9.1</v>
      </c>
      <c r="AD105" s="123">
        <f t="shared" si="27"/>
        <v>9.1</v>
      </c>
      <c r="AE105" s="123">
        <f t="shared" si="27"/>
        <v>9.1</v>
      </c>
      <c r="AF105" s="123">
        <f t="shared" si="27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5"/>
        <v>9.18</v>
      </c>
      <c r="C106" s="124">
        <v>9.18</v>
      </c>
      <c r="D106" s="123">
        <f t="shared" si="26"/>
        <v>9.18</v>
      </c>
      <c r="E106" s="123">
        <f t="shared" si="26"/>
        <v>9.18</v>
      </c>
      <c r="F106" s="123">
        <f t="shared" si="26"/>
        <v>9.18</v>
      </c>
      <c r="G106" s="123">
        <f t="shared" si="26"/>
        <v>9.18</v>
      </c>
      <c r="H106" s="123">
        <f t="shared" si="26"/>
        <v>9.18</v>
      </c>
      <c r="I106" s="123">
        <f t="shared" si="26"/>
        <v>9.18</v>
      </c>
      <c r="J106" s="123">
        <f t="shared" si="26"/>
        <v>9.18</v>
      </c>
      <c r="K106" s="123">
        <f t="shared" si="26"/>
        <v>9.18</v>
      </c>
      <c r="L106" s="123">
        <f t="shared" si="26"/>
        <v>9.18</v>
      </c>
      <c r="M106" s="123">
        <f t="shared" si="26"/>
        <v>9.18</v>
      </c>
      <c r="N106" s="123">
        <f t="shared" si="26"/>
        <v>9.18</v>
      </c>
      <c r="O106" s="123">
        <f t="shared" si="26"/>
        <v>9.18</v>
      </c>
      <c r="P106" s="123">
        <f t="shared" si="26"/>
        <v>9.18</v>
      </c>
      <c r="Q106" s="123">
        <f t="shared" si="26"/>
        <v>9.18</v>
      </c>
      <c r="R106" s="123">
        <f t="shared" si="26"/>
        <v>9.18</v>
      </c>
      <c r="S106" s="123">
        <f t="shared" si="26"/>
        <v>9.18</v>
      </c>
      <c r="T106" s="123">
        <f t="shared" si="27"/>
        <v>9.18</v>
      </c>
      <c r="U106" s="123">
        <f t="shared" si="27"/>
        <v>9.18</v>
      </c>
      <c r="V106" s="123">
        <f t="shared" si="27"/>
        <v>9.18</v>
      </c>
      <c r="W106" s="123">
        <f t="shared" si="27"/>
        <v>9.18</v>
      </c>
      <c r="X106" s="123">
        <f t="shared" si="27"/>
        <v>9.18</v>
      </c>
      <c r="Y106" s="123">
        <f t="shared" si="27"/>
        <v>9.18</v>
      </c>
      <c r="Z106" s="123">
        <f t="shared" si="27"/>
        <v>9.18</v>
      </c>
      <c r="AA106" s="123">
        <f t="shared" si="27"/>
        <v>9.18</v>
      </c>
      <c r="AB106" s="123">
        <f t="shared" si="27"/>
        <v>9.18</v>
      </c>
      <c r="AC106" s="123">
        <f t="shared" si="27"/>
        <v>9.18</v>
      </c>
      <c r="AD106" s="123">
        <f t="shared" si="27"/>
        <v>9.18</v>
      </c>
      <c r="AE106" s="123">
        <f t="shared" si="27"/>
        <v>9.18</v>
      </c>
      <c r="AF106" s="123">
        <f t="shared" si="27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5"/>
        <v>7</v>
      </c>
      <c r="C107" s="124">
        <v>7</v>
      </c>
      <c r="D107" s="123">
        <f t="shared" si="26"/>
        <v>7</v>
      </c>
      <c r="E107" s="123">
        <f t="shared" si="26"/>
        <v>7</v>
      </c>
      <c r="F107" s="123">
        <f t="shared" si="26"/>
        <v>7</v>
      </c>
      <c r="G107" s="123">
        <f t="shared" si="26"/>
        <v>7</v>
      </c>
      <c r="H107" s="123">
        <f t="shared" si="26"/>
        <v>7</v>
      </c>
      <c r="I107" s="123">
        <f t="shared" si="26"/>
        <v>7</v>
      </c>
      <c r="J107" s="123">
        <f t="shared" si="26"/>
        <v>7</v>
      </c>
      <c r="K107" s="123">
        <f t="shared" si="26"/>
        <v>7</v>
      </c>
      <c r="L107" s="123">
        <f t="shared" si="26"/>
        <v>7</v>
      </c>
      <c r="M107" s="123">
        <f t="shared" si="26"/>
        <v>7</v>
      </c>
      <c r="N107" s="123">
        <f t="shared" si="26"/>
        <v>7</v>
      </c>
      <c r="O107" s="123">
        <f t="shared" si="26"/>
        <v>7</v>
      </c>
      <c r="P107" s="123">
        <f t="shared" si="26"/>
        <v>7</v>
      </c>
      <c r="Q107" s="123">
        <f t="shared" si="26"/>
        <v>7</v>
      </c>
      <c r="R107" s="123">
        <f t="shared" si="26"/>
        <v>7</v>
      </c>
      <c r="S107" s="123">
        <f t="shared" si="26"/>
        <v>7</v>
      </c>
      <c r="T107" s="123">
        <f t="shared" si="27"/>
        <v>7</v>
      </c>
      <c r="U107" s="123">
        <f t="shared" si="27"/>
        <v>7</v>
      </c>
      <c r="V107" s="123">
        <f t="shared" si="27"/>
        <v>7</v>
      </c>
      <c r="W107" s="123">
        <f t="shared" si="27"/>
        <v>7</v>
      </c>
      <c r="X107" s="123">
        <f t="shared" si="27"/>
        <v>7</v>
      </c>
      <c r="Y107" s="123">
        <f t="shared" si="27"/>
        <v>7</v>
      </c>
      <c r="Z107" s="123">
        <f t="shared" si="27"/>
        <v>7</v>
      </c>
      <c r="AA107" s="123">
        <f t="shared" si="27"/>
        <v>7</v>
      </c>
      <c r="AB107" s="123">
        <f t="shared" si="27"/>
        <v>7</v>
      </c>
      <c r="AC107" s="123">
        <f t="shared" si="27"/>
        <v>7</v>
      </c>
      <c r="AD107" s="123">
        <f t="shared" si="27"/>
        <v>7</v>
      </c>
      <c r="AE107" s="123">
        <f t="shared" si="27"/>
        <v>7</v>
      </c>
      <c r="AF107" s="123">
        <f t="shared" si="27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28">C109</f>
        <v>2.25</v>
      </c>
      <c r="E109" s="123">
        <f t="shared" si="28"/>
        <v>2.25</v>
      </c>
      <c r="F109" s="123">
        <f t="shared" si="28"/>
        <v>2.25</v>
      </c>
      <c r="G109" s="123">
        <f t="shared" si="28"/>
        <v>2.25</v>
      </c>
      <c r="H109" s="123">
        <f t="shared" si="28"/>
        <v>2.25</v>
      </c>
      <c r="I109" s="123">
        <f t="shared" si="28"/>
        <v>2.25</v>
      </c>
      <c r="J109" s="123">
        <f t="shared" si="28"/>
        <v>2.25</v>
      </c>
      <c r="K109" s="123">
        <f t="shared" si="28"/>
        <v>2.25</v>
      </c>
      <c r="L109" s="123">
        <f t="shared" si="28"/>
        <v>2.25</v>
      </c>
      <c r="M109" s="123">
        <f t="shared" si="28"/>
        <v>2.25</v>
      </c>
      <c r="N109" s="123">
        <f t="shared" si="28"/>
        <v>2.25</v>
      </c>
      <c r="O109" s="123">
        <f t="shared" si="28"/>
        <v>2.25</v>
      </c>
      <c r="P109" s="123">
        <f t="shared" si="28"/>
        <v>2.25</v>
      </c>
      <c r="Q109" s="123">
        <f t="shared" si="28"/>
        <v>2.25</v>
      </c>
      <c r="R109" s="123">
        <f t="shared" si="28"/>
        <v>2.25</v>
      </c>
      <c r="S109" s="123">
        <f t="shared" si="28"/>
        <v>2.25</v>
      </c>
      <c r="T109" s="123">
        <f t="shared" ref="T109:AF110" si="29">S109</f>
        <v>2.25</v>
      </c>
      <c r="U109" s="123">
        <f t="shared" si="29"/>
        <v>2.25</v>
      </c>
      <c r="V109" s="123">
        <f t="shared" si="29"/>
        <v>2.25</v>
      </c>
      <c r="W109" s="123">
        <f t="shared" si="29"/>
        <v>2.25</v>
      </c>
      <c r="X109" s="123">
        <f t="shared" si="29"/>
        <v>2.25</v>
      </c>
      <c r="Y109" s="123">
        <f t="shared" si="29"/>
        <v>2.25</v>
      </c>
      <c r="Z109" s="123">
        <f t="shared" si="29"/>
        <v>2.25</v>
      </c>
      <c r="AA109" s="123">
        <f t="shared" si="29"/>
        <v>2.25</v>
      </c>
      <c r="AB109" s="123">
        <f t="shared" si="29"/>
        <v>2.25</v>
      </c>
      <c r="AC109" s="123">
        <f t="shared" si="29"/>
        <v>2.25</v>
      </c>
      <c r="AD109" s="123">
        <f t="shared" si="29"/>
        <v>2.25</v>
      </c>
      <c r="AE109" s="123">
        <f t="shared" si="29"/>
        <v>2.25</v>
      </c>
      <c r="AF109" s="123">
        <f t="shared" si="29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28"/>
        <v>1.64</v>
      </c>
      <c r="E110" s="123">
        <f t="shared" si="28"/>
        <v>1.64</v>
      </c>
      <c r="F110" s="123">
        <f t="shared" si="28"/>
        <v>1.64</v>
      </c>
      <c r="G110" s="123">
        <f t="shared" si="28"/>
        <v>1.64</v>
      </c>
      <c r="H110" s="123">
        <f t="shared" si="28"/>
        <v>1.64</v>
      </c>
      <c r="I110" s="123">
        <f t="shared" si="28"/>
        <v>1.64</v>
      </c>
      <c r="J110" s="123">
        <f t="shared" si="28"/>
        <v>1.64</v>
      </c>
      <c r="K110" s="123">
        <f t="shared" si="28"/>
        <v>1.64</v>
      </c>
      <c r="L110" s="123">
        <f t="shared" si="28"/>
        <v>1.64</v>
      </c>
      <c r="M110" s="123">
        <f t="shared" si="28"/>
        <v>1.64</v>
      </c>
      <c r="N110" s="123">
        <f t="shared" si="28"/>
        <v>1.64</v>
      </c>
      <c r="O110" s="123">
        <f t="shared" si="28"/>
        <v>1.64</v>
      </c>
      <c r="P110" s="123">
        <f t="shared" si="28"/>
        <v>1.64</v>
      </c>
      <c r="Q110" s="123">
        <f t="shared" si="28"/>
        <v>1.64</v>
      </c>
      <c r="R110" s="123">
        <f t="shared" si="28"/>
        <v>1.64</v>
      </c>
      <c r="S110" s="123">
        <f t="shared" si="28"/>
        <v>1.64</v>
      </c>
      <c r="T110" s="123">
        <f t="shared" si="29"/>
        <v>1.64</v>
      </c>
      <c r="U110" s="123">
        <f t="shared" si="29"/>
        <v>1.64</v>
      </c>
      <c r="V110" s="123">
        <f t="shared" si="29"/>
        <v>1.64</v>
      </c>
      <c r="W110" s="123">
        <f t="shared" si="29"/>
        <v>1.64</v>
      </c>
      <c r="X110" s="123">
        <f t="shared" si="29"/>
        <v>1.64</v>
      </c>
      <c r="Y110" s="123">
        <f t="shared" si="29"/>
        <v>1.64</v>
      </c>
      <c r="Z110" s="123">
        <f t="shared" si="29"/>
        <v>1.64</v>
      </c>
      <c r="AA110" s="123">
        <f t="shared" si="29"/>
        <v>1.64</v>
      </c>
      <c r="AB110" s="123">
        <f t="shared" si="29"/>
        <v>1.64</v>
      </c>
      <c r="AC110" s="123">
        <f t="shared" si="29"/>
        <v>1.64</v>
      </c>
      <c r="AD110" s="123">
        <f t="shared" si="29"/>
        <v>1.64</v>
      </c>
      <c r="AE110" s="123">
        <f t="shared" si="29"/>
        <v>1.64</v>
      </c>
      <c r="AF110" s="123">
        <f t="shared" si="29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0">AF112</f>
        <v>1.62</v>
      </c>
      <c r="C112" s="124">
        <v>1.62</v>
      </c>
      <c r="D112" s="123">
        <f t="shared" ref="D112:S119" si="31">C112</f>
        <v>1.62</v>
      </c>
      <c r="E112" s="123">
        <f t="shared" si="31"/>
        <v>1.62</v>
      </c>
      <c r="F112" s="123">
        <f t="shared" si="31"/>
        <v>1.62</v>
      </c>
      <c r="G112" s="123">
        <f t="shared" si="31"/>
        <v>1.62</v>
      </c>
      <c r="H112" s="123">
        <f t="shared" si="31"/>
        <v>1.62</v>
      </c>
      <c r="I112" s="123">
        <f t="shared" si="31"/>
        <v>1.62</v>
      </c>
      <c r="J112" s="123">
        <f t="shared" si="31"/>
        <v>1.62</v>
      </c>
      <c r="K112" s="123">
        <f t="shared" si="31"/>
        <v>1.62</v>
      </c>
      <c r="L112" s="123">
        <f t="shared" si="31"/>
        <v>1.62</v>
      </c>
      <c r="M112" s="123">
        <f t="shared" si="31"/>
        <v>1.62</v>
      </c>
      <c r="N112" s="123">
        <f t="shared" si="31"/>
        <v>1.62</v>
      </c>
      <c r="O112" s="123">
        <f t="shared" si="31"/>
        <v>1.62</v>
      </c>
      <c r="P112" s="123">
        <f t="shared" si="31"/>
        <v>1.62</v>
      </c>
      <c r="Q112" s="123">
        <f t="shared" si="31"/>
        <v>1.62</v>
      </c>
      <c r="R112" s="123">
        <f t="shared" si="31"/>
        <v>1.62</v>
      </c>
      <c r="S112" s="123">
        <f t="shared" si="31"/>
        <v>1.62</v>
      </c>
      <c r="T112" s="123">
        <f t="shared" ref="T112:AF127" si="32">S112</f>
        <v>1.62</v>
      </c>
      <c r="U112" s="123">
        <f t="shared" si="32"/>
        <v>1.62</v>
      </c>
      <c r="V112" s="123">
        <f t="shared" si="32"/>
        <v>1.62</v>
      </c>
      <c r="W112" s="123">
        <f t="shared" si="32"/>
        <v>1.62</v>
      </c>
      <c r="X112" s="123">
        <f t="shared" si="32"/>
        <v>1.62</v>
      </c>
      <c r="Y112" s="123">
        <f t="shared" si="32"/>
        <v>1.62</v>
      </c>
      <c r="Z112" s="123">
        <f t="shared" si="32"/>
        <v>1.62</v>
      </c>
      <c r="AA112" s="123">
        <f t="shared" si="32"/>
        <v>1.62</v>
      </c>
      <c r="AB112" s="123">
        <f t="shared" si="32"/>
        <v>1.62</v>
      </c>
      <c r="AC112" s="123">
        <f t="shared" si="32"/>
        <v>1.62</v>
      </c>
      <c r="AD112" s="123">
        <f t="shared" si="32"/>
        <v>1.62</v>
      </c>
      <c r="AE112" s="123">
        <f t="shared" si="32"/>
        <v>1.62</v>
      </c>
      <c r="AF112" s="123">
        <f t="shared" si="32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0"/>
        <v>8.36</v>
      </c>
      <c r="C113" s="124">
        <v>8.36</v>
      </c>
      <c r="D113" s="123">
        <f t="shared" si="31"/>
        <v>8.36</v>
      </c>
      <c r="E113" s="123">
        <f t="shared" si="31"/>
        <v>8.36</v>
      </c>
      <c r="F113" s="123">
        <f t="shared" si="31"/>
        <v>8.36</v>
      </c>
      <c r="G113" s="123">
        <f t="shared" si="31"/>
        <v>8.36</v>
      </c>
      <c r="H113" s="123">
        <f t="shared" si="31"/>
        <v>8.36</v>
      </c>
      <c r="I113" s="123">
        <f t="shared" si="31"/>
        <v>8.36</v>
      </c>
      <c r="J113" s="123">
        <f t="shared" si="31"/>
        <v>8.36</v>
      </c>
      <c r="K113" s="123">
        <f t="shared" si="31"/>
        <v>8.36</v>
      </c>
      <c r="L113" s="123">
        <f t="shared" si="31"/>
        <v>8.36</v>
      </c>
      <c r="M113" s="123">
        <f t="shared" si="31"/>
        <v>8.36</v>
      </c>
      <c r="N113" s="123">
        <f t="shared" si="31"/>
        <v>8.36</v>
      </c>
      <c r="O113" s="123">
        <f t="shared" si="31"/>
        <v>8.36</v>
      </c>
      <c r="P113" s="123">
        <f t="shared" si="31"/>
        <v>8.36</v>
      </c>
      <c r="Q113" s="123">
        <f t="shared" si="31"/>
        <v>8.36</v>
      </c>
      <c r="R113" s="123">
        <f t="shared" si="31"/>
        <v>8.36</v>
      </c>
      <c r="S113" s="123">
        <f t="shared" si="31"/>
        <v>8.36</v>
      </c>
      <c r="T113" s="123">
        <f t="shared" si="32"/>
        <v>8.36</v>
      </c>
      <c r="U113" s="123">
        <f t="shared" si="32"/>
        <v>8.36</v>
      </c>
      <c r="V113" s="123">
        <f t="shared" si="32"/>
        <v>8.36</v>
      </c>
      <c r="W113" s="123">
        <f t="shared" si="32"/>
        <v>8.36</v>
      </c>
      <c r="X113" s="123">
        <f t="shared" si="32"/>
        <v>8.36</v>
      </c>
      <c r="Y113" s="123">
        <f t="shared" si="32"/>
        <v>8.36</v>
      </c>
      <c r="Z113" s="123">
        <f t="shared" si="32"/>
        <v>8.36</v>
      </c>
      <c r="AA113" s="123">
        <f t="shared" si="32"/>
        <v>8.36</v>
      </c>
      <c r="AB113" s="123">
        <f t="shared" si="32"/>
        <v>8.36</v>
      </c>
      <c r="AC113" s="123">
        <f t="shared" si="32"/>
        <v>8.36</v>
      </c>
      <c r="AD113" s="123">
        <f t="shared" si="32"/>
        <v>8.36</v>
      </c>
      <c r="AE113" s="123">
        <f t="shared" si="32"/>
        <v>8.36</v>
      </c>
      <c r="AF113" s="123">
        <f t="shared" si="32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0"/>
        <v>5.4</v>
      </c>
      <c r="C114" s="124">
        <v>8</v>
      </c>
      <c r="D114" s="123">
        <f t="shared" si="31"/>
        <v>8</v>
      </c>
      <c r="E114" s="123">
        <f t="shared" si="31"/>
        <v>8</v>
      </c>
      <c r="F114" s="123">
        <f t="shared" si="31"/>
        <v>8</v>
      </c>
      <c r="G114" s="123">
        <f t="shared" si="31"/>
        <v>8</v>
      </c>
      <c r="H114" s="123">
        <f t="shared" si="31"/>
        <v>8</v>
      </c>
      <c r="I114" s="123">
        <f t="shared" si="31"/>
        <v>8</v>
      </c>
      <c r="J114" s="123">
        <v>5.4</v>
      </c>
      <c r="K114" s="123">
        <f t="shared" si="31"/>
        <v>5.4</v>
      </c>
      <c r="L114" s="123">
        <f t="shared" si="31"/>
        <v>5.4</v>
      </c>
      <c r="M114" s="123">
        <f t="shared" si="31"/>
        <v>5.4</v>
      </c>
      <c r="N114" s="123">
        <f t="shared" si="31"/>
        <v>5.4</v>
      </c>
      <c r="O114" s="123">
        <f t="shared" si="31"/>
        <v>5.4</v>
      </c>
      <c r="P114" s="123">
        <f t="shared" si="31"/>
        <v>5.4</v>
      </c>
      <c r="Q114" s="123">
        <f t="shared" si="31"/>
        <v>5.4</v>
      </c>
      <c r="R114" s="123">
        <f t="shared" si="31"/>
        <v>5.4</v>
      </c>
      <c r="S114" s="123">
        <f t="shared" si="31"/>
        <v>5.4</v>
      </c>
      <c r="T114" s="123">
        <f t="shared" si="32"/>
        <v>5.4</v>
      </c>
      <c r="U114" s="123">
        <f t="shared" si="32"/>
        <v>5.4</v>
      </c>
      <c r="V114" s="123">
        <f t="shared" si="32"/>
        <v>5.4</v>
      </c>
      <c r="W114" s="123">
        <f t="shared" si="32"/>
        <v>5.4</v>
      </c>
      <c r="X114" s="123">
        <f t="shared" si="32"/>
        <v>5.4</v>
      </c>
      <c r="Y114" s="123">
        <f t="shared" si="32"/>
        <v>5.4</v>
      </c>
      <c r="Z114" s="123">
        <f t="shared" si="32"/>
        <v>5.4</v>
      </c>
      <c r="AA114" s="123">
        <f t="shared" si="32"/>
        <v>5.4</v>
      </c>
      <c r="AB114" s="123">
        <f t="shared" si="32"/>
        <v>5.4</v>
      </c>
      <c r="AC114" s="123">
        <f t="shared" si="32"/>
        <v>5.4</v>
      </c>
      <c r="AD114" s="123">
        <f t="shared" si="32"/>
        <v>5.4</v>
      </c>
      <c r="AE114" s="123">
        <f t="shared" si="32"/>
        <v>5.4</v>
      </c>
      <c r="AF114" s="123">
        <f t="shared" si="32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0"/>
        <v>6.57</v>
      </c>
      <c r="C115" s="124">
        <v>6.57</v>
      </c>
      <c r="D115" s="123">
        <f t="shared" si="31"/>
        <v>6.57</v>
      </c>
      <c r="E115" s="123">
        <f t="shared" si="31"/>
        <v>6.57</v>
      </c>
      <c r="F115" s="123">
        <f t="shared" si="31"/>
        <v>6.57</v>
      </c>
      <c r="G115" s="123">
        <f t="shared" si="31"/>
        <v>6.57</v>
      </c>
      <c r="H115" s="123">
        <f t="shared" si="31"/>
        <v>6.57</v>
      </c>
      <c r="I115" s="123">
        <f t="shared" si="31"/>
        <v>6.57</v>
      </c>
      <c r="J115" s="123">
        <f t="shared" si="31"/>
        <v>6.57</v>
      </c>
      <c r="K115" s="123">
        <f t="shared" si="31"/>
        <v>6.57</v>
      </c>
      <c r="L115" s="123">
        <f t="shared" si="31"/>
        <v>6.57</v>
      </c>
      <c r="M115" s="123">
        <f t="shared" si="31"/>
        <v>6.57</v>
      </c>
      <c r="N115" s="123">
        <f t="shared" si="31"/>
        <v>6.57</v>
      </c>
      <c r="O115" s="123">
        <f t="shared" si="31"/>
        <v>6.57</v>
      </c>
      <c r="P115" s="123">
        <f t="shared" si="31"/>
        <v>6.57</v>
      </c>
      <c r="Q115" s="123">
        <f t="shared" si="31"/>
        <v>6.57</v>
      </c>
      <c r="R115" s="123">
        <f t="shared" si="31"/>
        <v>6.57</v>
      </c>
      <c r="S115" s="123">
        <f t="shared" si="31"/>
        <v>6.57</v>
      </c>
      <c r="T115" s="123">
        <f t="shared" si="32"/>
        <v>6.57</v>
      </c>
      <c r="U115" s="123">
        <f t="shared" si="32"/>
        <v>6.57</v>
      </c>
      <c r="V115" s="123">
        <f t="shared" si="32"/>
        <v>6.57</v>
      </c>
      <c r="W115" s="123">
        <f t="shared" si="32"/>
        <v>6.57</v>
      </c>
      <c r="X115" s="123">
        <f t="shared" si="32"/>
        <v>6.57</v>
      </c>
      <c r="Y115" s="123">
        <f t="shared" si="32"/>
        <v>6.57</v>
      </c>
      <c r="Z115" s="123">
        <f t="shared" si="32"/>
        <v>6.57</v>
      </c>
      <c r="AA115" s="123">
        <f t="shared" si="32"/>
        <v>6.57</v>
      </c>
      <c r="AB115" s="123">
        <f t="shared" si="32"/>
        <v>6.57</v>
      </c>
      <c r="AC115" s="123">
        <f t="shared" si="32"/>
        <v>6.57</v>
      </c>
      <c r="AD115" s="123">
        <f t="shared" si="32"/>
        <v>6.57</v>
      </c>
      <c r="AE115" s="123">
        <f t="shared" si="32"/>
        <v>6.57</v>
      </c>
      <c r="AF115" s="123">
        <f t="shared" si="32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0"/>
        <v>3.43</v>
      </c>
      <c r="C116" s="124">
        <v>3.43</v>
      </c>
      <c r="D116" s="123">
        <f t="shared" si="31"/>
        <v>3.43</v>
      </c>
      <c r="E116" s="123">
        <f t="shared" si="31"/>
        <v>3.43</v>
      </c>
      <c r="F116" s="123">
        <f t="shared" si="31"/>
        <v>3.43</v>
      </c>
      <c r="G116" s="123">
        <f t="shared" si="31"/>
        <v>3.43</v>
      </c>
      <c r="H116" s="123">
        <f t="shared" si="31"/>
        <v>3.43</v>
      </c>
      <c r="I116" s="123">
        <f t="shared" si="31"/>
        <v>3.43</v>
      </c>
      <c r="J116" s="123">
        <f t="shared" si="31"/>
        <v>3.43</v>
      </c>
      <c r="K116" s="123">
        <f t="shared" si="31"/>
        <v>3.43</v>
      </c>
      <c r="L116" s="123">
        <f t="shared" si="31"/>
        <v>3.43</v>
      </c>
      <c r="M116" s="123">
        <f t="shared" si="31"/>
        <v>3.43</v>
      </c>
      <c r="N116" s="123">
        <f t="shared" si="31"/>
        <v>3.43</v>
      </c>
      <c r="O116" s="123">
        <f t="shared" si="31"/>
        <v>3.43</v>
      </c>
      <c r="P116" s="123">
        <f t="shared" si="31"/>
        <v>3.43</v>
      </c>
      <c r="Q116" s="123">
        <f t="shared" si="31"/>
        <v>3.43</v>
      </c>
      <c r="R116" s="123">
        <f t="shared" si="31"/>
        <v>3.43</v>
      </c>
      <c r="S116" s="123">
        <f t="shared" si="31"/>
        <v>3.43</v>
      </c>
      <c r="T116" s="123">
        <f t="shared" si="32"/>
        <v>3.43</v>
      </c>
      <c r="U116" s="123">
        <f t="shared" si="32"/>
        <v>3.43</v>
      </c>
      <c r="V116" s="123">
        <f t="shared" si="32"/>
        <v>3.43</v>
      </c>
      <c r="W116" s="123">
        <f t="shared" si="32"/>
        <v>3.43</v>
      </c>
      <c r="X116" s="123">
        <f t="shared" si="32"/>
        <v>3.43</v>
      </c>
      <c r="Y116" s="123">
        <f t="shared" si="32"/>
        <v>3.43</v>
      </c>
      <c r="Z116" s="123">
        <f t="shared" si="32"/>
        <v>3.43</v>
      </c>
      <c r="AA116" s="123">
        <f t="shared" si="32"/>
        <v>3.43</v>
      </c>
      <c r="AB116" s="123">
        <f t="shared" si="32"/>
        <v>3.43</v>
      </c>
      <c r="AC116" s="123">
        <f t="shared" si="32"/>
        <v>3.43</v>
      </c>
      <c r="AD116" s="123">
        <f t="shared" si="32"/>
        <v>3.43</v>
      </c>
      <c r="AE116" s="123">
        <f t="shared" si="32"/>
        <v>3.43</v>
      </c>
      <c r="AF116" s="123">
        <f t="shared" si="32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0"/>
        <v>2.96</v>
      </c>
      <c r="C117" s="124">
        <v>2.96</v>
      </c>
      <c r="D117" s="123">
        <f t="shared" si="31"/>
        <v>2.96</v>
      </c>
      <c r="E117" s="123">
        <f t="shared" si="31"/>
        <v>2.96</v>
      </c>
      <c r="F117" s="123">
        <f t="shared" si="31"/>
        <v>2.96</v>
      </c>
      <c r="G117" s="123">
        <f t="shared" si="31"/>
        <v>2.96</v>
      </c>
      <c r="H117" s="123">
        <f t="shared" si="31"/>
        <v>2.96</v>
      </c>
      <c r="I117" s="123">
        <f t="shared" si="31"/>
        <v>2.96</v>
      </c>
      <c r="J117" s="123">
        <f t="shared" si="31"/>
        <v>2.96</v>
      </c>
      <c r="K117" s="123">
        <f t="shared" si="31"/>
        <v>2.96</v>
      </c>
      <c r="L117" s="123">
        <f t="shared" si="31"/>
        <v>2.96</v>
      </c>
      <c r="M117" s="123">
        <f t="shared" si="31"/>
        <v>2.96</v>
      </c>
      <c r="N117" s="123">
        <f t="shared" si="31"/>
        <v>2.96</v>
      </c>
      <c r="O117" s="123">
        <f t="shared" si="31"/>
        <v>2.96</v>
      </c>
      <c r="P117" s="123">
        <f t="shared" si="31"/>
        <v>2.96</v>
      </c>
      <c r="Q117" s="123">
        <f t="shared" si="31"/>
        <v>2.96</v>
      </c>
      <c r="R117" s="123">
        <f t="shared" si="31"/>
        <v>2.96</v>
      </c>
      <c r="S117" s="123">
        <f t="shared" si="31"/>
        <v>2.96</v>
      </c>
      <c r="T117" s="123">
        <f t="shared" si="32"/>
        <v>2.96</v>
      </c>
      <c r="U117" s="123">
        <f t="shared" si="32"/>
        <v>2.96</v>
      </c>
      <c r="V117" s="123">
        <f t="shared" si="32"/>
        <v>2.96</v>
      </c>
      <c r="W117" s="123">
        <f t="shared" si="32"/>
        <v>2.96</v>
      </c>
      <c r="X117" s="123">
        <f t="shared" si="32"/>
        <v>2.96</v>
      </c>
      <c r="Y117" s="123">
        <f t="shared" si="32"/>
        <v>2.96</v>
      </c>
      <c r="Z117" s="123">
        <f t="shared" si="32"/>
        <v>2.96</v>
      </c>
      <c r="AA117" s="123">
        <f t="shared" si="32"/>
        <v>2.96</v>
      </c>
      <c r="AB117" s="123">
        <f t="shared" si="32"/>
        <v>2.96</v>
      </c>
      <c r="AC117" s="123">
        <f t="shared" si="32"/>
        <v>2.96</v>
      </c>
      <c r="AD117" s="123">
        <f t="shared" si="32"/>
        <v>2.96</v>
      </c>
      <c r="AE117" s="123">
        <f t="shared" si="32"/>
        <v>2.96</v>
      </c>
      <c r="AF117" s="123">
        <f t="shared" si="32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0"/>
        <v>8</v>
      </c>
      <c r="C118" s="124">
        <v>8</v>
      </c>
      <c r="D118" s="123">
        <f t="shared" si="31"/>
        <v>8</v>
      </c>
      <c r="E118" s="123">
        <f t="shared" si="31"/>
        <v>8</v>
      </c>
      <c r="F118" s="123">
        <f t="shared" si="31"/>
        <v>8</v>
      </c>
      <c r="G118" s="123">
        <f t="shared" si="31"/>
        <v>8</v>
      </c>
      <c r="H118" s="123">
        <f t="shared" si="31"/>
        <v>8</v>
      </c>
      <c r="I118" s="123">
        <f t="shared" si="31"/>
        <v>8</v>
      </c>
      <c r="J118" s="123">
        <f t="shared" si="31"/>
        <v>8</v>
      </c>
      <c r="K118" s="123">
        <f t="shared" si="31"/>
        <v>8</v>
      </c>
      <c r="L118" s="123">
        <f t="shared" si="31"/>
        <v>8</v>
      </c>
      <c r="M118" s="123">
        <f t="shared" si="31"/>
        <v>8</v>
      </c>
      <c r="N118" s="123">
        <f t="shared" si="31"/>
        <v>8</v>
      </c>
      <c r="O118" s="123">
        <f t="shared" si="31"/>
        <v>8</v>
      </c>
      <c r="P118" s="123">
        <f t="shared" si="31"/>
        <v>8</v>
      </c>
      <c r="Q118" s="123">
        <f t="shared" si="31"/>
        <v>8</v>
      </c>
      <c r="R118" s="123">
        <f t="shared" si="31"/>
        <v>8</v>
      </c>
      <c r="S118" s="123">
        <f t="shared" si="31"/>
        <v>8</v>
      </c>
      <c r="T118" s="123">
        <f t="shared" si="32"/>
        <v>8</v>
      </c>
      <c r="U118" s="123">
        <f t="shared" si="32"/>
        <v>8</v>
      </c>
      <c r="V118" s="123">
        <f t="shared" si="32"/>
        <v>8</v>
      </c>
      <c r="W118" s="123">
        <f t="shared" si="32"/>
        <v>8</v>
      </c>
      <c r="X118" s="123">
        <f t="shared" si="32"/>
        <v>8</v>
      </c>
      <c r="Y118" s="123">
        <f t="shared" si="32"/>
        <v>8</v>
      </c>
      <c r="Z118" s="123">
        <f t="shared" si="32"/>
        <v>8</v>
      </c>
      <c r="AA118" s="123">
        <f t="shared" si="32"/>
        <v>8</v>
      </c>
      <c r="AB118" s="123">
        <f t="shared" si="32"/>
        <v>8</v>
      </c>
      <c r="AC118" s="123">
        <f t="shared" si="32"/>
        <v>8</v>
      </c>
      <c r="AD118" s="123">
        <f t="shared" si="32"/>
        <v>8</v>
      </c>
      <c r="AE118" s="123">
        <f t="shared" si="32"/>
        <v>8</v>
      </c>
      <c r="AF118" s="123">
        <f t="shared" si="32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0"/>
        <v>7</v>
      </c>
      <c r="C119" s="124">
        <v>7</v>
      </c>
      <c r="D119" s="123">
        <f>C119</f>
        <v>7</v>
      </c>
      <c r="E119" s="123">
        <f t="shared" si="31"/>
        <v>7</v>
      </c>
      <c r="F119" s="123">
        <f t="shared" si="31"/>
        <v>7</v>
      </c>
      <c r="G119" s="123">
        <f t="shared" si="31"/>
        <v>7</v>
      </c>
      <c r="H119" s="123">
        <f t="shared" si="31"/>
        <v>7</v>
      </c>
      <c r="I119" s="123">
        <f t="shared" si="31"/>
        <v>7</v>
      </c>
      <c r="J119" s="123">
        <f t="shared" si="31"/>
        <v>7</v>
      </c>
      <c r="K119" s="123">
        <f t="shared" si="31"/>
        <v>7</v>
      </c>
      <c r="L119" s="123">
        <f t="shared" si="31"/>
        <v>7</v>
      </c>
      <c r="M119" s="123">
        <f t="shared" si="31"/>
        <v>7</v>
      </c>
      <c r="N119" s="123">
        <f t="shared" si="31"/>
        <v>7</v>
      </c>
      <c r="O119" s="123">
        <f t="shared" si="31"/>
        <v>7</v>
      </c>
      <c r="P119" s="123">
        <f t="shared" si="31"/>
        <v>7</v>
      </c>
      <c r="Q119" s="123">
        <f t="shared" si="31"/>
        <v>7</v>
      </c>
      <c r="R119" s="123">
        <f t="shared" si="31"/>
        <v>7</v>
      </c>
      <c r="S119" s="123">
        <f t="shared" si="31"/>
        <v>7</v>
      </c>
      <c r="T119" s="123">
        <f t="shared" si="32"/>
        <v>7</v>
      </c>
      <c r="U119" s="123">
        <f t="shared" si="32"/>
        <v>7</v>
      </c>
      <c r="V119" s="123">
        <f t="shared" si="32"/>
        <v>7</v>
      </c>
      <c r="W119" s="123">
        <f t="shared" si="32"/>
        <v>7</v>
      </c>
      <c r="X119" s="123">
        <f t="shared" si="32"/>
        <v>7</v>
      </c>
      <c r="Y119" s="123">
        <f t="shared" si="32"/>
        <v>7</v>
      </c>
      <c r="Z119" s="123">
        <f t="shared" si="32"/>
        <v>7</v>
      </c>
      <c r="AA119" s="123">
        <f t="shared" si="32"/>
        <v>7</v>
      </c>
      <c r="AB119" s="123">
        <f t="shared" si="32"/>
        <v>7</v>
      </c>
      <c r="AC119" s="123">
        <f t="shared" si="32"/>
        <v>7</v>
      </c>
      <c r="AD119" s="123">
        <f t="shared" si="32"/>
        <v>7</v>
      </c>
      <c r="AE119" s="123">
        <f t="shared" si="32"/>
        <v>7</v>
      </c>
      <c r="AF119" s="123">
        <f t="shared" si="32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0"/>
        <v>3.47</v>
      </c>
      <c r="C120" s="124">
        <v>3.47</v>
      </c>
      <c r="D120" s="123">
        <f t="shared" ref="D120:S129" si="33">C120</f>
        <v>3.47</v>
      </c>
      <c r="E120" s="123">
        <f t="shared" si="33"/>
        <v>3.47</v>
      </c>
      <c r="F120" s="123">
        <f t="shared" si="33"/>
        <v>3.47</v>
      </c>
      <c r="G120" s="123">
        <f t="shared" si="33"/>
        <v>3.47</v>
      </c>
      <c r="H120" s="123">
        <f t="shared" si="33"/>
        <v>3.47</v>
      </c>
      <c r="I120" s="123">
        <f t="shared" si="33"/>
        <v>3.47</v>
      </c>
      <c r="J120" s="123">
        <f t="shared" si="33"/>
        <v>3.47</v>
      </c>
      <c r="K120" s="123">
        <f t="shared" si="33"/>
        <v>3.47</v>
      </c>
      <c r="L120" s="123">
        <f t="shared" si="33"/>
        <v>3.47</v>
      </c>
      <c r="M120" s="123">
        <f t="shared" si="33"/>
        <v>3.47</v>
      </c>
      <c r="N120" s="123">
        <f t="shared" si="33"/>
        <v>3.47</v>
      </c>
      <c r="O120" s="123">
        <f t="shared" si="33"/>
        <v>3.47</v>
      </c>
      <c r="P120" s="123">
        <f t="shared" si="33"/>
        <v>3.47</v>
      </c>
      <c r="Q120" s="123">
        <f t="shared" si="33"/>
        <v>3.47</v>
      </c>
      <c r="R120" s="123">
        <f t="shared" si="33"/>
        <v>3.47</v>
      </c>
      <c r="S120" s="123">
        <f t="shared" si="33"/>
        <v>3.47</v>
      </c>
      <c r="T120" s="123">
        <f t="shared" si="32"/>
        <v>3.47</v>
      </c>
      <c r="U120" s="123">
        <f t="shared" si="32"/>
        <v>3.47</v>
      </c>
      <c r="V120" s="123">
        <f t="shared" si="32"/>
        <v>3.47</v>
      </c>
      <c r="W120" s="123">
        <f t="shared" si="32"/>
        <v>3.47</v>
      </c>
      <c r="X120" s="123">
        <f t="shared" si="32"/>
        <v>3.47</v>
      </c>
      <c r="Y120" s="123">
        <f t="shared" si="32"/>
        <v>3.47</v>
      </c>
      <c r="Z120" s="123">
        <f t="shared" si="32"/>
        <v>3.47</v>
      </c>
      <c r="AA120" s="123">
        <f t="shared" si="32"/>
        <v>3.47</v>
      </c>
      <c r="AB120" s="123">
        <f t="shared" si="32"/>
        <v>3.47</v>
      </c>
      <c r="AC120" s="123">
        <f t="shared" si="32"/>
        <v>3.47</v>
      </c>
      <c r="AD120" s="123">
        <f t="shared" si="32"/>
        <v>3.47</v>
      </c>
      <c r="AE120" s="123">
        <f t="shared" si="32"/>
        <v>3.47</v>
      </c>
      <c r="AF120" s="123">
        <f t="shared" si="32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0"/>
        <v>2.1</v>
      </c>
      <c r="C121" s="124">
        <v>2.1</v>
      </c>
      <c r="D121" s="123">
        <f t="shared" si="33"/>
        <v>2.1</v>
      </c>
      <c r="E121" s="123">
        <f t="shared" si="33"/>
        <v>2.1</v>
      </c>
      <c r="F121" s="123">
        <f t="shared" si="33"/>
        <v>2.1</v>
      </c>
      <c r="G121" s="123">
        <f t="shared" si="33"/>
        <v>2.1</v>
      </c>
      <c r="H121" s="123">
        <f t="shared" si="33"/>
        <v>2.1</v>
      </c>
      <c r="I121" s="123">
        <f t="shared" si="33"/>
        <v>2.1</v>
      </c>
      <c r="J121" s="123">
        <f t="shared" si="33"/>
        <v>2.1</v>
      </c>
      <c r="K121" s="123">
        <f t="shared" si="33"/>
        <v>2.1</v>
      </c>
      <c r="L121" s="123">
        <f t="shared" si="33"/>
        <v>2.1</v>
      </c>
      <c r="M121" s="123">
        <f t="shared" si="33"/>
        <v>2.1</v>
      </c>
      <c r="N121" s="123">
        <f t="shared" si="33"/>
        <v>2.1</v>
      </c>
      <c r="O121" s="123">
        <f t="shared" si="33"/>
        <v>2.1</v>
      </c>
      <c r="P121" s="123">
        <f t="shared" si="33"/>
        <v>2.1</v>
      </c>
      <c r="Q121" s="123">
        <f t="shared" si="33"/>
        <v>2.1</v>
      </c>
      <c r="R121" s="123">
        <f t="shared" si="33"/>
        <v>2.1</v>
      </c>
      <c r="S121" s="123">
        <f t="shared" si="33"/>
        <v>2.1</v>
      </c>
      <c r="T121" s="123">
        <f t="shared" si="32"/>
        <v>2.1</v>
      </c>
      <c r="U121" s="123">
        <f t="shared" si="32"/>
        <v>2.1</v>
      </c>
      <c r="V121" s="123">
        <f t="shared" si="32"/>
        <v>2.1</v>
      </c>
      <c r="W121" s="123">
        <f t="shared" si="32"/>
        <v>2.1</v>
      </c>
      <c r="X121" s="123">
        <f t="shared" si="32"/>
        <v>2.1</v>
      </c>
      <c r="Y121" s="123">
        <f t="shared" si="32"/>
        <v>2.1</v>
      </c>
      <c r="Z121" s="123">
        <f t="shared" si="32"/>
        <v>2.1</v>
      </c>
      <c r="AA121" s="123">
        <f t="shared" si="32"/>
        <v>2.1</v>
      </c>
      <c r="AB121" s="123">
        <f t="shared" si="32"/>
        <v>2.1</v>
      </c>
      <c r="AC121" s="123">
        <f t="shared" si="32"/>
        <v>2.1</v>
      </c>
      <c r="AD121" s="123">
        <f t="shared" si="32"/>
        <v>2.1</v>
      </c>
      <c r="AE121" s="123">
        <f t="shared" si="32"/>
        <v>2.1</v>
      </c>
      <c r="AF121" s="123">
        <f t="shared" si="32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0"/>
        <v>9.3000000000000007</v>
      </c>
      <c r="C122" s="124">
        <v>9.3000000000000007</v>
      </c>
      <c r="D122" s="123">
        <f t="shared" si="33"/>
        <v>9.3000000000000007</v>
      </c>
      <c r="E122" s="123">
        <f t="shared" si="33"/>
        <v>9.3000000000000007</v>
      </c>
      <c r="F122" s="123">
        <f t="shared" si="33"/>
        <v>9.3000000000000007</v>
      </c>
      <c r="G122" s="123">
        <f t="shared" si="33"/>
        <v>9.3000000000000007</v>
      </c>
      <c r="H122" s="123">
        <f t="shared" si="33"/>
        <v>9.3000000000000007</v>
      </c>
      <c r="I122" s="123">
        <f t="shared" si="33"/>
        <v>9.3000000000000007</v>
      </c>
      <c r="J122" s="123">
        <f t="shared" si="33"/>
        <v>9.3000000000000007</v>
      </c>
      <c r="K122" s="123">
        <f t="shared" si="33"/>
        <v>9.3000000000000007</v>
      </c>
      <c r="L122" s="123">
        <f t="shared" si="33"/>
        <v>9.3000000000000007</v>
      </c>
      <c r="M122" s="123">
        <f t="shared" si="33"/>
        <v>9.3000000000000007</v>
      </c>
      <c r="N122" s="123">
        <f t="shared" si="33"/>
        <v>9.3000000000000007</v>
      </c>
      <c r="O122" s="123">
        <f t="shared" si="33"/>
        <v>9.3000000000000007</v>
      </c>
      <c r="P122" s="123">
        <f t="shared" si="33"/>
        <v>9.3000000000000007</v>
      </c>
      <c r="Q122" s="123">
        <f t="shared" si="33"/>
        <v>9.3000000000000007</v>
      </c>
      <c r="R122" s="123">
        <f t="shared" si="33"/>
        <v>9.3000000000000007</v>
      </c>
      <c r="S122" s="123">
        <f t="shared" si="33"/>
        <v>9.3000000000000007</v>
      </c>
      <c r="T122" s="123">
        <f t="shared" si="32"/>
        <v>9.3000000000000007</v>
      </c>
      <c r="U122" s="123">
        <f t="shared" si="32"/>
        <v>9.3000000000000007</v>
      </c>
      <c r="V122" s="123">
        <f t="shared" si="32"/>
        <v>9.3000000000000007</v>
      </c>
      <c r="W122" s="123">
        <f t="shared" si="32"/>
        <v>9.3000000000000007</v>
      </c>
      <c r="X122" s="123">
        <f t="shared" si="32"/>
        <v>9.3000000000000007</v>
      </c>
      <c r="Y122" s="123">
        <f t="shared" si="32"/>
        <v>9.3000000000000007</v>
      </c>
      <c r="Z122" s="123">
        <f t="shared" si="32"/>
        <v>9.3000000000000007</v>
      </c>
      <c r="AA122" s="123">
        <f t="shared" si="32"/>
        <v>9.3000000000000007</v>
      </c>
      <c r="AB122" s="123">
        <f t="shared" si="32"/>
        <v>9.3000000000000007</v>
      </c>
      <c r="AC122" s="123">
        <f t="shared" si="32"/>
        <v>9.3000000000000007</v>
      </c>
      <c r="AD122" s="123">
        <f t="shared" si="32"/>
        <v>9.3000000000000007</v>
      </c>
      <c r="AE122" s="123">
        <f t="shared" si="32"/>
        <v>9.3000000000000007</v>
      </c>
      <c r="AF122" s="123">
        <f t="shared" si="32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0"/>
        <v>0</v>
      </c>
      <c r="C123" s="124">
        <v>0</v>
      </c>
      <c r="D123" s="123">
        <f t="shared" si="33"/>
        <v>0</v>
      </c>
      <c r="E123" s="123">
        <f t="shared" si="33"/>
        <v>0</v>
      </c>
      <c r="F123" s="123">
        <f t="shared" si="33"/>
        <v>0</v>
      </c>
      <c r="G123" s="123">
        <f t="shared" si="33"/>
        <v>0</v>
      </c>
      <c r="H123" s="123">
        <f t="shared" si="33"/>
        <v>0</v>
      </c>
      <c r="I123" s="123">
        <f t="shared" si="33"/>
        <v>0</v>
      </c>
      <c r="J123" s="123">
        <f t="shared" si="33"/>
        <v>0</v>
      </c>
      <c r="K123" s="123">
        <f t="shared" si="33"/>
        <v>0</v>
      </c>
      <c r="L123" s="123">
        <f t="shared" si="33"/>
        <v>0</v>
      </c>
      <c r="M123" s="123">
        <f t="shared" si="33"/>
        <v>0</v>
      </c>
      <c r="N123" s="123">
        <f t="shared" si="33"/>
        <v>0</v>
      </c>
      <c r="O123" s="123">
        <f t="shared" si="33"/>
        <v>0</v>
      </c>
      <c r="P123" s="123">
        <f t="shared" si="33"/>
        <v>0</v>
      </c>
      <c r="Q123" s="123">
        <f t="shared" si="33"/>
        <v>0</v>
      </c>
      <c r="R123" s="123">
        <f t="shared" si="33"/>
        <v>0</v>
      </c>
      <c r="S123" s="123">
        <f t="shared" si="33"/>
        <v>0</v>
      </c>
      <c r="T123" s="123">
        <f t="shared" si="32"/>
        <v>0</v>
      </c>
      <c r="U123" s="123">
        <f t="shared" si="32"/>
        <v>0</v>
      </c>
      <c r="V123" s="123">
        <f t="shared" si="32"/>
        <v>0</v>
      </c>
      <c r="W123" s="123">
        <f t="shared" si="32"/>
        <v>0</v>
      </c>
      <c r="X123" s="123">
        <f t="shared" si="32"/>
        <v>0</v>
      </c>
      <c r="Y123" s="123">
        <f t="shared" si="32"/>
        <v>0</v>
      </c>
      <c r="Z123" s="123">
        <f t="shared" si="32"/>
        <v>0</v>
      </c>
      <c r="AA123" s="123">
        <f t="shared" si="32"/>
        <v>0</v>
      </c>
      <c r="AB123" s="123">
        <f t="shared" si="32"/>
        <v>0</v>
      </c>
      <c r="AC123" s="123">
        <f t="shared" si="32"/>
        <v>0</v>
      </c>
      <c r="AD123" s="123">
        <f t="shared" si="32"/>
        <v>0</v>
      </c>
      <c r="AE123" s="123">
        <f t="shared" si="32"/>
        <v>0</v>
      </c>
      <c r="AF123" s="123">
        <f t="shared" si="32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0"/>
        <v>0</v>
      </c>
      <c r="C124" s="124">
        <v>0</v>
      </c>
      <c r="D124" s="123">
        <f t="shared" si="33"/>
        <v>0</v>
      </c>
      <c r="E124" s="123">
        <f t="shared" si="33"/>
        <v>0</v>
      </c>
      <c r="F124" s="123">
        <f t="shared" si="33"/>
        <v>0</v>
      </c>
      <c r="G124" s="123">
        <f t="shared" si="33"/>
        <v>0</v>
      </c>
      <c r="H124" s="123">
        <f t="shared" si="33"/>
        <v>0</v>
      </c>
      <c r="I124" s="123">
        <f t="shared" si="33"/>
        <v>0</v>
      </c>
      <c r="J124" s="123">
        <f t="shared" si="33"/>
        <v>0</v>
      </c>
      <c r="K124" s="123">
        <f t="shared" si="33"/>
        <v>0</v>
      </c>
      <c r="L124" s="123">
        <f t="shared" si="33"/>
        <v>0</v>
      </c>
      <c r="M124" s="123">
        <f t="shared" si="33"/>
        <v>0</v>
      </c>
      <c r="N124" s="123">
        <f t="shared" si="33"/>
        <v>0</v>
      </c>
      <c r="O124" s="123">
        <f t="shared" si="33"/>
        <v>0</v>
      </c>
      <c r="P124" s="123">
        <f t="shared" si="33"/>
        <v>0</v>
      </c>
      <c r="Q124" s="123">
        <f t="shared" si="33"/>
        <v>0</v>
      </c>
      <c r="R124" s="123">
        <f t="shared" si="33"/>
        <v>0</v>
      </c>
      <c r="S124" s="123">
        <f t="shared" si="33"/>
        <v>0</v>
      </c>
      <c r="T124" s="123">
        <f t="shared" si="32"/>
        <v>0</v>
      </c>
      <c r="U124" s="123">
        <f t="shared" si="32"/>
        <v>0</v>
      </c>
      <c r="V124" s="123">
        <f t="shared" si="32"/>
        <v>0</v>
      </c>
      <c r="W124" s="123">
        <f t="shared" si="32"/>
        <v>0</v>
      </c>
      <c r="X124" s="123">
        <f t="shared" si="32"/>
        <v>0</v>
      </c>
      <c r="Y124" s="123">
        <f t="shared" si="32"/>
        <v>0</v>
      </c>
      <c r="Z124" s="123">
        <f t="shared" si="32"/>
        <v>0</v>
      </c>
      <c r="AA124" s="123">
        <f t="shared" si="32"/>
        <v>0</v>
      </c>
      <c r="AB124" s="123">
        <f t="shared" si="32"/>
        <v>0</v>
      </c>
      <c r="AC124" s="123">
        <f t="shared" si="32"/>
        <v>0</v>
      </c>
      <c r="AD124" s="123">
        <f t="shared" si="32"/>
        <v>0</v>
      </c>
      <c r="AE124" s="123">
        <f t="shared" si="32"/>
        <v>0</v>
      </c>
      <c r="AF124" s="123">
        <f t="shared" si="32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0"/>
        <v>;/</v>
      </c>
      <c r="C125" s="124">
        <v>5</v>
      </c>
      <c r="D125" s="123">
        <f t="shared" si="33"/>
        <v>5</v>
      </c>
      <c r="E125" s="123">
        <f t="shared" si="33"/>
        <v>5</v>
      </c>
      <c r="F125" s="123">
        <f t="shared" si="33"/>
        <v>5</v>
      </c>
      <c r="G125" s="123">
        <f t="shared" si="33"/>
        <v>5</v>
      </c>
      <c r="H125" s="123">
        <f t="shared" si="33"/>
        <v>5</v>
      </c>
      <c r="I125" s="123" t="s">
        <v>130</v>
      </c>
      <c r="J125" s="123" t="str">
        <f t="shared" si="33"/>
        <v>;/</v>
      </c>
      <c r="K125" s="123" t="str">
        <f t="shared" si="33"/>
        <v>;/</v>
      </c>
      <c r="L125" s="123" t="str">
        <f t="shared" si="33"/>
        <v>;/</v>
      </c>
      <c r="M125" s="123" t="str">
        <f t="shared" si="33"/>
        <v>;/</v>
      </c>
      <c r="N125" s="123" t="str">
        <f t="shared" si="33"/>
        <v>;/</v>
      </c>
      <c r="O125" s="123" t="str">
        <f t="shared" si="33"/>
        <v>;/</v>
      </c>
      <c r="P125" s="123" t="str">
        <f t="shared" si="33"/>
        <v>;/</v>
      </c>
      <c r="Q125" s="123" t="str">
        <f t="shared" si="33"/>
        <v>;/</v>
      </c>
      <c r="R125" s="123" t="str">
        <f t="shared" si="33"/>
        <v>;/</v>
      </c>
      <c r="S125" s="123" t="str">
        <f t="shared" si="33"/>
        <v>;/</v>
      </c>
      <c r="T125" s="123" t="str">
        <f t="shared" si="32"/>
        <v>;/</v>
      </c>
      <c r="U125" s="123" t="str">
        <f t="shared" si="32"/>
        <v>;/</v>
      </c>
      <c r="V125" s="123" t="str">
        <f t="shared" si="32"/>
        <v>;/</v>
      </c>
      <c r="W125" s="123" t="str">
        <f t="shared" si="32"/>
        <v>;/</v>
      </c>
      <c r="X125" s="123" t="str">
        <f t="shared" si="32"/>
        <v>;/</v>
      </c>
      <c r="Y125" s="123" t="str">
        <f t="shared" si="32"/>
        <v>;/</v>
      </c>
      <c r="Z125" s="123" t="str">
        <f t="shared" si="32"/>
        <v>;/</v>
      </c>
      <c r="AA125" s="123" t="str">
        <f t="shared" si="32"/>
        <v>;/</v>
      </c>
      <c r="AB125" s="123" t="str">
        <f t="shared" si="32"/>
        <v>;/</v>
      </c>
      <c r="AC125" s="123" t="str">
        <f t="shared" si="32"/>
        <v>;/</v>
      </c>
      <c r="AD125" s="123" t="str">
        <f t="shared" si="32"/>
        <v>;/</v>
      </c>
      <c r="AE125" s="123" t="str">
        <f t="shared" si="32"/>
        <v>;/</v>
      </c>
      <c r="AF125" s="123" t="str">
        <f t="shared" si="32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0"/>
        <v>1</v>
      </c>
      <c r="C126" s="124">
        <v>1</v>
      </c>
      <c r="D126" s="123">
        <f t="shared" si="33"/>
        <v>1</v>
      </c>
      <c r="E126" s="123">
        <f t="shared" si="33"/>
        <v>1</v>
      </c>
      <c r="F126" s="123">
        <f t="shared" si="33"/>
        <v>1</v>
      </c>
      <c r="G126" s="123">
        <f t="shared" si="33"/>
        <v>1</v>
      </c>
      <c r="H126" s="123">
        <f t="shared" si="33"/>
        <v>1</v>
      </c>
      <c r="I126" s="123">
        <f t="shared" si="33"/>
        <v>1</v>
      </c>
      <c r="J126" s="123">
        <f t="shared" si="33"/>
        <v>1</v>
      </c>
      <c r="K126" s="123">
        <f t="shared" si="33"/>
        <v>1</v>
      </c>
      <c r="L126" s="123">
        <f t="shared" si="33"/>
        <v>1</v>
      </c>
      <c r="M126" s="123">
        <f t="shared" si="33"/>
        <v>1</v>
      </c>
      <c r="N126" s="123">
        <f t="shared" si="33"/>
        <v>1</v>
      </c>
      <c r="O126" s="123">
        <f t="shared" si="33"/>
        <v>1</v>
      </c>
      <c r="P126" s="123">
        <f t="shared" si="33"/>
        <v>1</v>
      </c>
      <c r="Q126" s="123">
        <f t="shared" si="33"/>
        <v>1</v>
      </c>
      <c r="R126" s="123">
        <f t="shared" si="33"/>
        <v>1</v>
      </c>
      <c r="S126" s="123">
        <f t="shared" si="33"/>
        <v>1</v>
      </c>
      <c r="T126" s="123">
        <f t="shared" si="32"/>
        <v>1</v>
      </c>
      <c r="U126" s="123">
        <f t="shared" si="32"/>
        <v>1</v>
      </c>
      <c r="V126" s="123">
        <f t="shared" si="32"/>
        <v>1</v>
      </c>
      <c r="W126" s="123">
        <f t="shared" si="32"/>
        <v>1</v>
      </c>
      <c r="X126" s="123">
        <f t="shared" si="32"/>
        <v>1</v>
      </c>
      <c r="Y126" s="123">
        <f t="shared" si="32"/>
        <v>1</v>
      </c>
      <c r="Z126" s="123">
        <f t="shared" si="32"/>
        <v>1</v>
      </c>
      <c r="AA126" s="123">
        <f t="shared" si="32"/>
        <v>1</v>
      </c>
      <c r="AB126" s="123">
        <f t="shared" si="32"/>
        <v>1</v>
      </c>
      <c r="AC126" s="123">
        <f t="shared" si="32"/>
        <v>1</v>
      </c>
      <c r="AD126" s="123">
        <f t="shared" si="32"/>
        <v>1</v>
      </c>
      <c r="AE126" s="123">
        <f t="shared" si="32"/>
        <v>1</v>
      </c>
      <c r="AF126" s="123">
        <f t="shared" si="32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0"/>
        <v>1.58</v>
      </c>
      <c r="C127" s="124">
        <v>1.58</v>
      </c>
      <c r="D127" s="123">
        <f t="shared" si="33"/>
        <v>1.58</v>
      </c>
      <c r="E127" s="123">
        <f t="shared" si="33"/>
        <v>1.58</v>
      </c>
      <c r="F127" s="123">
        <f t="shared" si="33"/>
        <v>1.58</v>
      </c>
      <c r="G127" s="123">
        <f t="shared" si="33"/>
        <v>1.58</v>
      </c>
      <c r="H127" s="123">
        <f t="shared" si="33"/>
        <v>1.58</v>
      </c>
      <c r="I127" s="123">
        <f t="shared" si="33"/>
        <v>1.58</v>
      </c>
      <c r="J127" s="123">
        <f t="shared" si="33"/>
        <v>1.58</v>
      </c>
      <c r="K127" s="123">
        <f t="shared" si="33"/>
        <v>1.58</v>
      </c>
      <c r="L127" s="123">
        <f t="shared" si="33"/>
        <v>1.58</v>
      </c>
      <c r="M127" s="123">
        <f t="shared" si="33"/>
        <v>1.58</v>
      </c>
      <c r="N127" s="123">
        <f t="shared" si="33"/>
        <v>1.58</v>
      </c>
      <c r="O127" s="123">
        <f t="shared" si="33"/>
        <v>1.58</v>
      </c>
      <c r="P127" s="123">
        <f t="shared" si="33"/>
        <v>1.58</v>
      </c>
      <c r="Q127" s="123">
        <f t="shared" si="33"/>
        <v>1.58</v>
      </c>
      <c r="R127" s="123">
        <f t="shared" si="33"/>
        <v>1.58</v>
      </c>
      <c r="S127" s="123">
        <f t="shared" si="33"/>
        <v>1.58</v>
      </c>
      <c r="T127" s="123">
        <f t="shared" si="32"/>
        <v>1.58</v>
      </c>
      <c r="U127" s="123">
        <f t="shared" si="32"/>
        <v>1.58</v>
      </c>
      <c r="V127" s="123">
        <f t="shared" si="32"/>
        <v>1.58</v>
      </c>
      <c r="W127" s="123">
        <f t="shared" si="32"/>
        <v>1.58</v>
      </c>
      <c r="X127" s="123">
        <f t="shared" si="32"/>
        <v>1.58</v>
      </c>
      <c r="Y127" s="123">
        <f t="shared" si="32"/>
        <v>1.58</v>
      </c>
      <c r="Z127" s="123">
        <f t="shared" si="32"/>
        <v>1.58</v>
      </c>
      <c r="AA127" s="123">
        <f t="shared" si="32"/>
        <v>1.58</v>
      </c>
      <c r="AB127" s="123">
        <f t="shared" si="32"/>
        <v>1.58</v>
      </c>
      <c r="AC127" s="123">
        <f t="shared" si="32"/>
        <v>1.58</v>
      </c>
      <c r="AD127" s="123">
        <f t="shared" si="32"/>
        <v>1.58</v>
      </c>
      <c r="AE127" s="123">
        <f t="shared" si="32"/>
        <v>1.58</v>
      </c>
      <c r="AF127" s="123">
        <f t="shared" si="32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0"/>
        <v>1.46</v>
      </c>
      <c r="C128" s="124">
        <v>1.46</v>
      </c>
      <c r="D128" s="123">
        <f t="shared" si="33"/>
        <v>1.46</v>
      </c>
      <c r="E128" s="123">
        <f t="shared" si="33"/>
        <v>1.46</v>
      </c>
      <c r="F128" s="123">
        <f t="shared" si="33"/>
        <v>1.46</v>
      </c>
      <c r="G128" s="123">
        <f t="shared" si="33"/>
        <v>1.46</v>
      </c>
      <c r="H128" s="123">
        <f t="shared" si="33"/>
        <v>1.46</v>
      </c>
      <c r="I128" s="123">
        <f t="shared" si="33"/>
        <v>1.46</v>
      </c>
      <c r="J128" s="123">
        <f t="shared" si="33"/>
        <v>1.46</v>
      </c>
      <c r="K128" s="123">
        <f t="shared" si="33"/>
        <v>1.46</v>
      </c>
      <c r="L128" s="123">
        <f t="shared" si="33"/>
        <v>1.46</v>
      </c>
      <c r="M128" s="123">
        <f t="shared" si="33"/>
        <v>1.46</v>
      </c>
      <c r="N128" s="123">
        <f t="shared" si="33"/>
        <v>1.46</v>
      </c>
      <c r="O128" s="123">
        <f t="shared" si="33"/>
        <v>1.46</v>
      </c>
      <c r="P128" s="123">
        <f t="shared" si="33"/>
        <v>1.46</v>
      </c>
      <c r="Q128" s="123">
        <f t="shared" si="33"/>
        <v>1.46</v>
      </c>
      <c r="R128" s="123">
        <f t="shared" si="33"/>
        <v>1.46</v>
      </c>
      <c r="S128" s="123">
        <f t="shared" si="33"/>
        <v>1.46</v>
      </c>
      <c r="T128" s="123">
        <f t="shared" ref="T128:AF129" si="34">S128</f>
        <v>1.46</v>
      </c>
      <c r="U128" s="123">
        <f t="shared" si="34"/>
        <v>1.46</v>
      </c>
      <c r="V128" s="123">
        <f t="shared" si="34"/>
        <v>1.46</v>
      </c>
      <c r="W128" s="123">
        <f t="shared" si="34"/>
        <v>1.46</v>
      </c>
      <c r="X128" s="123">
        <f t="shared" si="34"/>
        <v>1.46</v>
      </c>
      <c r="Y128" s="123">
        <f t="shared" si="34"/>
        <v>1.46</v>
      </c>
      <c r="Z128" s="123">
        <f t="shared" si="34"/>
        <v>1.46</v>
      </c>
      <c r="AA128" s="123">
        <f t="shared" si="34"/>
        <v>1.46</v>
      </c>
      <c r="AB128" s="123">
        <f t="shared" si="34"/>
        <v>1.46</v>
      </c>
      <c r="AC128" s="123">
        <f t="shared" si="34"/>
        <v>1.46</v>
      </c>
      <c r="AD128" s="123">
        <f t="shared" si="34"/>
        <v>1.46</v>
      </c>
      <c r="AE128" s="123">
        <f t="shared" si="34"/>
        <v>1.46</v>
      </c>
      <c r="AF128" s="123">
        <f t="shared" si="34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0"/>
        <v>1.48</v>
      </c>
      <c r="C129" s="124">
        <v>1.48</v>
      </c>
      <c r="D129" s="123">
        <f t="shared" si="33"/>
        <v>1.48</v>
      </c>
      <c r="E129" s="123">
        <f t="shared" si="33"/>
        <v>1.48</v>
      </c>
      <c r="F129" s="123">
        <f t="shared" si="33"/>
        <v>1.48</v>
      </c>
      <c r="G129" s="123">
        <f t="shared" si="33"/>
        <v>1.48</v>
      </c>
      <c r="H129" s="123">
        <f t="shared" si="33"/>
        <v>1.48</v>
      </c>
      <c r="I129" s="123">
        <f t="shared" si="33"/>
        <v>1.48</v>
      </c>
      <c r="J129" s="123">
        <f t="shared" si="33"/>
        <v>1.48</v>
      </c>
      <c r="K129" s="123">
        <f t="shared" si="33"/>
        <v>1.48</v>
      </c>
      <c r="L129" s="123">
        <f t="shared" si="33"/>
        <v>1.48</v>
      </c>
      <c r="M129" s="123">
        <f t="shared" si="33"/>
        <v>1.48</v>
      </c>
      <c r="N129" s="123">
        <f t="shared" si="33"/>
        <v>1.48</v>
      </c>
      <c r="O129" s="123">
        <f t="shared" si="33"/>
        <v>1.48</v>
      </c>
      <c r="P129" s="123">
        <f t="shared" si="33"/>
        <v>1.48</v>
      </c>
      <c r="Q129" s="123">
        <f t="shared" si="33"/>
        <v>1.48</v>
      </c>
      <c r="R129" s="123">
        <f t="shared" si="33"/>
        <v>1.48</v>
      </c>
      <c r="S129" s="123">
        <f t="shared" si="33"/>
        <v>1.48</v>
      </c>
      <c r="T129" s="123">
        <f t="shared" si="34"/>
        <v>1.48</v>
      </c>
      <c r="U129" s="123">
        <f t="shared" si="34"/>
        <v>1.48</v>
      </c>
      <c r="V129" s="123">
        <f t="shared" si="34"/>
        <v>1.48</v>
      </c>
      <c r="W129" s="123">
        <f t="shared" si="34"/>
        <v>1.48</v>
      </c>
      <c r="X129" s="123">
        <f t="shared" si="34"/>
        <v>1.48</v>
      </c>
      <c r="Y129" s="123">
        <f t="shared" si="34"/>
        <v>1.48</v>
      </c>
      <c r="Z129" s="123">
        <f t="shared" si="34"/>
        <v>1.48</v>
      </c>
      <c r="AA129" s="123">
        <f t="shared" si="34"/>
        <v>1.48</v>
      </c>
      <c r="AB129" s="123">
        <f t="shared" si="34"/>
        <v>1.48</v>
      </c>
      <c r="AC129" s="123">
        <f t="shared" si="34"/>
        <v>1.48</v>
      </c>
      <c r="AD129" s="123">
        <f t="shared" si="34"/>
        <v>1.48</v>
      </c>
      <c r="AE129" s="123">
        <f t="shared" si="34"/>
        <v>1.48</v>
      </c>
      <c r="AF129" s="123">
        <f t="shared" si="34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5">AF131</f>
        <v>2.2000000000000002</v>
      </c>
      <c r="C131" s="124">
        <v>2.2000000000000002</v>
      </c>
      <c r="D131" s="123">
        <f t="shared" ref="D131:S138" si="36">C131</f>
        <v>2.2000000000000002</v>
      </c>
      <c r="E131" s="123">
        <f t="shared" si="36"/>
        <v>2.2000000000000002</v>
      </c>
      <c r="F131" s="123">
        <f t="shared" si="36"/>
        <v>2.2000000000000002</v>
      </c>
      <c r="G131" s="123">
        <f t="shared" si="36"/>
        <v>2.2000000000000002</v>
      </c>
      <c r="H131" s="123">
        <f t="shared" si="36"/>
        <v>2.2000000000000002</v>
      </c>
      <c r="I131" s="123">
        <f t="shared" si="36"/>
        <v>2.2000000000000002</v>
      </c>
      <c r="J131" s="123">
        <f t="shared" si="36"/>
        <v>2.2000000000000002</v>
      </c>
      <c r="K131" s="123">
        <f t="shared" si="36"/>
        <v>2.2000000000000002</v>
      </c>
      <c r="L131" s="123">
        <f t="shared" si="36"/>
        <v>2.2000000000000002</v>
      </c>
      <c r="M131" s="123">
        <f t="shared" si="36"/>
        <v>2.2000000000000002</v>
      </c>
      <c r="N131" s="123">
        <f t="shared" si="36"/>
        <v>2.2000000000000002</v>
      </c>
      <c r="O131" s="123">
        <f t="shared" si="36"/>
        <v>2.2000000000000002</v>
      </c>
      <c r="P131" s="123">
        <f t="shared" si="36"/>
        <v>2.2000000000000002</v>
      </c>
      <c r="Q131" s="123">
        <f t="shared" si="36"/>
        <v>2.2000000000000002</v>
      </c>
      <c r="R131" s="123">
        <f t="shared" si="36"/>
        <v>2.2000000000000002</v>
      </c>
      <c r="S131" s="123">
        <f t="shared" si="36"/>
        <v>2.2000000000000002</v>
      </c>
      <c r="T131" s="123">
        <f t="shared" ref="T131:AF138" si="37">S131</f>
        <v>2.2000000000000002</v>
      </c>
      <c r="U131" s="123">
        <f t="shared" si="37"/>
        <v>2.2000000000000002</v>
      </c>
      <c r="V131" s="123">
        <f t="shared" si="37"/>
        <v>2.2000000000000002</v>
      </c>
      <c r="W131" s="123">
        <f t="shared" si="37"/>
        <v>2.2000000000000002</v>
      </c>
      <c r="X131" s="123">
        <f t="shared" si="37"/>
        <v>2.2000000000000002</v>
      </c>
      <c r="Y131" s="123">
        <f t="shared" si="37"/>
        <v>2.2000000000000002</v>
      </c>
      <c r="Z131" s="123">
        <f t="shared" si="37"/>
        <v>2.2000000000000002</v>
      </c>
      <c r="AA131" s="123">
        <f t="shared" si="37"/>
        <v>2.2000000000000002</v>
      </c>
      <c r="AB131" s="123">
        <f t="shared" si="37"/>
        <v>2.2000000000000002</v>
      </c>
      <c r="AC131" s="123">
        <f t="shared" si="37"/>
        <v>2.2000000000000002</v>
      </c>
      <c r="AD131" s="123">
        <f t="shared" si="37"/>
        <v>2.2000000000000002</v>
      </c>
      <c r="AE131" s="123">
        <f t="shared" si="37"/>
        <v>2.2000000000000002</v>
      </c>
      <c r="AF131" s="123">
        <f t="shared" si="37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5"/>
        <v>2</v>
      </c>
      <c r="C132" s="124">
        <v>2</v>
      </c>
      <c r="D132" s="123">
        <f t="shared" si="36"/>
        <v>2</v>
      </c>
      <c r="E132" s="123">
        <f t="shared" si="36"/>
        <v>2</v>
      </c>
      <c r="F132" s="123">
        <f t="shared" si="36"/>
        <v>2</v>
      </c>
      <c r="G132" s="123">
        <f t="shared" si="36"/>
        <v>2</v>
      </c>
      <c r="H132" s="123">
        <f t="shared" si="36"/>
        <v>2</v>
      </c>
      <c r="I132" s="123">
        <f t="shared" si="36"/>
        <v>2</v>
      </c>
      <c r="J132" s="123">
        <f t="shared" si="36"/>
        <v>2</v>
      </c>
      <c r="K132" s="123">
        <f t="shared" si="36"/>
        <v>2</v>
      </c>
      <c r="L132" s="123">
        <f t="shared" si="36"/>
        <v>2</v>
      </c>
      <c r="M132" s="123">
        <f t="shared" si="36"/>
        <v>2</v>
      </c>
      <c r="N132" s="123">
        <f t="shared" si="36"/>
        <v>2</v>
      </c>
      <c r="O132" s="123">
        <f t="shared" si="36"/>
        <v>2</v>
      </c>
      <c r="P132" s="123">
        <f t="shared" si="36"/>
        <v>2</v>
      </c>
      <c r="Q132" s="123">
        <f t="shared" si="36"/>
        <v>2</v>
      </c>
      <c r="R132" s="123">
        <f t="shared" si="36"/>
        <v>2</v>
      </c>
      <c r="S132" s="123">
        <f t="shared" si="36"/>
        <v>2</v>
      </c>
      <c r="T132" s="123">
        <f t="shared" si="37"/>
        <v>2</v>
      </c>
      <c r="U132" s="123">
        <f t="shared" si="37"/>
        <v>2</v>
      </c>
      <c r="V132" s="123">
        <f t="shared" si="37"/>
        <v>2</v>
      </c>
      <c r="W132" s="123">
        <f t="shared" si="37"/>
        <v>2</v>
      </c>
      <c r="X132" s="123">
        <f t="shared" si="37"/>
        <v>2</v>
      </c>
      <c r="Y132" s="123">
        <f t="shared" si="37"/>
        <v>2</v>
      </c>
      <c r="Z132" s="123">
        <f t="shared" si="37"/>
        <v>2</v>
      </c>
      <c r="AA132" s="123">
        <f t="shared" si="37"/>
        <v>2</v>
      </c>
      <c r="AB132" s="123">
        <f t="shared" si="37"/>
        <v>2</v>
      </c>
      <c r="AC132" s="123">
        <f t="shared" si="37"/>
        <v>2</v>
      </c>
      <c r="AD132" s="123">
        <f t="shared" si="37"/>
        <v>2</v>
      </c>
      <c r="AE132" s="123">
        <f t="shared" si="37"/>
        <v>2</v>
      </c>
      <c r="AF132" s="123">
        <f t="shared" si="37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5"/>
        <v>1.25</v>
      </c>
      <c r="C133" s="124">
        <v>1.25</v>
      </c>
      <c r="D133" s="123">
        <f t="shared" si="36"/>
        <v>1.25</v>
      </c>
      <c r="E133" s="123">
        <f t="shared" si="36"/>
        <v>1.25</v>
      </c>
      <c r="F133" s="123">
        <f t="shared" si="36"/>
        <v>1.25</v>
      </c>
      <c r="G133" s="123">
        <f t="shared" si="36"/>
        <v>1.25</v>
      </c>
      <c r="H133" s="123">
        <f t="shared" si="36"/>
        <v>1.25</v>
      </c>
      <c r="I133" s="123">
        <f t="shared" si="36"/>
        <v>1.25</v>
      </c>
      <c r="J133" s="123">
        <f t="shared" si="36"/>
        <v>1.25</v>
      </c>
      <c r="K133" s="123">
        <f t="shared" si="36"/>
        <v>1.25</v>
      </c>
      <c r="L133" s="123">
        <f t="shared" si="36"/>
        <v>1.25</v>
      </c>
      <c r="M133" s="123">
        <f t="shared" si="36"/>
        <v>1.25</v>
      </c>
      <c r="N133" s="123">
        <f t="shared" si="36"/>
        <v>1.25</v>
      </c>
      <c r="O133" s="123">
        <f t="shared" si="36"/>
        <v>1.25</v>
      </c>
      <c r="P133" s="123">
        <f t="shared" si="36"/>
        <v>1.25</v>
      </c>
      <c r="Q133" s="123">
        <f t="shared" si="36"/>
        <v>1.25</v>
      </c>
      <c r="R133" s="123">
        <f t="shared" si="36"/>
        <v>1.25</v>
      </c>
      <c r="S133" s="123">
        <f t="shared" si="36"/>
        <v>1.25</v>
      </c>
      <c r="T133" s="123">
        <f t="shared" si="37"/>
        <v>1.25</v>
      </c>
      <c r="U133" s="123">
        <f t="shared" si="37"/>
        <v>1.25</v>
      </c>
      <c r="V133" s="123">
        <f t="shared" si="37"/>
        <v>1.25</v>
      </c>
      <c r="W133" s="123">
        <f t="shared" si="37"/>
        <v>1.25</v>
      </c>
      <c r="X133" s="123">
        <f t="shared" si="37"/>
        <v>1.25</v>
      </c>
      <c r="Y133" s="123">
        <f t="shared" si="37"/>
        <v>1.25</v>
      </c>
      <c r="Z133" s="123">
        <f t="shared" si="37"/>
        <v>1.25</v>
      </c>
      <c r="AA133" s="123">
        <f t="shared" si="37"/>
        <v>1.25</v>
      </c>
      <c r="AB133" s="123">
        <f t="shared" si="37"/>
        <v>1.25</v>
      </c>
      <c r="AC133" s="123">
        <f t="shared" si="37"/>
        <v>1.25</v>
      </c>
      <c r="AD133" s="123">
        <f t="shared" si="37"/>
        <v>1.25</v>
      </c>
      <c r="AE133" s="123">
        <f t="shared" si="37"/>
        <v>1.25</v>
      </c>
      <c r="AF133" s="123">
        <f t="shared" si="37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5"/>
        <v>1.1499999999999999</v>
      </c>
      <c r="C134" s="124">
        <v>1.1499999999999999</v>
      </c>
      <c r="D134" s="123">
        <f t="shared" si="36"/>
        <v>1.1499999999999999</v>
      </c>
      <c r="E134" s="123">
        <f t="shared" si="36"/>
        <v>1.1499999999999999</v>
      </c>
      <c r="F134" s="123">
        <f t="shared" si="36"/>
        <v>1.1499999999999999</v>
      </c>
      <c r="G134" s="123">
        <f t="shared" si="36"/>
        <v>1.1499999999999999</v>
      </c>
      <c r="H134" s="123">
        <f t="shared" si="36"/>
        <v>1.1499999999999999</v>
      </c>
      <c r="I134" s="123">
        <f t="shared" si="36"/>
        <v>1.1499999999999999</v>
      </c>
      <c r="J134" s="123">
        <f t="shared" si="36"/>
        <v>1.1499999999999999</v>
      </c>
      <c r="K134" s="123">
        <f t="shared" si="36"/>
        <v>1.1499999999999999</v>
      </c>
      <c r="L134" s="123">
        <f t="shared" si="36"/>
        <v>1.1499999999999999</v>
      </c>
      <c r="M134" s="123">
        <f t="shared" si="36"/>
        <v>1.1499999999999999</v>
      </c>
      <c r="N134" s="123">
        <f t="shared" si="36"/>
        <v>1.1499999999999999</v>
      </c>
      <c r="O134" s="123">
        <f t="shared" si="36"/>
        <v>1.1499999999999999</v>
      </c>
      <c r="P134" s="123">
        <f t="shared" si="36"/>
        <v>1.1499999999999999</v>
      </c>
      <c r="Q134" s="123">
        <f t="shared" si="36"/>
        <v>1.1499999999999999</v>
      </c>
      <c r="R134" s="123">
        <f t="shared" si="36"/>
        <v>1.1499999999999999</v>
      </c>
      <c r="S134" s="123">
        <f t="shared" si="36"/>
        <v>1.1499999999999999</v>
      </c>
      <c r="T134" s="123">
        <f t="shared" si="37"/>
        <v>1.1499999999999999</v>
      </c>
      <c r="U134" s="123">
        <f t="shared" si="37"/>
        <v>1.1499999999999999</v>
      </c>
      <c r="V134" s="123">
        <f t="shared" si="37"/>
        <v>1.1499999999999999</v>
      </c>
      <c r="W134" s="123">
        <f t="shared" si="37"/>
        <v>1.1499999999999999</v>
      </c>
      <c r="X134" s="123">
        <f t="shared" si="37"/>
        <v>1.1499999999999999</v>
      </c>
      <c r="Y134" s="123">
        <f t="shared" si="37"/>
        <v>1.1499999999999999</v>
      </c>
      <c r="Z134" s="123">
        <f t="shared" si="37"/>
        <v>1.1499999999999999</v>
      </c>
      <c r="AA134" s="123">
        <f t="shared" si="37"/>
        <v>1.1499999999999999</v>
      </c>
      <c r="AB134" s="123">
        <f t="shared" si="37"/>
        <v>1.1499999999999999</v>
      </c>
      <c r="AC134" s="123">
        <f t="shared" si="37"/>
        <v>1.1499999999999999</v>
      </c>
      <c r="AD134" s="123">
        <f t="shared" si="37"/>
        <v>1.1499999999999999</v>
      </c>
      <c r="AE134" s="123">
        <f t="shared" si="37"/>
        <v>1.1499999999999999</v>
      </c>
      <c r="AF134" s="123">
        <f t="shared" si="37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5"/>
        <v>2.133</v>
      </c>
      <c r="C135" s="124">
        <v>2.133</v>
      </c>
      <c r="D135" s="123">
        <f t="shared" si="36"/>
        <v>2.133</v>
      </c>
      <c r="E135" s="123">
        <f t="shared" si="36"/>
        <v>2.133</v>
      </c>
      <c r="F135" s="123">
        <f t="shared" si="36"/>
        <v>2.133</v>
      </c>
      <c r="G135" s="123">
        <f t="shared" si="36"/>
        <v>2.133</v>
      </c>
      <c r="H135" s="123">
        <f t="shared" si="36"/>
        <v>2.133</v>
      </c>
      <c r="I135" s="123">
        <f t="shared" si="36"/>
        <v>2.133</v>
      </c>
      <c r="J135" s="123">
        <f t="shared" si="36"/>
        <v>2.133</v>
      </c>
      <c r="K135" s="123">
        <f t="shared" si="36"/>
        <v>2.133</v>
      </c>
      <c r="L135" s="123">
        <f t="shared" si="36"/>
        <v>2.133</v>
      </c>
      <c r="M135" s="123">
        <f t="shared" si="36"/>
        <v>2.133</v>
      </c>
      <c r="N135" s="123">
        <f t="shared" si="36"/>
        <v>2.133</v>
      </c>
      <c r="O135" s="123">
        <f t="shared" si="36"/>
        <v>2.133</v>
      </c>
      <c r="P135" s="123">
        <f t="shared" si="36"/>
        <v>2.133</v>
      </c>
      <c r="Q135" s="123">
        <f t="shared" si="36"/>
        <v>2.133</v>
      </c>
      <c r="R135" s="123">
        <f t="shared" si="36"/>
        <v>2.133</v>
      </c>
      <c r="S135" s="123">
        <f t="shared" si="36"/>
        <v>2.133</v>
      </c>
      <c r="T135" s="123">
        <f t="shared" si="37"/>
        <v>2.133</v>
      </c>
      <c r="U135" s="123">
        <f t="shared" si="37"/>
        <v>2.133</v>
      </c>
      <c r="V135" s="123">
        <f t="shared" si="37"/>
        <v>2.133</v>
      </c>
      <c r="W135" s="123">
        <f t="shared" si="37"/>
        <v>2.133</v>
      </c>
      <c r="X135" s="123">
        <f t="shared" si="37"/>
        <v>2.133</v>
      </c>
      <c r="Y135" s="123">
        <f t="shared" si="37"/>
        <v>2.133</v>
      </c>
      <c r="Z135" s="123">
        <f t="shared" si="37"/>
        <v>2.133</v>
      </c>
      <c r="AA135" s="123">
        <f t="shared" si="37"/>
        <v>2.133</v>
      </c>
      <c r="AB135" s="123">
        <f t="shared" si="37"/>
        <v>2.133</v>
      </c>
      <c r="AC135" s="123">
        <f t="shared" si="37"/>
        <v>2.133</v>
      </c>
      <c r="AD135" s="123">
        <f t="shared" si="37"/>
        <v>2.133</v>
      </c>
      <c r="AE135" s="123">
        <f t="shared" si="37"/>
        <v>2.133</v>
      </c>
      <c r="AF135" s="123">
        <f t="shared" si="37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5"/>
        <v>2.09</v>
      </c>
      <c r="C136" s="124">
        <v>2.09</v>
      </c>
      <c r="D136" s="123">
        <f t="shared" si="36"/>
        <v>2.09</v>
      </c>
      <c r="E136" s="123">
        <f t="shared" si="36"/>
        <v>2.09</v>
      </c>
      <c r="F136" s="123">
        <f t="shared" si="36"/>
        <v>2.09</v>
      </c>
      <c r="G136" s="123">
        <f t="shared" si="36"/>
        <v>2.09</v>
      </c>
      <c r="H136" s="123">
        <f t="shared" si="36"/>
        <v>2.09</v>
      </c>
      <c r="I136" s="123">
        <f t="shared" si="36"/>
        <v>2.09</v>
      </c>
      <c r="J136" s="123">
        <f t="shared" si="36"/>
        <v>2.09</v>
      </c>
      <c r="K136" s="123">
        <f t="shared" si="36"/>
        <v>2.09</v>
      </c>
      <c r="L136" s="123">
        <f t="shared" si="36"/>
        <v>2.09</v>
      </c>
      <c r="M136" s="123">
        <f t="shared" si="36"/>
        <v>2.09</v>
      </c>
      <c r="N136" s="123">
        <f t="shared" si="36"/>
        <v>2.09</v>
      </c>
      <c r="O136" s="123">
        <f t="shared" si="36"/>
        <v>2.09</v>
      </c>
      <c r="P136" s="123">
        <f t="shared" si="36"/>
        <v>2.09</v>
      </c>
      <c r="Q136" s="123">
        <f t="shared" si="36"/>
        <v>2.09</v>
      </c>
      <c r="R136" s="123">
        <f t="shared" si="36"/>
        <v>2.09</v>
      </c>
      <c r="S136" s="123">
        <f t="shared" si="36"/>
        <v>2.09</v>
      </c>
      <c r="T136" s="123">
        <f t="shared" si="37"/>
        <v>2.09</v>
      </c>
      <c r="U136" s="123">
        <f t="shared" si="37"/>
        <v>2.09</v>
      </c>
      <c r="V136" s="123">
        <f t="shared" si="37"/>
        <v>2.09</v>
      </c>
      <c r="W136" s="123">
        <f t="shared" si="37"/>
        <v>2.09</v>
      </c>
      <c r="X136" s="123">
        <f t="shared" si="37"/>
        <v>2.09</v>
      </c>
      <c r="Y136" s="123">
        <f t="shared" si="37"/>
        <v>2.09</v>
      </c>
      <c r="Z136" s="123">
        <f t="shared" si="37"/>
        <v>2.09</v>
      </c>
      <c r="AA136" s="123">
        <f t="shared" si="37"/>
        <v>2.09</v>
      </c>
      <c r="AB136" s="123">
        <f t="shared" si="37"/>
        <v>2.09</v>
      </c>
      <c r="AC136" s="123">
        <f t="shared" si="37"/>
        <v>2.09</v>
      </c>
      <c r="AD136" s="123">
        <f t="shared" si="37"/>
        <v>2.09</v>
      </c>
      <c r="AE136" s="123">
        <f t="shared" si="37"/>
        <v>2.09</v>
      </c>
      <c r="AF136" s="123">
        <f t="shared" si="37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5"/>
        <v>1.1399999999999999</v>
      </c>
      <c r="C137" s="124">
        <v>1.1399999999999999</v>
      </c>
      <c r="D137" s="123">
        <f t="shared" si="36"/>
        <v>1.1399999999999999</v>
      </c>
      <c r="E137" s="123">
        <f t="shared" si="36"/>
        <v>1.1399999999999999</v>
      </c>
      <c r="F137" s="123">
        <f t="shared" si="36"/>
        <v>1.1399999999999999</v>
      </c>
      <c r="G137" s="123">
        <f t="shared" si="36"/>
        <v>1.1399999999999999</v>
      </c>
      <c r="H137" s="123">
        <f t="shared" si="36"/>
        <v>1.1399999999999999</v>
      </c>
      <c r="I137" s="123">
        <f t="shared" si="36"/>
        <v>1.1399999999999999</v>
      </c>
      <c r="J137" s="123">
        <f t="shared" si="36"/>
        <v>1.1399999999999999</v>
      </c>
      <c r="K137" s="123">
        <f t="shared" si="36"/>
        <v>1.1399999999999999</v>
      </c>
      <c r="L137" s="123">
        <f t="shared" si="36"/>
        <v>1.1399999999999999</v>
      </c>
      <c r="M137" s="123">
        <f t="shared" si="36"/>
        <v>1.1399999999999999</v>
      </c>
      <c r="N137" s="123">
        <f t="shared" si="36"/>
        <v>1.1399999999999999</v>
      </c>
      <c r="O137" s="123">
        <f t="shared" si="36"/>
        <v>1.1399999999999999</v>
      </c>
      <c r="P137" s="123">
        <f t="shared" si="36"/>
        <v>1.1399999999999999</v>
      </c>
      <c r="Q137" s="123">
        <f t="shared" si="36"/>
        <v>1.1399999999999999</v>
      </c>
      <c r="R137" s="123">
        <f t="shared" si="36"/>
        <v>1.1399999999999999</v>
      </c>
      <c r="S137" s="123">
        <f t="shared" si="36"/>
        <v>1.1399999999999999</v>
      </c>
      <c r="T137" s="123">
        <f t="shared" si="37"/>
        <v>1.1399999999999999</v>
      </c>
      <c r="U137" s="123">
        <f t="shared" si="37"/>
        <v>1.1399999999999999</v>
      </c>
      <c r="V137" s="123">
        <f t="shared" si="37"/>
        <v>1.1399999999999999</v>
      </c>
      <c r="W137" s="123">
        <f t="shared" si="37"/>
        <v>1.1399999999999999</v>
      </c>
      <c r="X137" s="123">
        <f t="shared" si="37"/>
        <v>1.1399999999999999</v>
      </c>
      <c r="Y137" s="123">
        <f t="shared" si="37"/>
        <v>1.1399999999999999</v>
      </c>
      <c r="Z137" s="123">
        <f t="shared" si="37"/>
        <v>1.1399999999999999</v>
      </c>
      <c r="AA137" s="123">
        <f t="shared" si="37"/>
        <v>1.1399999999999999</v>
      </c>
      <c r="AB137" s="123">
        <f t="shared" si="37"/>
        <v>1.1399999999999999</v>
      </c>
      <c r="AC137" s="123">
        <f t="shared" si="37"/>
        <v>1.1399999999999999</v>
      </c>
      <c r="AD137" s="123">
        <f t="shared" si="37"/>
        <v>1.1399999999999999</v>
      </c>
      <c r="AE137" s="123">
        <f t="shared" si="37"/>
        <v>1.1399999999999999</v>
      </c>
      <c r="AF137" s="123">
        <f t="shared" si="37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5"/>
        <v>0.82</v>
      </c>
      <c r="C138" s="124">
        <v>0.82</v>
      </c>
      <c r="D138" s="123">
        <f t="shared" si="36"/>
        <v>0.82</v>
      </c>
      <c r="E138" s="123">
        <f t="shared" si="36"/>
        <v>0.82</v>
      </c>
      <c r="F138" s="123">
        <f t="shared" si="36"/>
        <v>0.82</v>
      </c>
      <c r="G138" s="123">
        <f t="shared" si="36"/>
        <v>0.82</v>
      </c>
      <c r="H138" s="123">
        <f t="shared" si="36"/>
        <v>0.82</v>
      </c>
      <c r="I138" s="123">
        <f t="shared" si="36"/>
        <v>0.82</v>
      </c>
      <c r="J138" s="123">
        <f t="shared" si="36"/>
        <v>0.82</v>
      </c>
      <c r="K138" s="123">
        <f t="shared" si="36"/>
        <v>0.82</v>
      </c>
      <c r="L138" s="123">
        <f t="shared" si="36"/>
        <v>0.82</v>
      </c>
      <c r="M138" s="123">
        <f t="shared" si="36"/>
        <v>0.82</v>
      </c>
      <c r="N138" s="123">
        <f t="shared" si="36"/>
        <v>0.82</v>
      </c>
      <c r="O138" s="123">
        <f t="shared" si="36"/>
        <v>0.82</v>
      </c>
      <c r="P138" s="123">
        <f t="shared" si="36"/>
        <v>0.82</v>
      </c>
      <c r="Q138" s="123">
        <f t="shared" si="36"/>
        <v>0.82</v>
      </c>
      <c r="R138" s="123">
        <f t="shared" si="36"/>
        <v>0.82</v>
      </c>
      <c r="S138" s="123">
        <f t="shared" si="36"/>
        <v>0.82</v>
      </c>
      <c r="T138" s="123">
        <f t="shared" si="37"/>
        <v>0.82</v>
      </c>
      <c r="U138" s="123">
        <f t="shared" si="37"/>
        <v>0.82</v>
      </c>
      <c r="V138" s="123">
        <f t="shared" si="37"/>
        <v>0.82</v>
      </c>
      <c r="W138" s="123">
        <f t="shared" si="37"/>
        <v>0.82</v>
      </c>
      <c r="X138" s="123">
        <f t="shared" si="37"/>
        <v>0.82</v>
      </c>
      <c r="Y138" s="123">
        <f t="shared" si="37"/>
        <v>0.82</v>
      </c>
      <c r="Z138" s="123">
        <f t="shared" si="37"/>
        <v>0.82</v>
      </c>
      <c r="AA138" s="123">
        <f t="shared" si="37"/>
        <v>0.82</v>
      </c>
      <c r="AB138" s="123">
        <f t="shared" si="37"/>
        <v>0.82</v>
      </c>
      <c r="AC138" s="123">
        <f t="shared" si="37"/>
        <v>0.82</v>
      </c>
      <c r="AD138" s="123">
        <f t="shared" si="37"/>
        <v>0.82</v>
      </c>
      <c r="AE138" s="123">
        <f t="shared" si="37"/>
        <v>0.82</v>
      </c>
      <c r="AF138" s="123">
        <f t="shared" si="37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38">AF140</f>
        <v>2</v>
      </c>
      <c r="C140" s="124">
        <v>2</v>
      </c>
      <c r="D140" s="123">
        <f t="shared" ref="D140:S146" si="39">C140</f>
        <v>2</v>
      </c>
      <c r="E140" s="123">
        <f t="shared" si="39"/>
        <v>2</v>
      </c>
      <c r="F140" s="123">
        <f t="shared" si="39"/>
        <v>2</v>
      </c>
      <c r="G140" s="123">
        <f t="shared" si="39"/>
        <v>2</v>
      </c>
      <c r="H140" s="123">
        <f t="shared" si="39"/>
        <v>2</v>
      </c>
      <c r="I140" s="123">
        <f t="shared" si="39"/>
        <v>2</v>
      </c>
      <c r="J140" s="123">
        <f t="shared" si="39"/>
        <v>2</v>
      </c>
      <c r="K140" s="123">
        <f t="shared" si="39"/>
        <v>2</v>
      </c>
      <c r="L140" s="123">
        <f t="shared" si="39"/>
        <v>2</v>
      </c>
      <c r="M140" s="123">
        <f t="shared" si="39"/>
        <v>2</v>
      </c>
      <c r="N140" s="123">
        <f t="shared" si="39"/>
        <v>2</v>
      </c>
      <c r="O140" s="123">
        <f t="shared" si="39"/>
        <v>2</v>
      </c>
      <c r="P140" s="123">
        <f t="shared" si="39"/>
        <v>2</v>
      </c>
      <c r="Q140" s="123">
        <f t="shared" si="39"/>
        <v>2</v>
      </c>
      <c r="R140" s="123">
        <f t="shared" si="39"/>
        <v>2</v>
      </c>
      <c r="S140" s="123">
        <f t="shared" si="39"/>
        <v>2</v>
      </c>
      <c r="T140" s="123">
        <f t="shared" ref="T140:AF146" si="40">S140</f>
        <v>2</v>
      </c>
      <c r="U140" s="123">
        <f t="shared" si="40"/>
        <v>2</v>
      </c>
      <c r="V140" s="123">
        <f t="shared" si="40"/>
        <v>2</v>
      </c>
      <c r="W140" s="123">
        <f t="shared" si="40"/>
        <v>2</v>
      </c>
      <c r="X140" s="123">
        <f t="shared" si="40"/>
        <v>2</v>
      </c>
      <c r="Y140" s="123">
        <f t="shared" si="40"/>
        <v>2</v>
      </c>
      <c r="Z140" s="123">
        <f t="shared" si="40"/>
        <v>2</v>
      </c>
      <c r="AA140" s="123">
        <f t="shared" si="40"/>
        <v>2</v>
      </c>
      <c r="AB140" s="123">
        <f t="shared" si="40"/>
        <v>2</v>
      </c>
      <c r="AC140" s="123">
        <f t="shared" si="40"/>
        <v>2</v>
      </c>
      <c r="AD140" s="123">
        <f t="shared" si="40"/>
        <v>2</v>
      </c>
      <c r="AE140" s="123">
        <f t="shared" si="40"/>
        <v>2</v>
      </c>
      <c r="AF140" s="123">
        <f t="shared" si="40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38"/>
        <v>5.61</v>
      </c>
      <c r="C141" s="124">
        <v>5.61</v>
      </c>
      <c r="D141" s="123">
        <f t="shared" si="39"/>
        <v>5.61</v>
      </c>
      <c r="E141" s="123">
        <f t="shared" si="39"/>
        <v>5.61</v>
      </c>
      <c r="F141" s="123">
        <f t="shared" si="39"/>
        <v>5.61</v>
      </c>
      <c r="G141" s="123">
        <f t="shared" si="39"/>
        <v>5.61</v>
      </c>
      <c r="H141" s="123">
        <f t="shared" si="39"/>
        <v>5.61</v>
      </c>
      <c r="I141" s="123">
        <f t="shared" si="39"/>
        <v>5.61</v>
      </c>
      <c r="J141" s="123">
        <f t="shared" si="39"/>
        <v>5.61</v>
      </c>
      <c r="K141" s="123">
        <f t="shared" si="39"/>
        <v>5.61</v>
      </c>
      <c r="L141" s="123">
        <f t="shared" si="39"/>
        <v>5.61</v>
      </c>
      <c r="M141" s="123">
        <f t="shared" si="39"/>
        <v>5.61</v>
      </c>
      <c r="N141" s="123">
        <f t="shared" si="39"/>
        <v>5.61</v>
      </c>
      <c r="O141" s="123">
        <f t="shared" si="39"/>
        <v>5.61</v>
      </c>
      <c r="P141" s="123">
        <f t="shared" si="39"/>
        <v>5.61</v>
      </c>
      <c r="Q141" s="123">
        <f t="shared" si="39"/>
        <v>5.61</v>
      </c>
      <c r="R141" s="123">
        <f t="shared" si="39"/>
        <v>5.61</v>
      </c>
      <c r="S141" s="123">
        <f t="shared" si="39"/>
        <v>5.61</v>
      </c>
      <c r="T141" s="123">
        <f t="shared" si="40"/>
        <v>5.61</v>
      </c>
      <c r="U141" s="123">
        <f t="shared" si="40"/>
        <v>5.61</v>
      </c>
      <c r="V141" s="123">
        <f t="shared" si="40"/>
        <v>5.61</v>
      </c>
      <c r="W141" s="123">
        <f t="shared" si="40"/>
        <v>5.61</v>
      </c>
      <c r="X141" s="123">
        <f t="shared" si="40"/>
        <v>5.61</v>
      </c>
      <c r="Y141" s="123">
        <f t="shared" si="40"/>
        <v>5.61</v>
      </c>
      <c r="Z141" s="123">
        <f t="shared" si="40"/>
        <v>5.61</v>
      </c>
      <c r="AA141" s="123">
        <f t="shared" si="40"/>
        <v>5.61</v>
      </c>
      <c r="AB141" s="123">
        <f t="shared" si="40"/>
        <v>5.61</v>
      </c>
      <c r="AC141" s="123">
        <f t="shared" si="40"/>
        <v>5.61</v>
      </c>
      <c r="AD141" s="123">
        <f t="shared" si="40"/>
        <v>5.61</v>
      </c>
      <c r="AE141" s="123">
        <f t="shared" si="40"/>
        <v>5.61</v>
      </c>
      <c r="AF141" s="123">
        <f t="shared" si="40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38"/>
        <v>1.25</v>
      </c>
      <c r="C142" s="124">
        <v>1.25</v>
      </c>
      <c r="D142" s="123">
        <f t="shared" si="39"/>
        <v>1.25</v>
      </c>
      <c r="E142" s="123">
        <f t="shared" si="39"/>
        <v>1.25</v>
      </c>
      <c r="F142" s="123">
        <f t="shared" si="39"/>
        <v>1.25</v>
      </c>
      <c r="G142" s="123">
        <f t="shared" si="39"/>
        <v>1.25</v>
      </c>
      <c r="H142" s="123">
        <f t="shared" si="39"/>
        <v>1.25</v>
      </c>
      <c r="I142" s="123">
        <f t="shared" si="39"/>
        <v>1.25</v>
      </c>
      <c r="J142" s="123">
        <f t="shared" si="39"/>
        <v>1.25</v>
      </c>
      <c r="K142" s="123">
        <f t="shared" si="39"/>
        <v>1.25</v>
      </c>
      <c r="L142" s="123">
        <f t="shared" si="39"/>
        <v>1.25</v>
      </c>
      <c r="M142" s="123">
        <f t="shared" si="39"/>
        <v>1.25</v>
      </c>
      <c r="N142" s="123">
        <f t="shared" si="39"/>
        <v>1.25</v>
      </c>
      <c r="O142" s="123">
        <f t="shared" si="39"/>
        <v>1.25</v>
      </c>
      <c r="P142" s="123">
        <f t="shared" si="39"/>
        <v>1.25</v>
      </c>
      <c r="Q142" s="123">
        <f t="shared" si="39"/>
        <v>1.25</v>
      </c>
      <c r="R142" s="123">
        <f t="shared" si="39"/>
        <v>1.25</v>
      </c>
      <c r="S142" s="123">
        <f t="shared" si="39"/>
        <v>1.25</v>
      </c>
      <c r="T142" s="123">
        <f t="shared" si="40"/>
        <v>1.25</v>
      </c>
      <c r="U142" s="123">
        <f t="shared" si="40"/>
        <v>1.25</v>
      </c>
      <c r="V142" s="123">
        <f t="shared" si="40"/>
        <v>1.25</v>
      </c>
      <c r="W142" s="123">
        <f t="shared" si="40"/>
        <v>1.25</v>
      </c>
      <c r="X142" s="123">
        <f t="shared" si="40"/>
        <v>1.25</v>
      </c>
      <c r="Y142" s="123">
        <f t="shared" si="40"/>
        <v>1.25</v>
      </c>
      <c r="Z142" s="123">
        <f t="shared" si="40"/>
        <v>1.25</v>
      </c>
      <c r="AA142" s="123">
        <f t="shared" si="40"/>
        <v>1.25</v>
      </c>
      <c r="AB142" s="123">
        <f t="shared" si="40"/>
        <v>1.25</v>
      </c>
      <c r="AC142" s="123">
        <f t="shared" si="40"/>
        <v>1.25</v>
      </c>
      <c r="AD142" s="123">
        <f t="shared" si="40"/>
        <v>1.25</v>
      </c>
      <c r="AE142" s="123">
        <f t="shared" si="40"/>
        <v>1.25</v>
      </c>
      <c r="AF142" s="123">
        <f t="shared" si="40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38"/>
        <v>1.25</v>
      </c>
      <c r="C143" s="124">
        <v>1.25</v>
      </c>
      <c r="D143" s="123">
        <f t="shared" si="39"/>
        <v>1.25</v>
      </c>
      <c r="E143" s="123">
        <f t="shared" si="39"/>
        <v>1.25</v>
      </c>
      <c r="F143" s="123">
        <f t="shared" si="39"/>
        <v>1.25</v>
      </c>
      <c r="G143" s="123">
        <f t="shared" si="39"/>
        <v>1.25</v>
      </c>
      <c r="H143" s="123">
        <f t="shared" si="39"/>
        <v>1.25</v>
      </c>
      <c r="I143" s="123">
        <f t="shared" si="39"/>
        <v>1.25</v>
      </c>
      <c r="J143" s="123">
        <f t="shared" si="39"/>
        <v>1.25</v>
      </c>
      <c r="K143" s="123">
        <f t="shared" si="39"/>
        <v>1.25</v>
      </c>
      <c r="L143" s="123">
        <f t="shared" si="39"/>
        <v>1.25</v>
      </c>
      <c r="M143" s="123">
        <f t="shared" si="39"/>
        <v>1.25</v>
      </c>
      <c r="N143" s="123">
        <f t="shared" si="39"/>
        <v>1.25</v>
      </c>
      <c r="O143" s="123">
        <f t="shared" si="39"/>
        <v>1.25</v>
      </c>
      <c r="P143" s="123">
        <f t="shared" si="39"/>
        <v>1.25</v>
      </c>
      <c r="Q143" s="123">
        <f t="shared" si="39"/>
        <v>1.25</v>
      </c>
      <c r="R143" s="123">
        <f t="shared" si="39"/>
        <v>1.25</v>
      </c>
      <c r="S143" s="123">
        <f t="shared" si="39"/>
        <v>1.25</v>
      </c>
      <c r="T143" s="123">
        <f t="shared" si="40"/>
        <v>1.25</v>
      </c>
      <c r="U143" s="123">
        <f t="shared" si="40"/>
        <v>1.25</v>
      </c>
      <c r="V143" s="123">
        <f t="shared" si="40"/>
        <v>1.25</v>
      </c>
      <c r="W143" s="123">
        <f t="shared" si="40"/>
        <v>1.25</v>
      </c>
      <c r="X143" s="123">
        <f t="shared" si="40"/>
        <v>1.25</v>
      </c>
      <c r="Y143" s="123">
        <f t="shared" si="40"/>
        <v>1.25</v>
      </c>
      <c r="Z143" s="123">
        <f t="shared" si="40"/>
        <v>1.25</v>
      </c>
      <c r="AA143" s="123">
        <f t="shared" si="40"/>
        <v>1.25</v>
      </c>
      <c r="AB143" s="123">
        <f t="shared" si="40"/>
        <v>1.25</v>
      </c>
      <c r="AC143" s="123">
        <f t="shared" si="40"/>
        <v>1.25</v>
      </c>
      <c r="AD143" s="123">
        <f t="shared" si="40"/>
        <v>1.25</v>
      </c>
      <c r="AE143" s="123">
        <f t="shared" si="40"/>
        <v>1.25</v>
      </c>
      <c r="AF143" s="123">
        <f t="shared" si="40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38"/>
        <v>1.46</v>
      </c>
      <c r="C144" s="124">
        <v>1.46</v>
      </c>
      <c r="D144" s="123">
        <f t="shared" si="39"/>
        <v>1.46</v>
      </c>
      <c r="E144" s="123">
        <f t="shared" si="39"/>
        <v>1.46</v>
      </c>
      <c r="F144" s="123">
        <f t="shared" si="39"/>
        <v>1.46</v>
      </c>
      <c r="G144" s="123">
        <f t="shared" si="39"/>
        <v>1.46</v>
      </c>
      <c r="H144" s="123">
        <f t="shared" si="39"/>
        <v>1.46</v>
      </c>
      <c r="I144" s="123">
        <f t="shared" si="39"/>
        <v>1.46</v>
      </c>
      <c r="J144" s="123">
        <f t="shared" si="39"/>
        <v>1.46</v>
      </c>
      <c r="K144" s="123">
        <f t="shared" si="39"/>
        <v>1.46</v>
      </c>
      <c r="L144" s="123">
        <f t="shared" si="39"/>
        <v>1.46</v>
      </c>
      <c r="M144" s="123">
        <f t="shared" si="39"/>
        <v>1.46</v>
      </c>
      <c r="N144" s="123">
        <f t="shared" si="39"/>
        <v>1.46</v>
      </c>
      <c r="O144" s="123">
        <f t="shared" si="39"/>
        <v>1.46</v>
      </c>
      <c r="P144" s="123">
        <f t="shared" si="39"/>
        <v>1.46</v>
      </c>
      <c r="Q144" s="123">
        <f t="shared" si="39"/>
        <v>1.46</v>
      </c>
      <c r="R144" s="123">
        <f t="shared" si="39"/>
        <v>1.46</v>
      </c>
      <c r="S144" s="123">
        <f t="shared" si="39"/>
        <v>1.46</v>
      </c>
      <c r="T144" s="123">
        <f t="shared" si="40"/>
        <v>1.46</v>
      </c>
      <c r="U144" s="123">
        <f t="shared" si="40"/>
        <v>1.46</v>
      </c>
      <c r="V144" s="123">
        <f t="shared" si="40"/>
        <v>1.46</v>
      </c>
      <c r="W144" s="123">
        <f t="shared" si="40"/>
        <v>1.46</v>
      </c>
      <c r="X144" s="123">
        <f t="shared" si="40"/>
        <v>1.46</v>
      </c>
      <c r="Y144" s="123">
        <f t="shared" si="40"/>
        <v>1.46</v>
      </c>
      <c r="Z144" s="123">
        <f t="shared" si="40"/>
        <v>1.46</v>
      </c>
      <c r="AA144" s="123">
        <f t="shared" si="40"/>
        <v>1.46</v>
      </c>
      <c r="AB144" s="123">
        <f t="shared" si="40"/>
        <v>1.46</v>
      </c>
      <c r="AC144" s="123">
        <f t="shared" si="40"/>
        <v>1.46</v>
      </c>
      <c r="AD144" s="123">
        <f t="shared" si="40"/>
        <v>1.46</v>
      </c>
      <c r="AE144" s="123">
        <f t="shared" si="40"/>
        <v>1.46</v>
      </c>
      <c r="AF144" s="123">
        <f t="shared" si="40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38"/>
        <v>3</v>
      </c>
      <c r="C145" s="124">
        <v>3</v>
      </c>
      <c r="D145" s="123">
        <f t="shared" si="39"/>
        <v>3</v>
      </c>
      <c r="E145" s="123">
        <f t="shared" si="39"/>
        <v>3</v>
      </c>
      <c r="F145" s="123">
        <f t="shared" si="39"/>
        <v>3</v>
      </c>
      <c r="G145" s="123">
        <f t="shared" si="39"/>
        <v>3</v>
      </c>
      <c r="H145" s="123">
        <f t="shared" si="39"/>
        <v>3</v>
      </c>
      <c r="I145" s="123">
        <f t="shared" si="39"/>
        <v>3</v>
      </c>
      <c r="J145" s="123">
        <f t="shared" si="39"/>
        <v>3</v>
      </c>
      <c r="K145" s="123">
        <f t="shared" si="39"/>
        <v>3</v>
      </c>
      <c r="L145" s="123">
        <f t="shared" si="39"/>
        <v>3</v>
      </c>
      <c r="M145" s="123">
        <f t="shared" si="39"/>
        <v>3</v>
      </c>
      <c r="N145" s="123">
        <f t="shared" si="39"/>
        <v>3</v>
      </c>
      <c r="O145" s="123">
        <f t="shared" si="39"/>
        <v>3</v>
      </c>
      <c r="P145" s="123">
        <f t="shared" si="39"/>
        <v>3</v>
      </c>
      <c r="Q145" s="123">
        <f t="shared" si="39"/>
        <v>3</v>
      </c>
      <c r="R145" s="123">
        <f t="shared" si="39"/>
        <v>3</v>
      </c>
      <c r="S145" s="123">
        <f t="shared" si="39"/>
        <v>3</v>
      </c>
      <c r="T145" s="123">
        <f t="shared" si="40"/>
        <v>3</v>
      </c>
      <c r="U145" s="123">
        <f t="shared" si="40"/>
        <v>3</v>
      </c>
      <c r="V145" s="123">
        <f t="shared" si="40"/>
        <v>3</v>
      </c>
      <c r="W145" s="123">
        <f t="shared" si="40"/>
        <v>3</v>
      </c>
      <c r="X145" s="123">
        <f t="shared" si="40"/>
        <v>3</v>
      </c>
      <c r="Y145" s="123">
        <f t="shared" si="40"/>
        <v>3</v>
      </c>
      <c r="Z145" s="123">
        <f t="shared" si="40"/>
        <v>3</v>
      </c>
      <c r="AA145" s="123">
        <f t="shared" si="40"/>
        <v>3</v>
      </c>
      <c r="AB145" s="123">
        <f t="shared" si="40"/>
        <v>3</v>
      </c>
      <c r="AC145" s="123">
        <f t="shared" si="40"/>
        <v>3</v>
      </c>
      <c r="AD145" s="123">
        <f t="shared" si="40"/>
        <v>3</v>
      </c>
      <c r="AE145" s="123">
        <f t="shared" si="40"/>
        <v>3</v>
      </c>
      <c r="AF145" s="123">
        <f t="shared" si="40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38"/>
        <v>3.3</v>
      </c>
      <c r="C146" s="124">
        <v>3.3</v>
      </c>
      <c r="D146" s="123">
        <f t="shared" si="39"/>
        <v>3.3</v>
      </c>
      <c r="E146" s="123">
        <f t="shared" si="39"/>
        <v>3.3</v>
      </c>
      <c r="F146" s="123">
        <f t="shared" si="39"/>
        <v>3.3</v>
      </c>
      <c r="G146" s="123">
        <f t="shared" si="39"/>
        <v>3.3</v>
      </c>
      <c r="H146" s="123">
        <f t="shared" si="39"/>
        <v>3.3</v>
      </c>
      <c r="I146" s="123">
        <f t="shared" si="39"/>
        <v>3.3</v>
      </c>
      <c r="J146" s="123">
        <f t="shared" si="39"/>
        <v>3.3</v>
      </c>
      <c r="K146" s="123">
        <f t="shared" si="39"/>
        <v>3.3</v>
      </c>
      <c r="L146" s="123">
        <f t="shared" si="39"/>
        <v>3.3</v>
      </c>
      <c r="M146" s="123">
        <f t="shared" si="39"/>
        <v>3.3</v>
      </c>
      <c r="N146" s="123">
        <f t="shared" si="39"/>
        <v>3.3</v>
      </c>
      <c r="O146" s="123">
        <f t="shared" si="39"/>
        <v>3.3</v>
      </c>
      <c r="P146" s="123">
        <f t="shared" si="39"/>
        <v>3.3</v>
      </c>
      <c r="Q146" s="123">
        <f t="shared" si="39"/>
        <v>3.3</v>
      </c>
      <c r="R146" s="123">
        <f t="shared" si="39"/>
        <v>3.3</v>
      </c>
      <c r="S146" s="123">
        <f t="shared" si="39"/>
        <v>3.3</v>
      </c>
      <c r="T146" s="123">
        <f t="shared" si="40"/>
        <v>3.3</v>
      </c>
      <c r="U146" s="123">
        <f t="shared" si="40"/>
        <v>3.3</v>
      </c>
      <c r="V146" s="123">
        <f t="shared" si="40"/>
        <v>3.3</v>
      </c>
      <c r="W146" s="123">
        <f t="shared" si="40"/>
        <v>3.3</v>
      </c>
      <c r="X146" s="123">
        <f t="shared" si="40"/>
        <v>3.3</v>
      </c>
      <c r="Y146" s="123">
        <f t="shared" si="40"/>
        <v>3.3</v>
      </c>
      <c r="Z146" s="123">
        <f t="shared" si="40"/>
        <v>3.3</v>
      </c>
      <c r="AA146" s="123">
        <f t="shared" si="40"/>
        <v>3.3</v>
      </c>
      <c r="AB146" s="123">
        <f t="shared" si="40"/>
        <v>3.3</v>
      </c>
      <c r="AC146" s="123">
        <f t="shared" si="40"/>
        <v>3.3</v>
      </c>
      <c r="AD146" s="123">
        <f t="shared" si="40"/>
        <v>3.3</v>
      </c>
      <c r="AE146" s="123">
        <f t="shared" si="40"/>
        <v>3.3</v>
      </c>
      <c r="AF146" s="123">
        <f t="shared" si="40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1">C148</f>
        <v>1.76</v>
      </c>
      <c r="E148" s="123">
        <f t="shared" si="41"/>
        <v>1.76</v>
      </c>
      <c r="F148" s="123">
        <f t="shared" si="41"/>
        <v>1.76</v>
      </c>
      <c r="G148" s="123">
        <f t="shared" si="41"/>
        <v>1.76</v>
      </c>
      <c r="H148" s="123">
        <f t="shared" si="41"/>
        <v>1.76</v>
      </c>
      <c r="I148" s="123">
        <f t="shared" si="41"/>
        <v>1.76</v>
      </c>
      <c r="J148" s="123">
        <f t="shared" si="41"/>
        <v>1.76</v>
      </c>
      <c r="K148" s="123">
        <f t="shared" si="41"/>
        <v>1.76</v>
      </c>
      <c r="L148" s="123">
        <f t="shared" si="41"/>
        <v>1.76</v>
      </c>
      <c r="M148" s="123">
        <f t="shared" si="41"/>
        <v>1.76</v>
      </c>
      <c r="N148" s="123">
        <f t="shared" si="41"/>
        <v>1.76</v>
      </c>
      <c r="O148" s="123">
        <f t="shared" si="41"/>
        <v>1.76</v>
      </c>
      <c r="P148" s="123">
        <f t="shared" si="41"/>
        <v>1.76</v>
      </c>
      <c r="Q148" s="123">
        <f t="shared" si="41"/>
        <v>1.76</v>
      </c>
      <c r="R148" s="123">
        <f t="shared" si="41"/>
        <v>1.76</v>
      </c>
      <c r="S148" s="123">
        <f t="shared" si="41"/>
        <v>1.76</v>
      </c>
      <c r="T148" s="123">
        <f t="shared" ref="T148:AF149" si="42">S148</f>
        <v>1.76</v>
      </c>
      <c r="U148" s="123">
        <f t="shared" si="42"/>
        <v>1.76</v>
      </c>
      <c r="V148" s="123">
        <f t="shared" si="42"/>
        <v>1.76</v>
      </c>
      <c r="W148" s="123">
        <f t="shared" si="42"/>
        <v>1.76</v>
      </c>
      <c r="X148" s="123">
        <f t="shared" si="42"/>
        <v>1.76</v>
      </c>
      <c r="Y148" s="123">
        <f t="shared" si="42"/>
        <v>1.76</v>
      </c>
      <c r="Z148" s="123">
        <f t="shared" si="42"/>
        <v>1.76</v>
      </c>
      <c r="AA148" s="123">
        <f t="shared" si="42"/>
        <v>1.76</v>
      </c>
      <c r="AB148" s="123">
        <f t="shared" si="42"/>
        <v>1.76</v>
      </c>
      <c r="AC148" s="123">
        <f t="shared" si="42"/>
        <v>1.76</v>
      </c>
      <c r="AD148" s="123">
        <f t="shared" si="42"/>
        <v>1.76</v>
      </c>
      <c r="AE148" s="123">
        <f t="shared" si="42"/>
        <v>1.76</v>
      </c>
      <c r="AF148" s="123">
        <f t="shared" si="42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1"/>
        <v>0</v>
      </c>
      <c r="E149" s="123">
        <f t="shared" si="41"/>
        <v>0</v>
      </c>
      <c r="F149" s="123">
        <f t="shared" si="41"/>
        <v>0</v>
      </c>
      <c r="G149" s="123">
        <f t="shared" si="41"/>
        <v>0</v>
      </c>
      <c r="H149" s="123">
        <f t="shared" si="41"/>
        <v>0</v>
      </c>
      <c r="I149" s="123">
        <f t="shared" si="41"/>
        <v>0</v>
      </c>
      <c r="J149" s="123">
        <f t="shared" si="41"/>
        <v>0</v>
      </c>
      <c r="K149" s="123">
        <f t="shared" si="41"/>
        <v>0</v>
      </c>
      <c r="L149" s="123">
        <f t="shared" si="41"/>
        <v>0</v>
      </c>
      <c r="M149" s="123">
        <f t="shared" si="41"/>
        <v>0</v>
      </c>
      <c r="N149" s="123">
        <f t="shared" si="41"/>
        <v>0</v>
      </c>
      <c r="O149" s="123">
        <f t="shared" si="41"/>
        <v>0</v>
      </c>
      <c r="P149" s="123">
        <f t="shared" si="41"/>
        <v>0</v>
      </c>
      <c r="Q149" s="123">
        <f t="shared" si="41"/>
        <v>0</v>
      </c>
      <c r="R149" s="123">
        <f t="shared" si="41"/>
        <v>0</v>
      </c>
      <c r="S149" s="123">
        <f t="shared" si="41"/>
        <v>0</v>
      </c>
      <c r="T149" s="123">
        <f t="shared" si="42"/>
        <v>0</v>
      </c>
      <c r="U149" s="123">
        <f t="shared" si="42"/>
        <v>0</v>
      </c>
      <c r="V149" s="123">
        <f t="shared" si="42"/>
        <v>0</v>
      </c>
      <c r="W149" s="123">
        <f t="shared" si="42"/>
        <v>0</v>
      </c>
      <c r="X149" s="123">
        <f t="shared" si="42"/>
        <v>0</v>
      </c>
      <c r="Y149" s="123">
        <f t="shared" si="42"/>
        <v>0</v>
      </c>
      <c r="Z149" s="123">
        <f t="shared" si="42"/>
        <v>0</v>
      </c>
      <c r="AA149" s="123">
        <f t="shared" si="42"/>
        <v>0</v>
      </c>
      <c r="AB149" s="123">
        <f t="shared" si="42"/>
        <v>0</v>
      </c>
      <c r="AC149" s="123">
        <f t="shared" si="42"/>
        <v>0</v>
      </c>
      <c r="AD149" s="123">
        <f t="shared" si="42"/>
        <v>0</v>
      </c>
      <c r="AE149" s="123">
        <f t="shared" si="42"/>
        <v>0</v>
      </c>
      <c r="AF149" s="123">
        <f t="shared" si="42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3">C151</f>
        <v>0.1</v>
      </c>
      <c r="E151" s="123">
        <f t="shared" si="43"/>
        <v>0.1</v>
      </c>
      <c r="F151" s="123">
        <f t="shared" si="43"/>
        <v>0.1</v>
      </c>
      <c r="G151" s="123">
        <f t="shared" si="43"/>
        <v>0.1</v>
      </c>
      <c r="H151" s="123">
        <f t="shared" si="43"/>
        <v>0.1</v>
      </c>
      <c r="I151" s="123">
        <f t="shared" si="43"/>
        <v>0.1</v>
      </c>
      <c r="J151" s="123">
        <f t="shared" si="43"/>
        <v>0.1</v>
      </c>
      <c r="K151" s="123">
        <f t="shared" si="43"/>
        <v>0.1</v>
      </c>
      <c r="L151" s="123">
        <f t="shared" si="43"/>
        <v>0.1</v>
      </c>
      <c r="M151" s="123">
        <f t="shared" si="43"/>
        <v>0.1</v>
      </c>
      <c r="N151" s="123">
        <f t="shared" si="43"/>
        <v>0.1</v>
      </c>
      <c r="O151" s="123">
        <f t="shared" si="43"/>
        <v>0.1</v>
      </c>
      <c r="P151" s="123">
        <f t="shared" si="43"/>
        <v>0.1</v>
      </c>
      <c r="Q151" s="123">
        <f t="shared" si="43"/>
        <v>0.1</v>
      </c>
      <c r="R151" s="123">
        <f t="shared" si="43"/>
        <v>0.1</v>
      </c>
      <c r="S151" s="123">
        <f t="shared" si="43"/>
        <v>0.1</v>
      </c>
      <c r="T151" s="123">
        <f t="shared" ref="T151:AF154" si="44">S151</f>
        <v>0.1</v>
      </c>
      <c r="U151" s="123">
        <f t="shared" si="44"/>
        <v>0.1</v>
      </c>
      <c r="V151" s="123">
        <f t="shared" si="44"/>
        <v>0.1</v>
      </c>
      <c r="W151" s="123">
        <f t="shared" si="44"/>
        <v>0.1</v>
      </c>
      <c r="X151" s="123">
        <f t="shared" si="44"/>
        <v>0.1</v>
      </c>
      <c r="Y151" s="123">
        <f t="shared" si="44"/>
        <v>0.1</v>
      </c>
      <c r="Z151" s="123">
        <f t="shared" si="44"/>
        <v>0.1</v>
      </c>
      <c r="AA151" s="123">
        <f t="shared" si="44"/>
        <v>0.1</v>
      </c>
      <c r="AB151" s="123">
        <f t="shared" si="44"/>
        <v>0.1</v>
      </c>
      <c r="AC151" s="123">
        <f t="shared" si="44"/>
        <v>0.1</v>
      </c>
      <c r="AD151" s="123">
        <f t="shared" si="44"/>
        <v>0.1</v>
      </c>
      <c r="AE151" s="123">
        <f t="shared" si="44"/>
        <v>0.1</v>
      </c>
      <c r="AF151" s="123">
        <f t="shared" si="44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3"/>
        <v>2.0499999999999998</v>
      </c>
      <c r="E152" s="123">
        <f t="shared" si="43"/>
        <v>2.0499999999999998</v>
      </c>
      <c r="F152" s="123">
        <f t="shared" si="43"/>
        <v>2.0499999999999998</v>
      </c>
      <c r="G152" s="123">
        <f t="shared" si="43"/>
        <v>2.0499999999999998</v>
      </c>
      <c r="H152" s="123">
        <f t="shared" si="43"/>
        <v>2.0499999999999998</v>
      </c>
      <c r="I152" s="123">
        <f t="shared" si="43"/>
        <v>2.0499999999999998</v>
      </c>
      <c r="J152" s="123">
        <f t="shared" si="43"/>
        <v>2.0499999999999998</v>
      </c>
      <c r="K152" s="123">
        <f t="shared" si="43"/>
        <v>2.0499999999999998</v>
      </c>
      <c r="L152" s="123">
        <f t="shared" si="43"/>
        <v>2.0499999999999998</v>
      </c>
      <c r="M152" s="123">
        <f t="shared" si="43"/>
        <v>2.0499999999999998</v>
      </c>
      <c r="N152" s="123">
        <f t="shared" si="43"/>
        <v>2.0499999999999998</v>
      </c>
      <c r="O152" s="123">
        <f t="shared" si="43"/>
        <v>2.0499999999999998</v>
      </c>
      <c r="P152" s="123">
        <f t="shared" si="43"/>
        <v>2.0499999999999998</v>
      </c>
      <c r="Q152" s="123">
        <f t="shared" si="43"/>
        <v>2.0499999999999998</v>
      </c>
      <c r="R152" s="123">
        <f t="shared" si="43"/>
        <v>2.0499999999999998</v>
      </c>
      <c r="S152" s="123">
        <f t="shared" si="43"/>
        <v>2.0499999999999998</v>
      </c>
      <c r="T152" s="123">
        <f t="shared" si="44"/>
        <v>2.0499999999999998</v>
      </c>
      <c r="U152" s="123">
        <f t="shared" si="44"/>
        <v>2.0499999999999998</v>
      </c>
      <c r="V152" s="123">
        <f t="shared" si="44"/>
        <v>2.0499999999999998</v>
      </c>
      <c r="W152" s="123">
        <f t="shared" si="44"/>
        <v>2.0499999999999998</v>
      </c>
      <c r="X152" s="123">
        <f t="shared" si="44"/>
        <v>2.0499999999999998</v>
      </c>
      <c r="Y152" s="123">
        <f t="shared" si="44"/>
        <v>2.0499999999999998</v>
      </c>
      <c r="Z152" s="123">
        <f t="shared" si="44"/>
        <v>2.0499999999999998</v>
      </c>
      <c r="AA152" s="123">
        <f t="shared" si="44"/>
        <v>2.0499999999999998</v>
      </c>
      <c r="AB152" s="123">
        <f t="shared" si="44"/>
        <v>2.0499999999999998</v>
      </c>
      <c r="AC152" s="123">
        <f t="shared" si="44"/>
        <v>2.0499999999999998</v>
      </c>
      <c r="AD152" s="123">
        <f t="shared" si="44"/>
        <v>2.0499999999999998</v>
      </c>
      <c r="AE152" s="123">
        <f t="shared" si="44"/>
        <v>2.0499999999999998</v>
      </c>
      <c r="AF152" s="123">
        <f t="shared" si="44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3"/>
        <v>2.7</v>
      </c>
      <c r="E153" s="123">
        <f t="shared" si="43"/>
        <v>2.7</v>
      </c>
      <c r="F153" s="123">
        <f t="shared" si="43"/>
        <v>2.7</v>
      </c>
      <c r="G153" s="123">
        <f t="shared" si="43"/>
        <v>2.7</v>
      </c>
      <c r="H153" s="123">
        <f t="shared" si="43"/>
        <v>2.7</v>
      </c>
      <c r="I153" s="123">
        <f t="shared" si="43"/>
        <v>2.7</v>
      </c>
      <c r="J153" s="123">
        <f t="shared" si="43"/>
        <v>2.7</v>
      </c>
      <c r="K153" s="123">
        <f t="shared" si="43"/>
        <v>2.7</v>
      </c>
      <c r="L153" s="123">
        <f t="shared" si="43"/>
        <v>2.7</v>
      </c>
      <c r="M153" s="123">
        <f t="shared" si="43"/>
        <v>2.7</v>
      </c>
      <c r="N153" s="123">
        <f t="shared" si="43"/>
        <v>2.7</v>
      </c>
      <c r="O153" s="123">
        <f t="shared" si="43"/>
        <v>2.7</v>
      </c>
      <c r="P153" s="123">
        <f t="shared" si="43"/>
        <v>2.7</v>
      </c>
      <c r="Q153" s="123">
        <f t="shared" si="43"/>
        <v>2.7</v>
      </c>
      <c r="R153" s="123">
        <f t="shared" si="43"/>
        <v>2.7</v>
      </c>
      <c r="S153" s="123">
        <f t="shared" si="43"/>
        <v>2.7</v>
      </c>
      <c r="T153" s="123">
        <f t="shared" si="44"/>
        <v>2.7</v>
      </c>
      <c r="U153" s="123">
        <f t="shared" si="44"/>
        <v>2.7</v>
      </c>
      <c r="V153" s="123">
        <f t="shared" si="44"/>
        <v>2.7</v>
      </c>
      <c r="W153" s="123">
        <f t="shared" si="44"/>
        <v>2.7</v>
      </c>
      <c r="X153" s="123">
        <f t="shared" si="44"/>
        <v>2.7</v>
      </c>
      <c r="Y153" s="123">
        <f t="shared" si="44"/>
        <v>2.7</v>
      </c>
      <c r="Z153" s="123">
        <f t="shared" si="44"/>
        <v>2.7</v>
      </c>
      <c r="AA153" s="123">
        <f t="shared" si="44"/>
        <v>2.7</v>
      </c>
      <c r="AB153" s="123">
        <f t="shared" si="44"/>
        <v>2.7</v>
      </c>
      <c r="AC153" s="123">
        <f t="shared" si="44"/>
        <v>2.7</v>
      </c>
      <c r="AD153" s="123">
        <f t="shared" si="44"/>
        <v>2.7</v>
      </c>
      <c r="AE153" s="123">
        <f t="shared" si="44"/>
        <v>2.7</v>
      </c>
      <c r="AF153" s="123">
        <f t="shared" si="44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3"/>
        <v>2.15</v>
      </c>
      <c r="E154" s="123">
        <f t="shared" si="43"/>
        <v>2.15</v>
      </c>
      <c r="F154" s="123">
        <f t="shared" si="43"/>
        <v>2.15</v>
      </c>
      <c r="G154" s="123">
        <f t="shared" si="43"/>
        <v>2.15</v>
      </c>
      <c r="H154" s="123">
        <f t="shared" si="43"/>
        <v>2.15</v>
      </c>
      <c r="I154" s="123">
        <f t="shared" si="43"/>
        <v>2.15</v>
      </c>
      <c r="J154" s="123">
        <f t="shared" si="43"/>
        <v>2.15</v>
      </c>
      <c r="K154" s="123">
        <f t="shared" si="43"/>
        <v>2.15</v>
      </c>
      <c r="L154" s="123">
        <f t="shared" si="43"/>
        <v>2.15</v>
      </c>
      <c r="M154" s="123">
        <f t="shared" si="43"/>
        <v>2.15</v>
      </c>
      <c r="N154" s="123">
        <f t="shared" si="43"/>
        <v>2.15</v>
      </c>
      <c r="O154" s="123">
        <f t="shared" si="43"/>
        <v>2.15</v>
      </c>
      <c r="P154" s="123">
        <f t="shared" si="43"/>
        <v>2.15</v>
      </c>
      <c r="Q154" s="123">
        <f t="shared" si="43"/>
        <v>2.15</v>
      </c>
      <c r="R154" s="123">
        <f t="shared" si="43"/>
        <v>2.15</v>
      </c>
      <c r="S154" s="123">
        <f t="shared" si="43"/>
        <v>2.15</v>
      </c>
      <c r="T154" s="123">
        <f t="shared" si="44"/>
        <v>2.15</v>
      </c>
      <c r="U154" s="123">
        <f t="shared" si="44"/>
        <v>2.15</v>
      </c>
      <c r="V154" s="123">
        <f t="shared" si="44"/>
        <v>2.15</v>
      </c>
      <c r="W154" s="123">
        <f t="shared" si="44"/>
        <v>2.15</v>
      </c>
      <c r="X154" s="123">
        <f t="shared" si="44"/>
        <v>2.15</v>
      </c>
      <c r="Y154" s="123">
        <f t="shared" si="44"/>
        <v>2.15</v>
      </c>
      <c r="Z154" s="123">
        <f t="shared" si="44"/>
        <v>2.15</v>
      </c>
      <c r="AA154" s="123">
        <f t="shared" si="44"/>
        <v>2.15</v>
      </c>
      <c r="AB154" s="123">
        <f t="shared" si="44"/>
        <v>2.15</v>
      </c>
      <c r="AC154" s="123">
        <f t="shared" si="44"/>
        <v>2.15</v>
      </c>
      <c r="AD154" s="123">
        <f t="shared" si="44"/>
        <v>2.15</v>
      </c>
      <c r="AE154" s="123">
        <f t="shared" si="44"/>
        <v>2.15</v>
      </c>
      <c r="AF154" s="123">
        <f t="shared" si="44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5">AF156</f>
        <v>0.9</v>
      </c>
      <c r="C156" s="124">
        <v>0.9</v>
      </c>
      <c r="D156" s="123">
        <f t="shared" ref="D156:S168" si="46">C156</f>
        <v>0.9</v>
      </c>
      <c r="E156" s="123">
        <f t="shared" si="46"/>
        <v>0.9</v>
      </c>
      <c r="F156" s="123">
        <f t="shared" si="46"/>
        <v>0.9</v>
      </c>
      <c r="G156" s="123">
        <f t="shared" si="46"/>
        <v>0.9</v>
      </c>
      <c r="H156" s="123">
        <f t="shared" si="46"/>
        <v>0.9</v>
      </c>
      <c r="I156" s="123">
        <f t="shared" si="46"/>
        <v>0.9</v>
      </c>
      <c r="J156" s="123">
        <f t="shared" si="46"/>
        <v>0.9</v>
      </c>
      <c r="K156" s="123">
        <f t="shared" si="46"/>
        <v>0.9</v>
      </c>
      <c r="L156" s="123">
        <f t="shared" si="46"/>
        <v>0.9</v>
      </c>
      <c r="M156" s="123">
        <f t="shared" si="46"/>
        <v>0.9</v>
      </c>
      <c r="N156" s="123">
        <f t="shared" si="46"/>
        <v>0.9</v>
      </c>
      <c r="O156" s="123">
        <f t="shared" si="46"/>
        <v>0.9</v>
      </c>
      <c r="P156" s="123">
        <f t="shared" si="46"/>
        <v>0.9</v>
      </c>
      <c r="Q156" s="123">
        <f t="shared" si="46"/>
        <v>0.9</v>
      </c>
      <c r="R156" s="123">
        <f t="shared" si="46"/>
        <v>0.9</v>
      </c>
      <c r="S156" s="123">
        <f t="shared" si="46"/>
        <v>0.9</v>
      </c>
      <c r="T156" s="123">
        <f t="shared" ref="S156:AF168" si="47">S156</f>
        <v>0.9</v>
      </c>
      <c r="U156" s="123">
        <f t="shared" si="47"/>
        <v>0.9</v>
      </c>
      <c r="V156" s="123">
        <f t="shared" si="47"/>
        <v>0.9</v>
      </c>
      <c r="W156" s="123">
        <f t="shared" si="47"/>
        <v>0.9</v>
      </c>
      <c r="X156" s="123">
        <f t="shared" si="47"/>
        <v>0.9</v>
      </c>
      <c r="Y156" s="123">
        <f t="shared" si="47"/>
        <v>0.9</v>
      </c>
      <c r="Z156" s="123">
        <f t="shared" si="47"/>
        <v>0.9</v>
      </c>
      <c r="AA156" s="123">
        <f t="shared" si="47"/>
        <v>0.9</v>
      </c>
      <c r="AB156" s="123">
        <f t="shared" si="47"/>
        <v>0.9</v>
      </c>
      <c r="AC156" s="123">
        <f t="shared" si="47"/>
        <v>0.9</v>
      </c>
      <c r="AD156" s="123">
        <f t="shared" si="47"/>
        <v>0.9</v>
      </c>
      <c r="AE156" s="123">
        <f t="shared" si="47"/>
        <v>0.9</v>
      </c>
      <c r="AF156" s="123">
        <f t="shared" si="47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5"/>
        <v>1.08</v>
      </c>
      <c r="C157" s="124">
        <v>1.08</v>
      </c>
      <c r="D157" s="123">
        <f t="shared" si="46"/>
        <v>1.08</v>
      </c>
      <c r="E157" s="123">
        <f t="shared" si="46"/>
        <v>1.08</v>
      </c>
      <c r="F157" s="123">
        <f t="shared" si="46"/>
        <v>1.08</v>
      </c>
      <c r="G157" s="123">
        <f t="shared" si="46"/>
        <v>1.08</v>
      </c>
      <c r="H157" s="123">
        <f t="shared" si="46"/>
        <v>1.08</v>
      </c>
      <c r="I157" s="123">
        <f t="shared" si="46"/>
        <v>1.08</v>
      </c>
      <c r="J157" s="123">
        <f t="shared" si="46"/>
        <v>1.08</v>
      </c>
      <c r="K157" s="123">
        <f t="shared" si="46"/>
        <v>1.08</v>
      </c>
      <c r="L157" s="123">
        <f t="shared" si="46"/>
        <v>1.08</v>
      </c>
      <c r="M157" s="123">
        <f t="shared" si="46"/>
        <v>1.08</v>
      </c>
      <c r="N157" s="123">
        <f t="shared" si="46"/>
        <v>1.08</v>
      </c>
      <c r="O157" s="123">
        <f t="shared" si="46"/>
        <v>1.08</v>
      </c>
      <c r="P157" s="123">
        <f t="shared" si="46"/>
        <v>1.08</v>
      </c>
      <c r="Q157" s="123">
        <f t="shared" si="46"/>
        <v>1.08</v>
      </c>
      <c r="R157" s="123">
        <f t="shared" si="46"/>
        <v>1.08</v>
      </c>
      <c r="S157" s="123">
        <f t="shared" si="46"/>
        <v>1.08</v>
      </c>
      <c r="T157" s="123">
        <f t="shared" si="47"/>
        <v>1.08</v>
      </c>
      <c r="U157" s="123">
        <f t="shared" si="47"/>
        <v>1.08</v>
      </c>
      <c r="V157" s="123">
        <f t="shared" si="47"/>
        <v>1.08</v>
      </c>
      <c r="W157" s="123">
        <f t="shared" si="47"/>
        <v>1.08</v>
      </c>
      <c r="X157" s="123">
        <f t="shared" si="47"/>
        <v>1.08</v>
      </c>
      <c r="Y157" s="123">
        <f t="shared" si="47"/>
        <v>1.08</v>
      </c>
      <c r="Z157" s="123">
        <f t="shared" si="47"/>
        <v>1.08</v>
      </c>
      <c r="AA157" s="123">
        <f t="shared" si="47"/>
        <v>1.08</v>
      </c>
      <c r="AB157" s="123">
        <f t="shared" si="47"/>
        <v>1.08</v>
      </c>
      <c r="AC157" s="123">
        <f t="shared" si="47"/>
        <v>1.08</v>
      </c>
      <c r="AD157" s="123">
        <f t="shared" si="47"/>
        <v>1.08</v>
      </c>
      <c r="AE157" s="123">
        <f t="shared" si="47"/>
        <v>1.08</v>
      </c>
      <c r="AF157" s="123">
        <f t="shared" si="47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5"/>
        <v>2.37</v>
      </c>
      <c r="C158" s="124">
        <v>2.37</v>
      </c>
      <c r="D158" s="123">
        <f t="shared" si="46"/>
        <v>2.37</v>
      </c>
      <c r="E158" s="123">
        <f t="shared" si="46"/>
        <v>2.37</v>
      </c>
      <c r="F158" s="123">
        <f t="shared" si="46"/>
        <v>2.37</v>
      </c>
      <c r="G158" s="123">
        <f t="shared" si="46"/>
        <v>2.37</v>
      </c>
      <c r="H158" s="123">
        <f t="shared" si="46"/>
        <v>2.37</v>
      </c>
      <c r="I158" s="123">
        <f t="shared" si="46"/>
        <v>2.37</v>
      </c>
      <c r="J158" s="123">
        <f t="shared" si="46"/>
        <v>2.37</v>
      </c>
      <c r="K158" s="123">
        <f t="shared" si="46"/>
        <v>2.37</v>
      </c>
      <c r="L158" s="123">
        <f t="shared" si="46"/>
        <v>2.37</v>
      </c>
      <c r="M158" s="123">
        <f t="shared" si="46"/>
        <v>2.37</v>
      </c>
      <c r="N158" s="123">
        <f t="shared" si="46"/>
        <v>2.37</v>
      </c>
      <c r="O158" s="123">
        <f t="shared" si="46"/>
        <v>2.37</v>
      </c>
      <c r="P158" s="123">
        <f t="shared" si="46"/>
        <v>2.37</v>
      </c>
      <c r="Q158" s="123">
        <f t="shared" si="46"/>
        <v>2.37</v>
      </c>
      <c r="R158" s="123">
        <f t="shared" si="46"/>
        <v>2.37</v>
      </c>
      <c r="S158" s="123">
        <f t="shared" si="46"/>
        <v>2.37</v>
      </c>
      <c r="T158" s="123">
        <f t="shared" si="47"/>
        <v>2.37</v>
      </c>
      <c r="U158" s="123">
        <f t="shared" si="47"/>
        <v>2.37</v>
      </c>
      <c r="V158" s="123">
        <f t="shared" si="47"/>
        <v>2.37</v>
      </c>
      <c r="W158" s="123">
        <f t="shared" si="47"/>
        <v>2.37</v>
      </c>
      <c r="X158" s="123">
        <f t="shared" si="47"/>
        <v>2.37</v>
      </c>
      <c r="Y158" s="123">
        <f t="shared" si="47"/>
        <v>2.37</v>
      </c>
      <c r="Z158" s="123">
        <f t="shared" si="47"/>
        <v>2.37</v>
      </c>
      <c r="AA158" s="123">
        <f t="shared" si="47"/>
        <v>2.37</v>
      </c>
      <c r="AB158" s="123">
        <f t="shared" si="47"/>
        <v>2.37</v>
      </c>
      <c r="AC158" s="123">
        <f t="shared" si="47"/>
        <v>2.37</v>
      </c>
      <c r="AD158" s="123">
        <f t="shared" si="47"/>
        <v>2.37</v>
      </c>
      <c r="AE158" s="123">
        <f t="shared" si="47"/>
        <v>2.37</v>
      </c>
      <c r="AF158" s="123">
        <f t="shared" si="47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5"/>
        <v>1.81</v>
      </c>
      <c r="C159" s="124">
        <v>1.81</v>
      </c>
      <c r="D159" s="123">
        <f t="shared" si="46"/>
        <v>1.81</v>
      </c>
      <c r="E159" s="123">
        <f t="shared" si="46"/>
        <v>1.81</v>
      </c>
      <c r="F159" s="123">
        <f t="shared" si="46"/>
        <v>1.81</v>
      </c>
      <c r="G159" s="123">
        <f t="shared" si="46"/>
        <v>1.81</v>
      </c>
      <c r="H159" s="123">
        <f t="shared" si="46"/>
        <v>1.81</v>
      </c>
      <c r="I159" s="123">
        <f t="shared" si="46"/>
        <v>1.81</v>
      </c>
      <c r="J159" s="123">
        <f t="shared" si="46"/>
        <v>1.81</v>
      </c>
      <c r="K159" s="123">
        <f t="shared" si="46"/>
        <v>1.81</v>
      </c>
      <c r="L159" s="123">
        <f t="shared" si="46"/>
        <v>1.81</v>
      </c>
      <c r="M159" s="123">
        <f t="shared" si="46"/>
        <v>1.81</v>
      </c>
      <c r="N159" s="123">
        <f t="shared" si="46"/>
        <v>1.81</v>
      </c>
      <c r="O159" s="123">
        <f t="shared" si="46"/>
        <v>1.81</v>
      </c>
      <c r="P159" s="123">
        <f t="shared" si="46"/>
        <v>1.81</v>
      </c>
      <c r="Q159" s="123">
        <f t="shared" si="46"/>
        <v>1.81</v>
      </c>
      <c r="R159" s="123">
        <f t="shared" si="46"/>
        <v>1.81</v>
      </c>
      <c r="S159" s="123">
        <f t="shared" si="46"/>
        <v>1.81</v>
      </c>
      <c r="T159" s="123">
        <f t="shared" si="47"/>
        <v>1.81</v>
      </c>
      <c r="U159" s="123">
        <f t="shared" si="47"/>
        <v>1.81</v>
      </c>
      <c r="V159" s="123">
        <f t="shared" si="47"/>
        <v>1.81</v>
      </c>
      <c r="W159" s="123">
        <f t="shared" si="47"/>
        <v>1.81</v>
      </c>
      <c r="X159" s="123">
        <f t="shared" si="47"/>
        <v>1.81</v>
      </c>
      <c r="Y159" s="123">
        <f t="shared" si="47"/>
        <v>1.81</v>
      </c>
      <c r="Z159" s="123">
        <f t="shared" si="47"/>
        <v>1.81</v>
      </c>
      <c r="AA159" s="123">
        <f t="shared" si="47"/>
        <v>1.81</v>
      </c>
      <c r="AB159" s="123">
        <f t="shared" si="47"/>
        <v>1.81</v>
      </c>
      <c r="AC159" s="123">
        <f t="shared" si="47"/>
        <v>1.81</v>
      </c>
      <c r="AD159" s="123">
        <f t="shared" si="47"/>
        <v>1.81</v>
      </c>
      <c r="AE159" s="123">
        <f t="shared" si="47"/>
        <v>1.81</v>
      </c>
      <c r="AF159" s="123">
        <f t="shared" si="47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5"/>
        <v>1.0900000000000001</v>
      </c>
      <c r="C160" s="124">
        <v>1.0900000000000001</v>
      </c>
      <c r="D160" s="123">
        <f t="shared" si="46"/>
        <v>1.0900000000000001</v>
      </c>
      <c r="E160" s="123">
        <f t="shared" si="46"/>
        <v>1.0900000000000001</v>
      </c>
      <c r="F160" s="123">
        <f t="shared" si="46"/>
        <v>1.0900000000000001</v>
      </c>
      <c r="G160" s="123">
        <f t="shared" si="46"/>
        <v>1.0900000000000001</v>
      </c>
      <c r="H160" s="123">
        <f t="shared" si="46"/>
        <v>1.0900000000000001</v>
      </c>
      <c r="I160" s="123">
        <f t="shared" si="46"/>
        <v>1.0900000000000001</v>
      </c>
      <c r="J160" s="123">
        <f t="shared" si="46"/>
        <v>1.0900000000000001</v>
      </c>
      <c r="K160" s="123">
        <f t="shared" si="46"/>
        <v>1.0900000000000001</v>
      </c>
      <c r="L160" s="123">
        <f t="shared" si="46"/>
        <v>1.0900000000000001</v>
      </c>
      <c r="M160" s="123">
        <f t="shared" si="46"/>
        <v>1.0900000000000001</v>
      </c>
      <c r="N160" s="123">
        <f t="shared" si="46"/>
        <v>1.0900000000000001</v>
      </c>
      <c r="O160" s="123">
        <f t="shared" si="46"/>
        <v>1.0900000000000001</v>
      </c>
      <c r="P160" s="123">
        <f t="shared" si="46"/>
        <v>1.0900000000000001</v>
      </c>
      <c r="Q160" s="123">
        <f t="shared" si="46"/>
        <v>1.0900000000000001</v>
      </c>
      <c r="R160" s="123">
        <f t="shared" si="46"/>
        <v>1.0900000000000001</v>
      </c>
      <c r="S160" s="123">
        <f t="shared" si="46"/>
        <v>1.0900000000000001</v>
      </c>
      <c r="T160" s="123">
        <f t="shared" si="47"/>
        <v>1.0900000000000001</v>
      </c>
      <c r="U160" s="123">
        <f t="shared" si="47"/>
        <v>1.0900000000000001</v>
      </c>
      <c r="V160" s="123">
        <f t="shared" si="47"/>
        <v>1.0900000000000001</v>
      </c>
      <c r="W160" s="123">
        <f t="shared" si="47"/>
        <v>1.0900000000000001</v>
      </c>
      <c r="X160" s="123">
        <f t="shared" si="47"/>
        <v>1.0900000000000001</v>
      </c>
      <c r="Y160" s="123">
        <f t="shared" si="47"/>
        <v>1.0900000000000001</v>
      </c>
      <c r="Z160" s="123">
        <f t="shared" si="47"/>
        <v>1.0900000000000001</v>
      </c>
      <c r="AA160" s="123">
        <f t="shared" si="47"/>
        <v>1.0900000000000001</v>
      </c>
      <c r="AB160" s="123">
        <f t="shared" si="47"/>
        <v>1.0900000000000001</v>
      </c>
      <c r="AC160" s="123">
        <f t="shared" si="47"/>
        <v>1.0900000000000001</v>
      </c>
      <c r="AD160" s="123">
        <f t="shared" si="47"/>
        <v>1.0900000000000001</v>
      </c>
      <c r="AE160" s="123">
        <f t="shared" si="47"/>
        <v>1.0900000000000001</v>
      </c>
      <c r="AF160" s="123">
        <f t="shared" si="47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5"/>
        <v>1.58</v>
      </c>
      <c r="C161" s="124">
        <v>1.58</v>
      </c>
      <c r="D161" s="123">
        <f t="shared" si="46"/>
        <v>1.58</v>
      </c>
      <c r="E161" s="123">
        <f t="shared" si="46"/>
        <v>1.58</v>
      </c>
      <c r="F161" s="123">
        <f t="shared" si="46"/>
        <v>1.58</v>
      </c>
      <c r="G161" s="123">
        <f t="shared" si="46"/>
        <v>1.58</v>
      </c>
      <c r="H161" s="123">
        <f t="shared" si="46"/>
        <v>1.58</v>
      </c>
      <c r="I161" s="123">
        <f t="shared" si="46"/>
        <v>1.58</v>
      </c>
      <c r="J161" s="123">
        <f t="shared" si="46"/>
        <v>1.58</v>
      </c>
      <c r="K161" s="123">
        <f t="shared" si="46"/>
        <v>1.58</v>
      </c>
      <c r="L161" s="123">
        <f t="shared" si="46"/>
        <v>1.58</v>
      </c>
      <c r="M161" s="123">
        <f t="shared" si="46"/>
        <v>1.58</v>
      </c>
      <c r="N161" s="123">
        <f t="shared" si="46"/>
        <v>1.58</v>
      </c>
      <c r="O161" s="123">
        <f t="shared" si="46"/>
        <v>1.58</v>
      </c>
      <c r="P161" s="123">
        <f t="shared" si="46"/>
        <v>1.58</v>
      </c>
      <c r="Q161" s="123">
        <f t="shared" si="46"/>
        <v>1.58</v>
      </c>
      <c r="R161" s="123">
        <f t="shared" si="46"/>
        <v>1.58</v>
      </c>
      <c r="S161" s="123">
        <f t="shared" si="46"/>
        <v>1.58</v>
      </c>
      <c r="T161" s="123">
        <f t="shared" si="47"/>
        <v>1.58</v>
      </c>
      <c r="U161" s="123">
        <f t="shared" si="47"/>
        <v>1.58</v>
      </c>
      <c r="V161" s="123">
        <f t="shared" si="47"/>
        <v>1.58</v>
      </c>
      <c r="W161" s="123">
        <f t="shared" si="47"/>
        <v>1.58</v>
      </c>
      <c r="X161" s="123">
        <f t="shared" si="47"/>
        <v>1.58</v>
      </c>
      <c r="Y161" s="123">
        <f t="shared" si="47"/>
        <v>1.58</v>
      </c>
      <c r="Z161" s="123">
        <f t="shared" si="47"/>
        <v>1.58</v>
      </c>
      <c r="AA161" s="123">
        <f t="shared" si="47"/>
        <v>1.58</v>
      </c>
      <c r="AB161" s="123">
        <f t="shared" si="47"/>
        <v>1.58</v>
      </c>
      <c r="AC161" s="123">
        <f t="shared" si="47"/>
        <v>1.58</v>
      </c>
      <c r="AD161" s="123">
        <f t="shared" si="47"/>
        <v>1.58</v>
      </c>
      <c r="AE161" s="123">
        <f t="shared" si="47"/>
        <v>1.58</v>
      </c>
      <c r="AF161" s="123">
        <f t="shared" si="47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5"/>
        <v>2</v>
      </c>
      <c r="C162" s="124">
        <v>2</v>
      </c>
      <c r="D162" s="123">
        <f t="shared" si="46"/>
        <v>2</v>
      </c>
      <c r="E162" s="123">
        <f t="shared" si="46"/>
        <v>2</v>
      </c>
      <c r="F162" s="123">
        <f t="shared" si="46"/>
        <v>2</v>
      </c>
      <c r="G162" s="123">
        <f t="shared" si="46"/>
        <v>2</v>
      </c>
      <c r="H162" s="123">
        <f t="shared" si="46"/>
        <v>2</v>
      </c>
      <c r="I162" s="123">
        <f t="shared" si="46"/>
        <v>2</v>
      </c>
      <c r="J162" s="123">
        <f t="shared" si="46"/>
        <v>2</v>
      </c>
      <c r="K162" s="123">
        <f t="shared" si="46"/>
        <v>2</v>
      </c>
      <c r="L162" s="123">
        <f t="shared" si="46"/>
        <v>2</v>
      </c>
      <c r="M162" s="123">
        <f t="shared" si="46"/>
        <v>2</v>
      </c>
      <c r="N162" s="123">
        <f t="shared" si="46"/>
        <v>2</v>
      </c>
      <c r="O162" s="123">
        <f t="shared" si="46"/>
        <v>2</v>
      </c>
      <c r="P162" s="123">
        <f t="shared" si="46"/>
        <v>2</v>
      </c>
      <c r="Q162" s="123">
        <f t="shared" si="46"/>
        <v>2</v>
      </c>
      <c r="R162" s="123">
        <f t="shared" si="46"/>
        <v>2</v>
      </c>
      <c r="S162" s="123">
        <f t="shared" si="46"/>
        <v>2</v>
      </c>
      <c r="T162" s="123">
        <f t="shared" si="47"/>
        <v>2</v>
      </c>
      <c r="U162" s="123">
        <f t="shared" si="47"/>
        <v>2</v>
      </c>
      <c r="V162" s="123">
        <f t="shared" si="47"/>
        <v>2</v>
      </c>
      <c r="W162" s="123">
        <f t="shared" si="47"/>
        <v>2</v>
      </c>
      <c r="X162" s="123">
        <f t="shared" si="47"/>
        <v>2</v>
      </c>
      <c r="Y162" s="123">
        <f t="shared" si="47"/>
        <v>2</v>
      </c>
      <c r="Z162" s="123">
        <f t="shared" si="47"/>
        <v>2</v>
      </c>
      <c r="AA162" s="123">
        <f t="shared" si="47"/>
        <v>2</v>
      </c>
      <c r="AB162" s="123">
        <f t="shared" si="47"/>
        <v>2</v>
      </c>
      <c r="AC162" s="123">
        <f t="shared" si="47"/>
        <v>2</v>
      </c>
      <c r="AD162" s="123">
        <f t="shared" si="47"/>
        <v>2</v>
      </c>
      <c r="AE162" s="123">
        <f t="shared" si="47"/>
        <v>2</v>
      </c>
      <c r="AF162" s="123">
        <f t="shared" si="47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5"/>
        <v>0.47</v>
      </c>
      <c r="C163" s="124">
        <v>0.47</v>
      </c>
      <c r="D163" s="123">
        <f t="shared" si="46"/>
        <v>0.47</v>
      </c>
      <c r="E163" s="123">
        <f t="shared" si="46"/>
        <v>0.47</v>
      </c>
      <c r="F163" s="123">
        <f t="shared" si="46"/>
        <v>0.47</v>
      </c>
      <c r="G163" s="123">
        <f t="shared" si="46"/>
        <v>0.47</v>
      </c>
      <c r="H163" s="123">
        <f t="shared" si="46"/>
        <v>0.47</v>
      </c>
      <c r="I163" s="123">
        <f t="shared" si="46"/>
        <v>0.47</v>
      </c>
      <c r="J163" s="123">
        <f t="shared" si="46"/>
        <v>0.47</v>
      </c>
      <c r="K163" s="123">
        <f t="shared" si="46"/>
        <v>0.47</v>
      </c>
      <c r="L163" s="123">
        <f t="shared" si="46"/>
        <v>0.47</v>
      </c>
      <c r="M163" s="123">
        <f t="shared" si="46"/>
        <v>0.47</v>
      </c>
      <c r="N163" s="123">
        <f t="shared" si="46"/>
        <v>0.47</v>
      </c>
      <c r="O163" s="123">
        <f t="shared" si="46"/>
        <v>0.47</v>
      </c>
      <c r="P163" s="123">
        <f t="shared" si="46"/>
        <v>0.47</v>
      </c>
      <c r="Q163" s="123">
        <f t="shared" si="46"/>
        <v>0.47</v>
      </c>
      <c r="R163" s="123">
        <f t="shared" si="46"/>
        <v>0.47</v>
      </c>
      <c r="S163" s="123">
        <f t="shared" si="46"/>
        <v>0.47</v>
      </c>
      <c r="T163" s="123">
        <f t="shared" si="47"/>
        <v>0.47</v>
      </c>
      <c r="U163" s="123">
        <f t="shared" si="47"/>
        <v>0.47</v>
      </c>
      <c r="V163" s="123">
        <f t="shared" si="47"/>
        <v>0.47</v>
      </c>
      <c r="W163" s="123">
        <f t="shared" si="47"/>
        <v>0.47</v>
      </c>
      <c r="X163" s="123">
        <f t="shared" si="47"/>
        <v>0.47</v>
      </c>
      <c r="Y163" s="123">
        <f t="shared" si="47"/>
        <v>0.47</v>
      </c>
      <c r="Z163" s="123">
        <f t="shared" si="47"/>
        <v>0.47</v>
      </c>
      <c r="AA163" s="123">
        <f t="shared" si="47"/>
        <v>0.47</v>
      </c>
      <c r="AB163" s="123">
        <f t="shared" si="47"/>
        <v>0.47</v>
      </c>
      <c r="AC163" s="123">
        <f t="shared" si="47"/>
        <v>0.47</v>
      </c>
      <c r="AD163" s="123">
        <f t="shared" si="47"/>
        <v>0.47</v>
      </c>
      <c r="AE163" s="123">
        <f t="shared" si="47"/>
        <v>0.47</v>
      </c>
      <c r="AF163" s="123">
        <f t="shared" si="47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5"/>
        <v>0</v>
      </c>
      <c r="C164" s="124">
        <v>0</v>
      </c>
      <c r="D164" s="123">
        <f t="shared" si="46"/>
        <v>0</v>
      </c>
      <c r="E164" s="123">
        <f t="shared" si="46"/>
        <v>0</v>
      </c>
      <c r="F164" s="123">
        <f t="shared" si="46"/>
        <v>0</v>
      </c>
      <c r="G164" s="123">
        <f t="shared" si="46"/>
        <v>0</v>
      </c>
      <c r="H164" s="123">
        <f t="shared" si="46"/>
        <v>0</v>
      </c>
      <c r="I164" s="123">
        <f t="shared" si="46"/>
        <v>0</v>
      </c>
      <c r="J164" s="123">
        <f t="shared" si="46"/>
        <v>0</v>
      </c>
      <c r="K164" s="123">
        <f t="shared" si="46"/>
        <v>0</v>
      </c>
      <c r="L164" s="123">
        <f t="shared" si="46"/>
        <v>0</v>
      </c>
      <c r="M164" s="123">
        <f t="shared" si="46"/>
        <v>0</v>
      </c>
      <c r="N164" s="123">
        <f t="shared" si="46"/>
        <v>0</v>
      </c>
      <c r="O164" s="123">
        <f t="shared" si="46"/>
        <v>0</v>
      </c>
      <c r="P164" s="123">
        <f t="shared" si="46"/>
        <v>0</v>
      </c>
      <c r="Q164" s="123">
        <f t="shared" si="46"/>
        <v>0</v>
      </c>
      <c r="R164" s="123">
        <f t="shared" si="46"/>
        <v>0</v>
      </c>
      <c r="S164" s="123">
        <f t="shared" si="46"/>
        <v>0</v>
      </c>
      <c r="T164" s="123">
        <f t="shared" si="47"/>
        <v>0</v>
      </c>
      <c r="U164" s="123">
        <f t="shared" si="47"/>
        <v>0</v>
      </c>
      <c r="V164" s="123">
        <f t="shared" si="47"/>
        <v>0</v>
      </c>
      <c r="W164" s="123">
        <f t="shared" si="47"/>
        <v>0</v>
      </c>
      <c r="X164" s="123">
        <f t="shared" si="47"/>
        <v>0</v>
      </c>
      <c r="Y164" s="123">
        <f t="shared" si="47"/>
        <v>0</v>
      </c>
      <c r="Z164" s="123">
        <f t="shared" si="47"/>
        <v>0</v>
      </c>
      <c r="AA164" s="123">
        <f t="shared" si="47"/>
        <v>0</v>
      </c>
      <c r="AB164" s="123">
        <f t="shared" si="47"/>
        <v>0</v>
      </c>
      <c r="AC164" s="123">
        <f t="shared" si="47"/>
        <v>0</v>
      </c>
      <c r="AD164" s="123">
        <f t="shared" si="47"/>
        <v>0</v>
      </c>
      <c r="AE164" s="123">
        <f t="shared" si="47"/>
        <v>0</v>
      </c>
      <c r="AF164" s="123">
        <f t="shared" si="47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5"/>
        <v>0</v>
      </c>
      <c r="C165" s="124">
        <v>0</v>
      </c>
      <c r="D165" s="123">
        <f t="shared" si="46"/>
        <v>0</v>
      </c>
      <c r="E165" s="123">
        <f t="shared" si="46"/>
        <v>0</v>
      </c>
      <c r="F165" s="123">
        <f t="shared" si="46"/>
        <v>0</v>
      </c>
      <c r="G165" s="123">
        <f t="shared" si="46"/>
        <v>0</v>
      </c>
      <c r="H165" s="123">
        <f t="shared" si="46"/>
        <v>0</v>
      </c>
      <c r="I165" s="123">
        <f t="shared" si="46"/>
        <v>0</v>
      </c>
      <c r="J165" s="123">
        <f t="shared" si="46"/>
        <v>0</v>
      </c>
      <c r="K165" s="123">
        <f t="shared" si="46"/>
        <v>0</v>
      </c>
      <c r="L165" s="123">
        <f t="shared" si="46"/>
        <v>0</v>
      </c>
      <c r="M165" s="123">
        <f t="shared" si="46"/>
        <v>0</v>
      </c>
      <c r="N165" s="123">
        <f t="shared" si="46"/>
        <v>0</v>
      </c>
      <c r="O165" s="123">
        <f t="shared" si="46"/>
        <v>0</v>
      </c>
      <c r="P165" s="123">
        <f t="shared" si="46"/>
        <v>0</v>
      </c>
      <c r="Q165" s="123">
        <f t="shared" si="46"/>
        <v>0</v>
      </c>
      <c r="R165" s="123">
        <f t="shared" si="46"/>
        <v>0</v>
      </c>
      <c r="S165" s="123">
        <f t="shared" si="47"/>
        <v>0</v>
      </c>
      <c r="T165" s="123">
        <f t="shared" si="47"/>
        <v>0</v>
      </c>
      <c r="U165" s="123">
        <f t="shared" si="47"/>
        <v>0</v>
      </c>
      <c r="V165" s="123">
        <f t="shared" si="47"/>
        <v>0</v>
      </c>
      <c r="W165" s="123">
        <f t="shared" si="47"/>
        <v>0</v>
      </c>
      <c r="X165" s="123">
        <f t="shared" si="47"/>
        <v>0</v>
      </c>
      <c r="Y165" s="123">
        <f t="shared" si="47"/>
        <v>0</v>
      </c>
      <c r="Z165" s="123">
        <f t="shared" si="47"/>
        <v>0</v>
      </c>
      <c r="AA165" s="123">
        <f t="shared" si="47"/>
        <v>0</v>
      </c>
      <c r="AB165" s="123">
        <f t="shared" si="47"/>
        <v>0</v>
      </c>
      <c r="AC165" s="123">
        <f t="shared" si="47"/>
        <v>0</v>
      </c>
      <c r="AD165" s="123">
        <f t="shared" si="47"/>
        <v>0</v>
      </c>
      <c r="AE165" s="123">
        <f t="shared" si="47"/>
        <v>0</v>
      </c>
      <c r="AF165" s="123">
        <f t="shared" si="47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5"/>
        <v>0.8</v>
      </c>
      <c r="C166" s="124">
        <v>0.8</v>
      </c>
      <c r="D166" s="123">
        <f t="shared" si="46"/>
        <v>0.8</v>
      </c>
      <c r="E166" s="123">
        <f t="shared" si="46"/>
        <v>0.8</v>
      </c>
      <c r="F166" s="123">
        <f t="shared" si="46"/>
        <v>0.8</v>
      </c>
      <c r="G166" s="123">
        <f t="shared" si="46"/>
        <v>0.8</v>
      </c>
      <c r="H166" s="123">
        <f t="shared" si="46"/>
        <v>0.8</v>
      </c>
      <c r="I166" s="123">
        <f t="shared" si="46"/>
        <v>0.8</v>
      </c>
      <c r="J166" s="123">
        <f t="shared" si="46"/>
        <v>0.8</v>
      </c>
      <c r="K166" s="123">
        <f t="shared" si="46"/>
        <v>0.8</v>
      </c>
      <c r="L166" s="123">
        <f t="shared" si="46"/>
        <v>0.8</v>
      </c>
      <c r="M166" s="123">
        <f t="shared" si="46"/>
        <v>0.8</v>
      </c>
      <c r="N166" s="123">
        <f t="shared" si="46"/>
        <v>0.8</v>
      </c>
      <c r="O166" s="123">
        <f t="shared" si="46"/>
        <v>0.8</v>
      </c>
      <c r="P166" s="123">
        <f t="shared" si="46"/>
        <v>0.8</v>
      </c>
      <c r="Q166" s="123">
        <f t="shared" si="46"/>
        <v>0.8</v>
      </c>
      <c r="R166" s="123">
        <f t="shared" si="46"/>
        <v>0.8</v>
      </c>
      <c r="S166" s="123">
        <f t="shared" si="47"/>
        <v>0.8</v>
      </c>
      <c r="T166" s="123">
        <f t="shared" si="47"/>
        <v>0.8</v>
      </c>
      <c r="U166" s="123">
        <f t="shared" si="47"/>
        <v>0.8</v>
      </c>
      <c r="V166" s="123">
        <f t="shared" si="47"/>
        <v>0.8</v>
      </c>
      <c r="W166" s="123">
        <f t="shared" si="47"/>
        <v>0.8</v>
      </c>
      <c r="X166" s="123">
        <f t="shared" si="47"/>
        <v>0.8</v>
      </c>
      <c r="Y166" s="123">
        <f t="shared" si="47"/>
        <v>0.8</v>
      </c>
      <c r="Z166" s="123">
        <f t="shared" si="47"/>
        <v>0.8</v>
      </c>
      <c r="AA166" s="123">
        <f t="shared" si="47"/>
        <v>0.8</v>
      </c>
      <c r="AB166" s="123">
        <f t="shared" si="47"/>
        <v>0.8</v>
      </c>
      <c r="AC166" s="123">
        <f t="shared" si="47"/>
        <v>0.8</v>
      </c>
      <c r="AD166" s="123">
        <f t="shared" si="47"/>
        <v>0.8</v>
      </c>
      <c r="AE166" s="123">
        <f t="shared" si="47"/>
        <v>0.8</v>
      </c>
      <c r="AF166" s="123">
        <f t="shared" si="47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5"/>
        <v>1.5</v>
      </c>
      <c r="C167" s="124">
        <v>1.5</v>
      </c>
      <c r="D167" s="123">
        <f t="shared" si="46"/>
        <v>1.5</v>
      </c>
      <c r="E167" s="123">
        <f t="shared" si="46"/>
        <v>1.5</v>
      </c>
      <c r="F167" s="123">
        <f t="shared" si="46"/>
        <v>1.5</v>
      </c>
      <c r="G167" s="123">
        <f t="shared" si="46"/>
        <v>1.5</v>
      </c>
      <c r="H167" s="123">
        <f t="shared" si="46"/>
        <v>1.5</v>
      </c>
      <c r="I167" s="123">
        <f t="shared" si="46"/>
        <v>1.5</v>
      </c>
      <c r="J167" s="123">
        <f t="shared" si="46"/>
        <v>1.5</v>
      </c>
      <c r="K167" s="123">
        <f t="shared" si="46"/>
        <v>1.5</v>
      </c>
      <c r="L167" s="123">
        <f t="shared" si="46"/>
        <v>1.5</v>
      </c>
      <c r="M167" s="123">
        <f t="shared" si="46"/>
        <v>1.5</v>
      </c>
      <c r="N167" s="123">
        <f t="shared" si="46"/>
        <v>1.5</v>
      </c>
      <c r="O167" s="123">
        <f t="shared" si="46"/>
        <v>1.5</v>
      </c>
      <c r="P167" s="123">
        <f t="shared" si="46"/>
        <v>1.5</v>
      </c>
      <c r="Q167" s="123">
        <f t="shared" si="46"/>
        <v>1.5</v>
      </c>
      <c r="R167" s="123">
        <f t="shared" si="46"/>
        <v>1.5</v>
      </c>
      <c r="S167" s="123">
        <f t="shared" si="47"/>
        <v>1.5</v>
      </c>
      <c r="T167" s="123">
        <f t="shared" si="47"/>
        <v>1.5</v>
      </c>
      <c r="U167" s="123">
        <f t="shared" si="47"/>
        <v>1.5</v>
      </c>
      <c r="V167" s="123">
        <f t="shared" si="47"/>
        <v>1.5</v>
      </c>
      <c r="W167" s="123">
        <f t="shared" si="47"/>
        <v>1.5</v>
      </c>
      <c r="X167" s="123">
        <f t="shared" si="47"/>
        <v>1.5</v>
      </c>
      <c r="Y167" s="123">
        <f t="shared" si="47"/>
        <v>1.5</v>
      </c>
      <c r="Z167" s="123">
        <f t="shared" si="47"/>
        <v>1.5</v>
      </c>
      <c r="AA167" s="123">
        <f t="shared" si="47"/>
        <v>1.5</v>
      </c>
      <c r="AB167" s="123">
        <f t="shared" si="47"/>
        <v>1.5</v>
      </c>
      <c r="AC167" s="123">
        <f t="shared" si="47"/>
        <v>1.5</v>
      </c>
      <c r="AD167" s="123">
        <f t="shared" si="47"/>
        <v>1.5</v>
      </c>
      <c r="AE167" s="123">
        <f t="shared" si="47"/>
        <v>1.5</v>
      </c>
      <c r="AF167" s="123">
        <f t="shared" si="47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5"/>
        <v>1</v>
      </c>
      <c r="C168" s="124">
        <v>1</v>
      </c>
      <c r="D168" s="123">
        <f t="shared" si="46"/>
        <v>1</v>
      </c>
      <c r="E168" s="123">
        <f t="shared" si="46"/>
        <v>1</v>
      </c>
      <c r="F168" s="123">
        <f t="shared" si="46"/>
        <v>1</v>
      </c>
      <c r="G168" s="123">
        <f t="shared" si="46"/>
        <v>1</v>
      </c>
      <c r="H168" s="123">
        <f t="shared" si="46"/>
        <v>1</v>
      </c>
      <c r="I168" s="123">
        <f t="shared" si="46"/>
        <v>1</v>
      </c>
      <c r="J168" s="123">
        <f t="shared" si="46"/>
        <v>1</v>
      </c>
      <c r="K168" s="123">
        <f t="shared" si="46"/>
        <v>1</v>
      </c>
      <c r="L168" s="123">
        <f t="shared" si="46"/>
        <v>1</v>
      </c>
      <c r="M168" s="123">
        <f t="shared" si="46"/>
        <v>1</v>
      </c>
      <c r="N168" s="123">
        <f t="shared" si="46"/>
        <v>1</v>
      </c>
      <c r="O168" s="123">
        <f t="shared" si="46"/>
        <v>1</v>
      </c>
      <c r="P168" s="123">
        <f t="shared" si="46"/>
        <v>1</v>
      </c>
      <c r="Q168" s="123">
        <f t="shared" si="46"/>
        <v>1</v>
      </c>
      <c r="R168" s="123">
        <f t="shared" si="46"/>
        <v>1</v>
      </c>
      <c r="S168" s="123">
        <f t="shared" si="47"/>
        <v>1</v>
      </c>
      <c r="T168" s="123">
        <f t="shared" si="47"/>
        <v>1</v>
      </c>
      <c r="U168" s="123">
        <f t="shared" si="47"/>
        <v>1</v>
      </c>
      <c r="V168" s="123">
        <f t="shared" si="47"/>
        <v>1</v>
      </c>
      <c r="W168" s="123">
        <f t="shared" si="47"/>
        <v>1</v>
      </c>
      <c r="X168" s="123">
        <f t="shared" si="47"/>
        <v>1</v>
      </c>
      <c r="Y168" s="123">
        <f t="shared" si="47"/>
        <v>1</v>
      </c>
      <c r="Z168" s="123">
        <f t="shared" si="47"/>
        <v>1</v>
      </c>
      <c r="AA168" s="123">
        <f t="shared" si="47"/>
        <v>1</v>
      </c>
      <c r="AB168" s="123">
        <f t="shared" si="47"/>
        <v>1</v>
      </c>
      <c r="AC168" s="123">
        <f t="shared" si="47"/>
        <v>1</v>
      </c>
      <c r="AD168" s="123">
        <f t="shared" si="47"/>
        <v>1</v>
      </c>
      <c r="AE168" s="123">
        <f t="shared" si="47"/>
        <v>1</v>
      </c>
      <c r="AF168" s="123">
        <f t="shared" si="47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48">AF170</f>
        <v>1</v>
      </c>
      <c r="C170" s="124">
        <v>1</v>
      </c>
      <c r="D170" s="123">
        <f t="shared" ref="D170:S177" si="49">C170</f>
        <v>1</v>
      </c>
      <c r="E170" s="123">
        <f t="shared" si="49"/>
        <v>1</v>
      </c>
      <c r="F170" s="123">
        <f t="shared" si="49"/>
        <v>1</v>
      </c>
      <c r="G170" s="123">
        <f t="shared" si="49"/>
        <v>1</v>
      </c>
      <c r="H170" s="123">
        <f t="shared" si="49"/>
        <v>1</v>
      </c>
      <c r="I170" s="123">
        <f t="shared" si="49"/>
        <v>1</v>
      </c>
      <c r="J170" s="123">
        <f t="shared" si="49"/>
        <v>1</v>
      </c>
      <c r="K170" s="123">
        <f t="shared" si="49"/>
        <v>1</v>
      </c>
      <c r="L170" s="123">
        <f t="shared" si="49"/>
        <v>1</v>
      </c>
      <c r="M170" s="123">
        <f t="shared" si="49"/>
        <v>1</v>
      </c>
      <c r="N170" s="123">
        <f t="shared" si="49"/>
        <v>1</v>
      </c>
      <c r="O170" s="123">
        <f t="shared" si="49"/>
        <v>1</v>
      </c>
      <c r="P170" s="123">
        <f t="shared" si="49"/>
        <v>1</v>
      </c>
      <c r="Q170" s="123">
        <f t="shared" si="49"/>
        <v>1</v>
      </c>
      <c r="R170" s="123">
        <f t="shared" si="49"/>
        <v>1</v>
      </c>
      <c r="S170" s="123">
        <f t="shared" si="49"/>
        <v>1</v>
      </c>
      <c r="T170" s="123">
        <f t="shared" ref="S170:AF177" si="50">S170</f>
        <v>1</v>
      </c>
      <c r="U170" s="123">
        <f t="shared" si="50"/>
        <v>1</v>
      </c>
      <c r="V170" s="123">
        <f t="shared" si="50"/>
        <v>1</v>
      </c>
      <c r="W170" s="123">
        <f t="shared" si="50"/>
        <v>1</v>
      </c>
      <c r="X170" s="123">
        <f t="shared" si="50"/>
        <v>1</v>
      </c>
      <c r="Y170" s="123">
        <f t="shared" si="50"/>
        <v>1</v>
      </c>
      <c r="Z170" s="123">
        <f t="shared" si="50"/>
        <v>1</v>
      </c>
      <c r="AA170" s="123">
        <f t="shared" si="50"/>
        <v>1</v>
      </c>
      <c r="AB170" s="123">
        <f t="shared" si="50"/>
        <v>1</v>
      </c>
      <c r="AC170" s="123">
        <f t="shared" si="50"/>
        <v>1</v>
      </c>
      <c r="AD170" s="123">
        <f t="shared" si="50"/>
        <v>1</v>
      </c>
      <c r="AE170" s="123">
        <f t="shared" si="50"/>
        <v>1</v>
      </c>
      <c r="AF170" s="123">
        <f t="shared" si="50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48"/>
        <v>0.42</v>
      </c>
      <c r="C171" s="124">
        <v>0.42</v>
      </c>
      <c r="D171" s="123">
        <f t="shared" si="49"/>
        <v>0.42</v>
      </c>
      <c r="E171" s="123">
        <f t="shared" si="49"/>
        <v>0.42</v>
      </c>
      <c r="F171" s="123">
        <f t="shared" si="49"/>
        <v>0.42</v>
      </c>
      <c r="G171" s="123">
        <f t="shared" si="49"/>
        <v>0.42</v>
      </c>
      <c r="H171" s="123">
        <f t="shared" si="49"/>
        <v>0.42</v>
      </c>
      <c r="I171" s="123">
        <f t="shared" si="49"/>
        <v>0.42</v>
      </c>
      <c r="J171" s="123">
        <f t="shared" si="49"/>
        <v>0.42</v>
      </c>
      <c r="K171" s="123">
        <f t="shared" si="49"/>
        <v>0.42</v>
      </c>
      <c r="L171" s="123">
        <f t="shared" si="49"/>
        <v>0.42</v>
      </c>
      <c r="M171" s="123">
        <f t="shared" si="49"/>
        <v>0.42</v>
      </c>
      <c r="N171" s="123">
        <f t="shared" si="49"/>
        <v>0.42</v>
      </c>
      <c r="O171" s="123">
        <f t="shared" si="49"/>
        <v>0.42</v>
      </c>
      <c r="P171" s="123">
        <f t="shared" si="49"/>
        <v>0.42</v>
      </c>
      <c r="Q171" s="123">
        <f t="shared" si="49"/>
        <v>0.42</v>
      </c>
      <c r="R171" s="123">
        <f t="shared" si="49"/>
        <v>0.42</v>
      </c>
      <c r="S171" s="123">
        <f t="shared" si="50"/>
        <v>0.42</v>
      </c>
      <c r="T171" s="123">
        <f t="shared" si="50"/>
        <v>0.42</v>
      </c>
      <c r="U171" s="123">
        <f t="shared" si="50"/>
        <v>0.42</v>
      </c>
      <c r="V171" s="123">
        <f t="shared" si="50"/>
        <v>0.42</v>
      </c>
      <c r="W171" s="123">
        <f t="shared" si="50"/>
        <v>0.42</v>
      </c>
      <c r="X171" s="123">
        <f t="shared" si="50"/>
        <v>0.42</v>
      </c>
      <c r="Y171" s="123">
        <f t="shared" si="50"/>
        <v>0.42</v>
      </c>
      <c r="Z171" s="123">
        <f t="shared" si="50"/>
        <v>0.42</v>
      </c>
      <c r="AA171" s="123">
        <f t="shared" si="50"/>
        <v>0.42</v>
      </c>
      <c r="AB171" s="123">
        <f t="shared" si="50"/>
        <v>0.42</v>
      </c>
      <c r="AC171" s="123">
        <f t="shared" si="50"/>
        <v>0.42</v>
      </c>
      <c r="AD171" s="123">
        <f t="shared" si="50"/>
        <v>0.42</v>
      </c>
      <c r="AE171" s="123">
        <f t="shared" si="50"/>
        <v>0.42</v>
      </c>
      <c r="AF171" s="123">
        <f t="shared" si="50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48"/>
        <v>0.46</v>
      </c>
      <c r="C172" s="124">
        <v>0.46</v>
      </c>
      <c r="D172" s="123">
        <f t="shared" si="49"/>
        <v>0.46</v>
      </c>
      <c r="E172" s="123">
        <f t="shared" si="49"/>
        <v>0.46</v>
      </c>
      <c r="F172" s="123">
        <f t="shared" si="49"/>
        <v>0.46</v>
      </c>
      <c r="G172" s="123">
        <f t="shared" si="49"/>
        <v>0.46</v>
      </c>
      <c r="H172" s="123">
        <f t="shared" si="49"/>
        <v>0.46</v>
      </c>
      <c r="I172" s="123">
        <f t="shared" si="49"/>
        <v>0.46</v>
      </c>
      <c r="J172" s="123">
        <f t="shared" si="49"/>
        <v>0.46</v>
      </c>
      <c r="K172" s="123">
        <f t="shared" si="49"/>
        <v>0.46</v>
      </c>
      <c r="L172" s="123">
        <f t="shared" si="49"/>
        <v>0.46</v>
      </c>
      <c r="M172" s="123">
        <f t="shared" si="49"/>
        <v>0.46</v>
      </c>
      <c r="N172" s="123">
        <f t="shared" si="49"/>
        <v>0.46</v>
      </c>
      <c r="O172" s="123">
        <f t="shared" si="49"/>
        <v>0.46</v>
      </c>
      <c r="P172" s="123">
        <f t="shared" si="49"/>
        <v>0.46</v>
      </c>
      <c r="Q172" s="123">
        <f t="shared" si="49"/>
        <v>0.46</v>
      </c>
      <c r="R172" s="123">
        <f t="shared" si="49"/>
        <v>0.46</v>
      </c>
      <c r="S172" s="123">
        <f t="shared" si="50"/>
        <v>0.46</v>
      </c>
      <c r="T172" s="123">
        <f t="shared" si="50"/>
        <v>0.46</v>
      </c>
      <c r="U172" s="123">
        <f t="shared" si="50"/>
        <v>0.46</v>
      </c>
      <c r="V172" s="123">
        <f t="shared" si="50"/>
        <v>0.46</v>
      </c>
      <c r="W172" s="123">
        <f t="shared" si="50"/>
        <v>0.46</v>
      </c>
      <c r="X172" s="123">
        <f t="shared" si="50"/>
        <v>0.46</v>
      </c>
      <c r="Y172" s="123">
        <f t="shared" si="50"/>
        <v>0.46</v>
      </c>
      <c r="Z172" s="123">
        <f t="shared" si="50"/>
        <v>0.46</v>
      </c>
      <c r="AA172" s="123">
        <f t="shared" si="50"/>
        <v>0.46</v>
      </c>
      <c r="AB172" s="123">
        <f t="shared" si="50"/>
        <v>0.46</v>
      </c>
      <c r="AC172" s="123">
        <f t="shared" si="50"/>
        <v>0.46</v>
      </c>
      <c r="AD172" s="123">
        <f t="shared" si="50"/>
        <v>0.46</v>
      </c>
      <c r="AE172" s="123">
        <f t="shared" si="50"/>
        <v>0.46</v>
      </c>
      <c r="AF172" s="123">
        <f t="shared" si="50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48"/>
        <v>0.85</v>
      </c>
      <c r="C173" s="124">
        <v>0.85</v>
      </c>
      <c r="D173" s="123">
        <f t="shared" si="49"/>
        <v>0.85</v>
      </c>
      <c r="E173" s="123">
        <f t="shared" si="49"/>
        <v>0.85</v>
      </c>
      <c r="F173" s="123">
        <f t="shared" si="49"/>
        <v>0.85</v>
      </c>
      <c r="G173" s="123">
        <f t="shared" si="49"/>
        <v>0.85</v>
      </c>
      <c r="H173" s="123">
        <f t="shared" si="49"/>
        <v>0.85</v>
      </c>
      <c r="I173" s="123">
        <f t="shared" si="49"/>
        <v>0.85</v>
      </c>
      <c r="J173" s="123">
        <f t="shared" si="49"/>
        <v>0.85</v>
      </c>
      <c r="K173" s="123">
        <f t="shared" si="49"/>
        <v>0.85</v>
      </c>
      <c r="L173" s="123">
        <f t="shared" si="49"/>
        <v>0.85</v>
      </c>
      <c r="M173" s="123">
        <f t="shared" si="49"/>
        <v>0.85</v>
      </c>
      <c r="N173" s="123">
        <f t="shared" si="49"/>
        <v>0.85</v>
      </c>
      <c r="O173" s="123">
        <f t="shared" si="49"/>
        <v>0.85</v>
      </c>
      <c r="P173" s="123">
        <f t="shared" si="49"/>
        <v>0.85</v>
      </c>
      <c r="Q173" s="123">
        <f t="shared" si="49"/>
        <v>0.85</v>
      </c>
      <c r="R173" s="123">
        <f t="shared" si="49"/>
        <v>0.85</v>
      </c>
      <c r="S173" s="123">
        <f t="shared" si="50"/>
        <v>0.85</v>
      </c>
      <c r="T173" s="123">
        <f t="shared" si="50"/>
        <v>0.85</v>
      </c>
      <c r="U173" s="123">
        <f t="shared" si="50"/>
        <v>0.85</v>
      </c>
      <c r="V173" s="123">
        <f t="shared" si="50"/>
        <v>0.85</v>
      </c>
      <c r="W173" s="123">
        <f t="shared" si="50"/>
        <v>0.85</v>
      </c>
      <c r="X173" s="123">
        <f t="shared" si="50"/>
        <v>0.85</v>
      </c>
      <c r="Y173" s="123">
        <f t="shared" si="50"/>
        <v>0.85</v>
      </c>
      <c r="Z173" s="123">
        <f t="shared" si="50"/>
        <v>0.85</v>
      </c>
      <c r="AA173" s="123">
        <f t="shared" si="50"/>
        <v>0.85</v>
      </c>
      <c r="AB173" s="123">
        <f t="shared" si="50"/>
        <v>0.85</v>
      </c>
      <c r="AC173" s="123">
        <f t="shared" si="50"/>
        <v>0.85</v>
      </c>
      <c r="AD173" s="123">
        <f t="shared" si="50"/>
        <v>0.85</v>
      </c>
      <c r="AE173" s="123">
        <f t="shared" si="50"/>
        <v>0.85</v>
      </c>
      <c r="AF173" s="123">
        <f t="shared" si="50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48"/>
        <v>0.9</v>
      </c>
      <c r="C174" s="124">
        <v>0.9</v>
      </c>
      <c r="D174" s="123">
        <f t="shared" si="49"/>
        <v>0.9</v>
      </c>
      <c r="E174" s="123">
        <f t="shared" si="49"/>
        <v>0.9</v>
      </c>
      <c r="F174" s="123">
        <f t="shared" si="49"/>
        <v>0.9</v>
      </c>
      <c r="G174" s="123">
        <f t="shared" si="49"/>
        <v>0.9</v>
      </c>
      <c r="H174" s="123">
        <f t="shared" si="49"/>
        <v>0.9</v>
      </c>
      <c r="I174" s="123">
        <f t="shared" si="49"/>
        <v>0.9</v>
      </c>
      <c r="J174" s="123">
        <f t="shared" si="49"/>
        <v>0.9</v>
      </c>
      <c r="K174" s="123">
        <f t="shared" si="49"/>
        <v>0.9</v>
      </c>
      <c r="L174" s="123">
        <f t="shared" si="49"/>
        <v>0.9</v>
      </c>
      <c r="M174" s="123">
        <f t="shared" si="49"/>
        <v>0.9</v>
      </c>
      <c r="N174" s="123">
        <f t="shared" si="49"/>
        <v>0.9</v>
      </c>
      <c r="O174" s="123">
        <f t="shared" si="49"/>
        <v>0.9</v>
      </c>
      <c r="P174" s="123">
        <f t="shared" si="49"/>
        <v>0.9</v>
      </c>
      <c r="Q174" s="123">
        <f t="shared" si="49"/>
        <v>0.9</v>
      </c>
      <c r="R174" s="123">
        <f t="shared" si="49"/>
        <v>0.9</v>
      </c>
      <c r="S174" s="123">
        <f t="shared" si="50"/>
        <v>0.9</v>
      </c>
      <c r="T174" s="123">
        <f t="shared" si="50"/>
        <v>0.9</v>
      </c>
      <c r="U174" s="123">
        <f t="shared" si="50"/>
        <v>0.9</v>
      </c>
      <c r="V174" s="123">
        <f t="shared" si="50"/>
        <v>0.9</v>
      </c>
      <c r="W174" s="123">
        <f t="shared" si="50"/>
        <v>0.9</v>
      </c>
      <c r="X174" s="123">
        <f t="shared" si="50"/>
        <v>0.9</v>
      </c>
      <c r="Y174" s="123">
        <f t="shared" si="50"/>
        <v>0.9</v>
      </c>
      <c r="Z174" s="123">
        <f t="shared" si="50"/>
        <v>0.9</v>
      </c>
      <c r="AA174" s="123">
        <f t="shared" si="50"/>
        <v>0.9</v>
      </c>
      <c r="AB174" s="123">
        <f t="shared" si="50"/>
        <v>0.9</v>
      </c>
      <c r="AC174" s="123">
        <f t="shared" si="50"/>
        <v>0.9</v>
      </c>
      <c r="AD174" s="123">
        <f t="shared" si="50"/>
        <v>0.9</v>
      </c>
      <c r="AE174" s="123">
        <f t="shared" si="50"/>
        <v>0.9</v>
      </c>
      <c r="AF174" s="123">
        <f t="shared" si="50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48"/>
        <v>0.44</v>
      </c>
      <c r="C175" s="124">
        <v>0.44</v>
      </c>
      <c r="D175" s="123">
        <f t="shared" si="49"/>
        <v>0.44</v>
      </c>
      <c r="E175" s="123">
        <f t="shared" si="49"/>
        <v>0.44</v>
      </c>
      <c r="F175" s="123">
        <f t="shared" si="49"/>
        <v>0.44</v>
      </c>
      <c r="G175" s="123">
        <f t="shared" si="49"/>
        <v>0.44</v>
      </c>
      <c r="H175" s="123">
        <f t="shared" si="49"/>
        <v>0.44</v>
      </c>
      <c r="I175" s="123">
        <f t="shared" si="49"/>
        <v>0.44</v>
      </c>
      <c r="J175" s="123">
        <f t="shared" si="49"/>
        <v>0.44</v>
      </c>
      <c r="K175" s="123">
        <f t="shared" si="49"/>
        <v>0.44</v>
      </c>
      <c r="L175" s="123">
        <f t="shared" si="49"/>
        <v>0.44</v>
      </c>
      <c r="M175" s="123">
        <f t="shared" si="49"/>
        <v>0.44</v>
      </c>
      <c r="N175" s="123">
        <f t="shared" si="49"/>
        <v>0.44</v>
      </c>
      <c r="O175" s="123">
        <f t="shared" si="49"/>
        <v>0.44</v>
      </c>
      <c r="P175" s="123">
        <f t="shared" si="49"/>
        <v>0.44</v>
      </c>
      <c r="Q175" s="123">
        <f t="shared" si="49"/>
        <v>0.44</v>
      </c>
      <c r="R175" s="123">
        <f t="shared" si="49"/>
        <v>0.44</v>
      </c>
      <c r="S175" s="123">
        <f t="shared" si="50"/>
        <v>0.44</v>
      </c>
      <c r="T175" s="123">
        <f t="shared" si="50"/>
        <v>0.44</v>
      </c>
      <c r="U175" s="123">
        <f t="shared" si="50"/>
        <v>0.44</v>
      </c>
      <c r="V175" s="123">
        <f t="shared" si="50"/>
        <v>0.44</v>
      </c>
      <c r="W175" s="123">
        <f t="shared" si="50"/>
        <v>0.44</v>
      </c>
      <c r="X175" s="123">
        <f t="shared" si="50"/>
        <v>0.44</v>
      </c>
      <c r="Y175" s="123">
        <f t="shared" si="50"/>
        <v>0.44</v>
      </c>
      <c r="Z175" s="123">
        <f t="shared" si="50"/>
        <v>0.44</v>
      </c>
      <c r="AA175" s="123">
        <f t="shared" si="50"/>
        <v>0.44</v>
      </c>
      <c r="AB175" s="123">
        <f t="shared" si="50"/>
        <v>0.44</v>
      </c>
      <c r="AC175" s="123">
        <f t="shared" si="50"/>
        <v>0.44</v>
      </c>
      <c r="AD175" s="123">
        <f t="shared" si="50"/>
        <v>0.44</v>
      </c>
      <c r="AE175" s="123">
        <f t="shared" si="50"/>
        <v>0.44</v>
      </c>
      <c r="AF175" s="123">
        <f t="shared" si="50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48"/>
        <v>2.1</v>
      </c>
      <c r="C176" s="124">
        <v>2.1</v>
      </c>
      <c r="D176" s="123">
        <f t="shared" si="49"/>
        <v>2.1</v>
      </c>
      <c r="E176" s="123">
        <f t="shared" si="49"/>
        <v>2.1</v>
      </c>
      <c r="F176" s="123">
        <f t="shared" si="49"/>
        <v>2.1</v>
      </c>
      <c r="G176" s="123">
        <f t="shared" si="49"/>
        <v>2.1</v>
      </c>
      <c r="H176" s="123">
        <f t="shared" si="49"/>
        <v>2.1</v>
      </c>
      <c r="I176" s="123">
        <f t="shared" si="49"/>
        <v>2.1</v>
      </c>
      <c r="J176" s="123">
        <f t="shared" si="49"/>
        <v>2.1</v>
      </c>
      <c r="K176" s="123">
        <f t="shared" si="49"/>
        <v>2.1</v>
      </c>
      <c r="L176" s="123">
        <f t="shared" si="49"/>
        <v>2.1</v>
      </c>
      <c r="M176" s="123">
        <f t="shared" si="49"/>
        <v>2.1</v>
      </c>
      <c r="N176" s="123">
        <f t="shared" si="49"/>
        <v>2.1</v>
      </c>
      <c r="O176" s="123">
        <f t="shared" si="49"/>
        <v>2.1</v>
      </c>
      <c r="P176" s="123">
        <f t="shared" si="49"/>
        <v>2.1</v>
      </c>
      <c r="Q176" s="123">
        <f t="shared" si="49"/>
        <v>2.1</v>
      </c>
      <c r="R176" s="123">
        <f t="shared" si="49"/>
        <v>2.1</v>
      </c>
      <c r="S176" s="123">
        <f t="shared" si="50"/>
        <v>2.1</v>
      </c>
      <c r="T176" s="123">
        <f t="shared" si="50"/>
        <v>2.1</v>
      </c>
      <c r="U176" s="123">
        <f t="shared" si="50"/>
        <v>2.1</v>
      </c>
      <c r="V176" s="123">
        <f t="shared" si="50"/>
        <v>2.1</v>
      </c>
      <c r="W176" s="123">
        <f t="shared" si="50"/>
        <v>2.1</v>
      </c>
      <c r="X176" s="123">
        <f t="shared" si="50"/>
        <v>2.1</v>
      </c>
      <c r="Y176" s="123">
        <f t="shared" si="50"/>
        <v>2.1</v>
      </c>
      <c r="Z176" s="123">
        <f t="shared" si="50"/>
        <v>2.1</v>
      </c>
      <c r="AA176" s="123">
        <f t="shared" si="50"/>
        <v>2.1</v>
      </c>
      <c r="AB176" s="123">
        <f t="shared" si="50"/>
        <v>2.1</v>
      </c>
      <c r="AC176" s="123">
        <f t="shared" si="50"/>
        <v>2.1</v>
      </c>
      <c r="AD176" s="123">
        <f t="shared" si="50"/>
        <v>2.1</v>
      </c>
      <c r="AE176" s="123">
        <f t="shared" si="50"/>
        <v>2.1</v>
      </c>
      <c r="AF176" s="123">
        <f t="shared" si="50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48"/>
        <v>0.9</v>
      </c>
      <c r="C177" s="124">
        <v>0.9</v>
      </c>
      <c r="D177" s="123">
        <f t="shared" si="49"/>
        <v>0.9</v>
      </c>
      <c r="E177" s="123">
        <f t="shared" si="49"/>
        <v>0.9</v>
      </c>
      <c r="F177" s="123">
        <f t="shared" si="49"/>
        <v>0.9</v>
      </c>
      <c r="G177" s="123">
        <f t="shared" si="49"/>
        <v>0.9</v>
      </c>
      <c r="H177" s="123">
        <f t="shared" si="49"/>
        <v>0.9</v>
      </c>
      <c r="I177" s="123">
        <f t="shared" si="49"/>
        <v>0.9</v>
      </c>
      <c r="J177" s="123">
        <f t="shared" si="49"/>
        <v>0.9</v>
      </c>
      <c r="K177" s="123">
        <f t="shared" si="49"/>
        <v>0.9</v>
      </c>
      <c r="L177" s="123">
        <f t="shared" si="49"/>
        <v>0.9</v>
      </c>
      <c r="M177" s="123">
        <f t="shared" si="49"/>
        <v>0.9</v>
      </c>
      <c r="N177" s="123">
        <f t="shared" si="49"/>
        <v>0.9</v>
      </c>
      <c r="O177" s="123">
        <f t="shared" si="49"/>
        <v>0.9</v>
      </c>
      <c r="P177" s="123">
        <f t="shared" si="49"/>
        <v>0.9</v>
      </c>
      <c r="Q177" s="123">
        <f t="shared" si="49"/>
        <v>0.9</v>
      </c>
      <c r="R177" s="123">
        <f t="shared" si="49"/>
        <v>0.9</v>
      </c>
      <c r="S177" s="123">
        <f t="shared" si="50"/>
        <v>0.9</v>
      </c>
      <c r="T177" s="123">
        <f t="shared" si="50"/>
        <v>0.9</v>
      </c>
      <c r="U177" s="123">
        <f t="shared" si="50"/>
        <v>0.9</v>
      </c>
      <c r="V177" s="123">
        <f t="shared" si="50"/>
        <v>0.9</v>
      </c>
      <c r="W177" s="123">
        <f t="shared" si="50"/>
        <v>0.9</v>
      </c>
      <c r="X177" s="123">
        <f t="shared" si="50"/>
        <v>0.9</v>
      </c>
      <c r="Y177" s="123">
        <f t="shared" si="50"/>
        <v>0.9</v>
      </c>
      <c r="Z177" s="123">
        <f t="shared" si="50"/>
        <v>0.9</v>
      </c>
      <c r="AA177" s="123">
        <f t="shared" si="50"/>
        <v>0.9</v>
      </c>
      <c r="AB177" s="123">
        <f t="shared" si="50"/>
        <v>0.9</v>
      </c>
      <c r="AC177" s="123">
        <f t="shared" si="50"/>
        <v>0.9</v>
      </c>
      <c r="AD177" s="123">
        <f t="shared" si="50"/>
        <v>0.9</v>
      </c>
      <c r="AE177" s="123">
        <f t="shared" si="50"/>
        <v>0.9</v>
      </c>
      <c r="AF177" s="123">
        <f t="shared" si="50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1">AF179</f>
        <v>0.57999999999999996</v>
      </c>
      <c r="C179" s="124">
        <v>0.57999999999999996</v>
      </c>
      <c r="D179" s="123">
        <f t="shared" ref="D179:S191" si="52">C179</f>
        <v>0.57999999999999996</v>
      </c>
      <c r="E179" s="123">
        <f t="shared" si="52"/>
        <v>0.57999999999999996</v>
      </c>
      <c r="F179" s="123">
        <f t="shared" si="52"/>
        <v>0.57999999999999996</v>
      </c>
      <c r="G179" s="123">
        <f t="shared" si="52"/>
        <v>0.57999999999999996</v>
      </c>
      <c r="H179" s="123">
        <f t="shared" si="52"/>
        <v>0.57999999999999996</v>
      </c>
      <c r="I179" s="123">
        <f t="shared" si="52"/>
        <v>0.57999999999999996</v>
      </c>
      <c r="J179" s="123">
        <f t="shared" si="52"/>
        <v>0.57999999999999996</v>
      </c>
      <c r="K179" s="123">
        <f t="shared" si="52"/>
        <v>0.57999999999999996</v>
      </c>
      <c r="L179" s="123">
        <f t="shared" si="52"/>
        <v>0.57999999999999996</v>
      </c>
      <c r="M179" s="123">
        <f t="shared" si="52"/>
        <v>0.57999999999999996</v>
      </c>
      <c r="N179" s="123">
        <f t="shared" si="52"/>
        <v>0.57999999999999996</v>
      </c>
      <c r="O179" s="123">
        <f t="shared" si="52"/>
        <v>0.57999999999999996</v>
      </c>
      <c r="P179" s="123">
        <f t="shared" si="52"/>
        <v>0.57999999999999996</v>
      </c>
      <c r="Q179" s="123">
        <f t="shared" si="52"/>
        <v>0.57999999999999996</v>
      </c>
      <c r="R179" s="123">
        <f t="shared" si="52"/>
        <v>0.57999999999999996</v>
      </c>
      <c r="S179" s="123">
        <f t="shared" si="52"/>
        <v>0.57999999999999996</v>
      </c>
      <c r="T179" s="123">
        <f t="shared" ref="S179:AF191" si="53">S179</f>
        <v>0.57999999999999996</v>
      </c>
      <c r="U179" s="123">
        <f t="shared" si="53"/>
        <v>0.57999999999999996</v>
      </c>
      <c r="V179" s="123">
        <f t="shared" si="53"/>
        <v>0.57999999999999996</v>
      </c>
      <c r="W179" s="123">
        <f t="shared" si="53"/>
        <v>0.57999999999999996</v>
      </c>
      <c r="X179" s="123">
        <f t="shared" si="53"/>
        <v>0.57999999999999996</v>
      </c>
      <c r="Y179" s="123">
        <f t="shared" si="53"/>
        <v>0.57999999999999996</v>
      </c>
      <c r="Z179" s="123">
        <f t="shared" si="53"/>
        <v>0.57999999999999996</v>
      </c>
      <c r="AA179" s="123">
        <f t="shared" si="53"/>
        <v>0.57999999999999996</v>
      </c>
      <c r="AB179" s="123">
        <f t="shared" si="53"/>
        <v>0.57999999999999996</v>
      </c>
      <c r="AC179" s="123">
        <f t="shared" si="53"/>
        <v>0.57999999999999996</v>
      </c>
      <c r="AD179" s="123">
        <f t="shared" si="53"/>
        <v>0.57999999999999996</v>
      </c>
      <c r="AE179" s="123">
        <f t="shared" si="53"/>
        <v>0.57999999999999996</v>
      </c>
      <c r="AF179" s="123">
        <f t="shared" si="53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1"/>
        <v>0.8</v>
      </c>
      <c r="C180" s="124">
        <v>0.8</v>
      </c>
      <c r="D180" s="123">
        <f t="shared" si="52"/>
        <v>0.8</v>
      </c>
      <c r="E180" s="123">
        <f t="shared" si="52"/>
        <v>0.8</v>
      </c>
      <c r="F180" s="123">
        <f t="shared" si="52"/>
        <v>0.8</v>
      </c>
      <c r="G180" s="123">
        <f t="shared" si="52"/>
        <v>0.8</v>
      </c>
      <c r="H180" s="123">
        <f t="shared" si="52"/>
        <v>0.8</v>
      </c>
      <c r="I180" s="123">
        <f t="shared" si="52"/>
        <v>0.8</v>
      </c>
      <c r="J180" s="123">
        <f t="shared" si="52"/>
        <v>0.8</v>
      </c>
      <c r="K180" s="123">
        <f t="shared" si="52"/>
        <v>0.8</v>
      </c>
      <c r="L180" s="123">
        <f t="shared" si="52"/>
        <v>0.8</v>
      </c>
      <c r="M180" s="123">
        <f t="shared" si="52"/>
        <v>0.8</v>
      </c>
      <c r="N180" s="123">
        <f t="shared" si="52"/>
        <v>0.8</v>
      </c>
      <c r="O180" s="123">
        <f t="shared" si="52"/>
        <v>0.8</v>
      </c>
      <c r="P180" s="123">
        <f t="shared" si="52"/>
        <v>0.8</v>
      </c>
      <c r="Q180" s="123">
        <f t="shared" si="52"/>
        <v>0.8</v>
      </c>
      <c r="R180" s="123">
        <f t="shared" si="52"/>
        <v>0.8</v>
      </c>
      <c r="S180" s="123">
        <f t="shared" si="52"/>
        <v>0.8</v>
      </c>
      <c r="T180" s="123">
        <f t="shared" si="53"/>
        <v>0.8</v>
      </c>
      <c r="U180" s="123">
        <f t="shared" si="53"/>
        <v>0.8</v>
      </c>
      <c r="V180" s="123">
        <f t="shared" si="53"/>
        <v>0.8</v>
      </c>
      <c r="W180" s="123">
        <f t="shared" si="53"/>
        <v>0.8</v>
      </c>
      <c r="X180" s="123">
        <f t="shared" si="53"/>
        <v>0.8</v>
      </c>
      <c r="Y180" s="123">
        <f t="shared" si="53"/>
        <v>0.8</v>
      </c>
      <c r="Z180" s="123">
        <f t="shared" si="53"/>
        <v>0.8</v>
      </c>
      <c r="AA180" s="123">
        <f t="shared" si="53"/>
        <v>0.8</v>
      </c>
      <c r="AB180" s="123">
        <f t="shared" si="53"/>
        <v>0.8</v>
      </c>
      <c r="AC180" s="123">
        <f t="shared" si="53"/>
        <v>0.8</v>
      </c>
      <c r="AD180" s="123">
        <f t="shared" si="53"/>
        <v>0.8</v>
      </c>
      <c r="AE180" s="123">
        <f t="shared" si="53"/>
        <v>0.8</v>
      </c>
      <c r="AF180" s="123">
        <f t="shared" si="53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1"/>
        <v>0</v>
      </c>
      <c r="C181" s="124">
        <v>0</v>
      </c>
      <c r="D181" s="123">
        <f t="shared" si="52"/>
        <v>0</v>
      </c>
      <c r="E181" s="123">
        <f t="shared" si="52"/>
        <v>0</v>
      </c>
      <c r="F181" s="123">
        <f t="shared" si="52"/>
        <v>0</v>
      </c>
      <c r="G181" s="123">
        <f t="shared" si="52"/>
        <v>0</v>
      </c>
      <c r="H181" s="123">
        <f t="shared" si="52"/>
        <v>0</v>
      </c>
      <c r="I181" s="123">
        <f t="shared" si="52"/>
        <v>0</v>
      </c>
      <c r="J181" s="123">
        <f t="shared" si="52"/>
        <v>0</v>
      </c>
      <c r="K181" s="123">
        <f t="shared" si="52"/>
        <v>0</v>
      </c>
      <c r="L181" s="123">
        <f t="shared" si="52"/>
        <v>0</v>
      </c>
      <c r="M181" s="123">
        <f t="shared" si="52"/>
        <v>0</v>
      </c>
      <c r="N181" s="123">
        <f t="shared" si="52"/>
        <v>0</v>
      </c>
      <c r="O181" s="123">
        <f t="shared" si="52"/>
        <v>0</v>
      </c>
      <c r="P181" s="123">
        <f t="shared" si="52"/>
        <v>0</v>
      </c>
      <c r="Q181" s="123">
        <f t="shared" si="52"/>
        <v>0</v>
      </c>
      <c r="R181" s="123">
        <f t="shared" si="52"/>
        <v>0</v>
      </c>
      <c r="S181" s="123">
        <f t="shared" si="52"/>
        <v>0</v>
      </c>
      <c r="T181" s="123">
        <f t="shared" si="53"/>
        <v>0</v>
      </c>
      <c r="U181" s="123">
        <f t="shared" si="53"/>
        <v>0</v>
      </c>
      <c r="V181" s="123">
        <f t="shared" si="53"/>
        <v>0</v>
      </c>
      <c r="W181" s="123">
        <f t="shared" si="53"/>
        <v>0</v>
      </c>
      <c r="X181" s="123">
        <f t="shared" si="53"/>
        <v>0</v>
      </c>
      <c r="Y181" s="123">
        <f t="shared" si="53"/>
        <v>0</v>
      </c>
      <c r="Z181" s="123">
        <f t="shared" si="53"/>
        <v>0</v>
      </c>
      <c r="AA181" s="123">
        <f t="shared" si="53"/>
        <v>0</v>
      </c>
      <c r="AB181" s="123">
        <f t="shared" si="53"/>
        <v>0</v>
      </c>
      <c r="AC181" s="123">
        <f t="shared" si="53"/>
        <v>0</v>
      </c>
      <c r="AD181" s="123">
        <f t="shared" si="53"/>
        <v>0</v>
      </c>
      <c r="AE181" s="123">
        <f t="shared" si="53"/>
        <v>0</v>
      </c>
      <c r="AF181" s="123">
        <f t="shared" si="53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1"/>
        <v>0.6</v>
      </c>
      <c r="C182" s="124">
        <v>0.6</v>
      </c>
      <c r="D182" s="123">
        <f t="shared" si="52"/>
        <v>0.6</v>
      </c>
      <c r="E182" s="123">
        <f t="shared" si="52"/>
        <v>0.6</v>
      </c>
      <c r="F182" s="123">
        <f t="shared" si="52"/>
        <v>0.6</v>
      </c>
      <c r="G182" s="123">
        <f t="shared" si="52"/>
        <v>0.6</v>
      </c>
      <c r="H182" s="123">
        <f t="shared" si="52"/>
        <v>0.6</v>
      </c>
      <c r="I182" s="123">
        <f t="shared" si="52"/>
        <v>0.6</v>
      </c>
      <c r="J182" s="123">
        <f t="shared" si="52"/>
        <v>0.6</v>
      </c>
      <c r="K182" s="123">
        <f t="shared" si="52"/>
        <v>0.6</v>
      </c>
      <c r="L182" s="123">
        <f t="shared" si="52"/>
        <v>0.6</v>
      </c>
      <c r="M182" s="123">
        <f t="shared" si="52"/>
        <v>0.6</v>
      </c>
      <c r="N182" s="123">
        <f t="shared" si="52"/>
        <v>0.6</v>
      </c>
      <c r="O182" s="123">
        <f t="shared" si="52"/>
        <v>0.6</v>
      </c>
      <c r="P182" s="123">
        <f t="shared" si="52"/>
        <v>0.6</v>
      </c>
      <c r="Q182" s="123">
        <f t="shared" si="52"/>
        <v>0.6</v>
      </c>
      <c r="R182" s="123">
        <f t="shared" si="52"/>
        <v>0.6</v>
      </c>
      <c r="S182" s="123">
        <f t="shared" si="52"/>
        <v>0.6</v>
      </c>
      <c r="T182" s="123">
        <f t="shared" si="53"/>
        <v>0.6</v>
      </c>
      <c r="U182" s="123">
        <f t="shared" si="53"/>
        <v>0.6</v>
      </c>
      <c r="V182" s="123">
        <f t="shared" si="53"/>
        <v>0.6</v>
      </c>
      <c r="W182" s="123">
        <f t="shared" si="53"/>
        <v>0.6</v>
      </c>
      <c r="X182" s="123">
        <f t="shared" si="53"/>
        <v>0.6</v>
      </c>
      <c r="Y182" s="123">
        <f t="shared" si="53"/>
        <v>0.6</v>
      </c>
      <c r="Z182" s="123">
        <f t="shared" si="53"/>
        <v>0.6</v>
      </c>
      <c r="AA182" s="123">
        <f t="shared" si="53"/>
        <v>0.6</v>
      </c>
      <c r="AB182" s="123">
        <f t="shared" si="53"/>
        <v>0.6</v>
      </c>
      <c r="AC182" s="123">
        <f t="shared" si="53"/>
        <v>0.6</v>
      </c>
      <c r="AD182" s="123">
        <f t="shared" si="53"/>
        <v>0.6</v>
      </c>
      <c r="AE182" s="123">
        <f t="shared" si="53"/>
        <v>0.6</v>
      </c>
      <c r="AF182" s="123">
        <f t="shared" si="53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1"/>
        <v>0.6</v>
      </c>
      <c r="C183" s="124">
        <v>0.6</v>
      </c>
      <c r="D183" s="123">
        <f t="shared" si="52"/>
        <v>0.6</v>
      </c>
      <c r="E183" s="123">
        <f t="shared" si="52"/>
        <v>0.6</v>
      </c>
      <c r="F183" s="123">
        <f t="shared" si="52"/>
        <v>0.6</v>
      </c>
      <c r="G183" s="123">
        <f t="shared" si="52"/>
        <v>0.6</v>
      </c>
      <c r="H183" s="123">
        <f t="shared" si="52"/>
        <v>0.6</v>
      </c>
      <c r="I183" s="123">
        <f t="shared" si="52"/>
        <v>0.6</v>
      </c>
      <c r="J183" s="123">
        <f t="shared" si="52"/>
        <v>0.6</v>
      </c>
      <c r="K183" s="123">
        <f t="shared" si="52"/>
        <v>0.6</v>
      </c>
      <c r="L183" s="123">
        <f t="shared" si="52"/>
        <v>0.6</v>
      </c>
      <c r="M183" s="123">
        <f t="shared" si="52"/>
        <v>0.6</v>
      </c>
      <c r="N183" s="123">
        <f t="shared" si="52"/>
        <v>0.6</v>
      </c>
      <c r="O183" s="123">
        <f t="shared" si="52"/>
        <v>0.6</v>
      </c>
      <c r="P183" s="123">
        <f t="shared" si="52"/>
        <v>0.6</v>
      </c>
      <c r="Q183" s="123">
        <f t="shared" si="52"/>
        <v>0.6</v>
      </c>
      <c r="R183" s="123">
        <f t="shared" si="52"/>
        <v>0.6</v>
      </c>
      <c r="S183" s="123">
        <f t="shared" si="52"/>
        <v>0.6</v>
      </c>
      <c r="T183" s="123">
        <f t="shared" si="53"/>
        <v>0.6</v>
      </c>
      <c r="U183" s="123">
        <f t="shared" si="53"/>
        <v>0.6</v>
      </c>
      <c r="V183" s="123">
        <f t="shared" si="53"/>
        <v>0.6</v>
      </c>
      <c r="W183" s="123">
        <f t="shared" si="53"/>
        <v>0.6</v>
      </c>
      <c r="X183" s="123">
        <f t="shared" si="53"/>
        <v>0.6</v>
      </c>
      <c r="Y183" s="123">
        <f t="shared" si="53"/>
        <v>0.6</v>
      </c>
      <c r="Z183" s="123">
        <f t="shared" si="53"/>
        <v>0.6</v>
      </c>
      <c r="AA183" s="123">
        <f t="shared" si="53"/>
        <v>0.6</v>
      </c>
      <c r="AB183" s="123">
        <f t="shared" si="53"/>
        <v>0.6</v>
      </c>
      <c r="AC183" s="123">
        <f t="shared" si="53"/>
        <v>0.6</v>
      </c>
      <c r="AD183" s="123">
        <f t="shared" si="53"/>
        <v>0.6</v>
      </c>
      <c r="AE183" s="123">
        <f t="shared" si="53"/>
        <v>0.6</v>
      </c>
      <c r="AF183" s="123">
        <f t="shared" si="53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1"/>
        <v>0.35</v>
      </c>
      <c r="C184" s="124">
        <v>0.35</v>
      </c>
      <c r="D184" s="123">
        <f t="shared" si="52"/>
        <v>0.35</v>
      </c>
      <c r="E184" s="123">
        <f t="shared" si="52"/>
        <v>0.35</v>
      </c>
      <c r="F184" s="123">
        <f t="shared" si="52"/>
        <v>0.35</v>
      </c>
      <c r="G184" s="123">
        <f t="shared" si="52"/>
        <v>0.35</v>
      </c>
      <c r="H184" s="123">
        <f t="shared" si="52"/>
        <v>0.35</v>
      </c>
      <c r="I184" s="123">
        <f t="shared" si="52"/>
        <v>0.35</v>
      </c>
      <c r="J184" s="123">
        <f t="shared" si="52"/>
        <v>0.35</v>
      </c>
      <c r="K184" s="123">
        <f t="shared" si="52"/>
        <v>0.35</v>
      </c>
      <c r="L184" s="123">
        <f t="shared" si="52"/>
        <v>0.35</v>
      </c>
      <c r="M184" s="123">
        <f t="shared" si="52"/>
        <v>0.35</v>
      </c>
      <c r="N184" s="123">
        <f t="shared" si="52"/>
        <v>0.35</v>
      </c>
      <c r="O184" s="123">
        <f t="shared" si="52"/>
        <v>0.35</v>
      </c>
      <c r="P184" s="123">
        <f t="shared" si="52"/>
        <v>0.35</v>
      </c>
      <c r="Q184" s="123">
        <f t="shared" si="52"/>
        <v>0.35</v>
      </c>
      <c r="R184" s="123">
        <f t="shared" si="52"/>
        <v>0.35</v>
      </c>
      <c r="S184" s="123">
        <f t="shared" si="52"/>
        <v>0.35</v>
      </c>
      <c r="T184" s="123">
        <f t="shared" si="53"/>
        <v>0.35</v>
      </c>
      <c r="U184" s="123">
        <f t="shared" si="53"/>
        <v>0.35</v>
      </c>
      <c r="V184" s="123">
        <f t="shared" si="53"/>
        <v>0.35</v>
      </c>
      <c r="W184" s="123">
        <f t="shared" si="53"/>
        <v>0.35</v>
      </c>
      <c r="X184" s="123">
        <f t="shared" si="53"/>
        <v>0.35</v>
      </c>
      <c r="Y184" s="123">
        <f t="shared" si="53"/>
        <v>0.35</v>
      </c>
      <c r="Z184" s="123">
        <f t="shared" si="53"/>
        <v>0.35</v>
      </c>
      <c r="AA184" s="123">
        <f t="shared" si="53"/>
        <v>0.35</v>
      </c>
      <c r="AB184" s="123">
        <f t="shared" si="53"/>
        <v>0.35</v>
      </c>
      <c r="AC184" s="123">
        <f t="shared" si="53"/>
        <v>0.35</v>
      </c>
      <c r="AD184" s="123">
        <f t="shared" si="53"/>
        <v>0.35</v>
      </c>
      <c r="AE184" s="123">
        <f t="shared" si="53"/>
        <v>0.35</v>
      </c>
      <c r="AF184" s="123">
        <f t="shared" si="53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1"/>
        <v>0.28999999999999998</v>
      </c>
      <c r="C185" s="124">
        <v>0.28999999999999998</v>
      </c>
      <c r="D185" s="123">
        <f t="shared" si="52"/>
        <v>0.28999999999999998</v>
      </c>
      <c r="E185" s="123">
        <f t="shared" si="52"/>
        <v>0.28999999999999998</v>
      </c>
      <c r="F185" s="123">
        <f t="shared" si="52"/>
        <v>0.28999999999999998</v>
      </c>
      <c r="G185" s="123">
        <f t="shared" si="52"/>
        <v>0.28999999999999998</v>
      </c>
      <c r="H185" s="123">
        <f t="shared" si="52"/>
        <v>0.28999999999999998</v>
      </c>
      <c r="I185" s="123">
        <f t="shared" si="52"/>
        <v>0.28999999999999998</v>
      </c>
      <c r="J185" s="123">
        <f t="shared" si="52"/>
        <v>0.28999999999999998</v>
      </c>
      <c r="K185" s="123">
        <f t="shared" si="52"/>
        <v>0.28999999999999998</v>
      </c>
      <c r="L185" s="123">
        <f t="shared" si="52"/>
        <v>0.28999999999999998</v>
      </c>
      <c r="M185" s="123">
        <f t="shared" si="52"/>
        <v>0.28999999999999998</v>
      </c>
      <c r="N185" s="123">
        <f t="shared" si="52"/>
        <v>0.28999999999999998</v>
      </c>
      <c r="O185" s="123">
        <f t="shared" si="52"/>
        <v>0.28999999999999998</v>
      </c>
      <c r="P185" s="123">
        <f t="shared" si="52"/>
        <v>0.28999999999999998</v>
      </c>
      <c r="Q185" s="123">
        <f t="shared" si="52"/>
        <v>0.28999999999999998</v>
      </c>
      <c r="R185" s="123">
        <f t="shared" si="52"/>
        <v>0.28999999999999998</v>
      </c>
      <c r="S185" s="123">
        <f t="shared" si="52"/>
        <v>0.28999999999999998</v>
      </c>
      <c r="T185" s="123">
        <f t="shared" si="53"/>
        <v>0.28999999999999998</v>
      </c>
      <c r="U185" s="123">
        <f t="shared" si="53"/>
        <v>0.28999999999999998</v>
      </c>
      <c r="V185" s="123">
        <f t="shared" si="53"/>
        <v>0.28999999999999998</v>
      </c>
      <c r="W185" s="123">
        <f t="shared" si="53"/>
        <v>0.28999999999999998</v>
      </c>
      <c r="X185" s="123">
        <f t="shared" si="53"/>
        <v>0.28999999999999998</v>
      </c>
      <c r="Y185" s="123">
        <f t="shared" si="53"/>
        <v>0.28999999999999998</v>
      </c>
      <c r="Z185" s="123">
        <f t="shared" si="53"/>
        <v>0.28999999999999998</v>
      </c>
      <c r="AA185" s="123">
        <f t="shared" si="53"/>
        <v>0.28999999999999998</v>
      </c>
      <c r="AB185" s="123">
        <f t="shared" si="53"/>
        <v>0.28999999999999998</v>
      </c>
      <c r="AC185" s="123">
        <f t="shared" si="53"/>
        <v>0.28999999999999998</v>
      </c>
      <c r="AD185" s="123">
        <f t="shared" si="53"/>
        <v>0.28999999999999998</v>
      </c>
      <c r="AE185" s="123">
        <f t="shared" si="53"/>
        <v>0.28999999999999998</v>
      </c>
      <c r="AF185" s="123">
        <f t="shared" si="53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1"/>
        <v>0.06</v>
      </c>
      <c r="C186" s="124">
        <v>0.06</v>
      </c>
      <c r="D186" s="123">
        <f t="shared" si="52"/>
        <v>0.06</v>
      </c>
      <c r="E186" s="123">
        <f t="shared" si="52"/>
        <v>0.06</v>
      </c>
      <c r="F186" s="123">
        <f t="shared" si="52"/>
        <v>0.06</v>
      </c>
      <c r="G186" s="123">
        <f t="shared" si="52"/>
        <v>0.06</v>
      </c>
      <c r="H186" s="123">
        <f t="shared" si="52"/>
        <v>0.06</v>
      </c>
      <c r="I186" s="123">
        <f t="shared" si="52"/>
        <v>0.06</v>
      </c>
      <c r="J186" s="123">
        <f t="shared" si="52"/>
        <v>0.06</v>
      </c>
      <c r="K186" s="123">
        <f t="shared" si="52"/>
        <v>0.06</v>
      </c>
      <c r="L186" s="123">
        <f t="shared" si="52"/>
        <v>0.06</v>
      </c>
      <c r="M186" s="123">
        <f t="shared" si="52"/>
        <v>0.06</v>
      </c>
      <c r="N186" s="123">
        <f t="shared" si="52"/>
        <v>0.06</v>
      </c>
      <c r="O186" s="123">
        <f t="shared" si="52"/>
        <v>0.06</v>
      </c>
      <c r="P186" s="123">
        <f t="shared" si="52"/>
        <v>0.06</v>
      </c>
      <c r="Q186" s="123">
        <f t="shared" si="52"/>
        <v>0.06</v>
      </c>
      <c r="R186" s="123">
        <f t="shared" si="52"/>
        <v>0.06</v>
      </c>
      <c r="S186" s="123">
        <f t="shared" si="52"/>
        <v>0.06</v>
      </c>
      <c r="T186" s="123">
        <f t="shared" si="53"/>
        <v>0.06</v>
      </c>
      <c r="U186" s="123">
        <f t="shared" si="53"/>
        <v>0.06</v>
      </c>
      <c r="V186" s="123">
        <f t="shared" si="53"/>
        <v>0.06</v>
      </c>
      <c r="W186" s="123">
        <f t="shared" si="53"/>
        <v>0.06</v>
      </c>
      <c r="X186" s="123">
        <f t="shared" si="53"/>
        <v>0.06</v>
      </c>
      <c r="Y186" s="123">
        <f t="shared" si="53"/>
        <v>0.06</v>
      </c>
      <c r="Z186" s="123">
        <f t="shared" si="53"/>
        <v>0.06</v>
      </c>
      <c r="AA186" s="123">
        <f t="shared" si="53"/>
        <v>0.06</v>
      </c>
      <c r="AB186" s="123">
        <f t="shared" si="53"/>
        <v>0.06</v>
      </c>
      <c r="AC186" s="123">
        <f t="shared" si="53"/>
        <v>0.06</v>
      </c>
      <c r="AD186" s="123">
        <f t="shared" si="53"/>
        <v>0.06</v>
      </c>
      <c r="AE186" s="123">
        <f t="shared" si="53"/>
        <v>0.06</v>
      </c>
      <c r="AF186" s="123">
        <f t="shared" si="53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1"/>
        <v>0.11</v>
      </c>
      <c r="C187" s="124">
        <v>0.11</v>
      </c>
      <c r="D187" s="123">
        <f t="shared" si="52"/>
        <v>0.11</v>
      </c>
      <c r="E187" s="123">
        <f t="shared" si="52"/>
        <v>0.11</v>
      </c>
      <c r="F187" s="123">
        <f t="shared" si="52"/>
        <v>0.11</v>
      </c>
      <c r="G187" s="123">
        <f t="shared" si="52"/>
        <v>0.11</v>
      </c>
      <c r="H187" s="123">
        <f t="shared" si="52"/>
        <v>0.11</v>
      </c>
      <c r="I187" s="123">
        <f t="shared" si="52"/>
        <v>0.11</v>
      </c>
      <c r="J187" s="123">
        <f t="shared" si="52"/>
        <v>0.11</v>
      </c>
      <c r="K187" s="123">
        <f t="shared" si="52"/>
        <v>0.11</v>
      </c>
      <c r="L187" s="123">
        <f t="shared" si="52"/>
        <v>0.11</v>
      </c>
      <c r="M187" s="123">
        <f t="shared" si="52"/>
        <v>0.11</v>
      </c>
      <c r="N187" s="123">
        <f t="shared" si="52"/>
        <v>0.11</v>
      </c>
      <c r="O187" s="123">
        <f t="shared" si="52"/>
        <v>0.11</v>
      </c>
      <c r="P187" s="123">
        <f t="shared" si="52"/>
        <v>0.11</v>
      </c>
      <c r="Q187" s="123">
        <f t="shared" si="52"/>
        <v>0.11</v>
      </c>
      <c r="R187" s="123">
        <f t="shared" si="52"/>
        <v>0.11</v>
      </c>
      <c r="S187" s="123">
        <f t="shared" si="52"/>
        <v>0.11</v>
      </c>
      <c r="T187" s="123">
        <f t="shared" si="53"/>
        <v>0.11</v>
      </c>
      <c r="U187" s="123">
        <f t="shared" si="53"/>
        <v>0.11</v>
      </c>
      <c r="V187" s="123">
        <f t="shared" si="53"/>
        <v>0.11</v>
      </c>
      <c r="W187" s="123">
        <f t="shared" si="53"/>
        <v>0.11</v>
      </c>
      <c r="X187" s="123">
        <f t="shared" si="53"/>
        <v>0.11</v>
      </c>
      <c r="Y187" s="123">
        <f t="shared" si="53"/>
        <v>0.11</v>
      </c>
      <c r="Z187" s="123">
        <f t="shared" si="53"/>
        <v>0.11</v>
      </c>
      <c r="AA187" s="123">
        <f t="shared" si="53"/>
        <v>0.11</v>
      </c>
      <c r="AB187" s="123">
        <f t="shared" si="53"/>
        <v>0.11</v>
      </c>
      <c r="AC187" s="123">
        <f t="shared" si="53"/>
        <v>0.11</v>
      </c>
      <c r="AD187" s="123">
        <f t="shared" si="53"/>
        <v>0.11</v>
      </c>
      <c r="AE187" s="123">
        <f t="shared" si="53"/>
        <v>0.11</v>
      </c>
      <c r="AF187" s="123">
        <f t="shared" si="53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1"/>
        <v>0.1</v>
      </c>
      <c r="C188" s="124">
        <v>0.1</v>
      </c>
      <c r="D188" s="123">
        <f t="shared" si="52"/>
        <v>0.1</v>
      </c>
      <c r="E188" s="123">
        <f t="shared" si="52"/>
        <v>0.1</v>
      </c>
      <c r="F188" s="123">
        <f t="shared" si="52"/>
        <v>0.1</v>
      </c>
      <c r="G188" s="123">
        <f t="shared" si="52"/>
        <v>0.1</v>
      </c>
      <c r="H188" s="123">
        <f t="shared" si="52"/>
        <v>0.1</v>
      </c>
      <c r="I188" s="123">
        <f t="shared" si="52"/>
        <v>0.1</v>
      </c>
      <c r="J188" s="123">
        <f t="shared" si="52"/>
        <v>0.1</v>
      </c>
      <c r="K188" s="123">
        <f t="shared" si="52"/>
        <v>0.1</v>
      </c>
      <c r="L188" s="123">
        <f t="shared" si="52"/>
        <v>0.1</v>
      </c>
      <c r="M188" s="123">
        <f t="shared" si="52"/>
        <v>0.1</v>
      </c>
      <c r="N188" s="123">
        <f t="shared" si="52"/>
        <v>0.1</v>
      </c>
      <c r="O188" s="123">
        <f t="shared" si="52"/>
        <v>0.1</v>
      </c>
      <c r="P188" s="123">
        <f t="shared" si="52"/>
        <v>0.1</v>
      </c>
      <c r="Q188" s="123">
        <f t="shared" si="52"/>
        <v>0.1</v>
      </c>
      <c r="R188" s="123">
        <f t="shared" si="52"/>
        <v>0.1</v>
      </c>
      <c r="S188" s="123">
        <f t="shared" si="53"/>
        <v>0.1</v>
      </c>
      <c r="T188" s="123">
        <f t="shared" si="53"/>
        <v>0.1</v>
      </c>
      <c r="U188" s="123">
        <f t="shared" si="53"/>
        <v>0.1</v>
      </c>
      <c r="V188" s="123">
        <f t="shared" si="53"/>
        <v>0.1</v>
      </c>
      <c r="W188" s="123">
        <f t="shared" si="53"/>
        <v>0.1</v>
      </c>
      <c r="X188" s="123">
        <f t="shared" si="53"/>
        <v>0.1</v>
      </c>
      <c r="Y188" s="123">
        <f t="shared" si="53"/>
        <v>0.1</v>
      </c>
      <c r="Z188" s="123">
        <f t="shared" si="53"/>
        <v>0.1</v>
      </c>
      <c r="AA188" s="123">
        <f t="shared" si="53"/>
        <v>0.1</v>
      </c>
      <c r="AB188" s="123">
        <f t="shared" si="53"/>
        <v>0.1</v>
      </c>
      <c r="AC188" s="123">
        <f t="shared" si="53"/>
        <v>0.1</v>
      </c>
      <c r="AD188" s="123">
        <f t="shared" si="53"/>
        <v>0.1</v>
      </c>
      <c r="AE188" s="123">
        <f t="shared" si="53"/>
        <v>0.1</v>
      </c>
      <c r="AF188" s="123">
        <f t="shared" si="53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1"/>
        <v>0.09</v>
      </c>
      <c r="C189" s="124">
        <v>0.09</v>
      </c>
      <c r="D189" s="123">
        <f t="shared" si="52"/>
        <v>0.09</v>
      </c>
      <c r="E189" s="123">
        <f t="shared" si="52"/>
        <v>0.09</v>
      </c>
      <c r="F189" s="123">
        <f t="shared" si="52"/>
        <v>0.09</v>
      </c>
      <c r="G189" s="123">
        <f t="shared" si="52"/>
        <v>0.09</v>
      </c>
      <c r="H189" s="123">
        <f t="shared" si="52"/>
        <v>0.09</v>
      </c>
      <c r="I189" s="123">
        <f t="shared" si="52"/>
        <v>0.09</v>
      </c>
      <c r="J189" s="123">
        <f t="shared" si="52"/>
        <v>0.09</v>
      </c>
      <c r="K189" s="123">
        <f t="shared" si="52"/>
        <v>0.09</v>
      </c>
      <c r="L189" s="123">
        <f t="shared" si="52"/>
        <v>0.09</v>
      </c>
      <c r="M189" s="123">
        <f t="shared" si="52"/>
        <v>0.09</v>
      </c>
      <c r="N189" s="123">
        <f t="shared" si="52"/>
        <v>0.09</v>
      </c>
      <c r="O189" s="123">
        <f t="shared" si="52"/>
        <v>0.09</v>
      </c>
      <c r="P189" s="123">
        <f t="shared" si="52"/>
        <v>0.09</v>
      </c>
      <c r="Q189" s="123">
        <f t="shared" si="52"/>
        <v>0.09</v>
      </c>
      <c r="R189" s="123">
        <f t="shared" si="52"/>
        <v>0.09</v>
      </c>
      <c r="S189" s="123">
        <f t="shared" si="53"/>
        <v>0.09</v>
      </c>
      <c r="T189" s="123">
        <f t="shared" si="53"/>
        <v>0.09</v>
      </c>
      <c r="U189" s="123">
        <f t="shared" si="53"/>
        <v>0.09</v>
      </c>
      <c r="V189" s="123">
        <f t="shared" si="53"/>
        <v>0.09</v>
      </c>
      <c r="W189" s="123">
        <f t="shared" si="53"/>
        <v>0.09</v>
      </c>
      <c r="X189" s="123">
        <f t="shared" si="53"/>
        <v>0.09</v>
      </c>
      <c r="Y189" s="123">
        <f t="shared" si="53"/>
        <v>0.09</v>
      </c>
      <c r="Z189" s="123">
        <f t="shared" si="53"/>
        <v>0.09</v>
      </c>
      <c r="AA189" s="123">
        <f t="shared" si="53"/>
        <v>0.09</v>
      </c>
      <c r="AB189" s="123">
        <f t="shared" si="53"/>
        <v>0.09</v>
      </c>
      <c r="AC189" s="123">
        <f t="shared" si="53"/>
        <v>0.09</v>
      </c>
      <c r="AD189" s="123">
        <f t="shared" si="53"/>
        <v>0.09</v>
      </c>
      <c r="AE189" s="123">
        <f t="shared" si="53"/>
        <v>0.09</v>
      </c>
      <c r="AF189" s="123">
        <f t="shared" si="53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1"/>
        <v>0.04</v>
      </c>
      <c r="C190" s="54">
        <v>0.04</v>
      </c>
      <c r="D190" s="123">
        <f t="shared" si="52"/>
        <v>0.04</v>
      </c>
      <c r="E190" s="123">
        <f t="shared" si="52"/>
        <v>0.04</v>
      </c>
      <c r="F190" s="123">
        <f t="shared" si="52"/>
        <v>0.04</v>
      </c>
      <c r="G190" s="123">
        <f t="shared" si="52"/>
        <v>0.04</v>
      </c>
      <c r="H190" s="123">
        <f t="shared" si="52"/>
        <v>0.04</v>
      </c>
      <c r="I190" s="123">
        <f t="shared" si="52"/>
        <v>0.04</v>
      </c>
      <c r="J190" s="123">
        <f t="shared" si="52"/>
        <v>0.04</v>
      </c>
      <c r="K190" s="123">
        <f t="shared" si="52"/>
        <v>0.04</v>
      </c>
      <c r="L190" s="123">
        <f t="shared" si="52"/>
        <v>0.04</v>
      </c>
      <c r="M190" s="123">
        <f t="shared" si="52"/>
        <v>0.04</v>
      </c>
      <c r="N190" s="123">
        <f t="shared" si="52"/>
        <v>0.04</v>
      </c>
      <c r="O190" s="123">
        <f t="shared" si="52"/>
        <v>0.04</v>
      </c>
      <c r="P190" s="123">
        <f t="shared" si="52"/>
        <v>0.04</v>
      </c>
      <c r="Q190" s="123">
        <f t="shared" si="52"/>
        <v>0.04</v>
      </c>
      <c r="R190" s="123">
        <f t="shared" si="52"/>
        <v>0.04</v>
      </c>
      <c r="S190" s="123">
        <f t="shared" si="53"/>
        <v>0.04</v>
      </c>
      <c r="T190" s="123">
        <f t="shared" si="53"/>
        <v>0.04</v>
      </c>
      <c r="U190" s="123">
        <f t="shared" si="53"/>
        <v>0.04</v>
      </c>
      <c r="V190" s="123">
        <f t="shared" si="53"/>
        <v>0.04</v>
      </c>
      <c r="W190" s="123">
        <f t="shared" si="53"/>
        <v>0.04</v>
      </c>
      <c r="X190" s="123">
        <f t="shared" si="53"/>
        <v>0.04</v>
      </c>
      <c r="Y190" s="123">
        <f t="shared" si="53"/>
        <v>0.04</v>
      </c>
      <c r="Z190" s="123">
        <f t="shared" si="53"/>
        <v>0.04</v>
      </c>
      <c r="AA190" s="123">
        <f t="shared" si="53"/>
        <v>0.04</v>
      </c>
      <c r="AB190" s="123">
        <f t="shared" si="53"/>
        <v>0.04</v>
      </c>
      <c r="AC190" s="123">
        <f t="shared" si="53"/>
        <v>0.04</v>
      </c>
      <c r="AD190" s="123">
        <f t="shared" si="53"/>
        <v>0.04</v>
      </c>
      <c r="AE190" s="123">
        <f t="shared" si="53"/>
        <v>0.04</v>
      </c>
      <c r="AF190" s="123">
        <f t="shared" si="53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1"/>
        <v>2.3E-2</v>
      </c>
      <c r="C191" s="54">
        <v>2.3E-2</v>
      </c>
      <c r="D191" s="123">
        <f>C191</f>
        <v>2.3E-2</v>
      </c>
      <c r="E191" s="123">
        <f t="shared" si="52"/>
        <v>2.3E-2</v>
      </c>
      <c r="F191" s="123">
        <f t="shared" si="52"/>
        <v>2.3E-2</v>
      </c>
      <c r="G191" s="123">
        <f t="shared" si="52"/>
        <v>2.3E-2</v>
      </c>
      <c r="H191" s="123">
        <f t="shared" si="52"/>
        <v>2.3E-2</v>
      </c>
      <c r="I191" s="123">
        <f t="shared" si="52"/>
        <v>2.3E-2</v>
      </c>
      <c r="J191" s="123">
        <f t="shared" si="52"/>
        <v>2.3E-2</v>
      </c>
      <c r="K191" s="123">
        <f t="shared" si="52"/>
        <v>2.3E-2</v>
      </c>
      <c r="L191" s="123">
        <f t="shared" si="52"/>
        <v>2.3E-2</v>
      </c>
      <c r="M191" s="123">
        <f t="shared" si="52"/>
        <v>2.3E-2</v>
      </c>
      <c r="N191" s="123">
        <f t="shared" si="52"/>
        <v>2.3E-2</v>
      </c>
      <c r="O191" s="123">
        <f t="shared" si="52"/>
        <v>2.3E-2</v>
      </c>
      <c r="P191" s="123">
        <f t="shared" si="52"/>
        <v>2.3E-2</v>
      </c>
      <c r="Q191" s="123">
        <f t="shared" si="52"/>
        <v>2.3E-2</v>
      </c>
      <c r="R191" s="123">
        <f t="shared" si="52"/>
        <v>2.3E-2</v>
      </c>
      <c r="S191" s="123">
        <f t="shared" si="53"/>
        <v>2.3E-2</v>
      </c>
      <c r="T191" s="123">
        <f t="shared" si="53"/>
        <v>2.3E-2</v>
      </c>
      <c r="U191" s="123">
        <f t="shared" si="53"/>
        <v>2.3E-2</v>
      </c>
      <c r="V191" s="123">
        <f t="shared" si="53"/>
        <v>2.3E-2</v>
      </c>
      <c r="W191" s="123">
        <f t="shared" si="53"/>
        <v>2.3E-2</v>
      </c>
      <c r="X191" s="123">
        <f t="shared" si="53"/>
        <v>2.3E-2</v>
      </c>
      <c r="Y191" s="123">
        <f t="shared" si="53"/>
        <v>2.3E-2</v>
      </c>
      <c r="Z191" s="123">
        <f t="shared" si="53"/>
        <v>2.3E-2</v>
      </c>
      <c r="AA191" s="123">
        <f t="shared" si="53"/>
        <v>2.3E-2</v>
      </c>
      <c r="AB191" s="123">
        <f t="shared" si="53"/>
        <v>2.3E-2</v>
      </c>
      <c r="AC191" s="123">
        <f t="shared" si="53"/>
        <v>2.3E-2</v>
      </c>
      <c r="AD191" s="123">
        <f t="shared" si="53"/>
        <v>2.3E-2</v>
      </c>
      <c r="AE191" s="123">
        <f t="shared" si="53"/>
        <v>2.3E-2</v>
      </c>
      <c r="AF191" s="123">
        <f t="shared" si="53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4">SUM(C102:C191)</f>
        <v>194.70600000000002</v>
      </c>
      <c r="D192" s="128">
        <f t="shared" si="54"/>
        <v>194.70600000000002</v>
      </c>
      <c r="E192" s="128">
        <f t="shared" si="54"/>
        <v>194.70600000000002</v>
      </c>
      <c r="F192" s="128">
        <f t="shared" si="54"/>
        <v>194.70600000000002</v>
      </c>
      <c r="G192" s="128">
        <f t="shared" si="54"/>
        <v>194.70600000000002</v>
      </c>
      <c r="H192" s="128">
        <f t="shared" si="54"/>
        <v>194.70600000000002</v>
      </c>
      <c r="I192" s="128">
        <f t="shared" si="54"/>
        <v>189.70600000000005</v>
      </c>
      <c r="J192" s="128">
        <f t="shared" si="54"/>
        <v>187.10600000000005</v>
      </c>
      <c r="K192" s="128">
        <f t="shared" si="54"/>
        <v>187.10600000000005</v>
      </c>
      <c r="L192" s="128">
        <f t="shared" si="54"/>
        <v>187.10600000000005</v>
      </c>
      <c r="M192" s="128">
        <f t="shared" si="54"/>
        <v>187.10600000000005</v>
      </c>
      <c r="N192" s="128">
        <f t="shared" si="54"/>
        <v>187.10600000000005</v>
      </c>
      <c r="O192" s="128">
        <f t="shared" si="54"/>
        <v>187.10600000000005</v>
      </c>
      <c r="P192" s="128">
        <f t="shared" si="54"/>
        <v>187.10600000000005</v>
      </c>
      <c r="Q192" s="128">
        <f t="shared" si="54"/>
        <v>187.10600000000005</v>
      </c>
      <c r="R192" s="128">
        <f t="shared" si="54"/>
        <v>187.10600000000005</v>
      </c>
      <c r="S192" s="128">
        <f t="shared" si="54"/>
        <v>187.10600000000005</v>
      </c>
      <c r="T192" s="128">
        <f t="shared" si="54"/>
        <v>187.10600000000005</v>
      </c>
      <c r="U192" s="128">
        <f t="shared" si="54"/>
        <v>187.10600000000005</v>
      </c>
      <c r="V192" s="128">
        <f t="shared" si="54"/>
        <v>187.10600000000005</v>
      </c>
      <c r="W192" s="128">
        <f t="shared" si="54"/>
        <v>187.10600000000005</v>
      </c>
      <c r="X192" s="128">
        <f t="shared" si="54"/>
        <v>187.10600000000005</v>
      </c>
      <c r="Y192" s="128">
        <f t="shared" si="54"/>
        <v>187.10600000000005</v>
      </c>
      <c r="Z192" s="128">
        <f t="shared" si="54"/>
        <v>187.10600000000005</v>
      </c>
      <c r="AA192" s="128">
        <f t="shared" si="54"/>
        <v>187.10600000000005</v>
      </c>
      <c r="AB192" s="128">
        <f t="shared" si="54"/>
        <v>187.10600000000005</v>
      </c>
      <c r="AC192" s="128">
        <f t="shared" si="54"/>
        <v>187.10600000000005</v>
      </c>
      <c r="AD192" s="128">
        <f t="shared" si="54"/>
        <v>187.10600000000005</v>
      </c>
      <c r="AE192" s="128">
        <f t="shared" si="54"/>
        <v>187.10600000000005</v>
      </c>
      <c r="AF192" s="128">
        <f t="shared" si="54"/>
        <v>187.10600000000005</v>
      </c>
      <c r="AG192" s="129">
        <f t="shared" si="54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5">AF194</f>
        <v>0.3</v>
      </c>
      <c r="C194" s="130">
        <v>0.3</v>
      </c>
      <c r="D194" s="130">
        <f t="shared" ref="D194:S199" si="56">C194</f>
        <v>0.3</v>
      </c>
      <c r="E194" s="130">
        <f t="shared" si="56"/>
        <v>0.3</v>
      </c>
      <c r="F194" s="130">
        <f t="shared" si="56"/>
        <v>0.3</v>
      </c>
      <c r="G194" s="130">
        <f t="shared" si="56"/>
        <v>0.3</v>
      </c>
      <c r="H194" s="130">
        <f t="shared" si="56"/>
        <v>0.3</v>
      </c>
      <c r="I194" s="130">
        <f t="shared" si="56"/>
        <v>0.3</v>
      </c>
      <c r="J194" s="130">
        <f t="shared" si="56"/>
        <v>0.3</v>
      </c>
      <c r="K194" s="130">
        <f t="shared" si="56"/>
        <v>0.3</v>
      </c>
      <c r="L194" s="130">
        <f t="shared" si="56"/>
        <v>0.3</v>
      </c>
      <c r="M194" s="130">
        <f t="shared" si="56"/>
        <v>0.3</v>
      </c>
      <c r="N194" s="130">
        <f t="shared" si="56"/>
        <v>0.3</v>
      </c>
      <c r="O194" s="130">
        <f t="shared" si="56"/>
        <v>0.3</v>
      </c>
      <c r="P194" s="130">
        <f t="shared" si="56"/>
        <v>0.3</v>
      </c>
      <c r="Q194" s="130">
        <f t="shared" si="56"/>
        <v>0.3</v>
      </c>
      <c r="R194" s="130">
        <f t="shared" si="56"/>
        <v>0.3</v>
      </c>
      <c r="S194" s="130">
        <f t="shared" si="56"/>
        <v>0.3</v>
      </c>
      <c r="T194" s="130">
        <f t="shared" ref="T194:AF199" si="57">S194</f>
        <v>0.3</v>
      </c>
      <c r="U194" s="130">
        <f t="shared" si="57"/>
        <v>0.3</v>
      </c>
      <c r="V194" s="130">
        <f t="shared" si="57"/>
        <v>0.3</v>
      </c>
      <c r="W194" s="130">
        <f t="shared" si="57"/>
        <v>0.3</v>
      </c>
      <c r="X194" s="130">
        <f t="shared" si="57"/>
        <v>0.3</v>
      </c>
      <c r="Y194" s="130">
        <f t="shared" si="57"/>
        <v>0.3</v>
      </c>
      <c r="Z194" s="130">
        <f t="shared" si="57"/>
        <v>0.3</v>
      </c>
      <c r="AA194" s="130">
        <f t="shared" si="57"/>
        <v>0.3</v>
      </c>
      <c r="AB194" s="130">
        <f t="shared" si="57"/>
        <v>0.3</v>
      </c>
      <c r="AC194" s="130">
        <f t="shared" si="57"/>
        <v>0.3</v>
      </c>
      <c r="AD194" s="130">
        <f t="shared" si="57"/>
        <v>0.3</v>
      </c>
      <c r="AE194" s="130">
        <f t="shared" si="57"/>
        <v>0.3</v>
      </c>
      <c r="AF194" s="130">
        <f t="shared" si="57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5"/>
        <v>0.4</v>
      </c>
      <c r="C195" s="123">
        <v>0.4</v>
      </c>
      <c r="D195" s="123">
        <f t="shared" si="56"/>
        <v>0.4</v>
      </c>
      <c r="E195" s="123">
        <f t="shared" si="56"/>
        <v>0.4</v>
      </c>
      <c r="F195" s="123">
        <f t="shared" si="56"/>
        <v>0.4</v>
      </c>
      <c r="G195" s="123">
        <f t="shared" si="56"/>
        <v>0.4</v>
      </c>
      <c r="H195" s="123">
        <f t="shared" si="56"/>
        <v>0.4</v>
      </c>
      <c r="I195" s="123">
        <f t="shared" si="56"/>
        <v>0.4</v>
      </c>
      <c r="J195" s="123">
        <f t="shared" si="56"/>
        <v>0.4</v>
      </c>
      <c r="K195" s="123">
        <f t="shared" si="56"/>
        <v>0.4</v>
      </c>
      <c r="L195" s="123">
        <f t="shared" si="56"/>
        <v>0.4</v>
      </c>
      <c r="M195" s="123">
        <f t="shared" si="56"/>
        <v>0.4</v>
      </c>
      <c r="N195" s="123">
        <f t="shared" si="56"/>
        <v>0.4</v>
      </c>
      <c r="O195" s="123">
        <f t="shared" si="56"/>
        <v>0.4</v>
      </c>
      <c r="P195" s="123">
        <f t="shared" si="56"/>
        <v>0.4</v>
      </c>
      <c r="Q195" s="123">
        <f t="shared" si="56"/>
        <v>0.4</v>
      </c>
      <c r="R195" s="123">
        <f t="shared" si="56"/>
        <v>0.4</v>
      </c>
      <c r="S195" s="123">
        <f t="shared" si="56"/>
        <v>0.4</v>
      </c>
      <c r="T195" s="123">
        <f t="shared" si="57"/>
        <v>0.4</v>
      </c>
      <c r="U195" s="123">
        <f t="shared" si="57"/>
        <v>0.4</v>
      </c>
      <c r="V195" s="123">
        <f t="shared" si="57"/>
        <v>0.4</v>
      </c>
      <c r="W195" s="123">
        <f>V195</f>
        <v>0.4</v>
      </c>
      <c r="X195" s="123">
        <f>W195</f>
        <v>0.4</v>
      </c>
      <c r="Y195" s="123">
        <f t="shared" si="57"/>
        <v>0.4</v>
      </c>
      <c r="Z195" s="123">
        <f t="shared" si="57"/>
        <v>0.4</v>
      </c>
      <c r="AA195" s="123">
        <f t="shared" si="57"/>
        <v>0.4</v>
      </c>
      <c r="AB195" s="123">
        <f t="shared" si="57"/>
        <v>0.4</v>
      </c>
      <c r="AC195" s="123">
        <f t="shared" si="57"/>
        <v>0.4</v>
      </c>
      <c r="AD195" s="123">
        <f t="shared" si="57"/>
        <v>0.4</v>
      </c>
      <c r="AE195" s="123">
        <f t="shared" si="57"/>
        <v>0.4</v>
      </c>
      <c r="AF195" s="123">
        <f t="shared" si="57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5"/>
        <v>1.5</v>
      </c>
      <c r="C196" s="123">
        <v>1.5</v>
      </c>
      <c r="D196" s="123">
        <f t="shared" si="56"/>
        <v>1.5</v>
      </c>
      <c r="E196" s="123">
        <f t="shared" si="56"/>
        <v>1.5</v>
      </c>
      <c r="F196" s="123">
        <f t="shared" si="56"/>
        <v>1.5</v>
      </c>
      <c r="G196" s="123">
        <f t="shared" si="56"/>
        <v>1.5</v>
      </c>
      <c r="H196" s="123">
        <f t="shared" si="56"/>
        <v>1.5</v>
      </c>
      <c r="I196" s="123">
        <f t="shared" si="56"/>
        <v>1.5</v>
      </c>
      <c r="J196" s="123">
        <f t="shared" si="56"/>
        <v>1.5</v>
      </c>
      <c r="K196" s="123">
        <f t="shared" si="56"/>
        <v>1.5</v>
      </c>
      <c r="L196" s="123">
        <f t="shared" si="56"/>
        <v>1.5</v>
      </c>
      <c r="M196" s="123">
        <f t="shared" si="56"/>
        <v>1.5</v>
      </c>
      <c r="N196" s="123">
        <f t="shared" si="56"/>
        <v>1.5</v>
      </c>
      <c r="O196" s="123">
        <f t="shared" si="56"/>
        <v>1.5</v>
      </c>
      <c r="P196" s="123">
        <f t="shared" si="56"/>
        <v>1.5</v>
      </c>
      <c r="Q196" s="123">
        <f t="shared" si="56"/>
        <v>1.5</v>
      </c>
      <c r="R196" s="123">
        <f t="shared" si="56"/>
        <v>1.5</v>
      </c>
      <c r="S196" s="123">
        <f t="shared" si="56"/>
        <v>1.5</v>
      </c>
      <c r="T196" s="123">
        <f t="shared" si="57"/>
        <v>1.5</v>
      </c>
      <c r="U196" s="123">
        <f t="shared" si="57"/>
        <v>1.5</v>
      </c>
      <c r="V196" s="123">
        <f t="shared" si="57"/>
        <v>1.5</v>
      </c>
      <c r="W196" s="123">
        <f t="shared" si="57"/>
        <v>1.5</v>
      </c>
      <c r="X196" s="123">
        <f t="shared" si="57"/>
        <v>1.5</v>
      </c>
      <c r="Y196" s="123">
        <f t="shared" si="57"/>
        <v>1.5</v>
      </c>
      <c r="Z196" s="123">
        <f t="shared" si="57"/>
        <v>1.5</v>
      </c>
      <c r="AA196" s="123">
        <f t="shared" si="57"/>
        <v>1.5</v>
      </c>
      <c r="AB196" s="123">
        <f t="shared" si="57"/>
        <v>1.5</v>
      </c>
      <c r="AC196" s="123">
        <f t="shared" si="57"/>
        <v>1.5</v>
      </c>
      <c r="AD196" s="123">
        <f t="shared" si="57"/>
        <v>1.5</v>
      </c>
      <c r="AE196" s="123">
        <f t="shared" si="57"/>
        <v>1.5</v>
      </c>
      <c r="AF196" s="123">
        <f t="shared" si="57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5"/>
        <v>0.3</v>
      </c>
      <c r="C197" s="123">
        <v>0.3</v>
      </c>
      <c r="D197" s="123">
        <f t="shared" si="56"/>
        <v>0.3</v>
      </c>
      <c r="E197" s="123">
        <f t="shared" si="56"/>
        <v>0.3</v>
      </c>
      <c r="F197" s="123">
        <f t="shared" si="56"/>
        <v>0.3</v>
      </c>
      <c r="G197" s="123">
        <f t="shared" si="56"/>
        <v>0.3</v>
      </c>
      <c r="H197" s="123">
        <f t="shared" si="56"/>
        <v>0.3</v>
      </c>
      <c r="I197" s="123">
        <f t="shared" si="56"/>
        <v>0.3</v>
      </c>
      <c r="J197" s="123">
        <f t="shared" si="56"/>
        <v>0.3</v>
      </c>
      <c r="K197" s="123">
        <f t="shared" si="56"/>
        <v>0.3</v>
      </c>
      <c r="L197" s="123">
        <f t="shared" si="56"/>
        <v>0.3</v>
      </c>
      <c r="M197" s="123">
        <f t="shared" si="56"/>
        <v>0.3</v>
      </c>
      <c r="N197" s="123">
        <f t="shared" si="56"/>
        <v>0.3</v>
      </c>
      <c r="O197" s="123">
        <f t="shared" si="56"/>
        <v>0.3</v>
      </c>
      <c r="P197" s="123">
        <f t="shared" si="56"/>
        <v>0.3</v>
      </c>
      <c r="Q197" s="123">
        <f t="shared" si="56"/>
        <v>0.3</v>
      </c>
      <c r="R197" s="123">
        <f t="shared" si="56"/>
        <v>0.3</v>
      </c>
      <c r="S197" s="123">
        <f t="shared" si="56"/>
        <v>0.3</v>
      </c>
      <c r="T197" s="123">
        <f t="shared" si="57"/>
        <v>0.3</v>
      </c>
      <c r="U197" s="123">
        <f t="shared" si="57"/>
        <v>0.3</v>
      </c>
      <c r="V197" s="123">
        <f t="shared" si="57"/>
        <v>0.3</v>
      </c>
      <c r="W197" s="123">
        <f t="shared" si="57"/>
        <v>0.3</v>
      </c>
      <c r="X197" s="123">
        <f t="shared" si="57"/>
        <v>0.3</v>
      </c>
      <c r="Y197" s="123">
        <f t="shared" si="57"/>
        <v>0.3</v>
      </c>
      <c r="Z197" s="123">
        <f t="shared" si="57"/>
        <v>0.3</v>
      </c>
      <c r="AA197" s="123">
        <f t="shared" si="57"/>
        <v>0.3</v>
      </c>
      <c r="AB197" s="123">
        <f t="shared" si="57"/>
        <v>0.3</v>
      </c>
      <c r="AC197" s="123">
        <f t="shared" si="57"/>
        <v>0.3</v>
      </c>
      <c r="AD197" s="123">
        <f t="shared" si="57"/>
        <v>0.3</v>
      </c>
      <c r="AE197" s="123">
        <f t="shared" si="57"/>
        <v>0.3</v>
      </c>
      <c r="AF197" s="123">
        <f t="shared" si="57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5"/>
        <v>0.4</v>
      </c>
      <c r="C198" s="123">
        <v>0.4</v>
      </c>
      <c r="D198" s="123">
        <f t="shared" si="56"/>
        <v>0.4</v>
      </c>
      <c r="E198" s="123">
        <f t="shared" si="56"/>
        <v>0.4</v>
      </c>
      <c r="F198" s="123">
        <f t="shared" si="56"/>
        <v>0.4</v>
      </c>
      <c r="G198" s="123">
        <f t="shared" si="56"/>
        <v>0.4</v>
      </c>
      <c r="H198" s="123">
        <f t="shared" si="56"/>
        <v>0.4</v>
      </c>
      <c r="I198" s="123">
        <f t="shared" si="56"/>
        <v>0.4</v>
      </c>
      <c r="J198" s="123">
        <f t="shared" si="56"/>
        <v>0.4</v>
      </c>
      <c r="K198" s="123">
        <f t="shared" si="56"/>
        <v>0.4</v>
      </c>
      <c r="L198" s="123">
        <f t="shared" si="56"/>
        <v>0.4</v>
      </c>
      <c r="M198" s="123">
        <f t="shared" si="56"/>
        <v>0.4</v>
      </c>
      <c r="N198" s="123">
        <f t="shared" si="56"/>
        <v>0.4</v>
      </c>
      <c r="O198" s="123">
        <f t="shared" si="56"/>
        <v>0.4</v>
      </c>
      <c r="P198" s="123">
        <f t="shared" si="56"/>
        <v>0.4</v>
      </c>
      <c r="Q198" s="123">
        <f t="shared" si="56"/>
        <v>0.4</v>
      </c>
      <c r="R198" s="123">
        <f t="shared" si="56"/>
        <v>0.4</v>
      </c>
      <c r="S198" s="123">
        <f t="shared" si="56"/>
        <v>0.4</v>
      </c>
      <c r="T198" s="123">
        <f t="shared" si="57"/>
        <v>0.4</v>
      </c>
      <c r="U198" s="123">
        <f t="shared" si="57"/>
        <v>0.4</v>
      </c>
      <c r="V198" s="123">
        <f t="shared" si="57"/>
        <v>0.4</v>
      </c>
      <c r="W198" s="123">
        <f t="shared" si="57"/>
        <v>0.4</v>
      </c>
      <c r="X198" s="123">
        <f t="shared" si="57"/>
        <v>0.4</v>
      </c>
      <c r="Y198" s="123">
        <f t="shared" si="57"/>
        <v>0.4</v>
      </c>
      <c r="Z198" s="123">
        <f t="shared" si="57"/>
        <v>0.4</v>
      </c>
      <c r="AA198" s="123">
        <f t="shared" si="57"/>
        <v>0.4</v>
      </c>
      <c r="AB198" s="123">
        <f t="shared" si="57"/>
        <v>0.4</v>
      </c>
      <c r="AC198" s="123">
        <f t="shared" si="57"/>
        <v>0.4</v>
      </c>
      <c r="AD198" s="123">
        <f t="shared" si="57"/>
        <v>0.4</v>
      </c>
      <c r="AE198" s="123">
        <f t="shared" si="57"/>
        <v>0.4</v>
      </c>
      <c r="AF198" s="123">
        <f t="shared" si="57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5"/>
        <v>0.64</v>
      </c>
      <c r="C199" s="133">
        <v>0.64</v>
      </c>
      <c r="D199" s="133">
        <f t="shared" si="56"/>
        <v>0.64</v>
      </c>
      <c r="E199" s="133">
        <f t="shared" si="56"/>
        <v>0.64</v>
      </c>
      <c r="F199" s="133">
        <f t="shared" si="56"/>
        <v>0.64</v>
      </c>
      <c r="G199" s="133">
        <f t="shared" si="56"/>
        <v>0.64</v>
      </c>
      <c r="H199" s="133">
        <f t="shared" si="56"/>
        <v>0.64</v>
      </c>
      <c r="I199" s="133">
        <f t="shared" si="56"/>
        <v>0.64</v>
      </c>
      <c r="J199" s="133">
        <f t="shared" si="56"/>
        <v>0.64</v>
      </c>
      <c r="K199" s="133">
        <f t="shared" si="56"/>
        <v>0.64</v>
      </c>
      <c r="L199" s="133">
        <f t="shared" si="56"/>
        <v>0.64</v>
      </c>
      <c r="M199" s="133">
        <f t="shared" si="56"/>
        <v>0.64</v>
      </c>
      <c r="N199" s="133">
        <f t="shared" si="56"/>
        <v>0.64</v>
      </c>
      <c r="O199" s="133">
        <f t="shared" si="56"/>
        <v>0.64</v>
      </c>
      <c r="P199" s="133">
        <f t="shared" si="56"/>
        <v>0.64</v>
      </c>
      <c r="Q199" s="133">
        <f t="shared" si="56"/>
        <v>0.64</v>
      </c>
      <c r="R199" s="133">
        <f t="shared" si="56"/>
        <v>0.64</v>
      </c>
      <c r="S199" s="133">
        <f t="shared" si="56"/>
        <v>0.64</v>
      </c>
      <c r="T199" s="133">
        <f t="shared" si="57"/>
        <v>0.64</v>
      </c>
      <c r="U199" s="133">
        <f t="shared" si="57"/>
        <v>0.64</v>
      </c>
      <c r="V199" s="133">
        <f t="shared" si="57"/>
        <v>0.64</v>
      </c>
      <c r="W199" s="133">
        <f t="shared" si="57"/>
        <v>0.64</v>
      </c>
      <c r="X199" s="133">
        <f t="shared" si="57"/>
        <v>0.64</v>
      </c>
      <c r="Y199" s="133">
        <f t="shared" si="57"/>
        <v>0.64</v>
      </c>
      <c r="Z199" s="133">
        <f t="shared" si="57"/>
        <v>0.64</v>
      </c>
      <c r="AA199" s="133">
        <f t="shared" si="57"/>
        <v>0.64</v>
      </c>
      <c r="AB199" s="133">
        <f t="shared" si="57"/>
        <v>0.64</v>
      </c>
      <c r="AC199" s="133">
        <f t="shared" si="57"/>
        <v>0.64</v>
      </c>
      <c r="AD199" s="133">
        <f t="shared" si="57"/>
        <v>0.64</v>
      </c>
      <c r="AE199" s="133">
        <f t="shared" si="57"/>
        <v>0.64</v>
      </c>
      <c r="AF199" s="133">
        <f t="shared" si="57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8">SUM(D194:D199)</f>
        <v>3.54</v>
      </c>
      <c r="E200" s="136">
        <f t="shared" si="58"/>
        <v>3.54</v>
      </c>
      <c r="F200" s="136">
        <f t="shared" si="58"/>
        <v>3.54</v>
      </c>
      <c r="G200" s="136">
        <f t="shared" si="58"/>
        <v>3.54</v>
      </c>
      <c r="H200" s="136">
        <f t="shared" si="58"/>
        <v>3.54</v>
      </c>
      <c r="I200" s="136">
        <f t="shared" si="58"/>
        <v>3.54</v>
      </c>
      <c r="J200" s="136">
        <f t="shared" si="58"/>
        <v>3.54</v>
      </c>
      <c r="K200" s="136">
        <f t="shared" si="58"/>
        <v>3.54</v>
      </c>
      <c r="L200" s="136">
        <f t="shared" si="58"/>
        <v>3.54</v>
      </c>
      <c r="M200" s="136">
        <f>SUM(M194:M199)</f>
        <v>3.54</v>
      </c>
      <c r="N200" s="136">
        <f t="shared" ref="N200:S200" si="59">SUM(N194:N199)</f>
        <v>3.54</v>
      </c>
      <c r="O200" s="136">
        <f t="shared" si="59"/>
        <v>3.54</v>
      </c>
      <c r="P200" s="136">
        <f t="shared" si="59"/>
        <v>3.54</v>
      </c>
      <c r="Q200" s="136">
        <f t="shared" si="59"/>
        <v>3.54</v>
      </c>
      <c r="R200" s="136">
        <f t="shared" si="59"/>
        <v>3.54</v>
      </c>
      <c r="S200" s="136">
        <f t="shared" si="59"/>
        <v>3.54</v>
      </c>
      <c r="T200" s="136">
        <f>SUM(T194:T199)</f>
        <v>3.54</v>
      </c>
      <c r="U200" s="136">
        <f t="shared" ref="U200:AG200" si="60">SUM(U194:U199)</f>
        <v>3.54</v>
      </c>
      <c r="V200" s="136">
        <f t="shared" si="60"/>
        <v>3.54</v>
      </c>
      <c r="W200" s="136">
        <f t="shared" si="60"/>
        <v>3.54</v>
      </c>
      <c r="X200" s="136">
        <f t="shared" si="60"/>
        <v>3.54</v>
      </c>
      <c r="Y200" s="136">
        <f t="shared" si="60"/>
        <v>3.54</v>
      </c>
      <c r="Z200" s="136">
        <f t="shared" si="60"/>
        <v>3.54</v>
      </c>
      <c r="AA200" s="136">
        <f t="shared" si="60"/>
        <v>3.54</v>
      </c>
      <c r="AB200" s="136">
        <f t="shared" si="60"/>
        <v>3.54</v>
      </c>
      <c r="AC200" s="136">
        <f t="shared" si="60"/>
        <v>3.54</v>
      </c>
      <c r="AD200" s="136">
        <f t="shared" si="60"/>
        <v>3.54</v>
      </c>
      <c r="AE200" s="136">
        <f t="shared" si="60"/>
        <v>3.54</v>
      </c>
      <c r="AF200" s="136">
        <f t="shared" si="60"/>
        <v>3.54</v>
      </c>
      <c r="AG200" s="137">
        <f t="shared" si="60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1712.8400000000001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8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2079/02/8)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2079/02/8)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1">B75</f>
        <v>1648.64</v>
      </c>
      <c r="U214" s="161">
        <f t="shared" si="61"/>
        <v>1716.6399999999999</v>
      </c>
      <c r="V214" s="161">
        <f t="shared" si="61"/>
        <v>579.04</v>
      </c>
      <c r="W214" s="161">
        <f t="shared" si="61"/>
        <v>579.04</v>
      </c>
      <c r="X214" s="161">
        <f t="shared" si="61"/>
        <v>1650.74</v>
      </c>
      <c r="Y214" s="161">
        <f t="shared" si="61"/>
        <v>1610.34</v>
      </c>
      <c r="Z214" s="161">
        <f t="shared" si="61"/>
        <v>1645.44</v>
      </c>
      <c r="AA214" s="161">
        <f t="shared" si="61"/>
        <v>1643.6399999999999</v>
      </c>
      <c r="AB214" s="161">
        <f t="shared" si="61"/>
        <v>1664.54</v>
      </c>
      <c r="AC214" s="161">
        <f t="shared" si="61"/>
        <v>1696.3400000000001</v>
      </c>
      <c r="AD214" s="161">
        <f t="shared" si="61"/>
        <v>1700.2400000000002</v>
      </c>
      <c r="AE214" s="161">
        <f t="shared" si="61"/>
        <v>1712.8400000000001</v>
      </c>
      <c r="AF214" s="161">
        <f t="shared" si="61"/>
        <v>1702.94</v>
      </c>
      <c r="AG214" s="161">
        <f t="shared" si="61"/>
        <v>1725.64</v>
      </c>
      <c r="AH214" s="161">
        <f t="shared" si="61"/>
        <v>1723.44</v>
      </c>
      <c r="AI214" s="161">
        <f t="shared" si="61"/>
        <v>1720.44</v>
      </c>
      <c r="AJ214" s="161">
        <f t="shared" si="61"/>
        <v>1729.64</v>
      </c>
      <c r="AK214" s="161">
        <f t="shared" si="61"/>
        <v>1741.34</v>
      </c>
      <c r="AL214" s="161">
        <f t="shared" si="61"/>
        <v>1703.4399999999998</v>
      </c>
      <c r="AM214" s="161">
        <f t="shared" si="61"/>
        <v>1717.1399999999999</v>
      </c>
      <c r="AN214" s="161">
        <f t="shared" si="61"/>
        <v>1733.34</v>
      </c>
      <c r="AO214" s="161">
        <f t="shared" si="61"/>
        <v>1732.34</v>
      </c>
      <c r="AP214" s="161">
        <f t="shared" si="61"/>
        <v>1722.6399999999999</v>
      </c>
      <c r="AQ214" s="161">
        <f t="shared" si="61"/>
        <v>1687.84</v>
      </c>
      <c r="AR214" s="161">
        <f t="shared" si="61"/>
        <v>1711.6399999999999</v>
      </c>
      <c r="AS214" s="161">
        <f t="shared" si="61"/>
        <v>1746.6399999999999</v>
      </c>
      <c r="AT214" s="161">
        <f t="shared" si="61"/>
        <v>1738.0399999999997</v>
      </c>
      <c r="AU214" s="161">
        <f t="shared" si="61"/>
        <v>1749.2399999999998</v>
      </c>
      <c r="AV214" s="161">
        <f t="shared" si="61"/>
        <v>1736.9399999999998</v>
      </c>
      <c r="AW214" s="161">
        <f t="shared" si="61"/>
        <v>1739.24</v>
      </c>
      <c r="AX214" s="161">
        <f t="shared" si="61"/>
        <v>1736.34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3">IF(C203&lt;100,"",C203-520)</f>
        <v/>
      </c>
      <c r="D236" s="107" t="str">
        <f t="shared" si="63"/>
        <v/>
      </c>
      <c r="E236" s="107" t="str">
        <f t="shared" si="63"/>
        <v/>
      </c>
      <c r="F236" s="107" t="str">
        <f t="shared" si="63"/>
        <v/>
      </c>
      <c r="G236" s="107" t="str">
        <f t="shared" si="63"/>
        <v/>
      </c>
      <c r="H236" s="107" t="str">
        <f t="shared" si="63"/>
        <v/>
      </c>
      <c r="I236" s="107" t="str">
        <f t="shared" si="63"/>
        <v/>
      </c>
      <c r="J236" s="107" t="str">
        <f t="shared" si="63"/>
        <v/>
      </c>
      <c r="K236" s="107" t="str">
        <f t="shared" si="63"/>
        <v/>
      </c>
      <c r="L236" s="107" t="str">
        <f t="shared" si="63"/>
        <v/>
      </c>
      <c r="M236" s="107" t="str">
        <f t="shared" si="63"/>
        <v/>
      </c>
      <c r="N236" s="107" t="str">
        <f t="shared" si="63"/>
        <v/>
      </c>
      <c r="O236" s="107" t="str">
        <f t="shared" si="63"/>
        <v/>
      </c>
      <c r="P236" s="107" t="str">
        <f t="shared" si="63"/>
        <v/>
      </c>
      <c r="Q236" s="107" t="str">
        <f t="shared" si="63"/>
        <v/>
      </c>
      <c r="R236" s="107" t="str">
        <f t="shared" si="63"/>
        <v/>
      </c>
      <c r="S236" s="107" t="str">
        <f t="shared" si="63"/>
        <v/>
      </c>
      <c r="T236" s="107" t="str">
        <f t="shared" si="63"/>
        <v/>
      </c>
      <c r="U236" s="107" t="str">
        <f t="shared" si="63"/>
        <v/>
      </c>
      <c r="V236" s="107" t="str">
        <f t="shared" si="63"/>
        <v/>
      </c>
      <c r="W236" s="107" t="str">
        <f t="shared" si="63"/>
        <v/>
      </c>
      <c r="X236" s="107" t="str">
        <f t="shared" si="63"/>
        <v/>
      </c>
      <c r="Y236" s="107" t="str">
        <f t="shared" si="63"/>
        <v/>
      </c>
      <c r="Z236" s="107" t="str">
        <f t="shared" si="63"/>
        <v/>
      </c>
      <c r="AA236" s="107" t="str">
        <f t="shared" si="63"/>
        <v/>
      </c>
      <c r="AB236" s="107" t="str">
        <f t="shared" si="63"/>
        <v/>
      </c>
      <c r="AC236" s="107" t="str">
        <f t="shared" si="63"/>
        <v/>
      </c>
      <c r="AD236" s="107" t="str">
        <f t="shared" si="63"/>
        <v/>
      </c>
      <c r="AE236" s="107" t="str">
        <f t="shared" si="63"/>
        <v/>
      </c>
      <c r="AF236" s="107" t="str">
        <f t="shared" si="63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4">IF(B204&lt;100,"",B204-620)</f>
        <v/>
      </c>
      <c r="C237" s="107" t="str">
        <f t="shared" si="64"/>
        <v/>
      </c>
      <c r="D237" s="107" t="str">
        <f t="shared" si="64"/>
        <v/>
      </c>
      <c r="E237" s="107" t="str">
        <f t="shared" si="64"/>
        <v/>
      </c>
      <c r="F237" s="107" t="str">
        <f t="shared" si="64"/>
        <v/>
      </c>
      <c r="G237" s="107" t="str">
        <f t="shared" si="64"/>
        <v/>
      </c>
      <c r="H237" s="107" t="str">
        <f t="shared" si="64"/>
        <v/>
      </c>
      <c r="I237" s="107" t="str">
        <f t="shared" si="64"/>
        <v/>
      </c>
      <c r="J237" s="107" t="str">
        <f t="shared" si="64"/>
        <v/>
      </c>
      <c r="K237" s="107" t="str">
        <f t="shared" si="64"/>
        <v/>
      </c>
      <c r="L237" s="107" t="str">
        <f t="shared" si="64"/>
        <v/>
      </c>
      <c r="M237" s="107" t="str">
        <f t="shared" si="64"/>
        <v/>
      </c>
      <c r="N237" s="107" t="str">
        <f t="shared" si="64"/>
        <v/>
      </c>
      <c r="O237" s="107" t="str">
        <f t="shared" si="64"/>
        <v/>
      </c>
      <c r="P237" s="107" t="str">
        <f t="shared" si="64"/>
        <v/>
      </c>
      <c r="Q237" s="107" t="str">
        <f t="shared" si="64"/>
        <v/>
      </c>
      <c r="R237" s="107" t="str">
        <f t="shared" si="64"/>
        <v/>
      </c>
      <c r="S237" s="107" t="str">
        <f t="shared" si="64"/>
        <v/>
      </c>
      <c r="T237" s="107" t="str">
        <f t="shared" si="64"/>
        <v/>
      </c>
      <c r="U237" s="107" t="str">
        <f t="shared" si="64"/>
        <v/>
      </c>
      <c r="V237" s="107" t="str">
        <f t="shared" si="64"/>
        <v/>
      </c>
      <c r="W237" s="107" t="str">
        <f t="shared" si="64"/>
        <v/>
      </c>
      <c r="X237" s="107" t="str">
        <f t="shared" si="64"/>
        <v/>
      </c>
      <c r="Y237" s="107" t="str">
        <f t="shared" si="64"/>
        <v/>
      </c>
      <c r="Z237" s="107" t="str">
        <f t="shared" si="64"/>
        <v/>
      </c>
      <c r="AA237" s="107" t="str">
        <f t="shared" si="64"/>
        <v/>
      </c>
      <c r="AB237" s="107" t="str">
        <f t="shared" si="64"/>
        <v/>
      </c>
      <c r="AC237" s="107" t="str">
        <f t="shared" si="64"/>
        <v/>
      </c>
      <c r="AD237" s="107" t="str">
        <f t="shared" si="64"/>
        <v/>
      </c>
      <c r="AE237" s="107" t="str">
        <f t="shared" si="64"/>
        <v/>
      </c>
      <c r="AF237" s="107" t="str">
        <f t="shared" si="64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5">IF(B205&lt;100,"",B205-330)</f>
        <v/>
      </c>
      <c r="C238" s="107" t="str">
        <f t="shared" si="65"/>
        <v/>
      </c>
      <c r="D238" s="107" t="str">
        <f t="shared" si="65"/>
        <v/>
      </c>
      <c r="E238" s="107" t="str">
        <f t="shared" si="65"/>
        <v/>
      </c>
      <c r="F238" s="107" t="str">
        <f t="shared" si="65"/>
        <v/>
      </c>
      <c r="G238" s="107" t="str">
        <f t="shared" si="65"/>
        <v/>
      </c>
      <c r="H238" s="107" t="str">
        <f t="shared" si="65"/>
        <v/>
      </c>
      <c r="I238" s="107" t="str">
        <f t="shared" si="65"/>
        <v/>
      </c>
      <c r="J238" s="107" t="str">
        <f t="shared" si="65"/>
        <v/>
      </c>
      <c r="K238" s="107" t="str">
        <f t="shared" si="65"/>
        <v/>
      </c>
      <c r="L238" s="107" t="str">
        <f t="shared" si="65"/>
        <v/>
      </c>
      <c r="M238" s="107" t="str">
        <f t="shared" si="65"/>
        <v/>
      </c>
      <c r="N238" s="107" t="str">
        <f t="shared" si="65"/>
        <v/>
      </c>
      <c r="O238" s="107" t="str">
        <f t="shared" si="65"/>
        <v/>
      </c>
      <c r="P238" s="107" t="str">
        <f t="shared" si="65"/>
        <v/>
      </c>
      <c r="Q238" s="107" t="str">
        <f t="shared" si="65"/>
        <v/>
      </c>
      <c r="R238" s="107" t="str">
        <f t="shared" si="65"/>
        <v/>
      </c>
      <c r="S238" s="107" t="str">
        <f t="shared" si="65"/>
        <v/>
      </c>
      <c r="T238" s="107" t="str">
        <f t="shared" si="65"/>
        <v/>
      </c>
      <c r="U238" s="107" t="str">
        <f t="shared" si="65"/>
        <v/>
      </c>
      <c r="V238" s="107" t="str">
        <f t="shared" si="65"/>
        <v/>
      </c>
      <c r="W238" s="107" t="str">
        <f t="shared" si="65"/>
        <v/>
      </c>
      <c r="X238" s="107" t="str">
        <f t="shared" si="65"/>
        <v/>
      </c>
      <c r="Y238" s="107" t="str">
        <f t="shared" si="65"/>
        <v/>
      </c>
      <c r="Z238" s="107" t="str">
        <f t="shared" si="65"/>
        <v/>
      </c>
      <c r="AA238" s="107" t="str">
        <f t="shared" si="65"/>
        <v/>
      </c>
      <c r="AB238" s="107" t="str">
        <f t="shared" si="65"/>
        <v/>
      </c>
      <c r="AC238" s="107" t="str">
        <f t="shared" si="65"/>
        <v/>
      </c>
      <c r="AD238" s="107" t="str">
        <f t="shared" si="65"/>
        <v/>
      </c>
      <c r="AE238" s="107" t="str">
        <f t="shared" si="65"/>
        <v/>
      </c>
      <c r="AF238" s="107" t="str">
        <f t="shared" si="65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6">IF(C206&lt;100,"",C206-1500)</f>
        <v/>
      </c>
      <c r="D239" s="107" t="str">
        <f t="shared" si="66"/>
        <v/>
      </c>
      <c r="E239" s="107" t="str">
        <f t="shared" si="66"/>
        <v/>
      </c>
      <c r="F239" s="107" t="str">
        <f t="shared" si="66"/>
        <v/>
      </c>
      <c r="G239" s="107" t="str">
        <f t="shared" si="66"/>
        <v/>
      </c>
      <c r="H239" s="107" t="str">
        <f t="shared" si="66"/>
        <v/>
      </c>
      <c r="I239" s="107" t="str">
        <f t="shared" si="66"/>
        <v/>
      </c>
      <c r="J239" s="107" t="str">
        <f t="shared" si="66"/>
        <v/>
      </c>
      <c r="K239" s="107" t="str">
        <f t="shared" si="66"/>
        <v/>
      </c>
      <c r="L239" s="107" t="str">
        <f t="shared" si="66"/>
        <v/>
      </c>
      <c r="M239" s="107" t="str">
        <f t="shared" si="66"/>
        <v/>
      </c>
      <c r="N239" s="107" t="str">
        <f t="shared" si="66"/>
        <v/>
      </c>
      <c r="O239" s="107" t="str">
        <f t="shared" si="66"/>
        <v/>
      </c>
      <c r="P239" s="107" t="str">
        <f t="shared" si="66"/>
        <v/>
      </c>
      <c r="Q239" s="107" t="str">
        <f t="shared" si="66"/>
        <v/>
      </c>
      <c r="R239" s="107" t="str">
        <f t="shared" si="66"/>
        <v/>
      </c>
      <c r="S239" s="107" t="str">
        <f t="shared" si="66"/>
        <v/>
      </c>
      <c r="T239" s="107" t="str">
        <f t="shared" si="66"/>
        <v/>
      </c>
      <c r="U239" s="107" t="str">
        <f t="shared" si="66"/>
        <v/>
      </c>
      <c r="V239" s="107" t="str">
        <f t="shared" si="66"/>
        <v/>
      </c>
      <c r="W239" s="107" t="str">
        <f t="shared" si="66"/>
        <v/>
      </c>
      <c r="X239" s="107" t="str">
        <f t="shared" si="66"/>
        <v/>
      </c>
      <c r="Y239" s="107" t="str">
        <f t="shared" si="66"/>
        <v/>
      </c>
      <c r="Z239" s="107" t="str">
        <f t="shared" si="66"/>
        <v/>
      </c>
      <c r="AA239" s="107" t="str">
        <f t="shared" si="66"/>
        <v/>
      </c>
      <c r="AB239" s="107" t="str">
        <f t="shared" si="66"/>
        <v/>
      </c>
      <c r="AC239" s="107" t="str">
        <f t="shared" si="66"/>
        <v/>
      </c>
      <c r="AD239" s="107" t="str">
        <f t="shared" si="66"/>
        <v/>
      </c>
      <c r="AE239" s="107" t="str">
        <f t="shared" si="66"/>
        <v/>
      </c>
      <c r="AF239" s="107" t="str">
        <f t="shared" si="66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AB11:AF11">
    <cfRule type="expression" dxfId="5314" priority="219">
      <formula>B$9&gt;=20/24</formula>
    </cfRule>
    <cfRule type="expression" dxfId="5313" priority="220">
      <formula>AND(B$9&gt;=14/24,B$9&lt;20/24)</formula>
    </cfRule>
    <cfRule type="expression" dxfId="5312" priority="221">
      <formula>AND(B$9&gt;=8/24,B$9&lt;14/24)</formula>
    </cfRule>
    <cfRule type="expression" dxfId="5311" priority="222">
      <formula>B$9&lt;8/24</formula>
    </cfRule>
  </conditionalFormatting>
  <conditionalFormatting sqref="AL4:AL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5310" priority="214">
      <formula>AB$9&gt;=20/24</formula>
    </cfRule>
    <cfRule type="expression" dxfId="5309" priority="215">
      <formula>AND(AB$9&gt;=14/24,AB$9&lt;20/24)</formula>
    </cfRule>
    <cfRule type="expression" dxfId="5308" priority="216">
      <formula>AND(AB$9&gt;=8/24,AB$9&lt;14/24)</formula>
    </cfRule>
    <cfRule type="expression" dxfId="5307" priority="217">
      <formula>AB$9&lt;8/24</formula>
    </cfRule>
  </conditionalFormatting>
  <conditionalFormatting sqref="AG51 AB37:AF37 K11:AF11">
    <cfRule type="expression" dxfId="5306" priority="213">
      <formula>K11&gt;$AG11</formula>
    </cfRule>
  </conditionalFormatting>
  <conditionalFormatting sqref="A101:A157 A84:A97 A11:A14 A16:A32 A45:A72 A80:A82 A74:A78 A35:A43 A170:A200">
    <cfRule type="expression" dxfId="5305" priority="212">
      <formula>$AH11=0</formula>
    </cfRule>
  </conditionalFormatting>
  <conditionalFormatting sqref="A98">
    <cfRule type="expression" dxfId="5304" priority="211">
      <formula>$AH98=0</formula>
    </cfRule>
  </conditionalFormatting>
  <conditionalFormatting sqref="AL32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303" priority="209">
      <formula>$AH34=0</formula>
    </cfRule>
  </conditionalFormatting>
  <conditionalFormatting sqref="A83">
    <cfRule type="expression" dxfId="5302" priority="208">
      <formula>$AH83=0</formula>
    </cfRule>
  </conditionalFormatting>
  <conditionalFormatting sqref="A15">
    <cfRule type="expression" dxfId="5301" priority="207">
      <formula>$AH15=0</formula>
    </cfRule>
  </conditionalFormatting>
  <conditionalFormatting sqref="A164:A169">
    <cfRule type="expression" dxfId="5300" priority="206">
      <formula>$AH164=0</formula>
    </cfRule>
  </conditionalFormatting>
  <conditionalFormatting sqref="A158:A163">
    <cfRule type="expression" dxfId="5299" priority="205">
      <formula>$AH158=0</formula>
    </cfRule>
  </conditionalFormatting>
  <conditionalFormatting sqref="A44">
    <cfRule type="expression" dxfId="5298" priority="204">
      <formula>$AH44=0</formula>
    </cfRule>
  </conditionalFormatting>
  <conditionalFormatting sqref="A79">
    <cfRule type="expression" dxfId="5297" priority="203">
      <formula>$AH79=0</formula>
    </cfRule>
  </conditionalFormatting>
  <conditionalFormatting sqref="A73">
    <cfRule type="expression" dxfId="5296" priority="202">
      <formula>$AH73=0</formula>
    </cfRule>
  </conditionalFormatting>
  <conditionalFormatting sqref="AL34:AL35 AL7:AL31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295" priority="198">
      <formula>C$9&gt;=20/24</formula>
    </cfRule>
    <cfRule type="expression" dxfId="5294" priority="199">
      <formula>AND(C$9&gt;=14/24,C$9&lt;20/24)</formula>
    </cfRule>
    <cfRule type="expression" dxfId="5293" priority="200">
      <formula>AND(C$9&gt;=8/24,C$9&lt;14/24)</formula>
    </cfRule>
    <cfRule type="expression" dxfId="5292" priority="201">
      <formula>C$9&lt;8/24</formula>
    </cfRule>
  </conditionalFormatting>
  <conditionalFormatting sqref="AL33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291" priority="226">
      <formula>C$9&gt;=20/24</formula>
    </cfRule>
    <cfRule type="expression" dxfId="5290" priority="227">
      <formula>AND(C$9&gt;=14/24,C$9&lt;20/24)</formula>
    </cfRule>
    <cfRule type="expression" dxfId="5289" priority="228">
      <formula>AND(C$9&gt;=8/24,C$9&lt;14/24)</formula>
    </cfRule>
    <cfRule type="expression" dxfId="5288" priority="229">
      <formula>C$9&lt;8/24</formula>
    </cfRule>
  </conditionalFormatting>
  <conditionalFormatting sqref="A201">
    <cfRule type="expression" dxfId="5287" priority="230">
      <formula>$AH201=0</formula>
    </cfRule>
  </conditionalFormatting>
  <conditionalFormatting sqref="AG213">
    <cfRule type="expression" dxfId="5286" priority="231">
      <formula>B$9&gt;=20/24</formula>
    </cfRule>
    <cfRule type="expression" dxfId="5285" priority="232">
      <formula>AND(B$9&gt;=14/24,B$9&lt;20/24)</formula>
    </cfRule>
    <cfRule type="expression" dxfId="5284" priority="233">
      <formula>AND(B$9&gt;=8/24,B$9&lt;14/24)</formula>
    </cfRule>
    <cfRule type="expression" dxfId="5283" priority="234">
      <formula>B$9&lt;8/24</formula>
    </cfRule>
  </conditionalFormatting>
  <conditionalFormatting sqref="S8">
    <cfRule type="expression" dxfId="5282" priority="193">
      <formula>U$9&gt;=20/24</formula>
    </cfRule>
    <cfRule type="expression" dxfId="5281" priority="194">
      <formula>AND(U$9&gt;=14/24,U$9&lt;20/24)</formula>
    </cfRule>
    <cfRule type="expression" dxfId="5280" priority="195">
      <formula>AND(U$9&gt;=8/24,U$9&lt;14/24)</formula>
    </cfRule>
    <cfRule type="expression" dxfId="5279" priority="196">
      <formula>U$9&lt;8/24</formula>
    </cfRule>
  </conditionalFormatting>
  <conditionalFormatting sqref="AB8">
    <cfRule type="expression" dxfId="5278" priority="189">
      <formula>AD$9&gt;=20/24</formula>
    </cfRule>
    <cfRule type="expression" dxfId="5277" priority="190">
      <formula>AND(AD$9&gt;=14/24,AD$9&lt;20/24)</formula>
    </cfRule>
    <cfRule type="expression" dxfId="5276" priority="191">
      <formula>AND(AD$9&gt;=8/24,AD$9&lt;14/24)</formula>
    </cfRule>
    <cfRule type="expression" dxfId="5275" priority="192">
      <formula>AD$9&lt;8/24</formula>
    </cfRule>
  </conditionalFormatting>
  <conditionalFormatting sqref="AH213:AX213">
    <cfRule type="expression" dxfId="5274" priority="235">
      <formula>AG$9&gt;=20/24</formula>
    </cfRule>
    <cfRule type="expression" dxfId="5273" priority="236">
      <formula>AND(AG$9&gt;=14/24,AG$9&lt;20/24)</formula>
    </cfRule>
    <cfRule type="expression" dxfId="5272" priority="237">
      <formula>AND(AG$9&gt;=8/24,AG$9&lt;14/24)</formula>
    </cfRule>
    <cfRule type="expression" dxfId="5271" priority="238">
      <formula>AG$9&lt;8/24</formula>
    </cfRule>
  </conditionalFormatting>
  <conditionalFormatting sqref="T213">
    <cfRule type="expression" dxfId="5270" priority="239">
      <formula>AX$9&gt;=20/24</formula>
    </cfRule>
    <cfRule type="expression" dxfId="5269" priority="240">
      <formula>AND(AX$9&gt;=14/24,AX$9&lt;20/24)</formula>
    </cfRule>
    <cfRule type="expression" dxfId="5268" priority="241">
      <formula>AND(AX$9&gt;=8/24,AX$9&lt;14/24)</formula>
    </cfRule>
    <cfRule type="expression" dxfId="5267" priority="242">
      <formula>AX$9&lt;8/24</formula>
    </cfRule>
  </conditionalFormatting>
  <conditionalFormatting sqref="A99:A100">
    <cfRule type="expression" dxfId="5266" priority="188">
      <formula>$AH99=0</formula>
    </cfRule>
  </conditionalFormatting>
  <conditionalFormatting sqref="F11:J11 E40:N41 D57:AF57 S40:W41 Y40:AF41">
    <cfRule type="expression" dxfId="5265" priority="184">
      <formula>D$9&gt;=20/24</formula>
    </cfRule>
    <cfRule type="expression" dxfId="5264" priority="185">
      <formula>AND(D$9&gt;=14/24,D$9&lt;20/24)</formula>
    </cfRule>
    <cfRule type="expression" dxfId="5263" priority="186">
      <formula>AND(D$9&gt;=8/24,D$9&lt;14/24)</formula>
    </cfRule>
    <cfRule type="expression" dxfId="5262" priority="187">
      <formula>D$9&lt;8/24</formula>
    </cfRule>
  </conditionalFormatting>
  <conditionalFormatting sqref="E39:N39 S39:W39 Y39:AF39">
    <cfRule type="expression" dxfId="5261" priority="180">
      <formula>E$9&gt;=20/24</formula>
    </cfRule>
    <cfRule type="expression" dxfId="5260" priority="181">
      <formula>AND(E$9&gt;=14/24,E$9&lt;20/24)</formula>
    </cfRule>
    <cfRule type="expression" dxfId="5259" priority="182">
      <formula>AND(E$9&gt;=8/24,E$9&lt;14/24)</formula>
    </cfRule>
    <cfRule type="expression" dxfId="5258" priority="183">
      <formula>E$9&lt;8/24</formula>
    </cfRule>
  </conditionalFormatting>
  <conditionalFormatting sqref="F11:J11 E39:N41 S39:W41 Y39:AF41">
    <cfRule type="expression" dxfId="5257" priority="179">
      <formula>E11&gt;$AG11</formula>
    </cfRule>
  </conditionalFormatting>
  <conditionalFormatting sqref="M11 C81:AF81 C69:AF72 C56:AF56 E14:K14 F12:K13 L12:M14 D67:L67 D58:L63 N11:AA14 D53:AF55 M24:AF26 AB12:AF14 D36:AF36 M16:AF16 M18:AF22 M58:AF67 C85:AF91">
    <cfRule type="expression" dxfId="5256" priority="175">
      <formula>C$9&gt;=20/24</formula>
    </cfRule>
    <cfRule type="expression" dxfId="5255" priority="176">
      <formula>AND(C$9&gt;=14/24,C$9&lt;20/24)</formula>
    </cfRule>
    <cfRule type="expression" dxfId="5254" priority="177">
      <formula>AND(C$9&gt;=8/24,C$9&lt;14/24)</formula>
    </cfRule>
    <cfRule type="expression" dxfId="5253" priority="178">
      <formula>C$9&lt;8/24</formula>
    </cfRule>
  </conditionalFormatting>
  <conditionalFormatting sqref="E14:F14 C51:AF51 C56:AF56 F15 E42:K43 G14:K15 F12:K13 F44:K44 L12:L15 L42:N42 L43:L44 D36:AA37 M11:AA16 D53:AF55 M24:AF26 AB36:AF36 AB12:AF16 M18:AF22 AB42:AF43">
    <cfRule type="expression" dxfId="5252" priority="166">
      <formula>C11&gt;$AG11</formula>
    </cfRule>
  </conditionalFormatting>
  <conditionalFormatting sqref="F15:AF15">
    <cfRule type="expression" dxfId="5251" priority="158">
      <formula>F$9&gt;=20/24</formula>
    </cfRule>
    <cfRule type="expression" dxfId="5250" priority="159">
      <formula>AND(F$9&gt;=14/24,F$9&lt;20/24)</formula>
    </cfRule>
    <cfRule type="expression" dxfId="5249" priority="160">
      <formula>AND(F$9&gt;=8/24,F$9&lt;14/24)</formula>
    </cfRule>
    <cfRule type="expression" dxfId="5248" priority="161">
      <formula>F$9&lt;8/24</formula>
    </cfRule>
  </conditionalFormatting>
  <conditionalFormatting sqref="X42:AA43 AB44:AF44">
    <cfRule type="expression" dxfId="5247" priority="145">
      <formula>X$9&gt;=20/24</formula>
    </cfRule>
    <cfRule type="expression" dxfId="5246" priority="146">
      <formula>AND(X$9&gt;=14/24,X$9&lt;20/24)</formula>
    </cfRule>
    <cfRule type="expression" dxfId="5245" priority="147">
      <formula>AND(X$9&gt;=8/24,X$9&lt;14/24)</formula>
    </cfRule>
    <cfRule type="expression" dxfId="5244" priority="148">
      <formula>X$9&lt;8/24</formula>
    </cfRule>
  </conditionalFormatting>
  <conditionalFormatting sqref="X42:AA43 AB44:AF44">
    <cfRule type="expression" dxfId="5243" priority="144">
      <formula>X42&gt;$AG42</formula>
    </cfRule>
  </conditionalFormatting>
  <conditionalFormatting sqref="X44:AA50 O39:R50 S42:W50 AB45:AF50">
    <cfRule type="expression" dxfId="5242" priority="140">
      <formula>O$9&gt;=20/24</formula>
    </cfRule>
    <cfRule type="expression" dxfId="5241" priority="141">
      <formula>AND(O$9&gt;=14/24,O$9&lt;20/24)</formula>
    </cfRule>
    <cfRule type="expression" dxfId="5240" priority="142">
      <formula>AND(O$9&gt;=8/24,O$9&lt;14/24)</formula>
    </cfRule>
    <cfRule type="expression" dxfId="5239" priority="143">
      <formula>O$9&lt;8/24</formula>
    </cfRule>
  </conditionalFormatting>
  <conditionalFormatting sqref="X44:AA50 O39:R50 S42:W50 AB45:AF50">
    <cfRule type="expression" dxfId="5238" priority="139">
      <formula>O39&gt;$AG39</formula>
    </cfRule>
  </conditionalFormatting>
  <conditionalFormatting sqref="D14 D16:L31 M23:AF23 M17:AF17 M27:AF31">
    <cfRule type="expression" dxfId="5237" priority="131">
      <formula>D$9&gt;=20/24</formula>
    </cfRule>
    <cfRule type="expression" dxfId="5236" priority="132">
      <formula>AND(D$9&gt;=14/24,D$9&lt;20/24)</formula>
    </cfRule>
    <cfRule type="expression" dxfId="5235" priority="133">
      <formula>AND(D$9&gt;=8/24,D$9&lt;14/24)</formula>
    </cfRule>
    <cfRule type="expression" dxfId="5234" priority="134">
      <formula>D$9&lt;8/24</formula>
    </cfRule>
  </conditionalFormatting>
  <conditionalFormatting sqref="D32:AF32">
    <cfRule type="expression" dxfId="5233" priority="127">
      <formula>D$9&gt;=20/24</formula>
    </cfRule>
    <cfRule type="expression" dxfId="5232" priority="128">
      <formula>AND(D$9&gt;=14/24,D$9&lt;20/24)</formula>
    </cfRule>
    <cfRule type="expression" dxfId="5231" priority="129">
      <formula>AND(D$9&gt;=8/24,D$9&lt;14/24)</formula>
    </cfRule>
    <cfRule type="expression" dxfId="5230" priority="130">
      <formula>D$9&lt;8/24</formula>
    </cfRule>
  </conditionalFormatting>
  <conditionalFormatting sqref="D35:AF35">
    <cfRule type="expression" dxfId="5229" priority="123">
      <formula>D$9&gt;=20/24</formula>
    </cfRule>
    <cfRule type="expression" dxfId="5228" priority="124">
      <formula>AND(D$9&gt;=14/24,D$9&lt;20/24)</formula>
    </cfRule>
    <cfRule type="expression" dxfId="5227" priority="125">
      <formula>AND(D$9&gt;=8/24,D$9&lt;14/24)</formula>
    </cfRule>
    <cfRule type="expression" dxfId="5226" priority="126">
      <formula>D$9&lt;8/24</formula>
    </cfRule>
  </conditionalFormatting>
  <conditionalFormatting sqref="D22:F32 D14:D21 F16:F21 E15:E21 F22:J22 G16:L32 M23:AF23 M17:AF17 D34:AF35 M27:AF32">
    <cfRule type="expression" dxfId="5225" priority="122">
      <formula>D14&gt;$AG14</formula>
    </cfRule>
  </conditionalFormatting>
  <conditionalFormatting sqref="D34:AF34">
    <cfRule type="expression" dxfId="5224" priority="118">
      <formula>D$9&gt;=20/24</formula>
    </cfRule>
    <cfRule type="expression" dxfId="5223" priority="119">
      <formula>AND(D$9&gt;=14/24,D$9&lt;20/24)</formula>
    </cfRule>
    <cfRule type="expression" dxfId="5222" priority="120">
      <formula>AND(D$9&gt;=8/24,D$9&lt;14/24)</formula>
    </cfRule>
    <cfRule type="expression" dxfId="5221" priority="121">
      <formula>D$9&lt;8/24</formula>
    </cfRule>
  </conditionalFormatting>
  <conditionalFormatting sqref="D15:E15">
    <cfRule type="expression" dxfId="5220" priority="114">
      <formula>D$9&gt;=20/24</formula>
    </cfRule>
    <cfRule type="expression" dxfId="5219" priority="115">
      <formula>AND(D$9&gt;=14/24,D$9&lt;20/24)</formula>
    </cfRule>
    <cfRule type="expression" dxfId="5218" priority="116">
      <formula>AND(D$9&gt;=8/24,D$9&lt;14/24)</formula>
    </cfRule>
    <cfRule type="expression" dxfId="5217" priority="117">
      <formula>D$9&lt;8/24</formula>
    </cfRule>
  </conditionalFormatting>
  <conditionalFormatting sqref="D33:AF33">
    <cfRule type="expression" dxfId="5216" priority="110">
      <formula>D$9&gt;=20/24</formula>
    </cfRule>
    <cfRule type="expression" dxfId="5215" priority="111">
      <formula>AND(D$9&gt;=14/24,D$9&lt;20/24)</formula>
    </cfRule>
    <cfRule type="expression" dxfId="5214" priority="112">
      <formula>AND(D$9&gt;=8/24,D$9&lt;14/24)</formula>
    </cfRule>
    <cfRule type="expression" dxfId="5213" priority="113">
      <formula>D$9&lt;8/24</formula>
    </cfRule>
  </conditionalFormatting>
  <conditionalFormatting sqref="D33:AF33">
    <cfRule type="expression" dxfId="5212" priority="109">
      <formula>D33&gt;$AG33</formula>
    </cfRule>
  </conditionalFormatting>
  <conditionalFormatting sqref="D40:D41">
    <cfRule type="expression" dxfId="5211" priority="105">
      <formula>D$9&gt;=20/24</formula>
    </cfRule>
    <cfRule type="expression" dxfId="5210" priority="106">
      <formula>AND(D$9&gt;=14/24,D$9&lt;20/24)</formula>
    </cfRule>
    <cfRule type="expression" dxfId="5209" priority="107">
      <formula>AND(D$9&gt;=8/24,D$9&lt;14/24)</formula>
    </cfRule>
    <cfRule type="expression" dxfId="5208" priority="108">
      <formula>D$9&lt;8/24</formula>
    </cfRule>
  </conditionalFormatting>
  <conditionalFormatting sqref="D39">
    <cfRule type="expression" dxfId="5207" priority="101">
      <formula>D$9&gt;=20/24</formula>
    </cfRule>
    <cfRule type="expression" dxfId="5206" priority="102">
      <formula>AND(D$9&gt;=14/24,D$9&lt;20/24)</formula>
    </cfRule>
    <cfRule type="expression" dxfId="5205" priority="103">
      <formula>AND(D$9&gt;=8/24,D$9&lt;14/24)</formula>
    </cfRule>
    <cfRule type="expression" dxfId="5204" priority="104">
      <formula>D$9&lt;8/24</formula>
    </cfRule>
  </conditionalFormatting>
  <conditionalFormatting sqref="D39:D41">
    <cfRule type="expression" dxfId="5203" priority="100">
      <formula>D39&gt;$AG39</formula>
    </cfRule>
  </conditionalFormatting>
  <conditionalFormatting sqref="D64:L66">
    <cfRule type="expression" dxfId="5202" priority="96">
      <formula>D$9&gt;=20/24</formula>
    </cfRule>
    <cfRule type="expression" dxfId="5201" priority="97">
      <formula>AND(D$9&gt;=14/24,D$9&lt;20/24)</formula>
    </cfRule>
    <cfRule type="expression" dxfId="5200" priority="98">
      <formula>AND(D$9&gt;=8/24,D$9&lt;14/24)</formula>
    </cfRule>
    <cfRule type="expression" dxfId="5199" priority="99">
      <formula>D$9&lt;8/24</formula>
    </cfRule>
  </conditionalFormatting>
  <conditionalFormatting sqref="D42:D43">
    <cfRule type="expression" dxfId="5198" priority="95">
      <formula>D42&gt;$AG42</formula>
    </cfRule>
  </conditionalFormatting>
  <conditionalFormatting sqref="D44:E49 F45:N50">
    <cfRule type="expression" dxfId="5197" priority="91">
      <formula>D$9&gt;=20/24</formula>
    </cfRule>
    <cfRule type="expression" dxfId="5196" priority="92">
      <formula>AND(D$9&gt;=14/24,D$9&lt;20/24)</formula>
    </cfRule>
    <cfRule type="expression" dxfId="5195" priority="93">
      <formula>AND(D$9&gt;=8/24,D$9&lt;14/24)</formula>
    </cfRule>
    <cfRule type="expression" dxfId="5194" priority="94">
      <formula>D$9&lt;8/24</formula>
    </cfRule>
  </conditionalFormatting>
  <conditionalFormatting sqref="D44:E49 F45:N50">
    <cfRule type="expression" dxfId="5193" priority="90">
      <formula>D44&gt;$AG44</formula>
    </cfRule>
  </conditionalFormatting>
  <conditionalFormatting sqref="X40:X41">
    <cfRule type="expression" dxfId="5192" priority="86">
      <formula>X$9&gt;=20/24</formula>
    </cfRule>
    <cfRule type="expression" dxfId="5191" priority="87">
      <formula>AND(X$9&gt;=14/24,X$9&lt;20/24)</formula>
    </cfRule>
    <cfRule type="expression" dxfId="5190" priority="88">
      <formula>AND(X$9&gt;=8/24,X$9&lt;14/24)</formula>
    </cfRule>
    <cfRule type="expression" dxfId="5189" priority="89">
      <formula>X$9&lt;8/24</formula>
    </cfRule>
  </conditionalFormatting>
  <conditionalFormatting sqref="X39">
    <cfRule type="expression" dxfId="5188" priority="82">
      <formula>X$9&gt;=20/24</formula>
    </cfRule>
    <cfRule type="expression" dxfId="5187" priority="83">
      <formula>AND(X$9&gt;=14/24,X$9&lt;20/24)</formula>
    </cfRule>
    <cfRule type="expression" dxfId="5186" priority="84">
      <formula>AND(X$9&gt;=8/24,X$9&lt;14/24)</formula>
    </cfRule>
    <cfRule type="expression" dxfId="5185" priority="85">
      <formula>X$9&lt;8/24</formula>
    </cfRule>
  </conditionalFormatting>
  <conditionalFormatting sqref="X39:X41">
    <cfRule type="expression" dxfId="5184" priority="81">
      <formula>X39&gt;$AG39</formula>
    </cfRule>
  </conditionalFormatting>
  <conditionalFormatting sqref="B74:AF74 B82:AF82 B11:E11">
    <cfRule type="expression" dxfId="5183" priority="77">
      <formula>B$9&gt;=20/24</formula>
    </cfRule>
    <cfRule type="expression" dxfId="5182" priority="78">
      <formula>AND(B$9&gt;=14/24,B$9&lt;20/24)</formula>
    </cfRule>
    <cfRule type="expression" dxfId="5181" priority="79">
      <formula>AND(B$9&gt;=8/24,B$9&lt;14/24)</formula>
    </cfRule>
    <cfRule type="expression" dxfId="5180" priority="80">
      <formula>B$9&lt;8/24</formula>
    </cfRule>
  </conditionalFormatting>
  <conditionalFormatting sqref="B37:C37">
    <cfRule type="expression" dxfId="5179" priority="73">
      <formula>B$9&gt;=20/24</formula>
    </cfRule>
    <cfRule type="expression" dxfId="5178" priority="74">
      <formula>AND(B$9&gt;=14/24,B$9&lt;20/24)</formula>
    </cfRule>
    <cfRule type="expression" dxfId="5177" priority="75">
      <formula>AND(B$9&gt;=8/24,B$9&lt;14/24)</formula>
    </cfRule>
    <cfRule type="expression" dxfId="5176" priority="76">
      <formula>B$9&lt;8/24</formula>
    </cfRule>
  </conditionalFormatting>
  <conditionalFormatting sqref="B37:C37 B11:E11">
    <cfRule type="expression" dxfId="5175" priority="72">
      <formula>B11&gt;$AG11</formula>
    </cfRule>
  </conditionalFormatting>
  <conditionalFormatting sqref="B84">
    <cfRule type="expression" dxfId="5174" priority="68">
      <formula>B$9&gt;=20/24</formula>
    </cfRule>
    <cfRule type="expression" dxfId="5173" priority="69">
      <formula>AND(B$9&gt;=14/24,B$9&lt;20/24)</formula>
    </cfRule>
    <cfRule type="expression" dxfId="5172" priority="70">
      <formula>AND(B$9&gt;=8/24,B$9&lt;14/24)</formula>
    </cfRule>
    <cfRule type="expression" dxfId="5171" priority="71">
      <formula>B$9&lt;8/24</formula>
    </cfRule>
  </conditionalFormatting>
  <conditionalFormatting sqref="B36:C36 B40:C41 B57:C57">
    <cfRule type="expression" dxfId="5170" priority="64">
      <formula>B$9&gt;=20/24</formula>
    </cfRule>
    <cfRule type="expression" dxfId="5169" priority="65">
      <formula>AND(B$9&gt;=14/24,B$9&lt;20/24)</formula>
    </cfRule>
    <cfRule type="expression" dxfId="5168" priority="66">
      <formula>AND(B$9&gt;=8/24,B$9&lt;14/24)</formula>
    </cfRule>
    <cfRule type="expression" dxfId="5167" priority="67">
      <formula>B$9&lt;8/24</formula>
    </cfRule>
  </conditionalFormatting>
  <conditionalFormatting sqref="B39:C39">
    <cfRule type="expression" dxfId="5166" priority="60">
      <formula>B$9&gt;=20/24</formula>
    </cfRule>
    <cfRule type="expression" dxfId="5165" priority="61">
      <formula>AND(B$9&gt;=14/24,B$9&lt;20/24)</formula>
    </cfRule>
    <cfRule type="expression" dxfId="5164" priority="62">
      <formula>AND(B$9&gt;=8/24,B$9&lt;14/24)</formula>
    </cfRule>
    <cfRule type="expression" dxfId="5163" priority="63">
      <formula>B$9&lt;8/24</formula>
    </cfRule>
  </conditionalFormatting>
  <conditionalFormatting sqref="B36:C36 B39:C41">
    <cfRule type="expression" dxfId="5162" priority="59">
      <formula>B36&gt;$AG36</formula>
    </cfRule>
  </conditionalFormatting>
  <conditionalFormatting sqref="B85:B91 B53:B56 B69:B73 B75:AF75 C73:AF73 B81 B83:AF83 B12:C14 B16:C16 B28:C31 B18:C22 B24:C26 C53:C55 B58:C67 D12:E13">
    <cfRule type="expression" dxfId="5161" priority="55">
      <formula>B$9&gt;=20/24</formula>
    </cfRule>
    <cfRule type="expression" dxfId="5160" priority="56">
      <formula>AND(B$9&gt;=14/24,B$9&lt;20/24)</formula>
    </cfRule>
    <cfRule type="expression" dxfId="5159" priority="57">
      <formula>AND(B$9&gt;=8/24,B$9&lt;14/24)</formula>
    </cfRule>
    <cfRule type="expression" dxfId="5158" priority="58">
      <formula>B$9&lt;8/24</formula>
    </cfRule>
  </conditionalFormatting>
  <conditionalFormatting sqref="B32:C32">
    <cfRule type="expression" dxfId="5157" priority="51">
      <formula>B$9&gt;=20/24</formula>
    </cfRule>
    <cfRule type="expression" dxfId="5156" priority="52">
      <formula>AND(B$9&gt;=14/24,B$9&lt;20/24)</formula>
    </cfRule>
    <cfRule type="expression" dxfId="5155" priority="53">
      <formula>AND(B$9&gt;=8/24,B$9&lt;14/24)</formula>
    </cfRule>
    <cfRule type="expression" dxfId="5154" priority="54">
      <formula>B$9&lt;8/24</formula>
    </cfRule>
  </conditionalFormatting>
  <conditionalFormatting sqref="B35:C35">
    <cfRule type="expression" dxfId="5153" priority="47">
      <formula>B$9&gt;=20/24</formula>
    </cfRule>
    <cfRule type="expression" dxfId="5152" priority="48">
      <formula>AND(B$9&gt;=14/24,B$9&lt;20/24)</formula>
    </cfRule>
    <cfRule type="expression" dxfId="5151" priority="49">
      <formula>AND(B$9&gt;=8/24,B$9&lt;14/24)</formula>
    </cfRule>
    <cfRule type="expression" dxfId="5150" priority="50">
      <formula>B$9&lt;8/24</formula>
    </cfRule>
  </conditionalFormatting>
  <conditionalFormatting sqref="B51:B56 B38:AF38 C52:AF52 B34:C35 B12:C16 B18:C22 B24:C32 B42:C43 C53:C55 D12:E13">
    <cfRule type="expression" dxfId="5149" priority="46">
      <formula>B12&gt;$AG12</formula>
    </cfRule>
  </conditionalFormatting>
  <conditionalFormatting sqref="B34:C34">
    <cfRule type="expression" dxfId="5148" priority="42">
      <formula>B$9&gt;=20/24</formula>
    </cfRule>
    <cfRule type="expression" dxfId="5147" priority="43">
      <formula>AND(B$9&gt;=14/24,B$9&lt;20/24)</formula>
    </cfRule>
    <cfRule type="expression" dxfId="5146" priority="44">
      <formula>AND(B$9&gt;=8/24,B$9&lt;14/24)</formula>
    </cfRule>
    <cfRule type="expression" dxfId="5145" priority="45">
      <formula>B$9&lt;8/24</formula>
    </cfRule>
  </conditionalFormatting>
  <conditionalFormatting sqref="B15:C15">
    <cfRule type="expression" dxfId="5144" priority="38">
      <formula>B$9&gt;=20/24</formula>
    </cfRule>
    <cfRule type="expression" dxfId="5143" priority="39">
      <formula>AND(B$9&gt;=14/24,B$9&lt;20/24)</formula>
    </cfRule>
    <cfRule type="expression" dxfId="5142" priority="40">
      <formula>AND(B$9&gt;=8/24,B$9&lt;14/24)</formula>
    </cfRule>
    <cfRule type="expression" dxfId="5141" priority="41">
      <formula>B$9&lt;8/24</formula>
    </cfRule>
  </conditionalFormatting>
  <conditionalFormatting sqref="B33:C33">
    <cfRule type="expression" dxfId="5140" priority="34">
      <formula>B$9&gt;=20/24</formula>
    </cfRule>
    <cfRule type="expression" dxfId="5139" priority="35">
      <formula>AND(B$9&gt;=14/24,B$9&lt;20/24)</formula>
    </cfRule>
    <cfRule type="expression" dxfId="5138" priority="36">
      <formula>AND(B$9&gt;=8/24,B$9&lt;14/24)</formula>
    </cfRule>
    <cfRule type="expression" dxfId="5137" priority="37">
      <formula>B$9&lt;8/24</formula>
    </cfRule>
  </conditionalFormatting>
  <conditionalFormatting sqref="B33:C33">
    <cfRule type="expression" dxfId="5136" priority="33">
      <formula>B33&gt;$AG33</formula>
    </cfRule>
  </conditionalFormatting>
  <conditionalFormatting sqref="B44:C50 D50:E50">
    <cfRule type="expression" dxfId="5135" priority="29">
      <formula>B$9&gt;=20/24</formula>
    </cfRule>
    <cfRule type="expression" dxfId="5134" priority="30">
      <formula>AND(B$9&gt;=14/24,B$9&lt;20/24)</formula>
    </cfRule>
    <cfRule type="expression" dxfId="5133" priority="31">
      <formula>AND(B$9&gt;=8/24,B$9&lt;14/24)</formula>
    </cfRule>
    <cfRule type="expression" dxfId="5132" priority="32">
      <formula>B$9&lt;8/24</formula>
    </cfRule>
  </conditionalFormatting>
  <conditionalFormatting sqref="B44:C50 D50:E50">
    <cfRule type="expression" dxfId="5131" priority="28">
      <formula>B44&gt;$AG44</formula>
    </cfRule>
  </conditionalFormatting>
  <conditionalFormatting sqref="B27:C27">
    <cfRule type="expression" dxfId="5130" priority="24">
      <formula>B$9&gt;=20/24</formula>
    </cfRule>
    <cfRule type="expression" dxfId="5129" priority="25">
      <formula>AND(B$9&gt;=14/24,B$9&lt;20/24)</formula>
    </cfRule>
    <cfRule type="expression" dxfId="5128" priority="26">
      <formula>AND(B$9&gt;=8/24,B$9&lt;14/24)</formula>
    </cfRule>
    <cfRule type="expression" dxfId="5127" priority="27">
      <formula>B$9&lt;8/24</formula>
    </cfRule>
  </conditionalFormatting>
  <conditionalFormatting sqref="B17:C17 B23:C23">
    <cfRule type="expression" dxfId="5126" priority="20">
      <formula>B$9&gt;=20/24</formula>
    </cfRule>
    <cfRule type="expression" dxfId="5125" priority="21">
      <formula>AND(B$9&gt;=14/24,B$9&lt;20/24)</formula>
    </cfRule>
    <cfRule type="expression" dxfId="5124" priority="22">
      <formula>AND(B$9&gt;=8/24,B$9&lt;14/24)</formula>
    </cfRule>
    <cfRule type="expression" dxfId="5123" priority="23">
      <formula>B$9&lt;8/24</formula>
    </cfRule>
  </conditionalFormatting>
  <conditionalFormatting sqref="B17:C17 B23:C23">
    <cfRule type="expression" dxfId="5122" priority="19">
      <formula>B17&gt;$AG17</formula>
    </cfRule>
  </conditionalFormatting>
  <conditionalFormatting sqref="A33">
    <cfRule type="expression" dxfId="5121" priority="18">
      <formula>$AH33=0</formula>
    </cfRule>
  </conditionalFormatting>
  <conditionalFormatting sqref="B68:AF68">
    <cfRule type="expression" dxfId="5120" priority="14">
      <formula>B$9&gt;=20/24</formula>
    </cfRule>
    <cfRule type="expression" dxfId="5119" priority="15">
      <formula>AND(B$9&gt;=14/24,B$9&lt;20/24)</formula>
    </cfRule>
    <cfRule type="expression" dxfId="5118" priority="16">
      <formula>AND(B$9&gt;=8/24,B$9&lt;14/24)</formula>
    </cfRule>
    <cfRule type="expression" dxfId="5117" priority="17">
      <formula>B$9&lt;8/24</formula>
    </cfRule>
  </conditionalFormatting>
  <conditionalFormatting sqref="B76:AF80">
    <cfRule type="expression" dxfId="5116" priority="10">
      <formula>B$9&gt;=20/24</formula>
    </cfRule>
    <cfRule type="expression" dxfId="5115" priority="11">
      <formula>AND(B$9&gt;=14/24,B$9&lt;20/24)</formula>
    </cfRule>
    <cfRule type="expression" dxfId="5114" priority="12">
      <formula>AND(B$9&gt;=8/24,B$9&lt;14/24)</formula>
    </cfRule>
    <cfRule type="expression" dxfId="5113" priority="13">
      <formula>B$9&lt;8/24</formula>
    </cfRule>
  </conditionalFormatting>
  <conditionalFormatting sqref="M43:N44">
    <cfRule type="expression" dxfId="5112" priority="1">
      <formula>M43&gt;$AG43</formula>
    </cfRule>
  </conditionalFormatting>
  <conditionalFormatting sqref="B94:B100">
    <cfRule type="expression" dxfId="5111" priority="6">
      <formula>B$9&gt;=20/24</formula>
    </cfRule>
    <cfRule type="expression" dxfId="5110" priority="7">
      <formula>AND(B$9&gt;=14/24,B$9&lt;20/24)</formula>
    </cfRule>
    <cfRule type="expression" dxfId="5109" priority="8">
      <formula>AND(B$9&gt;=8/24,B$9&lt;14/24)</formula>
    </cfRule>
    <cfRule type="expression" dxfId="5108" priority="9">
      <formula>B$9&lt;8/24</formula>
    </cfRule>
  </conditionalFormatting>
  <conditionalFormatting sqref="M43:N44">
    <cfRule type="expression" dxfId="5107" priority="2">
      <formula>M$9&gt;=20/24</formula>
    </cfRule>
    <cfRule type="expression" dxfId="5106" priority="3">
      <formula>AND(M$9&gt;=14/24,M$9&lt;20/24)</formula>
    </cfRule>
    <cfRule type="expression" dxfId="5105" priority="4">
      <formula>AND(M$9&gt;=8/24,M$9&lt;14/24)</formula>
    </cfRule>
    <cfRule type="expression" dxfId="5104" priority="5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15" sqref="L1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2079/02/9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86.45</v>
      </c>
      <c r="C5" s="32">
        <f t="shared" si="0"/>
        <v>86.36</v>
      </c>
      <c r="D5" s="32">
        <f t="shared" si="0"/>
        <v>88.2</v>
      </c>
      <c r="E5" s="32">
        <f t="shared" si="0"/>
        <v>94</v>
      </c>
      <c r="F5" s="32">
        <f t="shared" si="0"/>
        <v>90</v>
      </c>
      <c r="G5" s="32">
        <f t="shared" si="0"/>
        <v>82</v>
      </c>
      <c r="H5" s="32">
        <f t="shared" si="0"/>
        <v>80</v>
      </c>
      <c r="I5" s="32">
        <f t="shared" si="0"/>
        <v>76</v>
      </c>
      <c r="J5" s="32">
        <f t="shared" si="0"/>
        <v>74.2</v>
      </c>
      <c r="K5" s="32">
        <f t="shared" si="0"/>
        <v>84.1</v>
      </c>
      <c r="L5" s="32">
        <f t="shared" si="0"/>
        <v>87.5</v>
      </c>
      <c r="M5" s="32">
        <f t="shared" si="0"/>
        <v>84.2</v>
      </c>
      <c r="N5" s="32">
        <f t="shared" si="0"/>
        <v>87.5</v>
      </c>
      <c r="O5" s="32">
        <f t="shared" si="0"/>
        <v>92.7</v>
      </c>
      <c r="P5" s="32">
        <f t="shared" si="0"/>
        <v>88.1</v>
      </c>
      <c r="Q5" s="32">
        <f t="shared" si="0"/>
        <v>91</v>
      </c>
      <c r="R5" s="32">
        <f t="shared" si="0"/>
        <v>88</v>
      </c>
      <c r="S5" s="32">
        <f t="shared" si="0"/>
        <v>97</v>
      </c>
      <c r="T5" s="32">
        <f t="shared" si="0"/>
        <v>89.1</v>
      </c>
      <c r="U5" s="32">
        <f t="shared" si="0"/>
        <v>94.6</v>
      </c>
      <c r="V5" s="32">
        <f t="shared" si="0"/>
        <v>93.4</v>
      </c>
      <c r="W5" s="32">
        <f t="shared" si="0"/>
        <v>76</v>
      </c>
      <c r="X5" s="32">
        <f t="shared" si="0"/>
        <v>91.35</v>
      </c>
      <c r="Y5" s="32">
        <f t="shared" si="0"/>
        <v>106</v>
      </c>
      <c r="Z5" s="32">
        <f t="shared" si="0"/>
        <v>104.65</v>
      </c>
      <c r="AA5" s="32">
        <f t="shared" si="0"/>
        <v>102.31</v>
      </c>
      <c r="AB5" s="32">
        <f t="shared" si="0"/>
        <v>102.68</v>
      </c>
      <c r="AC5" s="32">
        <f t="shared" si="0"/>
        <v>110</v>
      </c>
      <c r="AD5" s="32">
        <f t="shared" si="0"/>
        <v>35</v>
      </c>
      <c r="AE5" s="32">
        <f t="shared" si="0"/>
        <v>90</v>
      </c>
      <c r="AF5" s="32">
        <f>B68</f>
        <v>87.5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1719MW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Load=1628</v>
      </c>
      <c r="B7" s="37">
        <f>B75</f>
        <v>1712.84</v>
      </c>
      <c r="C7" s="37">
        <f t="shared" ref="C7:AF7" si="1">C75</f>
        <v>1689.79</v>
      </c>
      <c r="D7" s="37">
        <f t="shared" si="1"/>
        <v>1687.6</v>
      </c>
      <c r="E7" s="37">
        <f t="shared" si="1"/>
        <v>1700.94</v>
      </c>
      <c r="F7" s="37">
        <f t="shared" si="1"/>
        <v>1722.4399999999998</v>
      </c>
      <c r="G7" s="37">
        <f t="shared" si="1"/>
        <v>1716.74</v>
      </c>
      <c r="H7" s="37">
        <f t="shared" si="1"/>
        <v>1708.74</v>
      </c>
      <c r="I7" s="37">
        <f t="shared" si="1"/>
        <v>1706.74</v>
      </c>
      <c r="J7" s="37">
        <f t="shared" si="1"/>
        <v>1702.74</v>
      </c>
      <c r="K7" s="37">
        <f t="shared" si="1"/>
        <v>1700.34</v>
      </c>
      <c r="L7" s="37">
        <f t="shared" si="1"/>
        <v>1718.54</v>
      </c>
      <c r="M7" s="37">
        <f t="shared" si="1"/>
        <v>1628.2399999999998</v>
      </c>
      <c r="N7" s="37">
        <f t="shared" si="1"/>
        <v>1680.9399999999998</v>
      </c>
      <c r="O7" s="37">
        <f t="shared" si="1"/>
        <v>1682.44</v>
      </c>
      <c r="P7" s="37">
        <f t="shared" si="1"/>
        <v>1690.24</v>
      </c>
      <c r="Q7" s="37">
        <f t="shared" si="1"/>
        <v>1745.6399999999999</v>
      </c>
      <c r="R7" s="37">
        <f t="shared" si="1"/>
        <v>1735.04</v>
      </c>
      <c r="S7" s="37">
        <f t="shared" si="1"/>
        <v>1656.04</v>
      </c>
      <c r="T7" s="37">
        <f t="shared" si="1"/>
        <v>1665.04</v>
      </c>
      <c r="U7" s="37">
        <f t="shared" si="1"/>
        <v>1726.5399999999997</v>
      </c>
      <c r="V7" s="37">
        <f t="shared" si="1"/>
        <v>1729.5399999999997</v>
      </c>
      <c r="W7" s="37">
        <f t="shared" si="1"/>
        <v>1728.34</v>
      </c>
      <c r="X7" s="37">
        <f t="shared" si="1"/>
        <v>1710.9399999999998</v>
      </c>
      <c r="Y7" s="37">
        <f t="shared" si="1"/>
        <v>1726.2899999999997</v>
      </c>
      <c r="Z7" s="37">
        <f t="shared" si="1"/>
        <v>1725.9399999999998</v>
      </c>
      <c r="AA7" s="37">
        <f t="shared" si="1"/>
        <v>1744.59</v>
      </c>
      <c r="AB7" s="37">
        <f t="shared" si="1"/>
        <v>1749.5499999999997</v>
      </c>
      <c r="AC7" s="37">
        <f t="shared" si="1"/>
        <v>1747.4199999999998</v>
      </c>
      <c r="AD7" s="37">
        <f t="shared" si="1"/>
        <v>1749.7399999999998</v>
      </c>
      <c r="AE7" s="37">
        <f t="shared" si="1"/>
        <v>1654.7399999999998</v>
      </c>
      <c r="AF7" s="37">
        <f t="shared" si="1"/>
        <v>1734.7399999999998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51">
        <v>458</v>
      </c>
      <c r="G11" s="51">
        <v>456</v>
      </c>
      <c r="H11" s="51">
        <v>456</v>
      </c>
      <c r="I11" s="51">
        <v>456</v>
      </c>
      <c r="J11" s="51">
        <v>456</v>
      </c>
      <c r="K11" s="52">
        <v>456</v>
      </c>
      <c r="L11" s="52">
        <v>456</v>
      </c>
      <c r="M11" s="51">
        <v>400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3">
        <v>380</v>
      </c>
      <c r="T11" s="53">
        <v>380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458</v>
      </c>
      <c r="AI11" s="56">
        <f>MIN(B11:AF11)</f>
        <v>380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53.4</v>
      </c>
      <c r="C13" s="51">
        <v>53.4</v>
      </c>
      <c r="D13" s="51">
        <v>53.4</v>
      </c>
      <c r="E13" s="51">
        <v>53.4</v>
      </c>
      <c r="F13" s="51">
        <v>53.4</v>
      </c>
      <c r="G13" s="51">
        <v>53.4</v>
      </c>
      <c r="H13" s="51">
        <v>53.4</v>
      </c>
      <c r="I13" s="51">
        <v>53.4</v>
      </c>
      <c r="J13" s="51">
        <v>53.4</v>
      </c>
      <c r="K13" s="51">
        <v>53.4</v>
      </c>
      <c r="L13" s="51">
        <v>53.4</v>
      </c>
      <c r="M13" s="51">
        <v>53.4</v>
      </c>
      <c r="N13" s="51">
        <v>53.4</v>
      </c>
      <c r="O13" s="51">
        <v>53.3</v>
      </c>
      <c r="P13" s="51">
        <v>53.3</v>
      </c>
      <c r="Q13" s="51">
        <v>53.3</v>
      </c>
      <c r="R13" s="51">
        <v>53.3</v>
      </c>
      <c r="S13" s="51">
        <v>53.3</v>
      </c>
      <c r="T13" s="51">
        <v>53.3</v>
      </c>
      <c r="U13" s="51">
        <v>53.3</v>
      </c>
      <c r="V13" s="51">
        <v>53.3</v>
      </c>
      <c r="W13" s="51">
        <v>53.3</v>
      </c>
      <c r="X13" s="51">
        <v>53.3</v>
      </c>
      <c r="Y13" s="51">
        <v>53.3</v>
      </c>
      <c r="Z13" s="51">
        <v>53.3</v>
      </c>
      <c r="AA13" s="51">
        <v>53.3</v>
      </c>
      <c r="AB13" s="51">
        <v>53.3</v>
      </c>
      <c r="AC13" s="51">
        <v>53.3</v>
      </c>
      <c r="AD13" s="51">
        <v>53.3</v>
      </c>
      <c r="AE13" s="51">
        <v>53.3</v>
      </c>
      <c r="AF13" s="51">
        <v>53.3</v>
      </c>
      <c r="AG13" s="59">
        <v>52.4</v>
      </c>
      <c r="AH13" s="55">
        <f t="shared" si="2"/>
        <v>53.4</v>
      </c>
      <c r="AI13" s="56">
        <f t="shared" si="3"/>
        <v>53.3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50.6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50.3</v>
      </c>
      <c r="N14" s="51">
        <v>50.3</v>
      </c>
      <c r="O14" s="51">
        <v>50.2</v>
      </c>
      <c r="P14" s="51">
        <v>50.2</v>
      </c>
      <c r="Q14" s="51">
        <v>50.2</v>
      </c>
      <c r="R14" s="51">
        <v>50.2</v>
      </c>
      <c r="S14" s="51">
        <v>50.2</v>
      </c>
      <c r="T14" s="51">
        <v>50.2</v>
      </c>
      <c r="U14" s="51">
        <v>50.2</v>
      </c>
      <c r="V14" s="51">
        <v>50.2</v>
      </c>
      <c r="W14" s="51">
        <v>50.2</v>
      </c>
      <c r="X14" s="51">
        <v>50.2</v>
      </c>
      <c r="Y14" s="51">
        <v>50.2</v>
      </c>
      <c r="Z14" s="51">
        <v>50.2</v>
      </c>
      <c r="AA14" s="51">
        <v>50.2</v>
      </c>
      <c r="AB14" s="51">
        <v>50.2</v>
      </c>
      <c r="AC14" s="51">
        <v>50.2</v>
      </c>
      <c r="AD14" s="51">
        <v>50.2</v>
      </c>
      <c r="AE14" s="51">
        <v>50.2</v>
      </c>
      <c r="AF14" s="51">
        <v>50.2</v>
      </c>
      <c r="AG14" s="59">
        <v>50</v>
      </c>
      <c r="AH14" s="55">
        <f t="shared" si="2"/>
        <v>50.6</v>
      </c>
      <c r="AI14" s="56">
        <f t="shared" si="3"/>
        <v>50.2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45.4</v>
      </c>
      <c r="C15" s="51">
        <v>45.4</v>
      </c>
      <c r="D15" s="51">
        <v>45.4</v>
      </c>
      <c r="E15" s="51">
        <v>45.4</v>
      </c>
      <c r="F15" s="51">
        <v>45.6</v>
      </c>
      <c r="G15" s="51">
        <v>45.6</v>
      </c>
      <c r="H15" s="51">
        <v>45.6</v>
      </c>
      <c r="I15" s="51">
        <v>45.6</v>
      </c>
      <c r="J15" s="51">
        <v>45.6</v>
      </c>
      <c r="K15" s="51">
        <v>45.6</v>
      </c>
      <c r="L15" s="51">
        <v>45.6</v>
      </c>
      <c r="M15" s="51">
        <v>45.6</v>
      </c>
      <c r="N15" s="51">
        <v>45.6</v>
      </c>
      <c r="O15" s="51">
        <v>45.7</v>
      </c>
      <c r="P15" s="51">
        <v>45.7</v>
      </c>
      <c r="Q15" s="51">
        <v>45.7</v>
      </c>
      <c r="R15" s="51">
        <v>45.6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45.6</v>
      </c>
      <c r="AC15" s="51">
        <v>45.6</v>
      </c>
      <c r="AD15" s="51">
        <v>45.6</v>
      </c>
      <c r="AE15" s="51">
        <v>45.6</v>
      </c>
      <c r="AF15" s="51">
        <v>45.6</v>
      </c>
      <c r="AG15" s="60">
        <v>45</v>
      </c>
      <c r="AH15" s="55">
        <f t="shared" si="2"/>
        <v>45.7</v>
      </c>
      <c r="AI15" s="56">
        <f t="shared" si="3"/>
        <v>45.4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20</v>
      </c>
      <c r="C16" s="51">
        <v>20</v>
      </c>
      <c r="D16" s="51">
        <v>20</v>
      </c>
      <c r="E16" s="51">
        <v>28</v>
      </c>
      <c r="F16" s="51">
        <v>28</v>
      </c>
      <c r="G16" s="51">
        <v>28</v>
      </c>
      <c r="H16" s="51">
        <v>28</v>
      </c>
      <c r="I16" s="51">
        <v>28</v>
      </c>
      <c r="J16" s="51">
        <v>28</v>
      </c>
      <c r="K16" s="51">
        <v>28</v>
      </c>
      <c r="L16" s="51">
        <v>28</v>
      </c>
      <c r="M16" s="51">
        <v>28</v>
      </c>
      <c r="N16" s="51">
        <v>28</v>
      </c>
      <c r="O16" s="51">
        <v>28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23</v>
      </c>
      <c r="C18" s="51">
        <v>23</v>
      </c>
      <c r="D18" s="51">
        <v>23</v>
      </c>
      <c r="E18" s="51">
        <v>23</v>
      </c>
      <c r="F18" s="51">
        <v>23</v>
      </c>
      <c r="G18" s="51">
        <v>23</v>
      </c>
      <c r="H18" s="51">
        <v>23</v>
      </c>
      <c r="I18" s="51">
        <v>23</v>
      </c>
      <c r="J18" s="51">
        <v>23</v>
      </c>
      <c r="K18" s="51">
        <v>23</v>
      </c>
      <c r="L18" s="51">
        <v>23</v>
      </c>
      <c r="M18" s="51">
        <v>23</v>
      </c>
      <c r="N18" s="51">
        <v>23</v>
      </c>
      <c r="O18" s="51">
        <v>23</v>
      </c>
      <c r="P18" s="51">
        <v>23</v>
      </c>
      <c r="Q18" s="51">
        <v>23</v>
      </c>
      <c r="R18" s="51">
        <v>23</v>
      </c>
      <c r="S18" s="51">
        <v>23</v>
      </c>
      <c r="T18" s="51">
        <v>23</v>
      </c>
      <c r="U18" s="51">
        <v>23</v>
      </c>
      <c r="V18" s="51">
        <v>23</v>
      </c>
      <c r="W18" s="51">
        <v>23</v>
      </c>
      <c r="X18" s="51">
        <v>23</v>
      </c>
      <c r="Y18" s="51">
        <v>23</v>
      </c>
      <c r="Z18" s="51">
        <v>23</v>
      </c>
      <c r="AA18" s="51">
        <v>23</v>
      </c>
      <c r="AB18" s="51">
        <v>23</v>
      </c>
      <c r="AC18" s="51">
        <v>23</v>
      </c>
      <c r="AD18" s="51">
        <v>23</v>
      </c>
      <c r="AE18" s="51">
        <v>23</v>
      </c>
      <c r="AF18" s="51">
        <v>23</v>
      </c>
      <c r="AG18" s="59">
        <v>36</v>
      </c>
      <c r="AH18" s="55">
        <f t="shared" si="2"/>
        <v>23</v>
      </c>
      <c r="AI18" s="56">
        <f t="shared" si="3"/>
        <v>23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25.3</v>
      </c>
      <c r="C19" s="51">
        <v>25.3</v>
      </c>
      <c r="D19" s="51">
        <v>25.3</v>
      </c>
      <c r="E19" s="51">
        <v>25.3</v>
      </c>
      <c r="F19" s="51">
        <v>25.3</v>
      </c>
      <c r="G19" s="51">
        <v>25.3</v>
      </c>
      <c r="H19" s="51">
        <v>25.3</v>
      </c>
      <c r="I19" s="51">
        <v>25.3</v>
      </c>
      <c r="J19" s="51">
        <v>25.3</v>
      </c>
      <c r="K19" s="51">
        <v>25.3</v>
      </c>
      <c r="L19" s="51">
        <v>25.3</v>
      </c>
      <c r="M19" s="51">
        <v>25.3</v>
      </c>
      <c r="N19" s="51">
        <v>25.3</v>
      </c>
      <c r="O19" s="51">
        <v>24.5</v>
      </c>
      <c r="P19" s="51">
        <v>22.2</v>
      </c>
      <c r="Q19" s="51">
        <v>22.2</v>
      </c>
      <c r="R19" s="51">
        <v>22.1</v>
      </c>
      <c r="S19" s="51">
        <v>22.1</v>
      </c>
      <c r="T19" s="51">
        <v>22.1</v>
      </c>
      <c r="U19" s="51">
        <v>26.3</v>
      </c>
      <c r="V19" s="51">
        <v>26.3</v>
      </c>
      <c r="W19" s="51">
        <v>26.3</v>
      </c>
      <c r="X19" s="51">
        <v>26.3</v>
      </c>
      <c r="Y19" s="51">
        <v>26.3</v>
      </c>
      <c r="Z19" s="51">
        <v>26.3</v>
      </c>
      <c r="AA19" s="51">
        <v>26.3</v>
      </c>
      <c r="AB19" s="51">
        <v>26.3</v>
      </c>
      <c r="AC19" s="51">
        <v>26.3</v>
      </c>
      <c r="AD19" s="51">
        <v>26.3</v>
      </c>
      <c r="AE19" s="51">
        <v>26.3</v>
      </c>
      <c r="AF19" s="51">
        <v>26.3</v>
      </c>
      <c r="AG19" s="59">
        <v>30</v>
      </c>
      <c r="AH19" s="55">
        <f t="shared" si="2"/>
        <v>26.3</v>
      </c>
      <c r="AI19" s="56">
        <f t="shared" si="3"/>
        <v>22.1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5</v>
      </c>
      <c r="C20" s="51">
        <v>5</v>
      </c>
      <c r="D20" s="51">
        <v>5</v>
      </c>
      <c r="E20" s="51">
        <v>5</v>
      </c>
      <c r="F20" s="51">
        <v>5</v>
      </c>
      <c r="G20" s="51">
        <v>5</v>
      </c>
      <c r="H20" s="51">
        <v>5</v>
      </c>
      <c r="I20" s="51">
        <v>5</v>
      </c>
      <c r="J20" s="51">
        <v>5</v>
      </c>
      <c r="K20" s="51">
        <v>5</v>
      </c>
      <c r="L20" s="51">
        <v>5</v>
      </c>
      <c r="M20" s="51">
        <v>5</v>
      </c>
      <c r="N20" s="51">
        <v>5</v>
      </c>
      <c r="O20" s="51">
        <v>5</v>
      </c>
      <c r="P20" s="51">
        <v>5</v>
      </c>
      <c r="Q20" s="51">
        <v>5</v>
      </c>
      <c r="R20" s="51">
        <v>5</v>
      </c>
      <c r="S20" s="51">
        <v>5</v>
      </c>
      <c r="T20" s="51">
        <v>5</v>
      </c>
      <c r="U20" s="51">
        <v>14</v>
      </c>
      <c r="V20" s="51">
        <v>14</v>
      </c>
      <c r="W20" s="51">
        <v>14</v>
      </c>
      <c r="X20" s="51">
        <v>14</v>
      </c>
      <c r="Y20" s="51">
        <v>14</v>
      </c>
      <c r="Z20" s="51">
        <v>14</v>
      </c>
      <c r="AA20" s="51">
        <v>14</v>
      </c>
      <c r="AB20" s="51">
        <v>14</v>
      </c>
      <c r="AC20" s="51">
        <v>14</v>
      </c>
      <c r="AD20" s="51">
        <v>14</v>
      </c>
      <c r="AE20" s="51">
        <v>14</v>
      </c>
      <c r="AF20" s="51">
        <v>14</v>
      </c>
      <c r="AG20" s="59">
        <v>27</v>
      </c>
      <c r="AH20" s="55">
        <f t="shared" si="2"/>
        <v>14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9">
        <v>25</v>
      </c>
      <c r="AH21" s="55">
        <f t="shared" si="2"/>
        <v>19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25.6</v>
      </c>
      <c r="E22" s="51">
        <v>25.6</v>
      </c>
      <c r="F22" s="51">
        <v>25.6</v>
      </c>
      <c r="G22" s="51">
        <v>25.6</v>
      </c>
      <c r="H22" s="51">
        <v>25.6</v>
      </c>
      <c r="I22" s="51">
        <v>25.6</v>
      </c>
      <c r="J22" s="51">
        <v>25.6</v>
      </c>
      <c r="K22" s="51">
        <v>25.6</v>
      </c>
      <c r="L22" s="51">
        <v>25.6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25.6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10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>
        <v>14.9</v>
      </c>
      <c r="E27" s="51">
        <v>14.9</v>
      </c>
      <c r="F27" s="51">
        <v>14.9</v>
      </c>
      <c r="G27" s="51">
        <v>14.9</v>
      </c>
      <c r="H27" s="51">
        <v>14.9</v>
      </c>
      <c r="I27" s="51">
        <v>14.9</v>
      </c>
      <c r="J27" s="51">
        <v>14.9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14.9</v>
      </c>
      <c r="R27" s="51">
        <v>14.9</v>
      </c>
      <c r="S27" s="51">
        <v>14.9</v>
      </c>
      <c r="T27" s="51">
        <v>14.9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>
        <v>14.9</v>
      </c>
      <c r="AG27" s="59">
        <v>23.5</v>
      </c>
      <c r="AH27" s="55">
        <f t="shared" si="2"/>
        <v>14.9</v>
      </c>
      <c r="AI27" s="56">
        <f t="shared" si="3"/>
        <v>14.9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9">
        <v>22.2</v>
      </c>
      <c r="AH28" s="55">
        <f t="shared" si="2"/>
        <v>7</v>
      </c>
      <c r="AI28" s="56">
        <f t="shared" si="3"/>
        <v>7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10</v>
      </c>
      <c r="C30" s="51">
        <v>10</v>
      </c>
      <c r="D30" s="51">
        <v>10</v>
      </c>
      <c r="E30" s="51">
        <v>10</v>
      </c>
      <c r="F30" s="51">
        <v>10</v>
      </c>
      <c r="G30" s="51">
        <v>10</v>
      </c>
      <c r="H30" s="51">
        <v>10</v>
      </c>
      <c r="I30" s="51">
        <v>10</v>
      </c>
      <c r="J30" s="51">
        <v>10</v>
      </c>
      <c r="K30" s="51">
        <v>10</v>
      </c>
      <c r="L30" s="51">
        <v>10</v>
      </c>
      <c r="M30" s="51">
        <v>10</v>
      </c>
      <c r="N30" s="51">
        <v>10</v>
      </c>
      <c r="O30" s="51">
        <v>10</v>
      </c>
      <c r="P30" s="51">
        <v>10</v>
      </c>
      <c r="Q30" s="51">
        <v>10</v>
      </c>
      <c r="R30" s="51">
        <v>10</v>
      </c>
      <c r="S30" s="51">
        <v>10</v>
      </c>
      <c r="T30" s="51">
        <v>10</v>
      </c>
      <c r="U30" s="51">
        <v>10</v>
      </c>
      <c r="V30" s="51">
        <v>10</v>
      </c>
      <c r="W30" s="51">
        <v>10</v>
      </c>
      <c r="X30" s="51">
        <v>10</v>
      </c>
      <c r="Y30" s="51">
        <v>10</v>
      </c>
      <c r="Z30" s="51">
        <v>10</v>
      </c>
      <c r="AA30" s="51">
        <v>10</v>
      </c>
      <c r="AB30" s="51">
        <v>10</v>
      </c>
      <c r="AC30" s="51">
        <v>10</v>
      </c>
      <c r="AD30" s="51">
        <v>10</v>
      </c>
      <c r="AE30" s="51">
        <v>10</v>
      </c>
      <c r="AF30" s="51">
        <v>10</v>
      </c>
      <c r="AG30" s="59">
        <v>22.1</v>
      </c>
      <c r="AH30" s="55">
        <f t="shared" si="2"/>
        <v>10</v>
      </c>
      <c r="AI30" s="56">
        <f t="shared" si="3"/>
        <v>10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3.8</v>
      </c>
      <c r="C32" s="51">
        <v>3.8</v>
      </c>
      <c r="D32" s="51">
        <v>3.8</v>
      </c>
      <c r="E32" s="51">
        <v>3.8</v>
      </c>
      <c r="F32" s="51">
        <v>3.8</v>
      </c>
      <c r="G32" s="51">
        <v>3.8</v>
      </c>
      <c r="H32" s="51">
        <v>3.8</v>
      </c>
      <c r="I32" s="51">
        <v>3.8</v>
      </c>
      <c r="J32" s="51">
        <v>3.8</v>
      </c>
      <c r="K32" s="51">
        <v>3.8</v>
      </c>
      <c r="L32" s="51">
        <v>3.8</v>
      </c>
      <c r="M32" s="51">
        <v>3.8</v>
      </c>
      <c r="N32" s="51">
        <v>3.8</v>
      </c>
      <c r="O32" s="51">
        <v>3.8</v>
      </c>
      <c r="P32" s="51">
        <v>3.8</v>
      </c>
      <c r="Q32" s="51">
        <v>3.8</v>
      </c>
      <c r="R32" s="51">
        <v>3.8</v>
      </c>
      <c r="S32" s="51">
        <v>3.8</v>
      </c>
      <c r="T32" s="51">
        <v>3.8</v>
      </c>
      <c r="U32" s="51">
        <v>3.8</v>
      </c>
      <c r="V32" s="51">
        <v>3.8</v>
      </c>
      <c r="W32" s="51">
        <v>3.8</v>
      </c>
      <c r="X32" s="51">
        <v>3.8</v>
      </c>
      <c r="Y32" s="51">
        <v>3.8</v>
      </c>
      <c r="Z32" s="51">
        <v>3.8</v>
      </c>
      <c r="AA32" s="51">
        <v>3.8</v>
      </c>
      <c r="AB32" s="51">
        <v>3.8</v>
      </c>
      <c r="AC32" s="51">
        <v>3.8</v>
      </c>
      <c r="AD32" s="51">
        <v>3.8</v>
      </c>
      <c r="AE32" s="51">
        <v>3.8</v>
      </c>
      <c r="AF32" s="51">
        <v>3.8</v>
      </c>
      <c r="AG32" s="64">
        <v>22</v>
      </c>
      <c r="AH32" s="55">
        <f t="shared" si="2"/>
        <v>3.8</v>
      </c>
      <c r="AI32" s="56">
        <f t="shared" si="3"/>
        <v>3.8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8.4</v>
      </c>
      <c r="C34" s="51">
        <v>8.4</v>
      </c>
      <c r="D34" s="51">
        <v>8.4</v>
      </c>
      <c r="E34" s="51">
        <v>8.4</v>
      </c>
      <c r="F34" s="51">
        <v>8.4</v>
      </c>
      <c r="G34" s="51">
        <v>8.4</v>
      </c>
      <c r="H34" s="51">
        <v>8.4</v>
      </c>
      <c r="I34" s="51">
        <v>8.4</v>
      </c>
      <c r="J34" s="51">
        <v>8.4</v>
      </c>
      <c r="K34" s="51">
        <v>8.4</v>
      </c>
      <c r="L34" s="51">
        <v>8.4</v>
      </c>
      <c r="M34" s="51">
        <v>8.4</v>
      </c>
      <c r="N34" s="51">
        <v>8.4</v>
      </c>
      <c r="O34" s="51">
        <v>8.4</v>
      </c>
      <c r="P34" s="51">
        <v>8.4</v>
      </c>
      <c r="Q34" s="51">
        <v>8.4</v>
      </c>
      <c r="R34" s="51">
        <v>8.4</v>
      </c>
      <c r="S34" s="51">
        <v>8.4</v>
      </c>
      <c r="T34" s="51">
        <v>8.4</v>
      </c>
      <c r="U34" s="51">
        <v>8.4</v>
      </c>
      <c r="V34" s="51">
        <v>8.4</v>
      </c>
      <c r="W34" s="51">
        <v>8.4</v>
      </c>
      <c r="X34" s="51">
        <v>8.4</v>
      </c>
      <c r="Y34" s="51">
        <v>8.4</v>
      </c>
      <c r="Z34" s="51">
        <v>8.4</v>
      </c>
      <c r="AA34" s="51">
        <v>8.4</v>
      </c>
      <c r="AB34" s="51">
        <v>8.4</v>
      </c>
      <c r="AC34" s="51">
        <v>8.4</v>
      </c>
      <c r="AD34" s="51">
        <v>8.4</v>
      </c>
      <c r="AE34" s="51">
        <v>8.4</v>
      </c>
      <c r="AF34" s="51">
        <v>8.4</v>
      </c>
      <c r="AG34" s="64">
        <v>20</v>
      </c>
      <c r="AH34" s="55">
        <f t="shared" si="2"/>
        <v>8.4</v>
      </c>
      <c r="AI34" s="56">
        <f t="shared" si="3"/>
        <v>8.4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95.1+33.4</f>
        <v>128.5</v>
      </c>
      <c r="C37" s="66">
        <f>95.2+33.4</f>
        <v>128.6</v>
      </c>
      <c r="D37" s="66">
        <f>95.2+33.4</f>
        <v>128.6</v>
      </c>
      <c r="E37" s="66">
        <f>96.2+35</f>
        <v>131.19999999999999</v>
      </c>
      <c r="F37" s="66">
        <f>96.2+35</f>
        <v>131.19999999999999</v>
      </c>
      <c r="G37" s="66">
        <f>96.2+35</f>
        <v>131.19999999999999</v>
      </c>
      <c r="H37" s="66">
        <f t="shared" ref="H37:J37" si="4">96.2+35</f>
        <v>131.19999999999999</v>
      </c>
      <c r="I37" s="66">
        <f t="shared" si="4"/>
        <v>131.19999999999999</v>
      </c>
      <c r="J37" s="66">
        <f t="shared" si="4"/>
        <v>131.19999999999999</v>
      </c>
      <c r="K37" s="66">
        <f>92.1+38.7</f>
        <v>130.80000000000001</v>
      </c>
      <c r="L37" s="66">
        <f>91.9+38.5</f>
        <v>130.4</v>
      </c>
      <c r="M37" s="66">
        <f>37+91.9</f>
        <v>128.9</v>
      </c>
      <c r="N37" s="66">
        <f>35.4+92.5</f>
        <v>127.9</v>
      </c>
      <c r="O37" s="66">
        <f>34.8+92.5</f>
        <v>127.3</v>
      </c>
      <c r="P37" s="66">
        <f>35+92.3</f>
        <v>127.3</v>
      </c>
      <c r="Q37" s="66">
        <f>34.8+89.5</f>
        <v>124.3</v>
      </c>
      <c r="R37" s="66">
        <f>33.3+89.4</f>
        <v>122.7</v>
      </c>
      <c r="S37" s="68">
        <f>30.9+88.8</f>
        <v>119.69999999999999</v>
      </c>
      <c r="T37" s="68">
        <f>30.9+88.8</f>
        <v>119.69999999999999</v>
      </c>
      <c r="U37" s="68">
        <f>33.9+94.2</f>
        <v>128.1</v>
      </c>
      <c r="V37" s="68">
        <f>32.3+87.6</f>
        <v>119.89999999999999</v>
      </c>
      <c r="W37" s="68">
        <f>32.1+98.2</f>
        <v>130.30000000000001</v>
      </c>
      <c r="X37" s="68">
        <f>32+97</f>
        <v>129</v>
      </c>
      <c r="Y37" s="68">
        <f>31.9+97.2</f>
        <v>129.1</v>
      </c>
      <c r="Z37" s="68">
        <f>31.9+97.2</f>
        <v>129.1</v>
      </c>
      <c r="AA37" s="68">
        <f>31.4+95.6</f>
        <v>127</v>
      </c>
      <c r="AB37" s="68">
        <f>32+95.3</f>
        <v>127.3</v>
      </c>
      <c r="AC37" s="68">
        <f>95.7+32</f>
        <v>127.7</v>
      </c>
      <c r="AD37" s="68">
        <f>95.7+32</f>
        <v>127.7</v>
      </c>
      <c r="AE37" s="68">
        <f>95.7+32</f>
        <v>127.7</v>
      </c>
      <c r="AF37" s="68">
        <f>35+98</f>
        <v>133</v>
      </c>
      <c r="AG37" s="64">
        <v>240</v>
      </c>
      <c r="AH37" s="55">
        <f t="shared" si="2"/>
        <v>133</v>
      </c>
      <c r="AI37" s="56">
        <f t="shared" si="3"/>
        <v>119.69999999999999</v>
      </c>
      <c r="AK37" s="57"/>
    </row>
    <row r="38" spans="1:88" ht="15.75" thickBot="1" x14ac:dyDescent="0.3">
      <c r="A38" s="69" t="s">
        <v>46</v>
      </c>
      <c r="B38" s="70">
        <f t="shared" ref="B38" si="5">SUM(B11:B36)</f>
        <v>1205.8999999999999</v>
      </c>
      <c r="C38" s="70">
        <f t="shared" ref="C38:AF38" si="6">SUM(C11:C36)</f>
        <v>1205.8999999999999</v>
      </c>
      <c r="D38" s="70">
        <f t="shared" si="6"/>
        <v>1209.5</v>
      </c>
      <c r="E38" s="70">
        <f t="shared" si="6"/>
        <v>1217.5</v>
      </c>
      <c r="F38" s="70">
        <f t="shared" si="6"/>
        <v>1219.8</v>
      </c>
      <c r="G38" s="70">
        <f t="shared" si="6"/>
        <v>1217.5</v>
      </c>
      <c r="H38" s="70">
        <f t="shared" si="6"/>
        <v>1217.5</v>
      </c>
      <c r="I38" s="70">
        <f t="shared" si="6"/>
        <v>1217.5</v>
      </c>
      <c r="J38" s="70">
        <f t="shared" si="6"/>
        <v>1217.5</v>
      </c>
      <c r="K38" s="70">
        <f t="shared" si="6"/>
        <v>1217.5</v>
      </c>
      <c r="L38" s="70">
        <f t="shared" si="6"/>
        <v>1217.5</v>
      </c>
      <c r="M38" s="70">
        <f t="shared" si="6"/>
        <v>1157.8999999999999</v>
      </c>
      <c r="N38" s="70">
        <f t="shared" si="6"/>
        <v>1213.8999999999999</v>
      </c>
      <c r="O38" s="70">
        <f t="shared" si="6"/>
        <v>1213</v>
      </c>
      <c r="P38" s="70">
        <f t="shared" si="6"/>
        <v>1222.7</v>
      </c>
      <c r="Q38" s="70">
        <f t="shared" si="6"/>
        <v>1222.7</v>
      </c>
      <c r="R38" s="70">
        <f t="shared" si="6"/>
        <v>1203.5</v>
      </c>
      <c r="S38" s="70">
        <f t="shared" si="6"/>
        <v>1127.5</v>
      </c>
      <c r="T38" s="70">
        <f t="shared" si="6"/>
        <v>1127.5</v>
      </c>
      <c r="U38" s="70">
        <f t="shared" si="6"/>
        <v>1216.6999999999998</v>
      </c>
      <c r="V38" s="70">
        <f t="shared" si="6"/>
        <v>1216.6999999999998</v>
      </c>
      <c r="W38" s="70">
        <f t="shared" si="6"/>
        <v>1216.6999999999998</v>
      </c>
      <c r="X38" s="70">
        <f t="shared" si="6"/>
        <v>1216.6999999999998</v>
      </c>
      <c r="Y38" s="70">
        <f t="shared" si="6"/>
        <v>1216.6999999999998</v>
      </c>
      <c r="Z38" s="70">
        <f t="shared" si="6"/>
        <v>1216.6999999999998</v>
      </c>
      <c r="AA38" s="70">
        <f t="shared" si="6"/>
        <v>1216.6999999999998</v>
      </c>
      <c r="AB38" s="70">
        <f t="shared" si="6"/>
        <v>1216.6999999999998</v>
      </c>
      <c r="AC38" s="70">
        <f t="shared" si="6"/>
        <v>1216.6999999999998</v>
      </c>
      <c r="AD38" s="70">
        <f t="shared" si="6"/>
        <v>1216.6999999999998</v>
      </c>
      <c r="AE38" s="70">
        <f t="shared" si="6"/>
        <v>1216.6999999999998</v>
      </c>
      <c r="AF38" s="70">
        <f t="shared" si="6"/>
        <v>1216.6999999999998</v>
      </c>
      <c r="AG38" s="64">
        <f>SUM(AG11:AG37)</f>
        <v>1492.8299999999997</v>
      </c>
      <c r="AH38" s="55">
        <f t="shared" si="2"/>
        <v>1222.7</v>
      </c>
      <c r="AI38" s="56">
        <f t="shared" si="3"/>
        <v>1127.5</v>
      </c>
      <c r="AK38" s="57"/>
    </row>
    <row r="39" spans="1:88" x14ac:dyDescent="0.25">
      <c r="A39" s="58" t="s">
        <v>47</v>
      </c>
      <c r="B39" s="51">
        <v>144.19999999999999</v>
      </c>
      <c r="C39" s="51">
        <v>144.19999999999999</v>
      </c>
      <c r="D39" s="51">
        <v>144.19999999999999</v>
      </c>
      <c r="E39" s="51">
        <v>144.4</v>
      </c>
      <c r="F39" s="51">
        <v>144</v>
      </c>
      <c r="G39" s="51">
        <v>144</v>
      </c>
      <c r="H39" s="51">
        <v>144</v>
      </c>
      <c r="I39" s="51">
        <v>144</v>
      </c>
      <c r="J39" s="51">
        <v>144</v>
      </c>
      <c r="K39" s="51">
        <v>144.80000000000001</v>
      </c>
      <c r="L39" s="51">
        <v>145</v>
      </c>
      <c r="M39" s="51">
        <v>145</v>
      </c>
      <c r="N39" s="51">
        <v>145</v>
      </c>
      <c r="O39" s="51">
        <v>144.69999999999999</v>
      </c>
      <c r="P39" s="51">
        <v>144.69999999999999</v>
      </c>
      <c r="Q39" s="51">
        <v>144.69999999999999</v>
      </c>
      <c r="R39" s="51">
        <v>144.30000000000001</v>
      </c>
      <c r="S39" s="51">
        <v>144.30000000000001</v>
      </c>
      <c r="T39" s="51">
        <v>144.30000000000001</v>
      </c>
      <c r="U39" s="51">
        <v>144.5</v>
      </c>
      <c r="V39" s="51">
        <v>144.5</v>
      </c>
      <c r="W39" s="51">
        <v>144.5</v>
      </c>
      <c r="X39" s="51">
        <v>144.5</v>
      </c>
      <c r="Y39" s="51">
        <v>144.5</v>
      </c>
      <c r="Z39" s="51">
        <v>144.5</v>
      </c>
      <c r="AA39" s="51">
        <v>144.5</v>
      </c>
      <c r="AB39" s="51">
        <v>144.4</v>
      </c>
      <c r="AC39" s="51">
        <v>144.19999999999999</v>
      </c>
      <c r="AD39" s="51">
        <v>144.19999999999999</v>
      </c>
      <c r="AE39" s="51">
        <v>144.19999999999999</v>
      </c>
      <c r="AF39" s="51">
        <v>144.19999999999999</v>
      </c>
      <c r="AG39" s="60">
        <v>144</v>
      </c>
      <c r="AH39" s="55">
        <f t="shared" si="2"/>
        <v>145</v>
      </c>
      <c r="AI39" s="56">
        <f t="shared" si="3"/>
        <v>144</v>
      </c>
      <c r="AK39" s="57"/>
    </row>
    <row r="40" spans="1:88" x14ac:dyDescent="0.25">
      <c r="A40" s="63" t="s">
        <v>48</v>
      </c>
      <c r="B40" s="49">
        <v>72.599999999999994</v>
      </c>
      <c r="C40" s="49">
        <v>55.5</v>
      </c>
      <c r="D40" s="49">
        <v>60</v>
      </c>
      <c r="E40" s="49">
        <v>61.4</v>
      </c>
      <c r="F40" s="49">
        <v>70</v>
      </c>
      <c r="G40" s="49">
        <v>70</v>
      </c>
      <c r="H40" s="49">
        <v>70</v>
      </c>
      <c r="I40" s="49">
        <v>70</v>
      </c>
      <c r="J40" s="49">
        <v>70</v>
      </c>
      <c r="K40" s="49">
        <v>69.5</v>
      </c>
      <c r="L40" s="49">
        <v>70.7</v>
      </c>
      <c r="M40" s="49">
        <v>70.7</v>
      </c>
      <c r="N40" s="49">
        <v>70.7</v>
      </c>
      <c r="O40" s="49">
        <v>69.5</v>
      </c>
      <c r="P40" s="49">
        <v>69.5</v>
      </c>
      <c r="Q40" s="49">
        <v>69.5</v>
      </c>
      <c r="R40" s="51">
        <v>71.599999999999994</v>
      </c>
      <c r="S40" s="51">
        <v>71.599999999999994</v>
      </c>
      <c r="T40" s="51">
        <v>71.599999999999994</v>
      </c>
      <c r="U40" s="49">
        <v>72.7</v>
      </c>
      <c r="V40" s="49">
        <v>72.7</v>
      </c>
      <c r="W40" s="49">
        <v>72.7</v>
      </c>
      <c r="X40" s="49">
        <v>72.7</v>
      </c>
      <c r="Y40" s="49">
        <v>72.7</v>
      </c>
      <c r="Z40" s="49">
        <v>72.7</v>
      </c>
      <c r="AA40" s="49">
        <v>72.7</v>
      </c>
      <c r="AB40" s="49">
        <v>70.599999999999994</v>
      </c>
      <c r="AC40" s="49">
        <v>70.2</v>
      </c>
      <c r="AD40" s="49">
        <v>70.2</v>
      </c>
      <c r="AE40" s="49">
        <v>70.2</v>
      </c>
      <c r="AF40" s="49">
        <v>70.2</v>
      </c>
      <c r="AG40" s="64">
        <v>70</v>
      </c>
      <c r="AH40" s="55">
        <f t="shared" si="2"/>
        <v>72.7</v>
      </c>
      <c r="AI40" s="56">
        <f t="shared" si="3"/>
        <v>55.5</v>
      </c>
      <c r="AK40" s="57"/>
    </row>
    <row r="41" spans="1:88" x14ac:dyDescent="0.25">
      <c r="A41" s="63" t="s">
        <v>49</v>
      </c>
      <c r="B41" s="49">
        <v>61.4</v>
      </c>
      <c r="C41" s="49">
        <v>61</v>
      </c>
      <c r="D41" s="49">
        <v>61</v>
      </c>
      <c r="E41" s="49">
        <v>64</v>
      </c>
      <c r="F41" s="49">
        <v>63.4</v>
      </c>
      <c r="G41" s="49">
        <v>63.9</v>
      </c>
      <c r="H41" s="49">
        <v>63.9</v>
      </c>
      <c r="I41" s="49">
        <v>63.9</v>
      </c>
      <c r="J41" s="49">
        <v>63.9</v>
      </c>
      <c r="K41" s="49">
        <v>62.7</v>
      </c>
      <c r="L41" s="49">
        <v>62.6</v>
      </c>
      <c r="M41" s="51">
        <v>62.6</v>
      </c>
      <c r="N41" s="51">
        <v>62.6</v>
      </c>
      <c r="O41" s="51">
        <v>63</v>
      </c>
      <c r="P41" s="51">
        <v>63</v>
      </c>
      <c r="Q41" s="51">
        <v>63</v>
      </c>
      <c r="R41" s="51">
        <v>63.3</v>
      </c>
      <c r="S41" s="51">
        <v>63.3</v>
      </c>
      <c r="T41" s="51">
        <v>63.3</v>
      </c>
      <c r="U41" s="49">
        <v>62.9</v>
      </c>
      <c r="V41" s="49">
        <v>62.9</v>
      </c>
      <c r="W41" s="49">
        <v>62.9</v>
      </c>
      <c r="X41" s="49">
        <v>62.9</v>
      </c>
      <c r="Y41" s="49">
        <v>62.9</v>
      </c>
      <c r="Z41" s="49">
        <v>62.9</v>
      </c>
      <c r="AA41" s="49">
        <v>62.9</v>
      </c>
      <c r="AB41" s="49">
        <v>62.7</v>
      </c>
      <c r="AC41" s="49">
        <v>62.6</v>
      </c>
      <c r="AD41" s="49">
        <v>62.6</v>
      </c>
      <c r="AE41" s="49">
        <v>62.6</v>
      </c>
      <c r="AF41" s="49">
        <v>62.6</v>
      </c>
      <c r="AG41" s="64">
        <v>69</v>
      </c>
      <c r="AH41" s="55">
        <f t="shared" si="2"/>
        <v>64</v>
      </c>
      <c r="AI41" s="56">
        <f t="shared" si="3"/>
        <v>61</v>
      </c>
      <c r="AK41" s="57"/>
    </row>
    <row r="42" spans="1:88" x14ac:dyDescent="0.25">
      <c r="A42" s="63" t="s">
        <v>50</v>
      </c>
      <c r="B42" s="66">
        <v>60.4</v>
      </c>
      <c r="C42" s="66">
        <v>60.4</v>
      </c>
      <c r="D42" s="66">
        <v>50.2</v>
      </c>
      <c r="E42" s="66">
        <v>49.1</v>
      </c>
      <c r="F42" s="66">
        <v>61.2</v>
      </c>
      <c r="G42" s="66">
        <v>61.4</v>
      </c>
      <c r="H42" s="66">
        <v>61.4</v>
      </c>
      <c r="I42" s="66">
        <v>61.4</v>
      </c>
      <c r="J42" s="66">
        <v>61.4</v>
      </c>
      <c r="K42" s="66">
        <v>61.7</v>
      </c>
      <c r="L42" s="66">
        <v>61.7</v>
      </c>
      <c r="M42" s="51">
        <v>0</v>
      </c>
      <c r="N42" s="51">
        <v>0</v>
      </c>
      <c r="O42" s="51">
        <v>0</v>
      </c>
      <c r="P42" s="51">
        <v>0</v>
      </c>
      <c r="Q42" s="51">
        <v>60</v>
      </c>
      <c r="R42" s="51">
        <v>60.7</v>
      </c>
      <c r="S42" s="51">
        <v>60.7</v>
      </c>
      <c r="T42" s="51">
        <v>60.7</v>
      </c>
      <c r="U42" s="51">
        <v>60</v>
      </c>
      <c r="V42" s="51">
        <v>60</v>
      </c>
      <c r="W42" s="51">
        <v>60</v>
      </c>
      <c r="X42" s="51">
        <v>60</v>
      </c>
      <c r="Y42" s="51">
        <v>60</v>
      </c>
      <c r="Z42" s="51">
        <v>60</v>
      </c>
      <c r="AA42" s="51">
        <v>60</v>
      </c>
      <c r="AB42" s="66">
        <v>60</v>
      </c>
      <c r="AC42" s="66">
        <v>60.7</v>
      </c>
      <c r="AD42" s="66">
        <v>60.7</v>
      </c>
      <c r="AE42" s="66">
        <v>60.7</v>
      </c>
      <c r="AF42" s="66">
        <v>60.7</v>
      </c>
      <c r="AG42" s="64">
        <v>60</v>
      </c>
      <c r="AH42" s="55">
        <f t="shared" si="2"/>
        <v>61.7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16</v>
      </c>
      <c r="C43" s="66">
        <v>15</v>
      </c>
      <c r="D43" s="66">
        <v>15</v>
      </c>
      <c r="E43" s="66">
        <v>15</v>
      </c>
      <c r="F43" s="66">
        <v>8</v>
      </c>
      <c r="G43" s="66">
        <v>8</v>
      </c>
      <c r="H43" s="66">
        <v>8</v>
      </c>
      <c r="I43" s="66">
        <v>8</v>
      </c>
      <c r="J43" s="66">
        <v>8</v>
      </c>
      <c r="K43" s="66">
        <v>8</v>
      </c>
      <c r="L43" s="66">
        <v>15</v>
      </c>
      <c r="M43" s="51">
        <v>30</v>
      </c>
      <c r="N43" s="51">
        <v>30</v>
      </c>
      <c r="O43" s="51">
        <v>30</v>
      </c>
      <c r="P43" s="51">
        <v>30</v>
      </c>
      <c r="Q43" s="51">
        <v>30</v>
      </c>
      <c r="R43" s="51">
        <v>30</v>
      </c>
      <c r="S43" s="51">
        <v>30</v>
      </c>
      <c r="T43" s="51">
        <v>30</v>
      </c>
      <c r="U43" s="51">
        <v>10</v>
      </c>
      <c r="V43" s="51">
        <v>10</v>
      </c>
      <c r="W43" s="51">
        <v>10</v>
      </c>
      <c r="X43" s="51">
        <v>10</v>
      </c>
      <c r="Y43" s="51">
        <v>10</v>
      </c>
      <c r="Z43" s="51">
        <v>10</v>
      </c>
      <c r="AA43" s="51">
        <v>30</v>
      </c>
      <c r="AB43" s="66">
        <v>30</v>
      </c>
      <c r="AC43" s="66">
        <v>25</v>
      </c>
      <c r="AD43" s="66">
        <v>20</v>
      </c>
      <c r="AE43" s="66">
        <v>0</v>
      </c>
      <c r="AF43" s="66">
        <v>25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10</v>
      </c>
      <c r="N44" s="51">
        <v>10</v>
      </c>
      <c r="O44" s="51">
        <v>10</v>
      </c>
      <c r="P44" s="51">
        <v>10</v>
      </c>
      <c r="Q44" s="51">
        <v>10</v>
      </c>
      <c r="R44" s="51">
        <v>15</v>
      </c>
      <c r="S44" s="51">
        <v>15</v>
      </c>
      <c r="T44" s="51">
        <v>15</v>
      </c>
      <c r="U44" s="51">
        <v>15</v>
      </c>
      <c r="V44" s="51">
        <v>15</v>
      </c>
      <c r="W44" s="51">
        <v>15</v>
      </c>
      <c r="X44" s="51">
        <v>15</v>
      </c>
      <c r="Y44" s="51">
        <v>15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15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16.899999999999999</v>
      </c>
      <c r="C45" s="49">
        <v>14.7</v>
      </c>
      <c r="D45" s="49">
        <v>14.7</v>
      </c>
      <c r="E45" s="49">
        <v>14.7</v>
      </c>
      <c r="F45" s="49">
        <v>14.7</v>
      </c>
      <c r="G45" s="49">
        <v>14.6</v>
      </c>
      <c r="H45" s="49">
        <v>14.6</v>
      </c>
      <c r="I45" s="49">
        <v>14.6</v>
      </c>
      <c r="J45" s="49">
        <v>14.6</v>
      </c>
      <c r="K45" s="49">
        <v>14.6</v>
      </c>
      <c r="L45" s="49">
        <v>14.6</v>
      </c>
      <c r="M45" s="49">
        <v>17.2</v>
      </c>
      <c r="N45" s="49">
        <v>17.2</v>
      </c>
      <c r="O45" s="49">
        <v>17.2</v>
      </c>
      <c r="P45" s="49">
        <v>17.2</v>
      </c>
      <c r="Q45" s="49">
        <v>17.2</v>
      </c>
      <c r="R45" s="51">
        <v>14.2</v>
      </c>
      <c r="S45" s="51">
        <v>14.2</v>
      </c>
      <c r="T45" s="51">
        <v>14.2</v>
      </c>
      <c r="U45" s="51">
        <v>14.2</v>
      </c>
      <c r="V45" s="51">
        <v>14.2</v>
      </c>
      <c r="W45" s="51">
        <v>14.2</v>
      </c>
      <c r="X45" s="51">
        <v>14.2</v>
      </c>
      <c r="Y45" s="51">
        <v>14.2</v>
      </c>
      <c r="Z45" s="51">
        <v>14.2</v>
      </c>
      <c r="AA45" s="51">
        <v>14.2</v>
      </c>
      <c r="AB45" s="49">
        <v>14.2</v>
      </c>
      <c r="AC45" s="49">
        <v>16.7</v>
      </c>
      <c r="AD45" s="49">
        <v>16.7</v>
      </c>
      <c r="AE45" s="49">
        <v>16.7</v>
      </c>
      <c r="AF45" s="49">
        <v>16.7</v>
      </c>
      <c r="AG45" s="64">
        <v>24</v>
      </c>
      <c r="AH45" s="55">
        <f t="shared" si="2"/>
        <v>17.2</v>
      </c>
      <c r="AI45" s="56">
        <f t="shared" si="3"/>
        <v>14.2</v>
      </c>
      <c r="AK45" s="57"/>
    </row>
    <row r="46" spans="1:88" x14ac:dyDescent="0.25">
      <c r="A46" s="63" t="s">
        <v>54</v>
      </c>
      <c r="B46" s="49">
        <v>2.5</v>
      </c>
      <c r="C46" s="49">
        <v>2.5</v>
      </c>
      <c r="D46" s="49">
        <v>2.5</v>
      </c>
      <c r="E46" s="49">
        <v>2.5</v>
      </c>
      <c r="F46" s="49">
        <v>2.5</v>
      </c>
      <c r="G46" s="49">
        <v>2.5</v>
      </c>
      <c r="H46" s="49">
        <v>2.5</v>
      </c>
      <c r="I46" s="49">
        <v>2.5</v>
      </c>
      <c r="J46" s="49">
        <v>2.5</v>
      </c>
      <c r="K46" s="49">
        <v>2.5</v>
      </c>
      <c r="L46" s="49">
        <v>2.5</v>
      </c>
      <c r="M46" s="49">
        <v>2.5</v>
      </c>
      <c r="N46" s="49">
        <v>2.5</v>
      </c>
      <c r="O46" s="49">
        <v>2.5</v>
      </c>
      <c r="P46" s="49">
        <v>2.5</v>
      </c>
      <c r="Q46" s="49">
        <v>2.5</v>
      </c>
      <c r="R46" s="51">
        <v>2.5</v>
      </c>
      <c r="S46" s="51">
        <v>2.5</v>
      </c>
      <c r="T46" s="51">
        <v>2.5</v>
      </c>
      <c r="U46" s="51">
        <v>2.5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49">
        <v>2.5</v>
      </c>
      <c r="AC46" s="49">
        <v>2.5</v>
      </c>
      <c r="AD46" s="49">
        <v>2.5</v>
      </c>
      <c r="AE46" s="49">
        <v>2.5</v>
      </c>
      <c r="AF46" s="49">
        <v>2.5</v>
      </c>
      <c r="AG46" s="64">
        <v>15</v>
      </c>
      <c r="AH46" s="55">
        <f t="shared" si="2"/>
        <v>2.5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12.6</v>
      </c>
      <c r="C47" s="49">
        <v>11.3</v>
      </c>
      <c r="D47" s="49">
        <v>11.3</v>
      </c>
      <c r="E47" s="49">
        <v>11.3</v>
      </c>
      <c r="F47" s="49">
        <v>11.3</v>
      </c>
      <c r="G47" s="49">
        <v>11.3</v>
      </c>
      <c r="H47" s="49">
        <v>11.3</v>
      </c>
      <c r="I47" s="49">
        <v>11.3</v>
      </c>
      <c r="J47" s="49">
        <v>11.3</v>
      </c>
      <c r="K47" s="49">
        <v>11.3</v>
      </c>
      <c r="L47" s="49">
        <v>11.3</v>
      </c>
      <c r="M47" s="49">
        <v>11.3</v>
      </c>
      <c r="N47" s="49">
        <v>11.3</v>
      </c>
      <c r="O47" s="49">
        <v>12</v>
      </c>
      <c r="P47" s="49">
        <v>12</v>
      </c>
      <c r="Q47" s="49">
        <v>12</v>
      </c>
      <c r="R47" s="51">
        <v>12.9</v>
      </c>
      <c r="S47" s="51">
        <v>12.9</v>
      </c>
      <c r="T47" s="51">
        <v>12.9</v>
      </c>
      <c r="U47" s="51">
        <v>12.9</v>
      </c>
      <c r="V47" s="51">
        <v>12.9</v>
      </c>
      <c r="W47" s="51">
        <v>12.9</v>
      </c>
      <c r="X47" s="51">
        <v>12.9</v>
      </c>
      <c r="Y47" s="51">
        <v>12.9</v>
      </c>
      <c r="Z47" s="51">
        <v>12.9</v>
      </c>
      <c r="AA47" s="51">
        <v>12.9</v>
      </c>
      <c r="AB47" s="49">
        <v>12.9</v>
      </c>
      <c r="AC47" s="49">
        <v>12.9</v>
      </c>
      <c r="AD47" s="49">
        <v>12.9</v>
      </c>
      <c r="AE47" s="49">
        <v>12.9</v>
      </c>
      <c r="AF47" s="49">
        <v>12.9</v>
      </c>
      <c r="AG47" s="64">
        <v>14.1</v>
      </c>
      <c r="AH47" s="55">
        <f t="shared" si="2"/>
        <v>12.9</v>
      </c>
      <c r="AI47" s="56">
        <f t="shared" si="3"/>
        <v>11.3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13.8</v>
      </c>
      <c r="C48" s="49">
        <v>13.8</v>
      </c>
      <c r="D48" s="49">
        <v>13.8</v>
      </c>
      <c r="E48" s="49">
        <v>13.8</v>
      </c>
      <c r="F48" s="49">
        <v>13.9</v>
      </c>
      <c r="G48" s="49">
        <v>13.9</v>
      </c>
      <c r="H48" s="49">
        <v>13.9</v>
      </c>
      <c r="I48" s="49">
        <v>13.9</v>
      </c>
      <c r="J48" s="49">
        <v>13.9</v>
      </c>
      <c r="K48" s="49">
        <v>13.9</v>
      </c>
      <c r="L48" s="49">
        <v>13.9</v>
      </c>
      <c r="M48" s="49">
        <v>13.9</v>
      </c>
      <c r="N48" s="49">
        <v>13.9</v>
      </c>
      <c r="O48" s="49">
        <v>13.9</v>
      </c>
      <c r="P48" s="51">
        <v>6.8</v>
      </c>
      <c r="Q48" s="51">
        <v>6.8</v>
      </c>
      <c r="R48" s="51">
        <v>6.8</v>
      </c>
      <c r="S48" s="51">
        <v>6.8</v>
      </c>
      <c r="T48" s="51">
        <v>6.8</v>
      </c>
      <c r="U48" s="51">
        <v>6.8</v>
      </c>
      <c r="V48" s="51">
        <v>6.8</v>
      </c>
      <c r="W48" s="51">
        <v>6.8</v>
      </c>
      <c r="X48" s="51">
        <v>6.8</v>
      </c>
      <c r="Y48" s="51">
        <v>6.8</v>
      </c>
      <c r="Z48" s="51">
        <v>6.8</v>
      </c>
      <c r="AA48" s="51">
        <v>6.8</v>
      </c>
      <c r="AB48" s="49">
        <v>14</v>
      </c>
      <c r="AC48" s="49">
        <v>14</v>
      </c>
      <c r="AD48" s="49">
        <v>14</v>
      </c>
      <c r="AE48" s="49">
        <v>14</v>
      </c>
      <c r="AF48" s="49">
        <v>14</v>
      </c>
      <c r="AG48" s="64">
        <v>14</v>
      </c>
      <c r="AH48" s="55">
        <f t="shared" si="2"/>
        <v>14</v>
      </c>
      <c r="AI48" s="56">
        <f t="shared" si="3"/>
        <v>6.8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9.5</v>
      </c>
      <c r="F49" s="49">
        <v>9.9</v>
      </c>
      <c r="G49" s="49">
        <v>9.9</v>
      </c>
      <c r="H49" s="49">
        <v>9.9</v>
      </c>
      <c r="I49" s="49">
        <v>9.9</v>
      </c>
      <c r="J49" s="49">
        <v>9.9</v>
      </c>
      <c r="K49" s="49">
        <v>9.9</v>
      </c>
      <c r="L49" s="49">
        <v>9.9</v>
      </c>
      <c r="M49" s="49">
        <v>9.9</v>
      </c>
      <c r="N49" s="49">
        <v>9.9</v>
      </c>
      <c r="O49" s="49">
        <v>9.4</v>
      </c>
      <c r="P49" s="49">
        <v>9.4</v>
      </c>
      <c r="Q49" s="49">
        <v>9.4</v>
      </c>
      <c r="R49" s="51">
        <v>9.5</v>
      </c>
      <c r="S49" s="51">
        <v>9.5</v>
      </c>
      <c r="T49" s="51">
        <v>9.5</v>
      </c>
      <c r="U49" s="51">
        <v>9.5</v>
      </c>
      <c r="V49" s="51">
        <v>9.5</v>
      </c>
      <c r="W49" s="51">
        <v>9.5</v>
      </c>
      <c r="X49" s="51">
        <v>9.5</v>
      </c>
      <c r="Y49" s="51">
        <v>9.5</v>
      </c>
      <c r="Z49" s="51">
        <v>9.5</v>
      </c>
      <c r="AA49" s="51">
        <v>9.5</v>
      </c>
      <c r="AB49" s="49">
        <v>9.5</v>
      </c>
      <c r="AC49" s="49">
        <v>9.5</v>
      </c>
      <c r="AD49" s="49">
        <v>9.5</v>
      </c>
      <c r="AE49" s="49">
        <v>9.5</v>
      </c>
      <c r="AF49" s="49">
        <v>9.5</v>
      </c>
      <c r="AG49" s="64">
        <v>10.050000000000001</v>
      </c>
      <c r="AH49" s="55">
        <f t="shared" si="2"/>
        <v>9.9</v>
      </c>
      <c r="AI49" s="56">
        <f t="shared" si="3"/>
        <v>9.4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6.2</v>
      </c>
      <c r="G50" s="49">
        <v>6.2</v>
      </c>
      <c r="H50" s="49">
        <v>6.2</v>
      </c>
      <c r="I50" s="49">
        <v>6.2</v>
      </c>
      <c r="J50" s="49">
        <v>6.2</v>
      </c>
      <c r="K50" s="49">
        <v>6.2</v>
      </c>
      <c r="L50" s="49">
        <v>6.2</v>
      </c>
      <c r="M50" s="49">
        <v>6.2</v>
      </c>
      <c r="N50" s="49">
        <v>6.2</v>
      </c>
      <c r="O50" s="49">
        <v>6.2</v>
      </c>
      <c r="P50" s="49">
        <v>6.2</v>
      </c>
      <c r="Q50" s="49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49">
        <v>6.2</v>
      </c>
      <c r="AC50" s="49">
        <v>6.2</v>
      </c>
      <c r="AD50" s="49">
        <v>6.2</v>
      </c>
      <c r="AE50" s="49">
        <v>6.2</v>
      </c>
      <c r="AF50" s="49">
        <v>6.2</v>
      </c>
      <c r="AG50" s="64">
        <v>6.2</v>
      </c>
      <c r="AH50" s="55">
        <f t="shared" si="2"/>
        <v>6.2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8">SUM(B39:B51)</f>
        <v>419.44</v>
      </c>
      <c r="C52" s="70">
        <f t="shared" ref="C52:AF52" si="9">SUM(C39:C51)</f>
        <v>397.44</v>
      </c>
      <c r="D52" s="70">
        <f t="shared" si="9"/>
        <v>391.74</v>
      </c>
      <c r="E52" s="70">
        <f t="shared" si="9"/>
        <v>395.24000000000007</v>
      </c>
      <c r="F52" s="70">
        <f t="shared" si="9"/>
        <v>408.63999999999993</v>
      </c>
      <c r="G52" s="70">
        <f t="shared" si="9"/>
        <v>409.23999999999995</v>
      </c>
      <c r="H52" s="70">
        <f t="shared" si="9"/>
        <v>409.23999999999995</v>
      </c>
      <c r="I52" s="70">
        <f t="shared" si="9"/>
        <v>409.23999999999995</v>
      </c>
      <c r="J52" s="70">
        <f t="shared" si="9"/>
        <v>409.23999999999995</v>
      </c>
      <c r="K52" s="70">
        <f t="shared" si="9"/>
        <v>408.64</v>
      </c>
      <c r="L52" s="70">
        <f t="shared" si="9"/>
        <v>416.94</v>
      </c>
      <c r="M52" s="70">
        <f t="shared" si="9"/>
        <v>382.84</v>
      </c>
      <c r="N52" s="70">
        <f t="shared" si="9"/>
        <v>382.84</v>
      </c>
      <c r="O52" s="70">
        <f t="shared" si="9"/>
        <v>381.93999999999994</v>
      </c>
      <c r="P52" s="70">
        <f t="shared" si="9"/>
        <v>374.84</v>
      </c>
      <c r="Q52" s="70">
        <f t="shared" si="9"/>
        <v>434.84</v>
      </c>
      <c r="R52" s="70">
        <f t="shared" si="9"/>
        <v>440.53999999999996</v>
      </c>
      <c r="S52" s="70">
        <f t="shared" si="9"/>
        <v>440.53999999999996</v>
      </c>
      <c r="T52" s="70">
        <f t="shared" si="9"/>
        <v>440.53999999999996</v>
      </c>
      <c r="U52" s="70">
        <f t="shared" si="9"/>
        <v>420.73999999999995</v>
      </c>
      <c r="V52" s="70">
        <f t="shared" si="9"/>
        <v>418.23999999999995</v>
      </c>
      <c r="W52" s="70">
        <f t="shared" si="9"/>
        <v>418.23999999999995</v>
      </c>
      <c r="X52" s="70">
        <f t="shared" si="9"/>
        <v>418.23999999999995</v>
      </c>
      <c r="Y52" s="70">
        <f t="shared" si="9"/>
        <v>418.23999999999995</v>
      </c>
      <c r="Z52" s="70">
        <f t="shared" si="9"/>
        <v>403.23999999999995</v>
      </c>
      <c r="AA52" s="70">
        <f t="shared" si="9"/>
        <v>423.23999999999995</v>
      </c>
      <c r="AB52" s="70">
        <f t="shared" si="9"/>
        <v>430.53999999999996</v>
      </c>
      <c r="AC52" s="70">
        <f t="shared" si="9"/>
        <v>428.03999999999996</v>
      </c>
      <c r="AD52" s="70">
        <f t="shared" si="9"/>
        <v>423.03999999999996</v>
      </c>
      <c r="AE52" s="70">
        <f t="shared" si="9"/>
        <v>403.03999999999996</v>
      </c>
      <c r="AF52" s="70">
        <f t="shared" si="9"/>
        <v>428.03999999999996</v>
      </c>
      <c r="AG52" s="74">
        <f>SUM(AG39:AG51)</f>
        <v>489.91</v>
      </c>
      <c r="AH52" s="55">
        <f t="shared" si="2"/>
        <v>440.53999999999996</v>
      </c>
      <c r="AI52" s="56">
        <f t="shared" si="3"/>
        <v>374.84</v>
      </c>
      <c r="AK52" s="57"/>
    </row>
    <row r="53" spans="1:37" x14ac:dyDescent="0.25">
      <c r="A53" s="58" t="s">
        <v>61</v>
      </c>
      <c r="B53" s="51">
        <v>14</v>
      </c>
      <c r="C53" s="51">
        <v>10.3</v>
      </c>
      <c r="D53" s="51">
        <v>10.3</v>
      </c>
      <c r="E53" s="51">
        <v>10.3</v>
      </c>
      <c r="F53" s="51">
        <v>10.3</v>
      </c>
      <c r="G53" s="51">
        <v>20</v>
      </c>
      <c r="H53" s="51">
        <v>10</v>
      </c>
      <c r="I53" s="51">
        <v>10</v>
      </c>
      <c r="J53" s="51">
        <v>4</v>
      </c>
      <c r="K53" s="51">
        <v>60</v>
      </c>
      <c r="L53" s="51">
        <v>39.6</v>
      </c>
      <c r="M53" s="51">
        <v>60</v>
      </c>
      <c r="N53" s="51">
        <v>58.5</v>
      </c>
      <c r="O53" s="51">
        <v>39.9</v>
      </c>
      <c r="P53" s="51">
        <v>60</v>
      </c>
      <c r="Q53" s="51">
        <v>60</v>
      </c>
      <c r="R53" s="51">
        <v>60</v>
      </c>
      <c r="S53" s="51">
        <v>60</v>
      </c>
      <c r="T53" s="51">
        <v>60</v>
      </c>
      <c r="U53" s="51">
        <v>60</v>
      </c>
      <c r="V53" s="51">
        <v>60</v>
      </c>
      <c r="W53" s="51">
        <v>60</v>
      </c>
      <c r="X53" s="51">
        <v>49.1</v>
      </c>
      <c r="Y53" s="51">
        <v>34.4</v>
      </c>
      <c r="Z53" s="51">
        <v>34.4</v>
      </c>
      <c r="AA53" s="51">
        <v>59.4</v>
      </c>
      <c r="AB53" s="51">
        <v>59.4</v>
      </c>
      <c r="AC53" s="51">
        <v>59.8</v>
      </c>
      <c r="AD53" s="51">
        <v>59.8</v>
      </c>
      <c r="AE53" s="51">
        <v>20</v>
      </c>
      <c r="AF53" s="51">
        <v>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6.2</v>
      </c>
      <c r="C54" s="49">
        <v>4.3</v>
      </c>
      <c r="D54" s="49">
        <v>4.3</v>
      </c>
      <c r="E54" s="49">
        <v>4.3</v>
      </c>
      <c r="F54" s="49">
        <v>3.9</v>
      </c>
      <c r="G54" s="49">
        <v>9</v>
      </c>
      <c r="H54" s="49">
        <v>9</v>
      </c>
      <c r="I54" s="49">
        <v>9</v>
      </c>
      <c r="J54" s="49">
        <v>27</v>
      </c>
      <c r="K54" s="49">
        <v>30</v>
      </c>
      <c r="L54" s="49">
        <v>20.2</v>
      </c>
      <c r="M54" s="49">
        <v>30.4</v>
      </c>
      <c r="N54" s="49">
        <v>29.2</v>
      </c>
      <c r="O54" s="49">
        <v>13.1</v>
      </c>
      <c r="P54" s="49">
        <v>30.9</v>
      </c>
      <c r="Q54" s="49">
        <v>31</v>
      </c>
      <c r="R54" s="49">
        <v>30.3</v>
      </c>
      <c r="S54" s="49">
        <v>30.3</v>
      </c>
      <c r="T54" s="49">
        <v>30.3</v>
      </c>
      <c r="U54" s="49">
        <v>30.3</v>
      </c>
      <c r="V54" s="49">
        <v>30.3</v>
      </c>
      <c r="W54" s="49">
        <v>30.3</v>
      </c>
      <c r="X54" s="49">
        <v>24.4</v>
      </c>
      <c r="Y54" s="49">
        <v>16.100000000000001</v>
      </c>
      <c r="Z54" s="49">
        <v>15.7</v>
      </c>
      <c r="AA54" s="49">
        <v>30.4</v>
      </c>
      <c r="AB54" s="49">
        <v>30.5</v>
      </c>
      <c r="AC54" s="49">
        <v>26.2</v>
      </c>
      <c r="AD54" s="49">
        <v>30.7</v>
      </c>
      <c r="AE54" s="49">
        <v>11</v>
      </c>
      <c r="AF54" s="49">
        <v>0</v>
      </c>
      <c r="AG54" s="64">
        <v>32</v>
      </c>
      <c r="AH54" s="55">
        <f t="shared" si="2"/>
        <v>31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3.2</v>
      </c>
      <c r="C55" s="75">
        <v>1.6</v>
      </c>
      <c r="D55" s="75">
        <v>1.6</v>
      </c>
      <c r="E55" s="75">
        <v>1.6</v>
      </c>
      <c r="F55" s="75">
        <v>1.4</v>
      </c>
      <c r="G55" s="75">
        <v>3.3</v>
      </c>
      <c r="H55" s="75">
        <v>3.3</v>
      </c>
      <c r="I55" s="75">
        <v>3.3</v>
      </c>
      <c r="J55" s="75">
        <v>3.3</v>
      </c>
      <c r="K55" s="75">
        <v>10.8</v>
      </c>
      <c r="L55" s="75">
        <v>7.4</v>
      </c>
      <c r="M55" s="75">
        <v>11.1</v>
      </c>
      <c r="N55" s="75">
        <v>10.7</v>
      </c>
      <c r="O55" s="75">
        <v>4.8</v>
      </c>
      <c r="P55" s="75">
        <v>11.3</v>
      </c>
      <c r="Q55" s="75">
        <v>11.3</v>
      </c>
      <c r="R55" s="75">
        <v>11.1</v>
      </c>
      <c r="S55" s="75">
        <v>11</v>
      </c>
      <c r="T55" s="75">
        <v>11</v>
      </c>
      <c r="U55" s="75">
        <v>11</v>
      </c>
      <c r="V55" s="75">
        <v>11</v>
      </c>
      <c r="W55" s="75">
        <v>11</v>
      </c>
      <c r="X55" s="75">
        <v>8.9</v>
      </c>
      <c r="Y55" s="75">
        <v>5.9</v>
      </c>
      <c r="Z55" s="75">
        <v>5.7</v>
      </c>
      <c r="AA55" s="75">
        <v>11.1</v>
      </c>
      <c r="AB55" s="75">
        <v>11.1</v>
      </c>
      <c r="AC55" s="75">
        <v>9.5</v>
      </c>
      <c r="AD55" s="75">
        <v>11.2</v>
      </c>
      <c r="AE55" s="75">
        <v>4</v>
      </c>
      <c r="AF55" s="75">
        <v>0</v>
      </c>
      <c r="AG55" s="76">
        <v>14</v>
      </c>
      <c r="AH55" s="55">
        <f t="shared" si="2"/>
        <v>11.3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10">SUM(B53:B55)</f>
        <v>23.4</v>
      </c>
      <c r="C56" s="70">
        <f t="shared" ref="C56:AF56" si="11">SUM(C53:C55)</f>
        <v>16.200000000000003</v>
      </c>
      <c r="D56" s="70">
        <f t="shared" si="11"/>
        <v>16.200000000000003</v>
      </c>
      <c r="E56" s="70">
        <f t="shared" si="11"/>
        <v>16.200000000000003</v>
      </c>
      <c r="F56" s="70">
        <f t="shared" si="11"/>
        <v>15.600000000000001</v>
      </c>
      <c r="G56" s="70">
        <f t="shared" si="11"/>
        <v>32.299999999999997</v>
      </c>
      <c r="H56" s="70">
        <f t="shared" si="11"/>
        <v>22.3</v>
      </c>
      <c r="I56" s="70">
        <f t="shared" si="11"/>
        <v>22.3</v>
      </c>
      <c r="J56" s="70">
        <f t="shared" si="11"/>
        <v>34.299999999999997</v>
      </c>
      <c r="K56" s="70">
        <f t="shared" si="11"/>
        <v>100.8</v>
      </c>
      <c r="L56" s="70">
        <f t="shared" si="11"/>
        <v>67.2</v>
      </c>
      <c r="M56" s="70">
        <f t="shared" si="11"/>
        <v>101.5</v>
      </c>
      <c r="N56" s="70">
        <f t="shared" si="11"/>
        <v>98.4</v>
      </c>
      <c r="O56" s="70">
        <f t="shared" si="11"/>
        <v>57.8</v>
      </c>
      <c r="P56" s="70">
        <f t="shared" si="11"/>
        <v>102.2</v>
      </c>
      <c r="Q56" s="70">
        <f t="shared" si="11"/>
        <v>102.3</v>
      </c>
      <c r="R56" s="70">
        <f t="shared" si="11"/>
        <v>101.39999999999999</v>
      </c>
      <c r="S56" s="70">
        <f t="shared" si="11"/>
        <v>101.3</v>
      </c>
      <c r="T56" s="70">
        <f t="shared" si="11"/>
        <v>101.3</v>
      </c>
      <c r="U56" s="70">
        <f t="shared" si="11"/>
        <v>101.3</v>
      </c>
      <c r="V56" s="70">
        <f t="shared" si="11"/>
        <v>101.3</v>
      </c>
      <c r="W56" s="70">
        <f t="shared" si="11"/>
        <v>101.3</v>
      </c>
      <c r="X56" s="70">
        <f t="shared" si="11"/>
        <v>82.4</v>
      </c>
      <c r="Y56" s="70">
        <f t="shared" si="11"/>
        <v>56.4</v>
      </c>
      <c r="Z56" s="70">
        <f t="shared" si="11"/>
        <v>55.8</v>
      </c>
      <c r="AA56" s="70">
        <f t="shared" si="11"/>
        <v>100.89999999999999</v>
      </c>
      <c r="AB56" s="70">
        <f t="shared" si="11"/>
        <v>101</v>
      </c>
      <c r="AC56" s="70">
        <f t="shared" si="11"/>
        <v>95.5</v>
      </c>
      <c r="AD56" s="70">
        <f t="shared" si="11"/>
        <v>101.7</v>
      </c>
      <c r="AE56" s="70">
        <f t="shared" si="11"/>
        <v>35</v>
      </c>
      <c r="AF56" s="70">
        <f t="shared" si="11"/>
        <v>0</v>
      </c>
      <c r="AG56" s="74">
        <f>SUM(AG53:AG55)</f>
        <v>106</v>
      </c>
      <c r="AH56" s="55">
        <f t="shared" si="2"/>
        <v>102.3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69.5</v>
      </c>
      <c r="C57" s="51">
        <v>68.45</v>
      </c>
      <c r="D57" s="51">
        <v>68.36</v>
      </c>
      <c r="E57" s="51">
        <v>70.2</v>
      </c>
      <c r="F57" s="51">
        <v>76</v>
      </c>
      <c r="G57" s="51">
        <v>72</v>
      </c>
      <c r="H57" s="51">
        <v>64</v>
      </c>
      <c r="I57" s="51">
        <v>62</v>
      </c>
      <c r="J57" s="51">
        <v>58</v>
      </c>
      <c r="K57" s="51">
        <v>56.2</v>
      </c>
      <c r="L57" s="51">
        <v>66.099999999999994</v>
      </c>
      <c r="M57" s="51">
        <v>69.5</v>
      </c>
      <c r="N57" s="51">
        <v>66.2</v>
      </c>
      <c r="O57" s="51">
        <v>69.5</v>
      </c>
      <c r="P57" s="51">
        <v>74.7</v>
      </c>
      <c r="Q57" s="51">
        <v>70.099999999999994</v>
      </c>
      <c r="R57" s="51">
        <v>73</v>
      </c>
      <c r="S57" s="51">
        <v>70</v>
      </c>
      <c r="T57" s="51">
        <v>79</v>
      </c>
      <c r="U57" s="51">
        <v>71.099999999999994</v>
      </c>
      <c r="V57" s="51">
        <v>76.599999999999994</v>
      </c>
      <c r="W57" s="51">
        <v>75.400000000000006</v>
      </c>
      <c r="X57" s="51">
        <v>58</v>
      </c>
      <c r="Y57" s="51">
        <v>73.349999999999994</v>
      </c>
      <c r="Z57" s="51">
        <v>68</v>
      </c>
      <c r="AA57" s="51">
        <v>66.650000000000006</v>
      </c>
      <c r="AB57" s="51">
        <v>64.31</v>
      </c>
      <c r="AC57" s="51">
        <v>64.680000000000007</v>
      </c>
      <c r="AD57" s="51">
        <v>75</v>
      </c>
      <c r="AE57" s="51">
        <v>0</v>
      </c>
      <c r="AF57" s="51">
        <v>68</v>
      </c>
      <c r="AG57" s="60"/>
      <c r="AH57" s="55">
        <f t="shared" si="2"/>
        <v>79</v>
      </c>
      <c r="AI57" s="56">
        <f t="shared" si="3"/>
        <v>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-330.5</v>
      </c>
      <c r="C59" s="49">
        <v>-320</v>
      </c>
      <c r="D59" s="49">
        <v>-315</v>
      </c>
      <c r="E59" s="49">
        <v>-310</v>
      </c>
      <c r="F59" s="49">
        <v>-316</v>
      </c>
      <c r="G59" s="49">
        <v>-365</v>
      </c>
      <c r="H59" s="49">
        <v>-355</v>
      </c>
      <c r="I59" s="49">
        <v>-260</v>
      </c>
      <c r="J59" s="49">
        <v>-276</v>
      </c>
      <c r="K59" s="49">
        <v>-277</v>
      </c>
      <c r="L59" s="49">
        <v>-280</v>
      </c>
      <c r="M59" s="49">
        <v>-312.5</v>
      </c>
      <c r="N59" s="49">
        <v>-269</v>
      </c>
      <c r="O59" s="49">
        <v>-240</v>
      </c>
      <c r="P59" s="49">
        <v>-239.8</v>
      </c>
      <c r="Q59" s="49">
        <v>-279.5</v>
      </c>
      <c r="R59" s="49">
        <v>-100</v>
      </c>
      <c r="S59" s="49">
        <v>-184</v>
      </c>
      <c r="T59" s="49">
        <v>-183.5</v>
      </c>
      <c r="U59" s="49">
        <v>-285</v>
      </c>
      <c r="V59" s="49">
        <v>-306</v>
      </c>
      <c r="W59" s="49">
        <v>-288</v>
      </c>
      <c r="X59" s="49">
        <v>-312</v>
      </c>
      <c r="Y59" s="49">
        <v>-287</v>
      </c>
      <c r="Z59" s="49">
        <v>-289</v>
      </c>
      <c r="AA59" s="49">
        <v>-215</v>
      </c>
      <c r="AB59" s="49">
        <v>-190</v>
      </c>
      <c r="AC59" s="49">
        <v>-210</v>
      </c>
      <c r="AD59" s="49">
        <v>-250</v>
      </c>
      <c r="AE59" s="49">
        <v>-275</v>
      </c>
      <c r="AF59" s="49">
        <v>-270</v>
      </c>
      <c r="AG59" s="77"/>
      <c r="AH59" s="55">
        <f t="shared" si="2"/>
        <v>-100</v>
      </c>
      <c r="AI59" s="56">
        <f t="shared" si="3"/>
        <v>-365</v>
      </c>
      <c r="AK59" s="57"/>
    </row>
    <row r="60" spans="1:37" x14ac:dyDescent="0.25">
      <c r="A60" s="63" t="s">
        <v>68</v>
      </c>
      <c r="B60" s="78">
        <v>10</v>
      </c>
      <c r="C60" s="78">
        <v>10</v>
      </c>
      <c r="D60" s="78">
        <v>10</v>
      </c>
      <c r="E60" s="78">
        <v>10</v>
      </c>
      <c r="F60" s="78">
        <v>10</v>
      </c>
      <c r="G60" s="78">
        <v>10</v>
      </c>
      <c r="H60" s="78">
        <v>10</v>
      </c>
      <c r="I60" s="78">
        <v>10</v>
      </c>
      <c r="J60" s="78">
        <v>10</v>
      </c>
      <c r="K60" s="78">
        <v>10</v>
      </c>
      <c r="L60" s="78">
        <v>10</v>
      </c>
      <c r="M60" s="78">
        <v>10</v>
      </c>
      <c r="N60" s="78">
        <v>10</v>
      </c>
      <c r="O60" s="78">
        <v>10</v>
      </c>
      <c r="P60" s="78">
        <v>10</v>
      </c>
      <c r="Q60" s="78">
        <v>10</v>
      </c>
      <c r="R60" s="78">
        <v>10</v>
      </c>
      <c r="S60" s="78">
        <v>10</v>
      </c>
      <c r="T60" s="78">
        <v>10</v>
      </c>
      <c r="U60" s="78">
        <v>10</v>
      </c>
      <c r="V60" s="78">
        <v>10</v>
      </c>
      <c r="W60" s="78">
        <v>10</v>
      </c>
      <c r="X60" s="78">
        <v>10</v>
      </c>
      <c r="Y60" s="78">
        <v>10</v>
      </c>
      <c r="Z60" s="78">
        <v>30</v>
      </c>
      <c r="AA60" s="78">
        <v>30</v>
      </c>
      <c r="AB60" s="78">
        <v>30</v>
      </c>
      <c r="AC60" s="78">
        <v>30</v>
      </c>
      <c r="AD60" s="78">
        <v>27</v>
      </c>
      <c r="AE60" s="78">
        <v>27</v>
      </c>
      <c r="AF60" s="78">
        <v>14</v>
      </c>
      <c r="AG60" s="77"/>
      <c r="AH60" s="55">
        <f t="shared" si="2"/>
        <v>30</v>
      </c>
      <c r="AI60" s="56">
        <f t="shared" si="3"/>
        <v>10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5">
        <f t="shared" si="2"/>
        <v>8</v>
      </c>
      <c r="AI62" s="56">
        <f t="shared" si="3"/>
        <v>8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9">
        <v>0</v>
      </c>
      <c r="P64" s="79">
        <v>0</v>
      </c>
      <c r="Q64" s="79">
        <v>0</v>
      </c>
      <c r="R64" s="79">
        <v>0</v>
      </c>
      <c r="S64" s="79">
        <v>0</v>
      </c>
      <c r="T64" s="79">
        <v>0</v>
      </c>
      <c r="U64" s="79">
        <v>0</v>
      </c>
      <c r="V64" s="79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9">
        <v>0</v>
      </c>
      <c r="P65" s="79">
        <v>0</v>
      </c>
      <c r="Q65" s="79">
        <v>0</v>
      </c>
      <c r="R65" s="79">
        <v>0</v>
      </c>
      <c r="S65" s="79">
        <v>0</v>
      </c>
      <c r="T65" s="79">
        <v>0</v>
      </c>
      <c r="U65" s="79">
        <v>0</v>
      </c>
      <c r="V65" s="79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79">
        <v>0</v>
      </c>
      <c r="P66" s="79">
        <v>0</v>
      </c>
      <c r="Q66" s="79">
        <v>0</v>
      </c>
      <c r="R66" s="79">
        <v>0</v>
      </c>
      <c r="S66" s="79">
        <v>0</v>
      </c>
      <c r="T66" s="79">
        <v>0</v>
      </c>
      <c r="U66" s="79">
        <v>0</v>
      </c>
      <c r="V66" s="79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79">
        <v>0</v>
      </c>
      <c r="P67" s="79">
        <v>0</v>
      </c>
      <c r="Q67" s="79">
        <v>0</v>
      </c>
      <c r="R67" s="79">
        <v>0</v>
      </c>
      <c r="S67" s="79">
        <v>0</v>
      </c>
      <c r="T67" s="79">
        <v>0</v>
      </c>
      <c r="U67" s="79">
        <v>0</v>
      </c>
      <c r="V67" s="79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2">SUMIF(B57:B67,"&gt;0")</f>
        <v>87.5</v>
      </c>
      <c r="C68" s="70">
        <f t="shared" ref="C68:AF68" si="13">SUMIF(C57:C67,"&gt;0")</f>
        <v>86.45</v>
      </c>
      <c r="D68" s="70">
        <f t="shared" si="13"/>
        <v>86.36</v>
      </c>
      <c r="E68" s="70">
        <f t="shared" si="13"/>
        <v>88.2</v>
      </c>
      <c r="F68" s="70">
        <f t="shared" si="13"/>
        <v>94</v>
      </c>
      <c r="G68" s="70">
        <f t="shared" si="13"/>
        <v>90</v>
      </c>
      <c r="H68" s="70">
        <f t="shared" si="13"/>
        <v>82</v>
      </c>
      <c r="I68" s="70">
        <f t="shared" si="13"/>
        <v>80</v>
      </c>
      <c r="J68" s="70">
        <f t="shared" si="13"/>
        <v>76</v>
      </c>
      <c r="K68" s="70">
        <f t="shared" si="13"/>
        <v>74.2</v>
      </c>
      <c r="L68" s="70">
        <f t="shared" si="13"/>
        <v>84.1</v>
      </c>
      <c r="M68" s="70">
        <f t="shared" si="13"/>
        <v>87.5</v>
      </c>
      <c r="N68" s="70">
        <f t="shared" si="13"/>
        <v>84.2</v>
      </c>
      <c r="O68" s="70">
        <f t="shared" si="13"/>
        <v>87.5</v>
      </c>
      <c r="P68" s="70">
        <f t="shared" si="13"/>
        <v>92.7</v>
      </c>
      <c r="Q68" s="70">
        <f t="shared" si="13"/>
        <v>88.1</v>
      </c>
      <c r="R68" s="70">
        <f t="shared" si="13"/>
        <v>91</v>
      </c>
      <c r="S68" s="70">
        <f t="shared" si="13"/>
        <v>88</v>
      </c>
      <c r="T68" s="70">
        <f t="shared" si="13"/>
        <v>97</v>
      </c>
      <c r="U68" s="70">
        <f t="shared" si="13"/>
        <v>89.1</v>
      </c>
      <c r="V68" s="70">
        <f t="shared" si="13"/>
        <v>94.6</v>
      </c>
      <c r="W68" s="70">
        <f t="shared" si="13"/>
        <v>93.4</v>
      </c>
      <c r="X68" s="70">
        <f t="shared" si="13"/>
        <v>76</v>
      </c>
      <c r="Y68" s="70">
        <f t="shared" si="13"/>
        <v>91.35</v>
      </c>
      <c r="Z68" s="70">
        <f t="shared" si="13"/>
        <v>106</v>
      </c>
      <c r="AA68" s="70">
        <f t="shared" si="13"/>
        <v>104.65</v>
      </c>
      <c r="AB68" s="70">
        <f t="shared" si="13"/>
        <v>102.31</v>
      </c>
      <c r="AC68" s="70">
        <f t="shared" si="13"/>
        <v>102.68</v>
      </c>
      <c r="AD68" s="70">
        <f t="shared" si="13"/>
        <v>110</v>
      </c>
      <c r="AE68" s="70">
        <f t="shared" si="13"/>
        <v>35</v>
      </c>
      <c r="AF68" s="70">
        <f t="shared" si="13"/>
        <v>90</v>
      </c>
      <c r="AG68" s="74">
        <f>SUM(AG57:AG67)</f>
        <v>0</v>
      </c>
      <c r="AH68" s="55">
        <f t="shared" si="2"/>
        <v>110</v>
      </c>
      <c r="AI68" s="56">
        <f t="shared" si="3"/>
        <v>35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4">B38+B52+B68+B72</f>
        <v>1712.84</v>
      </c>
      <c r="C73" s="84">
        <f t="shared" ref="C73:AF73" si="15">C38+C52+C68+C72</f>
        <v>1689.79</v>
      </c>
      <c r="D73" s="84">
        <f t="shared" si="15"/>
        <v>1687.6</v>
      </c>
      <c r="E73" s="84">
        <f t="shared" si="15"/>
        <v>1700.94</v>
      </c>
      <c r="F73" s="84">
        <f t="shared" si="15"/>
        <v>1722.4399999999998</v>
      </c>
      <c r="G73" s="84">
        <f t="shared" si="15"/>
        <v>1716.74</v>
      </c>
      <c r="H73" s="84">
        <f t="shared" si="15"/>
        <v>1708.74</v>
      </c>
      <c r="I73" s="84">
        <f t="shared" si="15"/>
        <v>1706.74</v>
      </c>
      <c r="J73" s="84">
        <f t="shared" si="15"/>
        <v>1702.74</v>
      </c>
      <c r="K73" s="84">
        <f t="shared" si="15"/>
        <v>1700.34</v>
      </c>
      <c r="L73" s="84">
        <f t="shared" si="15"/>
        <v>1718.54</v>
      </c>
      <c r="M73" s="84">
        <f t="shared" si="15"/>
        <v>1628.2399999999998</v>
      </c>
      <c r="N73" s="84">
        <f t="shared" si="15"/>
        <v>1680.9399999999998</v>
      </c>
      <c r="O73" s="84">
        <f t="shared" si="15"/>
        <v>1682.44</v>
      </c>
      <c r="P73" s="84">
        <f t="shared" si="15"/>
        <v>1690.24</v>
      </c>
      <c r="Q73" s="84">
        <f t="shared" si="15"/>
        <v>1745.6399999999999</v>
      </c>
      <c r="R73" s="84">
        <f t="shared" si="15"/>
        <v>1735.04</v>
      </c>
      <c r="S73" s="84">
        <f t="shared" si="15"/>
        <v>1656.04</v>
      </c>
      <c r="T73" s="84">
        <f t="shared" si="15"/>
        <v>1665.04</v>
      </c>
      <c r="U73" s="84">
        <f t="shared" si="15"/>
        <v>1726.5399999999997</v>
      </c>
      <c r="V73" s="84">
        <f t="shared" si="15"/>
        <v>1729.5399999999997</v>
      </c>
      <c r="W73" s="84">
        <f t="shared" si="15"/>
        <v>1728.34</v>
      </c>
      <c r="X73" s="84">
        <f t="shared" si="15"/>
        <v>1710.9399999999998</v>
      </c>
      <c r="Y73" s="84">
        <f t="shared" si="15"/>
        <v>1726.2899999999997</v>
      </c>
      <c r="Z73" s="84">
        <f t="shared" si="15"/>
        <v>1725.9399999999998</v>
      </c>
      <c r="AA73" s="84">
        <f t="shared" si="15"/>
        <v>1744.59</v>
      </c>
      <c r="AB73" s="84">
        <f t="shared" si="15"/>
        <v>1749.5499999999997</v>
      </c>
      <c r="AC73" s="84">
        <f t="shared" si="15"/>
        <v>1747.4199999999998</v>
      </c>
      <c r="AD73" s="84">
        <f t="shared" si="15"/>
        <v>1749.7399999999998</v>
      </c>
      <c r="AE73" s="84">
        <f t="shared" si="15"/>
        <v>1654.7399999999998</v>
      </c>
      <c r="AF73" s="84">
        <f t="shared" si="15"/>
        <v>1734.7399999999998</v>
      </c>
      <c r="AG73" s="84">
        <f t="shared" ref="AG73" si="16">AG68+AG56+AG52+AG38+AG72</f>
        <v>2144.14</v>
      </c>
      <c r="AH73" s="55">
        <f t="shared" si="2"/>
        <v>1749.7399999999998</v>
      </c>
      <c r="AI73" s="56">
        <f t="shared" si="3"/>
        <v>1628.2399999999998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7">B73+B74</f>
        <v>1712.84</v>
      </c>
      <c r="C75" s="84">
        <f t="shared" ref="C75:AF75" si="18">C73+C74</f>
        <v>1689.79</v>
      </c>
      <c r="D75" s="84">
        <f t="shared" si="18"/>
        <v>1687.6</v>
      </c>
      <c r="E75" s="84">
        <f t="shared" si="18"/>
        <v>1700.94</v>
      </c>
      <c r="F75" s="84">
        <f t="shared" si="18"/>
        <v>1722.4399999999998</v>
      </c>
      <c r="G75" s="84">
        <f t="shared" si="18"/>
        <v>1716.74</v>
      </c>
      <c r="H75" s="84">
        <f t="shared" si="18"/>
        <v>1708.74</v>
      </c>
      <c r="I75" s="84">
        <f t="shared" si="18"/>
        <v>1706.74</v>
      </c>
      <c r="J75" s="84">
        <f t="shared" si="18"/>
        <v>1702.74</v>
      </c>
      <c r="K75" s="84">
        <f t="shared" si="18"/>
        <v>1700.34</v>
      </c>
      <c r="L75" s="84">
        <f t="shared" si="18"/>
        <v>1718.54</v>
      </c>
      <c r="M75" s="84">
        <f t="shared" si="18"/>
        <v>1628.2399999999998</v>
      </c>
      <c r="N75" s="84">
        <f t="shared" si="18"/>
        <v>1680.9399999999998</v>
      </c>
      <c r="O75" s="84">
        <f t="shared" si="18"/>
        <v>1682.44</v>
      </c>
      <c r="P75" s="84">
        <f t="shared" si="18"/>
        <v>1690.24</v>
      </c>
      <c r="Q75" s="84">
        <f t="shared" si="18"/>
        <v>1745.6399999999999</v>
      </c>
      <c r="R75" s="84">
        <f t="shared" si="18"/>
        <v>1735.04</v>
      </c>
      <c r="S75" s="84">
        <f t="shared" si="18"/>
        <v>1656.04</v>
      </c>
      <c r="T75" s="84">
        <f t="shared" si="18"/>
        <v>1665.04</v>
      </c>
      <c r="U75" s="84">
        <f t="shared" si="18"/>
        <v>1726.5399999999997</v>
      </c>
      <c r="V75" s="84">
        <f t="shared" si="18"/>
        <v>1729.5399999999997</v>
      </c>
      <c r="W75" s="84">
        <f t="shared" si="18"/>
        <v>1728.34</v>
      </c>
      <c r="X75" s="84">
        <f t="shared" si="18"/>
        <v>1710.9399999999998</v>
      </c>
      <c r="Y75" s="84">
        <f t="shared" si="18"/>
        <v>1726.2899999999997</v>
      </c>
      <c r="Z75" s="84">
        <f t="shared" si="18"/>
        <v>1725.9399999999998</v>
      </c>
      <c r="AA75" s="84">
        <f t="shared" si="18"/>
        <v>1744.59</v>
      </c>
      <c r="AB75" s="84">
        <f t="shared" si="18"/>
        <v>1749.5499999999997</v>
      </c>
      <c r="AC75" s="84">
        <f t="shared" si="18"/>
        <v>1747.4199999999998</v>
      </c>
      <c r="AD75" s="84">
        <f t="shared" si="18"/>
        <v>1749.7399999999998</v>
      </c>
      <c r="AE75" s="84">
        <f t="shared" si="18"/>
        <v>1654.7399999999998</v>
      </c>
      <c r="AF75" s="84">
        <f t="shared" si="18"/>
        <v>1734.7399999999998</v>
      </c>
      <c r="AG75" s="74">
        <f>AG72+AG68+AG56+AG52+AG38+AG74</f>
        <v>2144.14</v>
      </c>
      <c r="AH75" s="55">
        <f t="shared" si="2"/>
        <v>1749.7399999999998</v>
      </c>
      <c r="AI75" s="56">
        <f t="shared" si="3"/>
        <v>1628.2399999999998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19">IF(B60&lt;0,B60*-1,0)</f>
        <v>0</v>
      </c>
      <c r="C76" s="78">
        <f t="shared" ref="C76:AF76" si="20">IF(C60&lt;0,C60*-1,0)</f>
        <v>0</v>
      </c>
      <c r="D76" s="78">
        <f t="shared" si="20"/>
        <v>0</v>
      </c>
      <c r="E76" s="78">
        <f t="shared" si="20"/>
        <v>0</v>
      </c>
      <c r="F76" s="78">
        <f t="shared" si="20"/>
        <v>0</v>
      </c>
      <c r="G76" s="78">
        <f t="shared" si="20"/>
        <v>0</v>
      </c>
      <c r="H76" s="78">
        <f t="shared" si="20"/>
        <v>0</v>
      </c>
      <c r="I76" s="78">
        <f t="shared" si="20"/>
        <v>0</v>
      </c>
      <c r="J76" s="78">
        <f t="shared" si="20"/>
        <v>0</v>
      </c>
      <c r="K76" s="78">
        <f t="shared" si="20"/>
        <v>0</v>
      </c>
      <c r="L76" s="78">
        <f t="shared" si="20"/>
        <v>0</v>
      </c>
      <c r="M76" s="78">
        <f t="shared" si="20"/>
        <v>0</v>
      </c>
      <c r="N76" s="78">
        <f t="shared" si="20"/>
        <v>0</v>
      </c>
      <c r="O76" s="78">
        <f t="shared" si="20"/>
        <v>0</v>
      </c>
      <c r="P76" s="78">
        <f t="shared" si="20"/>
        <v>0</v>
      </c>
      <c r="Q76" s="78">
        <f t="shared" si="20"/>
        <v>0</v>
      </c>
      <c r="R76" s="78">
        <f t="shared" si="20"/>
        <v>0</v>
      </c>
      <c r="S76" s="78">
        <f t="shared" si="20"/>
        <v>0</v>
      </c>
      <c r="T76" s="78">
        <f t="shared" si="20"/>
        <v>0</v>
      </c>
      <c r="U76" s="78">
        <f t="shared" si="20"/>
        <v>0</v>
      </c>
      <c r="V76" s="78">
        <f t="shared" si="20"/>
        <v>0</v>
      </c>
      <c r="W76" s="78">
        <f t="shared" si="20"/>
        <v>0</v>
      </c>
      <c r="X76" s="78">
        <f t="shared" si="20"/>
        <v>0</v>
      </c>
      <c r="Y76" s="78">
        <f t="shared" si="20"/>
        <v>0</v>
      </c>
      <c r="Z76" s="78">
        <f t="shared" si="20"/>
        <v>0</v>
      </c>
      <c r="AA76" s="78">
        <f t="shared" si="20"/>
        <v>0</v>
      </c>
      <c r="AB76" s="78">
        <f t="shared" si="20"/>
        <v>0</v>
      </c>
      <c r="AC76" s="78">
        <f t="shared" si="20"/>
        <v>0</v>
      </c>
      <c r="AD76" s="78">
        <f t="shared" si="20"/>
        <v>0</v>
      </c>
      <c r="AE76" s="78">
        <f t="shared" si="20"/>
        <v>0</v>
      </c>
      <c r="AF76" s="78">
        <f t="shared" si="20"/>
        <v>0</v>
      </c>
      <c r="AG76" s="60"/>
      <c r="AH76" s="55">
        <f t="shared" ref="AH76:AH91" si="21">MAX(B76:AF76)</f>
        <v>0</v>
      </c>
      <c r="AI76" s="56">
        <f t="shared" ref="AI76:AI91" si="2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3">IF(B58&lt;0,B58*-1,0)</f>
        <v>0</v>
      </c>
      <c r="C77" s="78">
        <f t="shared" ref="C77:AF77" si="24">IF(C58&lt;0,C58*-1,0)</f>
        <v>0</v>
      </c>
      <c r="D77" s="78">
        <f t="shared" si="24"/>
        <v>0</v>
      </c>
      <c r="E77" s="78">
        <f t="shared" si="24"/>
        <v>0</v>
      </c>
      <c r="F77" s="78">
        <f t="shared" si="24"/>
        <v>0</v>
      </c>
      <c r="G77" s="78">
        <f t="shared" si="24"/>
        <v>0</v>
      </c>
      <c r="H77" s="78">
        <f t="shared" si="24"/>
        <v>0</v>
      </c>
      <c r="I77" s="78">
        <f t="shared" si="24"/>
        <v>0</v>
      </c>
      <c r="J77" s="78">
        <f t="shared" si="24"/>
        <v>0</v>
      </c>
      <c r="K77" s="78">
        <f t="shared" si="24"/>
        <v>0</v>
      </c>
      <c r="L77" s="78">
        <f t="shared" si="24"/>
        <v>0</v>
      </c>
      <c r="M77" s="78">
        <f t="shared" si="24"/>
        <v>0</v>
      </c>
      <c r="N77" s="78">
        <f t="shared" si="24"/>
        <v>0</v>
      </c>
      <c r="O77" s="78">
        <f t="shared" si="24"/>
        <v>0</v>
      </c>
      <c r="P77" s="78">
        <f t="shared" si="24"/>
        <v>0</v>
      </c>
      <c r="Q77" s="78">
        <f t="shared" si="24"/>
        <v>0</v>
      </c>
      <c r="R77" s="78">
        <f t="shared" si="24"/>
        <v>0</v>
      </c>
      <c r="S77" s="78">
        <f t="shared" si="24"/>
        <v>0</v>
      </c>
      <c r="T77" s="78">
        <f t="shared" si="24"/>
        <v>0</v>
      </c>
      <c r="U77" s="78">
        <f t="shared" si="24"/>
        <v>0</v>
      </c>
      <c r="V77" s="78">
        <f t="shared" si="24"/>
        <v>0</v>
      </c>
      <c r="W77" s="78">
        <f t="shared" si="24"/>
        <v>0</v>
      </c>
      <c r="X77" s="78">
        <f t="shared" si="24"/>
        <v>0</v>
      </c>
      <c r="Y77" s="78">
        <f t="shared" si="24"/>
        <v>0</v>
      </c>
      <c r="Z77" s="78">
        <f t="shared" si="24"/>
        <v>0</v>
      </c>
      <c r="AA77" s="78">
        <f t="shared" si="24"/>
        <v>0</v>
      </c>
      <c r="AB77" s="78">
        <f t="shared" si="24"/>
        <v>0</v>
      </c>
      <c r="AC77" s="78">
        <f t="shared" si="24"/>
        <v>0</v>
      </c>
      <c r="AD77" s="78">
        <f t="shared" si="24"/>
        <v>0</v>
      </c>
      <c r="AE77" s="78">
        <f t="shared" si="24"/>
        <v>0</v>
      </c>
      <c r="AF77" s="78">
        <f t="shared" si="24"/>
        <v>0</v>
      </c>
      <c r="AG77" s="64"/>
      <c r="AH77" s="55">
        <f t="shared" si="21"/>
        <v>0</v>
      </c>
      <c r="AI77" s="56">
        <f t="shared" si="2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5">IF(B61&lt;0,B61*-1,0)</f>
        <v>0</v>
      </c>
      <c r="C78" s="78">
        <f t="shared" ref="C78:AF78" si="26">IF(C61&lt;0,C61*-1,0)</f>
        <v>0</v>
      </c>
      <c r="D78" s="78">
        <f t="shared" si="26"/>
        <v>0</v>
      </c>
      <c r="E78" s="78">
        <f t="shared" si="26"/>
        <v>0</v>
      </c>
      <c r="F78" s="78">
        <f t="shared" si="26"/>
        <v>0</v>
      </c>
      <c r="G78" s="78">
        <f t="shared" si="26"/>
        <v>0</v>
      </c>
      <c r="H78" s="78">
        <f t="shared" si="26"/>
        <v>0</v>
      </c>
      <c r="I78" s="78">
        <f t="shared" si="26"/>
        <v>0</v>
      </c>
      <c r="J78" s="78">
        <f t="shared" si="26"/>
        <v>0</v>
      </c>
      <c r="K78" s="78">
        <f t="shared" si="26"/>
        <v>0</v>
      </c>
      <c r="L78" s="78">
        <f t="shared" si="26"/>
        <v>0</v>
      </c>
      <c r="M78" s="78">
        <f t="shared" si="26"/>
        <v>0</v>
      </c>
      <c r="N78" s="78">
        <f t="shared" si="26"/>
        <v>0</v>
      </c>
      <c r="O78" s="78">
        <f t="shared" si="26"/>
        <v>0</v>
      </c>
      <c r="P78" s="78">
        <f t="shared" si="26"/>
        <v>0</v>
      </c>
      <c r="Q78" s="78">
        <f t="shared" si="26"/>
        <v>0</v>
      </c>
      <c r="R78" s="78">
        <f t="shared" si="26"/>
        <v>0</v>
      </c>
      <c r="S78" s="78">
        <f t="shared" si="26"/>
        <v>0</v>
      </c>
      <c r="T78" s="78">
        <f t="shared" si="26"/>
        <v>0</v>
      </c>
      <c r="U78" s="78">
        <f t="shared" si="26"/>
        <v>0</v>
      </c>
      <c r="V78" s="78">
        <f t="shared" si="26"/>
        <v>0</v>
      </c>
      <c r="W78" s="78">
        <f t="shared" si="26"/>
        <v>0</v>
      </c>
      <c r="X78" s="78">
        <f t="shared" si="26"/>
        <v>0</v>
      </c>
      <c r="Y78" s="78">
        <f t="shared" si="26"/>
        <v>0</v>
      </c>
      <c r="Z78" s="78">
        <f t="shared" si="26"/>
        <v>0</v>
      </c>
      <c r="AA78" s="78">
        <f t="shared" si="26"/>
        <v>0</v>
      </c>
      <c r="AB78" s="78">
        <f t="shared" si="26"/>
        <v>0</v>
      </c>
      <c r="AC78" s="78">
        <f t="shared" si="26"/>
        <v>0</v>
      </c>
      <c r="AD78" s="78">
        <f t="shared" si="26"/>
        <v>0</v>
      </c>
      <c r="AE78" s="78">
        <f t="shared" si="26"/>
        <v>0</v>
      </c>
      <c r="AF78" s="78">
        <f t="shared" si="26"/>
        <v>0</v>
      </c>
      <c r="AG78" s="87"/>
      <c r="AH78" s="55">
        <f t="shared" si="21"/>
        <v>0</v>
      </c>
      <c r="AI78" s="56">
        <f t="shared" si="2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27">IF(B59&lt;0,B59*-1,0)</f>
        <v>330.5</v>
      </c>
      <c r="C79" s="78">
        <f t="shared" ref="C79:AF79" si="28">IF(C59&lt;0,C59*-1,0)</f>
        <v>320</v>
      </c>
      <c r="D79" s="78">
        <f t="shared" si="28"/>
        <v>315</v>
      </c>
      <c r="E79" s="78">
        <f t="shared" si="28"/>
        <v>310</v>
      </c>
      <c r="F79" s="78">
        <f t="shared" si="28"/>
        <v>316</v>
      </c>
      <c r="G79" s="78">
        <f t="shared" si="28"/>
        <v>365</v>
      </c>
      <c r="H79" s="78">
        <f t="shared" si="28"/>
        <v>355</v>
      </c>
      <c r="I79" s="78">
        <f t="shared" si="28"/>
        <v>260</v>
      </c>
      <c r="J79" s="78">
        <f t="shared" si="28"/>
        <v>276</v>
      </c>
      <c r="K79" s="78">
        <f t="shared" si="28"/>
        <v>277</v>
      </c>
      <c r="L79" s="78">
        <f t="shared" si="28"/>
        <v>280</v>
      </c>
      <c r="M79" s="78">
        <f t="shared" si="28"/>
        <v>312.5</v>
      </c>
      <c r="N79" s="78">
        <f t="shared" si="28"/>
        <v>269</v>
      </c>
      <c r="O79" s="78">
        <f t="shared" si="28"/>
        <v>240</v>
      </c>
      <c r="P79" s="78">
        <f t="shared" si="28"/>
        <v>239.8</v>
      </c>
      <c r="Q79" s="78">
        <f t="shared" si="28"/>
        <v>279.5</v>
      </c>
      <c r="R79" s="78">
        <f t="shared" si="28"/>
        <v>100</v>
      </c>
      <c r="S79" s="78">
        <f t="shared" si="28"/>
        <v>184</v>
      </c>
      <c r="T79" s="78">
        <f t="shared" si="28"/>
        <v>183.5</v>
      </c>
      <c r="U79" s="78">
        <f t="shared" si="28"/>
        <v>285</v>
      </c>
      <c r="V79" s="78">
        <f t="shared" si="28"/>
        <v>306</v>
      </c>
      <c r="W79" s="78">
        <f t="shared" si="28"/>
        <v>288</v>
      </c>
      <c r="X79" s="78">
        <f t="shared" si="28"/>
        <v>312</v>
      </c>
      <c r="Y79" s="78">
        <f t="shared" si="28"/>
        <v>287</v>
      </c>
      <c r="Z79" s="78">
        <f t="shared" si="28"/>
        <v>289</v>
      </c>
      <c r="AA79" s="78">
        <f t="shared" si="28"/>
        <v>215</v>
      </c>
      <c r="AB79" s="78">
        <f t="shared" si="28"/>
        <v>190</v>
      </c>
      <c r="AC79" s="78">
        <f t="shared" si="28"/>
        <v>210</v>
      </c>
      <c r="AD79" s="78">
        <f t="shared" si="28"/>
        <v>250</v>
      </c>
      <c r="AE79" s="78">
        <f t="shared" si="28"/>
        <v>275</v>
      </c>
      <c r="AF79" s="78">
        <f t="shared" si="28"/>
        <v>270</v>
      </c>
      <c r="AG79" s="87"/>
      <c r="AH79" s="55">
        <f t="shared" si="21"/>
        <v>365</v>
      </c>
      <c r="AI79" s="56">
        <f t="shared" si="22"/>
        <v>100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29">IF(B57&lt;0,B57*-1,0)</f>
        <v>0</v>
      </c>
      <c r="C80" s="78">
        <f t="shared" ref="C80:AF80" si="30">IF(C57&lt;0,C57*-1,0)</f>
        <v>0</v>
      </c>
      <c r="D80" s="78">
        <f t="shared" si="30"/>
        <v>0</v>
      </c>
      <c r="E80" s="78">
        <f t="shared" si="30"/>
        <v>0</v>
      </c>
      <c r="F80" s="78">
        <f t="shared" si="30"/>
        <v>0</v>
      </c>
      <c r="G80" s="78">
        <f t="shared" si="30"/>
        <v>0</v>
      </c>
      <c r="H80" s="78">
        <f t="shared" si="30"/>
        <v>0</v>
      </c>
      <c r="I80" s="78">
        <f t="shared" si="30"/>
        <v>0</v>
      </c>
      <c r="J80" s="78">
        <f t="shared" si="30"/>
        <v>0</v>
      </c>
      <c r="K80" s="78">
        <f t="shared" si="30"/>
        <v>0</v>
      </c>
      <c r="L80" s="78">
        <f t="shared" si="30"/>
        <v>0</v>
      </c>
      <c r="M80" s="78">
        <f t="shared" si="30"/>
        <v>0</v>
      </c>
      <c r="N80" s="78">
        <f t="shared" si="30"/>
        <v>0</v>
      </c>
      <c r="O80" s="78">
        <f t="shared" si="30"/>
        <v>0</v>
      </c>
      <c r="P80" s="78">
        <f t="shared" si="30"/>
        <v>0</v>
      </c>
      <c r="Q80" s="78">
        <f t="shared" si="30"/>
        <v>0</v>
      </c>
      <c r="R80" s="78">
        <f t="shared" si="30"/>
        <v>0</v>
      </c>
      <c r="S80" s="78">
        <f t="shared" si="30"/>
        <v>0</v>
      </c>
      <c r="T80" s="78">
        <f t="shared" si="30"/>
        <v>0</v>
      </c>
      <c r="U80" s="78">
        <f t="shared" si="30"/>
        <v>0</v>
      </c>
      <c r="V80" s="78">
        <f t="shared" si="30"/>
        <v>0</v>
      </c>
      <c r="W80" s="78">
        <f t="shared" si="30"/>
        <v>0</v>
      </c>
      <c r="X80" s="78">
        <f t="shared" si="30"/>
        <v>0</v>
      </c>
      <c r="Y80" s="78">
        <f t="shared" si="30"/>
        <v>0</v>
      </c>
      <c r="Z80" s="78">
        <f t="shared" si="30"/>
        <v>0</v>
      </c>
      <c r="AA80" s="78">
        <f t="shared" si="30"/>
        <v>0</v>
      </c>
      <c r="AB80" s="78">
        <f t="shared" si="30"/>
        <v>0</v>
      </c>
      <c r="AC80" s="78">
        <f t="shared" si="30"/>
        <v>0</v>
      </c>
      <c r="AD80" s="78">
        <f t="shared" si="30"/>
        <v>0</v>
      </c>
      <c r="AE80" s="78">
        <f t="shared" si="30"/>
        <v>0</v>
      </c>
      <c r="AF80" s="78">
        <f t="shared" si="30"/>
        <v>0</v>
      </c>
      <c r="AG80" s="87"/>
      <c r="AH80" s="55">
        <f t="shared" si="21"/>
        <v>0</v>
      </c>
      <c r="AI80" s="56">
        <f t="shared" si="2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1"/>
        <v>0</v>
      </c>
      <c r="AI81" s="56">
        <f t="shared" si="2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31">SUM(B76:B81)</f>
        <v>330.5</v>
      </c>
      <c r="C82" s="70">
        <f t="shared" ref="C82:AG82" si="32">SUM(C76:C81)</f>
        <v>320</v>
      </c>
      <c r="D82" s="70">
        <f t="shared" si="32"/>
        <v>315</v>
      </c>
      <c r="E82" s="70">
        <f t="shared" si="32"/>
        <v>310</v>
      </c>
      <c r="F82" s="70">
        <f t="shared" si="32"/>
        <v>316</v>
      </c>
      <c r="G82" s="70">
        <f t="shared" si="32"/>
        <v>365</v>
      </c>
      <c r="H82" s="70">
        <f t="shared" si="32"/>
        <v>355</v>
      </c>
      <c r="I82" s="70">
        <f t="shared" si="32"/>
        <v>260</v>
      </c>
      <c r="J82" s="70">
        <f t="shared" si="32"/>
        <v>276</v>
      </c>
      <c r="K82" s="70">
        <f t="shared" si="32"/>
        <v>277</v>
      </c>
      <c r="L82" s="70">
        <f t="shared" si="32"/>
        <v>280</v>
      </c>
      <c r="M82" s="70">
        <f t="shared" si="32"/>
        <v>312.5</v>
      </c>
      <c r="N82" s="70">
        <f t="shared" si="32"/>
        <v>269</v>
      </c>
      <c r="O82" s="70">
        <f t="shared" si="32"/>
        <v>240</v>
      </c>
      <c r="P82" s="70">
        <f t="shared" si="32"/>
        <v>239.8</v>
      </c>
      <c r="Q82" s="70">
        <f t="shared" si="32"/>
        <v>279.5</v>
      </c>
      <c r="R82" s="70">
        <f t="shared" si="32"/>
        <v>100</v>
      </c>
      <c r="S82" s="70">
        <f t="shared" si="32"/>
        <v>184</v>
      </c>
      <c r="T82" s="70">
        <f t="shared" si="32"/>
        <v>183.5</v>
      </c>
      <c r="U82" s="70">
        <f t="shared" si="32"/>
        <v>285</v>
      </c>
      <c r="V82" s="70">
        <f t="shared" si="32"/>
        <v>306</v>
      </c>
      <c r="W82" s="70">
        <f t="shared" si="32"/>
        <v>288</v>
      </c>
      <c r="X82" s="70">
        <f t="shared" si="32"/>
        <v>312</v>
      </c>
      <c r="Y82" s="70">
        <f t="shared" si="32"/>
        <v>287</v>
      </c>
      <c r="Z82" s="70">
        <f t="shared" si="32"/>
        <v>289</v>
      </c>
      <c r="AA82" s="70">
        <f t="shared" si="32"/>
        <v>215</v>
      </c>
      <c r="AB82" s="70">
        <f t="shared" si="32"/>
        <v>190</v>
      </c>
      <c r="AC82" s="70">
        <f t="shared" si="32"/>
        <v>210</v>
      </c>
      <c r="AD82" s="70">
        <f t="shared" si="32"/>
        <v>250</v>
      </c>
      <c r="AE82" s="70">
        <f t="shared" si="32"/>
        <v>275</v>
      </c>
      <c r="AF82" s="70">
        <f t="shared" si="32"/>
        <v>270</v>
      </c>
      <c r="AG82" s="74">
        <f t="shared" si="32"/>
        <v>0</v>
      </c>
      <c r="AH82" s="55">
        <f t="shared" si="21"/>
        <v>365</v>
      </c>
      <c r="AI82" s="56">
        <f t="shared" si="22"/>
        <v>100</v>
      </c>
      <c r="AK82" s="57"/>
    </row>
    <row r="83" spans="1:88" s="1" customFormat="1" ht="15.75" thickBot="1" x14ac:dyDescent="0.3">
      <c r="A83" s="69" t="s">
        <v>88</v>
      </c>
      <c r="B83" s="70">
        <f t="shared" ref="B83" si="33">B68-B82</f>
        <v>-243</v>
      </c>
      <c r="C83" s="70">
        <f t="shared" ref="C83:AF83" si="34">C68-C82</f>
        <v>-233.55</v>
      </c>
      <c r="D83" s="70">
        <f t="shared" si="34"/>
        <v>-228.64</v>
      </c>
      <c r="E83" s="70">
        <f t="shared" si="34"/>
        <v>-221.8</v>
      </c>
      <c r="F83" s="70">
        <f t="shared" si="34"/>
        <v>-222</v>
      </c>
      <c r="G83" s="70">
        <f t="shared" si="34"/>
        <v>-275</v>
      </c>
      <c r="H83" s="70">
        <f t="shared" si="34"/>
        <v>-273</v>
      </c>
      <c r="I83" s="70">
        <f t="shared" si="34"/>
        <v>-180</v>
      </c>
      <c r="J83" s="70">
        <f t="shared" si="34"/>
        <v>-200</v>
      </c>
      <c r="K83" s="70">
        <f t="shared" si="34"/>
        <v>-202.8</v>
      </c>
      <c r="L83" s="70">
        <f t="shared" si="34"/>
        <v>-195.9</v>
      </c>
      <c r="M83" s="70">
        <f t="shared" si="34"/>
        <v>-225</v>
      </c>
      <c r="N83" s="70">
        <f t="shared" si="34"/>
        <v>-184.8</v>
      </c>
      <c r="O83" s="70">
        <f t="shared" si="34"/>
        <v>-152.5</v>
      </c>
      <c r="P83" s="70">
        <f t="shared" si="34"/>
        <v>-147.10000000000002</v>
      </c>
      <c r="Q83" s="70">
        <f t="shared" si="34"/>
        <v>-191.4</v>
      </c>
      <c r="R83" s="70">
        <f t="shared" si="34"/>
        <v>-9</v>
      </c>
      <c r="S83" s="70">
        <f t="shared" si="34"/>
        <v>-96</v>
      </c>
      <c r="T83" s="70">
        <f t="shared" si="34"/>
        <v>-86.5</v>
      </c>
      <c r="U83" s="70">
        <f t="shared" si="34"/>
        <v>-195.9</v>
      </c>
      <c r="V83" s="70">
        <f t="shared" si="34"/>
        <v>-211.4</v>
      </c>
      <c r="W83" s="70">
        <f t="shared" si="34"/>
        <v>-194.6</v>
      </c>
      <c r="X83" s="70">
        <f t="shared" si="34"/>
        <v>-236</v>
      </c>
      <c r="Y83" s="70">
        <f t="shared" si="34"/>
        <v>-195.65</v>
      </c>
      <c r="Z83" s="70">
        <f t="shared" si="34"/>
        <v>-183</v>
      </c>
      <c r="AA83" s="70">
        <f t="shared" si="34"/>
        <v>-110.35</v>
      </c>
      <c r="AB83" s="70">
        <f t="shared" si="34"/>
        <v>-87.69</v>
      </c>
      <c r="AC83" s="70">
        <f t="shared" si="34"/>
        <v>-107.32</v>
      </c>
      <c r="AD83" s="70">
        <f t="shared" si="34"/>
        <v>-140</v>
      </c>
      <c r="AE83" s="70">
        <f t="shared" si="34"/>
        <v>-240</v>
      </c>
      <c r="AF83" s="70">
        <f t="shared" si="34"/>
        <v>-180</v>
      </c>
      <c r="AG83" s="74">
        <f t="shared" ref="AG83" si="35">SUM(AG70:AG82)</f>
        <v>4360.08</v>
      </c>
      <c r="AH83" s="55">
        <f t="shared" si="21"/>
        <v>-9</v>
      </c>
      <c r="AI83" s="56">
        <f t="shared" si="22"/>
        <v>-275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50.067999999999998</v>
      </c>
      <c r="C84" s="90">
        <v>50.058999999999997</v>
      </c>
      <c r="D84" s="90">
        <v>50.006999999999998</v>
      </c>
      <c r="E84" s="90">
        <v>50.125</v>
      </c>
      <c r="F84" s="90">
        <v>50.027000000000001</v>
      </c>
      <c r="G84" s="90">
        <v>50.03</v>
      </c>
      <c r="H84" s="90">
        <v>50.03</v>
      </c>
      <c r="I84" s="90">
        <v>50.03</v>
      </c>
      <c r="J84" s="90">
        <v>50.045999999999999</v>
      </c>
      <c r="K84" s="90">
        <v>50.02</v>
      </c>
      <c r="L84" s="90">
        <v>50.042999999999999</v>
      </c>
      <c r="M84" s="90">
        <v>50.036999999999999</v>
      </c>
      <c r="N84" s="90">
        <v>50.015000000000001</v>
      </c>
      <c r="O84" s="90">
        <v>49.98</v>
      </c>
      <c r="P84" s="90">
        <v>49.98</v>
      </c>
      <c r="Q84" s="90">
        <v>50.076999999999998</v>
      </c>
      <c r="R84" s="90">
        <v>50.07</v>
      </c>
      <c r="S84" s="90">
        <v>50.067</v>
      </c>
      <c r="T84" s="90">
        <v>49.917999999999999</v>
      </c>
      <c r="U84" s="90">
        <v>49.921999999999997</v>
      </c>
      <c r="V84" s="90">
        <v>49.875</v>
      </c>
      <c r="W84" s="90">
        <v>49.984000000000002</v>
      </c>
      <c r="X84" s="90">
        <v>50.017000000000003</v>
      </c>
      <c r="Y84" s="90">
        <v>50.064999999999998</v>
      </c>
      <c r="Z84" s="90">
        <v>50.03</v>
      </c>
      <c r="AA84" s="90">
        <v>49.899000000000001</v>
      </c>
      <c r="AB84" s="90">
        <v>49.906999999999996</v>
      </c>
      <c r="AC84" s="90">
        <v>49.853000000000002</v>
      </c>
      <c r="AD84" s="90">
        <v>49.95</v>
      </c>
      <c r="AE84" s="90">
        <v>49.95</v>
      </c>
      <c r="AF84" s="90">
        <v>49.838999999999999</v>
      </c>
      <c r="AG84" s="91"/>
      <c r="AH84" s="55">
        <f t="shared" si="21"/>
        <v>50.125</v>
      </c>
      <c r="AI84" s="56">
        <f t="shared" si="22"/>
        <v>49.838999999999999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124</v>
      </c>
      <c r="C85" s="49">
        <v>124.7</v>
      </c>
      <c r="D85" s="49">
        <v>124.4</v>
      </c>
      <c r="E85" s="49">
        <v>123.7</v>
      </c>
      <c r="F85" s="49">
        <v>123.6</v>
      </c>
      <c r="G85" s="49">
        <v>125</v>
      </c>
      <c r="H85" s="49">
        <v>125</v>
      </c>
      <c r="I85" s="49">
        <v>125</v>
      </c>
      <c r="J85" s="49">
        <v>124.2</v>
      </c>
      <c r="K85" s="49">
        <v>125.8</v>
      </c>
      <c r="L85" s="49">
        <v>125.4</v>
      </c>
      <c r="M85" s="49">
        <v>126.6</v>
      </c>
      <c r="N85" s="49">
        <v>123.2</v>
      </c>
      <c r="O85" s="49">
        <v>121</v>
      </c>
      <c r="P85" s="49">
        <v>121</v>
      </c>
      <c r="Q85" s="49">
        <v>122.6</v>
      </c>
      <c r="R85" s="49">
        <v>122.9</v>
      </c>
      <c r="S85" s="49">
        <v>123.4</v>
      </c>
      <c r="T85" s="49">
        <v>122.1</v>
      </c>
      <c r="U85" s="49">
        <v>122.3</v>
      </c>
      <c r="V85" s="49">
        <v>124.2</v>
      </c>
      <c r="W85" s="49">
        <v>124.8</v>
      </c>
      <c r="X85" s="49">
        <v>125.5</v>
      </c>
      <c r="Y85" s="49">
        <v>125</v>
      </c>
      <c r="Z85" s="49">
        <v>125.7</v>
      </c>
      <c r="AA85" s="49">
        <v>126.3</v>
      </c>
      <c r="AB85" s="49">
        <v>126.2</v>
      </c>
      <c r="AC85" s="49">
        <v>125.2</v>
      </c>
      <c r="AD85" s="49">
        <v>125</v>
      </c>
      <c r="AE85" s="49">
        <v>125</v>
      </c>
      <c r="AF85" s="49">
        <v>125</v>
      </c>
      <c r="AG85" s="93"/>
      <c r="AH85" s="55">
        <f t="shared" si="21"/>
        <v>126.6</v>
      </c>
      <c r="AI85" s="56">
        <f t="shared" si="22"/>
        <v>121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129.5</v>
      </c>
      <c r="C86" s="49">
        <v>129.9</v>
      </c>
      <c r="D86" s="49">
        <v>129.69999999999999</v>
      </c>
      <c r="E86" s="49">
        <v>129</v>
      </c>
      <c r="F86" s="49">
        <v>128</v>
      </c>
      <c r="G86" s="49">
        <v>129.1</v>
      </c>
      <c r="H86" s="49">
        <v>129.1</v>
      </c>
      <c r="I86" s="49">
        <v>129.1</v>
      </c>
      <c r="J86" s="49">
        <v>128.19999999999999</v>
      </c>
      <c r="K86" s="49">
        <v>128.1</v>
      </c>
      <c r="L86" s="49">
        <v>127.5</v>
      </c>
      <c r="M86" s="49">
        <v>128</v>
      </c>
      <c r="N86" s="49">
        <v>126.2</v>
      </c>
      <c r="O86" s="49">
        <v>124.6</v>
      </c>
      <c r="P86" s="49">
        <v>124.6</v>
      </c>
      <c r="Q86" s="49">
        <v>126.5</v>
      </c>
      <c r="R86" s="49">
        <v>126.8</v>
      </c>
      <c r="S86" s="49">
        <v>127.4</v>
      </c>
      <c r="T86" s="49">
        <v>126.5</v>
      </c>
      <c r="U86" s="49">
        <v>126.6</v>
      </c>
      <c r="V86" s="49">
        <v>128.1</v>
      </c>
      <c r="W86" s="49">
        <v>128.69999999999999</v>
      </c>
      <c r="X86" s="49">
        <v>129.1</v>
      </c>
      <c r="Y86" s="49">
        <v>129.1</v>
      </c>
      <c r="Z86" s="49">
        <v>130.30000000000001</v>
      </c>
      <c r="AA86" s="49">
        <v>130.19999999999999</v>
      </c>
      <c r="AB86" s="49">
        <v>130.4</v>
      </c>
      <c r="AC86" s="49">
        <v>128.9</v>
      </c>
      <c r="AD86" s="49">
        <v>30</v>
      </c>
      <c r="AE86" s="49">
        <v>30</v>
      </c>
      <c r="AF86" s="49">
        <v>30</v>
      </c>
      <c r="AG86" s="93"/>
      <c r="AH86" s="55">
        <f t="shared" si="21"/>
        <v>130.4</v>
      </c>
      <c r="AI86" s="56">
        <f t="shared" si="22"/>
        <v>30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125.8</v>
      </c>
      <c r="C87" s="49">
        <v>127.4</v>
      </c>
      <c r="D87" s="49">
        <v>126.5</v>
      </c>
      <c r="E87" s="49">
        <v>128</v>
      </c>
      <c r="F87" s="49">
        <v>128</v>
      </c>
      <c r="G87" s="49">
        <v>128.19999999999999</v>
      </c>
      <c r="H87" s="49">
        <v>128.19999999999999</v>
      </c>
      <c r="I87" s="49">
        <v>128.19999999999999</v>
      </c>
      <c r="J87" s="49">
        <v>127.6</v>
      </c>
      <c r="K87" s="49">
        <v>125.4</v>
      </c>
      <c r="L87" s="49">
        <v>124.2</v>
      </c>
      <c r="M87" s="49">
        <v>127.7</v>
      </c>
      <c r="N87" s="49">
        <v>127.7</v>
      </c>
      <c r="O87" s="49">
        <v>127.1</v>
      </c>
      <c r="P87" s="49">
        <v>127.1</v>
      </c>
      <c r="Q87" s="49">
        <v>128.19999999999999</v>
      </c>
      <c r="R87" s="49">
        <v>126.3</v>
      </c>
      <c r="S87" s="49">
        <v>125.4</v>
      </c>
      <c r="T87" s="49">
        <v>127.6</v>
      </c>
      <c r="U87" s="49">
        <v>124.6</v>
      </c>
      <c r="V87" s="49">
        <v>127.8</v>
      </c>
      <c r="W87" s="49">
        <v>128.6</v>
      </c>
      <c r="X87" s="49">
        <v>127.7</v>
      </c>
      <c r="Y87" s="49">
        <v>129.19999999999999</v>
      </c>
      <c r="Z87" s="49">
        <v>128.69999999999999</v>
      </c>
      <c r="AA87" s="49">
        <v>126</v>
      </c>
      <c r="AB87" s="49">
        <v>126.1</v>
      </c>
      <c r="AC87" s="49">
        <v>126.2</v>
      </c>
      <c r="AD87" s="49">
        <v>126</v>
      </c>
      <c r="AE87" s="49">
        <v>126</v>
      </c>
      <c r="AF87" s="49">
        <v>126</v>
      </c>
      <c r="AG87" s="93"/>
      <c r="AH87" s="55">
        <f t="shared" si="21"/>
        <v>129.19999999999999</v>
      </c>
      <c r="AI87" s="56">
        <f t="shared" si="22"/>
        <v>124.2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131.19999999999999</v>
      </c>
      <c r="C88" s="49">
        <v>132.5</v>
      </c>
      <c r="D88" s="49">
        <v>131.9</v>
      </c>
      <c r="E88" s="49">
        <v>133.1</v>
      </c>
      <c r="F88" s="49">
        <v>132.9</v>
      </c>
      <c r="G88" s="49">
        <v>132.9</v>
      </c>
      <c r="H88" s="49">
        <v>132.9</v>
      </c>
      <c r="I88" s="49">
        <v>132.9</v>
      </c>
      <c r="J88" s="49">
        <v>132.4</v>
      </c>
      <c r="K88" s="49">
        <v>129.19999999999999</v>
      </c>
      <c r="L88" s="49">
        <v>127.1</v>
      </c>
      <c r="M88" s="49">
        <v>128.69999999999999</v>
      </c>
      <c r="N88" s="49">
        <v>128.69999999999999</v>
      </c>
      <c r="O88" s="49">
        <v>128.30000000000001</v>
      </c>
      <c r="P88" s="49">
        <v>128.30000000000001</v>
      </c>
      <c r="Q88" s="49">
        <v>127.1</v>
      </c>
      <c r="R88" s="49">
        <v>127.1</v>
      </c>
      <c r="S88" s="49">
        <v>127.1</v>
      </c>
      <c r="T88" s="49">
        <v>127.1</v>
      </c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21"/>
        <v>133.1</v>
      </c>
      <c r="AI88" s="56">
        <f t="shared" si="22"/>
        <v>127.1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130.1</v>
      </c>
      <c r="C89" s="95">
        <v>136.4</v>
      </c>
      <c r="D89" s="95">
        <v>132.30000000000001</v>
      </c>
      <c r="E89" s="95">
        <v>130.19999999999999</v>
      </c>
      <c r="F89" s="95">
        <v>130.5</v>
      </c>
      <c r="G89" s="95">
        <v>130.30000000000001</v>
      </c>
      <c r="H89" s="95">
        <v>130.30000000000001</v>
      </c>
      <c r="I89" s="95">
        <v>130.30000000000001</v>
      </c>
      <c r="J89" s="95">
        <v>133.80000000000001</v>
      </c>
      <c r="K89" s="95">
        <v>130.5</v>
      </c>
      <c r="L89" s="95">
        <v>132</v>
      </c>
      <c r="M89" s="95">
        <v>132</v>
      </c>
      <c r="N89" s="95">
        <v>132</v>
      </c>
      <c r="O89" s="95">
        <v>135.5</v>
      </c>
      <c r="P89" s="95">
        <v>135.5</v>
      </c>
      <c r="Q89" s="95">
        <v>129.69999999999999</v>
      </c>
      <c r="R89" s="95">
        <v>132.5</v>
      </c>
      <c r="S89" s="95">
        <v>132.69999999999999</v>
      </c>
      <c r="T89" s="95">
        <v>128.1</v>
      </c>
      <c r="U89" s="95">
        <v>131.1</v>
      </c>
      <c r="V89" s="95">
        <v>132.80000000000001</v>
      </c>
      <c r="W89" s="95">
        <v>132.80000000000001</v>
      </c>
      <c r="X89" s="95">
        <v>134.80000000000001</v>
      </c>
      <c r="Y89" s="95">
        <v>135</v>
      </c>
      <c r="Z89" s="95">
        <v>130.9</v>
      </c>
      <c r="AA89" s="95">
        <v>133.30000000000001</v>
      </c>
      <c r="AB89" s="95">
        <v>135.1</v>
      </c>
      <c r="AC89" s="95">
        <v>133.6</v>
      </c>
      <c r="AD89" s="95">
        <v>135</v>
      </c>
      <c r="AE89" s="95">
        <v>135</v>
      </c>
      <c r="AF89" s="95">
        <v>135</v>
      </c>
      <c r="AG89" s="96"/>
      <c r="AH89" s="55">
        <f t="shared" si="21"/>
        <v>136.4</v>
      </c>
      <c r="AI89" s="56">
        <f t="shared" si="22"/>
        <v>128.1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122.1</v>
      </c>
      <c r="C90" s="49">
        <v>133.19999999999999</v>
      </c>
      <c r="D90" s="49">
        <v>125.4</v>
      </c>
      <c r="E90" s="49">
        <v>119.5</v>
      </c>
      <c r="F90" s="49">
        <v>120.4</v>
      </c>
      <c r="G90" s="49">
        <v>123.9</v>
      </c>
      <c r="H90" s="49">
        <v>123.9</v>
      </c>
      <c r="I90" s="49">
        <v>123.9</v>
      </c>
      <c r="J90" s="49">
        <v>126.3</v>
      </c>
      <c r="K90" s="49">
        <v>123.7</v>
      </c>
      <c r="L90" s="49">
        <v>124.2</v>
      </c>
      <c r="M90" s="49">
        <v>124.2</v>
      </c>
      <c r="N90" s="49">
        <v>124.2</v>
      </c>
      <c r="O90" s="49">
        <v>124.7</v>
      </c>
      <c r="P90" s="49">
        <v>124.7</v>
      </c>
      <c r="Q90" s="49">
        <v>123.7</v>
      </c>
      <c r="R90" s="49">
        <v>121.6</v>
      </c>
      <c r="S90" s="49">
        <v>128.19999999999999</v>
      </c>
      <c r="T90" s="49">
        <v>125.2</v>
      </c>
      <c r="U90" s="49">
        <v>127.1</v>
      </c>
      <c r="V90" s="49">
        <v>127.8</v>
      </c>
      <c r="W90" s="49">
        <v>125.1</v>
      </c>
      <c r="X90" s="49">
        <v>131.30000000000001</v>
      </c>
      <c r="Y90" s="49">
        <v>133.4</v>
      </c>
      <c r="Z90" s="49">
        <v>125.4</v>
      </c>
      <c r="AA90" s="49">
        <v>132.5</v>
      </c>
      <c r="AB90" s="49">
        <v>130.5</v>
      </c>
      <c r="AC90" s="49">
        <v>124.6</v>
      </c>
      <c r="AD90" s="49">
        <v>128</v>
      </c>
      <c r="AE90" s="49">
        <v>128</v>
      </c>
      <c r="AF90" s="49">
        <v>128</v>
      </c>
      <c r="AG90" s="93"/>
      <c r="AH90" s="55">
        <f t="shared" si="21"/>
        <v>133.4</v>
      </c>
      <c r="AI90" s="56">
        <f t="shared" si="22"/>
        <v>119.5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65.7</v>
      </c>
      <c r="C91" s="97">
        <v>65.599999999999994</v>
      </c>
      <c r="D91" s="97">
        <v>65.599999999999994</v>
      </c>
      <c r="E91" s="97">
        <v>65.400000000000006</v>
      </c>
      <c r="F91" s="97">
        <v>65.3</v>
      </c>
      <c r="G91" s="97">
        <v>65.400000000000006</v>
      </c>
      <c r="H91" s="97">
        <v>65.400000000000006</v>
      </c>
      <c r="I91" s="97">
        <v>65.400000000000006</v>
      </c>
      <c r="J91" s="97">
        <v>64.599999999999994</v>
      </c>
      <c r="K91" s="97">
        <v>64.7</v>
      </c>
      <c r="L91" s="97">
        <v>64.8</v>
      </c>
      <c r="M91" s="97">
        <v>64.8</v>
      </c>
      <c r="N91" s="97">
        <f>63.7</f>
        <v>63.7</v>
      </c>
      <c r="O91" s="97">
        <v>63.1</v>
      </c>
      <c r="P91" s="97">
        <v>63.1</v>
      </c>
      <c r="Q91" s="97">
        <v>63.7</v>
      </c>
      <c r="R91" s="97">
        <v>64</v>
      </c>
      <c r="S91" s="97">
        <v>64.2</v>
      </c>
      <c r="T91" s="97">
        <v>64</v>
      </c>
      <c r="U91" s="97">
        <v>63.9</v>
      </c>
      <c r="V91" s="97">
        <v>64.400000000000006</v>
      </c>
      <c r="W91" s="97">
        <v>64.8</v>
      </c>
      <c r="X91" s="97">
        <v>65.3</v>
      </c>
      <c r="Y91" s="97">
        <v>65.400000000000006</v>
      </c>
      <c r="Z91" s="97">
        <v>65.7</v>
      </c>
      <c r="AA91" s="97">
        <v>65.599999999999994</v>
      </c>
      <c r="AB91" s="97">
        <v>65.7</v>
      </c>
      <c r="AC91" s="97">
        <v>65</v>
      </c>
      <c r="AD91" s="97">
        <v>65</v>
      </c>
      <c r="AE91" s="97">
        <v>65</v>
      </c>
      <c r="AF91" s="97">
        <v>65</v>
      </c>
      <c r="AG91" s="98"/>
      <c r="AH91" s="55">
        <f t="shared" si="21"/>
        <v>65.7</v>
      </c>
      <c r="AI91" s="56">
        <f t="shared" si="22"/>
        <v>63.1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" si="36">SUM(B15,B18,B21:B22,B42,B44:B45,B47,B49,B94:B97,B103,B109,B115,B124,B126,B138,B145,B148:B149,B156,B158,B160,B164:B166,B168:B170,B175,B181:B182,B184:B186,B194,B199)</f>
        <v>181.93999999999997</v>
      </c>
      <c r="C93" s="103">
        <f t="shared" ref="C93:AF93" si="37">SUM(C15,C18,C21:C22,C42,C44:C45,C47,C49,C94:C97,C103,C109,C115,C124,C126,C138,C145,C148:C149,C156,C158,C160,C164:C166,C168:C170,C175,C181:C182,C184:C186,C194,C199)</f>
        <v>125.54</v>
      </c>
      <c r="D93" s="103">
        <f t="shared" si="37"/>
        <v>120.33999999999999</v>
      </c>
      <c r="E93" s="103">
        <f t="shared" si="37"/>
        <v>117.43999999999998</v>
      </c>
      <c r="F93" s="103">
        <f t="shared" si="37"/>
        <v>136.03999999999996</v>
      </c>
      <c r="G93" s="103">
        <f t="shared" si="37"/>
        <v>155.73999999999998</v>
      </c>
      <c r="H93" s="103">
        <f t="shared" si="37"/>
        <v>155.73999999999998</v>
      </c>
      <c r="I93" s="103">
        <f t="shared" si="37"/>
        <v>155.73999999999998</v>
      </c>
      <c r="J93" s="103">
        <f t="shared" si="37"/>
        <v>374.64</v>
      </c>
      <c r="K93" s="103">
        <f t="shared" si="37"/>
        <v>281.24</v>
      </c>
      <c r="L93" s="103">
        <f t="shared" si="37"/>
        <v>291.04000000000002</v>
      </c>
      <c r="M93" s="103">
        <f t="shared" si="37"/>
        <v>257.94</v>
      </c>
      <c r="N93" s="103">
        <f t="shared" si="37"/>
        <v>266.34000000000003</v>
      </c>
      <c r="O93" s="103">
        <f t="shared" si="37"/>
        <v>270.53999999999996</v>
      </c>
      <c r="P93" s="103">
        <f t="shared" si="37"/>
        <v>271.54000000000002</v>
      </c>
      <c r="Q93" s="103">
        <f t="shared" si="37"/>
        <v>257.54000000000002</v>
      </c>
      <c r="R93" s="103">
        <f t="shared" si="37"/>
        <v>253.94</v>
      </c>
      <c r="S93" s="103">
        <f t="shared" si="37"/>
        <v>249.33999999999997</v>
      </c>
      <c r="T93" s="103">
        <f t="shared" si="37"/>
        <v>245.83999999999997</v>
      </c>
      <c r="U93" s="103">
        <f t="shared" si="37"/>
        <v>251.43999999999997</v>
      </c>
      <c r="V93" s="103">
        <f t="shared" si="37"/>
        <v>260.54000000000008</v>
      </c>
      <c r="W93" s="103">
        <f>SUM(W15,W18,W21:W22,W42,W44:W45,W47,W49,W94:W97,W103,W109,W115,W124,W126,W138,W145,W148:W149,W156,W158,W160,W164:W166,W168:W170,W175,W181:W182,W184:W186,W194,W199)</f>
        <v>250.23999999999995</v>
      </c>
      <c r="X93" s="103">
        <f>SUM(X15,X18,X21:X22,X42,X44:X45,X47,X49,X94:X97,X103,X109,X115,X124,X126,X138,X145,X148:X149,X156,X158,X160,X164:X166,X168:X170,X175,X181:X182,X184:X186,X194,X199)</f>
        <v>236.33999999999997</v>
      </c>
      <c r="Y93" s="103">
        <f t="shared" si="37"/>
        <v>237.93999999999997</v>
      </c>
      <c r="Z93" s="103">
        <f t="shared" si="37"/>
        <v>255.73999999999995</v>
      </c>
      <c r="AA93" s="103">
        <f t="shared" si="37"/>
        <v>280.93999999999994</v>
      </c>
      <c r="AB93" s="103">
        <f t="shared" si="37"/>
        <v>271.94</v>
      </c>
      <c r="AC93" s="103">
        <f t="shared" si="37"/>
        <v>263.04000000000002</v>
      </c>
      <c r="AD93" s="103">
        <f t="shared" si="37"/>
        <v>227.23999999999998</v>
      </c>
      <c r="AE93" s="103">
        <f t="shared" si="37"/>
        <v>227.23999999999998</v>
      </c>
      <c r="AF93" s="103">
        <f t="shared" si="37"/>
        <v>125.24</v>
      </c>
      <c r="AG93" s="104"/>
      <c r="AH93" s="55">
        <f>MAX(C93:AF93)</f>
        <v>374.64</v>
      </c>
      <c r="AI93" s="56">
        <f>MIN(C93:AF93)</f>
        <v>117.43999999999998</v>
      </c>
    </row>
    <row r="94" spans="1:88" x14ac:dyDescent="0.25">
      <c r="A94" s="105" t="s">
        <v>98</v>
      </c>
      <c r="B94" s="106">
        <v>16.7</v>
      </c>
      <c r="C94" s="106">
        <v>4.4000000000000004</v>
      </c>
      <c r="D94" s="106">
        <v>2.8</v>
      </c>
      <c r="E94" s="106">
        <v>3.5</v>
      </c>
      <c r="F94" s="106">
        <f>3.8+17.4</f>
        <v>21.2</v>
      </c>
      <c r="G94" s="106">
        <f>23.8+8.5</f>
        <v>32.299999999999997</v>
      </c>
      <c r="H94" s="106">
        <f t="shared" ref="H94:I94" si="38">23.8+8.5</f>
        <v>32.299999999999997</v>
      </c>
      <c r="I94" s="106">
        <f t="shared" si="38"/>
        <v>32.299999999999997</v>
      </c>
      <c r="J94" s="106">
        <v>7</v>
      </c>
      <c r="K94" s="106">
        <v>7.4</v>
      </c>
      <c r="L94" s="106">
        <v>17.2</v>
      </c>
      <c r="M94" s="106">
        <v>21.2</v>
      </c>
      <c r="N94" s="106">
        <v>22.5</v>
      </c>
      <c r="O94" s="106">
        <v>27</v>
      </c>
      <c r="P94" s="106">
        <v>28</v>
      </c>
      <c r="Q94" s="106">
        <v>21.5</v>
      </c>
      <c r="R94" s="106">
        <v>19.3</v>
      </c>
      <c r="S94" s="106">
        <v>19</v>
      </c>
      <c r="T94" s="106">
        <v>20.100000000000001</v>
      </c>
      <c r="U94" s="106">
        <v>22.5</v>
      </c>
      <c r="V94" s="106">
        <v>21.5</v>
      </c>
      <c r="W94" s="106">
        <v>21.5</v>
      </c>
      <c r="X94" s="106">
        <v>20.100000000000001</v>
      </c>
      <c r="Y94" s="106">
        <v>24</v>
      </c>
      <c r="Z94" s="106">
        <v>27.9</v>
      </c>
      <c r="AA94" s="106">
        <v>22.2</v>
      </c>
      <c r="AB94" s="106">
        <v>18.2</v>
      </c>
      <c r="AC94" s="106">
        <v>20.6</v>
      </c>
      <c r="AD94" s="106">
        <v>21</v>
      </c>
      <c r="AE94" s="106">
        <v>21</v>
      </c>
      <c r="AF94" s="106">
        <v>12</v>
      </c>
      <c r="AG94" s="107">
        <v>75</v>
      </c>
      <c r="AH94" s="55">
        <f t="shared" ref="AH94:AH100" si="39">IF(ABS(MAX(C94:AF94))&gt;ABS(MIN(C94:AF94)),MAX(C94:AF94),MIN(C94:AF94))</f>
        <v>32.299999999999997</v>
      </c>
      <c r="AI94" s="108">
        <f t="shared" ref="AI94:AI100" si="40">INDEX($C$9:$AF$9,1,MATCH(AH94,C94:AF94,0))</f>
        <v>0.20833333333333301</v>
      </c>
    </row>
    <row r="95" spans="1:88" x14ac:dyDescent="0.25">
      <c r="A95" s="109" t="s">
        <v>99</v>
      </c>
      <c r="B95" s="110">
        <f>-52-59.7</f>
        <v>-111.7</v>
      </c>
      <c r="C95" s="110">
        <v>-121.2</v>
      </c>
      <c r="D95" s="110">
        <f>-55-62.7</f>
        <v>-117.7</v>
      </c>
      <c r="E95" s="110">
        <f>-56.7-64.4</f>
        <v>-121.10000000000001</v>
      </c>
      <c r="F95" s="110">
        <v>-132</v>
      </c>
      <c r="G95" s="110">
        <v>-131</v>
      </c>
      <c r="H95" s="110">
        <v>-131</v>
      </c>
      <c r="I95" s="110">
        <v>-131</v>
      </c>
      <c r="J95" s="110">
        <v>79</v>
      </c>
      <c r="K95" s="110">
        <f>-8.3-18.5</f>
        <v>-26.8</v>
      </c>
      <c r="L95" s="110">
        <f>-8.3-18.5</f>
        <v>-26.8</v>
      </c>
      <c r="M95" s="110">
        <v>-46</v>
      </c>
      <c r="N95" s="110">
        <v>-41</v>
      </c>
      <c r="O95" s="110">
        <f>-22.9-32</f>
        <v>-54.9</v>
      </c>
      <c r="P95" s="110">
        <f t="shared" ref="P95" si="41">-22.9-32</f>
        <v>-54.9</v>
      </c>
      <c r="Q95" s="110">
        <v>-50</v>
      </c>
      <c r="R95" s="110">
        <f>-17.1-29.3</f>
        <v>-46.400000000000006</v>
      </c>
      <c r="S95" s="110">
        <f>-19-31</f>
        <v>-50</v>
      </c>
      <c r="T95" s="110">
        <f>-20.7-32.9</f>
        <v>-53.599999999999994</v>
      </c>
      <c r="U95" s="110">
        <f>-20.7-32.9</f>
        <v>-53.599999999999994</v>
      </c>
      <c r="V95" s="110">
        <f>-17.4-30</f>
        <v>-47.4</v>
      </c>
      <c r="W95" s="110">
        <f>-21-33.8</f>
        <v>-54.8</v>
      </c>
      <c r="X95" s="110">
        <f>-24.8-35.5</f>
        <v>-60.3</v>
      </c>
      <c r="Y95" s="110">
        <f>-23.1-31</f>
        <v>-54.1</v>
      </c>
      <c r="Z95" s="110">
        <f>-19.3-27.1</f>
        <v>-46.400000000000006</v>
      </c>
      <c r="AA95" s="110">
        <f>-12-24</f>
        <v>-36</v>
      </c>
      <c r="AB95" s="110">
        <v>-29</v>
      </c>
      <c r="AC95" s="110">
        <v>-30</v>
      </c>
      <c r="AD95" s="110">
        <v>-61</v>
      </c>
      <c r="AE95" s="110">
        <v>-61</v>
      </c>
      <c r="AF95" s="110">
        <v>-112</v>
      </c>
      <c r="AG95" s="107">
        <v>240</v>
      </c>
      <c r="AH95" s="55">
        <f t="shared" si="39"/>
        <v>-132</v>
      </c>
      <c r="AI95" s="108">
        <f t="shared" si="40"/>
        <v>0.16666666666666699</v>
      </c>
    </row>
    <row r="96" spans="1:88" x14ac:dyDescent="0.25">
      <c r="A96" s="109" t="s">
        <v>100</v>
      </c>
      <c r="B96" s="110">
        <v>33.299999999999997</v>
      </c>
      <c r="C96" s="110">
        <v>2.2000000000000002</v>
      </c>
      <c r="D96" s="110">
        <v>1.7</v>
      </c>
      <c r="E96" s="110">
        <v>2.6</v>
      </c>
      <c r="F96" s="110">
        <v>1.7</v>
      </c>
      <c r="G96" s="110">
        <v>9.1999999999999993</v>
      </c>
      <c r="H96" s="110">
        <v>9.1999999999999993</v>
      </c>
      <c r="I96" s="110">
        <v>9.1999999999999993</v>
      </c>
      <c r="J96" s="110">
        <v>43.4</v>
      </c>
      <c r="K96" s="110">
        <v>55.1</v>
      </c>
      <c r="L96" s="110">
        <v>55.1</v>
      </c>
      <c r="M96" s="110">
        <v>33.6</v>
      </c>
      <c r="N96" s="110">
        <v>45.1</v>
      </c>
      <c r="O96" s="110">
        <v>40</v>
      </c>
      <c r="P96" s="110">
        <v>40</v>
      </c>
      <c r="Q96" s="110">
        <v>32.9</v>
      </c>
      <c r="R96" s="110">
        <v>43.3</v>
      </c>
      <c r="S96" s="110">
        <v>42.6</v>
      </c>
      <c r="T96" s="110">
        <v>41.6</v>
      </c>
      <c r="U96" s="110">
        <v>45.5</v>
      </c>
      <c r="V96" s="110">
        <v>49.4</v>
      </c>
      <c r="W96" s="110">
        <v>46.5</v>
      </c>
      <c r="X96" s="110">
        <v>39.5</v>
      </c>
      <c r="Y96" s="110">
        <v>31</v>
      </c>
      <c r="Z96" s="110">
        <v>42.2</v>
      </c>
      <c r="AA96" s="110">
        <v>49.6</v>
      </c>
      <c r="AB96" s="110">
        <v>47.9</v>
      </c>
      <c r="AC96" s="110">
        <v>47.2</v>
      </c>
      <c r="AD96" s="110">
        <v>42</v>
      </c>
      <c r="AE96" s="110">
        <v>42</v>
      </c>
      <c r="AF96" s="110">
        <v>0</v>
      </c>
      <c r="AG96" s="107">
        <v>60</v>
      </c>
      <c r="AH96" s="55">
        <f t="shared" si="39"/>
        <v>55.1</v>
      </c>
      <c r="AI96" s="108">
        <f t="shared" si="40"/>
        <v>0.29166666666666669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56.3</v>
      </c>
      <c r="N97" s="112">
        <v>46.9</v>
      </c>
      <c r="O97" s="112">
        <v>65.3</v>
      </c>
      <c r="P97" s="112">
        <v>65.3</v>
      </c>
      <c r="Q97" s="112">
        <v>0</v>
      </c>
      <c r="R97" s="112">
        <v>0</v>
      </c>
      <c r="S97" s="112">
        <v>0</v>
      </c>
      <c r="T97" s="112">
        <v>0</v>
      </c>
      <c r="U97" s="112">
        <v>0</v>
      </c>
      <c r="V97" s="112">
        <v>0</v>
      </c>
      <c r="W97" s="112">
        <v>0</v>
      </c>
      <c r="X97" s="112">
        <v>0</v>
      </c>
      <c r="Y97" s="112">
        <v>0</v>
      </c>
      <c r="Z97" s="112">
        <v>10</v>
      </c>
      <c r="AA97" s="112">
        <v>23.1</v>
      </c>
      <c r="AB97" s="112">
        <v>12.8</v>
      </c>
      <c r="AC97" s="112">
        <v>0</v>
      </c>
      <c r="AD97" s="112">
        <v>0</v>
      </c>
      <c r="AE97" s="112">
        <v>0</v>
      </c>
      <c r="AF97" s="112">
        <v>0</v>
      </c>
      <c r="AG97" s="113">
        <v>120</v>
      </c>
      <c r="AH97" s="55">
        <f t="shared" si="39"/>
        <v>65.3</v>
      </c>
      <c r="AI97" s="108">
        <f t="shared" si="40"/>
        <v>0.41666666666666702</v>
      </c>
    </row>
    <row r="98" spans="1:37" x14ac:dyDescent="0.25">
      <c r="A98" s="111" t="s">
        <v>102</v>
      </c>
      <c r="B98" s="112">
        <v>61.3</v>
      </c>
      <c r="C98" s="112">
        <v>57.7</v>
      </c>
      <c r="D98" s="112">
        <v>57.4</v>
      </c>
      <c r="E98" s="112">
        <v>54.8</v>
      </c>
      <c r="F98" s="112">
        <v>50</v>
      </c>
      <c r="G98" s="112">
        <v>36</v>
      </c>
      <c r="H98" s="112">
        <v>36</v>
      </c>
      <c r="I98" s="112">
        <v>36</v>
      </c>
      <c r="J98" s="112">
        <v>83.6</v>
      </c>
      <c r="K98" s="112">
        <v>79.2</v>
      </c>
      <c r="L98" s="112">
        <v>79.2</v>
      </c>
      <c r="M98" s="112">
        <v>55.6</v>
      </c>
      <c r="N98" s="112">
        <v>54.1</v>
      </c>
      <c r="O98" s="112">
        <v>69.900000000000006</v>
      </c>
      <c r="P98" s="112">
        <v>69.900000000000006</v>
      </c>
      <c r="Q98" s="112">
        <v>76.599999999999994</v>
      </c>
      <c r="R98" s="112">
        <v>79</v>
      </c>
      <c r="S98" s="112">
        <v>72</v>
      </c>
      <c r="T98" s="112">
        <v>71</v>
      </c>
      <c r="U98" s="112">
        <v>71.2</v>
      </c>
      <c r="V98" s="112">
        <v>66.099999999999994</v>
      </c>
      <c r="W98" s="112">
        <v>66.400000000000006</v>
      </c>
      <c r="X98" s="112">
        <v>61.1</v>
      </c>
      <c r="Y98" s="112">
        <v>82</v>
      </c>
      <c r="Z98" s="112">
        <v>80</v>
      </c>
      <c r="AA98" s="112">
        <v>82</v>
      </c>
      <c r="AB98" s="112">
        <v>88</v>
      </c>
      <c r="AC98" s="112">
        <v>88.5</v>
      </c>
      <c r="AD98" s="112">
        <v>65</v>
      </c>
      <c r="AE98" s="112">
        <v>65</v>
      </c>
      <c r="AF98" s="112">
        <v>63</v>
      </c>
      <c r="AG98" s="113"/>
      <c r="AH98" s="55">
        <f t="shared" si="39"/>
        <v>88.5</v>
      </c>
      <c r="AI98" s="108">
        <f t="shared" si="40"/>
        <v>0.85416666666666663</v>
      </c>
    </row>
    <row r="99" spans="1:37" x14ac:dyDescent="0.25">
      <c r="A99" s="111" t="s">
        <v>103</v>
      </c>
      <c r="B99" s="112">
        <v>81.2</v>
      </c>
      <c r="C99" s="112">
        <v>75.2</v>
      </c>
      <c r="D99" s="112">
        <v>70</v>
      </c>
      <c r="E99" s="112">
        <v>76.5</v>
      </c>
      <c r="F99" s="112">
        <v>79</v>
      </c>
      <c r="G99" s="112">
        <v>76</v>
      </c>
      <c r="H99" s="112">
        <v>76</v>
      </c>
      <c r="I99" s="112">
        <v>76</v>
      </c>
      <c r="J99" s="112">
        <v>62</v>
      </c>
      <c r="K99" s="112">
        <v>79.7</v>
      </c>
      <c r="L99" s="112">
        <v>79.7</v>
      </c>
      <c r="M99" s="112">
        <v>45.2</v>
      </c>
      <c r="N99" s="112">
        <v>39.299999999999997</v>
      </c>
      <c r="O99" s="112">
        <v>13.4</v>
      </c>
      <c r="P99" s="112">
        <v>13.4</v>
      </c>
      <c r="Q99" s="112">
        <v>49.7</v>
      </c>
      <c r="R99" s="112">
        <v>57</v>
      </c>
      <c r="S99" s="112">
        <v>58.3</v>
      </c>
      <c r="T99" s="112">
        <v>60</v>
      </c>
      <c r="U99" s="112">
        <v>51.7</v>
      </c>
      <c r="V99" s="112">
        <v>59.4</v>
      </c>
      <c r="W99" s="112">
        <v>63.2</v>
      </c>
      <c r="X99" s="112">
        <v>59.2</v>
      </c>
      <c r="Y99" s="112">
        <v>53.3</v>
      </c>
      <c r="Z99" s="112">
        <v>55</v>
      </c>
      <c r="AA99" s="112">
        <v>59.2</v>
      </c>
      <c r="AB99" s="112">
        <v>72</v>
      </c>
      <c r="AC99" s="112">
        <v>66.3</v>
      </c>
      <c r="AD99" s="112">
        <v>62</v>
      </c>
      <c r="AE99" s="112">
        <v>62</v>
      </c>
      <c r="AF99" s="112">
        <v>66</v>
      </c>
      <c r="AG99" s="114"/>
      <c r="AH99" s="55">
        <f t="shared" si="39"/>
        <v>79.7</v>
      </c>
      <c r="AI99" s="108">
        <f t="shared" si="40"/>
        <v>0.29166666666666669</v>
      </c>
    </row>
    <row r="100" spans="1:37" ht="15.75" thickBot="1" x14ac:dyDescent="0.3">
      <c r="A100" s="115" t="s">
        <v>104</v>
      </c>
      <c r="B100" s="95">
        <v>55.3</v>
      </c>
      <c r="C100" s="95">
        <v>48.3</v>
      </c>
      <c r="D100" s="95">
        <v>49.2</v>
      </c>
      <c r="E100" s="95">
        <v>43.8</v>
      </c>
      <c r="F100" s="95">
        <v>44.8</v>
      </c>
      <c r="G100" s="95">
        <v>35.299999999999997</v>
      </c>
      <c r="H100" s="95">
        <v>35.299999999999997</v>
      </c>
      <c r="I100" s="95">
        <v>35.299999999999997</v>
      </c>
      <c r="J100" s="95">
        <v>34.5</v>
      </c>
      <c r="K100" s="95">
        <v>39.299999999999997</v>
      </c>
      <c r="L100" s="95">
        <v>39.299999999999997</v>
      </c>
      <c r="M100" s="95">
        <v>55.6</v>
      </c>
      <c r="N100" s="95">
        <v>33.700000000000003</v>
      </c>
      <c r="O100" s="95">
        <v>46.1</v>
      </c>
      <c r="P100" s="95">
        <v>46.1</v>
      </c>
      <c r="Q100" s="95">
        <v>59.5</v>
      </c>
      <c r="R100" s="95">
        <v>58.9</v>
      </c>
      <c r="S100" s="95">
        <v>57</v>
      </c>
      <c r="T100" s="95">
        <v>54.3</v>
      </c>
      <c r="U100" s="95">
        <v>44</v>
      </c>
      <c r="V100" s="95">
        <v>46.4</v>
      </c>
      <c r="W100" s="95">
        <v>55.6</v>
      </c>
      <c r="X100" s="95">
        <v>42.3</v>
      </c>
      <c r="Y100" s="95">
        <v>42</v>
      </c>
      <c r="Z100" s="95">
        <v>42</v>
      </c>
      <c r="AA100" s="95">
        <v>56.4</v>
      </c>
      <c r="AB100" s="95">
        <v>60.7</v>
      </c>
      <c r="AC100" s="95">
        <v>60</v>
      </c>
      <c r="AD100" s="95">
        <v>60</v>
      </c>
      <c r="AE100" s="95">
        <v>60</v>
      </c>
      <c r="AF100" s="95">
        <v>55</v>
      </c>
      <c r="AG100" s="114"/>
      <c r="AH100" s="55">
        <f t="shared" si="39"/>
        <v>60.7</v>
      </c>
      <c r="AI100" s="108">
        <f t="shared" si="40"/>
        <v>0.83333333333333337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42">AF102</f>
        <v>9.9</v>
      </c>
      <c r="C102" s="54">
        <v>9.9</v>
      </c>
      <c r="D102" s="121">
        <f t="shared" ref="D102:S107" si="43">C102</f>
        <v>9.9</v>
      </c>
      <c r="E102" s="121">
        <f t="shared" si="43"/>
        <v>9.9</v>
      </c>
      <c r="F102" s="121">
        <f t="shared" si="43"/>
        <v>9.9</v>
      </c>
      <c r="G102" s="121">
        <f t="shared" si="43"/>
        <v>9.9</v>
      </c>
      <c r="H102" s="121">
        <f t="shared" si="43"/>
        <v>9.9</v>
      </c>
      <c r="I102" s="121">
        <f t="shared" si="43"/>
        <v>9.9</v>
      </c>
      <c r="J102" s="121">
        <f t="shared" si="43"/>
        <v>9.9</v>
      </c>
      <c r="K102" s="121">
        <f t="shared" si="43"/>
        <v>9.9</v>
      </c>
      <c r="L102" s="121">
        <f t="shared" si="43"/>
        <v>9.9</v>
      </c>
      <c r="M102" s="121">
        <f t="shared" si="43"/>
        <v>9.9</v>
      </c>
      <c r="N102" s="121">
        <f t="shared" si="43"/>
        <v>9.9</v>
      </c>
      <c r="O102" s="121">
        <f t="shared" si="43"/>
        <v>9.9</v>
      </c>
      <c r="P102" s="121">
        <f t="shared" si="43"/>
        <v>9.9</v>
      </c>
      <c r="Q102" s="121">
        <f t="shared" si="43"/>
        <v>9.9</v>
      </c>
      <c r="R102" s="121">
        <f t="shared" si="43"/>
        <v>9.9</v>
      </c>
      <c r="S102" s="121">
        <f t="shared" si="43"/>
        <v>9.9</v>
      </c>
      <c r="T102" s="121">
        <f t="shared" ref="T102:AF107" si="44">S102</f>
        <v>9.9</v>
      </c>
      <c r="U102" s="121">
        <f t="shared" si="44"/>
        <v>9.9</v>
      </c>
      <c r="V102" s="121">
        <f t="shared" si="44"/>
        <v>9.9</v>
      </c>
      <c r="W102" s="121">
        <f t="shared" si="44"/>
        <v>9.9</v>
      </c>
      <c r="X102" s="121">
        <f t="shared" si="44"/>
        <v>9.9</v>
      </c>
      <c r="Y102" s="121">
        <f t="shared" si="44"/>
        <v>9.9</v>
      </c>
      <c r="Z102" s="121">
        <f t="shared" si="44"/>
        <v>9.9</v>
      </c>
      <c r="AA102" s="121">
        <f t="shared" si="44"/>
        <v>9.9</v>
      </c>
      <c r="AB102" s="121">
        <f t="shared" si="44"/>
        <v>9.9</v>
      </c>
      <c r="AC102" s="121">
        <f t="shared" si="44"/>
        <v>9.9</v>
      </c>
      <c r="AD102" s="121">
        <f t="shared" si="44"/>
        <v>9.9</v>
      </c>
      <c r="AE102" s="121">
        <f t="shared" si="44"/>
        <v>9.9</v>
      </c>
      <c r="AF102" s="121">
        <f t="shared" si="44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42"/>
        <v>9.6</v>
      </c>
      <c r="C103" s="124">
        <v>9.6</v>
      </c>
      <c r="D103" s="123">
        <f t="shared" si="43"/>
        <v>9.6</v>
      </c>
      <c r="E103" s="123">
        <f t="shared" si="43"/>
        <v>9.6</v>
      </c>
      <c r="F103" s="123">
        <f t="shared" si="43"/>
        <v>9.6</v>
      </c>
      <c r="G103" s="123">
        <f t="shared" si="43"/>
        <v>9.6</v>
      </c>
      <c r="H103" s="123">
        <f t="shared" si="43"/>
        <v>9.6</v>
      </c>
      <c r="I103" s="123">
        <f t="shared" si="43"/>
        <v>9.6</v>
      </c>
      <c r="J103" s="123">
        <f t="shared" si="43"/>
        <v>9.6</v>
      </c>
      <c r="K103" s="123">
        <f t="shared" si="43"/>
        <v>9.6</v>
      </c>
      <c r="L103" s="123">
        <f t="shared" si="43"/>
        <v>9.6</v>
      </c>
      <c r="M103" s="123">
        <f t="shared" si="43"/>
        <v>9.6</v>
      </c>
      <c r="N103" s="123">
        <f t="shared" si="43"/>
        <v>9.6</v>
      </c>
      <c r="O103" s="123">
        <f t="shared" si="43"/>
        <v>9.6</v>
      </c>
      <c r="P103" s="123">
        <f t="shared" si="43"/>
        <v>9.6</v>
      </c>
      <c r="Q103" s="123">
        <f t="shared" si="43"/>
        <v>9.6</v>
      </c>
      <c r="R103" s="123">
        <f t="shared" si="43"/>
        <v>9.6</v>
      </c>
      <c r="S103" s="123">
        <f t="shared" si="43"/>
        <v>9.6</v>
      </c>
      <c r="T103" s="123">
        <f t="shared" si="44"/>
        <v>9.6</v>
      </c>
      <c r="U103" s="123">
        <f t="shared" si="44"/>
        <v>9.6</v>
      </c>
      <c r="V103" s="123">
        <f t="shared" si="44"/>
        <v>9.6</v>
      </c>
      <c r="W103" s="123">
        <f t="shared" si="44"/>
        <v>9.6</v>
      </c>
      <c r="X103" s="123">
        <f t="shared" si="44"/>
        <v>9.6</v>
      </c>
      <c r="Y103" s="123">
        <f t="shared" si="44"/>
        <v>9.6</v>
      </c>
      <c r="Z103" s="123">
        <f t="shared" si="44"/>
        <v>9.6</v>
      </c>
      <c r="AA103" s="123">
        <f t="shared" si="44"/>
        <v>9.6</v>
      </c>
      <c r="AB103" s="123">
        <f t="shared" si="44"/>
        <v>9.6</v>
      </c>
      <c r="AC103" s="123">
        <f t="shared" si="44"/>
        <v>9.6</v>
      </c>
      <c r="AD103" s="123">
        <f t="shared" si="44"/>
        <v>9.6</v>
      </c>
      <c r="AE103" s="123">
        <f t="shared" si="44"/>
        <v>9.6</v>
      </c>
      <c r="AF103" s="123">
        <f t="shared" si="44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42"/>
        <v>9.98</v>
      </c>
      <c r="C104" s="124">
        <v>9.98</v>
      </c>
      <c r="D104" s="123">
        <f t="shared" si="43"/>
        <v>9.98</v>
      </c>
      <c r="E104" s="123">
        <f t="shared" si="43"/>
        <v>9.98</v>
      </c>
      <c r="F104" s="123">
        <f t="shared" si="43"/>
        <v>9.98</v>
      </c>
      <c r="G104" s="123">
        <f t="shared" si="43"/>
        <v>9.98</v>
      </c>
      <c r="H104" s="123">
        <f t="shared" si="43"/>
        <v>9.98</v>
      </c>
      <c r="I104" s="123">
        <f t="shared" si="43"/>
        <v>9.98</v>
      </c>
      <c r="J104" s="123">
        <f t="shared" si="43"/>
        <v>9.98</v>
      </c>
      <c r="K104" s="123">
        <f t="shared" si="43"/>
        <v>9.98</v>
      </c>
      <c r="L104" s="123">
        <f t="shared" si="43"/>
        <v>9.98</v>
      </c>
      <c r="M104" s="123">
        <f t="shared" si="43"/>
        <v>9.98</v>
      </c>
      <c r="N104" s="123">
        <f t="shared" si="43"/>
        <v>9.98</v>
      </c>
      <c r="O104" s="123">
        <f t="shared" si="43"/>
        <v>9.98</v>
      </c>
      <c r="P104" s="123">
        <f t="shared" si="43"/>
        <v>9.98</v>
      </c>
      <c r="Q104" s="123">
        <f t="shared" si="43"/>
        <v>9.98</v>
      </c>
      <c r="R104" s="123">
        <f t="shared" si="43"/>
        <v>9.98</v>
      </c>
      <c r="S104" s="123">
        <f t="shared" si="43"/>
        <v>9.98</v>
      </c>
      <c r="T104" s="123">
        <f t="shared" si="44"/>
        <v>9.98</v>
      </c>
      <c r="U104" s="123">
        <f t="shared" si="44"/>
        <v>9.98</v>
      </c>
      <c r="V104" s="123">
        <f t="shared" si="44"/>
        <v>9.98</v>
      </c>
      <c r="W104" s="123">
        <f t="shared" si="44"/>
        <v>9.98</v>
      </c>
      <c r="X104" s="123">
        <f t="shared" si="44"/>
        <v>9.98</v>
      </c>
      <c r="Y104" s="123">
        <f t="shared" si="44"/>
        <v>9.98</v>
      </c>
      <c r="Z104" s="123">
        <f t="shared" si="44"/>
        <v>9.98</v>
      </c>
      <c r="AA104" s="123">
        <f t="shared" si="44"/>
        <v>9.98</v>
      </c>
      <c r="AB104" s="123">
        <f t="shared" si="44"/>
        <v>9.98</v>
      </c>
      <c r="AC104" s="123">
        <f t="shared" si="44"/>
        <v>9.98</v>
      </c>
      <c r="AD104" s="123">
        <f t="shared" si="44"/>
        <v>9.98</v>
      </c>
      <c r="AE104" s="123">
        <f t="shared" si="44"/>
        <v>9.98</v>
      </c>
      <c r="AF104" s="123">
        <f t="shared" si="44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42"/>
        <v>9.1</v>
      </c>
      <c r="C105" s="124">
        <v>9.1</v>
      </c>
      <c r="D105" s="123">
        <f t="shared" si="43"/>
        <v>9.1</v>
      </c>
      <c r="E105" s="123">
        <f t="shared" si="43"/>
        <v>9.1</v>
      </c>
      <c r="F105" s="123">
        <f t="shared" si="43"/>
        <v>9.1</v>
      </c>
      <c r="G105" s="123">
        <f t="shared" si="43"/>
        <v>9.1</v>
      </c>
      <c r="H105" s="123">
        <f t="shared" si="43"/>
        <v>9.1</v>
      </c>
      <c r="I105" s="123">
        <f t="shared" si="43"/>
        <v>9.1</v>
      </c>
      <c r="J105" s="123">
        <f t="shared" si="43"/>
        <v>9.1</v>
      </c>
      <c r="K105" s="123">
        <f t="shared" si="43"/>
        <v>9.1</v>
      </c>
      <c r="L105" s="123">
        <f t="shared" si="43"/>
        <v>9.1</v>
      </c>
      <c r="M105" s="123">
        <f t="shared" si="43"/>
        <v>9.1</v>
      </c>
      <c r="N105" s="123">
        <f t="shared" si="43"/>
        <v>9.1</v>
      </c>
      <c r="O105" s="123">
        <f t="shared" si="43"/>
        <v>9.1</v>
      </c>
      <c r="P105" s="123">
        <f t="shared" si="43"/>
        <v>9.1</v>
      </c>
      <c r="Q105" s="123">
        <f t="shared" si="43"/>
        <v>9.1</v>
      </c>
      <c r="R105" s="123">
        <f t="shared" si="43"/>
        <v>9.1</v>
      </c>
      <c r="S105" s="123">
        <f t="shared" si="43"/>
        <v>9.1</v>
      </c>
      <c r="T105" s="123">
        <f t="shared" si="44"/>
        <v>9.1</v>
      </c>
      <c r="U105" s="123">
        <f t="shared" si="44"/>
        <v>9.1</v>
      </c>
      <c r="V105" s="123">
        <f t="shared" si="44"/>
        <v>9.1</v>
      </c>
      <c r="W105" s="123">
        <f t="shared" si="44"/>
        <v>9.1</v>
      </c>
      <c r="X105" s="123">
        <f t="shared" si="44"/>
        <v>9.1</v>
      </c>
      <c r="Y105" s="123">
        <f t="shared" si="44"/>
        <v>9.1</v>
      </c>
      <c r="Z105" s="123">
        <f t="shared" si="44"/>
        <v>9.1</v>
      </c>
      <c r="AA105" s="123">
        <f t="shared" si="44"/>
        <v>9.1</v>
      </c>
      <c r="AB105" s="123">
        <f t="shared" si="44"/>
        <v>9.1</v>
      </c>
      <c r="AC105" s="123">
        <f t="shared" si="44"/>
        <v>9.1</v>
      </c>
      <c r="AD105" s="123">
        <f t="shared" si="44"/>
        <v>9.1</v>
      </c>
      <c r="AE105" s="123">
        <f t="shared" si="44"/>
        <v>9.1</v>
      </c>
      <c r="AF105" s="123">
        <f t="shared" si="44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42"/>
        <v>9.18</v>
      </c>
      <c r="C106" s="124">
        <v>9.18</v>
      </c>
      <c r="D106" s="123">
        <f t="shared" si="43"/>
        <v>9.18</v>
      </c>
      <c r="E106" s="123">
        <f t="shared" si="43"/>
        <v>9.18</v>
      </c>
      <c r="F106" s="123">
        <f t="shared" si="43"/>
        <v>9.18</v>
      </c>
      <c r="G106" s="123">
        <f t="shared" si="43"/>
        <v>9.18</v>
      </c>
      <c r="H106" s="123">
        <f t="shared" si="43"/>
        <v>9.18</v>
      </c>
      <c r="I106" s="123">
        <f t="shared" si="43"/>
        <v>9.18</v>
      </c>
      <c r="J106" s="123">
        <f t="shared" si="43"/>
        <v>9.18</v>
      </c>
      <c r="K106" s="123">
        <f t="shared" si="43"/>
        <v>9.18</v>
      </c>
      <c r="L106" s="123">
        <f t="shared" si="43"/>
        <v>9.18</v>
      </c>
      <c r="M106" s="123">
        <f t="shared" si="43"/>
        <v>9.18</v>
      </c>
      <c r="N106" s="123">
        <f t="shared" si="43"/>
        <v>9.18</v>
      </c>
      <c r="O106" s="123">
        <f t="shared" si="43"/>
        <v>9.18</v>
      </c>
      <c r="P106" s="123">
        <f t="shared" si="43"/>
        <v>9.18</v>
      </c>
      <c r="Q106" s="123">
        <f t="shared" si="43"/>
        <v>9.18</v>
      </c>
      <c r="R106" s="123">
        <f t="shared" si="43"/>
        <v>9.18</v>
      </c>
      <c r="S106" s="123">
        <f t="shared" si="43"/>
        <v>9.18</v>
      </c>
      <c r="T106" s="123">
        <f t="shared" si="44"/>
        <v>9.18</v>
      </c>
      <c r="U106" s="123">
        <f t="shared" si="44"/>
        <v>9.18</v>
      </c>
      <c r="V106" s="123">
        <f t="shared" si="44"/>
        <v>9.18</v>
      </c>
      <c r="W106" s="123">
        <f t="shared" si="44"/>
        <v>9.18</v>
      </c>
      <c r="X106" s="123">
        <f t="shared" si="44"/>
        <v>9.18</v>
      </c>
      <c r="Y106" s="123">
        <f t="shared" si="44"/>
        <v>9.18</v>
      </c>
      <c r="Z106" s="123">
        <f t="shared" si="44"/>
        <v>9.18</v>
      </c>
      <c r="AA106" s="123">
        <f t="shared" si="44"/>
        <v>9.18</v>
      </c>
      <c r="AB106" s="123">
        <f t="shared" si="44"/>
        <v>9.18</v>
      </c>
      <c r="AC106" s="123">
        <f t="shared" si="44"/>
        <v>9.18</v>
      </c>
      <c r="AD106" s="123">
        <f t="shared" si="44"/>
        <v>9.18</v>
      </c>
      <c r="AE106" s="123">
        <f t="shared" si="44"/>
        <v>9.18</v>
      </c>
      <c r="AF106" s="123">
        <f t="shared" si="44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42"/>
        <v>7</v>
      </c>
      <c r="C107" s="124">
        <v>7</v>
      </c>
      <c r="D107" s="123">
        <f t="shared" si="43"/>
        <v>7</v>
      </c>
      <c r="E107" s="123">
        <f t="shared" si="43"/>
        <v>7</v>
      </c>
      <c r="F107" s="123">
        <f t="shared" si="43"/>
        <v>7</v>
      </c>
      <c r="G107" s="123">
        <f t="shared" si="43"/>
        <v>7</v>
      </c>
      <c r="H107" s="123">
        <f t="shared" si="43"/>
        <v>7</v>
      </c>
      <c r="I107" s="123">
        <f t="shared" si="43"/>
        <v>7</v>
      </c>
      <c r="J107" s="123">
        <f t="shared" si="43"/>
        <v>7</v>
      </c>
      <c r="K107" s="123">
        <f t="shared" si="43"/>
        <v>7</v>
      </c>
      <c r="L107" s="123">
        <f t="shared" si="43"/>
        <v>7</v>
      </c>
      <c r="M107" s="123">
        <f t="shared" si="43"/>
        <v>7</v>
      </c>
      <c r="N107" s="123">
        <f t="shared" si="43"/>
        <v>7</v>
      </c>
      <c r="O107" s="123">
        <f t="shared" si="43"/>
        <v>7</v>
      </c>
      <c r="P107" s="123">
        <f t="shared" si="43"/>
        <v>7</v>
      </c>
      <c r="Q107" s="123">
        <f t="shared" si="43"/>
        <v>7</v>
      </c>
      <c r="R107" s="123">
        <f t="shared" si="43"/>
        <v>7</v>
      </c>
      <c r="S107" s="123">
        <f t="shared" si="43"/>
        <v>7</v>
      </c>
      <c r="T107" s="123">
        <f t="shared" si="44"/>
        <v>7</v>
      </c>
      <c r="U107" s="123">
        <f t="shared" si="44"/>
        <v>7</v>
      </c>
      <c r="V107" s="123">
        <f t="shared" si="44"/>
        <v>7</v>
      </c>
      <c r="W107" s="123">
        <f t="shared" si="44"/>
        <v>7</v>
      </c>
      <c r="X107" s="123">
        <f t="shared" si="44"/>
        <v>7</v>
      </c>
      <c r="Y107" s="123">
        <f t="shared" si="44"/>
        <v>7</v>
      </c>
      <c r="Z107" s="123">
        <f t="shared" si="44"/>
        <v>7</v>
      </c>
      <c r="AA107" s="123">
        <f t="shared" si="44"/>
        <v>7</v>
      </c>
      <c r="AB107" s="123">
        <f t="shared" si="44"/>
        <v>7</v>
      </c>
      <c r="AC107" s="123">
        <f t="shared" si="44"/>
        <v>7</v>
      </c>
      <c r="AD107" s="123">
        <f t="shared" si="44"/>
        <v>7</v>
      </c>
      <c r="AE107" s="123">
        <f t="shared" si="44"/>
        <v>7</v>
      </c>
      <c r="AF107" s="123">
        <f t="shared" si="44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5">C109</f>
        <v>2.25</v>
      </c>
      <c r="E109" s="123">
        <f t="shared" si="45"/>
        <v>2.25</v>
      </c>
      <c r="F109" s="123">
        <f t="shared" si="45"/>
        <v>2.25</v>
      </c>
      <c r="G109" s="123">
        <f t="shared" si="45"/>
        <v>2.25</v>
      </c>
      <c r="H109" s="123">
        <f t="shared" si="45"/>
        <v>2.25</v>
      </c>
      <c r="I109" s="123">
        <f t="shared" si="45"/>
        <v>2.25</v>
      </c>
      <c r="J109" s="123">
        <f t="shared" si="45"/>
        <v>2.25</v>
      </c>
      <c r="K109" s="123">
        <f t="shared" si="45"/>
        <v>2.25</v>
      </c>
      <c r="L109" s="123">
        <f t="shared" si="45"/>
        <v>2.25</v>
      </c>
      <c r="M109" s="123">
        <f t="shared" si="45"/>
        <v>2.25</v>
      </c>
      <c r="N109" s="123">
        <f t="shared" si="45"/>
        <v>2.25</v>
      </c>
      <c r="O109" s="123">
        <f t="shared" si="45"/>
        <v>2.25</v>
      </c>
      <c r="P109" s="123">
        <f t="shared" si="45"/>
        <v>2.25</v>
      </c>
      <c r="Q109" s="123">
        <f t="shared" si="45"/>
        <v>2.25</v>
      </c>
      <c r="R109" s="123">
        <f t="shared" si="45"/>
        <v>2.25</v>
      </c>
      <c r="S109" s="123">
        <f t="shared" si="45"/>
        <v>2.25</v>
      </c>
      <c r="T109" s="123">
        <f t="shared" ref="T109:AF110" si="46">S109</f>
        <v>2.25</v>
      </c>
      <c r="U109" s="123">
        <f t="shared" si="46"/>
        <v>2.25</v>
      </c>
      <c r="V109" s="123">
        <f t="shared" si="46"/>
        <v>2.25</v>
      </c>
      <c r="W109" s="123">
        <f t="shared" si="46"/>
        <v>2.25</v>
      </c>
      <c r="X109" s="123">
        <f t="shared" si="46"/>
        <v>2.25</v>
      </c>
      <c r="Y109" s="123">
        <f t="shared" si="46"/>
        <v>2.25</v>
      </c>
      <c r="Z109" s="123">
        <f t="shared" si="46"/>
        <v>2.25</v>
      </c>
      <c r="AA109" s="123">
        <f t="shared" si="46"/>
        <v>2.25</v>
      </c>
      <c r="AB109" s="123">
        <f t="shared" si="46"/>
        <v>2.25</v>
      </c>
      <c r="AC109" s="123">
        <f t="shared" si="46"/>
        <v>2.25</v>
      </c>
      <c r="AD109" s="123">
        <f t="shared" si="46"/>
        <v>2.25</v>
      </c>
      <c r="AE109" s="123">
        <f t="shared" si="46"/>
        <v>2.25</v>
      </c>
      <c r="AF109" s="123">
        <f t="shared" si="46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5"/>
        <v>1.64</v>
      </c>
      <c r="E110" s="123">
        <f t="shared" si="45"/>
        <v>1.64</v>
      </c>
      <c r="F110" s="123">
        <f t="shared" si="45"/>
        <v>1.64</v>
      </c>
      <c r="G110" s="123">
        <f t="shared" si="45"/>
        <v>1.64</v>
      </c>
      <c r="H110" s="123">
        <f t="shared" si="45"/>
        <v>1.64</v>
      </c>
      <c r="I110" s="123">
        <f t="shared" si="45"/>
        <v>1.64</v>
      </c>
      <c r="J110" s="123">
        <f t="shared" si="45"/>
        <v>1.64</v>
      </c>
      <c r="K110" s="123">
        <f t="shared" si="45"/>
        <v>1.64</v>
      </c>
      <c r="L110" s="123">
        <f t="shared" si="45"/>
        <v>1.64</v>
      </c>
      <c r="M110" s="123">
        <f t="shared" si="45"/>
        <v>1.64</v>
      </c>
      <c r="N110" s="123">
        <f t="shared" si="45"/>
        <v>1.64</v>
      </c>
      <c r="O110" s="123">
        <f t="shared" si="45"/>
        <v>1.64</v>
      </c>
      <c r="P110" s="123">
        <f t="shared" si="45"/>
        <v>1.64</v>
      </c>
      <c r="Q110" s="123">
        <f t="shared" si="45"/>
        <v>1.64</v>
      </c>
      <c r="R110" s="123">
        <f t="shared" si="45"/>
        <v>1.64</v>
      </c>
      <c r="S110" s="123">
        <f t="shared" si="45"/>
        <v>1.64</v>
      </c>
      <c r="T110" s="123">
        <f t="shared" si="46"/>
        <v>1.64</v>
      </c>
      <c r="U110" s="123">
        <f t="shared" si="46"/>
        <v>1.64</v>
      </c>
      <c r="V110" s="123">
        <f t="shared" si="46"/>
        <v>1.64</v>
      </c>
      <c r="W110" s="123">
        <f t="shared" si="46"/>
        <v>1.64</v>
      </c>
      <c r="X110" s="123">
        <f t="shared" si="46"/>
        <v>1.64</v>
      </c>
      <c r="Y110" s="123">
        <f t="shared" si="46"/>
        <v>1.64</v>
      </c>
      <c r="Z110" s="123">
        <f t="shared" si="46"/>
        <v>1.64</v>
      </c>
      <c r="AA110" s="123">
        <f t="shared" si="46"/>
        <v>1.64</v>
      </c>
      <c r="AB110" s="123">
        <f t="shared" si="46"/>
        <v>1.64</v>
      </c>
      <c r="AC110" s="123">
        <f t="shared" si="46"/>
        <v>1.64</v>
      </c>
      <c r="AD110" s="123">
        <f t="shared" si="46"/>
        <v>1.64</v>
      </c>
      <c r="AE110" s="123">
        <f t="shared" si="46"/>
        <v>1.64</v>
      </c>
      <c r="AF110" s="123">
        <f t="shared" si="46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7">AF112</f>
        <v>1.62</v>
      </c>
      <c r="C112" s="124">
        <v>1.62</v>
      </c>
      <c r="D112" s="123">
        <f t="shared" ref="D112:S119" si="48">C112</f>
        <v>1.62</v>
      </c>
      <c r="E112" s="123">
        <f t="shared" si="48"/>
        <v>1.62</v>
      </c>
      <c r="F112" s="123">
        <f t="shared" si="48"/>
        <v>1.62</v>
      </c>
      <c r="G112" s="123">
        <f t="shared" si="48"/>
        <v>1.62</v>
      </c>
      <c r="H112" s="123">
        <f t="shared" si="48"/>
        <v>1.62</v>
      </c>
      <c r="I112" s="123">
        <f t="shared" si="48"/>
        <v>1.62</v>
      </c>
      <c r="J112" s="123">
        <f t="shared" si="48"/>
        <v>1.62</v>
      </c>
      <c r="K112" s="123">
        <f t="shared" si="48"/>
        <v>1.62</v>
      </c>
      <c r="L112" s="123">
        <f t="shared" si="48"/>
        <v>1.62</v>
      </c>
      <c r="M112" s="123">
        <f t="shared" si="48"/>
        <v>1.62</v>
      </c>
      <c r="N112" s="123">
        <f t="shared" si="48"/>
        <v>1.62</v>
      </c>
      <c r="O112" s="123">
        <f t="shared" si="48"/>
        <v>1.62</v>
      </c>
      <c r="P112" s="123">
        <f t="shared" si="48"/>
        <v>1.62</v>
      </c>
      <c r="Q112" s="123">
        <f t="shared" si="48"/>
        <v>1.62</v>
      </c>
      <c r="R112" s="123">
        <f t="shared" si="48"/>
        <v>1.62</v>
      </c>
      <c r="S112" s="123">
        <f t="shared" si="48"/>
        <v>1.62</v>
      </c>
      <c r="T112" s="123">
        <f t="shared" ref="T112:AF127" si="49">S112</f>
        <v>1.62</v>
      </c>
      <c r="U112" s="123">
        <f t="shared" si="49"/>
        <v>1.62</v>
      </c>
      <c r="V112" s="123">
        <f t="shared" si="49"/>
        <v>1.62</v>
      </c>
      <c r="W112" s="123">
        <f t="shared" si="49"/>
        <v>1.62</v>
      </c>
      <c r="X112" s="123">
        <f t="shared" si="49"/>
        <v>1.62</v>
      </c>
      <c r="Y112" s="123">
        <f t="shared" si="49"/>
        <v>1.62</v>
      </c>
      <c r="Z112" s="123">
        <f t="shared" si="49"/>
        <v>1.62</v>
      </c>
      <c r="AA112" s="123">
        <f t="shared" si="49"/>
        <v>1.62</v>
      </c>
      <c r="AB112" s="123">
        <f t="shared" si="49"/>
        <v>1.62</v>
      </c>
      <c r="AC112" s="123">
        <f t="shared" si="49"/>
        <v>1.62</v>
      </c>
      <c r="AD112" s="123">
        <f t="shared" si="49"/>
        <v>1.62</v>
      </c>
      <c r="AE112" s="123">
        <f t="shared" si="49"/>
        <v>1.62</v>
      </c>
      <c r="AF112" s="123">
        <f t="shared" si="49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7"/>
        <v>8.36</v>
      </c>
      <c r="C113" s="124">
        <v>8.36</v>
      </c>
      <c r="D113" s="123">
        <f t="shared" si="48"/>
        <v>8.36</v>
      </c>
      <c r="E113" s="123">
        <f t="shared" si="48"/>
        <v>8.36</v>
      </c>
      <c r="F113" s="123">
        <f t="shared" si="48"/>
        <v>8.36</v>
      </c>
      <c r="G113" s="123">
        <f t="shared" si="48"/>
        <v>8.36</v>
      </c>
      <c r="H113" s="123">
        <f t="shared" si="48"/>
        <v>8.36</v>
      </c>
      <c r="I113" s="123">
        <f t="shared" si="48"/>
        <v>8.36</v>
      </c>
      <c r="J113" s="123">
        <f t="shared" si="48"/>
        <v>8.36</v>
      </c>
      <c r="K113" s="123">
        <f t="shared" si="48"/>
        <v>8.36</v>
      </c>
      <c r="L113" s="123">
        <f t="shared" si="48"/>
        <v>8.36</v>
      </c>
      <c r="M113" s="123">
        <f t="shared" si="48"/>
        <v>8.36</v>
      </c>
      <c r="N113" s="123">
        <f t="shared" si="48"/>
        <v>8.36</v>
      </c>
      <c r="O113" s="123">
        <f t="shared" si="48"/>
        <v>8.36</v>
      </c>
      <c r="P113" s="123">
        <f t="shared" si="48"/>
        <v>8.36</v>
      </c>
      <c r="Q113" s="123">
        <f t="shared" si="48"/>
        <v>8.36</v>
      </c>
      <c r="R113" s="123">
        <f t="shared" si="48"/>
        <v>8.36</v>
      </c>
      <c r="S113" s="123">
        <f t="shared" si="48"/>
        <v>8.36</v>
      </c>
      <c r="T113" s="123">
        <f t="shared" si="49"/>
        <v>8.36</v>
      </c>
      <c r="U113" s="123">
        <f t="shared" si="49"/>
        <v>8.36</v>
      </c>
      <c r="V113" s="123">
        <f t="shared" si="49"/>
        <v>8.36</v>
      </c>
      <c r="W113" s="123">
        <f t="shared" si="49"/>
        <v>8.36</v>
      </c>
      <c r="X113" s="123">
        <f t="shared" si="49"/>
        <v>8.36</v>
      </c>
      <c r="Y113" s="123">
        <f t="shared" si="49"/>
        <v>8.36</v>
      </c>
      <c r="Z113" s="123">
        <f t="shared" si="49"/>
        <v>8.36</v>
      </c>
      <c r="AA113" s="123">
        <f t="shared" si="49"/>
        <v>8.36</v>
      </c>
      <c r="AB113" s="123">
        <f t="shared" si="49"/>
        <v>8.36</v>
      </c>
      <c r="AC113" s="123">
        <f t="shared" si="49"/>
        <v>8.36</v>
      </c>
      <c r="AD113" s="123">
        <f t="shared" si="49"/>
        <v>8.36</v>
      </c>
      <c r="AE113" s="123">
        <f t="shared" si="49"/>
        <v>8.36</v>
      </c>
      <c r="AF113" s="123">
        <f t="shared" si="49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7"/>
        <v>5.4</v>
      </c>
      <c r="C114" s="124">
        <v>8</v>
      </c>
      <c r="D114" s="123">
        <f t="shared" si="48"/>
        <v>8</v>
      </c>
      <c r="E114" s="123">
        <f t="shared" si="48"/>
        <v>8</v>
      </c>
      <c r="F114" s="123">
        <f t="shared" si="48"/>
        <v>8</v>
      </c>
      <c r="G114" s="123">
        <f t="shared" si="48"/>
        <v>8</v>
      </c>
      <c r="H114" s="123">
        <f t="shared" si="48"/>
        <v>8</v>
      </c>
      <c r="I114" s="123">
        <f t="shared" si="48"/>
        <v>8</v>
      </c>
      <c r="J114" s="123">
        <v>5.4</v>
      </c>
      <c r="K114" s="123">
        <f t="shared" si="48"/>
        <v>5.4</v>
      </c>
      <c r="L114" s="123">
        <f t="shared" si="48"/>
        <v>5.4</v>
      </c>
      <c r="M114" s="123">
        <f t="shared" si="48"/>
        <v>5.4</v>
      </c>
      <c r="N114" s="123">
        <f t="shared" si="48"/>
        <v>5.4</v>
      </c>
      <c r="O114" s="123">
        <f t="shared" si="48"/>
        <v>5.4</v>
      </c>
      <c r="P114" s="123">
        <f t="shared" si="48"/>
        <v>5.4</v>
      </c>
      <c r="Q114" s="123">
        <f t="shared" si="48"/>
        <v>5.4</v>
      </c>
      <c r="R114" s="123">
        <f t="shared" si="48"/>
        <v>5.4</v>
      </c>
      <c r="S114" s="123">
        <f t="shared" si="48"/>
        <v>5.4</v>
      </c>
      <c r="T114" s="123">
        <f t="shared" si="49"/>
        <v>5.4</v>
      </c>
      <c r="U114" s="123">
        <f t="shared" si="49"/>
        <v>5.4</v>
      </c>
      <c r="V114" s="123">
        <f t="shared" si="49"/>
        <v>5.4</v>
      </c>
      <c r="W114" s="123">
        <f t="shared" si="49"/>
        <v>5.4</v>
      </c>
      <c r="X114" s="123">
        <f t="shared" si="49"/>
        <v>5.4</v>
      </c>
      <c r="Y114" s="123">
        <f t="shared" si="49"/>
        <v>5.4</v>
      </c>
      <c r="Z114" s="123">
        <f t="shared" si="49"/>
        <v>5.4</v>
      </c>
      <c r="AA114" s="123">
        <f t="shared" si="49"/>
        <v>5.4</v>
      </c>
      <c r="AB114" s="123">
        <f t="shared" si="49"/>
        <v>5.4</v>
      </c>
      <c r="AC114" s="123">
        <f t="shared" si="49"/>
        <v>5.4</v>
      </c>
      <c r="AD114" s="123">
        <f t="shared" si="49"/>
        <v>5.4</v>
      </c>
      <c r="AE114" s="123">
        <f t="shared" si="49"/>
        <v>5.4</v>
      </c>
      <c r="AF114" s="123">
        <f t="shared" si="49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7"/>
        <v>6.57</v>
      </c>
      <c r="C115" s="124">
        <v>6.57</v>
      </c>
      <c r="D115" s="123">
        <f t="shared" si="48"/>
        <v>6.57</v>
      </c>
      <c r="E115" s="123">
        <f t="shared" si="48"/>
        <v>6.57</v>
      </c>
      <c r="F115" s="123">
        <f t="shared" si="48"/>
        <v>6.57</v>
      </c>
      <c r="G115" s="123">
        <f t="shared" si="48"/>
        <v>6.57</v>
      </c>
      <c r="H115" s="123">
        <f t="shared" si="48"/>
        <v>6.57</v>
      </c>
      <c r="I115" s="123">
        <f t="shared" si="48"/>
        <v>6.57</v>
      </c>
      <c r="J115" s="123">
        <f t="shared" si="48"/>
        <v>6.57</v>
      </c>
      <c r="K115" s="123">
        <f t="shared" si="48"/>
        <v>6.57</v>
      </c>
      <c r="L115" s="123">
        <f t="shared" si="48"/>
        <v>6.57</v>
      </c>
      <c r="M115" s="123">
        <f t="shared" si="48"/>
        <v>6.57</v>
      </c>
      <c r="N115" s="123">
        <f t="shared" si="48"/>
        <v>6.57</v>
      </c>
      <c r="O115" s="123">
        <f t="shared" si="48"/>
        <v>6.57</v>
      </c>
      <c r="P115" s="123">
        <f t="shared" si="48"/>
        <v>6.57</v>
      </c>
      <c r="Q115" s="123">
        <f t="shared" si="48"/>
        <v>6.57</v>
      </c>
      <c r="R115" s="123">
        <f t="shared" si="48"/>
        <v>6.57</v>
      </c>
      <c r="S115" s="123">
        <f t="shared" si="48"/>
        <v>6.57</v>
      </c>
      <c r="T115" s="123">
        <f t="shared" si="49"/>
        <v>6.57</v>
      </c>
      <c r="U115" s="123">
        <f t="shared" si="49"/>
        <v>6.57</v>
      </c>
      <c r="V115" s="123">
        <f t="shared" si="49"/>
        <v>6.57</v>
      </c>
      <c r="W115" s="123">
        <f t="shared" si="49"/>
        <v>6.57</v>
      </c>
      <c r="X115" s="123">
        <f t="shared" si="49"/>
        <v>6.57</v>
      </c>
      <c r="Y115" s="123">
        <f t="shared" si="49"/>
        <v>6.57</v>
      </c>
      <c r="Z115" s="123">
        <f t="shared" si="49"/>
        <v>6.57</v>
      </c>
      <c r="AA115" s="123">
        <f t="shared" si="49"/>
        <v>6.57</v>
      </c>
      <c r="AB115" s="123">
        <f t="shared" si="49"/>
        <v>6.57</v>
      </c>
      <c r="AC115" s="123">
        <f t="shared" si="49"/>
        <v>6.57</v>
      </c>
      <c r="AD115" s="123">
        <f t="shared" si="49"/>
        <v>6.57</v>
      </c>
      <c r="AE115" s="123">
        <f t="shared" si="49"/>
        <v>6.57</v>
      </c>
      <c r="AF115" s="123">
        <f t="shared" si="49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7"/>
        <v>3.43</v>
      </c>
      <c r="C116" s="124">
        <v>3.43</v>
      </c>
      <c r="D116" s="123">
        <f t="shared" si="48"/>
        <v>3.43</v>
      </c>
      <c r="E116" s="123">
        <f t="shared" si="48"/>
        <v>3.43</v>
      </c>
      <c r="F116" s="123">
        <f t="shared" si="48"/>
        <v>3.43</v>
      </c>
      <c r="G116" s="123">
        <f t="shared" si="48"/>
        <v>3.43</v>
      </c>
      <c r="H116" s="123">
        <f t="shared" si="48"/>
        <v>3.43</v>
      </c>
      <c r="I116" s="123">
        <f t="shared" si="48"/>
        <v>3.43</v>
      </c>
      <c r="J116" s="123">
        <f t="shared" si="48"/>
        <v>3.43</v>
      </c>
      <c r="K116" s="123">
        <f t="shared" si="48"/>
        <v>3.43</v>
      </c>
      <c r="L116" s="123">
        <f t="shared" si="48"/>
        <v>3.43</v>
      </c>
      <c r="M116" s="123">
        <f t="shared" si="48"/>
        <v>3.43</v>
      </c>
      <c r="N116" s="123">
        <f t="shared" si="48"/>
        <v>3.43</v>
      </c>
      <c r="O116" s="123">
        <f t="shared" si="48"/>
        <v>3.43</v>
      </c>
      <c r="P116" s="123">
        <f t="shared" si="48"/>
        <v>3.43</v>
      </c>
      <c r="Q116" s="123">
        <f t="shared" si="48"/>
        <v>3.43</v>
      </c>
      <c r="R116" s="123">
        <f t="shared" si="48"/>
        <v>3.43</v>
      </c>
      <c r="S116" s="123">
        <f t="shared" si="48"/>
        <v>3.43</v>
      </c>
      <c r="T116" s="123">
        <f t="shared" si="49"/>
        <v>3.43</v>
      </c>
      <c r="U116" s="123">
        <f t="shared" si="49"/>
        <v>3.43</v>
      </c>
      <c r="V116" s="123">
        <f t="shared" si="49"/>
        <v>3.43</v>
      </c>
      <c r="W116" s="123">
        <f t="shared" si="49"/>
        <v>3.43</v>
      </c>
      <c r="X116" s="123">
        <f t="shared" si="49"/>
        <v>3.43</v>
      </c>
      <c r="Y116" s="123">
        <f t="shared" si="49"/>
        <v>3.43</v>
      </c>
      <c r="Z116" s="123">
        <f t="shared" si="49"/>
        <v>3.43</v>
      </c>
      <c r="AA116" s="123">
        <f t="shared" si="49"/>
        <v>3.43</v>
      </c>
      <c r="AB116" s="123">
        <f t="shared" si="49"/>
        <v>3.43</v>
      </c>
      <c r="AC116" s="123">
        <f t="shared" si="49"/>
        <v>3.43</v>
      </c>
      <c r="AD116" s="123">
        <f t="shared" si="49"/>
        <v>3.43</v>
      </c>
      <c r="AE116" s="123">
        <f t="shared" si="49"/>
        <v>3.43</v>
      </c>
      <c r="AF116" s="123">
        <f t="shared" si="49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7"/>
        <v>2.96</v>
      </c>
      <c r="C117" s="124">
        <v>2.96</v>
      </c>
      <c r="D117" s="123">
        <f t="shared" si="48"/>
        <v>2.96</v>
      </c>
      <c r="E117" s="123">
        <f t="shared" si="48"/>
        <v>2.96</v>
      </c>
      <c r="F117" s="123">
        <f t="shared" si="48"/>
        <v>2.96</v>
      </c>
      <c r="G117" s="123">
        <f t="shared" si="48"/>
        <v>2.96</v>
      </c>
      <c r="H117" s="123">
        <f t="shared" si="48"/>
        <v>2.96</v>
      </c>
      <c r="I117" s="123">
        <f t="shared" si="48"/>
        <v>2.96</v>
      </c>
      <c r="J117" s="123">
        <f t="shared" si="48"/>
        <v>2.96</v>
      </c>
      <c r="K117" s="123">
        <f t="shared" si="48"/>
        <v>2.96</v>
      </c>
      <c r="L117" s="123">
        <f t="shared" si="48"/>
        <v>2.96</v>
      </c>
      <c r="M117" s="123">
        <f t="shared" si="48"/>
        <v>2.96</v>
      </c>
      <c r="N117" s="123">
        <f t="shared" si="48"/>
        <v>2.96</v>
      </c>
      <c r="O117" s="123">
        <f t="shared" si="48"/>
        <v>2.96</v>
      </c>
      <c r="P117" s="123">
        <f t="shared" si="48"/>
        <v>2.96</v>
      </c>
      <c r="Q117" s="123">
        <f t="shared" si="48"/>
        <v>2.96</v>
      </c>
      <c r="R117" s="123">
        <f t="shared" si="48"/>
        <v>2.96</v>
      </c>
      <c r="S117" s="123">
        <f t="shared" si="48"/>
        <v>2.96</v>
      </c>
      <c r="T117" s="123">
        <f t="shared" si="49"/>
        <v>2.96</v>
      </c>
      <c r="U117" s="123">
        <f t="shared" si="49"/>
        <v>2.96</v>
      </c>
      <c r="V117" s="123">
        <f t="shared" si="49"/>
        <v>2.96</v>
      </c>
      <c r="W117" s="123">
        <f t="shared" si="49"/>
        <v>2.96</v>
      </c>
      <c r="X117" s="123">
        <f t="shared" si="49"/>
        <v>2.96</v>
      </c>
      <c r="Y117" s="123">
        <f t="shared" si="49"/>
        <v>2.96</v>
      </c>
      <c r="Z117" s="123">
        <f t="shared" si="49"/>
        <v>2.96</v>
      </c>
      <c r="AA117" s="123">
        <f t="shared" si="49"/>
        <v>2.96</v>
      </c>
      <c r="AB117" s="123">
        <f t="shared" si="49"/>
        <v>2.96</v>
      </c>
      <c r="AC117" s="123">
        <f t="shared" si="49"/>
        <v>2.96</v>
      </c>
      <c r="AD117" s="123">
        <f t="shared" si="49"/>
        <v>2.96</v>
      </c>
      <c r="AE117" s="123">
        <f t="shared" si="49"/>
        <v>2.96</v>
      </c>
      <c r="AF117" s="123">
        <f t="shared" si="49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7"/>
        <v>8</v>
      </c>
      <c r="C118" s="124">
        <v>8</v>
      </c>
      <c r="D118" s="123">
        <f t="shared" si="48"/>
        <v>8</v>
      </c>
      <c r="E118" s="123">
        <f t="shared" si="48"/>
        <v>8</v>
      </c>
      <c r="F118" s="123">
        <f t="shared" si="48"/>
        <v>8</v>
      </c>
      <c r="G118" s="123">
        <f t="shared" si="48"/>
        <v>8</v>
      </c>
      <c r="H118" s="123">
        <f t="shared" si="48"/>
        <v>8</v>
      </c>
      <c r="I118" s="123">
        <f t="shared" si="48"/>
        <v>8</v>
      </c>
      <c r="J118" s="123">
        <f t="shared" si="48"/>
        <v>8</v>
      </c>
      <c r="K118" s="123">
        <f t="shared" si="48"/>
        <v>8</v>
      </c>
      <c r="L118" s="123">
        <f t="shared" si="48"/>
        <v>8</v>
      </c>
      <c r="M118" s="123">
        <f t="shared" si="48"/>
        <v>8</v>
      </c>
      <c r="N118" s="123">
        <f t="shared" si="48"/>
        <v>8</v>
      </c>
      <c r="O118" s="123">
        <f t="shared" si="48"/>
        <v>8</v>
      </c>
      <c r="P118" s="123">
        <f t="shared" si="48"/>
        <v>8</v>
      </c>
      <c r="Q118" s="123">
        <f t="shared" si="48"/>
        <v>8</v>
      </c>
      <c r="R118" s="123">
        <f t="shared" si="48"/>
        <v>8</v>
      </c>
      <c r="S118" s="123">
        <f t="shared" si="48"/>
        <v>8</v>
      </c>
      <c r="T118" s="123">
        <f t="shared" si="49"/>
        <v>8</v>
      </c>
      <c r="U118" s="123">
        <f t="shared" si="49"/>
        <v>8</v>
      </c>
      <c r="V118" s="123">
        <f t="shared" si="49"/>
        <v>8</v>
      </c>
      <c r="W118" s="123">
        <f t="shared" si="49"/>
        <v>8</v>
      </c>
      <c r="X118" s="123">
        <f t="shared" si="49"/>
        <v>8</v>
      </c>
      <c r="Y118" s="123">
        <f t="shared" si="49"/>
        <v>8</v>
      </c>
      <c r="Z118" s="123">
        <f t="shared" si="49"/>
        <v>8</v>
      </c>
      <c r="AA118" s="123">
        <f t="shared" si="49"/>
        <v>8</v>
      </c>
      <c r="AB118" s="123">
        <f t="shared" si="49"/>
        <v>8</v>
      </c>
      <c r="AC118" s="123">
        <f t="shared" si="49"/>
        <v>8</v>
      </c>
      <c r="AD118" s="123">
        <f t="shared" si="49"/>
        <v>8</v>
      </c>
      <c r="AE118" s="123">
        <f t="shared" si="49"/>
        <v>8</v>
      </c>
      <c r="AF118" s="123">
        <f t="shared" si="49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7"/>
        <v>7</v>
      </c>
      <c r="C119" s="124">
        <v>7</v>
      </c>
      <c r="D119" s="123">
        <f>C119</f>
        <v>7</v>
      </c>
      <c r="E119" s="123">
        <f t="shared" si="48"/>
        <v>7</v>
      </c>
      <c r="F119" s="123">
        <f t="shared" si="48"/>
        <v>7</v>
      </c>
      <c r="G119" s="123">
        <f t="shared" si="48"/>
        <v>7</v>
      </c>
      <c r="H119" s="123">
        <f t="shared" si="48"/>
        <v>7</v>
      </c>
      <c r="I119" s="123">
        <f t="shared" si="48"/>
        <v>7</v>
      </c>
      <c r="J119" s="123">
        <f t="shared" si="48"/>
        <v>7</v>
      </c>
      <c r="K119" s="123">
        <f t="shared" si="48"/>
        <v>7</v>
      </c>
      <c r="L119" s="123">
        <f t="shared" si="48"/>
        <v>7</v>
      </c>
      <c r="M119" s="123">
        <f t="shared" si="48"/>
        <v>7</v>
      </c>
      <c r="N119" s="123">
        <f t="shared" si="48"/>
        <v>7</v>
      </c>
      <c r="O119" s="123">
        <f t="shared" si="48"/>
        <v>7</v>
      </c>
      <c r="P119" s="123">
        <f t="shared" si="48"/>
        <v>7</v>
      </c>
      <c r="Q119" s="123">
        <f t="shared" si="48"/>
        <v>7</v>
      </c>
      <c r="R119" s="123">
        <f t="shared" si="48"/>
        <v>7</v>
      </c>
      <c r="S119" s="123">
        <f t="shared" si="48"/>
        <v>7</v>
      </c>
      <c r="T119" s="123">
        <f t="shared" si="49"/>
        <v>7</v>
      </c>
      <c r="U119" s="123">
        <f t="shared" si="49"/>
        <v>7</v>
      </c>
      <c r="V119" s="123">
        <f t="shared" si="49"/>
        <v>7</v>
      </c>
      <c r="W119" s="123">
        <f t="shared" si="49"/>
        <v>7</v>
      </c>
      <c r="X119" s="123">
        <f t="shared" si="49"/>
        <v>7</v>
      </c>
      <c r="Y119" s="123">
        <f t="shared" si="49"/>
        <v>7</v>
      </c>
      <c r="Z119" s="123">
        <f t="shared" si="49"/>
        <v>7</v>
      </c>
      <c r="AA119" s="123">
        <f t="shared" si="49"/>
        <v>7</v>
      </c>
      <c r="AB119" s="123">
        <f t="shared" si="49"/>
        <v>7</v>
      </c>
      <c r="AC119" s="123">
        <f t="shared" si="49"/>
        <v>7</v>
      </c>
      <c r="AD119" s="123">
        <f t="shared" si="49"/>
        <v>7</v>
      </c>
      <c r="AE119" s="123">
        <f t="shared" si="49"/>
        <v>7</v>
      </c>
      <c r="AF119" s="123">
        <f t="shared" si="49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7"/>
        <v>3.47</v>
      </c>
      <c r="C120" s="124">
        <v>3.47</v>
      </c>
      <c r="D120" s="123">
        <f t="shared" ref="D120:S129" si="50">C120</f>
        <v>3.47</v>
      </c>
      <c r="E120" s="123">
        <f t="shared" si="50"/>
        <v>3.47</v>
      </c>
      <c r="F120" s="123">
        <f t="shared" si="50"/>
        <v>3.47</v>
      </c>
      <c r="G120" s="123">
        <f t="shared" si="50"/>
        <v>3.47</v>
      </c>
      <c r="H120" s="123">
        <f t="shared" si="50"/>
        <v>3.47</v>
      </c>
      <c r="I120" s="123">
        <f t="shared" si="50"/>
        <v>3.47</v>
      </c>
      <c r="J120" s="123">
        <f t="shared" si="50"/>
        <v>3.47</v>
      </c>
      <c r="K120" s="123">
        <f t="shared" si="50"/>
        <v>3.47</v>
      </c>
      <c r="L120" s="123">
        <f t="shared" si="50"/>
        <v>3.47</v>
      </c>
      <c r="M120" s="123">
        <f t="shared" si="50"/>
        <v>3.47</v>
      </c>
      <c r="N120" s="123">
        <f t="shared" si="50"/>
        <v>3.47</v>
      </c>
      <c r="O120" s="123">
        <f t="shared" si="50"/>
        <v>3.47</v>
      </c>
      <c r="P120" s="123">
        <f t="shared" si="50"/>
        <v>3.47</v>
      </c>
      <c r="Q120" s="123">
        <f t="shared" si="50"/>
        <v>3.47</v>
      </c>
      <c r="R120" s="123">
        <f t="shared" si="50"/>
        <v>3.47</v>
      </c>
      <c r="S120" s="123">
        <f t="shared" si="50"/>
        <v>3.47</v>
      </c>
      <c r="T120" s="123">
        <f t="shared" si="49"/>
        <v>3.47</v>
      </c>
      <c r="U120" s="123">
        <f t="shared" si="49"/>
        <v>3.47</v>
      </c>
      <c r="V120" s="123">
        <f t="shared" si="49"/>
        <v>3.47</v>
      </c>
      <c r="W120" s="123">
        <f t="shared" si="49"/>
        <v>3.47</v>
      </c>
      <c r="X120" s="123">
        <f t="shared" si="49"/>
        <v>3.47</v>
      </c>
      <c r="Y120" s="123">
        <f t="shared" si="49"/>
        <v>3.47</v>
      </c>
      <c r="Z120" s="123">
        <f t="shared" si="49"/>
        <v>3.47</v>
      </c>
      <c r="AA120" s="123">
        <f t="shared" si="49"/>
        <v>3.47</v>
      </c>
      <c r="AB120" s="123">
        <f t="shared" si="49"/>
        <v>3.47</v>
      </c>
      <c r="AC120" s="123">
        <f t="shared" si="49"/>
        <v>3.47</v>
      </c>
      <c r="AD120" s="123">
        <f t="shared" si="49"/>
        <v>3.47</v>
      </c>
      <c r="AE120" s="123">
        <f t="shared" si="49"/>
        <v>3.47</v>
      </c>
      <c r="AF120" s="123">
        <f t="shared" si="49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7"/>
        <v>2.1</v>
      </c>
      <c r="C121" s="124">
        <v>2.1</v>
      </c>
      <c r="D121" s="123">
        <f t="shared" si="50"/>
        <v>2.1</v>
      </c>
      <c r="E121" s="123">
        <f t="shared" si="50"/>
        <v>2.1</v>
      </c>
      <c r="F121" s="123">
        <f t="shared" si="50"/>
        <v>2.1</v>
      </c>
      <c r="G121" s="123">
        <f t="shared" si="50"/>
        <v>2.1</v>
      </c>
      <c r="H121" s="123">
        <f t="shared" si="50"/>
        <v>2.1</v>
      </c>
      <c r="I121" s="123">
        <f t="shared" si="50"/>
        <v>2.1</v>
      </c>
      <c r="J121" s="123">
        <f t="shared" si="50"/>
        <v>2.1</v>
      </c>
      <c r="K121" s="123">
        <f t="shared" si="50"/>
        <v>2.1</v>
      </c>
      <c r="L121" s="123">
        <f t="shared" si="50"/>
        <v>2.1</v>
      </c>
      <c r="M121" s="123">
        <f t="shared" si="50"/>
        <v>2.1</v>
      </c>
      <c r="N121" s="123">
        <f t="shared" si="50"/>
        <v>2.1</v>
      </c>
      <c r="O121" s="123">
        <f t="shared" si="50"/>
        <v>2.1</v>
      </c>
      <c r="P121" s="123">
        <f t="shared" si="50"/>
        <v>2.1</v>
      </c>
      <c r="Q121" s="123">
        <f t="shared" si="50"/>
        <v>2.1</v>
      </c>
      <c r="R121" s="123">
        <f t="shared" si="50"/>
        <v>2.1</v>
      </c>
      <c r="S121" s="123">
        <f t="shared" si="50"/>
        <v>2.1</v>
      </c>
      <c r="T121" s="123">
        <f t="shared" si="49"/>
        <v>2.1</v>
      </c>
      <c r="U121" s="123">
        <f t="shared" si="49"/>
        <v>2.1</v>
      </c>
      <c r="V121" s="123">
        <f t="shared" si="49"/>
        <v>2.1</v>
      </c>
      <c r="W121" s="123">
        <f t="shared" si="49"/>
        <v>2.1</v>
      </c>
      <c r="X121" s="123">
        <f t="shared" si="49"/>
        <v>2.1</v>
      </c>
      <c r="Y121" s="123">
        <f t="shared" si="49"/>
        <v>2.1</v>
      </c>
      <c r="Z121" s="123">
        <f t="shared" si="49"/>
        <v>2.1</v>
      </c>
      <c r="AA121" s="123">
        <f t="shared" si="49"/>
        <v>2.1</v>
      </c>
      <c r="AB121" s="123">
        <f t="shared" si="49"/>
        <v>2.1</v>
      </c>
      <c r="AC121" s="123">
        <f t="shared" si="49"/>
        <v>2.1</v>
      </c>
      <c r="AD121" s="123">
        <f t="shared" si="49"/>
        <v>2.1</v>
      </c>
      <c r="AE121" s="123">
        <f t="shared" si="49"/>
        <v>2.1</v>
      </c>
      <c r="AF121" s="123">
        <f t="shared" si="49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7"/>
        <v>9.3000000000000007</v>
      </c>
      <c r="C122" s="124">
        <v>9.3000000000000007</v>
      </c>
      <c r="D122" s="123">
        <f t="shared" si="50"/>
        <v>9.3000000000000007</v>
      </c>
      <c r="E122" s="123">
        <f t="shared" si="50"/>
        <v>9.3000000000000007</v>
      </c>
      <c r="F122" s="123">
        <f t="shared" si="50"/>
        <v>9.3000000000000007</v>
      </c>
      <c r="G122" s="123">
        <f t="shared" si="50"/>
        <v>9.3000000000000007</v>
      </c>
      <c r="H122" s="123">
        <f t="shared" si="50"/>
        <v>9.3000000000000007</v>
      </c>
      <c r="I122" s="123">
        <f t="shared" si="50"/>
        <v>9.3000000000000007</v>
      </c>
      <c r="J122" s="123">
        <f t="shared" si="50"/>
        <v>9.3000000000000007</v>
      </c>
      <c r="K122" s="123">
        <f t="shared" si="50"/>
        <v>9.3000000000000007</v>
      </c>
      <c r="L122" s="123">
        <f t="shared" si="50"/>
        <v>9.3000000000000007</v>
      </c>
      <c r="M122" s="123">
        <f t="shared" si="50"/>
        <v>9.3000000000000007</v>
      </c>
      <c r="N122" s="123">
        <f t="shared" si="50"/>
        <v>9.3000000000000007</v>
      </c>
      <c r="O122" s="123">
        <f t="shared" si="50"/>
        <v>9.3000000000000007</v>
      </c>
      <c r="P122" s="123">
        <f t="shared" si="50"/>
        <v>9.3000000000000007</v>
      </c>
      <c r="Q122" s="123">
        <f t="shared" si="50"/>
        <v>9.3000000000000007</v>
      </c>
      <c r="R122" s="123">
        <f t="shared" si="50"/>
        <v>9.3000000000000007</v>
      </c>
      <c r="S122" s="123">
        <f t="shared" si="50"/>
        <v>9.3000000000000007</v>
      </c>
      <c r="T122" s="123">
        <f t="shared" si="49"/>
        <v>9.3000000000000007</v>
      </c>
      <c r="U122" s="123">
        <f t="shared" si="49"/>
        <v>9.3000000000000007</v>
      </c>
      <c r="V122" s="123">
        <f t="shared" si="49"/>
        <v>9.3000000000000007</v>
      </c>
      <c r="W122" s="123">
        <f t="shared" si="49"/>
        <v>9.3000000000000007</v>
      </c>
      <c r="X122" s="123">
        <f t="shared" si="49"/>
        <v>9.3000000000000007</v>
      </c>
      <c r="Y122" s="123">
        <f t="shared" si="49"/>
        <v>9.3000000000000007</v>
      </c>
      <c r="Z122" s="123">
        <f t="shared" si="49"/>
        <v>9.3000000000000007</v>
      </c>
      <c r="AA122" s="123">
        <f t="shared" si="49"/>
        <v>9.3000000000000007</v>
      </c>
      <c r="AB122" s="123">
        <f t="shared" si="49"/>
        <v>9.3000000000000007</v>
      </c>
      <c r="AC122" s="123">
        <f t="shared" si="49"/>
        <v>9.3000000000000007</v>
      </c>
      <c r="AD122" s="123">
        <f t="shared" si="49"/>
        <v>9.3000000000000007</v>
      </c>
      <c r="AE122" s="123">
        <f t="shared" si="49"/>
        <v>9.3000000000000007</v>
      </c>
      <c r="AF122" s="123">
        <f t="shared" si="49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7"/>
        <v>0</v>
      </c>
      <c r="C123" s="124">
        <v>0</v>
      </c>
      <c r="D123" s="123">
        <f t="shared" si="50"/>
        <v>0</v>
      </c>
      <c r="E123" s="123">
        <f t="shared" si="50"/>
        <v>0</v>
      </c>
      <c r="F123" s="123">
        <f t="shared" si="50"/>
        <v>0</v>
      </c>
      <c r="G123" s="123">
        <f t="shared" si="50"/>
        <v>0</v>
      </c>
      <c r="H123" s="123">
        <f t="shared" si="50"/>
        <v>0</v>
      </c>
      <c r="I123" s="123">
        <f t="shared" si="50"/>
        <v>0</v>
      </c>
      <c r="J123" s="123">
        <f t="shared" si="50"/>
        <v>0</v>
      </c>
      <c r="K123" s="123">
        <f t="shared" si="50"/>
        <v>0</v>
      </c>
      <c r="L123" s="123">
        <f t="shared" si="50"/>
        <v>0</v>
      </c>
      <c r="M123" s="123">
        <f t="shared" si="50"/>
        <v>0</v>
      </c>
      <c r="N123" s="123">
        <f t="shared" si="50"/>
        <v>0</v>
      </c>
      <c r="O123" s="123">
        <f t="shared" si="50"/>
        <v>0</v>
      </c>
      <c r="P123" s="123">
        <f t="shared" si="50"/>
        <v>0</v>
      </c>
      <c r="Q123" s="123">
        <f t="shared" si="50"/>
        <v>0</v>
      </c>
      <c r="R123" s="123">
        <f t="shared" si="50"/>
        <v>0</v>
      </c>
      <c r="S123" s="123">
        <f t="shared" si="50"/>
        <v>0</v>
      </c>
      <c r="T123" s="123">
        <f t="shared" si="49"/>
        <v>0</v>
      </c>
      <c r="U123" s="123">
        <f t="shared" si="49"/>
        <v>0</v>
      </c>
      <c r="V123" s="123">
        <f t="shared" si="49"/>
        <v>0</v>
      </c>
      <c r="W123" s="123">
        <f t="shared" si="49"/>
        <v>0</v>
      </c>
      <c r="X123" s="123">
        <f t="shared" si="49"/>
        <v>0</v>
      </c>
      <c r="Y123" s="123">
        <f t="shared" si="49"/>
        <v>0</v>
      </c>
      <c r="Z123" s="123">
        <f t="shared" si="49"/>
        <v>0</v>
      </c>
      <c r="AA123" s="123">
        <f t="shared" si="49"/>
        <v>0</v>
      </c>
      <c r="AB123" s="123">
        <f t="shared" si="49"/>
        <v>0</v>
      </c>
      <c r="AC123" s="123">
        <f t="shared" si="49"/>
        <v>0</v>
      </c>
      <c r="AD123" s="123">
        <f t="shared" si="49"/>
        <v>0</v>
      </c>
      <c r="AE123" s="123">
        <f t="shared" si="49"/>
        <v>0</v>
      </c>
      <c r="AF123" s="123">
        <f t="shared" si="49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7"/>
        <v>0</v>
      </c>
      <c r="C124" s="124">
        <v>0</v>
      </c>
      <c r="D124" s="123">
        <f t="shared" si="50"/>
        <v>0</v>
      </c>
      <c r="E124" s="123">
        <f t="shared" si="50"/>
        <v>0</v>
      </c>
      <c r="F124" s="123">
        <f t="shared" si="50"/>
        <v>0</v>
      </c>
      <c r="G124" s="123">
        <f t="shared" si="50"/>
        <v>0</v>
      </c>
      <c r="H124" s="123">
        <f t="shared" si="50"/>
        <v>0</v>
      </c>
      <c r="I124" s="123">
        <f t="shared" si="50"/>
        <v>0</v>
      </c>
      <c r="J124" s="123">
        <f t="shared" si="50"/>
        <v>0</v>
      </c>
      <c r="K124" s="123">
        <f t="shared" si="50"/>
        <v>0</v>
      </c>
      <c r="L124" s="123">
        <f t="shared" si="50"/>
        <v>0</v>
      </c>
      <c r="M124" s="123">
        <f t="shared" si="50"/>
        <v>0</v>
      </c>
      <c r="N124" s="123">
        <f t="shared" si="50"/>
        <v>0</v>
      </c>
      <c r="O124" s="123">
        <f t="shared" si="50"/>
        <v>0</v>
      </c>
      <c r="P124" s="123">
        <f t="shared" si="50"/>
        <v>0</v>
      </c>
      <c r="Q124" s="123">
        <f t="shared" si="50"/>
        <v>0</v>
      </c>
      <c r="R124" s="123">
        <f t="shared" si="50"/>
        <v>0</v>
      </c>
      <c r="S124" s="123">
        <f t="shared" si="50"/>
        <v>0</v>
      </c>
      <c r="T124" s="123">
        <f t="shared" si="49"/>
        <v>0</v>
      </c>
      <c r="U124" s="123">
        <f t="shared" si="49"/>
        <v>0</v>
      </c>
      <c r="V124" s="123">
        <f t="shared" si="49"/>
        <v>0</v>
      </c>
      <c r="W124" s="123">
        <f t="shared" si="49"/>
        <v>0</v>
      </c>
      <c r="X124" s="123">
        <f t="shared" si="49"/>
        <v>0</v>
      </c>
      <c r="Y124" s="123">
        <f t="shared" si="49"/>
        <v>0</v>
      </c>
      <c r="Z124" s="123">
        <f t="shared" si="49"/>
        <v>0</v>
      </c>
      <c r="AA124" s="123">
        <f t="shared" si="49"/>
        <v>0</v>
      </c>
      <c r="AB124" s="123">
        <f t="shared" si="49"/>
        <v>0</v>
      </c>
      <c r="AC124" s="123">
        <f t="shared" si="49"/>
        <v>0</v>
      </c>
      <c r="AD124" s="123">
        <f t="shared" si="49"/>
        <v>0</v>
      </c>
      <c r="AE124" s="123">
        <f t="shared" si="49"/>
        <v>0</v>
      </c>
      <c r="AF124" s="123">
        <f t="shared" si="49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7"/>
        <v>;/</v>
      </c>
      <c r="C125" s="124">
        <v>5</v>
      </c>
      <c r="D125" s="123">
        <f t="shared" si="50"/>
        <v>5</v>
      </c>
      <c r="E125" s="123">
        <f t="shared" si="50"/>
        <v>5</v>
      </c>
      <c r="F125" s="123">
        <f t="shared" si="50"/>
        <v>5</v>
      </c>
      <c r="G125" s="123">
        <f t="shared" si="50"/>
        <v>5</v>
      </c>
      <c r="H125" s="123">
        <f t="shared" si="50"/>
        <v>5</v>
      </c>
      <c r="I125" s="123" t="s">
        <v>130</v>
      </c>
      <c r="J125" s="123" t="str">
        <f t="shared" si="50"/>
        <v>;/</v>
      </c>
      <c r="K125" s="123" t="str">
        <f t="shared" si="50"/>
        <v>;/</v>
      </c>
      <c r="L125" s="123" t="str">
        <f t="shared" si="50"/>
        <v>;/</v>
      </c>
      <c r="M125" s="123" t="str">
        <f t="shared" si="50"/>
        <v>;/</v>
      </c>
      <c r="N125" s="123" t="str">
        <f t="shared" si="50"/>
        <v>;/</v>
      </c>
      <c r="O125" s="123" t="str">
        <f t="shared" si="50"/>
        <v>;/</v>
      </c>
      <c r="P125" s="123" t="str">
        <f t="shared" si="50"/>
        <v>;/</v>
      </c>
      <c r="Q125" s="123" t="str">
        <f t="shared" si="50"/>
        <v>;/</v>
      </c>
      <c r="R125" s="123" t="str">
        <f t="shared" si="50"/>
        <v>;/</v>
      </c>
      <c r="S125" s="123" t="str">
        <f t="shared" si="50"/>
        <v>;/</v>
      </c>
      <c r="T125" s="123" t="str">
        <f t="shared" si="49"/>
        <v>;/</v>
      </c>
      <c r="U125" s="123" t="str">
        <f t="shared" si="49"/>
        <v>;/</v>
      </c>
      <c r="V125" s="123" t="str">
        <f t="shared" si="49"/>
        <v>;/</v>
      </c>
      <c r="W125" s="123" t="str">
        <f t="shared" si="49"/>
        <v>;/</v>
      </c>
      <c r="X125" s="123" t="str">
        <f t="shared" si="49"/>
        <v>;/</v>
      </c>
      <c r="Y125" s="123" t="str">
        <f t="shared" si="49"/>
        <v>;/</v>
      </c>
      <c r="Z125" s="123" t="str">
        <f t="shared" si="49"/>
        <v>;/</v>
      </c>
      <c r="AA125" s="123" t="str">
        <f t="shared" si="49"/>
        <v>;/</v>
      </c>
      <c r="AB125" s="123" t="str">
        <f t="shared" si="49"/>
        <v>;/</v>
      </c>
      <c r="AC125" s="123" t="str">
        <f t="shared" si="49"/>
        <v>;/</v>
      </c>
      <c r="AD125" s="123" t="str">
        <f t="shared" si="49"/>
        <v>;/</v>
      </c>
      <c r="AE125" s="123" t="str">
        <f t="shared" si="49"/>
        <v>;/</v>
      </c>
      <c r="AF125" s="123" t="str">
        <f t="shared" si="49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7"/>
        <v>1</v>
      </c>
      <c r="C126" s="124">
        <v>1</v>
      </c>
      <c r="D126" s="123">
        <f t="shared" si="50"/>
        <v>1</v>
      </c>
      <c r="E126" s="123">
        <f t="shared" si="50"/>
        <v>1</v>
      </c>
      <c r="F126" s="123">
        <f t="shared" si="50"/>
        <v>1</v>
      </c>
      <c r="G126" s="123">
        <f t="shared" si="50"/>
        <v>1</v>
      </c>
      <c r="H126" s="123">
        <f t="shared" si="50"/>
        <v>1</v>
      </c>
      <c r="I126" s="123">
        <f t="shared" si="50"/>
        <v>1</v>
      </c>
      <c r="J126" s="123">
        <f t="shared" si="50"/>
        <v>1</v>
      </c>
      <c r="K126" s="123">
        <f t="shared" si="50"/>
        <v>1</v>
      </c>
      <c r="L126" s="123">
        <f t="shared" si="50"/>
        <v>1</v>
      </c>
      <c r="M126" s="123">
        <f t="shared" si="50"/>
        <v>1</v>
      </c>
      <c r="N126" s="123">
        <f t="shared" si="50"/>
        <v>1</v>
      </c>
      <c r="O126" s="123">
        <f t="shared" si="50"/>
        <v>1</v>
      </c>
      <c r="P126" s="123">
        <f t="shared" si="50"/>
        <v>1</v>
      </c>
      <c r="Q126" s="123">
        <f t="shared" si="50"/>
        <v>1</v>
      </c>
      <c r="R126" s="123">
        <f t="shared" si="50"/>
        <v>1</v>
      </c>
      <c r="S126" s="123">
        <f t="shared" si="50"/>
        <v>1</v>
      </c>
      <c r="T126" s="123">
        <f t="shared" si="49"/>
        <v>1</v>
      </c>
      <c r="U126" s="123">
        <f t="shared" si="49"/>
        <v>1</v>
      </c>
      <c r="V126" s="123">
        <f t="shared" si="49"/>
        <v>1</v>
      </c>
      <c r="W126" s="123">
        <f t="shared" si="49"/>
        <v>1</v>
      </c>
      <c r="X126" s="123">
        <f t="shared" si="49"/>
        <v>1</v>
      </c>
      <c r="Y126" s="123">
        <f t="shared" si="49"/>
        <v>1</v>
      </c>
      <c r="Z126" s="123">
        <f t="shared" si="49"/>
        <v>1</v>
      </c>
      <c r="AA126" s="123">
        <f t="shared" si="49"/>
        <v>1</v>
      </c>
      <c r="AB126" s="123">
        <f t="shared" si="49"/>
        <v>1</v>
      </c>
      <c r="AC126" s="123">
        <f t="shared" si="49"/>
        <v>1</v>
      </c>
      <c r="AD126" s="123">
        <f t="shared" si="49"/>
        <v>1</v>
      </c>
      <c r="AE126" s="123">
        <f t="shared" si="49"/>
        <v>1</v>
      </c>
      <c r="AF126" s="123">
        <f t="shared" si="49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7"/>
        <v>1.58</v>
      </c>
      <c r="C127" s="124">
        <v>1.58</v>
      </c>
      <c r="D127" s="123">
        <f t="shared" si="50"/>
        <v>1.58</v>
      </c>
      <c r="E127" s="123">
        <f t="shared" si="50"/>
        <v>1.58</v>
      </c>
      <c r="F127" s="123">
        <f t="shared" si="50"/>
        <v>1.58</v>
      </c>
      <c r="G127" s="123">
        <f t="shared" si="50"/>
        <v>1.58</v>
      </c>
      <c r="H127" s="123">
        <f t="shared" si="50"/>
        <v>1.58</v>
      </c>
      <c r="I127" s="123">
        <f t="shared" si="50"/>
        <v>1.58</v>
      </c>
      <c r="J127" s="123">
        <f t="shared" si="50"/>
        <v>1.58</v>
      </c>
      <c r="K127" s="123">
        <f t="shared" si="50"/>
        <v>1.58</v>
      </c>
      <c r="L127" s="123">
        <f t="shared" si="50"/>
        <v>1.58</v>
      </c>
      <c r="M127" s="123">
        <f t="shared" si="50"/>
        <v>1.58</v>
      </c>
      <c r="N127" s="123">
        <f t="shared" si="50"/>
        <v>1.58</v>
      </c>
      <c r="O127" s="123">
        <f t="shared" si="50"/>
        <v>1.58</v>
      </c>
      <c r="P127" s="123">
        <f t="shared" si="50"/>
        <v>1.58</v>
      </c>
      <c r="Q127" s="123">
        <f t="shared" si="50"/>
        <v>1.58</v>
      </c>
      <c r="R127" s="123">
        <f t="shared" si="50"/>
        <v>1.58</v>
      </c>
      <c r="S127" s="123">
        <f t="shared" si="50"/>
        <v>1.58</v>
      </c>
      <c r="T127" s="123">
        <f t="shared" si="49"/>
        <v>1.58</v>
      </c>
      <c r="U127" s="123">
        <f t="shared" si="49"/>
        <v>1.58</v>
      </c>
      <c r="V127" s="123">
        <f t="shared" si="49"/>
        <v>1.58</v>
      </c>
      <c r="W127" s="123">
        <f t="shared" si="49"/>
        <v>1.58</v>
      </c>
      <c r="X127" s="123">
        <f t="shared" si="49"/>
        <v>1.58</v>
      </c>
      <c r="Y127" s="123">
        <f t="shared" si="49"/>
        <v>1.58</v>
      </c>
      <c r="Z127" s="123">
        <f t="shared" si="49"/>
        <v>1.58</v>
      </c>
      <c r="AA127" s="123">
        <f t="shared" si="49"/>
        <v>1.58</v>
      </c>
      <c r="AB127" s="123">
        <f t="shared" si="49"/>
        <v>1.58</v>
      </c>
      <c r="AC127" s="123">
        <f t="shared" si="49"/>
        <v>1.58</v>
      </c>
      <c r="AD127" s="123">
        <f t="shared" si="49"/>
        <v>1.58</v>
      </c>
      <c r="AE127" s="123">
        <f t="shared" si="49"/>
        <v>1.58</v>
      </c>
      <c r="AF127" s="123">
        <f t="shared" si="49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7"/>
        <v>1.46</v>
      </c>
      <c r="C128" s="124">
        <v>1.46</v>
      </c>
      <c r="D128" s="123">
        <f t="shared" si="50"/>
        <v>1.46</v>
      </c>
      <c r="E128" s="123">
        <f t="shared" si="50"/>
        <v>1.46</v>
      </c>
      <c r="F128" s="123">
        <f t="shared" si="50"/>
        <v>1.46</v>
      </c>
      <c r="G128" s="123">
        <f t="shared" si="50"/>
        <v>1.46</v>
      </c>
      <c r="H128" s="123">
        <f t="shared" si="50"/>
        <v>1.46</v>
      </c>
      <c r="I128" s="123">
        <f t="shared" si="50"/>
        <v>1.46</v>
      </c>
      <c r="J128" s="123">
        <f t="shared" si="50"/>
        <v>1.46</v>
      </c>
      <c r="K128" s="123">
        <f t="shared" si="50"/>
        <v>1.46</v>
      </c>
      <c r="L128" s="123">
        <f t="shared" si="50"/>
        <v>1.46</v>
      </c>
      <c r="M128" s="123">
        <f t="shared" si="50"/>
        <v>1.46</v>
      </c>
      <c r="N128" s="123">
        <f t="shared" si="50"/>
        <v>1.46</v>
      </c>
      <c r="O128" s="123">
        <f t="shared" si="50"/>
        <v>1.46</v>
      </c>
      <c r="P128" s="123">
        <f t="shared" si="50"/>
        <v>1.46</v>
      </c>
      <c r="Q128" s="123">
        <f t="shared" si="50"/>
        <v>1.46</v>
      </c>
      <c r="R128" s="123">
        <f t="shared" si="50"/>
        <v>1.46</v>
      </c>
      <c r="S128" s="123">
        <f t="shared" si="50"/>
        <v>1.46</v>
      </c>
      <c r="T128" s="123">
        <f t="shared" ref="T128:AF129" si="51">S128</f>
        <v>1.46</v>
      </c>
      <c r="U128" s="123">
        <f t="shared" si="51"/>
        <v>1.46</v>
      </c>
      <c r="V128" s="123">
        <f t="shared" si="51"/>
        <v>1.46</v>
      </c>
      <c r="W128" s="123">
        <f t="shared" si="51"/>
        <v>1.46</v>
      </c>
      <c r="X128" s="123">
        <f t="shared" si="51"/>
        <v>1.46</v>
      </c>
      <c r="Y128" s="123">
        <f t="shared" si="51"/>
        <v>1.46</v>
      </c>
      <c r="Z128" s="123">
        <f t="shared" si="51"/>
        <v>1.46</v>
      </c>
      <c r="AA128" s="123">
        <f t="shared" si="51"/>
        <v>1.46</v>
      </c>
      <c r="AB128" s="123">
        <f t="shared" si="51"/>
        <v>1.46</v>
      </c>
      <c r="AC128" s="123">
        <f t="shared" si="51"/>
        <v>1.46</v>
      </c>
      <c r="AD128" s="123">
        <f t="shared" si="51"/>
        <v>1.46</v>
      </c>
      <c r="AE128" s="123">
        <f t="shared" si="51"/>
        <v>1.46</v>
      </c>
      <c r="AF128" s="123">
        <f t="shared" si="51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7"/>
        <v>1.48</v>
      </c>
      <c r="C129" s="124">
        <v>1.48</v>
      </c>
      <c r="D129" s="123">
        <f t="shared" si="50"/>
        <v>1.48</v>
      </c>
      <c r="E129" s="123">
        <f t="shared" si="50"/>
        <v>1.48</v>
      </c>
      <c r="F129" s="123">
        <f t="shared" si="50"/>
        <v>1.48</v>
      </c>
      <c r="G129" s="123">
        <f t="shared" si="50"/>
        <v>1.48</v>
      </c>
      <c r="H129" s="123">
        <f t="shared" si="50"/>
        <v>1.48</v>
      </c>
      <c r="I129" s="123">
        <f t="shared" si="50"/>
        <v>1.48</v>
      </c>
      <c r="J129" s="123">
        <f t="shared" si="50"/>
        <v>1.48</v>
      </c>
      <c r="K129" s="123">
        <f t="shared" si="50"/>
        <v>1.48</v>
      </c>
      <c r="L129" s="123">
        <f t="shared" si="50"/>
        <v>1.48</v>
      </c>
      <c r="M129" s="123">
        <f t="shared" si="50"/>
        <v>1.48</v>
      </c>
      <c r="N129" s="123">
        <f t="shared" si="50"/>
        <v>1.48</v>
      </c>
      <c r="O129" s="123">
        <f t="shared" si="50"/>
        <v>1.48</v>
      </c>
      <c r="P129" s="123">
        <f t="shared" si="50"/>
        <v>1.48</v>
      </c>
      <c r="Q129" s="123">
        <f t="shared" si="50"/>
        <v>1.48</v>
      </c>
      <c r="R129" s="123">
        <f t="shared" si="50"/>
        <v>1.48</v>
      </c>
      <c r="S129" s="123">
        <f t="shared" si="50"/>
        <v>1.48</v>
      </c>
      <c r="T129" s="123">
        <f t="shared" si="51"/>
        <v>1.48</v>
      </c>
      <c r="U129" s="123">
        <f t="shared" si="51"/>
        <v>1.48</v>
      </c>
      <c r="V129" s="123">
        <f t="shared" si="51"/>
        <v>1.48</v>
      </c>
      <c r="W129" s="123">
        <f t="shared" si="51"/>
        <v>1.48</v>
      </c>
      <c r="X129" s="123">
        <f t="shared" si="51"/>
        <v>1.48</v>
      </c>
      <c r="Y129" s="123">
        <f t="shared" si="51"/>
        <v>1.48</v>
      </c>
      <c r="Z129" s="123">
        <f t="shared" si="51"/>
        <v>1.48</v>
      </c>
      <c r="AA129" s="123">
        <f t="shared" si="51"/>
        <v>1.48</v>
      </c>
      <c r="AB129" s="123">
        <f t="shared" si="51"/>
        <v>1.48</v>
      </c>
      <c r="AC129" s="123">
        <f t="shared" si="51"/>
        <v>1.48</v>
      </c>
      <c r="AD129" s="123">
        <f t="shared" si="51"/>
        <v>1.48</v>
      </c>
      <c r="AE129" s="123">
        <f t="shared" si="51"/>
        <v>1.48</v>
      </c>
      <c r="AF129" s="123">
        <f t="shared" si="51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52">AF131</f>
        <v>2.2000000000000002</v>
      </c>
      <c r="C131" s="124">
        <v>2.2000000000000002</v>
      </c>
      <c r="D131" s="123">
        <f t="shared" ref="D131:S138" si="53">C131</f>
        <v>2.2000000000000002</v>
      </c>
      <c r="E131" s="123">
        <f t="shared" si="53"/>
        <v>2.2000000000000002</v>
      </c>
      <c r="F131" s="123">
        <f t="shared" si="53"/>
        <v>2.2000000000000002</v>
      </c>
      <c r="G131" s="123">
        <f t="shared" si="53"/>
        <v>2.2000000000000002</v>
      </c>
      <c r="H131" s="123">
        <f t="shared" si="53"/>
        <v>2.2000000000000002</v>
      </c>
      <c r="I131" s="123">
        <f t="shared" si="53"/>
        <v>2.2000000000000002</v>
      </c>
      <c r="J131" s="123">
        <f t="shared" si="53"/>
        <v>2.2000000000000002</v>
      </c>
      <c r="K131" s="123">
        <f t="shared" si="53"/>
        <v>2.2000000000000002</v>
      </c>
      <c r="L131" s="123">
        <f t="shared" si="53"/>
        <v>2.2000000000000002</v>
      </c>
      <c r="M131" s="123">
        <f t="shared" si="53"/>
        <v>2.2000000000000002</v>
      </c>
      <c r="N131" s="123">
        <f t="shared" si="53"/>
        <v>2.2000000000000002</v>
      </c>
      <c r="O131" s="123">
        <f t="shared" si="53"/>
        <v>2.2000000000000002</v>
      </c>
      <c r="P131" s="123">
        <f t="shared" si="53"/>
        <v>2.2000000000000002</v>
      </c>
      <c r="Q131" s="123">
        <f t="shared" si="53"/>
        <v>2.2000000000000002</v>
      </c>
      <c r="R131" s="123">
        <f t="shared" si="53"/>
        <v>2.2000000000000002</v>
      </c>
      <c r="S131" s="123">
        <f t="shared" si="53"/>
        <v>2.2000000000000002</v>
      </c>
      <c r="T131" s="123">
        <f t="shared" ref="T131:AF138" si="54">S131</f>
        <v>2.2000000000000002</v>
      </c>
      <c r="U131" s="123">
        <f t="shared" si="54"/>
        <v>2.2000000000000002</v>
      </c>
      <c r="V131" s="123">
        <f t="shared" si="54"/>
        <v>2.2000000000000002</v>
      </c>
      <c r="W131" s="123">
        <f t="shared" si="54"/>
        <v>2.2000000000000002</v>
      </c>
      <c r="X131" s="123">
        <f t="shared" si="54"/>
        <v>2.2000000000000002</v>
      </c>
      <c r="Y131" s="123">
        <f t="shared" si="54"/>
        <v>2.2000000000000002</v>
      </c>
      <c r="Z131" s="123">
        <f t="shared" si="54"/>
        <v>2.2000000000000002</v>
      </c>
      <c r="AA131" s="123">
        <f t="shared" si="54"/>
        <v>2.2000000000000002</v>
      </c>
      <c r="AB131" s="123">
        <f t="shared" si="54"/>
        <v>2.2000000000000002</v>
      </c>
      <c r="AC131" s="123">
        <f t="shared" si="54"/>
        <v>2.2000000000000002</v>
      </c>
      <c r="AD131" s="123">
        <f t="shared" si="54"/>
        <v>2.2000000000000002</v>
      </c>
      <c r="AE131" s="123">
        <f t="shared" si="54"/>
        <v>2.2000000000000002</v>
      </c>
      <c r="AF131" s="123">
        <f t="shared" si="54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52"/>
        <v>2</v>
      </c>
      <c r="C132" s="124">
        <v>2</v>
      </c>
      <c r="D132" s="123">
        <f t="shared" si="53"/>
        <v>2</v>
      </c>
      <c r="E132" s="123">
        <f t="shared" si="53"/>
        <v>2</v>
      </c>
      <c r="F132" s="123">
        <f t="shared" si="53"/>
        <v>2</v>
      </c>
      <c r="G132" s="123">
        <f t="shared" si="53"/>
        <v>2</v>
      </c>
      <c r="H132" s="123">
        <f t="shared" si="53"/>
        <v>2</v>
      </c>
      <c r="I132" s="123">
        <f t="shared" si="53"/>
        <v>2</v>
      </c>
      <c r="J132" s="123">
        <f t="shared" si="53"/>
        <v>2</v>
      </c>
      <c r="K132" s="123">
        <f t="shared" si="53"/>
        <v>2</v>
      </c>
      <c r="L132" s="123">
        <f t="shared" si="53"/>
        <v>2</v>
      </c>
      <c r="M132" s="123">
        <f t="shared" si="53"/>
        <v>2</v>
      </c>
      <c r="N132" s="123">
        <f t="shared" si="53"/>
        <v>2</v>
      </c>
      <c r="O132" s="123">
        <f t="shared" si="53"/>
        <v>2</v>
      </c>
      <c r="P132" s="123">
        <f t="shared" si="53"/>
        <v>2</v>
      </c>
      <c r="Q132" s="123">
        <f t="shared" si="53"/>
        <v>2</v>
      </c>
      <c r="R132" s="123">
        <f t="shared" si="53"/>
        <v>2</v>
      </c>
      <c r="S132" s="123">
        <f t="shared" si="53"/>
        <v>2</v>
      </c>
      <c r="T132" s="123">
        <f t="shared" si="54"/>
        <v>2</v>
      </c>
      <c r="U132" s="123">
        <f t="shared" si="54"/>
        <v>2</v>
      </c>
      <c r="V132" s="123">
        <f t="shared" si="54"/>
        <v>2</v>
      </c>
      <c r="W132" s="123">
        <f t="shared" si="54"/>
        <v>2</v>
      </c>
      <c r="X132" s="123">
        <f t="shared" si="54"/>
        <v>2</v>
      </c>
      <c r="Y132" s="123">
        <f t="shared" si="54"/>
        <v>2</v>
      </c>
      <c r="Z132" s="123">
        <f t="shared" si="54"/>
        <v>2</v>
      </c>
      <c r="AA132" s="123">
        <f t="shared" si="54"/>
        <v>2</v>
      </c>
      <c r="AB132" s="123">
        <f t="shared" si="54"/>
        <v>2</v>
      </c>
      <c r="AC132" s="123">
        <f t="shared" si="54"/>
        <v>2</v>
      </c>
      <c r="AD132" s="123">
        <f t="shared" si="54"/>
        <v>2</v>
      </c>
      <c r="AE132" s="123">
        <f t="shared" si="54"/>
        <v>2</v>
      </c>
      <c r="AF132" s="123">
        <f t="shared" si="54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52"/>
        <v>1.25</v>
      </c>
      <c r="C133" s="124">
        <v>1.25</v>
      </c>
      <c r="D133" s="123">
        <f t="shared" si="53"/>
        <v>1.25</v>
      </c>
      <c r="E133" s="123">
        <f t="shared" si="53"/>
        <v>1.25</v>
      </c>
      <c r="F133" s="123">
        <f t="shared" si="53"/>
        <v>1.25</v>
      </c>
      <c r="G133" s="123">
        <f t="shared" si="53"/>
        <v>1.25</v>
      </c>
      <c r="H133" s="123">
        <f t="shared" si="53"/>
        <v>1.25</v>
      </c>
      <c r="I133" s="123">
        <f t="shared" si="53"/>
        <v>1.25</v>
      </c>
      <c r="J133" s="123">
        <f t="shared" si="53"/>
        <v>1.25</v>
      </c>
      <c r="K133" s="123">
        <f t="shared" si="53"/>
        <v>1.25</v>
      </c>
      <c r="L133" s="123">
        <f t="shared" si="53"/>
        <v>1.25</v>
      </c>
      <c r="M133" s="123">
        <f t="shared" si="53"/>
        <v>1.25</v>
      </c>
      <c r="N133" s="123">
        <f t="shared" si="53"/>
        <v>1.25</v>
      </c>
      <c r="O133" s="123">
        <f t="shared" si="53"/>
        <v>1.25</v>
      </c>
      <c r="P133" s="123">
        <f t="shared" si="53"/>
        <v>1.25</v>
      </c>
      <c r="Q133" s="123">
        <f t="shared" si="53"/>
        <v>1.25</v>
      </c>
      <c r="R133" s="123">
        <f t="shared" si="53"/>
        <v>1.25</v>
      </c>
      <c r="S133" s="123">
        <f t="shared" si="53"/>
        <v>1.25</v>
      </c>
      <c r="T133" s="123">
        <f t="shared" si="54"/>
        <v>1.25</v>
      </c>
      <c r="U133" s="123">
        <f t="shared" si="54"/>
        <v>1.25</v>
      </c>
      <c r="V133" s="123">
        <f t="shared" si="54"/>
        <v>1.25</v>
      </c>
      <c r="W133" s="123">
        <f t="shared" si="54"/>
        <v>1.25</v>
      </c>
      <c r="X133" s="123">
        <f t="shared" si="54"/>
        <v>1.25</v>
      </c>
      <c r="Y133" s="123">
        <f t="shared" si="54"/>
        <v>1.25</v>
      </c>
      <c r="Z133" s="123">
        <f t="shared" si="54"/>
        <v>1.25</v>
      </c>
      <c r="AA133" s="123">
        <f t="shared" si="54"/>
        <v>1.25</v>
      </c>
      <c r="AB133" s="123">
        <f t="shared" si="54"/>
        <v>1.25</v>
      </c>
      <c r="AC133" s="123">
        <f t="shared" si="54"/>
        <v>1.25</v>
      </c>
      <c r="AD133" s="123">
        <f t="shared" si="54"/>
        <v>1.25</v>
      </c>
      <c r="AE133" s="123">
        <f t="shared" si="54"/>
        <v>1.25</v>
      </c>
      <c r="AF133" s="123">
        <f t="shared" si="54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52"/>
        <v>1.1499999999999999</v>
      </c>
      <c r="C134" s="124">
        <v>1.1499999999999999</v>
      </c>
      <c r="D134" s="123">
        <f t="shared" si="53"/>
        <v>1.1499999999999999</v>
      </c>
      <c r="E134" s="123">
        <f t="shared" si="53"/>
        <v>1.1499999999999999</v>
      </c>
      <c r="F134" s="123">
        <f t="shared" si="53"/>
        <v>1.1499999999999999</v>
      </c>
      <c r="G134" s="123">
        <f t="shared" si="53"/>
        <v>1.1499999999999999</v>
      </c>
      <c r="H134" s="123">
        <f t="shared" si="53"/>
        <v>1.1499999999999999</v>
      </c>
      <c r="I134" s="123">
        <f t="shared" si="53"/>
        <v>1.1499999999999999</v>
      </c>
      <c r="J134" s="123">
        <f t="shared" si="53"/>
        <v>1.1499999999999999</v>
      </c>
      <c r="K134" s="123">
        <f t="shared" si="53"/>
        <v>1.1499999999999999</v>
      </c>
      <c r="L134" s="123">
        <f t="shared" si="53"/>
        <v>1.1499999999999999</v>
      </c>
      <c r="M134" s="123">
        <f t="shared" si="53"/>
        <v>1.1499999999999999</v>
      </c>
      <c r="N134" s="123">
        <f t="shared" si="53"/>
        <v>1.1499999999999999</v>
      </c>
      <c r="O134" s="123">
        <f t="shared" si="53"/>
        <v>1.1499999999999999</v>
      </c>
      <c r="P134" s="123">
        <f t="shared" si="53"/>
        <v>1.1499999999999999</v>
      </c>
      <c r="Q134" s="123">
        <f t="shared" si="53"/>
        <v>1.1499999999999999</v>
      </c>
      <c r="R134" s="123">
        <f t="shared" si="53"/>
        <v>1.1499999999999999</v>
      </c>
      <c r="S134" s="123">
        <f t="shared" si="53"/>
        <v>1.1499999999999999</v>
      </c>
      <c r="T134" s="123">
        <f t="shared" si="54"/>
        <v>1.1499999999999999</v>
      </c>
      <c r="U134" s="123">
        <f t="shared" si="54"/>
        <v>1.1499999999999999</v>
      </c>
      <c r="V134" s="123">
        <f t="shared" si="54"/>
        <v>1.1499999999999999</v>
      </c>
      <c r="W134" s="123">
        <f t="shared" si="54"/>
        <v>1.1499999999999999</v>
      </c>
      <c r="X134" s="123">
        <f t="shared" si="54"/>
        <v>1.1499999999999999</v>
      </c>
      <c r="Y134" s="123">
        <f t="shared" si="54"/>
        <v>1.1499999999999999</v>
      </c>
      <c r="Z134" s="123">
        <f t="shared" si="54"/>
        <v>1.1499999999999999</v>
      </c>
      <c r="AA134" s="123">
        <f t="shared" si="54"/>
        <v>1.1499999999999999</v>
      </c>
      <c r="AB134" s="123">
        <f t="shared" si="54"/>
        <v>1.1499999999999999</v>
      </c>
      <c r="AC134" s="123">
        <f t="shared" si="54"/>
        <v>1.1499999999999999</v>
      </c>
      <c r="AD134" s="123">
        <f t="shared" si="54"/>
        <v>1.1499999999999999</v>
      </c>
      <c r="AE134" s="123">
        <f t="shared" si="54"/>
        <v>1.1499999999999999</v>
      </c>
      <c r="AF134" s="123">
        <f t="shared" si="54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52"/>
        <v>2.133</v>
      </c>
      <c r="C135" s="124">
        <v>2.133</v>
      </c>
      <c r="D135" s="123">
        <f t="shared" si="53"/>
        <v>2.133</v>
      </c>
      <c r="E135" s="123">
        <f t="shared" si="53"/>
        <v>2.133</v>
      </c>
      <c r="F135" s="123">
        <f t="shared" si="53"/>
        <v>2.133</v>
      </c>
      <c r="G135" s="123">
        <f t="shared" si="53"/>
        <v>2.133</v>
      </c>
      <c r="H135" s="123">
        <f t="shared" si="53"/>
        <v>2.133</v>
      </c>
      <c r="I135" s="123">
        <f t="shared" si="53"/>
        <v>2.133</v>
      </c>
      <c r="J135" s="123">
        <f t="shared" si="53"/>
        <v>2.133</v>
      </c>
      <c r="K135" s="123">
        <f t="shared" si="53"/>
        <v>2.133</v>
      </c>
      <c r="L135" s="123">
        <f t="shared" si="53"/>
        <v>2.133</v>
      </c>
      <c r="M135" s="123">
        <f t="shared" si="53"/>
        <v>2.133</v>
      </c>
      <c r="N135" s="123">
        <f t="shared" si="53"/>
        <v>2.133</v>
      </c>
      <c r="O135" s="123">
        <f t="shared" si="53"/>
        <v>2.133</v>
      </c>
      <c r="P135" s="123">
        <f t="shared" si="53"/>
        <v>2.133</v>
      </c>
      <c r="Q135" s="123">
        <f t="shared" si="53"/>
        <v>2.133</v>
      </c>
      <c r="R135" s="123">
        <f t="shared" si="53"/>
        <v>2.133</v>
      </c>
      <c r="S135" s="123">
        <f t="shared" si="53"/>
        <v>2.133</v>
      </c>
      <c r="T135" s="123">
        <f t="shared" si="54"/>
        <v>2.133</v>
      </c>
      <c r="U135" s="123">
        <f t="shared" si="54"/>
        <v>2.133</v>
      </c>
      <c r="V135" s="123">
        <f t="shared" si="54"/>
        <v>2.133</v>
      </c>
      <c r="W135" s="123">
        <f t="shared" si="54"/>
        <v>2.133</v>
      </c>
      <c r="X135" s="123">
        <f t="shared" si="54"/>
        <v>2.133</v>
      </c>
      <c r="Y135" s="123">
        <f t="shared" si="54"/>
        <v>2.133</v>
      </c>
      <c r="Z135" s="123">
        <f t="shared" si="54"/>
        <v>2.133</v>
      </c>
      <c r="AA135" s="123">
        <f t="shared" si="54"/>
        <v>2.133</v>
      </c>
      <c r="AB135" s="123">
        <f t="shared" si="54"/>
        <v>2.133</v>
      </c>
      <c r="AC135" s="123">
        <f t="shared" si="54"/>
        <v>2.133</v>
      </c>
      <c r="AD135" s="123">
        <f t="shared" si="54"/>
        <v>2.133</v>
      </c>
      <c r="AE135" s="123">
        <f t="shared" si="54"/>
        <v>2.133</v>
      </c>
      <c r="AF135" s="123">
        <f t="shared" si="54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52"/>
        <v>2.09</v>
      </c>
      <c r="C136" s="124">
        <v>2.09</v>
      </c>
      <c r="D136" s="123">
        <f t="shared" si="53"/>
        <v>2.09</v>
      </c>
      <c r="E136" s="123">
        <f t="shared" si="53"/>
        <v>2.09</v>
      </c>
      <c r="F136" s="123">
        <f t="shared" si="53"/>
        <v>2.09</v>
      </c>
      <c r="G136" s="123">
        <f t="shared" si="53"/>
        <v>2.09</v>
      </c>
      <c r="H136" s="123">
        <f t="shared" si="53"/>
        <v>2.09</v>
      </c>
      <c r="I136" s="123">
        <f t="shared" si="53"/>
        <v>2.09</v>
      </c>
      <c r="J136" s="123">
        <f t="shared" si="53"/>
        <v>2.09</v>
      </c>
      <c r="K136" s="123">
        <f t="shared" si="53"/>
        <v>2.09</v>
      </c>
      <c r="L136" s="123">
        <f t="shared" si="53"/>
        <v>2.09</v>
      </c>
      <c r="M136" s="123">
        <f t="shared" si="53"/>
        <v>2.09</v>
      </c>
      <c r="N136" s="123">
        <f t="shared" si="53"/>
        <v>2.09</v>
      </c>
      <c r="O136" s="123">
        <f t="shared" si="53"/>
        <v>2.09</v>
      </c>
      <c r="P136" s="123">
        <f t="shared" si="53"/>
        <v>2.09</v>
      </c>
      <c r="Q136" s="123">
        <f t="shared" si="53"/>
        <v>2.09</v>
      </c>
      <c r="R136" s="123">
        <f t="shared" si="53"/>
        <v>2.09</v>
      </c>
      <c r="S136" s="123">
        <f t="shared" si="53"/>
        <v>2.09</v>
      </c>
      <c r="T136" s="123">
        <f t="shared" si="54"/>
        <v>2.09</v>
      </c>
      <c r="U136" s="123">
        <f t="shared" si="54"/>
        <v>2.09</v>
      </c>
      <c r="V136" s="123">
        <f t="shared" si="54"/>
        <v>2.09</v>
      </c>
      <c r="W136" s="123">
        <f t="shared" si="54"/>
        <v>2.09</v>
      </c>
      <c r="X136" s="123">
        <f t="shared" si="54"/>
        <v>2.09</v>
      </c>
      <c r="Y136" s="123">
        <f t="shared" si="54"/>
        <v>2.09</v>
      </c>
      <c r="Z136" s="123">
        <f t="shared" si="54"/>
        <v>2.09</v>
      </c>
      <c r="AA136" s="123">
        <f t="shared" si="54"/>
        <v>2.09</v>
      </c>
      <c r="AB136" s="123">
        <f t="shared" si="54"/>
        <v>2.09</v>
      </c>
      <c r="AC136" s="123">
        <f t="shared" si="54"/>
        <v>2.09</v>
      </c>
      <c r="AD136" s="123">
        <f t="shared" si="54"/>
        <v>2.09</v>
      </c>
      <c r="AE136" s="123">
        <f t="shared" si="54"/>
        <v>2.09</v>
      </c>
      <c r="AF136" s="123">
        <f t="shared" si="54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52"/>
        <v>1.1399999999999999</v>
      </c>
      <c r="C137" s="124">
        <v>1.1399999999999999</v>
      </c>
      <c r="D137" s="123">
        <f t="shared" si="53"/>
        <v>1.1399999999999999</v>
      </c>
      <c r="E137" s="123">
        <f t="shared" si="53"/>
        <v>1.1399999999999999</v>
      </c>
      <c r="F137" s="123">
        <f t="shared" si="53"/>
        <v>1.1399999999999999</v>
      </c>
      <c r="G137" s="123">
        <f t="shared" si="53"/>
        <v>1.1399999999999999</v>
      </c>
      <c r="H137" s="123">
        <f t="shared" si="53"/>
        <v>1.1399999999999999</v>
      </c>
      <c r="I137" s="123">
        <f t="shared" si="53"/>
        <v>1.1399999999999999</v>
      </c>
      <c r="J137" s="123">
        <f t="shared" si="53"/>
        <v>1.1399999999999999</v>
      </c>
      <c r="K137" s="123">
        <f t="shared" si="53"/>
        <v>1.1399999999999999</v>
      </c>
      <c r="L137" s="123">
        <f t="shared" si="53"/>
        <v>1.1399999999999999</v>
      </c>
      <c r="M137" s="123">
        <f t="shared" si="53"/>
        <v>1.1399999999999999</v>
      </c>
      <c r="N137" s="123">
        <f t="shared" si="53"/>
        <v>1.1399999999999999</v>
      </c>
      <c r="O137" s="123">
        <f t="shared" si="53"/>
        <v>1.1399999999999999</v>
      </c>
      <c r="P137" s="123">
        <f t="shared" si="53"/>
        <v>1.1399999999999999</v>
      </c>
      <c r="Q137" s="123">
        <f t="shared" si="53"/>
        <v>1.1399999999999999</v>
      </c>
      <c r="R137" s="123">
        <f t="shared" si="53"/>
        <v>1.1399999999999999</v>
      </c>
      <c r="S137" s="123">
        <f t="shared" si="53"/>
        <v>1.1399999999999999</v>
      </c>
      <c r="T137" s="123">
        <f t="shared" si="54"/>
        <v>1.1399999999999999</v>
      </c>
      <c r="U137" s="123">
        <f t="shared" si="54"/>
        <v>1.1399999999999999</v>
      </c>
      <c r="V137" s="123">
        <f t="shared" si="54"/>
        <v>1.1399999999999999</v>
      </c>
      <c r="W137" s="123">
        <f t="shared" si="54"/>
        <v>1.1399999999999999</v>
      </c>
      <c r="X137" s="123">
        <f t="shared" si="54"/>
        <v>1.1399999999999999</v>
      </c>
      <c r="Y137" s="123">
        <f t="shared" si="54"/>
        <v>1.1399999999999999</v>
      </c>
      <c r="Z137" s="123">
        <f t="shared" si="54"/>
        <v>1.1399999999999999</v>
      </c>
      <c r="AA137" s="123">
        <f t="shared" si="54"/>
        <v>1.1399999999999999</v>
      </c>
      <c r="AB137" s="123">
        <f t="shared" si="54"/>
        <v>1.1399999999999999</v>
      </c>
      <c r="AC137" s="123">
        <f t="shared" si="54"/>
        <v>1.1399999999999999</v>
      </c>
      <c r="AD137" s="123">
        <f t="shared" si="54"/>
        <v>1.1399999999999999</v>
      </c>
      <c r="AE137" s="123">
        <f t="shared" si="54"/>
        <v>1.1399999999999999</v>
      </c>
      <c r="AF137" s="123">
        <f t="shared" si="54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52"/>
        <v>0.82</v>
      </c>
      <c r="C138" s="124">
        <v>0.82</v>
      </c>
      <c r="D138" s="123">
        <f t="shared" si="53"/>
        <v>0.82</v>
      </c>
      <c r="E138" s="123">
        <f t="shared" si="53"/>
        <v>0.82</v>
      </c>
      <c r="F138" s="123">
        <f t="shared" si="53"/>
        <v>0.82</v>
      </c>
      <c r="G138" s="123">
        <f t="shared" si="53"/>
        <v>0.82</v>
      </c>
      <c r="H138" s="123">
        <f t="shared" si="53"/>
        <v>0.82</v>
      </c>
      <c r="I138" s="123">
        <f t="shared" si="53"/>
        <v>0.82</v>
      </c>
      <c r="J138" s="123">
        <f t="shared" si="53"/>
        <v>0.82</v>
      </c>
      <c r="K138" s="123">
        <f t="shared" si="53"/>
        <v>0.82</v>
      </c>
      <c r="L138" s="123">
        <f t="shared" si="53"/>
        <v>0.82</v>
      </c>
      <c r="M138" s="123">
        <f t="shared" si="53"/>
        <v>0.82</v>
      </c>
      <c r="N138" s="123">
        <f t="shared" si="53"/>
        <v>0.82</v>
      </c>
      <c r="O138" s="123">
        <f t="shared" si="53"/>
        <v>0.82</v>
      </c>
      <c r="P138" s="123">
        <f t="shared" si="53"/>
        <v>0.82</v>
      </c>
      <c r="Q138" s="123">
        <f t="shared" si="53"/>
        <v>0.82</v>
      </c>
      <c r="R138" s="123">
        <f t="shared" si="53"/>
        <v>0.82</v>
      </c>
      <c r="S138" s="123">
        <f t="shared" si="53"/>
        <v>0.82</v>
      </c>
      <c r="T138" s="123">
        <f t="shared" si="54"/>
        <v>0.82</v>
      </c>
      <c r="U138" s="123">
        <f t="shared" si="54"/>
        <v>0.82</v>
      </c>
      <c r="V138" s="123">
        <f t="shared" si="54"/>
        <v>0.82</v>
      </c>
      <c r="W138" s="123">
        <f t="shared" si="54"/>
        <v>0.82</v>
      </c>
      <c r="X138" s="123">
        <f t="shared" si="54"/>
        <v>0.82</v>
      </c>
      <c r="Y138" s="123">
        <f t="shared" si="54"/>
        <v>0.82</v>
      </c>
      <c r="Z138" s="123">
        <f t="shared" si="54"/>
        <v>0.82</v>
      </c>
      <c r="AA138" s="123">
        <f t="shared" si="54"/>
        <v>0.82</v>
      </c>
      <c r="AB138" s="123">
        <f t="shared" si="54"/>
        <v>0.82</v>
      </c>
      <c r="AC138" s="123">
        <f t="shared" si="54"/>
        <v>0.82</v>
      </c>
      <c r="AD138" s="123">
        <f t="shared" si="54"/>
        <v>0.82</v>
      </c>
      <c r="AE138" s="123">
        <f t="shared" si="54"/>
        <v>0.82</v>
      </c>
      <c r="AF138" s="123">
        <f t="shared" si="54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5">AF140</f>
        <v>2</v>
      </c>
      <c r="C140" s="124">
        <v>2</v>
      </c>
      <c r="D140" s="123">
        <f t="shared" ref="D140:S146" si="56">C140</f>
        <v>2</v>
      </c>
      <c r="E140" s="123">
        <f t="shared" si="56"/>
        <v>2</v>
      </c>
      <c r="F140" s="123">
        <f t="shared" si="56"/>
        <v>2</v>
      </c>
      <c r="G140" s="123">
        <f t="shared" si="56"/>
        <v>2</v>
      </c>
      <c r="H140" s="123">
        <f t="shared" si="56"/>
        <v>2</v>
      </c>
      <c r="I140" s="123">
        <f t="shared" si="56"/>
        <v>2</v>
      </c>
      <c r="J140" s="123">
        <f t="shared" si="56"/>
        <v>2</v>
      </c>
      <c r="K140" s="123">
        <f t="shared" si="56"/>
        <v>2</v>
      </c>
      <c r="L140" s="123">
        <f t="shared" si="56"/>
        <v>2</v>
      </c>
      <c r="M140" s="123">
        <f t="shared" si="56"/>
        <v>2</v>
      </c>
      <c r="N140" s="123">
        <f t="shared" si="56"/>
        <v>2</v>
      </c>
      <c r="O140" s="123">
        <f t="shared" si="56"/>
        <v>2</v>
      </c>
      <c r="P140" s="123">
        <f t="shared" si="56"/>
        <v>2</v>
      </c>
      <c r="Q140" s="123">
        <f t="shared" si="56"/>
        <v>2</v>
      </c>
      <c r="R140" s="123">
        <f t="shared" si="56"/>
        <v>2</v>
      </c>
      <c r="S140" s="123">
        <f t="shared" si="56"/>
        <v>2</v>
      </c>
      <c r="T140" s="123">
        <f t="shared" ref="T140:AF146" si="57">S140</f>
        <v>2</v>
      </c>
      <c r="U140" s="123">
        <f t="shared" si="57"/>
        <v>2</v>
      </c>
      <c r="V140" s="123">
        <f t="shared" si="57"/>
        <v>2</v>
      </c>
      <c r="W140" s="123">
        <f t="shared" si="57"/>
        <v>2</v>
      </c>
      <c r="X140" s="123">
        <f t="shared" si="57"/>
        <v>2</v>
      </c>
      <c r="Y140" s="123">
        <f t="shared" si="57"/>
        <v>2</v>
      </c>
      <c r="Z140" s="123">
        <f t="shared" si="57"/>
        <v>2</v>
      </c>
      <c r="AA140" s="123">
        <f t="shared" si="57"/>
        <v>2</v>
      </c>
      <c r="AB140" s="123">
        <f t="shared" si="57"/>
        <v>2</v>
      </c>
      <c r="AC140" s="123">
        <f t="shared" si="57"/>
        <v>2</v>
      </c>
      <c r="AD140" s="123">
        <f t="shared" si="57"/>
        <v>2</v>
      </c>
      <c r="AE140" s="123">
        <f t="shared" si="57"/>
        <v>2</v>
      </c>
      <c r="AF140" s="123">
        <f t="shared" si="57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5"/>
        <v>5.61</v>
      </c>
      <c r="C141" s="124">
        <v>5.61</v>
      </c>
      <c r="D141" s="123">
        <f t="shared" si="56"/>
        <v>5.61</v>
      </c>
      <c r="E141" s="123">
        <f t="shared" si="56"/>
        <v>5.61</v>
      </c>
      <c r="F141" s="123">
        <f t="shared" si="56"/>
        <v>5.61</v>
      </c>
      <c r="G141" s="123">
        <f t="shared" si="56"/>
        <v>5.61</v>
      </c>
      <c r="H141" s="123">
        <f t="shared" si="56"/>
        <v>5.61</v>
      </c>
      <c r="I141" s="123">
        <f t="shared" si="56"/>
        <v>5.61</v>
      </c>
      <c r="J141" s="123">
        <f t="shared" si="56"/>
        <v>5.61</v>
      </c>
      <c r="K141" s="123">
        <f t="shared" si="56"/>
        <v>5.61</v>
      </c>
      <c r="L141" s="123">
        <f t="shared" si="56"/>
        <v>5.61</v>
      </c>
      <c r="M141" s="123">
        <f t="shared" si="56"/>
        <v>5.61</v>
      </c>
      <c r="N141" s="123">
        <f t="shared" si="56"/>
        <v>5.61</v>
      </c>
      <c r="O141" s="123">
        <f t="shared" si="56"/>
        <v>5.61</v>
      </c>
      <c r="P141" s="123">
        <f t="shared" si="56"/>
        <v>5.61</v>
      </c>
      <c r="Q141" s="123">
        <f t="shared" si="56"/>
        <v>5.61</v>
      </c>
      <c r="R141" s="123">
        <f t="shared" si="56"/>
        <v>5.61</v>
      </c>
      <c r="S141" s="123">
        <f t="shared" si="56"/>
        <v>5.61</v>
      </c>
      <c r="T141" s="123">
        <f t="shared" si="57"/>
        <v>5.61</v>
      </c>
      <c r="U141" s="123">
        <f t="shared" si="57"/>
        <v>5.61</v>
      </c>
      <c r="V141" s="123">
        <f t="shared" si="57"/>
        <v>5.61</v>
      </c>
      <c r="W141" s="123">
        <f t="shared" si="57"/>
        <v>5.61</v>
      </c>
      <c r="X141" s="123">
        <f t="shared" si="57"/>
        <v>5.61</v>
      </c>
      <c r="Y141" s="123">
        <f t="shared" si="57"/>
        <v>5.61</v>
      </c>
      <c r="Z141" s="123">
        <f t="shared" si="57"/>
        <v>5.61</v>
      </c>
      <c r="AA141" s="123">
        <f t="shared" si="57"/>
        <v>5.61</v>
      </c>
      <c r="AB141" s="123">
        <f t="shared" si="57"/>
        <v>5.61</v>
      </c>
      <c r="AC141" s="123">
        <f t="shared" si="57"/>
        <v>5.61</v>
      </c>
      <c r="AD141" s="123">
        <f t="shared" si="57"/>
        <v>5.61</v>
      </c>
      <c r="AE141" s="123">
        <f t="shared" si="57"/>
        <v>5.61</v>
      </c>
      <c r="AF141" s="123">
        <f t="shared" si="57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5"/>
        <v>1.25</v>
      </c>
      <c r="C142" s="124">
        <v>1.25</v>
      </c>
      <c r="D142" s="123">
        <f t="shared" si="56"/>
        <v>1.25</v>
      </c>
      <c r="E142" s="123">
        <f t="shared" si="56"/>
        <v>1.25</v>
      </c>
      <c r="F142" s="123">
        <f t="shared" si="56"/>
        <v>1.25</v>
      </c>
      <c r="G142" s="123">
        <f t="shared" si="56"/>
        <v>1.25</v>
      </c>
      <c r="H142" s="123">
        <f t="shared" si="56"/>
        <v>1.25</v>
      </c>
      <c r="I142" s="123">
        <f t="shared" si="56"/>
        <v>1.25</v>
      </c>
      <c r="J142" s="123">
        <f t="shared" si="56"/>
        <v>1.25</v>
      </c>
      <c r="K142" s="123">
        <f t="shared" si="56"/>
        <v>1.25</v>
      </c>
      <c r="L142" s="123">
        <f t="shared" si="56"/>
        <v>1.25</v>
      </c>
      <c r="M142" s="123">
        <f t="shared" si="56"/>
        <v>1.25</v>
      </c>
      <c r="N142" s="123">
        <f t="shared" si="56"/>
        <v>1.25</v>
      </c>
      <c r="O142" s="123">
        <f t="shared" si="56"/>
        <v>1.25</v>
      </c>
      <c r="P142" s="123">
        <f t="shared" si="56"/>
        <v>1.25</v>
      </c>
      <c r="Q142" s="123">
        <f t="shared" si="56"/>
        <v>1.25</v>
      </c>
      <c r="R142" s="123">
        <f t="shared" si="56"/>
        <v>1.25</v>
      </c>
      <c r="S142" s="123">
        <f t="shared" si="56"/>
        <v>1.25</v>
      </c>
      <c r="T142" s="123">
        <f t="shared" si="57"/>
        <v>1.25</v>
      </c>
      <c r="U142" s="123">
        <f t="shared" si="57"/>
        <v>1.25</v>
      </c>
      <c r="V142" s="123">
        <f t="shared" si="57"/>
        <v>1.25</v>
      </c>
      <c r="W142" s="123">
        <f t="shared" si="57"/>
        <v>1.25</v>
      </c>
      <c r="X142" s="123">
        <f t="shared" si="57"/>
        <v>1.25</v>
      </c>
      <c r="Y142" s="123">
        <f t="shared" si="57"/>
        <v>1.25</v>
      </c>
      <c r="Z142" s="123">
        <f t="shared" si="57"/>
        <v>1.25</v>
      </c>
      <c r="AA142" s="123">
        <f t="shared" si="57"/>
        <v>1.25</v>
      </c>
      <c r="AB142" s="123">
        <f t="shared" si="57"/>
        <v>1.25</v>
      </c>
      <c r="AC142" s="123">
        <f t="shared" si="57"/>
        <v>1.25</v>
      </c>
      <c r="AD142" s="123">
        <f t="shared" si="57"/>
        <v>1.25</v>
      </c>
      <c r="AE142" s="123">
        <f t="shared" si="57"/>
        <v>1.25</v>
      </c>
      <c r="AF142" s="123">
        <f t="shared" si="57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5"/>
        <v>1.25</v>
      </c>
      <c r="C143" s="124">
        <v>1.25</v>
      </c>
      <c r="D143" s="123">
        <f t="shared" si="56"/>
        <v>1.25</v>
      </c>
      <c r="E143" s="123">
        <f t="shared" si="56"/>
        <v>1.25</v>
      </c>
      <c r="F143" s="123">
        <f t="shared" si="56"/>
        <v>1.25</v>
      </c>
      <c r="G143" s="123">
        <f t="shared" si="56"/>
        <v>1.25</v>
      </c>
      <c r="H143" s="123">
        <f t="shared" si="56"/>
        <v>1.25</v>
      </c>
      <c r="I143" s="123">
        <f t="shared" si="56"/>
        <v>1.25</v>
      </c>
      <c r="J143" s="123">
        <f t="shared" si="56"/>
        <v>1.25</v>
      </c>
      <c r="K143" s="123">
        <f t="shared" si="56"/>
        <v>1.25</v>
      </c>
      <c r="L143" s="123">
        <f t="shared" si="56"/>
        <v>1.25</v>
      </c>
      <c r="M143" s="123">
        <f t="shared" si="56"/>
        <v>1.25</v>
      </c>
      <c r="N143" s="123">
        <f t="shared" si="56"/>
        <v>1.25</v>
      </c>
      <c r="O143" s="123">
        <f t="shared" si="56"/>
        <v>1.25</v>
      </c>
      <c r="P143" s="123">
        <f t="shared" si="56"/>
        <v>1.25</v>
      </c>
      <c r="Q143" s="123">
        <f t="shared" si="56"/>
        <v>1.25</v>
      </c>
      <c r="R143" s="123">
        <f t="shared" si="56"/>
        <v>1.25</v>
      </c>
      <c r="S143" s="123">
        <f t="shared" si="56"/>
        <v>1.25</v>
      </c>
      <c r="T143" s="123">
        <f t="shared" si="57"/>
        <v>1.25</v>
      </c>
      <c r="U143" s="123">
        <f t="shared" si="57"/>
        <v>1.25</v>
      </c>
      <c r="V143" s="123">
        <f t="shared" si="57"/>
        <v>1.25</v>
      </c>
      <c r="W143" s="123">
        <f t="shared" si="57"/>
        <v>1.25</v>
      </c>
      <c r="X143" s="123">
        <f t="shared" si="57"/>
        <v>1.25</v>
      </c>
      <c r="Y143" s="123">
        <f t="shared" si="57"/>
        <v>1.25</v>
      </c>
      <c r="Z143" s="123">
        <f t="shared" si="57"/>
        <v>1.25</v>
      </c>
      <c r="AA143" s="123">
        <f t="shared" si="57"/>
        <v>1.25</v>
      </c>
      <c r="AB143" s="123">
        <f t="shared" si="57"/>
        <v>1.25</v>
      </c>
      <c r="AC143" s="123">
        <f t="shared" si="57"/>
        <v>1.25</v>
      </c>
      <c r="AD143" s="123">
        <f t="shared" si="57"/>
        <v>1.25</v>
      </c>
      <c r="AE143" s="123">
        <f t="shared" si="57"/>
        <v>1.25</v>
      </c>
      <c r="AF143" s="123">
        <f t="shared" si="57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5"/>
        <v>1.46</v>
      </c>
      <c r="C144" s="124">
        <v>1.46</v>
      </c>
      <c r="D144" s="123">
        <f t="shared" si="56"/>
        <v>1.46</v>
      </c>
      <c r="E144" s="123">
        <f t="shared" si="56"/>
        <v>1.46</v>
      </c>
      <c r="F144" s="123">
        <f t="shared" si="56"/>
        <v>1.46</v>
      </c>
      <c r="G144" s="123">
        <f t="shared" si="56"/>
        <v>1.46</v>
      </c>
      <c r="H144" s="123">
        <f t="shared" si="56"/>
        <v>1.46</v>
      </c>
      <c r="I144" s="123">
        <f t="shared" si="56"/>
        <v>1.46</v>
      </c>
      <c r="J144" s="123">
        <f t="shared" si="56"/>
        <v>1.46</v>
      </c>
      <c r="K144" s="123">
        <f t="shared" si="56"/>
        <v>1.46</v>
      </c>
      <c r="L144" s="123">
        <f t="shared" si="56"/>
        <v>1.46</v>
      </c>
      <c r="M144" s="123">
        <f t="shared" si="56"/>
        <v>1.46</v>
      </c>
      <c r="N144" s="123">
        <f t="shared" si="56"/>
        <v>1.46</v>
      </c>
      <c r="O144" s="123">
        <f t="shared" si="56"/>
        <v>1.46</v>
      </c>
      <c r="P144" s="123">
        <f t="shared" si="56"/>
        <v>1.46</v>
      </c>
      <c r="Q144" s="123">
        <f t="shared" si="56"/>
        <v>1.46</v>
      </c>
      <c r="R144" s="123">
        <f t="shared" si="56"/>
        <v>1.46</v>
      </c>
      <c r="S144" s="123">
        <f t="shared" si="56"/>
        <v>1.46</v>
      </c>
      <c r="T144" s="123">
        <f t="shared" si="57"/>
        <v>1.46</v>
      </c>
      <c r="U144" s="123">
        <f t="shared" si="57"/>
        <v>1.46</v>
      </c>
      <c r="V144" s="123">
        <f t="shared" si="57"/>
        <v>1.46</v>
      </c>
      <c r="W144" s="123">
        <f t="shared" si="57"/>
        <v>1.46</v>
      </c>
      <c r="X144" s="123">
        <f t="shared" si="57"/>
        <v>1.46</v>
      </c>
      <c r="Y144" s="123">
        <f t="shared" si="57"/>
        <v>1.46</v>
      </c>
      <c r="Z144" s="123">
        <f t="shared" si="57"/>
        <v>1.46</v>
      </c>
      <c r="AA144" s="123">
        <f t="shared" si="57"/>
        <v>1.46</v>
      </c>
      <c r="AB144" s="123">
        <f t="shared" si="57"/>
        <v>1.46</v>
      </c>
      <c r="AC144" s="123">
        <f t="shared" si="57"/>
        <v>1.46</v>
      </c>
      <c r="AD144" s="123">
        <f t="shared" si="57"/>
        <v>1.46</v>
      </c>
      <c r="AE144" s="123">
        <f t="shared" si="57"/>
        <v>1.46</v>
      </c>
      <c r="AF144" s="123">
        <f t="shared" si="57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5"/>
        <v>3</v>
      </c>
      <c r="C145" s="124">
        <v>3</v>
      </c>
      <c r="D145" s="123">
        <f t="shared" si="56"/>
        <v>3</v>
      </c>
      <c r="E145" s="123">
        <f t="shared" si="56"/>
        <v>3</v>
      </c>
      <c r="F145" s="123">
        <f t="shared" si="56"/>
        <v>3</v>
      </c>
      <c r="G145" s="123">
        <f t="shared" si="56"/>
        <v>3</v>
      </c>
      <c r="H145" s="123">
        <f t="shared" si="56"/>
        <v>3</v>
      </c>
      <c r="I145" s="123">
        <f t="shared" si="56"/>
        <v>3</v>
      </c>
      <c r="J145" s="123">
        <f t="shared" si="56"/>
        <v>3</v>
      </c>
      <c r="K145" s="123">
        <f t="shared" si="56"/>
        <v>3</v>
      </c>
      <c r="L145" s="123">
        <f t="shared" si="56"/>
        <v>3</v>
      </c>
      <c r="M145" s="123">
        <f t="shared" si="56"/>
        <v>3</v>
      </c>
      <c r="N145" s="123">
        <f t="shared" si="56"/>
        <v>3</v>
      </c>
      <c r="O145" s="123">
        <f t="shared" si="56"/>
        <v>3</v>
      </c>
      <c r="P145" s="123">
        <f t="shared" si="56"/>
        <v>3</v>
      </c>
      <c r="Q145" s="123">
        <f t="shared" si="56"/>
        <v>3</v>
      </c>
      <c r="R145" s="123">
        <f t="shared" si="56"/>
        <v>3</v>
      </c>
      <c r="S145" s="123">
        <f t="shared" si="56"/>
        <v>3</v>
      </c>
      <c r="T145" s="123">
        <f t="shared" si="57"/>
        <v>3</v>
      </c>
      <c r="U145" s="123">
        <f t="shared" si="57"/>
        <v>3</v>
      </c>
      <c r="V145" s="123">
        <f t="shared" si="57"/>
        <v>3</v>
      </c>
      <c r="W145" s="123">
        <f t="shared" si="57"/>
        <v>3</v>
      </c>
      <c r="X145" s="123">
        <f t="shared" si="57"/>
        <v>3</v>
      </c>
      <c r="Y145" s="123">
        <f t="shared" si="57"/>
        <v>3</v>
      </c>
      <c r="Z145" s="123">
        <f t="shared" si="57"/>
        <v>3</v>
      </c>
      <c r="AA145" s="123">
        <f t="shared" si="57"/>
        <v>3</v>
      </c>
      <c r="AB145" s="123">
        <f t="shared" si="57"/>
        <v>3</v>
      </c>
      <c r="AC145" s="123">
        <f t="shared" si="57"/>
        <v>3</v>
      </c>
      <c r="AD145" s="123">
        <f t="shared" si="57"/>
        <v>3</v>
      </c>
      <c r="AE145" s="123">
        <f t="shared" si="57"/>
        <v>3</v>
      </c>
      <c r="AF145" s="123">
        <f t="shared" si="57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5"/>
        <v>3.3</v>
      </c>
      <c r="C146" s="124">
        <v>3.3</v>
      </c>
      <c r="D146" s="123">
        <f t="shared" si="56"/>
        <v>3.3</v>
      </c>
      <c r="E146" s="123">
        <f t="shared" si="56"/>
        <v>3.3</v>
      </c>
      <c r="F146" s="123">
        <f t="shared" si="56"/>
        <v>3.3</v>
      </c>
      <c r="G146" s="123">
        <f t="shared" si="56"/>
        <v>3.3</v>
      </c>
      <c r="H146" s="123">
        <f t="shared" si="56"/>
        <v>3.3</v>
      </c>
      <c r="I146" s="123">
        <f t="shared" si="56"/>
        <v>3.3</v>
      </c>
      <c r="J146" s="123">
        <f t="shared" si="56"/>
        <v>3.3</v>
      </c>
      <c r="K146" s="123">
        <f t="shared" si="56"/>
        <v>3.3</v>
      </c>
      <c r="L146" s="123">
        <f t="shared" si="56"/>
        <v>3.3</v>
      </c>
      <c r="M146" s="123">
        <f t="shared" si="56"/>
        <v>3.3</v>
      </c>
      <c r="N146" s="123">
        <f t="shared" si="56"/>
        <v>3.3</v>
      </c>
      <c r="O146" s="123">
        <f t="shared" si="56"/>
        <v>3.3</v>
      </c>
      <c r="P146" s="123">
        <f t="shared" si="56"/>
        <v>3.3</v>
      </c>
      <c r="Q146" s="123">
        <f t="shared" si="56"/>
        <v>3.3</v>
      </c>
      <c r="R146" s="123">
        <f t="shared" si="56"/>
        <v>3.3</v>
      </c>
      <c r="S146" s="123">
        <f t="shared" si="56"/>
        <v>3.3</v>
      </c>
      <c r="T146" s="123">
        <f t="shared" si="57"/>
        <v>3.3</v>
      </c>
      <c r="U146" s="123">
        <f t="shared" si="57"/>
        <v>3.3</v>
      </c>
      <c r="V146" s="123">
        <f t="shared" si="57"/>
        <v>3.3</v>
      </c>
      <c r="W146" s="123">
        <f t="shared" si="57"/>
        <v>3.3</v>
      </c>
      <c r="X146" s="123">
        <f t="shared" si="57"/>
        <v>3.3</v>
      </c>
      <c r="Y146" s="123">
        <f t="shared" si="57"/>
        <v>3.3</v>
      </c>
      <c r="Z146" s="123">
        <f t="shared" si="57"/>
        <v>3.3</v>
      </c>
      <c r="AA146" s="123">
        <f t="shared" si="57"/>
        <v>3.3</v>
      </c>
      <c r="AB146" s="123">
        <f t="shared" si="57"/>
        <v>3.3</v>
      </c>
      <c r="AC146" s="123">
        <f t="shared" si="57"/>
        <v>3.3</v>
      </c>
      <c r="AD146" s="123">
        <f t="shared" si="57"/>
        <v>3.3</v>
      </c>
      <c r="AE146" s="123">
        <f t="shared" si="57"/>
        <v>3.3</v>
      </c>
      <c r="AF146" s="123">
        <f t="shared" si="57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8">C148</f>
        <v>1.76</v>
      </c>
      <c r="E148" s="123">
        <f t="shared" si="58"/>
        <v>1.76</v>
      </c>
      <c r="F148" s="123">
        <f t="shared" si="58"/>
        <v>1.76</v>
      </c>
      <c r="G148" s="123">
        <f t="shared" si="58"/>
        <v>1.76</v>
      </c>
      <c r="H148" s="123">
        <f t="shared" si="58"/>
        <v>1.76</v>
      </c>
      <c r="I148" s="123">
        <f t="shared" si="58"/>
        <v>1.76</v>
      </c>
      <c r="J148" s="123">
        <f t="shared" si="58"/>
        <v>1.76</v>
      </c>
      <c r="K148" s="123">
        <f t="shared" si="58"/>
        <v>1.76</v>
      </c>
      <c r="L148" s="123">
        <f t="shared" si="58"/>
        <v>1.76</v>
      </c>
      <c r="M148" s="123">
        <f t="shared" si="58"/>
        <v>1.76</v>
      </c>
      <c r="N148" s="123">
        <f t="shared" si="58"/>
        <v>1.76</v>
      </c>
      <c r="O148" s="123">
        <f t="shared" si="58"/>
        <v>1.76</v>
      </c>
      <c r="P148" s="123">
        <f t="shared" si="58"/>
        <v>1.76</v>
      </c>
      <c r="Q148" s="123">
        <f t="shared" si="58"/>
        <v>1.76</v>
      </c>
      <c r="R148" s="123">
        <f t="shared" si="58"/>
        <v>1.76</v>
      </c>
      <c r="S148" s="123">
        <f t="shared" si="58"/>
        <v>1.76</v>
      </c>
      <c r="T148" s="123">
        <f t="shared" ref="T148:AF149" si="59">S148</f>
        <v>1.76</v>
      </c>
      <c r="U148" s="123">
        <f t="shared" si="59"/>
        <v>1.76</v>
      </c>
      <c r="V148" s="123">
        <f t="shared" si="59"/>
        <v>1.76</v>
      </c>
      <c r="W148" s="123">
        <f t="shared" si="59"/>
        <v>1.76</v>
      </c>
      <c r="X148" s="123">
        <f t="shared" si="59"/>
        <v>1.76</v>
      </c>
      <c r="Y148" s="123">
        <f t="shared" si="59"/>
        <v>1.76</v>
      </c>
      <c r="Z148" s="123">
        <f t="shared" si="59"/>
        <v>1.76</v>
      </c>
      <c r="AA148" s="123">
        <f t="shared" si="59"/>
        <v>1.76</v>
      </c>
      <c r="AB148" s="123">
        <f t="shared" si="59"/>
        <v>1.76</v>
      </c>
      <c r="AC148" s="123">
        <f t="shared" si="59"/>
        <v>1.76</v>
      </c>
      <c r="AD148" s="123">
        <f t="shared" si="59"/>
        <v>1.76</v>
      </c>
      <c r="AE148" s="123">
        <f t="shared" si="59"/>
        <v>1.76</v>
      </c>
      <c r="AF148" s="123">
        <f t="shared" si="59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8"/>
        <v>0</v>
      </c>
      <c r="E149" s="123">
        <f t="shared" si="58"/>
        <v>0</v>
      </c>
      <c r="F149" s="123">
        <f t="shared" si="58"/>
        <v>0</v>
      </c>
      <c r="G149" s="123">
        <f t="shared" si="58"/>
        <v>0</v>
      </c>
      <c r="H149" s="123">
        <f t="shared" si="58"/>
        <v>0</v>
      </c>
      <c r="I149" s="123">
        <f t="shared" si="58"/>
        <v>0</v>
      </c>
      <c r="J149" s="123">
        <f t="shared" si="58"/>
        <v>0</v>
      </c>
      <c r="K149" s="123">
        <f t="shared" si="58"/>
        <v>0</v>
      </c>
      <c r="L149" s="123">
        <f t="shared" si="58"/>
        <v>0</v>
      </c>
      <c r="M149" s="123">
        <f t="shared" si="58"/>
        <v>0</v>
      </c>
      <c r="N149" s="123">
        <f t="shared" si="58"/>
        <v>0</v>
      </c>
      <c r="O149" s="123">
        <f t="shared" si="58"/>
        <v>0</v>
      </c>
      <c r="P149" s="123">
        <f t="shared" si="58"/>
        <v>0</v>
      </c>
      <c r="Q149" s="123">
        <f t="shared" si="58"/>
        <v>0</v>
      </c>
      <c r="R149" s="123">
        <f t="shared" si="58"/>
        <v>0</v>
      </c>
      <c r="S149" s="123">
        <f t="shared" si="58"/>
        <v>0</v>
      </c>
      <c r="T149" s="123">
        <f t="shared" si="59"/>
        <v>0</v>
      </c>
      <c r="U149" s="123">
        <f t="shared" si="59"/>
        <v>0</v>
      </c>
      <c r="V149" s="123">
        <f t="shared" si="59"/>
        <v>0</v>
      </c>
      <c r="W149" s="123">
        <f t="shared" si="59"/>
        <v>0</v>
      </c>
      <c r="X149" s="123">
        <f t="shared" si="59"/>
        <v>0</v>
      </c>
      <c r="Y149" s="123">
        <f t="shared" si="59"/>
        <v>0</v>
      </c>
      <c r="Z149" s="123">
        <f t="shared" si="59"/>
        <v>0</v>
      </c>
      <c r="AA149" s="123">
        <f t="shared" si="59"/>
        <v>0</v>
      </c>
      <c r="AB149" s="123">
        <f t="shared" si="59"/>
        <v>0</v>
      </c>
      <c r="AC149" s="123">
        <f t="shared" si="59"/>
        <v>0</v>
      </c>
      <c r="AD149" s="123">
        <f t="shared" si="59"/>
        <v>0</v>
      </c>
      <c r="AE149" s="123">
        <f t="shared" si="59"/>
        <v>0</v>
      </c>
      <c r="AF149" s="123">
        <f t="shared" si="59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60">C151</f>
        <v>0.1</v>
      </c>
      <c r="E151" s="123">
        <f t="shared" si="60"/>
        <v>0.1</v>
      </c>
      <c r="F151" s="123">
        <f t="shared" si="60"/>
        <v>0.1</v>
      </c>
      <c r="G151" s="123">
        <f t="shared" si="60"/>
        <v>0.1</v>
      </c>
      <c r="H151" s="123">
        <f t="shared" si="60"/>
        <v>0.1</v>
      </c>
      <c r="I151" s="123">
        <f t="shared" si="60"/>
        <v>0.1</v>
      </c>
      <c r="J151" s="123">
        <f t="shared" si="60"/>
        <v>0.1</v>
      </c>
      <c r="K151" s="123">
        <f t="shared" si="60"/>
        <v>0.1</v>
      </c>
      <c r="L151" s="123">
        <f t="shared" si="60"/>
        <v>0.1</v>
      </c>
      <c r="M151" s="123">
        <f t="shared" si="60"/>
        <v>0.1</v>
      </c>
      <c r="N151" s="123">
        <f t="shared" si="60"/>
        <v>0.1</v>
      </c>
      <c r="O151" s="123">
        <f t="shared" si="60"/>
        <v>0.1</v>
      </c>
      <c r="P151" s="123">
        <f t="shared" si="60"/>
        <v>0.1</v>
      </c>
      <c r="Q151" s="123">
        <f t="shared" si="60"/>
        <v>0.1</v>
      </c>
      <c r="R151" s="123">
        <f t="shared" si="60"/>
        <v>0.1</v>
      </c>
      <c r="S151" s="123">
        <f t="shared" si="60"/>
        <v>0.1</v>
      </c>
      <c r="T151" s="123">
        <f t="shared" ref="T151:AF154" si="61">S151</f>
        <v>0.1</v>
      </c>
      <c r="U151" s="123">
        <f t="shared" si="61"/>
        <v>0.1</v>
      </c>
      <c r="V151" s="123">
        <f t="shared" si="61"/>
        <v>0.1</v>
      </c>
      <c r="W151" s="123">
        <f t="shared" si="61"/>
        <v>0.1</v>
      </c>
      <c r="X151" s="123">
        <f t="shared" si="61"/>
        <v>0.1</v>
      </c>
      <c r="Y151" s="123">
        <f t="shared" si="61"/>
        <v>0.1</v>
      </c>
      <c r="Z151" s="123">
        <f t="shared" si="61"/>
        <v>0.1</v>
      </c>
      <c r="AA151" s="123">
        <f t="shared" si="61"/>
        <v>0.1</v>
      </c>
      <c r="AB151" s="123">
        <f t="shared" si="61"/>
        <v>0.1</v>
      </c>
      <c r="AC151" s="123">
        <f t="shared" si="61"/>
        <v>0.1</v>
      </c>
      <c r="AD151" s="123">
        <f t="shared" si="61"/>
        <v>0.1</v>
      </c>
      <c r="AE151" s="123">
        <f t="shared" si="61"/>
        <v>0.1</v>
      </c>
      <c r="AF151" s="123">
        <f t="shared" si="61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60"/>
        <v>2.0499999999999998</v>
      </c>
      <c r="E152" s="123">
        <f t="shared" si="60"/>
        <v>2.0499999999999998</v>
      </c>
      <c r="F152" s="123">
        <f t="shared" si="60"/>
        <v>2.0499999999999998</v>
      </c>
      <c r="G152" s="123">
        <f t="shared" si="60"/>
        <v>2.0499999999999998</v>
      </c>
      <c r="H152" s="123">
        <f t="shared" si="60"/>
        <v>2.0499999999999998</v>
      </c>
      <c r="I152" s="123">
        <f t="shared" si="60"/>
        <v>2.0499999999999998</v>
      </c>
      <c r="J152" s="123">
        <f t="shared" si="60"/>
        <v>2.0499999999999998</v>
      </c>
      <c r="K152" s="123">
        <f t="shared" si="60"/>
        <v>2.0499999999999998</v>
      </c>
      <c r="L152" s="123">
        <f t="shared" si="60"/>
        <v>2.0499999999999998</v>
      </c>
      <c r="M152" s="123">
        <f t="shared" si="60"/>
        <v>2.0499999999999998</v>
      </c>
      <c r="N152" s="123">
        <f t="shared" si="60"/>
        <v>2.0499999999999998</v>
      </c>
      <c r="O152" s="123">
        <f t="shared" si="60"/>
        <v>2.0499999999999998</v>
      </c>
      <c r="P152" s="123">
        <f t="shared" si="60"/>
        <v>2.0499999999999998</v>
      </c>
      <c r="Q152" s="123">
        <f t="shared" si="60"/>
        <v>2.0499999999999998</v>
      </c>
      <c r="R152" s="123">
        <f t="shared" si="60"/>
        <v>2.0499999999999998</v>
      </c>
      <c r="S152" s="123">
        <f t="shared" si="60"/>
        <v>2.0499999999999998</v>
      </c>
      <c r="T152" s="123">
        <f t="shared" si="61"/>
        <v>2.0499999999999998</v>
      </c>
      <c r="U152" s="123">
        <f t="shared" si="61"/>
        <v>2.0499999999999998</v>
      </c>
      <c r="V152" s="123">
        <f t="shared" si="61"/>
        <v>2.0499999999999998</v>
      </c>
      <c r="W152" s="123">
        <f t="shared" si="61"/>
        <v>2.0499999999999998</v>
      </c>
      <c r="X152" s="123">
        <f t="shared" si="61"/>
        <v>2.0499999999999998</v>
      </c>
      <c r="Y152" s="123">
        <f t="shared" si="61"/>
        <v>2.0499999999999998</v>
      </c>
      <c r="Z152" s="123">
        <f t="shared" si="61"/>
        <v>2.0499999999999998</v>
      </c>
      <c r="AA152" s="123">
        <f t="shared" si="61"/>
        <v>2.0499999999999998</v>
      </c>
      <c r="AB152" s="123">
        <f t="shared" si="61"/>
        <v>2.0499999999999998</v>
      </c>
      <c r="AC152" s="123">
        <f t="shared" si="61"/>
        <v>2.0499999999999998</v>
      </c>
      <c r="AD152" s="123">
        <f t="shared" si="61"/>
        <v>2.0499999999999998</v>
      </c>
      <c r="AE152" s="123">
        <f t="shared" si="61"/>
        <v>2.0499999999999998</v>
      </c>
      <c r="AF152" s="123">
        <f t="shared" si="61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60"/>
        <v>2.7</v>
      </c>
      <c r="E153" s="123">
        <f t="shared" si="60"/>
        <v>2.7</v>
      </c>
      <c r="F153" s="123">
        <f t="shared" si="60"/>
        <v>2.7</v>
      </c>
      <c r="G153" s="123">
        <f t="shared" si="60"/>
        <v>2.7</v>
      </c>
      <c r="H153" s="123">
        <f t="shared" si="60"/>
        <v>2.7</v>
      </c>
      <c r="I153" s="123">
        <f t="shared" si="60"/>
        <v>2.7</v>
      </c>
      <c r="J153" s="123">
        <f t="shared" si="60"/>
        <v>2.7</v>
      </c>
      <c r="K153" s="123">
        <f t="shared" si="60"/>
        <v>2.7</v>
      </c>
      <c r="L153" s="123">
        <f t="shared" si="60"/>
        <v>2.7</v>
      </c>
      <c r="M153" s="123">
        <f t="shared" si="60"/>
        <v>2.7</v>
      </c>
      <c r="N153" s="123">
        <f t="shared" si="60"/>
        <v>2.7</v>
      </c>
      <c r="O153" s="123">
        <f t="shared" si="60"/>
        <v>2.7</v>
      </c>
      <c r="P153" s="123">
        <f t="shared" si="60"/>
        <v>2.7</v>
      </c>
      <c r="Q153" s="123">
        <f t="shared" si="60"/>
        <v>2.7</v>
      </c>
      <c r="R153" s="123">
        <f t="shared" si="60"/>
        <v>2.7</v>
      </c>
      <c r="S153" s="123">
        <f t="shared" si="60"/>
        <v>2.7</v>
      </c>
      <c r="T153" s="123">
        <f t="shared" si="61"/>
        <v>2.7</v>
      </c>
      <c r="U153" s="123">
        <f t="shared" si="61"/>
        <v>2.7</v>
      </c>
      <c r="V153" s="123">
        <f t="shared" si="61"/>
        <v>2.7</v>
      </c>
      <c r="W153" s="123">
        <f t="shared" si="61"/>
        <v>2.7</v>
      </c>
      <c r="X153" s="123">
        <f t="shared" si="61"/>
        <v>2.7</v>
      </c>
      <c r="Y153" s="123">
        <f t="shared" si="61"/>
        <v>2.7</v>
      </c>
      <c r="Z153" s="123">
        <f t="shared" si="61"/>
        <v>2.7</v>
      </c>
      <c r="AA153" s="123">
        <f t="shared" si="61"/>
        <v>2.7</v>
      </c>
      <c r="AB153" s="123">
        <f t="shared" si="61"/>
        <v>2.7</v>
      </c>
      <c r="AC153" s="123">
        <f t="shared" si="61"/>
        <v>2.7</v>
      </c>
      <c r="AD153" s="123">
        <f t="shared" si="61"/>
        <v>2.7</v>
      </c>
      <c r="AE153" s="123">
        <f t="shared" si="61"/>
        <v>2.7</v>
      </c>
      <c r="AF153" s="123">
        <f t="shared" si="61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60"/>
        <v>2.15</v>
      </c>
      <c r="E154" s="123">
        <f t="shared" si="60"/>
        <v>2.15</v>
      </c>
      <c r="F154" s="123">
        <f t="shared" si="60"/>
        <v>2.15</v>
      </c>
      <c r="G154" s="123">
        <f t="shared" si="60"/>
        <v>2.15</v>
      </c>
      <c r="H154" s="123">
        <f t="shared" si="60"/>
        <v>2.15</v>
      </c>
      <c r="I154" s="123">
        <f t="shared" si="60"/>
        <v>2.15</v>
      </c>
      <c r="J154" s="123">
        <f t="shared" si="60"/>
        <v>2.15</v>
      </c>
      <c r="K154" s="123">
        <f t="shared" si="60"/>
        <v>2.15</v>
      </c>
      <c r="L154" s="123">
        <f t="shared" si="60"/>
        <v>2.15</v>
      </c>
      <c r="M154" s="123">
        <f t="shared" si="60"/>
        <v>2.15</v>
      </c>
      <c r="N154" s="123">
        <f t="shared" si="60"/>
        <v>2.15</v>
      </c>
      <c r="O154" s="123">
        <f t="shared" si="60"/>
        <v>2.15</v>
      </c>
      <c r="P154" s="123">
        <f t="shared" si="60"/>
        <v>2.15</v>
      </c>
      <c r="Q154" s="123">
        <f t="shared" si="60"/>
        <v>2.15</v>
      </c>
      <c r="R154" s="123">
        <f t="shared" si="60"/>
        <v>2.15</v>
      </c>
      <c r="S154" s="123">
        <f t="shared" si="60"/>
        <v>2.15</v>
      </c>
      <c r="T154" s="123">
        <f t="shared" si="61"/>
        <v>2.15</v>
      </c>
      <c r="U154" s="123">
        <f t="shared" si="61"/>
        <v>2.15</v>
      </c>
      <c r="V154" s="123">
        <f t="shared" si="61"/>
        <v>2.15</v>
      </c>
      <c r="W154" s="123">
        <f t="shared" si="61"/>
        <v>2.15</v>
      </c>
      <c r="X154" s="123">
        <f t="shared" si="61"/>
        <v>2.15</v>
      </c>
      <c r="Y154" s="123">
        <f t="shared" si="61"/>
        <v>2.15</v>
      </c>
      <c r="Z154" s="123">
        <f t="shared" si="61"/>
        <v>2.15</v>
      </c>
      <c r="AA154" s="123">
        <f t="shared" si="61"/>
        <v>2.15</v>
      </c>
      <c r="AB154" s="123">
        <f t="shared" si="61"/>
        <v>2.15</v>
      </c>
      <c r="AC154" s="123">
        <f t="shared" si="61"/>
        <v>2.15</v>
      </c>
      <c r="AD154" s="123">
        <f t="shared" si="61"/>
        <v>2.15</v>
      </c>
      <c r="AE154" s="123">
        <f t="shared" si="61"/>
        <v>2.15</v>
      </c>
      <c r="AF154" s="123">
        <f t="shared" si="61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62">AF156</f>
        <v>0.9</v>
      </c>
      <c r="C156" s="124">
        <v>0.9</v>
      </c>
      <c r="D156" s="123">
        <f t="shared" ref="D156:S168" si="63">C156</f>
        <v>0.9</v>
      </c>
      <c r="E156" s="123">
        <f t="shared" si="63"/>
        <v>0.9</v>
      </c>
      <c r="F156" s="123">
        <f t="shared" si="63"/>
        <v>0.9</v>
      </c>
      <c r="G156" s="123">
        <f t="shared" si="63"/>
        <v>0.9</v>
      </c>
      <c r="H156" s="123">
        <f t="shared" si="63"/>
        <v>0.9</v>
      </c>
      <c r="I156" s="123">
        <f t="shared" si="63"/>
        <v>0.9</v>
      </c>
      <c r="J156" s="123">
        <f t="shared" si="63"/>
        <v>0.9</v>
      </c>
      <c r="K156" s="123">
        <f t="shared" si="63"/>
        <v>0.9</v>
      </c>
      <c r="L156" s="123">
        <f t="shared" si="63"/>
        <v>0.9</v>
      </c>
      <c r="M156" s="123">
        <f t="shared" si="63"/>
        <v>0.9</v>
      </c>
      <c r="N156" s="123">
        <f t="shared" si="63"/>
        <v>0.9</v>
      </c>
      <c r="O156" s="123">
        <f t="shared" si="63"/>
        <v>0.9</v>
      </c>
      <c r="P156" s="123">
        <f t="shared" si="63"/>
        <v>0.9</v>
      </c>
      <c r="Q156" s="123">
        <f t="shared" si="63"/>
        <v>0.9</v>
      </c>
      <c r="R156" s="123">
        <f t="shared" si="63"/>
        <v>0.9</v>
      </c>
      <c r="S156" s="123">
        <f t="shared" si="63"/>
        <v>0.9</v>
      </c>
      <c r="T156" s="123">
        <f t="shared" ref="S156:AF168" si="64">S156</f>
        <v>0.9</v>
      </c>
      <c r="U156" s="123">
        <f t="shared" si="64"/>
        <v>0.9</v>
      </c>
      <c r="V156" s="123">
        <f t="shared" si="64"/>
        <v>0.9</v>
      </c>
      <c r="W156" s="123">
        <f t="shared" si="64"/>
        <v>0.9</v>
      </c>
      <c r="X156" s="123">
        <f t="shared" si="64"/>
        <v>0.9</v>
      </c>
      <c r="Y156" s="123">
        <f t="shared" si="64"/>
        <v>0.9</v>
      </c>
      <c r="Z156" s="123">
        <f t="shared" si="64"/>
        <v>0.9</v>
      </c>
      <c r="AA156" s="123">
        <f t="shared" si="64"/>
        <v>0.9</v>
      </c>
      <c r="AB156" s="123">
        <f t="shared" si="64"/>
        <v>0.9</v>
      </c>
      <c r="AC156" s="123">
        <f t="shared" si="64"/>
        <v>0.9</v>
      </c>
      <c r="AD156" s="123">
        <f t="shared" si="64"/>
        <v>0.9</v>
      </c>
      <c r="AE156" s="123">
        <f t="shared" si="64"/>
        <v>0.9</v>
      </c>
      <c r="AF156" s="123">
        <f t="shared" si="64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62"/>
        <v>1.08</v>
      </c>
      <c r="C157" s="124">
        <v>1.08</v>
      </c>
      <c r="D157" s="123">
        <f t="shared" si="63"/>
        <v>1.08</v>
      </c>
      <c r="E157" s="123">
        <f t="shared" si="63"/>
        <v>1.08</v>
      </c>
      <c r="F157" s="123">
        <f t="shared" si="63"/>
        <v>1.08</v>
      </c>
      <c r="G157" s="123">
        <f t="shared" si="63"/>
        <v>1.08</v>
      </c>
      <c r="H157" s="123">
        <f t="shared" si="63"/>
        <v>1.08</v>
      </c>
      <c r="I157" s="123">
        <f t="shared" si="63"/>
        <v>1.08</v>
      </c>
      <c r="J157" s="123">
        <f t="shared" si="63"/>
        <v>1.08</v>
      </c>
      <c r="K157" s="123">
        <f t="shared" si="63"/>
        <v>1.08</v>
      </c>
      <c r="L157" s="123">
        <f t="shared" si="63"/>
        <v>1.08</v>
      </c>
      <c r="M157" s="123">
        <f t="shared" si="63"/>
        <v>1.08</v>
      </c>
      <c r="N157" s="123">
        <f t="shared" si="63"/>
        <v>1.08</v>
      </c>
      <c r="O157" s="123">
        <f t="shared" si="63"/>
        <v>1.08</v>
      </c>
      <c r="P157" s="123">
        <f t="shared" si="63"/>
        <v>1.08</v>
      </c>
      <c r="Q157" s="123">
        <f t="shared" si="63"/>
        <v>1.08</v>
      </c>
      <c r="R157" s="123">
        <f t="shared" si="63"/>
        <v>1.08</v>
      </c>
      <c r="S157" s="123">
        <f t="shared" si="63"/>
        <v>1.08</v>
      </c>
      <c r="T157" s="123">
        <f t="shared" si="64"/>
        <v>1.08</v>
      </c>
      <c r="U157" s="123">
        <f t="shared" si="64"/>
        <v>1.08</v>
      </c>
      <c r="V157" s="123">
        <f t="shared" si="64"/>
        <v>1.08</v>
      </c>
      <c r="W157" s="123">
        <f t="shared" si="64"/>
        <v>1.08</v>
      </c>
      <c r="X157" s="123">
        <f t="shared" si="64"/>
        <v>1.08</v>
      </c>
      <c r="Y157" s="123">
        <f t="shared" si="64"/>
        <v>1.08</v>
      </c>
      <c r="Z157" s="123">
        <f t="shared" si="64"/>
        <v>1.08</v>
      </c>
      <c r="AA157" s="123">
        <f t="shared" si="64"/>
        <v>1.08</v>
      </c>
      <c r="AB157" s="123">
        <f t="shared" si="64"/>
        <v>1.08</v>
      </c>
      <c r="AC157" s="123">
        <f t="shared" si="64"/>
        <v>1.08</v>
      </c>
      <c r="AD157" s="123">
        <f t="shared" si="64"/>
        <v>1.08</v>
      </c>
      <c r="AE157" s="123">
        <f t="shared" si="64"/>
        <v>1.08</v>
      </c>
      <c r="AF157" s="123">
        <f t="shared" si="64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62"/>
        <v>2.37</v>
      </c>
      <c r="C158" s="124">
        <v>2.37</v>
      </c>
      <c r="D158" s="123">
        <f t="shared" si="63"/>
        <v>2.37</v>
      </c>
      <c r="E158" s="123">
        <f t="shared" si="63"/>
        <v>2.37</v>
      </c>
      <c r="F158" s="123">
        <f t="shared" si="63"/>
        <v>2.37</v>
      </c>
      <c r="G158" s="123">
        <f t="shared" si="63"/>
        <v>2.37</v>
      </c>
      <c r="H158" s="123">
        <f t="shared" si="63"/>
        <v>2.37</v>
      </c>
      <c r="I158" s="123">
        <f t="shared" si="63"/>
        <v>2.37</v>
      </c>
      <c r="J158" s="123">
        <f t="shared" si="63"/>
        <v>2.37</v>
      </c>
      <c r="K158" s="123">
        <f t="shared" si="63"/>
        <v>2.37</v>
      </c>
      <c r="L158" s="123">
        <f t="shared" si="63"/>
        <v>2.37</v>
      </c>
      <c r="M158" s="123">
        <f t="shared" si="63"/>
        <v>2.37</v>
      </c>
      <c r="N158" s="123">
        <f t="shared" si="63"/>
        <v>2.37</v>
      </c>
      <c r="O158" s="123">
        <f t="shared" si="63"/>
        <v>2.37</v>
      </c>
      <c r="P158" s="123">
        <f t="shared" si="63"/>
        <v>2.37</v>
      </c>
      <c r="Q158" s="123">
        <f t="shared" si="63"/>
        <v>2.37</v>
      </c>
      <c r="R158" s="123">
        <f t="shared" si="63"/>
        <v>2.37</v>
      </c>
      <c r="S158" s="123">
        <f t="shared" si="63"/>
        <v>2.37</v>
      </c>
      <c r="T158" s="123">
        <f t="shared" si="64"/>
        <v>2.37</v>
      </c>
      <c r="U158" s="123">
        <f t="shared" si="64"/>
        <v>2.37</v>
      </c>
      <c r="V158" s="123">
        <f t="shared" si="64"/>
        <v>2.37</v>
      </c>
      <c r="W158" s="123">
        <f t="shared" si="64"/>
        <v>2.37</v>
      </c>
      <c r="X158" s="123">
        <f t="shared" si="64"/>
        <v>2.37</v>
      </c>
      <c r="Y158" s="123">
        <f t="shared" si="64"/>
        <v>2.37</v>
      </c>
      <c r="Z158" s="123">
        <f t="shared" si="64"/>
        <v>2.37</v>
      </c>
      <c r="AA158" s="123">
        <f t="shared" si="64"/>
        <v>2.37</v>
      </c>
      <c r="AB158" s="123">
        <f t="shared" si="64"/>
        <v>2.37</v>
      </c>
      <c r="AC158" s="123">
        <f t="shared" si="64"/>
        <v>2.37</v>
      </c>
      <c r="AD158" s="123">
        <f t="shared" si="64"/>
        <v>2.37</v>
      </c>
      <c r="AE158" s="123">
        <f t="shared" si="64"/>
        <v>2.37</v>
      </c>
      <c r="AF158" s="123">
        <f t="shared" si="64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62"/>
        <v>1.81</v>
      </c>
      <c r="C159" s="124">
        <v>1.81</v>
      </c>
      <c r="D159" s="123">
        <f t="shared" si="63"/>
        <v>1.81</v>
      </c>
      <c r="E159" s="123">
        <f t="shared" si="63"/>
        <v>1.81</v>
      </c>
      <c r="F159" s="123">
        <f t="shared" si="63"/>
        <v>1.81</v>
      </c>
      <c r="G159" s="123">
        <f t="shared" si="63"/>
        <v>1.81</v>
      </c>
      <c r="H159" s="123">
        <f t="shared" si="63"/>
        <v>1.81</v>
      </c>
      <c r="I159" s="123">
        <f t="shared" si="63"/>
        <v>1.81</v>
      </c>
      <c r="J159" s="123">
        <f t="shared" si="63"/>
        <v>1.81</v>
      </c>
      <c r="K159" s="123">
        <f t="shared" si="63"/>
        <v>1.81</v>
      </c>
      <c r="L159" s="123">
        <f t="shared" si="63"/>
        <v>1.81</v>
      </c>
      <c r="M159" s="123">
        <f t="shared" si="63"/>
        <v>1.81</v>
      </c>
      <c r="N159" s="123">
        <f t="shared" si="63"/>
        <v>1.81</v>
      </c>
      <c r="O159" s="123">
        <f t="shared" si="63"/>
        <v>1.81</v>
      </c>
      <c r="P159" s="123">
        <f t="shared" si="63"/>
        <v>1.81</v>
      </c>
      <c r="Q159" s="123">
        <f t="shared" si="63"/>
        <v>1.81</v>
      </c>
      <c r="R159" s="123">
        <f t="shared" si="63"/>
        <v>1.81</v>
      </c>
      <c r="S159" s="123">
        <f t="shared" si="63"/>
        <v>1.81</v>
      </c>
      <c r="T159" s="123">
        <f t="shared" si="64"/>
        <v>1.81</v>
      </c>
      <c r="U159" s="123">
        <f t="shared" si="64"/>
        <v>1.81</v>
      </c>
      <c r="V159" s="123">
        <f t="shared" si="64"/>
        <v>1.81</v>
      </c>
      <c r="W159" s="123">
        <f t="shared" si="64"/>
        <v>1.81</v>
      </c>
      <c r="X159" s="123">
        <f t="shared" si="64"/>
        <v>1.81</v>
      </c>
      <c r="Y159" s="123">
        <f t="shared" si="64"/>
        <v>1.81</v>
      </c>
      <c r="Z159" s="123">
        <f t="shared" si="64"/>
        <v>1.81</v>
      </c>
      <c r="AA159" s="123">
        <f t="shared" si="64"/>
        <v>1.81</v>
      </c>
      <c r="AB159" s="123">
        <f t="shared" si="64"/>
        <v>1.81</v>
      </c>
      <c r="AC159" s="123">
        <f t="shared" si="64"/>
        <v>1.81</v>
      </c>
      <c r="AD159" s="123">
        <f t="shared" si="64"/>
        <v>1.81</v>
      </c>
      <c r="AE159" s="123">
        <f t="shared" si="64"/>
        <v>1.81</v>
      </c>
      <c r="AF159" s="123">
        <f t="shared" si="64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62"/>
        <v>1.0900000000000001</v>
      </c>
      <c r="C160" s="124">
        <v>1.0900000000000001</v>
      </c>
      <c r="D160" s="123">
        <f t="shared" si="63"/>
        <v>1.0900000000000001</v>
      </c>
      <c r="E160" s="123">
        <f t="shared" si="63"/>
        <v>1.0900000000000001</v>
      </c>
      <c r="F160" s="123">
        <f t="shared" si="63"/>
        <v>1.0900000000000001</v>
      </c>
      <c r="G160" s="123">
        <f t="shared" si="63"/>
        <v>1.0900000000000001</v>
      </c>
      <c r="H160" s="123">
        <f t="shared" si="63"/>
        <v>1.0900000000000001</v>
      </c>
      <c r="I160" s="123">
        <f t="shared" si="63"/>
        <v>1.0900000000000001</v>
      </c>
      <c r="J160" s="123">
        <f t="shared" si="63"/>
        <v>1.0900000000000001</v>
      </c>
      <c r="K160" s="123">
        <f t="shared" si="63"/>
        <v>1.0900000000000001</v>
      </c>
      <c r="L160" s="123">
        <f t="shared" si="63"/>
        <v>1.0900000000000001</v>
      </c>
      <c r="M160" s="123">
        <f t="shared" si="63"/>
        <v>1.0900000000000001</v>
      </c>
      <c r="N160" s="123">
        <f t="shared" si="63"/>
        <v>1.0900000000000001</v>
      </c>
      <c r="O160" s="123">
        <f t="shared" si="63"/>
        <v>1.0900000000000001</v>
      </c>
      <c r="P160" s="123">
        <f t="shared" si="63"/>
        <v>1.0900000000000001</v>
      </c>
      <c r="Q160" s="123">
        <f t="shared" si="63"/>
        <v>1.0900000000000001</v>
      </c>
      <c r="R160" s="123">
        <f t="shared" si="63"/>
        <v>1.0900000000000001</v>
      </c>
      <c r="S160" s="123">
        <f t="shared" si="63"/>
        <v>1.0900000000000001</v>
      </c>
      <c r="T160" s="123">
        <f t="shared" si="64"/>
        <v>1.0900000000000001</v>
      </c>
      <c r="U160" s="123">
        <f t="shared" si="64"/>
        <v>1.0900000000000001</v>
      </c>
      <c r="V160" s="123">
        <f t="shared" si="64"/>
        <v>1.0900000000000001</v>
      </c>
      <c r="W160" s="123">
        <f t="shared" si="64"/>
        <v>1.0900000000000001</v>
      </c>
      <c r="X160" s="123">
        <f t="shared" si="64"/>
        <v>1.0900000000000001</v>
      </c>
      <c r="Y160" s="123">
        <f t="shared" si="64"/>
        <v>1.0900000000000001</v>
      </c>
      <c r="Z160" s="123">
        <f t="shared" si="64"/>
        <v>1.0900000000000001</v>
      </c>
      <c r="AA160" s="123">
        <f t="shared" si="64"/>
        <v>1.0900000000000001</v>
      </c>
      <c r="AB160" s="123">
        <f t="shared" si="64"/>
        <v>1.0900000000000001</v>
      </c>
      <c r="AC160" s="123">
        <f t="shared" si="64"/>
        <v>1.0900000000000001</v>
      </c>
      <c r="AD160" s="123">
        <f t="shared" si="64"/>
        <v>1.0900000000000001</v>
      </c>
      <c r="AE160" s="123">
        <f t="shared" si="64"/>
        <v>1.0900000000000001</v>
      </c>
      <c r="AF160" s="123">
        <f t="shared" si="64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62"/>
        <v>1.58</v>
      </c>
      <c r="C161" s="124">
        <v>1.58</v>
      </c>
      <c r="D161" s="123">
        <f t="shared" si="63"/>
        <v>1.58</v>
      </c>
      <c r="E161" s="123">
        <f t="shared" si="63"/>
        <v>1.58</v>
      </c>
      <c r="F161" s="123">
        <f t="shared" si="63"/>
        <v>1.58</v>
      </c>
      <c r="G161" s="123">
        <f t="shared" si="63"/>
        <v>1.58</v>
      </c>
      <c r="H161" s="123">
        <f t="shared" si="63"/>
        <v>1.58</v>
      </c>
      <c r="I161" s="123">
        <f t="shared" si="63"/>
        <v>1.58</v>
      </c>
      <c r="J161" s="123">
        <f t="shared" si="63"/>
        <v>1.58</v>
      </c>
      <c r="K161" s="123">
        <f t="shared" si="63"/>
        <v>1.58</v>
      </c>
      <c r="L161" s="123">
        <f t="shared" si="63"/>
        <v>1.58</v>
      </c>
      <c r="M161" s="123">
        <f t="shared" si="63"/>
        <v>1.58</v>
      </c>
      <c r="N161" s="123">
        <f t="shared" si="63"/>
        <v>1.58</v>
      </c>
      <c r="O161" s="123">
        <f t="shared" si="63"/>
        <v>1.58</v>
      </c>
      <c r="P161" s="123">
        <f t="shared" si="63"/>
        <v>1.58</v>
      </c>
      <c r="Q161" s="123">
        <f t="shared" si="63"/>
        <v>1.58</v>
      </c>
      <c r="R161" s="123">
        <f t="shared" si="63"/>
        <v>1.58</v>
      </c>
      <c r="S161" s="123">
        <f t="shared" si="63"/>
        <v>1.58</v>
      </c>
      <c r="T161" s="123">
        <f t="shared" si="64"/>
        <v>1.58</v>
      </c>
      <c r="U161" s="123">
        <f t="shared" si="64"/>
        <v>1.58</v>
      </c>
      <c r="V161" s="123">
        <f t="shared" si="64"/>
        <v>1.58</v>
      </c>
      <c r="W161" s="123">
        <f t="shared" si="64"/>
        <v>1.58</v>
      </c>
      <c r="X161" s="123">
        <f t="shared" si="64"/>
        <v>1.58</v>
      </c>
      <c r="Y161" s="123">
        <f t="shared" si="64"/>
        <v>1.58</v>
      </c>
      <c r="Z161" s="123">
        <f t="shared" si="64"/>
        <v>1.58</v>
      </c>
      <c r="AA161" s="123">
        <f t="shared" si="64"/>
        <v>1.58</v>
      </c>
      <c r="AB161" s="123">
        <f t="shared" si="64"/>
        <v>1.58</v>
      </c>
      <c r="AC161" s="123">
        <f t="shared" si="64"/>
        <v>1.58</v>
      </c>
      <c r="AD161" s="123">
        <f t="shared" si="64"/>
        <v>1.58</v>
      </c>
      <c r="AE161" s="123">
        <f t="shared" si="64"/>
        <v>1.58</v>
      </c>
      <c r="AF161" s="123">
        <f t="shared" si="64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62"/>
        <v>2</v>
      </c>
      <c r="C162" s="124">
        <v>2</v>
      </c>
      <c r="D162" s="123">
        <f t="shared" si="63"/>
        <v>2</v>
      </c>
      <c r="E162" s="123">
        <f t="shared" si="63"/>
        <v>2</v>
      </c>
      <c r="F162" s="123">
        <f t="shared" si="63"/>
        <v>2</v>
      </c>
      <c r="G162" s="123">
        <f t="shared" si="63"/>
        <v>2</v>
      </c>
      <c r="H162" s="123">
        <f t="shared" si="63"/>
        <v>2</v>
      </c>
      <c r="I162" s="123">
        <f t="shared" si="63"/>
        <v>2</v>
      </c>
      <c r="J162" s="123">
        <f t="shared" si="63"/>
        <v>2</v>
      </c>
      <c r="K162" s="123">
        <f t="shared" si="63"/>
        <v>2</v>
      </c>
      <c r="L162" s="123">
        <f t="shared" si="63"/>
        <v>2</v>
      </c>
      <c r="M162" s="123">
        <f t="shared" si="63"/>
        <v>2</v>
      </c>
      <c r="N162" s="123">
        <f t="shared" si="63"/>
        <v>2</v>
      </c>
      <c r="O162" s="123">
        <f t="shared" si="63"/>
        <v>2</v>
      </c>
      <c r="P162" s="123">
        <f t="shared" si="63"/>
        <v>2</v>
      </c>
      <c r="Q162" s="123">
        <f t="shared" si="63"/>
        <v>2</v>
      </c>
      <c r="R162" s="123">
        <f t="shared" si="63"/>
        <v>2</v>
      </c>
      <c r="S162" s="123">
        <f t="shared" si="63"/>
        <v>2</v>
      </c>
      <c r="T162" s="123">
        <f t="shared" si="64"/>
        <v>2</v>
      </c>
      <c r="U162" s="123">
        <f t="shared" si="64"/>
        <v>2</v>
      </c>
      <c r="V162" s="123">
        <f t="shared" si="64"/>
        <v>2</v>
      </c>
      <c r="W162" s="123">
        <f t="shared" si="64"/>
        <v>2</v>
      </c>
      <c r="X162" s="123">
        <f t="shared" si="64"/>
        <v>2</v>
      </c>
      <c r="Y162" s="123">
        <f t="shared" si="64"/>
        <v>2</v>
      </c>
      <c r="Z162" s="123">
        <f t="shared" si="64"/>
        <v>2</v>
      </c>
      <c r="AA162" s="123">
        <f t="shared" si="64"/>
        <v>2</v>
      </c>
      <c r="AB162" s="123">
        <f t="shared" si="64"/>
        <v>2</v>
      </c>
      <c r="AC162" s="123">
        <f t="shared" si="64"/>
        <v>2</v>
      </c>
      <c r="AD162" s="123">
        <f t="shared" si="64"/>
        <v>2</v>
      </c>
      <c r="AE162" s="123">
        <f t="shared" si="64"/>
        <v>2</v>
      </c>
      <c r="AF162" s="123">
        <f t="shared" si="64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62"/>
        <v>0.47</v>
      </c>
      <c r="C163" s="124">
        <v>0.47</v>
      </c>
      <c r="D163" s="123">
        <f t="shared" si="63"/>
        <v>0.47</v>
      </c>
      <c r="E163" s="123">
        <f t="shared" si="63"/>
        <v>0.47</v>
      </c>
      <c r="F163" s="123">
        <f t="shared" si="63"/>
        <v>0.47</v>
      </c>
      <c r="G163" s="123">
        <f t="shared" si="63"/>
        <v>0.47</v>
      </c>
      <c r="H163" s="123">
        <f t="shared" si="63"/>
        <v>0.47</v>
      </c>
      <c r="I163" s="123">
        <f t="shared" si="63"/>
        <v>0.47</v>
      </c>
      <c r="J163" s="123">
        <f t="shared" si="63"/>
        <v>0.47</v>
      </c>
      <c r="K163" s="123">
        <f t="shared" si="63"/>
        <v>0.47</v>
      </c>
      <c r="L163" s="123">
        <f t="shared" si="63"/>
        <v>0.47</v>
      </c>
      <c r="M163" s="123">
        <f t="shared" si="63"/>
        <v>0.47</v>
      </c>
      <c r="N163" s="123">
        <f t="shared" si="63"/>
        <v>0.47</v>
      </c>
      <c r="O163" s="123">
        <f t="shared" si="63"/>
        <v>0.47</v>
      </c>
      <c r="P163" s="123">
        <f t="shared" si="63"/>
        <v>0.47</v>
      </c>
      <c r="Q163" s="123">
        <f t="shared" si="63"/>
        <v>0.47</v>
      </c>
      <c r="R163" s="123">
        <f t="shared" si="63"/>
        <v>0.47</v>
      </c>
      <c r="S163" s="123">
        <f t="shared" si="63"/>
        <v>0.47</v>
      </c>
      <c r="T163" s="123">
        <f t="shared" si="64"/>
        <v>0.47</v>
      </c>
      <c r="U163" s="123">
        <f t="shared" si="64"/>
        <v>0.47</v>
      </c>
      <c r="V163" s="123">
        <f t="shared" si="64"/>
        <v>0.47</v>
      </c>
      <c r="W163" s="123">
        <f t="shared" si="64"/>
        <v>0.47</v>
      </c>
      <c r="X163" s="123">
        <f t="shared" si="64"/>
        <v>0.47</v>
      </c>
      <c r="Y163" s="123">
        <f t="shared" si="64"/>
        <v>0.47</v>
      </c>
      <c r="Z163" s="123">
        <f t="shared" si="64"/>
        <v>0.47</v>
      </c>
      <c r="AA163" s="123">
        <f t="shared" si="64"/>
        <v>0.47</v>
      </c>
      <c r="AB163" s="123">
        <f t="shared" si="64"/>
        <v>0.47</v>
      </c>
      <c r="AC163" s="123">
        <f t="shared" si="64"/>
        <v>0.47</v>
      </c>
      <c r="AD163" s="123">
        <f t="shared" si="64"/>
        <v>0.47</v>
      </c>
      <c r="AE163" s="123">
        <f t="shared" si="64"/>
        <v>0.47</v>
      </c>
      <c r="AF163" s="123">
        <f t="shared" si="64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62"/>
        <v>0</v>
      </c>
      <c r="C164" s="124">
        <v>0</v>
      </c>
      <c r="D164" s="123">
        <f t="shared" si="63"/>
        <v>0</v>
      </c>
      <c r="E164" s="123">
        <f t="shared" si="63"/>
        <v>0</v>
      </c>
      <c r="F164" s="123">
        <f t="shared" si="63"/>
        <v>0</v>
      </c>
      <c r="G164" s="123">
        <f t="shared" si="63"/>
        <v>0</v>
      </c>
      <c r="H164" s="123">
        <f t="shared" si="63"/>
        <v>0</v>
      </c>
      <c r="I164" s="123">
        <f t="shared" si="63"/>
        <v>0</v>
      </c>
      <c r="J164" s="123">
        <f t="shared" si="63"/>
        <v>0</v>
      </c>
      <c r="K164" s="123">
        <f t="shared" si="63"/>
        <v>0</v>
      </c>
      <c r="L164" s="123">
        <f t="shared" si="63"/>
        <v>0</v>
      </c>
      <c r="M164" s="123">
        <f t="shared" si="63"/>
        <v>0</v>
      </c>
      <c r="N164" s="123">
        <f t="shared" si="63"/>
        <v>0</v>
      </c>
      <c r="O164" s="123">
        <f t="shared" si="63"/>
        <v>0</v>
      </c>
      <c r="P164" s="123">
        <f t="shared" si="63"/>
        <v>0</v>
      </c>
      <c r="Q164" s="123">
        <f t="shared" si="63"/>
        <v>0</v>
      </c>
      <c r="R164" s="123">
        <f t="shared" si="63"/>
        <v>0</v>
      </c>
      <c r="S164" s="123">
        <f t="shared" si="63"/>
        <v>0</v>
      </c>
      <c r="T164" s="123">
        <f t="shared" si="64"/>
        <v>0</v>
      </c>
      <c r="U164" s="123">
        <f t="shared" si="64"/>
        <v>0</v>
      </c>
      <c r="V164" s="123">
        <f t="shared" si="64"/>
        <v>0</v>
      </c>
      <c r="W164" s="123">
        <f t="shared" si="64"/>
        <v>0</v>
      </c>
      <c r="X164" s="123">
        <f t="shared" si="64"/>
        <v>0</v>
      </c>
      <c r="Y164" s="123">
        <f t="shared" si="64"/>
        <v>0</v>
      </c>
      <c r="Z164" s="123">
        <f t="shared" si="64"/>
        <v>0</v>
      </c>
      <c r="AA164" s="123">
        <f t="shared" si="64"/>
        <v>0</v>
      </c>
      <c r="AB164" s="123">
        <f t="shared" si="64"/>
        <v>0</v>
      </c>
      <c r="AC164" s="123">
        <f t="shared" si="64"/>
        <v>0</v>
      </c>
      <c r="AD164" s="123">
        <f t="shared" si="64"/>
        <v>0</v>
      </c>
      <c r="AE164" s="123">
        <f t="shared" si="64"/>
        <v>0</v>
      </c>
      <c r="AF164" s="123">
        <f t="shared" si="64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62"/>
        <v>0</v>
      </c>
      <c r="C165" s="124">
        <v>0</v>
      </c>
      <c r="D165" s="123">
        <f t="shared" si="63"/>
        <v>0</v>
      </c>
      <c r="E165" s="123">
        <f t="shared" si="63"/>
        <v>0</v>
      </c>
      <c r="F165" s="123">
        <f t="shared" si="63"/>
        <v>0</v>
      </c>
      <c r="G165" s="123">
        <f t="shared" si="63"/>
        <v>0</v>
      </c>
      <c r="H165" s="123">
        <f t="shared" si="63"/>
        <v>0</v>
      </c>
      <c r="I165" s="123">
        <f t="shared" si="63"/>
        <v>0</v>
      </c>
      <c r="J165" s="123">
        <f t="shared" si="63"/>
        <v>0</v>
      </c>
      <c r="K165" s="123">
        <f t="shared" si="63"/>
        <v>0</v>
      </c>
      <c r="L165" s="123">
        <f t="shared" si="63"/>
        <v>0</v>
      </c>
      <c r="M165" s="123">
        <f t="shared" si="63"/>
        <v>0</v>
      </c>
      <c r="N165" s="123">
        <f t="shared" si="63"/>
        <v>0</v>
      </c>
      <c r="O165" s="123">
        <f t="shared" si="63"/>
        <v>0</v>
      </c>
      <c r="P165" s="123">
        <f t="shared" si="63"/>
        <v>0</v>
      </c>
      <c r="Q165" s="123">
        <f t="shared" si="63"/>
        <v>0</v>
      </c>
      <c r="R165" s="123">
        <f t="shared" si="63"/>
        <v>0</v>
      </c>
      <c r="S165" s="123">
        <f t="shared" si="64"/>
        <v>0</v>
      </c>
      <c r="T165" s="123">
        <f t="shared" si="64"/>
        <v>0</v>
      </c>
      <c r="U165" s="123">
        <f t="shared" si="64"/>
        <v>0</v>
      </c>
      <c r="V165" s="123">
        <f t="shared" si="64"/>
        <v>0</v>
      </c>
      <c r="W165" s="123">
        <f t="shared" si="64"/>
        <v>0</v>
      </c>
      <c r="X165" s="123">
        <f t="shared" si="64"/>
        <v>0</v>
      </c>
      <c r="Y165" s="123">
        <f t="shared" si="64"/>
        <v>0</v>
      </c>
      <c r="Z165" s="123">
        <f t="shared" si="64"/>
        <v>0</v>
      </c>
      <c r="AA165" s="123">
        <f t="shared" si="64"/>
        <v>0</v>
      </c>
      <c r="AB165" s="123">
        <f t="shared" si="64"/>
        <v>0</v>
      </c>
      <c r="AC165" s="123">
        <f t="shared" si="64"/>
        <v>0</v>
      </c>
      <c r="AD165" s="123">
        <f t="shared" si="64"/>
        <v>0</v>
      </c>
      <c r="AE165" s="123">
        <f t="shared" si="64"/>
        <v>0</v>
      </c>
      <c r="AF165" s="123">
        <f t="shared" si="64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62"/>
        <v>0.8</v>
      </c>
      <c r="C166" s="124">
        <v>0.8</v>
      </c>
      <c r="D166" s="123">
        <f t="shared" si="63"/>
        <v>0.8</v>
      </c>
      <c r="E166" s="123">
        <f t="shared" si="63"/>
        <v>0.8</v>
      </c>
      <c r="F166" s="123">
        <f t="shared" si="63"/>
        <v>0.8</v>
      </c>
      <c r="G166" s="123">
        <f t="shared" si="63"/>
        <v>0.8</v>
      </c>
      <c r="H166" s="123">
        <f t="shared" si="63"/>
        <v>0.8</v>
      </c>
      <c r="I166" s="123">
        <f t="shared" si="63"/>
        <v>0.8</v>
      </c>
      <c r="J166" s="123">
        <f t="shared" si="63"/>
        <v>0.8</v>
      </c>
      <c r="K166" s="123">
        <f t="shared" si="63"/>
        <v>0.8</v>
      </c>
      <c r="L166" s="123">
        <f t="shared" si="63"/>
        <v>0.8</v>
      </c>
      <c r="M166" s="123">
        <f t="shared" si="63"/>
        <v>0.8</v>
      </c>
      <c r="N166" s="123">
        <f t="shared" si="63"/>
        <v>0.8</v>
      </c>
      <c r="O166" s="123">
        <f t="shared" si="63"/>
        <v>0.8</v>
      </c>
      <c r="P166" s="123">
        <f t="shared" si="63"/>
        <v>0.8</v>
      </c>
      <c r="Q166" s="123">
        <f t="shared" si="63"/>
        <v>0.8</v>
      </c>
      <c r="R166" s="123">
        <f t="shared" si="63"/>
        <v>0.8</v>
      </c>
      <c r="S166" s="123">
        <f t="shared" si="64"/>
        <v>0.8</v>
      </c>
      <c r="T166" s="123">
        <f t="shared" si="64"/>
        <v>0.8</v>
      </c>
      <c r="U166" s="123">
        <f t="shared" si="64"/>
        <v>0.8</v>
      </c>
      <c r="V166" s="123">
        <f t="shared" si="64"/>
        <v>0.8</v>
      </c>
      <c r="W166" s="123">
        <f t="shared" si="64"/>
        <v>0.8</v>
      </c>
      <c r="X166" s="123">
        <f t="shared" si="64"/>
        <v>0.8</v>
      </c>
      <c r="Y166" s="123">
        <f t="shared" si="64"/>
        <v>0.8</v>
      </c>
      <c r="Z166" s="123">
        <f t="shared" si="64"/>
        <v>0.8</v>
      </c>
      <c r="AA166" s="123">
        <f t="shared" si="64"/>
        <v>0.8</v>
      </c>
      <c r="AB166" s="123">
        <f t="shared" si="64"/>
        <v>0.8</v>
      </c>
      <c r="AC166" s="123">
        <f t="shared" si="64"/>
        <v>0.8</v>
      </c>
      <c r="AD166" s="123">
        <f t="shared" si="64"/>
        <v>0.8</v>
      </c>
      <c r="AE166" s="123">
        <f t="shared" si="64"/>
        <v>0.8</v>
      </c>
      <c r="AF166" s="123">
        <f t="shared" si="64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62"/>
        <v>1.5</v>
      </c>
      <c r="C167" s="124">
        <v>1.5</v>
      </c>
      <c r="D167" s="123">
        <f t="shared" si="63"/>
        <v>1.5</v>
      </c>
      <c r="E167" s="123">
        <f t="shared" si="63"/>
        <v>1.5</v>
      </c>
      <c r="F167" s="123">
        <f t="shared" si="63"/>
        <v>1.5</v>
      </c>
      <c r="G167" s="123">
        <f t="shared" si="63"/>
        <v>1.5</v>
      </c>
      <c r="H167" s="123">
        <f t="shared" si="63"/>
        <v>1.5</v>
      </c>
      <c r="I167" s="123">
        <f t="shared" si="63"/>
        <v>1.5</v>
      </c>
      <c r="J167" s="123">
        <f t="shared" si="63"/>
        <v>1.5</v>
      </c>
      <c r="K167" s="123">
        <f t="shared" si="63"/>
        <v>1.5</v>
      </c>
      <c r="L167" s="123">
        <f t="shared" si="63"/>
        <v>1.5</v>
      </c>
      <c r="M167" s="123">
        <f t="shared" si="63"/>
        <v>1.5</v>
      </c>
      <c r="N167" s="123">
        <f t="shared" si="63"/>
        <v>1.5</v>
      </c>
      <c r="O167" s="123">
        <f t="shared" si="63"/>
        <v>1.5</v>
      </c>
      <c r="P167" s="123">
        <f t="shared" si="63"/>
        <v>1.5</v>
      </c>
      <c r="Q167" s="123">
        <f t="shared" si="63"/>
        <v>1.5</v>
      </c>
      <c r="R167" s="123">
        <f t="shared" si="63"/>
        <v>1.5</v>
      </c>
      <c r="S167" s="123">
        <f t="shared" si="64"/>
        <v>1.5</v>
      </c>
      <c r="T167" s="123">
        <f t="shared" si="64"/>
        <v>1.5</v>
      </c>
      <c r="U167" s="123">
        <f t="shared" si="64"/>
        <v>1.5</v>
      </c>
      <c r="V167" s="123">
        <f t="shared" si="64"/>
        <v>1.5</v>
      </c>
      <c r="W167" s="123">
        <f t="shared" si="64"/>
        <v>1.5</v>
      </c>
      <c r="X167" s="123">
        <f t="shared" si="64"/>
        <v>1.5</v>
      </c>
      <c r="Y167" s="123">
        <f t="shared" si="64"/>
        <v>1.5</v>
      </c>
      <c r="Z167" s="123">
        <f t="shared" si="64"/>
        <v>1.5</v>
      </c>
      <c r="AA167" s="123">
        <f t="shared" si="64"/>
        <v>1.5</v>
      </c>
      <c r="AB167" s="123">
        <f t="shared" si="64"/>
        <v>1.5</v>
      </c>
      <c r="AC167" s="123">
        <f t="shared" si="64"/>
        <v>1.5</v>
      </c>
      <c r="AD167" s="123">
        <f t="shared" si="64"/>
        <v>1.5</v>
      </c>
      <c r="AE167" s="123">
        <f t="shared" si="64"/>
        <v>1.5</v>
      </c>
      <c r="AF167" s="123">
        <f t="shared" si="64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62"/>
        <v>1</v>
      </c>
      <c r="C168" s="124">
        <v>1</v>
      </c>
      <c r="D168" s="123">
        <f t="shared" si="63"/>
        <v>1</v>
      </c>
      <c r="E168" s="123">
        <f t="shared" si="63"/>
        <v>1</v>
      </c>
      <c r="F168" s="123">
        <f t="shared" si="63"/>
        <v>1</v>
      </c>
      <c r="G168" s="123">
        <f t="shared" si="63"/>
        <v>1</v>
      </c>
      <c r="H168" s="123">
        <f t="shared" si="63"/>
        <v>1</v>
      </c>
      <c r="I168" s="123">
        <f t="shared" si="63"/>
        <v>1</v>
      </c>
      <c r="J168" s="123">
        <f t="shared" si="63"/>
        <v>1</v>
      </c>
      <c r="K168" s="123">
        <f t="shared" si="63"/>
        <v>1</v>
      </c>
      <c r="L168" s="123">
        <f t="shared" si="63"/>
        <v>1</v>
      </c>
      <c r="M168" s="123">
        <f t="shared" si="63"/>
        <v>1</v>
      </c>
      <c r="N168" s="123">
        <f t="shared" si="63"/>
        <v>1</v>
      </c>
      <c r="O168" s="123">
        <f t="shared" si="63"/>
        <v>1</v>
      </c>
      <c r="P168" s="123">
        <f t="shared" si="63"/>
        <v>1</v>
      </c>
      <c r="Q168" s="123">
        <f t="shared" si="63"/>
        <v>1</v>
      </c>
      <c r="R168" s="123">
        <f t="shared" si="63"/>
        <v>1</v>
      </c>
      <c r="S168" s="123">
        <f t="shared" si="64"/>
        <v>1</v>
      </c>
      <c r="T168" s="123">
        <f t="shared" si="64"/>
        <v>1</v>
      </c>
      <c r="U168" s="123">
        <f t="shared" si="64"/>
        <v>1</v>
      </c>
      <c r="V168" s="123">
        <f t="shared" si="64"/>
        <v>1</v>
      </c>
      <c r="W168" s="123">
        <f t="shared" si="64"/>
        <v>1</v>
      </c>
      <c r="X168" s="123">
        <f t="shared" si="64"/>
        <v>1</v>
      </c>
      <c r="Y168" s="123">
        <f t="shared" si="64"/>
        <v>1</v>
      </c>
      <c r="Z168" s="123">
        <f t="shared" si="64"/>
        <v>1</v>
      </c>
      <c r="AA168" s="123">
        <f t="shared" si="64"/>
        <v>1</v>
      </c>
      <c r="AB168" s="123">
        <f t="shared" si="64"/>
        <v>1</v>
      </c>
      <c r="AC168" s="123">
        <f t="shared" si="64"/>
        <v>1</v>
      </c>
      <c r="AD168" s="123">
        <f t="shared" si="64"/>
        <v>1</v>
      </c>
      <c r="AE168" s="123">
        <f t="shared" si="64"/>
        <v>1</v>
      </c>
      <c r="AF168" s="123">
        <f t="shared" si="64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5">AF170</f>
        <v>1</v>
      </c>
      <c r="C170" s="124">
        <v>1</v>
      </c>
      <c r="D170" s="123">
        <f t="shared" ref="D170:S177" si="66">C170</f>
        <v>1</v>
      </c>
      <c r="E170" s="123">
        <f t="shared" si="66"/>
        <v>1</v>
      </c>
      <c r="F170" s="123">
        <f t="shared" si="66"/>
        <v>1</v>
      </c>
      <c r="G170" s="123">
        <f t="shared" si="66"/>
        <v>1</v>
      </c>
      <c r="H170" s="123">
        <f t="shared" si="66"/>
        <v>1</v>
      </c>
      <c r="I170" s="123">
        <f t="shared" si="66"/>
        <v>1</v>
      </c>
      <c r="J170" s="123">
        <f t="shared" si="66"/>
        <v>1</v>
      </c>
      <c r="K170" s="123">
        <f t="shared" si="66"/>
        <v>1</v>
      </c>
      <c r="L170" s="123">
        <f t="shared" si="66"/>
        <v>1</v>
      </c>
      <c r="M170" s="123">
        <f t="shared" si="66"/>
        <v>1</v>
      </c>
      <c r="N170" s="123">
        <f t="shared" si="66"/>
        <v>1</v>
      </c>
      <c r="O170" s="123">
        <f t="shared" si="66"/>
        <v>1</v>
      </c>
      <c r="P170" s="123">
        <f t="shared" si="66"/>
        <v>1</v>
      </c>
      <c r="Q170" s="123">
        <f t="shared" si="66"/>
        <v>1</v>
      </c>
      <c r="R170" s="123">
        <f t="shared" si="66"/>
        <v>1</v>
      </c>
      <c r="S170" s="123">
        <f t="shared" si="66"/>
        <v>1</v>
      </c>
      <c r="T170" s="123">
        <f t="shared" ref="S170:AF177" si="67">S170</f>
        <v>1</v>
      </c>
      <c r="U170" s="123">
        <f t="shared" si="67"/>
        <v>1</v>
      </c>
      <c r="V170" s="123">
        <f t="shared" si="67"/>
        <v>1</v>
      </c>
      <c r="W170" s="123">
        <f t="shared" si="67"/>
        <v>1</v>
      </c>
      <c r="X170" s="123">
        <f t="shared" si="67"/>
        <v>1</v>
      </c>
      <c r="Y170" s="123">
        <f t="shared" si="67"/>
        <v>1</v>
      </c>
      <c r="Z170" s="123">
        <f t="shared" si="67"/>
        <v>1</v>
      </c>
      <c r="AA170" s="123">
        <f t="shared" si="67"/>
        <v>1</v>
      </c>
      <c r="AB170" s="123">
        <f t="shared" si="67"/>
        <v>1</v>
      </c>
      <c r="AC170" s="123">
        <f t="shared" si="67"/>
        <v>1</v>
      </c>
      <c r="AD170" s="123">
        <f t="shared" si="67"/>
        <v>1</v>
      </c>
      <c r="AE170" s="123">
        <f t="shared" si="67"/>
        <v>1</v>
      </c>
      <c r="AF170" s="123">
        <f t="shared" si="67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5"/>
        <v>0.42</v>
      </c>
      <c r="C171" s="124">
        <v>0.42</v>
      </c>
      <c r="D171" s="123">
        <f t="shared" si="66"/>
        <v>0.42</v>
      </c>
      <c r="E171" s="123">
        <f t="shared" si="66"/>
        <v>0.42</v>
      </c>
      <c r="F171" s="123">
        <f t="shared" si="66"/>
        <v>0.42</v>
      </c>
      <c r="G171" s="123">
        <f t="shared" si="66"/>
        <v>0.42</v>
      </c>
      <c r="H171" s="123">
        <f t="shared" si="66"/>
        <v>0.42</v>
      </c>
      <c r="I171" s="123">
        <f t="shared" si="66"/>
        <v>0.42</v>
      </c>
      <c r="J171" s="123">
        <f t="shared" si="66"/>
        <v>0.42</v>
      </c>
      <c r="K171" s="123">
        <f t="shared" si="66"/>
        <v>0.42</v>
      </c>
      <c r="L171" s="123">
        <f t="shared" si="66"/>
        <v>0.42</v>
      </c>
      <c r="M171" s="123">
        <f t="shared" si="66"/>
        <v>0.42</v>
      </c>
      <c r="N171" s="123">
        <f t="shared" si="66"/>
        <v>0.42</v>
      </c>
      <c r="O171" s="123">
        <f t="shared" si="66"/>
        <v>0.42</v>
      </c>
      <c r="P171" s="123">
        <f t="shared" si="66"/>
        <v>0.42</v>
      </c>
      <c r="Q171" s="123">
        <f t="shared" si="66"/>
        <v>0.42</v>
      </c>
      <c r="R171" s="123">
        <f t="shared" si="66"/>
        <v>0.42</v>
      </c>
      <c r="S171" s="123">
        <f t="shared" si="67"/>
        <v>0.42</v>
      </c>
      <c r="T171" s="123">
        <f t="shared" si="67"/>
        <v>0.42</v>
      </c>
      <c r="U171" s="123">
        <f t="shared" si="67"/>
        <v>0.42</v>
      </c>
      <c r="V171" s="123">
        <f t="shared" si="67"/>
        <v>0.42</v>
      </c>
      <c r="W171" s="123">
        <f t="shared" si="67"/>
        <v>0.42</v>
      </c>
      <c r="X171" s="123">
        <f t="shared" si="67"/>
        <v>0.42</v>
      </c>
      <c r="Y171" s="123">
        <f t="shared" si="67"/>
        <v>0.42</v>
      </c>
      <c r="Z171" s="123">
        <f t="shared" si="67"/>
        <v>0.42</v>
      </c>
      <c r="AA171" s="123">
        <f t="shared" si="67"/>
        <v>0.42</v>
      </c>
      <c r="AB171" s="123">
        <f t="shared" si="67"/>
        <v>0.42</v>
      </c>
      <c r="AC171" s="123">
        <f t="shared" si="67"/>
        <v>0.42</v>
      </c>
      <c r="AD171" s="123">
        <f t="shared" si="67"/>
        <v>0.42</v>
      </c>
      <c r="AE171" s="123">
        <f t="shared" si="67"/>
        <v>0.42</v>
      </c>
      <c r="AF171" s="123">
        <f t="shared" si="67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5"/>
        <v>0.46</v>
      </c>
      <c r="C172" s="124">
        <v>0.46</v>
      </c>
      <c r="D172" s="123">
        <f t="shared" si="66"/>
        <v>0.46</v>
      </c>
      <c r="E172" s="123">
        <f t="shared" si="66"/>
        <v>0.46</v>
      </c>
      <c r="F172" s="123">
        <f t="shared" si="66"/>
        <v>0.46</v>
      </c>
      <c r="G172" s="123">
        <f t="shared" si="66"/>
        <v>0.46</v>
      </c>
      <c r="H172" s="123">
        <f t="shared" si="66"/>
        <v>0.46</v>
      </c>
      <c r="I172" s="123">
        <f t="shared" si="66"/>
        <v>0.46</v>
      </c>
      <c r="J172" s="123">
        <f t="shared" si="66"/>
        <v>0.46</v>
      </c>
      <c r="K172" s="123">
        <f t="shared" si="66"/>
        <v>0.46</v>
      </c>
      <c r="L172" s="123">
        <f t="shared" si="66"/>
        <v>0.46</v>
      </c>
      <c r="M172" s="123">
        <f t="shared" si="66"/>
        <v>0.46</v>
      </c>
      <c r="N172" s="123">
        <f t="shared" si="66"/>
        <v>0.46</v>
      </c>
      <c r="O172" s="123">
        <f t="shared" si="66"/>
        <v>0.46</v>
      </c>
      <c r="P172" s="123">
        <f t="shared" si="66"/>
        <v>0.46</v>
      </c>
      <c r="Q172" s="123">
        <f t="shared" si="66"/>
        <v>0.46</v>
      </c>
      <c r="R172" s="123">
        <f t="shared" si="66"/>
        <v>0.46</v>
      </c>
      <c r="S172" s="123">
        <f t="shared" si="67"/>
        <v>0.46</v>
      </c>
      <c r="T172" s="123">
        <f t="shared" si="67"/>
        <v>0.46</v>
      </c>
      <c r="U172" s="123">
        <f t="shared" si="67"/>
        <v>0.46</v>
      </c>
      <c r="V172" s="123">
        <f t="shared" si="67"/>
        <v>0.46</v>
      </c>
      <c r="W172" s="123">
        <f t="shared" si="67"/>
        <v>0.46</v>
      </c>
      <c r="X172" s="123">
        <f t="shared" si="67"/>
        <v>0.46</v>
      </c>
      <c r="Y172" s="123">
        <f t="shared" si="67"/>
        <v>0.46</v>
      </c>
      <c r="Z172" s="123">
        <f t="shared" si="67"/>
        <v>0.46</v>
      </c>
      <c r="AA172" s="123">
        <f t="shared" si="67"/>
        <v>0.46</v>
      </c>
      <c r="AB172" s="123">
        <f t="shared" si="67"/>
        <v>0.46</v>
      </c>
      <c r="AC172" s="123">
        <f t="shared" si="67"/>
        <v>0.46</v>
      </c>
      <c r="AD172" s="123">
        <f t="shared" si="67"/>
        <v>0.46</v>
      </c>
      <c r="AE172" s="123">
        <f t="shared" si="67"/>
        <v>0.46</v>
      </c>
      <c r="AF172" s="123">
        <f t="shared" si="67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5"/>
        <v>0.85</v>
      </c>
      <c r="C173" s="124">
        <v>0.85</v>
      </c>
      <c r="D173" s="123">
        <f t="shared" si="66"/>
        <v>0.85</v>
      </c>
      <c r="E173" s="123">
        <f t="shared" si="66"/>
        <v>0.85</v>
      </c>
      <c r="F173" s="123">
        <f t="shared" si="66"/>
        <v>0.85</v>
      </c>
      <c r="G173" s="123">
        <f t="shared" si="66"/>
        <v>0.85</v>
      </c>
      <c r="H173" s="123">
        <f t="shared" si="66"/>
        <v>0.85</v>
      </c>
      <c r="I173" s="123">
        <f t="shared" si="66"/>
        <v>0.85</v>
      </c>
      <c r="J173" s="123">
        <f t="shared" si="66"/>
        <v>0.85</v>
      </c>
      <c r="K173" s="123">
        <f t="shared" si="66"/>
        <v>0.85</v>
      </c>
      <c r="L173" s="123">
        <f t="shared" si="66"/>
        <v>0.85</v>
      </c>
      <c r="M173" s="123">
        <f t="shared" si="66"/>
        <v>0.85</v>
      </c>
      <c r="N173" s="123">
        <f t="shared" si="66"/>
        <v>0.85</v>
      </c>
      <c r="O173" s="123">
        <f t="shared" si="66"/>
        <v>0.85</v>
      </c>
      <c r="P173" s="123">
        <f t="shared" si="66"/>
        <v>0.85</v>
      </c>
      <c r="Q173" s="123">
        <f t="shared" si="66"/>
        <v>0.85</v>
      </c>
      <c r="R173" s="123">
        <f t="shared" si="66"/>
        <v>0.85</v>
      </c>
      <c r="S173" s="123">
        <f t="shared" si="67"/>
        <v>0.85</v>
      </c>
      <c r="T173" s="123">
        <f t="shared" si="67"/>
        <v>0.85</v>
      </c>
      <c r="U173" s="123">
        <f t="shared" si="67"/>
        <v>0.85</v>
      </c>
      <c r="V173" s="123">
        <f t="shared" si="67"/>
        <v>0.85</v>
      </c>
      <c r="W173" s="123">
        <f t="shared" si="67"/>
        <v>0.85</v>
      </c>
      <c r="X173" s="123">
        <f t="shared" si="67"/>
        <v>0.85</v>
      </c>
      <c r="Y173" s="123">
        <f t="shared" si="67"/>
        <v>0.85</v>
      </c>
      <c r="Z173" s="123">
        <f t="shared" si="67"/>
        <v>0.85</v>
      </c>
      <c r="AA173" s="123">
        <f t="shared" si="67"/>
        <v>0.85</v>
      </c>
      <c r="AB173" s="123">
        <f t="shared" si="67"/>
        <v>0.85</v>
      </c>
      <c r="AC173" s="123">
        <f t="shared" si="67"/>
        <v>0.85</v>
      </c>
      <c r="AD173" s="123">
        <f t="shared" si="67"/>
        <v>0.85</v>
      </c>
      <c r="AE173" s="123">
        <f t="shared" si="67"/>
        <v>0.85</v>
      </c>
      <c r="AF173" s="123">
        <f t="shared" si="67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5"/>
        <v>0.9</v>
      </c>
      <c r="C174" s="124">
        <v>0.9</v>
      </c>
      <c r="D174" s="123">
        <f t="shared" si="66"/>
        <v>0.9</v>
      </c>
      <c r="E174" s="123">
        <f t="shared" si="66"/>
        <v>0.9</v>
      </c>
      <c r="F174" s="123">
        <f t="shared" si="66"/>
        <v>0.9</v>
      </c>
      <c r="G174" s="123">
        <f t="shared" si="66"/>
        <v>0.9</v>
      </c>
      <c r="H174" s="123">
        <f t="shared" si="66"/>
        <v>0.9</v>
      </c>
      <c r="I174" s="123">
        <f t="shared" si="66"/>
        <v>0.9</v>
      </c>
      <c r="J174" s="123">
        <f t="shared" si="66"/>
        <v>0.9</v>
      </c>
      <c r="K174" s="123">
        <f t="shared" si="66"/>
        <v>0.9</v>
      </c>
      <c r="L174" s="123">
        <f t="shared" si="66"/>
        <v>0.9</v>
      </c>
      <c r="M174" s="123">
        <f t="shared" si="66"/>
        <v>0.9</v>
      </c>
      <c r="N174" s="123">
        <f t="shared" si="66"/>
        <v>0.9</v>
      </c>
      <c r="O174" s="123">
        <f t="shared" si="66"/>
        <v>0.9</v>
      </c>
      <c r="P174" s="123">
        <f t="shared" si="66"/>
        <v>0.9</v>
      </c>
      <c r="Q174" s="123">
        <f t="shared" si="66"/>
        <v>0.9</v>
      </c>
      <c r="R174" s="123">
        <f t="shared" si="66"/>
        <v>0.9</v>
      </c>
      <c r="S174" s="123">
        <f t="shared" si="67"/>
        <v>0.9</v>
      </c>
      <c r="T174" s="123">
        <f t="shared" si="67"/>
        <v>0.9</v>
      </c>
      <c r="U174" s="123">
        <f t="shared" si="67"/>
        <v>0.9</v>
      </c>
      <c r="V174" s="123">
        <f t="shared" si="67"/>
        <v>0.9</v>
      </c>
      <c r="W174" s="123">
        <f t="shared" si="67"/>
        <v>0.9</v>
      </c>
      <c r="X174" s="123">
        <f t="shared" si="67"/>
        <v>0.9</v>
      </c>
      <c r="Y174" s="123">
        <f t="shared" si="67"/>
        <v>0.9</v>
      </c>
      <c r="Z174" s="123">
        <f t="shared" si="67"/>
        <v>0.9</v>
      </c>
      <c r="AA174" s="123">
        <f t="shared" si="67"/>
        <v>0.9</v>
      </c>
      <c r="AB174" s="123">
        <f t="shared" si="67"/>
        <v>0.9</v>
      </c>
      <c r="AC174" s="123">
        <f t="shared" si="67"/>
        <v>0.9</v>
      </c>
      <c r="AD174" s="123">
        <f t="shared" si="67"/>
        <v>0.9</v>
      </c>
      <c r="AE174" s="123">
        <f t="shared" si="67"/>
        <v>0.9</v>
      </c>
      <c r="AF174" s="123">
        <f t="shared" si="67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5"/>
        <v>0.44</v>
      </c>
      <c r="C175" s="124">
        <v>0.44</v>
      </c>
      <c r="D175" s="123">
        <f t="shared" si="66"/>
        <v>0.44</v>
      </c>
      <c r="E175" s="123">
        <f t="shared" si="66"/>
        <v>0.44</v>
      </c>
      <c r="F175" s="123">
        <f t="shared" si="66"/>
        <v>0.44</v>
      </c>
      <c r="G175" s="123">
        <f t="shared" si="66"/>
        <v>0.44</v>
      </c>
      <c r="H175" s="123">
        <f t="shared" si="66"/>
        <v>0.44</v>
      </c>
      <c r="I175" s="123">
        <f t="shared" si="66"/>
        <v>0.44</v>
      </c>
      <c r="J175" s="123">
        <f t="shared" si="66"/>
        <v>0.44</v>
      </c>
      <c r="K175" s="123">
        <f t="shared" si="66"/>
        <v>0.44</v>
      </c>
      <c r="L175" s="123">
        <f t="shared" si="66"/>
        <v>0.44</v>
      </c>
      <c r="M175" s="123">
        <f t="shared" si="66"/>
        <v>0.44</v>
      </c>
      <c r="N175" s="123">
        <f t="shared" si="66"/>
        <v>0.44</v>
      </c>
      <c r="O175" s="123">
        <f t="shared" si="66"/>
        <v>0.44</v>
      </c>
      <c r="P175" s="123">
        <f t="shared" si="66"/>
        <v>0.44</v>
      </c>
      <c r="Q175" s="123">
        <f t="shared" si="66"/>
        <v>0.44</v>
      </c>
      <c r="R175" s="123">
        <f t="shared" si="66"/>
        <v>0.44</v>
      </c>
      <c r="S175" s="123">
        <f t="shared" si="67"/>
        <v>0.44</v>
      </c>
      <c r="T175" s="123">
        <f t="shared" si="67"/>
        <v>0.44</v>
      </c>
      <c r="U175" s="123">
        <f t="shared" si="67"/>
        <v>0.44</v>
      </c>
      <c r="V175" s="123">
        <f t="shared" si="67"/>
        <v>0.44</v>
      </c>
      <c r="W175" s="123">
        <f t="shared" si="67"/>
        <v>0.44</v>
      </c>
      <c r="X175" s="123">
        <f t="shared" si="67"/>
        <v>0.44</v>
      </c>
      <c r="Y175" s="123">
        <f t="shared" si="67"/>
        <v>0.44</v>
      </c>
      <c r="Z175" s="123">
        <f t="shared" si="67"/>
        <v>0.44</v>
      </c>
      <c r="AA175" s="123">
        <f t="shared" si="67"/>
        <v>0.44</v>
      </c>
      <c r="AB175" s="123">
        <f t="shared" si="67"/>
        <v>0.44</v>
      </c>
      <c r="AC175" s="123">
        <f t="shared" si="67"/>
        <v>0.44</v>
      </c>
      <c r="AD175" s="123">
        <f t="shared" si="67"/>
        <v>0.44</v>
      </c>
      <c r="AE175" s="123">
        <f t="shared" si="67"/>
        <v>0.44</v>
      </c>
      <c r="AF175" s="123">
        <f t="shared" si="67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5"/>
        <v>2.1</v>
      </c>
      <c r="C176" s="124">
        <v>2.1</v>
      </c>
      <c r="D176" s="123">
        <f t="shared" si="66"/>
        <v>2.1</v>
      </c>
      <c r="E176" s="123">
        <f t="shared" si="66"/>
        <v>2.1</v>
      </c>
      <c r="F176" s="123">
        <f t="shared" si="66"/>
        <v>2.1</v>
      </c>
      <c r="G176" s="123">
        <f t="shared" si="66"/>
        <v>2.1</v>
      </c>
      <c r="H176" s="123">
        <f t="shared" si="66"/>
        <v>2.1</v>
      </c>
      <c r="I176" s="123">
        <f t="shared" si="66"/>
        <v>2.1</v>
      </c>
      <c r="J176" s="123">
        <f t="shared" si="66"/>
        <v>2.1</v>
      </c>
      <c r="K176" s="123">
        <f t="shared" si="66"/>
        <v>2.1</v>
      </c>
      <c r="L176" s="123">
        <f t="shared" si="66"/>
        <v>2.1</v>
      </c>
      <c r="M176" s="123">
        <f t="shared" si="66"/>
        <v>2.1</v>
      </c>
      <c r="N176" s="123">
        <f t="shared" si="66"/>
        <v>2.1</v>
      </c>
      <c r="O176" s="123">
        <f t="shared" si="66"/>
        <v>2.1</v>
      </c>
      <c r="P176" s="123">
        <f t="shared" si="66"/>
        <v>2.1</v>
      </c>
      <c r="Q176" s="123">
        <f t="shared" si="66"/>
        <v>2.1</v>
      </c>
      <c r="R176" s="123">
        <f t="shared" si="66"/>
        <v>2.1</v>
      </c>
      <c r="S176" s="123">
        <f t="shared" si="67"/>
        <v>2.1</v>
      </c>
      <c r="T176" s="123">
        <f t="shared" si="67"/>
        <v>2.1</v>
      </c>
      <c r="U176" s="123">
        <f t="shared" si="67"/>
        <v>2.1</v>
      </c>
      <c r="V176" s="123">
        <f t="shared" si="67"/>
        <v>2.1</v>
      </c>
      <c r="W176" s="123">
        <f t="shared" si="67"/>
        <v>2.1</v>
      </c>
      <c r="X176" s="123">
        <f t="shared" si="67"/>
        <v>2.1</v>
      </c>
      <c r="Y176" s="123">
        <f t="shared" si="67"/>
        <v>2.1</v>
      </c>
      <c r="Z176" s="123">
        <f t="shared" si="67"/>
        <v>2.1</v>
      </c>
      <c r="AA176" s="123">
        <f t="shared" si="67"/>
        <v>2.1</v>
      </c>
      <c r="AB176" s="123">
        <f t="shared" si="67"/>
        <v>2.1</v>
      </c>
      <c r="AC176" s="123">
        <f t="shared" si="67"/>
        <v>2.1</v>
      </c>
      <c r="AD176" s="123">
        <f t="shared" si="67"/>
        <v>2.1</v>
      </c>
      <c r="AE176" s="123">
        <f t="shared" si="67"/>
        <v>2.1</v>
      </c>
      <c r="AF176" s="123">
        <f t="shared" si="67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5"/>
        <v>0.9</v>
      </c>
      <c r="C177" s="124">
        <v>0.9</v>
      </c>
      <c r="D177" s="123">
        <f t="shared" si="66"/>
        <v>0.9</v>
      </c>
      <c r="E177" s="123">
        <f t="shared" si="66"/>
        <v>0.9</v>
      </c>
      <c r="F177" s="123">
        <f t="shared" si="66"/>
        <v>0.9</v>
      </c>
      <c r="G177" s="123">
        <f t="shared" si="66"/>
        <v>0.9</v>
      </c>
      <c r="H177" s="123">
        <f t="shared" si="66"/>
        <v>0.9</v>
      </c>
      <c r="I177" s="123">
        <f t="shared" si="66"/>
        <v>0.9</v>
      </c>
      <c r="J177" s="123">
        <f t="shared" si="66"/>
        <v>0.9</v>
      </c>
      <c r="K177" s="123">
        <f t="shared" si="66"/>
        <v>0.9</v>
      </c>
      <c r="L177" s="123">
        <f t="shared" si="66"/>
        <v>0.9</v>
      </c>
      <c r="M177" s="123">
        <f t="shared" si="66"/>
        <v>0.9</v>
      </c>
      <c r="N177" s="123">
        <f t="shared" si="66"/>
        <v>0.9</v>
      </c>
      <c r="O177" s="123">
        <f t="shared" si="66"/>
        <v>0.9</v>
      </c>
      <c r="P177" s="123">
        <f t="shared" si="66"/>
        <v>0.9</v>
      </c>
      <c r="Q177" s="123">
        <f t="shared" si="66"/>
        <v>0.9</v>
      </c>
      <c r="R177" s="123">
        <f t="shared" si="66"/>
        <v>0.9</v>
      </c>
      <c r="S177" s="123">
        <f t="shared" si="67"/>
        <v>0.9</v>
      </c>
      <c r="T177" s="123">
        <f t="shared" si="67"/>
        <v>0.9</v>
      </c>
      <c r="U177" s="123">
        <f t="shared" si="67"/>
        <v>0.9</v>
      </c>
      <c r="V177" s="123">
        <f t="shared" si="67"/>
        <v>0.9</v>
      </c>
      <c r="W177" s="123">
        <f t="shared" si="67"/>
        <v>0.9</v>
      </c>
      <c r="X177" s="123">
        <f t="shared" si="67"/>
        <v>0.9</v>
      </c>
      <c r="Y177" s="123">
        <f t="shared" si="67"/>
        <v>0.9</v>
      </c>
      <c r="Z177" s="123">
        <f t="shared" si="67"/>
        <v>0.9</v>
      </c>
      <c r="AA177" s="123">
        <f t="shared" si="67"/>
        <v>0.9</v>
      </c>
      <c r="AB177" s="123">
        <f t="shared" si="67"/>
        <v>0.9</v>
      </c>
      <c r="AC177" s="123">
        <f t="shared" si="67"/>
        <v>0.9</v>
      </c>
      <c r="AD177" s="123">
        <f t="shared" si="67"/>
        <v>0.9</v>
      </c>
      <c r="AE177" s="123">
        <f t="shared" si="67"/>
        <v>0.9</v>
      </c>
      <c r="AF177" s="123">
        <f t="shared" si="67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8">AF179</f>
        <v>0.57999999999999996</v>
      </c>
      <c r="C179" s="124">
        <v>0.57999999999999996</v>
      </c>
      <c r="D179" s="123">
        <f t="shared" ref="D179:S191" si="69">C179</f>
        <v>0.57999999999999996</v>
      </c>
      <c r="E179" s="123">
        <f t="shared" si="69"/>
        <v>0.57999999999999996</v>
      </c>
      <c r="F179" s="123">
        <f t="shared" si="69"/>
        <v>0.57999999999999996</v>
      </c>
      <c r="G179" s="123">
        <f t="shared" si="69"/>
        <v>0.57999999999999996</v>
      </c>
      <c r="H179" s="123">
        <f t="shared" si="69"/>
        <v>0.57999999999999996</v>
      </c>
      <c r="I179" s="123">
        <f t="shared" si="69"/>
        <v>0.57999999999999996</v>
      </c>
      <c r="J179" s="123">
        <f t="shared" si="69"/>
        <v>0.57999999999999996</v>
      </c>
      <c r="K179" s="123">
        <f t="shared" si="69"/>
        <v>0.57999999999999996</v>
      </c>
      <c r="L179" s="123">
        <f t="shared" si="69"/>
        <v>0.57999999999999996</v>
      </c>
      <c r="M179" s="123">
        <f t="shared" si="69"/>
        <v>0.57999999999999996</v>
      </c>
      <c r="N179" s="123">
        <f t="shared" si="69"/>
        <v>0.57999999999999996</v>
      </c>
      <c r="O179" s="123">
        <f t="shared" si="69"/>
        <v>0.57999999999999996</v>
      </c>
      <c r="P179" s="123">
        <f t="shared" si="69"/>
        <v>0.57999999999999996</v>
      </c>
      <c r="Q179" s="123">
        <f t="shared" si="69"/>
        <v>0.57999999999999996</v>
      </c>
      <c r="R179" s="123">
        <f t="shared" si="69"/>
        <v>0.57999999999999996</v>
      </c>
      <c r="S179" s="123">
        <f t="shared" si="69"/>
        <v>0.57999999999999996</v>
      </c>
      <c r="T179" s="123">
        <f t="shared" ref="S179:AF191" si="70">S179</f>
        <v>0.57999999999999996</v>
      </c>
      <c r="U179" s="123">
        <f t="shared" si="70"/>
        <v>0.57999999999999996</v>
      </c>
      <c r="V179" s="123">
        <f t="shared" si="70"/>
        <v>0.57999999999999996</v>
      </c>
      <c r="W179" s="123">
        <f t="shared" si="70"/>
        <v>0.57999999999999996</v>
      </c>
      <c r="X179" s="123">
        <f t="shared" si="70"/>
        <v>0.57999999999999996</v>
      </c>
      <c r="Y179" s="123">
        <f t="shared" si="70"/>
        <v>0.57999999999999996</v>
      </c>
      <c r="Z179" s="123">
        <f t="shared" si="70"/>
        <v>0.57999999999999996</v>
      </c>
      <c r="AA179" s="123">
        <f t="shared" si="70"/>
        <v>0.57999999999999996</v>
      </c>
      <c r="AB179" s="123">
        <f t="shared" si="70"/>
        <v>0.57999999999999996</v>
      </c>
      <c r="AC179" s="123">
        <f t="shared" si="70"/>
        <v>0.57999999999999996</v>
      </c>
      <c r="AD179" s="123">
        <f t="shared" si="70"/>
        <v>0.57999999999999996</v>
      </c>
      <c r="AE179" s="123">
        <f t="shared" si="70"/>
        <v>0.57999999999999996</v>
      </c>
      <c r="AF179" s="123">
        <f t="shared" si="70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8"/>
        <v>0.8</v>
      </c>
      <c r="C180" s="124">
        <v>0.8</v>
      </c>
      <c r="D180" s="123">
        <f t="shared" si="69"/>
        <v>0.8</v>
      </c>
      <c r="E180" s="123">
        <f t="shared" si="69"/>
        <v>0.8</v>
      </c>
      <c r="F180" s="123">
        <f t="shared" si="69"/>
        <v>0.8</v>
      </c>
      <c r="G180" s="123">
        <f t="shared" si="69"/>
        <v>0.8</v>
      </c>
      <c r="H180" s="123">
        <f t="shared" si="69"/>
        <v>0.8</v>
      </c>
      <c r="I180" s="123">
        <f t="shared" si="69"/>
        <v>0.8</v>
      </c>
      <c r="J180" s="123">
        <f t="shared" si="69"/>
        <v>0.8</v>
      </c>
      <c r="K180" s="123">
        <f t="shared" si="69"/>
        <v>0.8</v>
      </c>
      <c r="L180" s="123">
        <f t="shared" si="69"/>
        <v>0.8</v>
      </c>
      <c r="M180" s="123">
        <f t="shared" si="69"/>
        <v>0.8</v>
      </c>
      <c r="N180" s="123">
        <f t="shared" si="69"/>
        <v>0.8</v>
      </c>
      <c r="O180" s="123">
        <f t="shared" si="69"/>
        <v>0.8</v>
      </c>
      <c r="P180" s="123">
        <f t="shared" si="69"/>
        <v>0.8</v>
      </c>
      <c r="Q180" s="123">
        <f t="shared" si="69"/>
        <v>0.8</v>
      </c>
      <c r="R180" s="123">
        <f t="shared" si="69"/>
        <v>0.8</v>
      </c>
      <c r="S180" s="123">
        <f t="shared" si="69"/>
        <v>0.8</v>
      </c>
      <c r="T180" s="123">
        <f t="shared" si="70"/>
        <v>0.8</v>
      </c>
      <c r="U180" s="123">
        <f t="shared" si="70"/>
        <v>0.8</v>
      </c>
      <c r="V180" s="123">
        <f t="shared" si="70"/>
        <v>0.8</v>
      </c>
      <c r="W180" s="123">
        <f t="shared" si="70"/>
        <v>0.8</v>
      </c>
      <c r="X180" s="123">
        <f t="shared" si="70"/>
        <v>0.8</v>
      </c>
      <c r="Y180" s="123">
        <f t="shared" si="70"/>
        <v>0.8</v>
      </c>
      <c r="Z180" s="123">
        <f t="shared" si="70"/>
        <v>0.8</v>
      </c>
      <c r="AA180" s="123">
        <f t="shared" si="70"/>
        <v>0.8</v>
      </c>
      <c r="AB180" s="123">
        <f t="shared" si="70"/>
        <v>0.8</v>
      </c>
      <c r="AC180" s="123">
        <f t="shared" si="70"/>
        <v>0.8</v>
      </c>
      <c r="AD180" s="123">
        <f t="shared" si="70"/>
        <v>0.8</v>
      </c>
      <c r="AE180" s="123">
        <f t="shared" si="70"/>
        <v>0.8</v>
      </c>
      <c r="AF180" s="123">
        <f t="shared" si="70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8"/>
        <v>0</v>
      </c>
      <c r="C181" s="124">
        <v>0</v>
      </c>
      <c r="D181" s="123">
        <f t="shared" si="69"/>
        <v>0</v>
      </c>
      <c r="E181" s="123">
        <f t="shared" si="69"/>
        <v>0</v>
      </c>
      <c r="F181" s="123">
        <f t="shared" si="69"/>
        <v>0</v>
      </c>
      <c r="G181" s="123">
        <f t="shared" si="69"/>
        <v>0</v>
      </c>
      <c r="H181" s="123">
        <f t="shared" si="69"/>
        <v>0</v>
      </c>
      <c r="I181" s="123">
        <f t="shared" si="69"/>
        <v>0</v>
      </c>
      <c r="J181" s="123">
        <f t="shared" si="69"/>
        <v>0</v>
      </c>
      <c r="K181" s="123">
        <f t="shared" si="69"/>
        <v>0</v>
      </c>
      <c r="L181" s="123">
        <f t="shared" si="69"/>
        <v>0</v>
      </c>
      <c r="M181" s="123">
        <f t="shared" si="69"/>
        <v>0</v>
      </c>
      <c r="N181" s="123">
        <f t="shared" si="69"/>
        <v>0</v>
      </c>
      <c r="O181" s="123">
        <f t="shared" si="69"/>
        <v>0</v>
      </c>
      <c r="P181" s="123">
        <f t="shared" si="69"/>
        <v>0</v>
      </c>
      <c r="Q181" s="123">
        <f t="shared" si="69"/>
        <v>0</v>
      </c>
      <c r="R181" s="123">
        <f t="shared" si="69"/>
        <v>0</v>
      </c>
      <c r="S181" s="123">
        <f t="shared" si="69"/>
        <v>0</v>
      </c>
      <c r="T181" s="123">
        <f t="shared" si="70"/>
        <v>0</v>
      </c>
      <c r="U181" s="123">
        <f t="shared" si="70"/>
        <v>0</v>
      </c>
      <c r="V181" s="123">
        <f t="shared" si="70"/>
        <v>0</v>
      </c>
      <c r="W181" s="123">
        <f t="shared" si="70"/>
        <v>0</v>
      </c>
      <c r="X181" s="123">
        <f t="shared" si="70"/>
        <v>0</v>
      </c>
      <c r="Y181" s="123">
        <f t="shared" si="70"/>
        <v>0</v>
      </c>
      <c r="Z181" s="123">
        <f t="shared" si="70"/>
        <v>0</v>
      </c>
      <c r="AA181" s="123">
        <f t="shared" si="70"/>
        <v>0</v>
      </c>
      <c r="AB181" s="123">
        <f t="shared" si="70"/>
        <v>0</v>
      </c>
      <c r="AC181" s="123">
        <f t="shared" si="70"/>
        <v>0</v>
      </c>
      <c r="AD181" s="123">
        <f t="shared" si="70"/>
        <v>0</v>
      </c>
      <c r="AE181" s="123">
        <f t="shared" si="70"/>
        <v>0</v>
      </c>
      <c r="AF181" s="123">
        <f t="shared" si="70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8"/>
        <v>0.6</v>
      </c>
      <c r="C182" s="124">
        <v>0.6</v>
      </c>
      <c r="D182" s="123">
        <f t="shared" si="69"/>
        <v>0.6</v>
      </c>
      <c r="E182" s="123">
        <f t="shared" si="69"/>
        <v>0.6</v>
      </c>
      <c r="F182" s="123">
        <f t="shared" si="69"/>
        <v>0.6</v>
      </c>
      <c r="G182" s="123">
        <f t="shared" si="69"/>
        <v>0.6</v>
      </c>
      <c r="H182" s="123">
        <f t="shared" si="69"/>
        <v>0.6</v>
      </c>
      <c r="I182" s="123">
        <f t="shared" si="69"/>
        <v>0.6</v>
      </c>
      <c r="J182" s="123">
        <f t="shared" si="69"/>
        <v>0.6</v>
      </c>
      <c r="K182" s="123">
        <f t="shared" si="69"/>
        <v>0.6</v>
      </c>
      <c r="L182" s="123">
        <f t="shared" si="69"/>
        <v>0.6</v>
      </c>
      <c r="M182" s="123">
        <f t="shared" si="69"/>
        <v>0.6</v>
      </c>
      <c r="N182" s="123">
        <f t="shared" si="69"/>
        <v>0.6</v>
      </c>
      <c r="O182" s="123">
        <f t="shared" si="69"/>
        <v>0.6</v>
      </c>
      <c r="P182" s="123">
        <f t="shared" si="69"/>
        <v>0.6</v>
      </c>
      <c r="Q182" s="123">
        <f t="shared" si="69"/>
        <v>0.6</v>
      </c>
      <c r="R182" s="123">
        <f t="shared" si="69"/>
        <v>0.6</v>
      </c>
      <c r="S182" s="123">
        <f t="shared" si="69"/>
        <v>0.6</v>
      </c>
      <c r="T182" s="123">
        <f t="shared" si="70"/>
        <v>0.6</v>
      </c>
      <c r="U182" s="123">
        <f t="shared" si="70"/>
        <v>0.6</v>
      </c>
      <c r="V182" s="123">
        <f t="shared" si="70"/>
        <v>0.6</v>
      </c>
      <c r="W182" s="123">
        <f t="shared" si="70"/>
        <v>0.6</v>
      </c>
      <c r="X182" s="123">
        <f t="shared" si="70"/>
        <v>0.6</v>
      </c>
      <c r="Y182" s="123">
        <f t="shared" si="70"/>
        <v>0.6</v>
      </c>
      <c r="Z182" s="123">
        <f t="shared" si="70"/>
        <v>0.6</v>
      </c>
      <c r="AA182" s="123">
        <f t="shared" si="70"/>
        <v>0.6</v>
      </c>
      <c r="AB182" s="123">
        <f t="shared" si="70"/>
        <v>0.6</v>
      </c>
      <c r="AC182" s="123">
        <f t="shared" si="70"/>
        <v>0.6</v>
      </c>
      <c r="AD182" s="123">
        <f t="shared" si="70"/>
        <v>0.6</v>
      </c>
      <c r="AE182" s="123">
        <f t="shared" si="70"/>
        <v>0.6</v>
      </c>
      <c r="AF182" s="123">
        <f t="shared" si="70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8"/>
        <v>0.6</v>
      </c>
      <c r="C183" s="124">
        <v>0.6</v>
      </c>
      <c r="D183" s="123">
        <f t="shared" si="69"/>
        <v>0.6</v>
      </c>
      <c r="E183" s="123">
        <f t="shared" si="69"/>
        <v>0.6</v>
      </c>
      <c r="F183" s="123">
        <f t="shared" si="69"/>
        <v>0.6</v>
      </c>
      <c r="G183" s="123">
        <f t="shared" si="69"/>
        <v>0.6</v>
      </c>
      <c r="H183" s="123">
        <f t="shared" si="69"/>
        <v>0.6</v>
      </c>
      <c r="I183" s="123">
        <f t="shared" si="69"/>
        <v>0.6</v>
      </c>
      <c r="J183" s="123">
        <f t="shared" si="69"/>
        <v>0.6</v>
      </c>
      <c r="K183" s="123">
        <f t="shared" si="69"/>
        <v>0.6</v>
      </c>
      <c r="L183" s="123">
        <f t="shared" si="69"/>
        <v>0.6</v>
      </c>
      <c r="M183" s="123">
        <f t="shared" si="69"/>
        <v>0.6</v>
      </c>
      <c r="N183" s="123">
        <f t="shared" si="69"/>
        <v>0.6</v>
      </c>
      <c r="O183" s="123">
        <f t="shared" si="69"/>
        <v>0.6</v>
      </c>
      <c r="P183" s="123">
        <f t="shared" si="69"/>
        <v>0.6</v>
      </c>
      <c r="Q183" s="123">
        <f t="shared" si="69"/>
        <v>0.6</v>
      </c>
      <c r="R183" s="123">
        <f t="shared" si="69"/>
        <v>0.6</v>
      </c>
      <c r="S183" s="123">
        <f t="shared" si="69"/>
        <v>0.6</v>
      </c>
      <c r="T183" s="123">
        <f t="shared" si="70"/>
        <v>0.6</v>
      </c>
      <c r="U183" s="123">
        <f t="shared" si="70"/>
        <v>0.6</v>
      </c>
      <c r="V183" s="123">
        <f t="shared" si="70"/>
        <v>0.6</v>
      </c>
      <c r="W183" s="123">
        <f t="shared" si="70"/>
        <v>0.6</v>
      </c>
      <c r="X183" s="123">
        <f t="shared" si="70"/>
        <v>0.6</v>
      </c>
      <c r="Y183" s="123">
        <f t="shared" si="70"/>
        <v>0.6</v>
      </c>
      <c r="Z183" s="123">
        <f t="shared" si="70"/>
        <v>0.6</v>
      </c>
      <c r="AA183" s="123">
        <f t="shared" si="70"/>
        <v>0.6</v>
      </c>
      <c r="AB183" s="123">
        <f t="shared" si="70"/>
        <v>0.6</v>
      </c>
      <c r="AC183" s="123">
        <f t="shared" si="70"/>
        <v>0.6</v>
      </c>
      <c r="AD183" s="123">
        <f t="shared" si="70"/>
        <v>0.6</v>
      </c>
      <c r="AE183" s="123">
        <f t="shared" si="70"/>
        <v>0.6</v>
      </c>
      <c r="AF183" s="123">
        <f t="shared" si="70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8"/>
        <v>0.35</v>
      </c>
      <c r="C184" s="124">
        <v>0.35</v>
      </c>
      <c r="D184" s="123">
        <f t="shared" si="69"/>
        <v>0.35</v>
      </c>
      <c r="E184" s="123">
        <f t="shared" si="69"/>
        <v>0.35</v>
      </c>
      <c r="F184" s="123">
        <f t="shared" si="69"/>
        <v>0.35</v>
      </c>
      <c r="G184" s="123">
        <f t="shared" si="69"/>
        <v>0.35</v>
      </c>
      <c r="H184" s="123">
        <f t="shared" si="69"/>
        <v>0.35</v>
      </c>
      <c r="I184" s="123">
        <f t="shared" si="69"/>
        <v>0.35</v>
      </c>
      <c r="J184" s="123">
        <f t="shared" si="69"/>
        <v>0.35</v>
      </c>
      <c r="K184" s="123">
        <f t="shared" si="69"/>
        <v>0.35</v>
      </c>
      <c r="L184" s="123">
        <f t="shared" si="69"/>
        <v>0.35</v>
      </c>
      <c r="M184" s="123">
        <f t="shared" si="69"/>
        <v>0.35</v>
      </c>
      <c r="N184" s="123">
        <f t="shared" si="69"/>
        <v>0.35</v>
      </c>
      <c r="O184" s="123">
        <f t="shared" si="69"/>
        <v>0.35</v>
      </c>
      <c r="P184" s="123">
        <f t="shared" si="69"/>
        <v>0.35</v>
      </c>
      <c r="Q184" s="123">
        <f t="shared" si="69"/>
        <v>0.35</v>
      </c>
      <c r="R184" s="123">
        <f t="shared" si="69"/>
        <v>0.35</v>
      </c>
      <c r="S184" s="123">
        <f t="shared" si="69"/>
        <v>0.35</v>
      </c>
      <c r="T184" s="123">
        <f t="shared" si="70"/>
        <v>0.35</v>
      </c>
      <c r="U184" s="123">
        <f t="shared" si="70"/>
        <v>0.35</v>
      </c>
      <c r="V184" s="123">
        <f t="shared" si="70"/>
        <v>0.35</v>
      </c>
      <c r="W184" s="123">
        <f t="shared" si="70"/>
        <v>0.35</v>
      </c>
      <c r="X184" s="123">
        <f t="shared" si="70"/>
        <v>0.35</v>
      </c>
      <c r="Y184" s="123">
        <f t="shared" si="70"/>
        <v>0.35</v>
      </c>
      <c r="Z184" s="123">
        <f t="shared" si="70"/>
        <v>0.35</v>
      </c>
      <c r="AA184" s="123">
        <f t="shared" si="70"/>
        <v>0.35</v>
      </c>
      <c r="AB184" s="123">
        <f t="shared" si="70"/>
        <v>0.35</v>
      </c>
      <c r="AC184" s="123">
        <f t="shared" si="70"/>
        <v>0.35</v>
      </c>
      <c r="AD184" s="123">
        <f t="shared" si="70"/>
        <v>0.35</v>
      </c>
      <c r="AE184" s="123">
        <f t="shared" si="70"/>
        <v>0.35</v>
      </c>
      <c r="AF184" s="123">
        <f t="shared" si="70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8"/>
        <v>0.28999999999999998</v>
      </c>
      <c r="C185" s="124">
        <v>0.28999999999999998</v>
      </c>
      <c r="D185" s="123">
        <f t="shared" si="69"/>
        <v>0.28999999999999998</v>
      </c>
      <c r="E185" s="123">
        <f t="shared" si="69"/>
        <v>0.28999999999999998</v>
      </c>
      <c r="F185" s="123">
        <f t="shared" si="69"/>
        <v>0.28999999999999998</v>
      </c>
      <c r="G185" s="123">
        <f t="shared" si="69"/>
        <v>0.28999999999999998</v>
      </c>
      <c r="H185" s="123">
        <f t="shared" si="69"/>
        <v>0.28999999999999998</v>
      </c>
      <c r="I185" s="123">
        <f t="shared" si="69"/>
        <v>0.28999999999999998</v>
      </c>
      <c r="J185" s="123">
        <f t="shared" si="69"/>
        <v>0.28999999999999998</v>
      </c>
      <c r="K185" s="123">
        <f t="shared" si="69"/>
        <v>0.28999999999999998</v>
      </c>
      <c r="L185" s="123">
        <f t="shared" si="69"/>
        <v>0.28999999999999998</v>
      </c>
      <c r="M185" s="123">
        <f t="shared" si="69"/>
        <v>0.28999999999999998</v>
      </c>
      <c r="N185" s="123">
        <f t="shared" si="69"/>
        <v>0.28999999999999998</v>
      </c>
      <c r="O185" s="123">
        <f t="shared" si="69"/>
        <v>0.28999999999999998</v>
      </c>
      <c r="P185" s="123">
        <f t="shared" si="69"/>
        <v>0.28999999999999998</v>
      </c>
      <c r="Q185" s="123">
        <f t="shared" si="69"/>
        <v>0.28999999999999998</v>
      </c>
      <c r="R185" s="123">
        <f t="shared" si="69"/>
        <v>0.28999999999999998</v>
      </c>
      <c r="S185" s="123">
        <f t="shared" si="69"/>
        <v>0.28999999999999998</v>
      </c>
      <c r="T185" s="123">
        <f t="shared" si="70"/>
        <v>0.28999999999999998</v>
      </c>
      <c r="U185" s="123">
        <f t="shared" si="70"/>
        <v>0.28999999999999998</v>
      </c>
      <c r="V185" s="123">
        <f t="shared" si="70"/>
        <v>0.28999999999999998</v>
      </c>
      <c r="W185" s="123">
        <f t="shared" si="70"/>
        <v>0.28999999999999998</v>
      </c>
      <c r="X185" s="123">
        <f t="shared" si="70"/>
        <v>0.28999999999999998</v>
      </c>
      <c r="Y185" s="123">
        <f t="shared" si="70"/>
        <v>0.28999999999999998</v>
      </c>
      <c r="Z185" s="123">
        <f t="shared" si="70"/>
        <v>0.28999999999999998</v>
      </c>
      <c r="AA185" s="123">
        <f t="shared" si="70"/>
        <v>0.28999999999999998</v>
      </c>
      <c r="AB185" s="123">
        <f t="shared" si="70"/>
        <v>0.28999999999999998</v>
      </c>
      <c r="AC185" s="123">
        <f t="shared" si="70"/>
        <v>0.28999999999999998</v>
      </c>
      <c r="AD185" s="123">
        <f t="shared" si="70"/>
        <v>0.28999999999999998</v>
      </c>
      <c r="AE185" s="123">
        <f t="shared" si="70"/>
        <v>0.28999999999999998</v>
      </c>
      <c r="AF185" s="123">
        <f t="shared" si="70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8"/>
        <v>0.06</v>
      </c>
      <c r="C186" s="124">
        <v>0.06</v>
      </c>
      <c r="D186" s="123">
        <f t="shared" si="69"/>
        <v>0.06</v>
      </c>
      <c r="E186" s="123">
        <f t="shared" si="69"/>
        <v>0.06</v>
      </c>
      <c r="F186" s="123">
        <f t="shared" si="69"/>
        <v>0.06</v>
      </c>
      <c r="G186" s="123">
        <f t="shared" si="69"/>
        <v>0.06</v>
      </c>
      <c r="H186" s="123">
        <f t="shared" si="69"/>
        <v>0.06</v>
      </c>
      <c r="I186" s="123">
        <f t="shared" si="69"/>
        <v>0.06</v>
      </c>
      <c r="J186" s="123">
        <f t="shared" si="69"/>
        <v>0.06</v>
      </c>
      <c r="K186" s="123">
        <f t="shared" si="69"/>
        <v>0.06</v>
      </c>
      <c r="L186" s="123">
        <f t="shared" si="69"/>
        <v>0.06</v>
      </c>
      <c r="M186" s="123">
        <f t="shared" si="69"/>
        <v>0.06</v>
      </c>
      <c r="N186" s="123">
        <f t="shared" si="69"/>
        <v>0.06</v>
      </c>
      <c r="O186" s="123">
        <f t="shared" si="69"/>
        <v>0.06</v>
      </c>
      <c r="P186" s="123">
        <f t="shared" si="69"/>
        <v>0.06</v>
      </c>
      <c r="Q186" s="123">
        <f t="shared" si="69"/>
        <v>0.06</v>
      </c>
      <c r="R186" s="123">
        <f t="shared" si="69"/>
        <v>0.06</v>
      </c>
      <c r="S186" s="123">
        <f t="shared" si="69"/>
        <v>0.06</v>
      </c>
      <c r="T186" s="123">
        <f t="shared" si="70"/>
        <v>0.06</v>
      </c>
      <c r="U186" s="123">
        <f t="shared" si="70"/>
        <v>0.06</v>
      </c>
      <c r="V186" s="123">
        <f t="shared" si="70"/>
        <v>0.06</v>
      </c>
      <c r="W186" s="123">
        <f t="shared" si="70"/>
        <v>0.06</v>
      </c>
      <c r="X186" s="123">
        <f t="shared" si="70"/>
        <v>0.06</v>
      </c>
      <c r="Y186" s="123">
        <f t="shared" si="70"/>
        <v>0.06</v>
      </c>
      <c r="Z186" s="123">
        <f t="shared" si="70"/>
        <v>0.06</v>
      </c>
      <c r="AA186" s="123">
        <f t="shared" si="70"/>
        <v>0.06</v>
      </c>
      <c r="AB186" s="123">
        <f t="shared" si="70"/>
        <v>0.06</v>
      </c>
      <c r="AC186" s="123">
        <f t="shared" si="70"/>
        <v>0.06</v>
      </c>
      <c r="AD186" s="123">
        <f t="shared" si="70"/>
        <v>0.06</v>
      </c>
      <c r="AE186" s="123">
        <f t="shared" si="70"/>
        <v>0.06</v>
      </c>
      <c r="AF186" s="123">
        <f t="shared" si="70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8"/>
        <v>0.11</v>
      </c>
      <c r="C187" s="124">
        <v>0.11</v>
      </c>
      <c r="D187" s="123">
        <f t="shared" si="69"/>
        <v>0.11</v>
      </c>
      <c r="E187" s="123">
        <f t="shared" si="69"/>
        <v>0.11</v>
      </c>
      <c r="F187" s="123">
        <f t="shared" si="69"/>
        <v>0.11</v>
      </c>
      <c r="G187" s="123">
        <f t="shared" si="69"/>
        <v>0.11</v>
      </c>
      <c r="H187" s="123">
        <f t="shared" si="69"/>
        <v>0.11</v>
      </c>
      <c r="I187" s="123">
        <f t="shared" si="69"/>
        <v>0.11</v>
      </c>
      <c r="J187" s="123">
        <f t="shared" si="69"/>
        <v>0.11</v>
      </c>
      <c r="K187" s="123">
        <f t="shared" si="69"/>
        <v>0.11</v>
      </c>
      <c r="L187" s="123">
        <f t="shared" si="69"/>
        <v>0.11</v>
      </c>
      <c r="M187" s="123">
        <f t="shared" si="69"/>
        <v>0.11</v>
      </c>
      <c r="N187" s="123">
        <f t="shared" si="69"/>
        <v>0.11</v>
      </c>
      <c r="O187" s="123">
        <f t="shared" si="69"/>
        <v>0.11</v>
      </c>
      <c r="P187" s="123">
        <f t="shared" si="69"/>
        <v>0.11</v>
      </c>
      <c r="Q187" s="123">
        <f t="shared" si="69"/>
        <v>0.11</v>
      </c>
      <c r="R187" s="123">
        <f t="shared" si="69"/>
        <v>0.11</v>
      </c>
      <c r="S187" s="123">
        <f t="shared" si="69"/>
        <v>0.11</v>
      </c>
      <c r="T187" s="123">
        <f t="shared" si="70"/>
        <v>0.11</v>
      </c>
      <c r="U187" s="123">
        <f t="shared" si="70"/>
        <v>0.11</v>
      </c>
      <c r="V187" s="123">
        <f t="shared" si="70"/>
        <v>0.11</v>
      </c>
      <c r="W187" s="123">
        <f t="shared" si="70"/>
        <v>0.11</v>
      </c>
      <c r="X187" s="123">
        <f t="shared" si="70"/>
        <v>0.11</v>
      </c>
      <c r="Y187" s="123">
        <f t="shared" si="70"/>
        <v>0.11</v>
      </c>
      <c r="Z187" s="123">
        <f t="shared" si="70"/>
        <v>0.11</v>
      </c>
      <c r="AA187" s="123">
        <f t="shared" si="70"/>
        <v>0.11</v>
      </c>
      <c r="AB187" s="123">
        <f t="shared" si="70"/>
        <v>0.11</v>
      </c>
      <c r="AC187" s="123">
        <f t="shared" si="70"/>
        <v>0.11</v>
      </c>
      <c r="AD187" s="123">
        <f t="shared" si="70"/>
        <v>0.11</v>
      </c>
      <c r="AE187" s="123">
        <f t="shared" si="70"/>
        <v>0.11</v>
      </c>
      <c r="AF187" s="123">
        <f t="shared" si="70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8"/>
        <v>0.1</v>
      </c>
      <c r="C188" s="124">
        <v>0.1</v>
      </c>
      <c r="D188" s="123">
        <f t="shared" si="69"/>
        <v>0.1</v>
      </c>
      <c r="E188" s="123">
        <f t="shared" si="69"/>
        <v>0.1</v>
      </c>
      <c r="F188" s="123">
        <f t="shared" si="69"/>
        <v>0.1</v>
      </c>
      <c r="G188" s="123">
        <f t="shared" si="69"/>
        <v>0.1</v>
      </c>
      <c r="H188" s="123">
        <f t="shared" si="69"/>
        <v>0.1</v>
      </c>
      <c r="I188" s="123">
        <f t="shared" si="69"/>
        <v>0.1</v>
      </c>
      <c r="J188" s="123">
        <f t="shared" si="69"/>
        <v>0.1</v>
      </c>
      <c r="K188" s="123">
        <f t="shared" si="69"/>
        <v>0.1</v>
      </c>
      <c r="L188" s="123">
        <f t="shared" si="69"/>
        <v>0.1</v>
      </c>
      <c r="M188" s="123">
        <f t="shared" si="69"/>
        <v>0.1</v>
      </c>
      <c r="N188" s="123">
        <f t="shared" si="69"/>
        <v>0.1</v>
      </c>
      <c r="O188" s="123">
        <f t="shared" si="69"/>
        <v>0.1</v>
      </c>
      <c r="P188" s="123">
        <f t="shared" si="69"/>
        <v>0.1</v>
      </c>
      <c r="Q188" s="123">
        <f t="shared" si="69"/>
        <v>0.1</v>
      </c>
      <c r="R188" s="123">
        <f t="shared" si="69"/>
        <v>0.1</v>
      </c>
      <c r="S188" s="123">
        <f t="shared" si="70"/>
        <v>0.1</v>
      </c>
      <c r="T188" s="123">
        <f t="shared" si="70"/>
        <v>0.1</v>
      </c>
      <c r="U188" s="123">
        <f t="shared" si="70"/>
        <v>0.1</v>
      </c>
      <c r="V188" s="123">
        <f t="shared" si="70"/>
        <v>0.1</v>
      </c>
      <c r="W188" s="123">
        <f t="shared" si="70"/>
        <v>0.1</v>
      </c>
      <c r="X188" s="123">
        <f t="shared" si="70"/>
        <v>0.1</v>
      </c>
      <c r="Y188" s="123">
        <f t="shared" si="70"/>
        <v>0.1</v>
      </c>
      <c r="Z188" s="123">
        <f t="shared" si="70"/>
        <v>0.1</v>
      </c>
      <c r="AA188" s="123">
        <f t="shared" si="70"/>
        <v>0.1</v>
      </c>
      <c r="AB188" s="123">
        <f t="shared" si="70"/>
        <v>0.1</v>
      </c>
      <c r="AC188" s="123">
        <f t="shared" si="70"/>
        <v>0.1</v>
      </c>
      <c r="AD188" s="123">
        <f t="shared" si="70"/>
        <v>0.1</v>
      </c>
      <c r="AE188" s="123">
        <f t="shared" si="70"/>
        <v>0.1</v>
      </c>
      <c r="AF188" s="123">
        <f t="shared" si="70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8"/>
        <v>0.09</v>
      </c>
      <c r="C189" s="124">
        <v>0.09</v>
      </c>
      <c r="D189" s="123">
        <f t="shared" si="69"/>
        <v>0.09</v>
      </c>
      <c r="E189" s="123">
        <f t="shared" si="69"/>
        <v>0.09</v>
      </c>
      <c r="F189" s="123">
        <f t="shared" si="69"/>
        <v>0.09</v>
      </c>
      <c r="G189" s="123">
        <f t="shared" si="69"/>
        <v>0.09</v>
      </c>
      <c r="H189" s="123">
        <f t="shared" si="69"/>
        <v>0.09</v>
      </c>
      <c r="I189" s="123">
        <f t="shared" si="69"/>
        <v>0.09</v>
      </c>
      <c r="J189" s="123">
        <f t="shared" si="69"/>
        <v>0.09</v>
      </c>
      <c r="K189" s="123">
        <f t="shared" si="69"/>
        <v>0.09</v>
      </c>
      <c r="L189" s="123">
        <f t="shared" si="69"/>
        <v>0.09</v>
      </c>
      <c r="M189" s="123">
        <f t="shared" si="69"/>
        <v>0.09</v>
      </c>
      <c r="N189" s="123">
        <f t="shared" si="69"/>
        <v>0.09</v>
      </c>
      <c r="O189" s="123">
        <f t="shared" si="69"/>
        <v>0.09</v>
      </c>
      <c r="P189" s="123">
        <f t="shared" si="69"/>
        <v>0.09</v>
      </c>
      <c r="Q189" s="123">
        <f t="shared" si="69"/>
        <v>0.09</v>
      </c>
      <c r="R189" s="123">
        <f t="shared" si="69"/>
        <v>0.09</v>
      </c>
      <c r="S189" s="123">
        <f t="shared" si="70"/>
        <v>0.09</v>
      </c>
      <c r="T189" s="123">
        <f t="shared" si="70"/>
        <v>0.09</v>
      </c>
      <c r="U189" s="123">
        <f t="shared" si="70"/>
        <v>0.09</v>
      </c>
      <c r="V189" s="123">
        <f t="shared" si="70"/>
        <v>0.09</v>
      </c>
      <c r="W189" s="123">
        <f t="shared" si="70"/>
        <v>0.09</v>
      </c>
      <c r="X189" s="123">
        <f t="shared" si="70"/>
        <v>0.09</v>
      </c>
      <c r="Y189" s="123">
        <f t="shared" si="70"/>
        <v>0.09</v>
      </c>
      <c r="Z189" s="123">
        <f t="shared" si="70"/>
        <v>0.09</v>
      </c>
      <c r="AA189" s="123">
        <f t="shared" si="70"/>
        <v>0.09</v>
      </c>
      <c r="AB189" s="123">
        <f t="shared" si="70"/>
        <v>0.09</v>
      </c>
      <c r="AC189" s="123">
        <f t="shared" si="70"/>
        <v>0.09</v>
      </c>
      <c r="AD189" s="123">
        <f t="shared" si="70"/>
        <v>0.09</v>
      </c>
      <c r="AE189" s="123">
        <f t="shared" si="70"/>
        <v>0.09</v>
      </c>
      <c r="AF189" s="123">
        <f t="shared" si="70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8"/>
        <v>0.04</v>
      </c>
      <c r="C190" s="54">
        <v>0.04</v>
      </c>
      <c r="D190" s="123">
        <f t="shared" si="69"/>
        <v>0.04</v>
      </c>
      <c r="E190" s="123">
        <f t="shared" si="69"/>
        <v>0.04</v>
      </c>
      <c r="F190" s="123">
        <f t="shared" si="69"/>
        <v>0.04</v>
      </c>
      <c r="G190" s="123">
        <f t="shared" si="69"/>
        <v>0.04</v>
      </c>
      <c r="H190" s="123">
        <f t="shared" si="69"/>
        <v>0.04</v>
      </c>
      <c r="I190" s="123">
        <f t="shared" si="69"/>
        <v>0.04</v>
      </c>
      <c r="J190" s="123">
        <f t="shared" si="69"/>
        <v>0.04</v>
      </c>
      <c r="K190" s="123">
        <f t="shared" si="69"/>
        <v>0.04</v>
      </c>
      <c r="L190" s="123">
        <f t="shared" si="69"/>
        <v>0.04</v>
      </c>
      <c r="M190" s="123">
        <f t="shared" si="69"/>
        <v>0.04</v>
      </c>
      <c r="N190" s="123">
        <f t="shared" si="69"/>
        <v>0.04</v>
      </c>
      <c r="O190" s="123">
        <f t="shared" si="69"/>
        <v>0.04</v>
      </c>
      <c r="P190" s="123">
        <f t="shared" si="69"/>
        <v>0.04</v>
      </c>
      <c r="Q190" s="123">
        <f t="shared" si="69"/>
        <v>0.04</v>
      </c>
      <c r="R190" s="123">
        <f t="shared" si="69"/>
        <v>0.04</v>
      </c>
      <c r="S190" s="123">
        <f t="shared" si="70"/>
        <v>0.04</v>
      </c>
      <c r="T190" s="123">
        <f t="shared" si="70"/>
        <v>0.04</v>
      </c>
      <c r="U190" s="123">
        <f t="shared" si="70"/>
        <v>0.04</v>
      </c>
      <c r="V190" s="123">
        <f t="shared" si="70"/>
        <v>0.04</v>
      </c>
      <c r="W190" s="123">
        <f t="shared" si="70"/>
        <v>0.04</v>
      </c>
      <c r="X190" s="123">
        <f t="shared" si="70"/>
        <v>0.04</v>
      </c>
      <c r="Y190" s="123">
        <f t="shared" si="70"/>
        <v>0.04</v>
      </c>
      <c r="Z190" s="123">
        <f t="shared" si="70"/>
        <v>0.04</v>
      </c>
      <c r="AA190" s="123">
        <f t="shared" si="70"/>
        <v>0.04</v>
      </c>
      <c r="AB190" s="123">
        <f t="shared" si="70"/>
        <v>0.04</v>
      </c>
      <c r="AC190" s="123">
        <f t="shared" si="70"/>
        <v>0.04</v>
      </c>
      <c r="AD190" s="123">
        <f t="shared" si="70"/>
        <v>0.04</v>
      </c>
      <c r="AE190" s="123">
        <f t="shared" si="70"/>
        <v>0.04</v>
      </c>
      <c r="AF190" s="123">
        <f t="shared" si="70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8"/>
        <v>2.3E-2</v>
      </c>
      <c r="C191" s="54">
        <v>2.3E-2</v>
      </c>
      <c r="D191" s="123">
        <f>C191</f>
        <v>2.3E-2</v>
      </c>
      <c r="E191" s="123">
        <f t="shared" si="69"/>
        <v>2.3E-2</v>
      </c>
      <c r="F191" s="123">
        <f t="shared" si="69"/>
        <v>2.3E-2</v>
      </c>
      <c r="G191" s="123">
        <f t="shared" si="69"/>
        <v>2.3E-2</v>
      </c>
      <c r="H191" s="123">
        <f t="shared" si="69"/>
        <v>2.3E-2</v>
      </c>
      <c r="I191" s="123">
        <f t="shared" si="69"/>
        <v>2.3E-2</v>
      </c>
      <c r="J191" s="123">
        <f t="shared" si="69"/>
        <v>2.3E-2</v>
      </c>
      <c r="K191" s="123">
        <f t="shared" si="69"/>
        <v>2.3E-2</v>
      </c>
      <c r="L191" s="123">
        <f t="shared" si="69"/>
        <v>2.3E-2</v>
      </c>
      <c r="M191" s="123">
        <f t="shared" si="69"/>
        <v>2.3E-2</v>
      </c>
      <c r="N191" s="123">
        <f t="shared" si="69"/>
        <v>2.3E-2</v>
      </c>
      <c r="O191" s="123">
        <f t="shared" si="69"/>
        <v>2.3E-2</v>
      </c>
      <c r="P191" s="123">
        <f t="shared" si="69"/>
        <v>2.3E-2</v>
      </c>
      <c r="Q191" s="123">
        <f t="shared" si="69"/>
        <v>2.3E-2</v>
      </c>
      <c r="R191" s="123">
        <f t="shared" si="69"/>
        <v>2.3E-2</v>
      </c>
      <c r="S191" s="123">
        <f t="shared" si="70"/>
        <v>2.3E-2</v>
      </c>
      <c r="T191" s="123">
        <f t="shared" si="70"/>
        <v>2.3E-2</v>
      </c>
      <c r="U191" s="123">
        <f t="shared" si="70"/>
        <v>2.3E-2</v>
      </c>
      <c r="V191" s="123">
        <f t="shared" si="70"/>
        <v>2.3E-2</v>
      </c>
      <c r="W191" s="123">
        <f t="shared" si="70"/>
        <v>2.3E-2</v>
      </c>
      <c r="X191" s="123">
        <f t="shared" si="70"/>
        <v>2.3E-2</v>
      </c>
      <c r="Y191" s="123">
        <f t="shared" si="70"/>
        <v>2.3E-2</v>
      </c>
      <c r="Z191" s="123">
        <f t="shared" si="70"/>
        <v>2.3E-2</v>
      </c>
      <c r="AA191" s="123">
        <f t="shared" si="70"/>
        <v>2.3E-2</v>
      </c>
      <c r="AB191" s="123">
        <f t="shared" si="70"/>
        <v>2.3E-2</v>
      </c>
      <c r="AC191" s="123">
        <f t="shared" si="70"/>
        <v>2.3E-2</v>
      </c>
      <c r="AD191" s="123">
        <f t="shared" si="70"/>
        <v>2.3E-2</v>
      </c>
      <c r="AE191" s="123">
        <f t="shared" si="70"/>
        <v>2.3E-2</v>
      </c>
      <c r="AF191" s="123">
        <f t="shared" si="70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71">SUM(C102:C191)</f>
        <v>194.70600000000002</v>
      </c>
      <c r="D192" s="128">
        <f t="shared" si="71"/>
        <v>194.70600000000002</v>
      </c>
      <c r="E192" s="128">
        <f t="shared" si="71"/>
        <v>194.70600000000002</v>
      </c>
      <c r="F192" s="128">
        <f t="shared" si="71"/>
        <v>194.70600000000002</v>
      </c>
      <c r="G192" s="128">
        <f t="shared" si="71"/>
        <v>194.70600000000002</v>
      </c>
      <c r="H192" s="128">
        <f t="shared" si="71"/>
        <v>194.70600000000002</v>
      </c>
      <c r="I192" s="128">
        <f t="shared" si="71"/>
        <v>189.70600000000005</v>
      </c>
      <c r="J192" s="128">
        <f t="shared" si="71"/>
        <v>187.10600000000005</v>
      </c>
      <c r="K192" s="128">
        <f t="shared" si="71"/>
        <v>187.10600000000005</v>
      </c>
      <c r="L192" s="128">
        <f t="shared" si="71"/>
        <v>187.10600000000005</v>
      </c>
      <c r="M192" s="128">
        <f t="shared" si="71"/>
        <v>187.10600000000005</v>
      </c>
      <c r="N192" s="128">
        <f t="shared" si="71"/>
        <v>187.10600000000005</v>
      </c>
      <c r="O192" s="128">
        <f t="shared" si="71"/>
        <v>187.10600000000005</v>
      </c>
      <c r="P192" s="128">
        <f t="shared" si="71"/>
        <v>187.10600000000005</v>
      </c>
      <c r="Q192" s="128">
        <f t="shared" si="71"/>
        <v>187.10600000000005</v>
      </c>
      <c r="R192" s="128">
        <f t="shared" si="71"/>
        <v>187.10600000000005</v>
      </c>
      <c r="S192" s="128">
        <f t="shared" si="71"/>
        <v>187.10600000000005</v>
      </c>
      <c r="T192" s="128">
        <f t="shared" si="71"/>
        <v>187.10600000000005</v>
      </c>
      <c r="U192" s="128">
        <f t="shared" si="71"/>
        <v>187.10600000000005</v>
      </c>
      <c r="V192" s="128">
        <f t="shared" si="71"/>
        <v>187.10600000000005</v>
      </c>
      <c r="W192" s="128">
        <f t="shared" si="71"/>
        <v>187.10600000000005</v>
      </c>
      <c r="X192" s="128">
        <f t="shared" si="71"/>
        <v>187.10600000000005</v>
      </c>
      <c r="Y192" s="128">
        <f t="shared" si="71"/>
        <v>187.10600000000005</v>
      </c>
      <c r="Z192" s="128">
        <f t="shared" si="71"/>
        <v>187.10600000000005</v>
      </c>
      <c r="AA192" s="128">
        <f t="shared" si="71"/>
        <v>187.10600000000005</v>
      </c>
      <c r="AB192" s="128">
        <f t="shared" si="71"/>
        <v>187.10600000000005</v>
      </c>
      <c r="AC192" s="128">
        <f t="shared" si="71"/>
        <v>187.10600000000005</v>
      </c>
      <c r="AD192" s="128">
        <f t="shared" si="71"/>
        <v>187.10600000000005</v>
      </c>
      <c r="AE192" s="128">
        <f t="shared" si="71"/>
        <v>187.10600000000005</v>
      </c>
      <c r="AF192" s="128">
        <f t="shared" si="71"/>
        <v>187.10600000000005</v>
      </c>
      <c r="AG192" s="129">
        <f t="shared" si="71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72">AF194</f>
        <v>0.3</v>
      </c>
      <c r="C194" s="130">
        <v>0.3</v>
      </c>
      <c r="D194" s="130">
        <f t="shared" ref="D194:S199" si="73">C194</f>
        <v>0.3</v>
      </c>
      <c r="E194" s="130">
        <f t="shared" si="73"/>
        <v>0.3</v>
      </c>
      <c r="F194" s="130">
        <f t="shared" si="73"/>
        <v>0.3</v>
      </c>
      <c r="G194" s="130">
        <f t="shared" si="73"/>
        <v>0.3</v>
      </c>
      <c r="H194" s="130">
        <f t="shared" si="73"/>
        <v>0.3</v>
      </c>
      <c r="I194" s="130">
        <f t="shared" si="73"/>
        <v>0.3</v>
      </c>
      <c r="J194" s="130">
        <f t="shared" si="73"/>
        <v>0.3</v>
      </c>
      <c r="K194" s="130">
        <f t="shared" si="73"/>
        <v>0.3</v>
      </c>
      <c r="L194" s="130">
        <f t="shared" si="73"/>
        <v>0.3</v>
      </c>
      <c r="M194" s="130">
        <f t="shared" si="73"/>
        <v>0.3</v>
      </c>
      <c r="N194" s="130">
        <f t="shared" si="73"/>
        <v>0.3</v>
      </c>
      <c r="O194" s="130">
        <f t="shared" si="73"/>
        <v>0.3</v>
      </c>
      <c r="P194" s="130">
        <f t="shared" si="73"/>
        <v>0.3</v>
      </c>
      <c r="Q194" s="130">
        <f t="shared" si="73"/>
        <v>0.3</v>
      </c>
      <c r="R194" s="130">
        <f t="shared" si="73"/>
        <v>0.3</v>
      </c>
      <c r="S194" s="130">
        <f t="shared" si="73"/>
        <v>0.3</v>
      </c>
      <c r="T194" s="130">
        <f t="shared" ref="T194:AF199" si="74">S194</f>
        <v>0.3</v>
      </c>
      <c r="U194" s="130">
        <f t="shared" si="74"/>
        <v>0.3</v>
      </c>
      <c r="V194" s="130">
        <f t="shared" si="74"/>
        <v>0.3</v>
      </c>
      <c r="W194" s="130">
        <f t="shared" si="74"/>
        <v>0.3</v>
      </c>
      <c r="X194" s="130">
        <f t="shared" si="74"/>
        <v>0.3</v>
      </c>
      <c r="Y194" s="130">
        <f t="shared" si="74"/>
        <v>0.3</v>
      </c>
      <c r="Z194" s="130">
        <f t="shared" si="74"/>
        <v>0.3</v>
      </c>
      <c r="AA194" s="130">
        <f t="shared" si="74"/>
        <v>0.3</v>
      </c>
      <c r="AB194" s="130">
        <f t="shared" si="74"/>
        <v>0.3</v>
      </c>
      <c r="AC194" s="130">
        <f t="shared" si="74"/>
        <v>0.3</v>
      </c>
      <c r="AD194" s="130">
        <f t="shared" si="74"/>
        <v>0.3</v>
      </c>
      <c r="AE194" s="130">
        <f t="shared" si="74"/>
        <v>0.3</v>
      </c>
      <c r="AF194" s="130">
        <f t="shared" si="74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72"/>
        <v>0.4</v>
      </c>
      <c r="C195" s="123">
        <v>0.4</v>
      </c>
      <c r="D195" s="123">
        <f t="shared" si="73"/>
        <v>0.4</v>
      </c>
      <c r="E195" s="123">
        <f t="shared" si="73"/>
        <v>0.4</v>
      </c>
      <c r="F195" s="123">
        <f t="shared" si="73"/>
        <v>0.4</v>
      </c>
      <c r="G195" s="123">
        <f t="shared" si="73"/>
        <v>0.4</v>
      </c>
      <c r="H195" s="123">
        <f t="shared" si="73"/>
        <v>0.4</v>
      </c>
      <c r="I195" s="123">
        <f t="shared" si="73"/>
        <v>0.4</v>
      </c>
      <c r="J195" s="123">
        <f t="shared" si="73"/>
        <v>0.4</v>
      </c>
      <c r="K195" s="123">
        <f t="shared" si="73"/>
        <v>0.4</v>
      </c>
      <c r="L195" s="123">
        <f t="shared" si="73"/>
        <v>0.4</v>
      </c>
      <c r="M195" s="123">
        <f t="shared" si="73"/>
        <v>0.4</v>
      </c>
      <c r="N195" s="123">
        <f t="shared" si="73"/>
        <v>0.4</v>
      </c>
      <c r="O195" s="123">
        <f t="shared" si="73"/>
        <v>0.4</v>
      </c>
      <c r="P195" s="123">
        <f t="shared" si="73"/>
        <v>0.4</v>
      </c>
      <c r="Q195" s="123">
        <f t="shared" si="73"/>
        <v>0.4</v>
      </c>
      <c r="R195" s="123">
        <f t="shared" si="73"/>
        <v>0.4</v>
      </c>
      <c r="S195" s="123">
        <f t="shared" si="73"/>
        <v>0.4</v>
      </c>
      <c r="T195" s="123">
        <f t="shared" si="74"/>
        <v>0.4</v>
      </c>
      <c r="U195" s="123">
        <f t="shared" si="74"/>
        <v>0.4</v>
      </c>
      <c r="V195" s="123">
        <f t="shared" si="74"/>
        <v>0.4</v>
      </c>
      <c r="W195" s="123">
        <f>V195</f>
        <v>0.4</v>
      </c>
      <c r="X195" s="123">
        <f>W195</f>
        <v>0.4</v>
      </c>
      <c r="Y195" s="123">
        <f t="shared" si="74"/>
        <v>0.4</v>
      </c>
      <c r="Z195" s="123">
        <f t="shared" si="74"/>
        <v>0.4</v>
      </c>
      <c r="AA195" s="123">
        <f t="shared" si="74"/>
        <v>0.4</v>
      </c>
      <c r="AB195" s="123">
        <f t="shared" si="74"/>
        <v>0.4</v>
      </c>
      <c r="AC195" s="123">
        <f t="shared" si="74"/>
        <v>0.4</v>
      </c>
      <c r="AD195" s="123">
        <f t="shared" si="74"/>
        <v>0.4</v>
      </c>
      <c r="AE195" s="123">
        <f t="shared" si="74"/>
        <v>0.4</v>
      </c>
      <c r="AF195" s="123">
        <f t="shared" si="74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72"/>
        <v>1.5</v>
      </c>
      <c r="C196" s="123">
        <v>1.5</v>
      </c>
      <c r="D196" s="123">
        <f t="shared" si="73"/>
        <v>1.5</v>
      </c>
      <c r="E196" s="123">
        <f t="shared" si="73"/>
        <v>1.5</v>
      </c>
      <c r="F196" s="123">
        <f t="shared" si="73"/>
        <v>1.5</v>
      </c>
      <c r="G196" s="123">
        <f t="shared" si="73"/>
        <v>1.5</v>
      </c>
      <c r="H196" s="123">
        <f t="shared" si="73"/>
        <v>1.5</v>
      </c>
      <c r="I196" s="123">
        <f t="shared" si="73"/>
        <v>1.5</v>
      </c>
      <c r="J196" s="123">
        <f t="shared" si="73"/>
        <v>1.5</v>
      </c>
      <c r="K196" s="123">
        <f t="shared" si="73"/>
        <v>1.5</v>
      </c>
      <c r="L196" s="123">
        <f t="shared" si="73"/>
        <v>1.5</v>
      </c>
      <c r="M196" s="123">
        <f t="shared" si="73"/>
        <v>1.5</v>
      </c>
      <c r="N196" s="123">
        <f t="shared" si="73"/>
        <v>1.5</v>
      </c>
      <c r="O196" s="123">
        <f t="shared" si="73"/>
        <v>1.5</v>
      </c>
      <c r="P196" s="123">
        <f t="shared" si="73"/>
        <v>1.5</v>
      </c>
      <c r="Q196" s="123">
        <f t="shared" si="73"/>
        <v>1.5</v>
      </c>
      <c r="R196" s="123">
        <f t="shared" si="73"/>
        <v>1.5</v>
      </c>
      <c r="S196" s="123">
        <f t="shared" si="73"/>
        <v>1.5</v>
      </c>
      <c r="T196" s="123">
        <f t="shared" si="74"/>
        <v>1.5</v>
      </c>
      <c r="U196" s="123">
        <f t="shared" si="74"/>
        <v>1.5</v>
      </c>
      <c r="V196" s="123">
        <f t="shared" si="74"/>
        <v>1.5</v>
      </c>
      <c r="W196" s="123">
        <f t="shared" si="74"/>
        <v>1.5</v>
      </c>
      <c r="X196" s="123">
        <f t="shared" si="74"/>
        <v>1.5</v>
      </c>
      <c r="Y196" s="123">
        <f t="shared" si="74"/>
        <v>1.5</v>
      </c>
      <c r="Z196" s="123">
        <f t="shared" si="74"/>
        <v>1.5</v>
      </c>
      <c r="AA196" s="123">
        <f t="shared" si="74"/>
        <v>1.5</v>
      </c>
      <c r="AB196" s="123">
        <f t="shared" si="74"/>
        <v>1.5</v>
      </c>
      <c r="AC196" s="123">
        <f t="shared" si="74"/>
        <v>1.5</v>
      </c>
      <c r="AD196" s="123">
        <f t="shared" si="74"/>
        <v>1.5</v>
      </c>
      <c r="AE196" s="123">
        <f t="shared" si="74"/>
        <v>1.5</v>
      </c>
      <c r="AF196" s="123">
        <f t="shared" si="74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72"/>
        <v>0.3</v>
      </c>
      <c r="C197" s="123">
        <v>0.3</v>
      </c>
      <c r="D197" s="123">
        <f t="shared" si="73"/>
        <v>0.3</v>
      </c>
      <c r="E197" s="123">
        <f t="shared" si="73"/>
        <v>0.3</v>
      </c>
      <c r="F197" s="123">
        <f t="shared" si="73"/>
        <v>0.3</v>
      </c>
      <c r="G197" s="123">
        <f t="shared" si="73"/>
        <v>0.3</v>
      </c>
      <c r="H197" s="123">
        <f t="shared" si="73"/>
        <v>0.3</v>
      </c>
      <c r="I197" s="123">
        <f t="shared" si="73"/>
        <v>0.3</v>
      </c>
      <c r="J197" s="123">
        <f t="shared" si="73"/>
        <v>0.3</v>
      </c>
      <c r="K197" s="123">
        <f t="shared" si="73"/>
        <v>0.3</v>
      </c>
      <c r="L197" s="123">
        <f t="shared" si="73"/>
        <v>0.3</v>
      </c>
      <c r="M197" s="123">
        <f t="shared" si="73"/>
        <v>0.3</v>
      </c>
      <c r="N197" s="123">
        <f t="shared" si="73"/>
        <v>0.3</v>
      </c>
      <c r="O197" s="123">
        <f t="shared" si="73"/>
        <v>0.3</v>
      </c>
      <c r="P197" s="123">
        <f t="shared" si="73"/>
        <v>0.3</v>
      </c>
      <c r="Q197" s="123">
        <f t="shared" si="73"/>
        <v>0.3</v>
      </c>
      <c r="R197" s="123">
        <f t="shared" si="73"/>
        <v>0.3</v>
      </c>
      <c r="S197" s="123">
        <f t="shared" si="73"/>
        <v>0.3</v>
      </c>
      <c r="T197" s="123">
        <f t="shared" si="74"/>
        <v>0.3</v>
      </c>
      <c r="U197" s="123">
        <f t="shared" si="74"/>
        <v>0.3</v>
      </c>
      <c r="V197" s="123">
        <f t="shared" si="74"/>
        <v>0.3</v>
      </c>
      <c r="W197" s="123">
        <f t="shared" si="74"/>
        <v>0.3</v>
      </c>
      <c r="X197" s="123">
        <f t="shared" si="74"/>
        <v>0.3</v>
      </c>
      <c r="Y197" s="123">
        <f t="shared" si="74"/>
        <v>0.3</v>
      </c>
      <c r="Z197" s="123">
        <f t="shared" si="74"/>
        <v>0.3</v>
      </c>
      <c r="AA197" s="123">
        <f t="shared" si="74"/>
        <v>0.3</v>
      </c>
      <c r="AB197" s="123">
        <f t="shared" si="74"/>
        <v>0.3</v>
      </c>
      <c r="AC197" s="123">
        <f t="shared" si="74"/>
        <v>0.3</v>
      </c>
      <c r="AD197" s="123">
        <f t="shared" si="74"/>
        <v>0.3</v>
      </c>
      <c r="AE197" s="123">
        <f t="shared" si="74"/>
        <v>0.3</v>
      </c>
      <c r="AF197" s="123">
        <f t="shared" si="74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72"/>
        <v>0.4</v>
      </c>
      <c r="C198" s="123">
        <v>0.4</v>
      </c>
      <c r="D198" s="123">
        <f t="shared" si="73"/>
        <v>0.4</v>
      </c>
      <c r="E198" s="123">
        <f t="shared" si="73"/>
        <v>0.4</v>
      </c>
      <c r="F198" s="123">
        <f t="shared" si="73"/>
        <v>0.4</v>
      </c>
      <c r="G198" s="123">
        <f t="shared" si="73"/>
        <v>0.4</v>
      </c>
      <c r="H198" s="123">
        <f t="shared" si="73"/>
        <v>0.4</v>
      </c>
      <c r="I198" s="123">
        <f t="shared" si="73"/>
        <v>0.4</v>
      </c>
      <c r="J198" s="123">
        <f t="shared" si="73"/>
        <v>0.4</v>
      </c>
      <c r="K198" s="123">
        <f t="shared" si="73"/>
        <v>0.4</v>
      </c>
      <c r="L198" s="123">
        <f t="shared" si="73"/>
        <v>0.4</v>
      </c>
      <c r="M198" s="123">
        <f t="shared" si="73"/>
        <v>0.4</v>
      </c>
      <c r="N198" s="123">
        <f t="shared" si="73"/>
        <v>0.4</v>
      </c>
      <c r="O198" s="123">
        <f t="shared" si="73"/>
        <v>0.4</v>
      </c>
      <c r="P198" s="123">
        <f t="shared" si="73"/>
        <v>0.4</v>
      </c>
      <c r="Q198" s="123">
        <f t="shared" si="73"/>
        <v>0.4</v>
      </c>
      <c r="R198" s="123">
        <f t="shared" si="73"/>
        <v>0.4</v>
      </c>
      <c r="S198" s="123">
        <f t="shared" si="73"/>
        <v>0.4</v>
      </c>
      <c r="T198" s="123">
        <f t="shared" si="74"/>
        <v>0.4</v>
      </c>
      <c r="U198" s="123">
        <f t="shared" si="74"/>
        <v>0.4</v>
      </c>
      <c r="V198" s="123">
        <f t="shared" si="74"/>
        <v>0.4</v>
      </c>
      <c r="W198" s="123">
        <f t="shared" si="74"/>
        <v>0.4</v>
      </c>
      <c r="X198" s="123">
        <f t="shared" si="74"/>
        <v>0.4</v>
      </c>
      <c r="Y198" s="123">
        <f t="shared" si="74"/>
        <v>0.4</v>
      </c>
      <c r="Z198" s="123">
        <f t="shared" si="74"/>
        <v>0.4</v>
      </c>
      <c r="AA198" s="123">
        <f t="shared" si="74"/>
        <v>0.4</v>
      </c>
      <c r="AB198" s="123">
        <f t="shared" si="74"/>
        <v>0.4</v>
      </c>
      <c r="AC198" s="123">
        <f t="shared" si="74"/>
        <v>0.4</v>
      </c>
      <c r="AD198" s="123">
        <f t="shared" si="74"/>
        <v>0.4</v>
      </c>
      <c r="AE198" s="123">
        <f t="shared" si="74"/>
        <v>0.4</v>
      </c>
      <c r="AF198" s="123">
        <f t="shared" si="74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72"/>
        <v>0.64</v>
      </c>
      <c r="C199" s="133">
        <v>0.64</v>
      </c>
      <c r="D199" s="133">
        <f t="shared" si="73"/>
        <v>0.64</v>
      </c>
      <c r="E199" s="133">
        <f t="shared" si="73"/>
        <v>0.64</v>
      </c>
      <c r="F199" s="133">
        <f t="shared" si="73"/>
        <v>0.64</v>
      </c>
      <c r="G199" s="133">
        <f t="shared" si="73"/>
        <v>0.64</v>
      </c>
      <c r="H199" s="133">
        <f t="shared" si="73"/>
        <v>0.64</v>
      </c>
      <c r="I199" s="133">
        <f t="shared" si="73"/>
        <v>0.64</v>
      </c>
      <c r="J199" s="133">
        <f t="shared" si="73"/>
        <v>0.64</v>
      </c>
      <c r="K199" s="133">
        <f t="shared" si="73"/>
        <v>0.64</v>
      </c>
      <c r="L199" s="133">
        <f t="shared" si="73"/>
        <v>0.64</v>
      </c>
      <c r="M199" s="133">
        <f t="shared" si="73"/>
        <v>0.64</v>
      </c>
      <c r="N199" s="133">
        <f t="shared" si="73"/>
        <v>0.64</v>
      </c>
      <c r="O199" s="133">
        <f t="shared" si="73"/>
        <v>0.64</v>
      </c>
      <c r="P199" s="133">
        <f t="shared" si="73"/>
        <v>0.64</v>
      </c>
      <c r="Q199" s="133">
        <f t="shared" si="73"/>
        <v>0.64</v>
      </c>
      <c r="R199" s="133">
        <f t="shared" si="73"/>
        <v>0.64</v>
      </c>
      <c r="S199" s="133">
        <f t="shared" si="73"/>
        <v>0.64</v>
      </c>
      <c r="T199" s="133">
        <f t="shared" si="74"/>
        <v>0.64</v>
      </c>
      <c r="U199" s="133">
        <f t="shared" si="74"/>
        <v>0.64</v>
      </c>
      <c r="V199" s="133">
        <f t="shared" si="74"/>
        <v>0.64</v>
      </c>
      <c r="W199" s="133">
        <f t="shared" si="74"/>
        <v>0.64</v>
      </c>
      <c r="X199" s="133">
        <f t="shared" si="74"/>
        <v>0.64</v>
      </c>
      <c r="Y199" s="133">
        <f t="shared" si="74"/>
        <v>0.64</v>
      </c>
      <c r="Z199" s="133">
        <f t="shared" si="74"/>
        <v>0.64</v>
      </c>
      <c r="AA199" s="133">
        <f t="shared" si="74"/>
        <v>0.64</v>
      </c>
      <c r="AB199" s="133">
        <f t="shared" si="74"/>
        <v>0.64</v>
      </c>
      <c r="AC199" s="133">
        <f t="shared" si="74"/>
        <v>0.64</v>
      </c>
      <c r="AD199" s="133">
        <f t="shared" si="74"/>
        <v>0.64</v>
      </c>
      <c r="AE199" s="133">
        <f t="shared" si="74"/>
        <v>0.64</v>
      </c>
      <c r="AF199" s="133">
        <f t="shared" si="74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5">SUM(D194:D199)</f>
        <v>3.54</v>
      </c>
      <c r="E200" s="136">
        <f t="shared" si="75"/>
        <v>3.54</v>
      </c>
      <c r="F200" s="136">
        <f t="shared" si="75"/>
        <v>3.54</v>
      </c>
      <c r="G200" s="136">
        <f t="shared" si="75"/>
        <v>3.54</v>
      </c>
      <c r="H200" s="136">
        <f t="shared" si="75"/>
        <v>3.54</v>
      </c>
      <c r="I200" s="136">
        <f t="shared" si="75"/>
        <v>3.54</v>
      </c>
      <c r="J200" s="136">
        <f t="shared" si="75"/>
        <v>3.54</v>
      </c>
      <c r="K200" s="136">
        <f t="shared" si="75"/>
        <v>3.54</v>
      </c>
      <c r="L200" s="136">
        <f t="shared" si="75"/>
        <v>3.54</v>
      </c>
      <c r="M200" s="136">
        <f>SUM(M194:M199)</f>
        <v>3.54</v>
      </c>
      <c r="N200" s="136">
        <f t="shared" ref="N200:S200" si="76">SUM(N194:N199)</f>
        <v>3.54</v>
      </c>
      <c r="O200" s="136">
        <f t="shared" si="76"/>
        <v>3.54</v>
      </c>
      <c r="P200" s="136">
        <f t="shared" si="76"/>
        <v>3.54</v>
      </c>
      <c r="Q200" s="136">
        <f t="shared" si="76"/>
        <v>3.54</v>
      </c>
      <c r="R200" s="136">
        <f t="shared" si="76"/>
        <v>3.54</v>
      </c>
      <c r="S200" s="136">
        <f t="shared" si="76"/>
        <v>3.54</v>
      </c>
      <c r="T200" s="136">
        <f>SUM(T194:T199)</f>
        <v>3.54</v>
      </c>
      <c r="U200" s="136">
        <f t="shared" ref="U200:AG200" si="77">SUM(U194:U199)</f>
        <v>3.54</v>
      </c>
      <c r="V200" s="136">
        <f t="shared" si="77"/>
        <v>3.54</v>
      </c>
      <c r="W200" s="136">
        <f t="shared" si="77"/>
        <v>3.54</v>
      </c>
      <c r="X200" s="136">
        <f t="shared" si="77"/>
        <v>3.54</v>
      </c>
      <c r="Y200" s="136">
        <f t="shared" si="77"/>
        <v>3.54</v>
      </c>
      <c r="Z200" s="136">
        <f t="shared" si="77"/>
        <v>3.54</v>
      </c>
      <c r="AA200" s="136">
        <f t="shared" si="77"/>
        <v>3.54</v>
      </c>
      <c r="AB200" s="136">
        <f t="shared" si="77"/>
        <v>3.54</v>
      </c>
      <c r="AC200" s="136">
        <f t="shared" si="77"/>
        <v>3.54</v>
      </c>
      <c r="AD200" s="136">
        <f t="shared" si="77"/>
        <v>3.54</v>
      </c>
      <c r="AE200" s="136">
        <f t="shared" si="77"/>
        <v>3.54</v>
      </c>
      <c r="AF200" s="136">
        <f t="shared" si="77"/>
        <v>3.54</v>
      </c>
      <c r="AG200" s="137">
        <f t="shared" si="77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1718.54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9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2079/02/9)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2079/02/9)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8">B75</f>
        <v>1712.84</v>
      </c>
      <c r="U214" s="161">
        <f t="shared" si="78"/>
        <v>1689.79</v>
      </c>
      <c r="V214" s="161">
        <f t="shared" si="78"/>
        <v>1687.6</v>
      </c>
      <c r="W214" s="161">
        <f t="shared" si="78"/>
        <v>1700.94</v>
      </c>
      <c r="X214" s="161">
        <f t="shared" si="78"/>
        <v>1722.4399999999998</v>
      </c>
      <c r="Y214" s="161">
        <f t="shared" si="78"/>
        <v>1716.74</v>
      </c>
      <c r="Z214" s="161">
        <f t="shared" si="78"/>
        <v>1708.74</v>
      </c>
      <c r="AA214" s="161">
        <f t="shared" si="78"/>
        <v>1706.74</v>
      </c>
      <c r="AB214" s="161">
        <f t="shared" si="78"/>
        <v>1702.74</v>
      </c>
      <c r="AC214" s="161">
        <f t="shared" si="78"/>
        <v>1700.34</v>
      </c>
      <c r="AD214" s="161">
        <f t="shared" si="78"/>
        <v>1718.54</v>
      </c>
      <c r="AE214" s="161">
        <f t="shared" si="78"/>
        <v>1628.2399999999998</v>
      </c>
      <c r="AF214" s="161">
        <f t="shared" si="78"/>
        <v>1680.9399999999998</v>
      </c>
      <c r="AG214" s="161">
        <f t="shared" si="78"/>
        <v>1682.44</v>
      </c>
      <c r="AH214" s="161">
        <f t="shared" si="78"/>
        <v>1690.24</v>
      </c>
      <c r="AI214" s="161">
        <f t="shared" si="78"/>
        <v>1745.6399999999999</v>
      </c>
      <c r="AJ214" s="161">
        <f t="shared" si="78"/>
        <v>1735.04</v>
      </c>
      <c r="AK214" s="161">
        <f t="shared" si="78"/>
        <v>1656.04</v>
      </c>
      <c r="AL214" s="161">
        <f t="shared" si="78"/>
        <v>1665.04</v>
      </c>
      <c r="AM214" s="161">
        <f t="shared" si="78"/>
        <v>1726.5399999999997</v>
      </c>
      <c r="AN214" s="161">
        <f t="shared" si="78"/>
        <v>1729.5399999999997</v>
      </c>
      <c r="AO214" s="161">
        <f t="shared" si="78"/>
        <v>1728.34</v>
      </c>
      <c r="AP214" s="161">
        <f t="shared" si="78"/>
        <v>1710.9399999999998</v>
      </c>
      <c r="AQ214" s="161">
        <f t="shared" si="78"/>
        <v>1726.2899999999997</v>
      </c>
      <c r="AR214" s="161">
        <f t="shared" si="78"/>
        <v>1725.9399999999998</v>
      </c>
      <c r="AS214" s="161">
        <f t="shared" si="78"/>
        <v>1744.59</v>
      </c>
      <c r="AT214" s="161">
        <f t="shared" si="78"/>
        <v>1749.5499999999997</v>
      </c>
      <c r="AU214" s="161">
        <f t="shared" si="78"/>
        <v>1747.4199999999998</v>
      </c>
      <c r="AV214" s="161">
        <f t="shared" si="78"/>
        <v>1749.7399999999998</v>
      </c>
      <c r="AW214" s="161">
        <f t="shared" si="78"/>
        <v>1654.7399999999998</v>
      </c>
      <c r="AX214" s="161">
        <f t="shared" si="78"/>
        <v>1734.7399999999998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9">C199</f>
        <v>0.64</v>
      </c>
      <c r="C235" s="164">
        <f t="shared" si="79"/>
        <v>0.64</v>
      </c>
      <c r="D235" s="164">
        <f t="shared" si="79"/>
        <v>0.64</v>
      </c>
      <c r="E235" s="164">
        <f t="shared" si="79"/>
        <v>0.64</v>
      </c>
      <c r="F235" s="164">
        <f t="shared" si="79"/>
        <v>0.64</v>
      </c>
      <c r="G235" s="164">
        <f t="shared" si="79"/>
        <v>0.64</v>
      </c>
      <c r="H235" s="164">
        <f t="shared" si="79"/>
        <v>0.64</v>
      </c>
      <c r="I235" s="164">
        <f t="shared" si="79"/>
        <v>0.64</v>
      </c>
      <c r="J235" s="164">
        <f t="shared" si="79"/>
        <v>0.64</v>
      </c>
      <c r="K235" s="164">
        <f t="shared" si="79"/>
        <v>0.64</v>
      </c>
      <c r="L235" s="164">
        <f t="shared" si="79"/>
        <v>0.64</v>
      </c>
      <c r="M235" s="164">
        <f t="shared" si="79"/>
        <v>0.64</v>
      </c>
      <c r="N235" s="164">
        <f t="shared" si="79"/>
        <v>0.64</v>
      </c>
      <c r="O235" s="164">
        <f t="shared" si="79"/>
        <v>0.64</v>
      </c>
      <c r="P235" s="164">
        <f t="shared" si="79"/>
        <v>0.64</v>
      </c>
      <c r="Q235" s="164">
        <f t="shared" si="79"/>
        <v>0.64</v>
      </c>
      <c r="R235" s="164">
        <f t="shared" si="79"/>
        <v>0.64</v>
      </c>
      <c r="S235" s="164">
        <f t="shared" si="79"/>
        <v>0.64</v>
      </c>
      <c r="T235" s="164">
        <f t="shared" si="79"/>
        <v>0.64</v>
      </c>
      <c r="U235" s="164">
        <f t="shared" si="79"/>
        <v>0.64</v>
      </c>
      <c r="V235" s="164">
        <f t="shared" si="79"/>
        <v>0.64</v>
      </c>
      <c r="W235" s="164">
        <f t="shared" si="79"/>
        <v>0.64</v>
      </c>
      <c r="X235" s="164">
        <f t="shared" si="79"/>
        <v>0.64</v>
      </c>
      <c r="Y235" s="164">
        <f t="shared" si="79"/>
        <v>0.64</v>
      </c>
      <c r="Z235" s="164">
        <f t="shared" si="79"/>
        <v>0.64</v>
      </c>
      <c r="AA235" s="164">
        <f t="shared" si="79"/>
        <v>0.64</v>
      </c>
      <c r="AB235" s="164">
        <f t="shared" si="79"/>
        <v>0.64</v>
      </c>
      <c r="AC235" s="164">
        <f t="shared" si="79"/>
        <v>0.64</v>
      </c>
      <c r="AD235" s="164">
        <f t="shared" si="79"/>
        <v>0.64</v>
      </c>
      <c r="AE235" s="164">
        <f t="shared" si="79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80">IF(C203&lt;100,"",C203-520)</f>
        <v/>
      </c>
      <c r="D236" s="107" t="str">
        <f t="shared" si="80"/>
        <v/>
      </c>
      <c r="E236" s="107" t="str">
        <f t="shared" si="80"/>
        <v/>
      </c>
      <c r="F236" s="107" t="str">
        <f t="shared" si="80"/>
        <v/>
      </c>
      <c r="G236" s="107" t="str">
        <f t="shared" si="80"/>
        <v/>
      </c>
      <c r="H236" s="107" t="str">
        <f t="shared" si="80"/>
        <v/>
      </c>
      <c r="I236" s="107" t="str">
        <f t="shared" si="80"/>
        <v/>
      </c>
      <c r="J236" s="107" t="str">
        <f t="shared" si="80"/>
        <v/>
      </c>
      <c r="K236" s="107" t="str">
        <f t="shared" si="80"/>
        <v/>
      </c>
      <c r="L236" s="107" t="str">
        <f t="shared" si="80"/>
        <v/>
      </c>
      <c r="M236" s="107" t="str">
        <f t="shared" si="80"/>
        <v/>
      </c>
      <c r="N236" s="107" t="str">
        <f t="shared" si="80"/>
        <v/>
      </c>
      <c r="O236" s="107" t="str">
        <f t="shared" si="80"/>
        <v/>
      </c>
      <c r="P236" s="107" t="str">
        <f t="shared" si="80"/>
        <v/>
      </c>
      <c r="Q236" s="107" t="str">
        <f t="shared" si="80"/>
        <v/>
      </c>
      <c r="R236" s="107" t="str">
        <f t="shared" si="80"/>
        <v/>
      </c>
      <c r="S236" s="107" t="str">
        <f t="shared" si="80"/>
        <v/>
      </c>
      <c r="T236" s="107" t="str">
        <f t="shared" si="80"/>
        <v/>
      </c>
      <c r="U236" s="107" t="str">
        <f t="shared" si="80"/>
        <v/>
      </c>
      <c r="V236" s="107" t="str">
        <f t="shared" si="80"/>
        <v/>
      </c>
      <c r="W236" s="107" t="str">
        <f t="shared" si="80"/>
        <v/>
      </c>
      <c r="X236" s="107" t="str">
        <f t="shared" si="80"/>
        <v/>
      </c>
      <c r="Y236" s="107" t="str">
        <f t="shared" si="80"/>
        <v/>
      </c>
      <c r="Z236" s="107" t="str">
        <f t="shared" si="80"/>
        <v/>
      </c>
      <c r="AA236" s="107" t="str">
        <f t="shared" si="80"/>
        <v/>
      </c>
      <c r="AB236" s="107" t="str">
        <f t="shared" si="80"/>
        <v/>
      </c>
      <c r="AC236" s="107" t="str">
        <f t="shared" si="80"/>
        <v/>
      </c>
      <c r="AD236" s="107" t="str">
        <f t="shared" si="80"/>
        <v/>
      </c>
      <c r="AE236" s="107" t="str">
        <f t="shared" si="80"/>
        <v/>
      </c>
      <c r="AF236" s="107" t="str">
        <f t="shared" si="80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81">IF(B204&lt;100,"",B204-620)</f>
        <v/>
      </c>
      <c r="C237" s="107" t="str">
        <f t="shared" si="81"/>
        <v/>
      </c>
      <c r="D237" s="107" t="str">
        <f t="shared" si="81"/>
        <v/>
      </c>
      <c r="E237" s="107" t="str">
        <f t="shared" si="81"/>
        <v/>
      </c>
      <c r="F237" s="107" t="str">
        <f t="shared" si="81"/>
        <v/>
      </c>
      <c r="G237" s="107" t="str">
        <f t="shared" si="81"/>
        <v/>
      </c>
      <c r="H237" s="107" t="str">
        <f t="shared" si="81"/>
        <v/>
      </c>
      <c r="I237" s="107" t="str">
        <f t="shared" si="81"/>
        <v/>
      </c>
      <c r="J237" s="107" t="str">
        <f t="shared" si="81"/>
        <v/>
      </c>
      <c r="K237" s="107" t="str">
        <f t="shared" si="81"/>
        <v/>
      </c>
      <c r="L237" s="107" t="str">
        <f t="shared" si="81"/>
        <v/>
      </c>
      <c r="M237" s="107" t="str">
        <f t="shared" si="81"/>
        <v/>
      </c>
      <c r="N237" s="107" t="str">
        <f t="shared" si="81"/>
        <v/>
      </c>
      <c r="O237" s="107" t="str">
        <f t="shared" si="81"/>
        <v/>
      </c>
      <c r="P237" s="107" t="str">
        <f t="shared" si="81"/>
        <v/>
      </c>
      <c r="Q237" s="107" t="str">
        <f t="shared" si="81"/>
        <v/>
      </c>
      <c r="R237" s="107" t="str">
        <f t="shared" si="81"/>
        <v/>
      </c>
      <c r="S237" s="107" t="str">
        <f t="shared" si="81"/>
        <v/>
      </c>
      <c r="T237" s="107" t="str">
        <f t="shared" si="81"/>
        <v/>
      </c>
      <c r="U237" s="107" t="str">
        <f t="shared" si="81"/>
        <v/>
      </c>
      <c r="V237" s="107" t="str">
        <f t="shared" si="81"/>
        <v/>
      </c>
      <c r="W237" s="107" t="str">
        <f t="shared" si="81"/>
        <v/>
      </c>
      <c r="X237" s="107" t="str">
        <f t="shared" si="81"/>
        <v/>
      </c>
      <c r="Y237" s="107" t="str">
        <f t="shared" si="81"/>
        <v/>
      </c>
      <c r="Z237" s="107" t="str">
        <f t="shared" si="81"/>
        <v/>
      </c>
      <c r="AA237" s="107" t="str">
        <f t="shared" si="81"/>
        <v/>
      </c>
      <c r="AB237" s="107" t="str">
        <f t="shared" si="81"/>
        <v/>
      </c>
      <c r="AC237" s="107" t="str">
        <f t="shared" si="81"/>
        <v/>
      </c>
      <c r="AD237" s="107" t="str">
        <f t="shared" si="81"/>
        <v/>
      </c>
      <c r="AE237" s="107" t="str">
        <f t="shared" si="81"/>
        <v/>
      </c>
      <c r="AF237" s="107" t="str">
        <f t="shared" si="81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82">IF(B205&lt;100,"",B205-330)</f>
        <v/>
      </c>
      <c r="C238" s="107" t="str">
        <f t="shared" si="82"/>
        <v/>
      </c>
      <c r="D238" s="107" t="str">
        <f t="shared" si="82"/>
        <v/>
      </c>
      <c r="E238" s="107" t="str">
        <f t="shared" si="82"/>
        <v/>
      </c>
      <c r="F238" s="107" t="str">
        <f t="shared" si="82"/>
        <v/>
      </c>
      <c r="G238" s="107" t="str">
        <f t="shared" si="82"/>
        <v/>
      </c>
      <c r="H238" s="107" t="str">
        <f t="shared" si="82"/>
        <v/>
      </c>
      <c r="I238" s="107" t="str">
        <f t="shared" si="82"/>
        <v/>
      </c>
      <c r="J238" s="107" t="str">
        <f t="shared" si="82"/>
        <v/>
      </c>
      <c r="K238" s="107" t="str">
        <f t="shared" si="82"/>
        <v/>
      </c>
      <c r="L238" s="107" t="str">
        <f t="shared" si="82"/>
        <v/>
      </c>
      <c r="M238" s="107" t="str">
        <f t="shared" si="82"/>
        <v/>
      </c>
      <c r="N238" s="107" t="str">
        <f t="shared" si="82"/>
        <v/>
      </c>
      <c r="O238" s="107" t="str">
        <f t="shared" si="82"/>
        <v/>
      </c>
      <c r="P238" s="107" t="str">
        <f t="shared" si="82"/>
        <v/>
      </c>
      <c r="Q238" s="107" t="str">
        <f t="shared" si="82"/>
        <v/>
      </c>
      <c r="R238" s="107" t="str">
        <f t="shared" si="82"/>
        <v/>
      </c>
      <c r="S238" s="107" t="str">
        <f t="shared" si="82"/>
        <v/>
      </c>
      <c r="T238" s="107" t="str">
        <f t="shared" si="82"/>
        <v/>
      </c>
      <c r="U238" s="107" t="str">
        <f t="shared" si="82"/>
        <v/>
      </c>
      <c r="V238" s="107" t="str">
        <f t="shared" si="82"/>
        <v/>
      </c>
      <c r="W238" s="107" t="str">
        <f t="shared" si="82"/>
        <v/>
      </c>
      <c r="X238" s="107" t="str">
        <f t="shared" si="82"/>
        <v/>
      </c>
      <c r="Y238" s="107" t="str">
        <f t="shared" si="82"/>
        <v/>
      </c>
      <c r="Z238" s="107" t="str">
        <f t="shared" si="82"/>
        <v/>
      </c>
      <c r="AA238" s="107" t="str">
        <f t="shared" si="82"/>
        <v/>
      </c>
      <c r="AB238" s="107" t="str">
        <f t="shared" si="82"/>
        <v/>
      </c>
      <c r="AC238" s="107" t="str">
        <f t="shared" si="82"/>
        <v/>
      </c>
      <c r="AD238" s="107" t="str">
        <f t="shared" si="82"/>
        <v/>
      </c>
      <c r="AE238" s="107" t="str">
        <f t="shared" si="82"/>
        <v/>
      </c>
      <c r="AF238" s="107" t="str">
        <f t="shared" si="82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3">IF(C206&lt;100,"",C206-1500)</f>
        <v/>
      </c>
      <c r="D239" s="107" t="str">
        <f t="shared" si="83"/>
        <v/>
      </c>
      <c r="E239" s="107" t="str">
        <f t="shared" si="83"/>
        <v/>
      </c>
      <c r="F239" s="107" t="str">
        <f t="shared" si="83"/>
        <v/>
      </c>
      <c r="G239" s="107" t="str">
        <f t="shared" si="83"/>
        <v/>
      </c>
      <c r="H239" s="107" t="str">
        <f t="shared" si="83"/>
        <v/>
      </c>
      <c r="I239" s="107" t="str">
        <f t="shared" si="83"/>
        <v/>
      </c>
      <c r="J239" s="107" t="str">
        <f t="shared" si="83"/>
        <v/>
      </c>
      <c r="K239" s="107" t="str">
        <f t="shared" si="83"/>
        <v/>
      </c>
      <c r="L239" s="107" t="str">
        <f t="shared" si="83"/>
        <v/>
      </c>
      <c r="M239" s="107" t="str">
        <f t="shared" si="83"/>
        <v/>
      </c>
      <c r="N239" s="107" t="str">
        <f t="shared" si="83"/>
        <v/>
      </c>
      <c r="O239" s="107" t="str">
        <f t="shared" si="83"/>
        <v/>
      </c>
      <c r="P239" s="107" t="str">
        <f t="shared" si="83"/>
        <v/>
      </c>
      <c r="Q239" s="107" t="str">
        <f t="shared" si="83"/>
        <v/>
      </c>
      <c r="R239" s="107" t="str">
        <f t="shared" si="83"/>
        <v/>
      </c>
      <c r="S239" s="107" t="str">
        <f t="shared" si="83"/>
        <v/>
      </c>
      <c r="T239" s="107" t="str">
        <f t="shared" si="83"/>
        <v/>
      </c>
      <c r="U239" s="107" t="str">
        <f t="shared" si="83"/>
        <v/>
      </c>
      <c r="V239" s="107" t="str">
        <f t="shared" si="83"/>
        <v/>
      </c>
      <c r="W239" s="107" t="str">
        <f t="shared" si="83"/>
        <v/>
      </c>
      <c r="X239" s="107" t="str">
        <f t="shared" si="83"/>
        <v/>
      </c>
      <c r="Y239" s="107" t="str">
        <f t="shared" si="83"/>
        <v/>
      </c>
      <c r="Z239" s="107" t="str">
        <f t="shared" si="83"/>
        <v/>
      </c>
      <c r="AA239" s="107" t="str">
        <f t="shared" si="83"/>
        <v/>
      </c>
      <c r="AB239" s="107" t="str">
        <f t="shared" si="83"/>
        <v/>
      </c>
      <c r="AC239" s="107" t="str">
        <f t="shared" si="83"/>
        <v/>
      </c>
      <c r="AD239" s="107" t="str">
        <f t="shared" si="83"/>
        <v/>
      </c>
      <c r="AE239" s="107" t="str">
        <f t="shared" si="83"/>
        <v/>
      </c>
      <c r="AF239" s="107" t="str">
        <f t="shared" si="83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U11:AF11">
    <cfRule type="expression" dxfId="5103" priority="220">
      <formula>B$9&gt;=20/24</formula>
    </cfRule>
    <cfRule type="expression" dxfId="5102" priority="221">
      <formula>AND(B$9&gt;=14/24,B$9&lt;20/24)</formula>
    </cfRule>
    <cfRule type="expression" dxfId="5101" priority="222">
      <formula>AND(B$9&gt;=8/24,B$9&lt;14/24)</formula>
    </cfRule>
    <cfRule type="expression" dxfId="5100" priority="223">
      <formula>B$9&lt;8/24</formula>
    </cfRule>
  </conditionalFormatting>
  <conditionalFormatting sqref="AL4:AL6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099" priority="215">
      <formula>S$9&gt;=20/24</formula>
    </cfRule>
    <cfRule type="expression" dxfId="5098" priority="216">
      <formula>AND(S$9&gt;=14/24,S$9&lt;20/24)</formula>
    </cfRule>
    <cfRule type="expression" dxfId="5097" priority="217">
      <formula>AND(S$9&gt;=8/24,S$9&lt;14/24)</formula>
    </cfRule>
    <cfRule type="expression" dxfId="5096" priority="218">
      <formula>S$9&lt;8/24</formula>
    </cfRule>
  </conditionalFormatting>
  <conditionalFormatting sqref="AG51 S37:AF37 K11:AF11">
    <cfRule type="expression" dxfId="5095" priority="214">
      <formula>K11&gt;$AG11</formula>
    </cfRule>
  </conditionalFormatting>
  <conditionalFormatting sqref="A101:A157 A84:A97 A11:A14 A16:A32 A45:A72 A80:A82 A74:A78 A35:A43 A170:A200">
    <cfRule type="expression" dxfId="5094" priority="213">
      <formula>$AH11=0</formula>
    </cfRule>
  </conditionalFormatting>
  <conditionalFormatting sqref="A98">
    <cfRule type="expression" dxfId="5093" priority="212">
      <formula>$AH98=0</formula>
    </cfRule>
  </conditionalFormatting>
  <conditionalFormatting sqref="AL32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092" priority="210">
      <formula>$AH34=0</formula>
    </cfRule>
  </conditionalFormatting>
  <conditionalFormatting sqref="A83">
    <cfRule type="expression" dxfId="5091" priority="209">
      <formula>$AH83=0</formula>
    </cfRule>
  </conditionalFormatting>
  <conditionalFormatting sqref="A15">
    <cfRule type="expression" dxfId="5090" priority="208">
      <formula>$AH15=0</formula>
    </cfRule>
  </conditionalFormatting>
  <conditionalFormatting sqref="A164:A169">
    <cfRule type="expression" dxfId="5089" priority="207">
      <formula>$AH164=0</formula>
    </cfRule>
  </conditionalFormatting>
  <conditionalFormatting sqref="A158:A163">
    <cfRule type="expression" dxfId="5088" priority="206">
      <formula>$AH158=0</formula>
    </cfRule>
  </conditionalFormatting>
  <conditionalFormatting sqref="A44">
    <cfRule type="expression" dxfId="5087" priority="205">
      <formula>$AH44=0</formula>
    </cfRule>
  </conditionalFormatting>
  <conditionalFormatting sqref="A79">
    <cfRule type="expression" dxfId="5086" priority="204">
      <formula>$AH79=0</formula>
    </cfRule>
  </conditionalFormatting>
  <conditionalFormatting sqref="A73">
    <cfRule type="expression" dxfId="5085" priority="203">
      <formula>$AH73=0</formula>
    </cfRule>
  </conditionalFormatting>
  <conditionalFormatting sqref="AL34:AL35 AL7:AL31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084" priority="199">
      <formula>C$9&gt;=20/24</formula>
    </cfRule>
    <cfRule type="expression" dxfId="5083" priority="200">
      <formula>AND(C$9&gt;=14/24,C$9&lt;20/24)</formula>
    </cfRule>
    <cfRule type="expression" dxfId="5082" priority="201">
      <formula>AND(C$9&gt;=8/24,C$9&lt;14/24)</formula>
    </cfRule>
    <cfRule type="expression" dxfId="5081" priority="202">
      <formula>C$9&lt;8/24</formula>
    </cfRule>
  </conditionalFormatting>
  <conditionalFormatting sqref="AL33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80" priority="227">
      <formula>C$9&gt;=20/24</formula>
    </cfRule>
    <cfRule type="expression" dxfId="5079" priority="228">
      <formula>AND(C$9&gt;=14/24,C$9&lt;20/24)</formula>
    </cfRule>
    <cfRule type="expression" dxfId="5078" priority="229">
      <formula>AND(C$9&gt;=8/24,C$9&lt;14/24)</formula>
    </cfRule>
    <cfRule type="expression" dxfId="5077" priority="230">
      <formula>C$9&lt;8/24</formula>
    </cfRule>
  </conditionalFormatting>
  <conditionalFormatting sqref="A201">
    <cfRule type="expression" dxfId="5076" priority="231">
      <formula>$AH201=0</formula>
    </cfRule>
  </conditionalFormatting>
  <conditionalFormatting sqref="AG213">
    <cfRule type="expression" dxfId="5075" priority="232">
      <formula>B$9&gt;=20/24</formula>
    </cfRule>
    <cfRule type="expression" dxfId="5074" priority="233">
      <formula>AND(B$9&gt;=14/24,B$9&lt;20/24)</formula>
    </cfRule>
    <cfRule type="expression" dxfId="5073" priority="234">
      <formula>AND(B$9&gt;=8/24,B$9&lt;14/24)</formula>
    </cfRule>
    <cfRule type="expression" dxfId="5072" priority="235">
      <formula>B$9&lt;8/24</formula>
    </cfRule>
  </conditionalFormatting>
  <conditionalFormatting sqref="S8">
    <cfRule type="expression" dxfId="5071" priority="194">
      <formula>U$9&gt;=20/24</formula>
    </cfRule>
    <cfRule type="expression" dxfId="5070" priority="195">
      <formula>AND(U$9&gt;=14/24,U$9&lt;20/24)</formula>
    </cfRule>
    <cfRule type="expression" dxfId="5069" priority="196">
      <formula>AND(U$9&gt;=8/24,U$9&lt;14/24)</formula>
    </cfRule>
    <cfRule type="expression" dxfId="5068" priority="197">
      <formula>U$9&lt;8/24</formula>
    </cfRule>
  </conditionalFormatting>
  <conditionalFormatting sqref="AB8">
    <cfRule type="expression" dxfId="5067" priority="190">
      <formula>AD$9&gt;=20/24</formula>
    </cfRule>
    <cfRule type="expression" dxfId="5066" priority="191">
      <formula>AND(AD$9&gt;=14/24,AD$9&lt;20/24)</formula>
    </cfRule>
    <cfRule type="expression" dxfId="5065" priority="192">
      <formula>AND(AD$9&gt;=8/24,AD$9&lt;14/24)</formula>
    </cfRule>
    <cfRule type="expression" dxfId="5064" priority="193">
      <formula>AD$9&lt;8/24</formula>
    </cfRule>
  </conditionalFormatting>
  <conditionalFormatting sqref="AH213:AX213">
    <cfRule type="expression" dxfId="5063" priority="236">
      <formula>AG$9&gt;=20/24</formula>
    </cfRule>
    <cfRule type="expression" dxfId="5062" priority="237">
      <formula>AND(AG$9&gt;=14/24,AG$9&lt;20/24)</formula>
    </cfRule>
    <cfRule type="expression" dxfId="5061" priority="238">
      <formula>AND(AG$9&gt;=8/24,AG$9&lt;14/24)</formula>
    </cfRule>
    <cfRule type="expression" dxfId="5060" priority="239">
      <formula>AG$9&lt;8/24</formula>
    </cfRule>
  </conditionalFormatting>
  <conditionalFormatting sqref="T213">
    <cfRule type="expression" dxfId="5059" priority="240">
      <formula>AX$9&gt;=20/24</formula>
    </cfRule>
    <cfRule type="expression" dxfId="5058" priority="241">
      <formula>AND(AX$9&gt;=14/24,AX$9&lt;20/24)</formula>
    </cfRule>
    <cfRule type="expression" dxfId="5057" priority="242">
      <formula>AND(AX$9&gt;=8/24,AX$9&lt;14/24)</formula>
    </cfRule>
    <cfRule type="expression" dxfId="5056" priority="243">
      <formula>AX$9&lt;8/24</formula>
    </cfRule>
  </conditionalFormatting>
  <conditionalFormatting sqref="A99:A100">
    <cfRule type="expression" dxfId="5055" priority="189">
      <formula>$AH99=0</formula>
    </cfRule>
  </conditionalFormatting>
  <conditionalFormatting sqref="F11:J11 E41:L41 E40:Q40 C57:AF57 AB36:AF36 U40:AF41">
    <cfRule type="expression" dxfId="5054" priority="185">
      <formula>C$9&gt;=20/24</formula>
    </cfRule>
    <cfRule type="expression" dxfId="5053" priority="186">
      <formula>AND(C$9&gt;=14/24,C$9&lt;20/24)</formula>
    </cfRule>
    <cfRule type="expression" dxfId="5052" priority="187">
      <formula>AND(C$9&gt;=8/24,C$9&lt;14/24)</formula>
    </cfRule>
    <cfRule type="expression" dxfId="5051" priority="188">
      <formula>C$9&lt;8/24</formula>
    </cfRule>
  </conditionalFormatting>
  <conditionalFormatting sqref="E39:Q39 U39:AF39">
    <cfRule type="expression" dxfId="5050" priority="181">
      <formula>E$9&gt;=20/24</formula>
    </cfRule>
    <cfRule type="expression" dxfId="5049" priority="182">
      <formula>AND(E$9&gt;=14/24,E$9&lt;20/24)</formula>
    </cfRule>
    <cfRule type="expression" dxfId="5048" priority="183">
      <formula>AND(E$9&gt;=8/24,E$9&lt;14/24)</formula>
    </cfRule>
    <cfRule type="expression" dxfId="5047" priority="184">
      <formula>E$9&lt;8/24</formula>
    </cfRule>
  </conditionalFormatting>
  <conditionalFormatting sqref="F11:J11 E41:L41 E39:Q40 AB36:AF36 U39:AF41">
    <cfRule type="expression" dxfId="5046" priority="180">
      <formula>E11&gt;$AG11</formula>
    </cfRule>
  </conditionalFormatting>
  <conditionalFormatting sqref="M11:N11 C81:AF81 C69:AF72 K58:R59 F61:J63 C58:J60 F67:L67 K60:L63 F12:N14 O11:R14 M60:R67 C53:AF56 N36:AA36 AB16:AF16 AB28:AF31 AB18:AF22 AB24:AF26 S12:AF14 S58:AF67 C85:AF91">
    <cfRule type="expression" dxfId="5045" priority="176">
      <formula>C$9&gt;=20/24</formula>
    </cfRule>
    <cfRule type="expression" dxfId="5044" priority="177">
      <formula>AND(C$9&gt;=14/24,C$9&lt;20/24)</formula>
    </cfRule>
    <cfRule type="expression" dxfId="5043" priority="178">
      <formula>AND(C$9&gt;=8/24,C$9&lt;14/24)</formula>
    </cfRule>
    <cfRule type="expression" dxfId="5042" priority="179">
      <formula>C$9&lt;8/24</formula>
    </cfRule>
  </conditionalFormatting>
  <conditionalFormatting sqref="AB32:AF32">
    <cfRule type="expression" dxfId="5041" priority="172">
      <formula>AB$9&gt;=20/24</formula>
    </cfRule>
    <cfRule type="expression" dxfId="5040" priority="173">
      <formula>AND(AB$9&gt;=14/24,AB$9&lt;20/24)</formula>
    </cfRule>
    <cfRule type="expression" dxfId="5039" priority="174">
      <formula>AND(AB$9&gt;=8/24,AB$9&lt;14/24)</formula>
    </cfRule>
    <cfRule type="expression" dxfId="5038" priority="175">
      <formula>AB$9&lt;8/24</formula>
    </cfRule>
  </conditionalFormatting>
  <conditionalFormatting sqref="AB35:AF35">
    <cfRule type="expression" dxfId="5037" priority="168">
      <formula>AB$9&gt;=20/24</formula>
    </cfRule>
    <cfRule type="expression" dxfId="5036" priority="169">
      <formula>AND(AB$9&gt;=14/24,AB$9&lt;20/24)</formula>
    </cfRule>
    <cfRule type="expression" dxfId="5035" priority="170">
      <formula>AND(AB$9&gt;=8/24,AB$9&lt;14/24)</formula>
    </cfRule>
    <cfRule type="expression" dxfId="5034" priority="171">
      <formula>AB$9&lt;8/24</formula>
    </cfRule>
  </conditionalFormatting>
  <conditionalFormatting sqref="M11:N11 C51:AF51 N36 C37:N37 E42:L43 F44:L44 F12:N15 O36:R37 O11:R15 C53:AF56 S36:AA36 S12:AA15 AB34:AF35 AB18:AF22 AB24:AF32 AB12:AF16 AB42:AF43">
    <cfRule type="expression" dxfId="5033" priority="167">
      <formula>C11&gt;$AG11</formula>
    </cfRule>
  </conditionalFormatting>
  <conditionalFormatting sqref="AB34:AF34">
    <cfRule type="expression" dxfId="5032" priority="163">
      <formula>AB$9&gt;=20/24</formula>
    </cfRule>
    <cfRule type="expression" dxfId="5031" priority="164">
      <formula>AND(AB$9&gt;=14/24,AB$9&lt;20/24)</formula>
    </cfRule>
    <cfRule type="expression" dxfId="5030" priority="165">
      <formula>AND(AB$9&gt;=8/24,AB$9&lt;14/24)</formula>
    </cfRule>
    <cfRule type="expression" dxfId="5029" priority="166">
      <formula>AB$9&lt;8/24</formula>
    </cfRule>
  </conditionalFormatting>
  <conditionalFormatting sqref="F15:AF15">
    <cfRule type="expression" dxfId="5028" priority="159">
      <formula>F$9&gt;=20/24</formula>
    </cfRule>
    <cfRule type="expression" dxfId="5027" priority="160">
      <formula>AND(F$9&gt;=14/24,F$9&lt;20/24)</formula>
    </cfRule>
    <cfRule type="expression" dxfId="5026" priority="161">
      <formula>AND(F$9&gt;=8/24,F$9&lt;14/24)</formula>
    </cfRule>
    <cfRule type="expression" dxfId="5025" priority="162">
      <formula>F$9&lt;8/24</formula>
    </cfRule>
  </conditionalFormatting>
  <conditionalFormatting sqref="AB33:AF33">
    <cfRule type="expression" dxfId="5024" priority="155">
      <formula>AB$9&gt;=20/24</formula>
    </cfRule>
    <cfRule type="expression" dxfId="5023" priority="156">
      <formula>AND(AB$9&gt;=14/24,AB$9&lt;20/24)</formula>
    </cfRule>
    <cfRule type="expression" dxfId="5022" priority="157">
      <formula>AND(AB$9&gt;=8/24,AB$9&lt;14/24)</formula>
    </cfRule>
    <cfRule type="expression" dxfId="5021" priority="158">
      <formula>AB$9&lt;8/24</formula>
    </cfRule>
  </conditionalFormatting>
  <conditionalFormatting sqref="AB33:AF33">
    <cfRule type="expression" dxfId="5020" priority="154">
      <formula>AB33&gt;$AG33</formula>
    </cfRule>
  </conditionalFormatting>
  <conditionalFormatting sqref="S11:T11">
    <cfRule type="expression" dxfId="5019" priority="150">
      <formula>S$9&gt;=20/24</formula>
    </cfRule>
    <cfRule type="expression" dxfId="5018" priority="151">
      <formula>AND(S$9&gt;=14/24,S$9&lt;20/24)</formula>
    </cfRule>
    <cfRule type="expression" dxfId="5017" priority="152">
      <formula>AND(S$9&gt;=8/24,S$9&lt;14/24)</formula>
    </cfRule>
    <cfRule type="expression" dxfId="5016" priority="153">
      <formula>S$9&lt;8/24</formula>
    </cfRule>
  </conditionalFormatting>
  <conditionalFormatting sqref="AB44:AF50">
    <cfRule type="expression" dxfId="5015" priority="146">
      <formula>AB$9&gt;=20/24</formula>
    </cfRule>
    <cfRule type="expression" dxfId="5014" priority="147">
      <formula>AND(AB$9&gt;=14/24,AB$9&lt;20/24)</formula>
    </cfRule>
    <cfRule type="expression" dxfId="5013" priority="148">
      <formula>AND(AB$9&gt;=8/24,AB$9&lt;14/24)</formula>
    </cfRule>
    <cfRule type="expression" dxfId="5012" priority="149">
      <formula>AB$9&lt;8/24</formula>
    </cfRule>
  </conditionalFormatting>
  <conditionalFormatting sqref="AB44:AF50">
    <cfRule type="expression" dxfId="5011" priority="145">
      <formula>AB44&gt;$AG44</formula>
    </cfRule>
  </conditionalFormatting>
  <conditionalFormatting sqref="U42:U50 P48:Q48 R39:T42 R44:U45 V42:V45 R46:V50 W42:AA50">
    <cfRule type="expression" dxfId="5010" priority="141">
      <formula>P$9&gt;=20/24</formula>
    </cfRule>
    <cfRule type="expression" dxfId="5009" priority="142">
      <formula>AND(P$9&gt;=14/24,P$9&lt;20/24)</formula>
    </cfRule>
    <cfRule type="expression" dxfId="5008" priority="143">
      <formula>AND(P$9&gt;=8/24,P$9&lt;14/24)</formula>
    </cfRule>
    <cfRule type="expression" dxfId="5007" priority="144">
      <formula>P$9&lt;8/24</formula>
    </cfRule>
  </conditionalFormatting>
  <conditionalFormatting sqref="U42:U50 P48:Q48 R39:T42 R44:U45 V42:V45 R46:V50 W42:AA50">
    <cfRule type="expression" dxfId="5006" priority="140">
      <formula>P39&gt;$AG39</formula>
    </cfRule>
  </conditionalFormatting>
  <conditionalFormatting sqref="AB27:AF27">
    <cfRule type="expression" dxfId="5005" priority="136">
      <formula>AB$9&gt;=20/24</formula>
    </cfRule>
    <cfRule type="expression" dxfId="5004" priority="137">
      <formula>AND(AB$9&gt;=14/24,AB$9&lt;20/24)</formula>
    </cfRule>
    <cfRule type="expression" dxfId="5003" priority="138">
      <formula>AND(AB$9&gt;=8/24,AB$9&lt;14/24)</formula>
    </cfRule>
    <cfRule type="expression" dxfId="5002" priority="139">
      <formula>AB$9&lt;8/24</formula>
    </cfRule>
  </conditionalFormatting>
  <conditionalFormatting sqref="F16:AA20 AB23:AF23 AB17:AF17">
    <cfRule type="expression" dxfId="5001" priority="132">
      <formula>F$9&gt;=20/24</formula>
    </cfRule>
    <cfRule type="expression" dxfId="5000" priority="133">
      <formula>AND(F$9&gt;=14/24,F$9&lt;20/24)</formula>
    </cfRule>
    <cfRule type="expression" dxfId="4999" priority="134">
      <formula>AND(F$9&gt;=8/24,F$9&lt;14/24)</formula>
    </cfRule>
    <cfRule type="expression" dxfId="4998" priority="135">
      <formula>F$9&lt;8/24</formula>
    </cfRule>
  </conditionalFormatting>
  <conditionalFormatting sqref="F16:AA20 AB23:AF23 AB17:AF17">
    <cfRule type="expression" dxfId="4997" priority="123">
      <formula>F16&gt;$AG16</formula>
    </cfRule>
  </conditionalFormatting>
  <conditionalFormatting sqref="F45:Q47 F49:Q50 F48:O48">
    <cfRule type="expression" dxfId="4996" priority="92">
      <formula>F$9&gt;=20/24</formula>
    </cfRule>
    <cfRule type="expression" dxfId="4995" priority="93">
      <formula>AND(F$9&gt;=14/24,F$9&lt;20/24)</formula>
    </cfRule>
    <cfRule type="expression" dxfId="4994" priority="94">
      <formula>AND(F$9&gt;=8/24,F$9&lt;14/24)</formula>
    </cfRule>
    <cfRule type="expression" dxfId="4993" priority="95">
      <formula>F$9&lt;8/24</formula>
    </cfRule>
  </conditionalFormatting>
  <conditionalFormatting sqref="F45:Q47 F49:Q50 F48:O48">
    <cfRule type="expression" dxfId="4992" priority="91">
      <formula>F45&gt;$AG45</formula>
    </cfRule>
  </conditionalFormatting>
  <conditionalFormatting sqref="F64:L66">
    <cfRule type="expression" dxfId="4991" priority="97">
      <formula>F$9&gt;=20/24</formula>
    </cfRule>
    <cfRule type="expression" dxfId="4990" priority="98">
      <formula>AND(F$9&gt;=14/24,F$9&lt;20/24)</formula>
    </cfRule>
    <cfRule type="expression" dxfId="4989" priority="99">
      <formula>AND(F$9&gt;=8/24,F$9&lt;14/24)</formula>
    </cfRule>
    <cfRule type="expression" dxfId="4988" priority="100">
      <formula>F$9&lt;8/24</formula>
    </cfRule>
  </conditionalFormatting>
  <conditionalFormatting sqref="D43">
    <cfRule type="expression" dxfId="4987" priority="96">
      <formula>D43&gt;$AG43</formula>
    </cfRule>
  </conditionalFormatting>
  <conditionalFormatting sqref="B94:B100 B74:AF74 B82:AF82 B11:E11">
    <cfRule type="expression" dxfId="4986" priority="78">
      <formula>B$9&gt;=20/24</formula>
    </cfRule>
    <cfRule type="expression" dxfId="4985" priority="79">
      <formula>AND(B$9&gt;=14/24,B$9&lt;20/24)</formula>
    </cfRule>
    <cfRule type="expression" dxfId="4984" priority="80">
      <formula>AND(B$9&gt;=8/24,B$9&lt;14/24)</formula>
    </cfRule>
    <cfRule type="expression" dxfId="4983" priority="81">
      <formula>B$9&lt;8/24</formula>
    </cfRule>
  </conditionalFormatting>
  <conditionalFormatting sqref="B37">
    <cfRule type="expression" dxfId="4982" priority="74">
      <formula>B$9&gt;=20/24</formula>
    </cfRule>
    <cfRule type="expression" dxfId="4981" priority="75">
      <formula>AND(B$9&gt;=14/24,B$9&lt;20/24)</formula>
    </cfRule>
    <cfRule type="expression" dxfId="4980" priority="76">
      <formula>AND(B$9&gt;=8/24,B$9&lt;14/24)</formula>
    </cfRule>
    <cfRule type="expression" dxfId="4979" priority="77">
      <formula>B$9&lt;8/24</formula>
    </cfRule>
  </conditionalFormatting>
  <conditionalFormatting sqref="B37 B11:E11">
    <cfRule type="expression" dxfId="4978" priority="73">
      <formula>B11&gt;$AG11</formula>
    </cfRule>
  </conditionalFormatting>
  <conditionalFormatting sqref="B84">
    <cfRule type="expression" dxfId="4977" priority="69">
      <formula>B$9&gt;=20/24</formula>
    </cfRule>
    <cfRule type="expression" dxfId="4976" priority="70">
      <formula>AND(B$9&gt;=14/24,B$9&lt;20/24)</formula>
    </cfRule>
    <cfRule type="expression" dxfId="4975" priority="71">
      <formula>AND(B$9&gt;=8/24,B$9&lt;14/24)</formula>
    </cfRule>
    <cfRule type="expression" dxfId="4974" priority="72">
      <formula>B$9&lt;8/24</formula>
    </cfRule>
  </conditionalFormatting>
  <conditionalFormatting sqref="B57 B40:D41 B36:M36">
    <cfRule type="expression" dxfId="4973" priority="65">
      <formula>B$9&gt;=20/24</formula>
    </cfRule>
    <cfRule type="expression" dxfId="4972" priority="66">
      <formula>AND(B$9&gt;=14/24,B$9&lt;20/24)</formula>
    </cfRule>
    <cfRule type="expression" dxfId="4971" priority="67">
      <formula>AND(B$9&gt;=8/24,B$9&lt;14/24)</formula>
    </cfRule>
    <cfRule type="expression" dxfId="4970" priority="68">
      <formula>B$9&lt;8/24</formula>
    </cfRule>
  </conditionalFormatting>
  <conditionalFormatting sqref="B39:D39">
    <cfRule type="expression" dxfId="4969" priority="61">
      <formula>B$9&gt;=20/24</formula>
    </cfRule>
    <cfRule type="expression" dxfId="4968" priority="62">
      <formula>AND(B$9&gt;=14/24,B$9&lt;20/24)</formula>
    </cfRule>
    <cfRule type="expression" dxfId="4967" priority="63">
      <formula>AND(B$9&gt;=8/24,B$9&lt;14/24)</formula>
    </cfRule>
    <cfRule type="expression" dxfId="4966" priority="64">
      <formula>B$9&lt;8/24</formula>
    </cfRule>
  </conditionalFormatting>
  <conditionalFormatting sqref="B39:D41 B36:M36">
    <cfRule type="expression" dxfId="4965" priority="60">
      <formula>B36&gt;$AG36</formula>
    </cfRule>
  </conditionalFormatting>
  <conditionalFormatting sqref="B85:B91 B53:B56 B58:B67 B69:B73 B75:AF75 C73:AF73 B81 B83:AF83 B12:E14 B16:E16 B18:E22 C61:E67 B28:AA31 F21:AA22 B24:AA26">
    <cfRule type="expression" dxfId="4964" priority="56">
      <formula>B$9&gt;=20/24</formula>
    </cfRule>
    <cfRule type="expression" dxfId="4963" priority="57">
      <formula>AND(B$9&gt;=14/24,B$9&lt;20/24)</formula>
    </cfRule>
    <cfRule type="expression" dxfId="4962" priority="58">
      <formula>AND(B$9&gt;=8/24,B$9&lt;14/24)</formula>
    </cfRule>
    <cfRule type="expression" dxfId="4961" priority="59">
      <formula>B$9&lt;8/24</formula>
    </cfRule>
  </conditionalFormatting>
  <conditionalFormatting sqref="B32:AA32">
    <cfRule type="expression" dxfId="4960" priority="52">
      <formula>B$9&gt;=20/24</formula>
    </cfRule>
    <cfRule type="expression" dxfId="4959" priority="53">
      <formula>AND(B$9&gt;=14/24,B$9&lt;20/24)</formula>
    </cfRule>
    <cfRule type="expression" dxfId="4958" priority="54">
      <formula>AND(B$9&gt;=8/24,B$9&lt;14/24)</formula>
    </cfRule>
    <cfRule type="expression" dxfId="4957" priority="55">
      <formula>B$9&lt;8/24</formula>
    </cfRule>
  </conditionalFormatting>
  <conditionalFormatting sqref="B35:AA35">
    <cfRule type="expression" dxfId="4956" priority="48">
      <formula>B$9&gt;=20/24</formula>
    </cfRule>
    <cfRule type="expression" dxfId="4955" priority="49">
      <formula>AND(B$9&gt;=14/24,B$9&lt;20/24)</formula>
    </cfRule>
    <cfRule type="expression" dxfId="4954" priority="50">
      <formula>AND(B$9&gt;=8/24,B$9&lt;14/24)</formula>
    </cfRule>
    <cfRule type="expression" dxfId="4953" priority="51">
      <formula>B$9&lt;8/24</formula>
    </cfRule>
  </conditionalFormatting>
  <conditionalFormatting sqref="B51:B56 B38:AF38 C52:AF52 B42:C43 D42 B12:E16 B18:E22 B34:AA35 F21:AA22 B24:AA32">
    <cfRule type="expression" dxfId="4952" priority="47">
      <formula>B12&gt;$AG12</formula>
    </cfRule>
  </conditionalFormatting>
  <conditionalFormatting sqref="B34:AA34">
    <cfRule type="expression" dxfId="4951" priority="43">
      <formula>B$9&gt;=20/24</formula>
    </cfRule>
    <cfRule type="expression" dxfId="4950" priority="44">
      <formula>AND(B$9&gt;=14/24,B$9&lt;20/24)</formula>
    </cfRule>
    <cfRule type="expression" dxfId="4949" priority="45">
      <formula>AND(B$9&gt;=8/24,B$9&lt;14/24)</formula>
    </cfRule>
    <cfRule type="expression" dxfId="4948" priority="46">
      <formula>B$9&lt;8/24</formula>
    </cfRule>
  </conditionalFormatting>
  <conditionalFormatting sqref="B15:E15">
    <cfRule type="expression" dxfId="4947" priority="39">
      <formula>B$9&gt;=20/24</formula>
    </cfRule>
    <cfRule type="expression" dxfId="4946" priority="40">
      <formula>AND(B$9&gt;=14/24,B$9&lt;20/24)</formula>
    </cfRule>
    <cfRule type="expression" dxfId="4945" priority="41">
      <formula>AND(B$9&gt;=8/24,B$9&lt;14/24)</formula>
    </cfRule>
    <cfRule type="expression" dxfId="4944" priority="42">
      <formula>B$9&lt;8/24</formula>
    </cfRule>
  </conditionalFormatting>
  <conditionalFormatting sqref="B33:AA33">
    <cfRule type="expression" dxfId="4943" priority="35">
      <formula>B$9&gt;=20/24</formula>
    </cfRule>
    <cfRule type="expression" dxfId="4942" priority="36">
      <formula>AND(B$9&gt;=14/24,B$9&lt;20/24)</formula>
    </cfRule>
    <cfRule type="expression" dxfId="4941" priority="37">
      <formula>AND(B$9&gt;=8/24,B$9&lt;14/24)</formula>
    </cfRule>
    <cfRule type="expression" dxfId="4940" priority="38">
      <formula>B$9&lt;8/24</formula>
    </cfRule>
  </conditionalFormatting>
  <conditionalFormatting sqref="B33:AA33">
    <cfRule type="expression" dxfId="4939" priority="34">
      <formula>B33&gt;$AG33</formula>
    </cfRule>
  </conditionalFormatting>
  <conditionalFormatting sqref="B44:E50">
    <cfRule type="expression" dxfId="4938" priority="30">
      <formula>B$9&gt;=20/24</formula>
    </cfRule>
    <cfRule type="expression" dxfId="4937" priority="31">
      <formula>AND(B$9&gt;=14/24,B$9&lt;20/24)</formula>
    </cfRule>
    <cfRule type="expression" dxfId="4936" priority="32">
      <formula>AND(B$9&gt;=8/24,B$9&lt;14/24)</formula>
    </cfRule>
    <cfRule type="expression" dxfId="4935" priority="33">
      <formula>B$9&lt;8/24</formula>
    </cfRule>
  </conditionalFormatting>
  <conditionalFormatting sqref="B44:E50">
    <cfRule type="expression" dxfId="4934" priority="29">
      <formula>B44&gt;$AG44</formula>
    </cfRule>
  </conditionalFormatting>
  <conditionalFormatting sqref="B27:AA27">
    <cfRule type="expression" dxfId="4933" priority="25">
      <formula>B$9&gt;=20/24</formula>
    </cfRule>
    <cfRule type="expression" dxfId="4932" priority="26">
      <formula>AND(B$9&gt;=14/24,B$9&lt;20/24)</formula>
    </cfRule>
    <cfRule type="expression" dxfId="4931" priority="27">
      <formula>AND(B$9&gt;=8/24,B$9&lt;14/24)</formula>
    </cfRule>
    <cfRule type="expression" dxfId="4930" priority="28">
      <formula>B$9&lt;8/24</formula>
    </cfRule>
  </conditionalFormatting>
  <conditionalFormatting sqref="B17:E17 B23:AA23">
    <cfRule type="expression" dxfId="4929" priority="21">
      <formula>B$9&gt;=20/24</formula>
    </cfRule>
    <cfRule type="expression" dxfId="4928" priority="22">
      <formula>AND(B$9&gt;=14/24,B$9&lt;20/24)</formula>
    </cfRule>
    <cfRule type="expression" dxfId="4927" priority="23">
      <formula>AND(B$9&gt;=8/24,B$9&lt;14/24)</formula>
    </cfRule>
    <cfRule type="expression" dxfId="4926" priority="24">
      <formula>B$9&lt;8/24</formula>
    </cfRule>
  </conditionalFormatting>
  <conditionalFormatting sqref="B17:E17 B23:AA23">
    <cfRule type="expression" dxfId="4925" priority="20">
      <formula>B17&gt;$AG17</formula>
    </cfRule>
  </conditionalFormatting>
  <conditionalFormatting sqref="A33">
    <cfRule type="expression" dxfId="4924" priority="19">
      <formula>$AH33=0</formula>
    </cfRule>
  </conditionalFormatting>
  <conditionalFormatting sqref="B68:AF68">
    <cfRule type="expression" dxfId="4923" priority="15">
      <formula>B$9&gt;=20/24</formula>
    </cfRule>
    <cfRule type="expression" dxfId="4922" priority="16">
      <formula>AND(B$9&gt;=14/24,B$9&lt;20/24)</formula>
    </cfRule>
    <cfRule type="expression" dxfId="4921" priority="17">
      <formula>AND(B$9&gt;=8/24,B$9&lt;14/24)</formula>
    </cfRule>
    <cfRule type="expression" dxfId="4920" priority="18">
      <formula>B$9&lt;8/24</formula>
    </cfRule>
  </conditionalFormatting>
  <conditionalFormatting sqref="B76:AF80">
    <cfRule type="expression" dxfId="4919" priority="11">
      <formula>B$9&gt;=20/24</formula>
    </cfRule>
    <cfRule type="expression" dxfId="4918" priority="12">
      <formula>AND(B$9&gt;=14/24,B$9&lt;20/24)</formula>
    </cfRule>
    <cfRule type="expression" dxfId="4917" priority="13">
      <formula>AND(B$9&gt;=8/24,B$9&lt;14/24)</formula>
    </cfRule>
    <cfRule type="expression" dxfId="4916" priority="14">
      <formula>B$9&lt;8/24</formula>
    </cfRule>
  </conditionalFormatting>
  <conditionalFormatting sqref="M41:Q42 M43:T43">
    <cfRule type="expression" dxfId="4915" priority="7">
      <formula>M$9&gt;=20/24</formula>
    </cfRule>
    <cfRule type="expression" dxfId="4914" priority="8">
      <formula>AND(M$9&gt;=14/24,M$9&lt;20/24)</formula>
    </cfRule>
    <cfRule type="expression" dxfId="4913" priority="9">
      <formula>AND(M$9&gt;=8/24,M$9&lt;14/24)</formula>
    </cfRule>
    <cfRule type="expression" dxfId="4912" priority="10">
      <formula>M$9&lt;8/24</formula>
    </cfRule>
  </conditionalFormatting>
  <conditionalFormatting sqref="M41:Q42 M43:T43">
    <cfRule type="expression" dxfId="4911" priority="6">
      <formula>M41&gt;$AG41</formula>
    </cfRule>
  </conditionalFormatting>
  <conditionalFormatting sqref="M44:Q44">
    <cfRule type="expression" dxfId="4910" priority="2">
      <formula>M$9&gt;=20/24</formula>
    </cfRule>
    <cfRule type="expression" dxfId="4909" priority="3">
      <formula>AND(M$9&gt;=14/24,M$9&lt;20/24)</formula>
    </cfRule>
    <cfRule type="expression" dxfId="4908" priority="4">
      <formula>AND(M$9&gt;=8/24,M$9&lt;14/24)</formula>
    </cfRule>
    <cfRule type="expression" dxfId="4907" priority="5">
      <formula>M$9&lt;8/24</formula>
    </cfRule>
  </conditionalFormatting>
  <conditionalFormatting sqref="M44:Q44">
    <cfRule type="expression" dxfId="4906" priority="1">
      <formula>M44&gt;$AG44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I59" sqref="AI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2079/02/10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99</v>
      </c>
      <c r="C5" s="32">
        <f t="shared" si="0"/>
        <v>90</v>
      </c>
      <c r="D5" s="32">
        <f t="shared" si="0"/>
        <v>86.67</v>
      </c>
      <c r="E5" s="32">
        <f t="shared" si="0"/>
        <v>86.9</v>
      </c>
      <c r="F5" s="32">
        <f t="shared" si="0"/>
        <v>90.19</v>
      </c>
      <c r="G5" s="32">
        <f t="shared" si="0"/>
        <v>82</v>
      </c>
      <c r="H5" s="32">
        <f t="shared" si="0"/>
        <v>84.7</v>
      </c>
      <c r="I5" s="32">
        <f t="shared" si="0"/>
        <v>79</v>
      </c>
      <c r="J5" s="32">
        <f t="shared" si="0"/>
        <v>80</v>
      </c>
      <c r="K5" s="32">
        <f t="shared" si="0"/>
        <v>89.75</v>
      </c>
      <c r="L5" s="32">
        <f t="shared" si="0"/>
        <v>82</v>
      </c>
      <c r="M5" s="32">
        <f t="shared" si="0"/>
        <v>82</v>
      </c>
      <c r="N5" s="32">
        <f t="shared" si="0"/>
        <v>82</v>
      </c>
      <c r="O5" s="32">
        <f t="shared" si="0"/>
        <v>87</v>
      </c>
      <c r="P5" s="32">
        <f t="shared" si="0"/>
        <v>93.16</v>
      </c>
      <c r="Q5" s="32">
        <f t="shared" si="0"/>
        <v>93.16</v>
      </c>
      <c r="R5" s="32">
        <f t="shared" si="0"/>
        <v>85</v>
      </c>
      <c r="S5" s="32">
        <f t="shared" si="0"/>
        <v>94.12</v>
      </c>
      <c r="T5" s="32">
        <f t="shared" si="0"/>
        <v>122</v>
      </c>
      <c r="U5" s="32">
        <f t="shared" si="0"/>
        <v>114.7</v>
      </c>
      <c r="V5" s="32">
        <f t="shared" si="0"/>
        <v>112.6</v>
      </c>
      <c r="W5" s="32">
        <f t="shared" si="0"/>
        <v>109.2</v>
      </c>
      <c r="X5" s="32">
        <f t="shared" si="0"/>
        <v>118</v>
      </c>
      <c r="Y5" s="32">
        <f t="shared" si="0"/>
        <v>115.2</v>
      </c>
      <c r="Z5" s="32">
        <f t="shared" si="0"/>
        <v>107.5</v>
      </c>
      <c r="AA5" s="32">
        <f t="shared" si="0"/>
        <v>94.2</v>
      </c>
      <c r="AB5" s="32">
        <f t="shared" si="0"/>
        <v>95.3</v>
      </c>
      <c r="AC5" s="32">
        <f t="shared" si="0"/>
        <v>105.1</v>
      </c>
      <c r="AD5" s="32">
        <f t="shared" si="0"/>
        <v>109.4</v>
      </c>
      <c r="AE5" s="32">
        <f t="shared" si="0"/>
        <v>108.7</v>
      </c>
      <c r="AF5" s="32">
        <f>B68</f>
        <v>103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1662MW at 7:00hr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Load=1610</v>
      </c>
      <c r="B7" s="37">
        <f>B75</f>
        <v>1720.04</v>
      </c>
      <c r="C7" s="37">
        <f t="shared" ref="C7:AF7" si="1">C75</f>
        <v>1716.04</v>
      </c>
      <c r="D7" s="37">
        <f t="shared" si="1"/>
        <v>1708.04</v>
      </c>
      <c r="E7" s="37">
        <f t="shared" si="1"/>
        <v>1691.21</v>
      </c>
      <c r="F7" s="37">
        <f t="shared" si="1"/>
        <v>1609.8400000000001</v>
      </c>
      <c r="G7" s="37">
        <f t="shared" si="1"/>
        <v>1648.13</v>
      </c>
      <c r="H7" s="37">
        <f t="shared" si="1"/>
        <v>1646.04</v>
      </c>
      <c r="I7" s="37">
        <f t="shared" si="1"/>
        <v>1645.8400000000001</v>
      </c>
      <c r="J7" s="37">
        <f t="shared" si="1"/>
        <v>1632.54</v>
      </c>
      <c r="K7" s="37">
        <f t="shared" si="1"/>
        <v>1662.14</v>
      </c>
      <c r="L7" s="37">
        <f t="shared" si="1"/>
        <v>1651.79</v>
      </c>
      <c r="M7" s="37">
        <f t="shared" si="1"/>
        <v>1648.94</v>
      </c>
      <c r="N7" s="37">
        <f t="shared" si="1"/>
        <v>1657.94</v>
      </c>
      <c r="O7" s="37">
        <f t="shared" si="1"/>
        <v>1680.94</v>
      </c>
      <c r="P7" s="37">
        <f t="shared" si="1"/>
        <v>1726.64</v>
      </c>
      <c r="Q7" s="37">
        <f t="shared" si="1"/>
        <v>1742.8000000000002</v>
      </c>
      <c r="R7" s="37">
        <f t="shared" si="1"/>
        <v>1732.8000000000002</v>
      </c>
      <c r="S7" s="37">
        <f t="shared" si="1"/>
        <v>1724.64</v>
      </c>
      <c r="T7" s="37">
        <f t="shared" si="1"/>
        <v>1709.7600000000002</v>
      </c>
      <c r="U7" s="37">
        <f t="shared" si="1"/>
        <v>1724.24</v>
      </c>
      <c r="V7" s="37">
        <f t="shared" si="1"/>
        <v>1670.94</v>
      </c>
      <c r="W7" s="37">
        <f t="shared" si="1"/>
        <v>1675.74</v>
      </c>
      <c r="X7" s="37">
        <f t="shared" si="1"/>
        <v>1652.3400000000001</v>
      </c>
      <c r="Y7" s="37">
        <f t="shared" si="1"/>
        <v>1712.14</v>
      </c>
      <c r="Z7" s="37">
        <f t="shared" si="1"/>
        <v>1714.3400000000001</v>
      </c>
      <c r="AA7" s="37">
        <f t="shared" si="1"/>
        <v>1706.64</v>
      </c>
      <c r="AB7" s="37">
        <f t="shared" si="1"/>
        <v>1750.74</v>
      </c>
      <c r="AC7" s="37">
        <f t="shared" si="1"/>
        <v>1740.0399999999997</v>
      </c>
      <c r="AD7" s="37">
        <f t="shared" si="1"/>
        <v>1745.0399999999997</v>
      </c>
      <c r="AE7" s="37">
        <f t="shared" si="1"/>
        <v>1740.14</v>
      </c>
      <c r="AF7" s="37">
        <f t="shared" si="1"/>
        <v>1737.8400000000001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1">
        <v>456</v>
      </c>
      <c r="L11" s="51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3">
        <v>456</v>
      </c>
      <c r="V11" s="53">
        <v>410</v>
      </c>
      <c r="W11" s="53">
        <v>420</v>
      </c>
      <c r="X11" s="53">
        <v>400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400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53.4</v>
      </c>
      <c r="C13" s="51">
        <v>53.4</v>
      </c>
      <c r="D13" s="51">
        <v>53.4</v>
      </c>
      <c r="E13" s="51">
        <v>53.4</v>
      </c>
      <c r="F13" s="51">
        <v>53.8</v>
      </c>
      <c r="G13" s="51">
        <v>53.8</v>
      </c>
      <c r="H13" s="51">
        <v>53.8</v>
      </c>
      <c r="I13" s="51">
        <v>53.8</v>
      </c>
      <c r="J13" s="51">
        <v>53.8</v>
      </c>
      <c r="K13" s="51">
        <v>53.8</v>
      </c>
      <c r="L13" s="51">
        <v>53.8</v>
      </c>
      <c r="M13" s="51">
        <v>53.8</v>
      </c>
      <c r="N13" s="51">
        <v>53.8</v>
      </c>
      <c r="O13" s="51">
        <v>53.8</v>
      </c>
      <c r="P13" s="51">
        <v>53.8</v>
      </c>
      <c r="Q13" s="51">
        <v>53.8</v>
      </c>
      <c r="R13" s="51">
        <v>53.8</v>
      </c>
      <c r="S13" s="51">
        <v>53.8</v>
      </c>
      <c r="T13" s="51">
        <v>53.8</v>
      </c>
      <c r="U13" s="51">
        <v>53.8</v>
      </c>
      <c r="V13" s="51">
        <v>53.8</v>
      </c>
      <c r="W13" s="51">
        <v>53.8</v>
      </c>
      <c r="X13" s="51">
        <v>53.8</v>
      </c>
      <c r="Y13" s="51">
        <v>53.8</v>
      </c>
      <c r="Z13" s="51">
        <v>53.8</v>
      </c>
      <c r="AA13" s="51">
        <v>53.8</v>
      </c>
      <c r="AB13" s="51">
        <v>53.8</v>
      </c>
      <c r="AC13" s="51">
        <v>53.8</v>
      </c>
      <c r="AD13" s="51">
        <v>53.8</v>
      </c>
      <c r="AE13" s="51">
        <v>53.8</v>
      </c>
      <c r="AF13" s="51">
        <v>53.8</v>
      </c>
      <c r="AG13" s="59">
        <v>52.4</v>
      </c>
      <c r="AH13" s="55">
        <f t="shared" si="2"/>
        <v>53.8</v>
      </c>
      <c r="AI13" s="56">
        <f t="shared" si="3"/>
        <v>53.4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50.5</v>
      </c>
      <c r="O14" s="51">
        <v>50.5</v>
      </c>
      <c r="P14" s="51">
        <v>50.5</v>
      </c>
      <c r="Q14" s="51">
        <v>50.5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50.4</v>
      </c>
      <c r="AG14" s="59">
        <v>50</v>
      </c>
      <c r="AH14" s="55">
        <f t="shared" si="2"/>
        <v>50.5</v>
      </c>
      <c r="AI14" s="56">
        <f t="shared" si="3"/>
        <v>50.4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45.4</v>
      </c>
      <c r="C15" s="51">
        <v>45.4</v>
      </c>
      <c r="D15" s="51">
        <v>45.4</v>
      </c>
      <c r="E15" s="51">
        <v>45.4</v>
      </c>
      <c r="F15" s="51">
        <v>45.5</v>
      </c>
      <c r="G15" s="51">
        <v>45.6</v>
      </c>
      <c r="H15" s="51">
        <v>45.6</v>
      </c>
      <c r="I15" s="51">
        <v>45.6</v>
      </c>
      <c r="J15" s="51">
        <v>45.6</v>
      </c>
      <c r="K15" s="51">
        <v>45.6</v>
      </c>
      <c r="L15" s="51">
        <v>45.6</v>
      </c>
      <c r="M15" s="51">
        <v>45.6</v>
      </c>
      <c r="N15" s="51">
        <v>45.6</v>
      </c>
      <c r="O15" s="51">
        <v>45.6</v>
      </c>
      <c r="P15" s="51">
        <v>45.6</v>
      </c>
      <c r="Q15" s="51">
        <v>45.6</v>
      </c>
      <c r="R15" s="51">
        <v>45.6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45.6</v>
      </c>
      <c r="AC15" s="51">
        <v>45.6</v>
      </c>
      <c r="AD15" s="51">
        <v>45.7</v>
      </c>
      <c r="AE15" s="51">
        <v>45.7</v>
      </c>
      <c r="AF15" s="51">
        <v>45.5</v>
      </c>
      <c r="AG15" s="60">
        <v>45</v>
      </c>
      <c r="AH15" s="55">
        <f t="shared" si="2"/>
        <v>45.7</v>
      </c>
      <c r="AI15" s="56">
        <f t="shared" si="3"/>
        <v>45.4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36</v>
      </c>
      <c r="C16" s="51">
        <v>36</v>
      </c>
      <c r="D16" s="51">
        <v>36</v>
      </c>
      <c r="E16" s="51">
        <v>36</v>
      </c>
      <c r="F16" s="51">
        <v>0</v>
      </c>
      <c r="G16" s="51">
        <v>32</v>
      </c>
      <c r="H16" s="51">
        <v>32</v>
      </c>
      <c r="I16" s="51">
        <v>32</v>
      </c>
      <c r="J16" s="51">
        <v>40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28</v>
      </c>
      <c r="AD16" s="51">
        <v>40</v>
      </c>
      <c r="AE16" s="51">
        <v>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23</v>
      </c>
      <c r="C18" s="51">
        <v>23</v>
      </c>
      <c r="D18" s="51">
        <v>23</v>
      </c>
      <c r="E18" s="51">
        <v>23</v>
      </c>
      <c r="F18" s="51">
        <v>23</v>
      </c>
      <c r="G18" s="51">
        <v>23</v>
      </c>
      <c r="H18" s="51">
        <v>23</v>
      </c>
      <c r="I18" s="51">
        <v>23</v>
      </c>
      <c r="J18" s="51">
        <v>23</v>
      </c>
      <c r="K18" s="51">
        <v>23</v>
      </c>
      <c r="L18" s="51">
        <v>23</v>
      </c>
      <c r="M18" s="51">
        <v>23</v>
      </c>
      <c r="N18" s="51">
        <v>23</v>
      </c>
      <c r="O18" s="51">
        <v>23</v>
      </c>
      <c r="P18" s="51">
        <v>23</v>
      </c>
      <c r="Q18" s="51">
        <v>23</v>
      </c>
      <c r="R18" s="51">
        <v>23</v>
      </c>
      <c r="S18" s="51">
        <v>23</v>
      </c>
      <c r="T18" s="51">
        <v>23</v>
      </c>
      <c r="U18" s="51">
        <v>23</v>
      </c>
      <c r="V18" s="51">
        <v>23</v>
      </c>
      <c r="W18" s="51">
        <v>23</v>
      </c>
      <c r="X18" s="51">
        <v>23</v>
      </c>
      <c r="Y18" s="51">
        <v>23</v>
      </c>
      <c r="Z18" s="51">
        <v>23</v>
      </c>
      <c r="AA18" s="51">
        <v>23</v>
      </c>
      <c r="AB18" s="51">
        <v>23</v>
      </c>
      <c r="AC18" s="51">
        <v>23</v>
      </c>
      <c r="AD18" s="51">
        <v>23</v>
      </c>
      <c r="AE18" s="51">
        <v>23</v>
      </c>
      <c r="AF18" s="51">
        <v>23</v>
      </c>
      <c r="AG18" s="59">
        <v>36</v>
      </c>
      <c r="AH18" s="55">
        <f t="shared" si="2"/>
        <v>23</v>
      </c>
      <c r="AI18" s="56">
        <f t="shared" si="3"/>
        <v>23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25.3</v>
      </c>
      <c r="C19" s="51">
        <v>25.3</v>
      </c>
      <c r="D19" s="51">
        <v>25.3</v>
      </c>
      <c r="E19" s="51">
        <v>25.3</v>
      </c>
      <c r="F19" s="51">
        <v>26</v>
      </c>
      <c r="G19" s="51">
        <v>26</v>
      </c>
      <c r="H19" s="51">
        <v>26</v>
      </c>
      <c r="I19" s="51">
        <v>26</v>
      </c>
      <c r="J19" s="51">
        <v>26</v>
      </c>
      <c r="K19" s="51">
        <v>26</v>
      </c>
      <c r="L19" s="51">
        <v>26</v>
      </c>
      <c r="M19" s="51">
        <v>26</v>
      </c>
      <c r="N19" s="51">
        <v>26</v>
      </c>
      <c r="O19" s="51">
        <v>26</v>
      </c>
      <c r="P19" s="51">
        <v>26</v>
      </c>
      <c r="Q19" s="51">
        <v>26</v>
      </c>
      <c r="R19" s="51">
        <v>26</v>
      </c>
      <c r="S19" s="51">
        <v>26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25.4</v>
      </c>
      <c r="AC19" s="51">
        <v>25.6</v>
      </c>
      <c r="AD19" s="51">
        <v>26.1</v>
      </c>
      <c r="AE19" s="51">
        <v>26.1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5</v>
      </c>
      <c r="C20" s="51">
        <v>5</v>
      </c>
      <c r="D20" s="51">
        <v>5</v>
      </c>
      <c r="E20" s="51">
        <v>5</v>
      </c>
      <c r="F20" s="51">
        <v>5</v>
      </c>
      <c r="G20" s="51">
        <v>5</v>
      </c>
      <c r="H20" s="51">
        <v>5</v>
      </c>
      <c r="I20" s="51">
        <v>5</v>
      </c>
      <c r="J20" s="51">
        <v>5</v>
      </c>
      <c r="K20" s="51">
        <v>5</v>
      </c>
      <c r="L20" s="51">
        <v>5</v>
      </c>
      <c r="M20" s="51">
        <v>5</v>
      </c>
      <c r="N20" s="51">
        <v>5</v>
      </c>
      <c r="O20" s="51">
        <v>5</v>
      </c>
      <c r="P20" s="51">
        <v>5</v>
      </c>
      <c r="Q20" s="51">
        <v>5</v>
      </c>
      <c r="R20" s="51">
        <v>5</v>
      </c>
      <c r="S20" s="51">
        <v>5</v>
      </c>
      <c r="T20" s="51">
        <v>5</v>
      </c>
      <c r="U20" s="51">
        <v>5</v>
      </c>
      <c r="V20" s="51">
        <v>5</v>
      </c>
      <c r="W20" s="51">
        <v>5</v>
      </c>
      <c r="X20" s="51">
        <v>5</v>
      </c>
      <c r="Y20" s="51">
        <v>5</v>
      </c>
      <c r="Z20" s="51">
        <v>5</v>
      </c>
      <c r="AA20" s="51">
        <v>5</v>
      </c>
      <c r="AB20" s="51">
        <v>5</v>
      </c>
      <c r="AC20" s="51">
        <v>5</v>
      </c>
      <c r="AD20" s="51">
        <v>5</v>
      </c>
      <c r="AE20" s="51">
        <v>5</v>
      </c>
      <c r="AF20" s="51">
        <v>5</v>
      </c>
      <c r="AG20" s="59">
        <v>27</v>
      </c>
      <c r="AH20" s="55">
        <f t="shared" si="2"/>
        <v>5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0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0</v>
      </c>
      <c r="C24" s="51">
        <v>0</v>
      </c>
      <c r="D24" s="51">
        <v>0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5</v>
      </c>
      <c r="E26" s="51">
        <v>5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5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>
        <v>14.9</v>
      </c>
      <c r="E27" s="51">
        <v>14.9</v>
      </c>
      <c r="F27" s="51">
        <v>14.9</v>
      </c>
      <c r="G27" s="51">
        <v>14.9</v>
      </c>
      <c r="H27" s="51">
        <v>14.9</v>
      </c>
      <c r="I27" s="51">
        <v>14.9</v>
      </c>
      <c r="J27" s="51">
        <v>0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14.9</v>
      </c>
      <c r="R27" s="51">
        <v>14.9</v>
      </c>
      <c r="S27" s="51">
        <v>14.9</v>
      </c>
      <c r="T27" s="51">
        <v>14.9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>
        <v>14.9</v>
      </c>
      <c r="AG27" s="59">
        <v>23.5</v>
      </c>
      <c r="AH27" s="55">
        <f t="shared" si="2"/>
        <v>14.9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9">
        <v>22.2</v>
      </c>
      <c r="AH28" s="55">
        <f t="shared" si="2"/>
        <v>7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10</v>
      </c>
      <c r="C30" s="51">
        <v>10</v>
      </c>
      <c r="D30" s="51">
        <v>10</v>
      </c>
      <c r="E30" s="51">
        <v>10</v>
      </c>
      <c r="F30" s="51">
        <v>10</v>
      </c>
      <c r="G30" s="51">
        <v>10</v>
      </c>
      <c r="H30" s="51">
        <v>10</v>
      </c>
      <c r="I30" s="51">
        <v>10</v>
      </c>
      <c r="J30" s="51">
        <v>10</v>
      </c>
      <c r="K30" s="51">
        <v>10</v>
      </c>
      <c r="L30" s="51">
        <v>10</v>
      </c>
      <c r="M30" s="51">
        <v>10</v>
      </c>
      <c r="N30" s="51">
        <v>10</v>
      </c>
      <c r="O30" s="51">
        <v>10</v>
      </c>
      <c r="P30" s="51">
        <v>10</v>
      </c>
      <c r="Q30" s="51">
        <v>10</v>
      </c>
      <c r="R30" s="51">
        <v>10</v>
      </c>
      <c r="S30" s="51">
        <v>10</v>
      </c>
      <c r="T30" s="51">
        <v>10</v>
      </c>
      <c r="U30" s="51">
        <v>10</v>
      </c>
      <c r="V30" s="51">
        <v>10</v>
      </c>
      <c r="W30" s="51">
        <v>10</v>
      </c>
      <c r="X30" s="51">
        <v>10</v>
      </c>
      <c r="Y30" s="51">
        <v>10</v>
      </c>
      <c r="Z30" s="51">
        <v>10</v>
      </c>
      <c r="AA30" s="51">
        <v>10</v>
      </c>
      <c r="AB30" s="51">
        <v>10</v>
      </c>
      <c r="AC30" s="51">
        <v>10</v>
      </c>
      <c r="AD30" s="51">
        <v>10</v>
      </c>
      <c r="AE30" s="51">
        <v>10</v>
      </c>
      <c r="AF30" s="51">
        <v>0</v>
      </c>
      <c r="AG30" s="59">
        <v>22.1</v>
      </c>
      <c r="AH30" s="55">
        <f t="shared" si="2"/>
        <v>10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0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8</v>
      </c>
      <c r="C32" s="51">
        <v>8</v>
      </c>
      <c r="D32" s="51">
        <v>8</v>
      </c>
      <c r="E32" s="51">
        <v>8</v>
      </c>
      <c r="F32" s="51">
        <v>8</v>
      </c>
      <c r="G32" s="51">
        <v>8</v>
      </c>
      <c r="H32" s="51">
        <v>8</v>
      </c>
      <c r="I32" s="51">
        <v>8</v>
      </c>
      <c r="J32" s="51">
        <v>8</v>
      </c>
      <c r="K32" s="51">
        <v>8</v>
      </c>
      <c r="L32" s="51">
        <v>8</v>
      </c>
      <c r="M32" s="51">
        <v>8</v>
      </c>
      <c r="N32" s="51">
        <v>8</v>
      </c>
      <c r="O32" s="51">
        <v>8</v>
      </c>
      <c r="P32" s="51">
        <v>8</v>
      </c>
      <c r="Q32" s="51">
        <v>8</v>
      </c>
      <c r="R32" s="51">
        <v>8</v>
      </c>
      <c r="S32" s="51">
        <v>8</v>
      </c>
      <c r="T32" s="51">
        <v>8</v>
      </c>
      <c r="U32" s="51">
        <v>8</v>
      </c>
      <c r="V32" s="51">
        <v>8</v>
      </c>
      <c r="W32" s="51">
        <v>8</v>
      </c>
      <c r="X32" s="51">
        <v>8</v>
      </c>
      <c r="Y32" s="51">
        <v>8</v>
      </c>
      <c r="Z32" s="51">
        <v>8</v>
      </c>
      <c r="AA32" s="51">
        <v>8</v>
      </c>
      <c r="AB32" s="51">
        <v>8</v>
      </c>
      <c r="AC32" s="51">
        <v>8</v>
      </c>
      <c r="AD32" s="51">
        <v>8</v>
      </c>
      <c r="AE32" s="51">
        <v>8</v>
      </c>
      <c r="AF32" s="51">
        <v>8</v>
      </c>
      <c r="AG32" s="64">
        <v>22</v>
      </c>
      <c r="AH32" s="55">
        <f t="shared" si="2"/>
        <v>8</v>
      </c>
      <c r="AI32" s="56">
        <f t="shared" si="3"/>
        <v>8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8.4</v>
      </c>
      <c r="C34" s="51">
        <v>8.4</v>
      </c>
      <c r="D34" s="51">
        <v>8.4</v>
      </c>
      <c r="E34" s="51">
        <v>8.4</v>
      </c>
      <c r="F34" s="51">
        <v>8.4</v>
      </c>
      <c r="G34" s="51">
        <v>8.4</v>
      </c>
      <c r="H34" s="51">
        <v>8.4</v>
      </c>
      <c r="I34" s="51">
        <v>8.4</v>
      </c>
      <c r="J34" s="51">
        <v>8.4</v>
      </c>
      <c r="K34" s="51">
        <v>8.4</v>
      </c>
      <c r="L34" s="51">
        <v>8.4</v>
      </c>
      <c r="M34" s="51">
        <v>8.4</v>
      </c>
      <c r="N34" s="51">
        <v>8.4</v>
      </c>
      <c r="O34" s="51">
        <v>8.4</v>
      </c>
      <c r="P34" s="51">
        <v>8.4</v>
      </c>
      <c r="Q34" s="51">
        <v>8.4</v>
      </c>
      <c r="R34" s="51">
        <v>8.4</v>
      </c>
      <c r="S34" s="51">
        <v>8.4</v>
      </c>
      <c r="T34" s="51">
        <v>8.4</v>
      </c>
      <c r="U34" s="51">
        <v>8.4</v>
      </c>
      <c r="V34" s="51">
        <v>8.4</v>
      </c>
      <c r="W34" s="51">
        <v>8.4</v>
      </c>
      <c r="X34" s="51">
        <v>8.4</v>
      </c>
      <c r="Y34" s="51">
        <v>8.4</v>
      </c>
      <c r="Z34" s="51">
        <v>8.4</v>
      </c>
      <c r="AA34" s="51">
        <v>8.4</v>
      </c>
      <c r="AB34" s="51">
        <v>8.4</v>
      </c>
      <c r="AC34" s="51">
        <v>8.4</v>
      </c>
      <c r="AD34" s="51">
        <v>8.4</v>
      </c>
      <c r="AE34" s="51">
        <v>8.4</v>
      </c>
      <c r="AF34" s="51">
        <v>8.4</v>
      </c>
      <c r="AG34" s="64">
        <v>20</v>
      </c>
      <c r="AH34" s="55">
        <f t="shared" si="2"/>
        <v>8.4</v>
      </c>
      <c r="AI34" s="56">
        <f t="shared" si="3"/>
        <v>8.4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230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230</v>
      </c>
      <c r="AK36" s="57"/>
    </row>
    <row r="37" spans="1:88" ht="15.75" thickBot="1" x14ac:dyDescent="0.3">
      <c r="A37" s="67" t="s">
        <v>45</v>
      </c>
      <c r="B37" s="68">
        <f>95.1+33.4</f>
        <v>128.5</v>
      </c>
      <c r="C37" s="68">
        <f>95.1+33.4</f>
        <v>128.5</v>
      </c>
      <c r="D37" s="68">
        <f>40+97</f>
        <v>137</v>
      </c>
      <c r="E37" s="66">
        <f>97.4+39.3</f>
        <v>136.69999999999999</v>
      </c>
      <c r="F37" s="66">
        <f>97.9+39.1</f>
        <v>137</v>
      </c>
      <c r="G37" s="66">
        <f>98.2+39</f>
        <v>137.19999999999999</v>
      </c>
      <c r="H37" s="66">
        <f>97.4+31</f>
        <v>128.4</v>
      </c>
      <c r="I37" s="66">
        <f>97.6+38.1</f>
        <v>135.69999999999999</v>
      </c>
      <c r="J37" s="66">
        <v>0</v>
      </c>
      <c r="K37" s="66">
        <v>86.3</v>
      </c>
      <c r="L37" s="66">
        <f>93.8+38.9</f>
        <v>132.69999999999999</v>
      </c>
      <c r="M37" s="66">
        <v>135</v>
      </c>
      <c r="N37" s="66">
        <v>135</v>
      </c>
      <c r="O37" s="66">
        <v>135</v>
      </c>
      <c r="P37" s="66">
        <f>39.5+65.6</f>
        <v>105.1</v>
      </c>
      <c r="Q37" s="66">
        <f>70+0</f>
        <v>70</v>
      </c>
      <c r="R37" s="66">
        <f>70+0</f>
        <v>70</v>
      </c>
      <c r="S37" s="66">
        <f>70+0</f>
        <v>70</v>
      </c>
      <c r="T37" s="68">
        <f>37+74.4</f>
        <v>111.4</v>
      </c>
      <c r="U37" s="68">
        <f>39.7+87</f>
        <v>126.7</v>
      </c>
      <c r="V37" s="68">
        <f>39.5+89.5</f>
        <v>129</v>
      </c>
      <c r="W37" s="68">
        <f>39.7+90</f>
        <v>129.69999999999999</v>
      </c>
      <c r="X37" s="68">
        <f t="shared" ref="X37:Z37" si="4">39.7+90</f>
        <v>129.69999999999999</v>
      </c>
      <c r="Y37" s="68">
        <f t="shared" si="4"/>
        <v>129.69999999999999</v>
      </c>
      <c r="Z37" s="68">
        <f t="shared" si="4"/>
        <v>129.69999999999999</v>
      </c>
      <c r="AA37" s="68">
        <f>38.2+87.1</f>
        <v>125.3</v>
      </c>
      <c r="AB37" s="68">
        <f>39+88.6</f>
        <v>127.6</v>
      </c>
      <c r="AC37" s="68">
        <f>40+91.7</f>
        <v>131.69999999999999</v>
      </c>
      <c r="AD37" s="68">
        <f>41.8+92.5</f>
        <v>134.30000000000001</v>
      </c>
      <c r="AE37" s="68">
        <f>41.8+92.1</f>
        <v>133.89999999999998</v>
      </c>
      <c r="AF37" s="68">
        <f>42.1+92.6</f>
        <v>134.69999999999999</v>
      </c>
      <c r="AG37" s="64">
        <v>240</v>
      </c>
      <c r="AH37" s="55">
        <f t="shared" si="2"/>
        <v>137.19999999999999</v>
      </c>
      <c r="AI37" s="56">
        <f t="shared" si="3"/>
        <v>0</v>
      </c>
      <c r="AK37" s="57"/>
    </row>
    <row r="38" spans="1:88" ht="15.75" thickBot="1" x14ac:dyDescent="0.3">
      <c r="A38" s="69" t="s">
        <v>46</v>
      </c>
      <c r="B38" s="70">
        <f t="shared" ref="B38:AF38" si="5">SUM(B11:B36)</f>
        <v>1204.0999999999999</v>
      </c>
      <c r="C38" s="70">
        <f t="shared" si="5"/>
        <v>1204.0999999999999</v>
      </c>
      <c r="D38" s="70">
        <f t="shared" si="5"/>
        <v>1199.0999999999999</v>
      </c>
      <c r="E38" s="70">
        <f t="shared" si="5"/>
        <v>1221.0999999999999</v>
      </c>
      <c r="F38" s="70">
        <f t="shared" si="5"/>
        <v>1184.3</v>
      </c>
      <c r="G38" s="70">
        <f t="shared" si="5"/>
        <v>1216.4000000000001</v>
      </c>
      <c r="H38" s="70">
        <f t="shared" si="5"/>
        <v>1216.4000000000001</v>
      </c>
      <c r="I38" s="70">
        <f t="shared" si="5"/>
        <v>1216.4000000000001</v>
      </c>
      <c r="J38" s="70">
        <f t="shared" si="5"/>
        <v>1069.8</v>
      </c>
      <c r="K38" s="70">
        <f t="shared" si="5"/>
        <v>1202.4000000000001</v>
      </c>
      <c r="L38" s="70">
        <f t="shared" si="5"/>
        <v>1202.4000000000001</v>
      </c>
      <c r="M38" s="70">
        <f t="shared" si="5"/>
        <v>1202.4000000000001</v>
      </c>
      <c r="N38" s="70">
        <f t="shared" si="5"/>
        <v>1202.4000000000001</v>
      </c>
      <c r="O38" s="70">
        <f t="shared" si="5"/>
        <v>1202.4000000000001</v>
      </c>
      <c r="P38" s="70">
        <f t="shared" si="5"/>
        <v>1202.4000000000001</v>
      </c>
      <c r="Q38" s="70">
        <f t="shared" si="5"/>
        <v>1202.4000000000001</v>
      </c>
      <c r="R38" s="70">
        <f t="shared" si="5"/>
        <v>1202.4000000000001</v>
      </c>
      <c r="S38" s="70">
        <f t="shared" si="5"/>
        <v>1202.4000000000001</v>
      </c>
      <c r="T38" s="70">
        <f t="shared" si="5"/>
        <v>1176.4000000000001</v>
      </c>
      <c r="U38" s="70">
        <f t="shared" si="5"/>
        <v>1176.4000000000001</v>
      </c>
      <c r="V38" s="70">
        <f t="shared" si="5"/>
        <v>1130.4000000000001</v>
      </c>
      <c r="W38" s="70">
        <f t="shared" si="5"/>
        <v>1140.4000000000001</v>
      </c>
      <c r="X38" s="70">
        <f t="shared" si="5"/>
        <v>1120.4000000000001</v>
      </c>
      <c r="Y38" s="70">
        <f t="shared" si="5"/>
        <v>1171.4000000000001</v>
      </c>
      <c r="Z38" s="70">
        <f t="shared" si="5"/>
        <v>1176.4000000000001</v>
      </c>
      <c r="AA38" s="70">
        <f t="shared" si="5"/>
        <v>1176.4000000000001</v>
      </c>
      <c r="AB38" s="70">
        <f t="shared" si="5"/>
        <v>1223.8</v>
      </c>
      <c r="AC38" s="70">
        <f t="shared" si="5"/>
        <v>1212</v>
      </c>
      <c r="AD38" s="70">
        <f t="shared" si="5"/>
        <v>1224.5999999999999</v>
      </c>
      <c r="AE38" s="70">
        <f t="shared" si="5"/>
        <v>1174.5999999999999</v>
      </c>
      <c r="AF38" s="70">
        <f t="shared" si="5"/>
        <v>1214.4000000000001</v>
      </c>
      <c r="AG38" s="64">
        <f>SUM(AG11:AG37)</f>
        <v>1492.8299999999997</v>
      </c>
      <c r="AH38" s="55">
        <f t="shared" si="2"/>
        <v>1224.5999999999999</v>
      </c>
      <c r="AI38" s="56">
        <f t="shared" si="3"/>
        <v>1069.8</v>
      </c>
      <c r="AK38" s="57"/>
    </row>
    <row r="39" spans="1:88" x14ac:dyDescent="0.25">
      <c r="A39" s="58" t="s">
        <v>47</v>
      </c>
      <c r="B39" s="51">
        <v>144.19999999999999</v>
      </c>
      <c r="C39" s="51">
        <v>144.19999999999999</v>
      </c>
      <c r="D39" s="51">
        <v>144.19999999999999</v>
      </c>
      <c r="E39" s="51">
        <v>142</v>
      </c>
      <c r="F39" s="51">
        <v>135.80000000000001</v>
      </c>
      <c r="G39" s="51">
        <v>144.4</v>
      </c>
      <c r="H39" s="51">
        <v>144.4</v>
      </c>
      <c r="I39" s="51">
        <v>144.30000000000001</v>
      </c>
      <c r="J39" s="51">
        <v>144.1</v>
      </c>
      <c r="K39" s="51">
        <v>144.1</v>
      </c>
      <c r="L39" s="51">
        <v>144.30000000000001</v>
      </c>
      <c r="M39" s="51">
        <v>145</v>
      </c>
      <c r="N39" s="51">
        <v>145</v>
      </c>
      <c r="O39" s="51">
        <v>145</v>
      </c>
      <c r="P39" s="51">
        <v>145</v>
      </c>
      <c r="Q39" s="51">
        <v>145</v>
      </c>
      <c r="R39" s="51">
        <v>145</v>
      </c>
      <c r="S39" s="51">
        <v>145</v>
      </c>
      <c r="T39" s="51">
        <v>144</v>
      </c>
      <c r="U39" s="51">
        <v>144.1</v>
      </c>
      <c r="V39" s="51">
        <v>144.1</v>
      </c>
      <c r="W39" s="51">
        <v>144.1</v>
      </c>
      <c r="X39" s="51">
        <v>144.1</v>
      </c>
      <c r="Y39" s="51">
        <v>144.1</v>
      </c>
      <c r="Z39" s="51">
        <v>144.1</v>
      </c>
      <c r="AA39" s="51">
        <v>144.1</v>
      </c>
      <c r="AB39" s="51">
        <v>144.19999999999999</v>
      </c>
      <c r="AC39" s="51">
        <v>144.19999999999999</v>
      </c>
      <c r="AD39" s="51">
        <v>144.19999999999999</v>
      </c>
      <c r="AE39" s="51">
        <v>145</v>
      </c>
      <c r="AF39" s="51">
        <v>144.80000000000001</v>
      </c>
      <c r="AG39" s="60">
        <v>144</v>
      </c>
      <c r="AH39" s="55">
        <f t="shared" si="2"/>
        <v>145</v>
      </c>
      <c r="AI39" s="56">
        <f t="shared" si="3"/>
        <v>135.80000000000001</v>
      </c>
      <c r="AK39" s="57"/>
    </row>
    <row r="40" spans="1:88" x14ac:dyDescent="0.25">
      <c r="A40" s="63" t="s">
        <v>48</v>
      </c>
      <c r="B40" s="49">
        <v>72.599999999999994</v>
      </c>
      <c r="C40" s="49">
        <v>72.599999999999994</v>
      </c>
      <c r="D40" s="49">
        <v>72.599999999999994</v>
      </c>
      <c r="E40" s="49">
        <v>60</v>
      </c>
      <c r="F40" s="49">
        <v>69.5</v>
      </c>
      <c r="G40" s="49">
        <v>70.2</v>
      </c>
      <c r="H40" s="49">
        <v>69.8</v>
      </c>
      <c r="I40" s="49">
        <v>71.3</v>
      </c>
      <c r="J40" s="49">
        <v>70.5</v>
      </c>
      <c r="K40" s="49">
        <v>70.5</v>
      </c>
      <c r="L40" s="49">
        <v>70.2</v>
      </c>
      <c r="M40" s="49">
        <v>69.900000000000006</v>
      </c>
      <c r="N40" s="49">
        <v>69.900000000000006</v>
      </c>
      <c r="O40" s="49">
        <v>69.900000000000006</v>
      </c>
      <c r="P40" s="49">
        <v>69.900000000000006</v>
      </c>
      <c r="Q40" s="49">
        <v>69.900000000000006</v>
      </c>
      <c r="R40" s="49">
        <v>69.900000000000006</v>
      </c>
      <c r="S40" s="49">
        <v>69.900000000000006</v>
      </c>
      <c r="T40" s="49">
        <v>72.900000000000006</v>
      </c>
      <c r="U40" s="49">
        <v>73.099999999999994</v>
      </c>
      <c r="V40" s="49">
        <v>73.099999999999994</v>
      </c>
      <c r="W40" s="49">
        <v>72</v>
      </c>
      <c r="X40" s="49">
        <v>72</v>
      </c>
      <c r="Y40" s="49">
        <v>72</v>
      </c>
      <c r="Z40" s="49">
        <v>72</v>
      </c>
      <c r="AA40" s="49">
        <v>72</v>
      </c>
      <c r="AB40" s="49">
        <v>72.599999999999994</v>
      </c>
      <c r="AC40" s="49">
        <v>72.599999999999994</v>
      </c>
      <c r="AD40" s="49">
        <v>71.7</v>
      </c>
      <c r="AE40" s="49">
        <v>68.5</v>
      </c>
      <c r="AF40" s="49">
        <v>70.2</v>
      </c>
      <c r="AG40" s="64">
        <v>70</v>
      </c>
      <c r="AH40" s="55">
        <f t="shared" si="2"/>
        <v>73.099999999999994</v>
      </c>
      <c r="AI40" s="56">
        <f t="shared" si="3"/>
        <v>60</v>
      </c>
      <c r="AK40" s="57"/>
    </row>
    <row r="41" spans="1:88" x14ac:dyDescent="0.25">
      <c r="A41" s="63" t="s">
        <v>49</v>
      </c>
      <c r="B41" s="49">
        <v>61.4</v>
      </c>
      <c r="C41" s="49">
        <v>61.4</v>
      </c>
      <c r="D41" s="49">
        <v>61.4</v>
      </c>
      <c r="E41" s="49">
        <v>55.1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51">
        <v>0</v>
      </c>
      <c r="N41" s="51">
        <v>0</v>
      </c>
      <c r="O41" s="51">
        <v>23</v>
      </c>
      <c r="P41" s="51">
        <v>63.7</v>
      </c>
      <c r="Q41" s="51">
        <v>63.7</v>
      </c>
      <c r="R41" s="51">
        <v>63.7</v>
      </c>
      <c r="S41" s="51">
        <v>63.7</v>
      </c>
      <c r="T41" s="51">
        <v>63.7</v>
      </c>
      <c r="U41" s="49">
        <v>64</v>
      </c>
      <c r="V41" s="49">
        <v>64</v>
      </c>
      <c r="W41" s="49">
        <v>64</v>
      </c>
      <c r="X41" s="49">
        <v>64</v>
      </c>
      <c r="Y41" s="49">
        <v>64</v>
      </c>
      <c r="Z41" s="49">
        <v>64</v>
      </c>
      <c r="AA41" s="49">
        <v>64</v>
      </c>
      <c r="AB41" s="49">
        <v>64.099999999999994</v>
      </c>
      <c r="AC41" s="49">
        <v>64.099999999999994</v>
      </c>
      <c r="AD41" s="49">
        <v>62.9</v>
      </c>
      <c r="AE41" s="49">
        <v>61.1</v>
      </c>
      <c r="AF41" s="49">
        <v>63.9</v>
      </c>
      <c r="AG41" s="64">
        <v>69</v>
      </c>
      <c r="AH41" s="55">
        <f t="shared" si="2"/>
        <v>64.099999999999994</v>
      </c>
      <c r="AI41" s="56">
        <f t="shared" si="3"/>
        <v>0</v>
      </c>
      <c r="AK41" s="57"/>
    </row>
    <row r="42" spans="1:88" x14ac:dyDescent="0.25">
      <c r="A42" s="63" t="s">
        <v>50</v>
      </c>
      <c r="B42" s="66">
        <v>60.4</v>
      </c>
      <c r="C42" s="66">
        <v>60.4</v>
      </c>
      <c r="D42" s="66">
        <v>60.4</v>
      </c>
      <c r="E42" s="66">
        <v>60.9</v>
      </c>
      <c r="F42" s="66">
        <v>60.7</v>
      </c>
      <c r="G42" s="66">
        <v>60.7</v>
      </c>
      <c r="H42" s="66">
        <v>60.7</v>
      </c>
      <c r="I42" s="66">
        <v>60.4</v>
      </c>
      <c r="J42" s="66">
        <v>60.4</v>
      </c>
      <c r="K42" s="66">
        <v>60.4</v>
      </c>
      <c r="L42" s="66">
        <v>60.4</v>
      </c>
      <c r="M42" s="51">
        <v>60.9</v>
      </c>
      <c r="N42" s="51">
        <v>60.9</v>
      </c>
      <c r="O42" s="51">
        <v>60.9</v>
      </c>
      <c r="P42" s="51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51">
        <v>60.9</v>
      </c>
      <c r="AB42" s="66">
        <v>60.4</v>
      </c>
      <c r="AC42" s="66">
        <v>60.4</v>
      </c>
      <c r="AD42" s="66">
        <v>60.9</v>
      </c>
      <c r="AE42" s="66">
        <v>60.9</v>
      </c>
      <c r="AF42" s="66">
        <v>60.9</v>
      </c>
      <c r="AG42" s="64">
        <v>60</v>
      </c>
      <c r="AH42" s="55">
        <f t="shared" si="2"/>
        <v>60.9</v>
      </c>
      <c r="AI42" s="56">
        <f t="shared" si="3"/>
        <v>60.4</v>
      </c>
      <c r="AK42" s="57"/>
    </row>
    <row r="43" spans="1:88" x14ac:dyDescent="0.25">
      <c r="A43" s="63" t="s">
        <v>51</v>
      </c>
      <c r="B43" s="66">
        <v>16</v>
      </c>
      <c r="C43" s="66">
        <v>16</v>
      </c>
      <c r="D43" s="66">
        <v>22</v>
      </c>
      <c r="E43" s="66">
        <v>16</v>
      </c>
      <c r="F43" s="66">
        <v>16</v>
      </c>
      <c r="G43" s="66">
        <v>10</v>
      </c>
      <c r="H43" s="66">
        <v>10</v>
      </c>
      <c r="I43" s="66">
        <v>6</v>
      </c>
      <c r="J43" s="66">
        <v>6</v>
      </c>
      <c r="K43" s="66">
        <v>6</v>
      </c>
      <c r="L43" s="66">
        <v>6</v>
      </c>
      <c r="M43" s="51">
        <v>20</v>
      </c>
      <c r="N43" s="51">
        <v>29</v>
      </c>
      <c r="O43" s="51">
        <v>29</v>
      </c>
      <c r="P43" s="51">
        <v>29</v>
      </c>
      <c r="Q43" s="51">
        <v>29</v>
      </c>
      <c r="R43" s="51">
        <v>29</v>
      </c>
      <c r="S43" s="51">
        <v>29</v>
      </c>
      <c r="T43" s="51">
        <v>29</v>
      </c>
      <c r="U43" s="51">
        <v>15</v>
      </c>
      <c r="V43" s="51">
        <v>15</v>
      </c>
      <c r="W43" s="51">
        <v>13</v>
      </c>
      <c r="X43" s="51">
        <v>13</v>
      </c>
      <c r="Y43" s="51">
        <v>13</v>
      </c>
      <c r="Z43" s="51">
        <v>13</v>
      </c>
      <c r="AA43" s="51">
        <v>13</v>
      </c>
      <c r="AB43" s="66">
        <v>28</v>
      </c>
      <c r="AC43" s="66">
        <v>28</v>
      </c>
      <c r="AD43" s="66">
        <v>20</v>
      </c>
      <c r="AE43" s="66">
        <v>20</v>
      </c>
      <c r="AF43" s="66">
        <v>20</v>
      </c>
      <c r="AG43" s="64">
        <v>30</v>
      </c>
      <c r="AH43" s="55">
        <f t="shared" si="2"/>
        <v>29</v>
      </c>
      <c r="AI43" s="56">
        <f t="shared" si="3"/>
        <v>6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6</v>
      </c>
      <c r="K44" s="66">
        <v>6</v>
      </c>
      <c r="L44" s="66">
        <v>6</v>
      </c>
      <c r="M44" s="66">
        <v>6</v>
      </c>
      <c r="N44" s="66">
        <v>6</v>
      </c>
      <c r="O44" s="66">
        <v>6</v>
      </c>
      <c r="P44" s="66">
        <v>6</v>
      </c>
      <c r="Q44" s="66">
        <v>6</v>
      </c>
      <c r="R44" s="66">
        <v>6</v>
      </c>
      <c r="S44" s="66">
        <v>6</v>
      </c>
      <c r="T44" s="66">
        <v>6</v>
      </c>
      <c r="U44" s="66">
        <v>6</v>
      </c>
      <c r="V44" s="66">
        <v>6</v>
      </c>
      <c r="W44" s="66">
        <v>6</v>
      </c>
      <c r="X44" s="66">
        <v>6</v>
      </c>
      <c r="Y44" s="66">
        <v>6</v>
      </c>
      <c r="Z44" s="66">
        <v>6</v>
      </c>
      <c r="AA44" s="66">
        <v>6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6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16.899999999999999</v>
      </c>
      <c r="C45" s="49">
        <v>16.899999999999999</v>
      </c>
      <c r="D45" s="49">
        <v>16.899999999999999</v>
      </c>
      <c r="E45" s="49">
        <v>16.600000000000001</v>
      </c>
      <c r="F45" s="49">
        <v>16.5</v>
      </c>
      <c r="G45" s="49">
        <v>16.5</v>
      </c>
      <c r="H45" s="49">
        <v>16.5</v>
      </c>
      <c r="I45" s="49">
        <v>16.5</v>
      </c>
      <c r="J45" s="49">
        <v>16.5</v>
      </c>
      <c r="K45" s="49">
        <v>16.5</v>
      </c>
      <c r="L45" s="49">
        <v>16.5</v>
      </c>
      <c r="M45" s="49">
        <v>16.5</v>
      </c>
      <c r="N45" s="49">
        <v>16.5</v>
      </c>
      <c r="O45" s="49">
        <v>16.5</v>
      </c>
      <c r="P45" s="49">
        <v>16.5</v>
      </c>
      <c r="Q45" s="49">
        <v>16.5</v>
      </c>
      <c r="R45" s="49">
        <v>16.5</v>
      </c>
      <c r="S45" s="49">
        <v>16.5</v>
      </c>
      <c r="T45" s="49">
        <v>16.5</v>
      </c>
      <c r="U45" s="49">
        <v>16.5</v>
      </c>
      <c r="V45" s="49">
        <v>16.5</v>
      </c>
      <c r="W45" s="49">
        <v>16.5</v>
      </c>
      <c r="X45" s="49">
        <v>16.5</v>
      </c>
      <c r="Y45" s="49">
        <v>16.5</v>
      </c>
      <c r="Z45" s="49">
        <v>16.5</v>
      </c>
      <c r="AA45" s="49">
        <v>16.5</v>
      </c>
      <c r="AB45" s="49">
        <v>17.2</v>
      </c>
      <c r="AC45" s="49">
        <v>17.2</v>
      </c>
      <c r="AD45" s="49">
        <v>17.100000000000001</v>
      </c>
      <c r="AE45" s="49">
        <v>17.100000000000001</v>
      </c>
      <c r="AF45" s="49">
        <v>17.8</v>
      </c>
      <c r="AG45" s="64">
        <v>24</v>
      </c>
      <c r="AH45" s="55">
        <f t="shared" si="2"/>
        <v>17.8</v>
      </c>
      <c r="AI45" s="56">
        <f t="shared" si="3"/>
        <v>16.5</v>
      </c>
      <c r="AK45" s="57"/>
    </row>
    <row r="46" spans="1:88" x14ac:dyDescent="0.25">
      <c r="A46" s="63" t="s">
        <v>54</v>
      </c>
      <c r="B46" s="49">
        <v>2.5</v>
      </c>
      <c r="C46" s="49">
        <v>2.5</v>
      </c>
      <c r="D46" s="49">
        <v>2.5</v>
      </c>
      <c r="E46" s="49">
        <v>2.5</v>
      </c>
      <c r="F46" s="49">
        <v>2.5</v>
      </c>
      <c r="G46" s="49">
        <v>2.5</v>
      </c>
      <c r="H46" s="49">
        <v>2.5</v>
      </c>
      <c r="I46" s="49">
        <v>2.5</v>
      </c>
      <c r="J46" s="49">
        <v>2.5</v>
      </c>
      <c r="K46" s="49">
        <v>2.5</v>
      </c>
      <c r="L46" s="49">
        <v>2.5</v>
      </c>
      <c r="M46" s="49">
        <v>2.5</v>
      </c>
      <c r="N46" s="49">
        <v>2.5</v>
      </c>
      <c r="O46" s="49">
        <v>2.5</v>
      </c>
      <c r="P46" s="49">
        <v>2.5</v>
      </c>
      <c r="Q46" s="49">
        <v>2.5</v>
      </c>
      <c r="R46" s="49">
        <v>2.5</v>
      </c>
      <c r="S46" s="49">
        <v>2.5</v>
      </c>
      <c r="T46" s="49">
        <v>2.5</v>
      </c>
      <c r="U46" s="49">
        <v>2.5</v>
      </c>
      <c r="V46" s="49">
        <v>2.5</v>
      </c>
      <c r="W46" s="49">
        <v>2.5</v>
      </c>
      <c r="X46" s="49">
        <v>2.5</v>
      </c>
      <c r="Y46" s="49">
        <v>2.5</v>
      </c>
      <c r="Z46" s="49">
        <v>2.5</v>
      </c>
      <c r="AA46" s="49">
        <v>2.5</v>
      </c>
      <c r="AB46" s="49">
        <v>2.5</v>
      </c>
      <c r="AC46" s="49">
        <v>2.5</v>
      </c>
      <c r="AD46" s="49">
        <v>2.5</v>
      </c>
      <c r="AE46" s="49">
        <v>2.5</v>
      </c>
      <c r="AF46" s="49">
        <v>2.5</v>
      </c>
      <c r="AG46" s="64">
        <v>15</v>
      </c>
      <c r="AH46" s="55">
        <f t="shared" si="2"/>
        <v>2.5</v>
      </c>
      <c r="AI46" s="56">
        <f t="shared" si="3"/>
        <v>2.5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12.6</v>
      </c>
      <c r="C47" s="49">
        <v>12.6</v>
      </c>
      <c r="D47" s="49">
        <v>12.6</v>
      </c>
      <c r="E47" s="49">
        <v>12.3</v>
      </c>
      <c r="F47" s="49">
        <v>12.4</v>
      </c>
      <c r="G47" s="49">
        <v>12.4</v>
      </c>
      <c r="H47" s="49">
        <v>12.4</v>
      </c>
      <c r="I47" s="49">
        <v>12.4</v>
      </c>
      <c r="J47" s="49">
        <v>12.4</v>
      </c>
      <c r="K47" s="49">
        <v>12.4</v>
      </c>
      <c r="L47" s="49">
        <v>12.4</v>
      </c>
      <c r="M47" s="49">
        <v>12.4</v>
      </c>
      <c r="N47" s="49">
        <v>12.4</v>
      </c>
      <c r="O47" s="49">
        <v>12.4</v>
      </c>
      <c r="P47" s="49">
        <v>12.4</v>
      </c>
      <c r="Q47" s="49">
        <v>12.4</v>
      </c>
      <c r="R47" s="49">
        <v>12.4</v>
      </c>
      <c r="S47" s="49">
        <v>12.4</v>
      </c>
      <c r="T47" s="49">
        <v>12.4</v>
      </c>
      <c r="U47" s="49">
        <v>12.4</v>
      </c>
      <c r="V47" s="49">
        <v>12.4</v>
      </c>
      <c r="W47" s="49">
        <v>12.4</v>
      </c>
      <c r="X47" s="49">
        <v>12.4</v>
      </c>
      <c r="Y47" s="49">
        <v>12.4</v>
      </c>
      <c r="Z47" s="49">
        <v>12.4</v>
      </c>
      <c r="AA47" s="49">
        <v>12.4</v>
      </c>
      <c r="AB47" s="49">
        <v>12.4</v>
      </c>
      <c r="AC47" s="49">
        <v>12.4</v>
      </c>
      <c r="AD47" s="49">
        <v>13.7</v>
      </c>
      <c r="AE47" s="49">
        <v>13.7</v>
      </c>
      <c r="AF47" s="49">
        <v>12.3</v>
      </c>
      <c r="AG47" s="64">
        <v>14.1</v>
      </c>
      <c r="AH47" s="55">
        <f t="shared" si="2"/>
        <v>13.7</v>
      </c>
      <c r="AI47" s="56">
        <f t="shared" si="3"/>
        <v>12.3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7.3</v>
      </c>
      <c r="C48" s="49">
        <v>7.3</v>
      </c>
      <c r="D48" s="49">
        <v>7.3</v>
      </c>
      <c r="E48" s="49">
        <v>0</v>
      </c>
      <c r="F48" s="49">
        <v>7.3</v>
      </c>
      <c r="G48" s="49">
        <v>6.9</v>
      </c>
      <c r="H48" s="49">
        <v>13.4</v>
      </c>
      <c r="I48" s="49">
        <v>13.4</v>
      </c>
      <c r="J48" s="49">
        <v>13.4</v>
      </c>
      <c r="K48" s="49">
        <v>13.4</v>
      </c>
      <c r="L48" s="49">
        <v>13.4</v>
      </c>
      <c r="M48" s="49">
        <v>13.4</v>
      </c>
      <c r="N48" s="49">
        <v>13.4</v>
      </c>
      <c r="O48" s="49">
        <v>13.4</v>
      </c>
      <c r="P48" s="49">
        <v>13.4</v>
      </c>
      <c r="Q48" s="49">
        <v>13.4</v>
      </c>
      <c r="R48" s="49">
        <v>13.4</v>
      </c>
      <c r="S48" s="49">
        <v>13.4</v>
      </c>
      <c r="T48" s="49">
        <v>13.4</v>
      </c>
      <c r="U48" s="49">
        <v>13.4</v>
      </c>
      <c r="V48" s="49">
        <v>13.4</v>
      </c>
      <c r="W48" s="49">
        <v>13.4</v>
      </c>
      <c r="X48" s="49">
        <v>13.4</v>
      </c>
      <c r="Y48" s="49">
        <v>13.4</v>
      </c>
      <c r="Z48" s="49">
        <v>13.4</v>
      </c>
      <c r="AA48" s="49">
        <v>13.4</v>
      </c>
      <c r="AB48" s="49">
        <v>13.4</v>
      </c>
      <c r="AC48" s="49">
        <v>13.4</v>
      </c>
      <c r="AD48" s="49">
        <v>3.5</v>
      </c>
      <c r="AE48" s="49">
        <v>3.5</v>
      </c>
      <c r="AF48" s="49">
        <v>3.5</v>
      </c>
      <c r="AG48" s="64">
        <v>14</v>
      </c>
      <c r="AH48" s="55">
        <f t="shared" si="2"/>
        <v>13.4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8.5</v>
      </c>
      <c r="F49" s="49">
        <v>8.4</v>
      </c>
      <c r="G49" s="49">
        <v>8.4</v>
      </c>
      <c r="H49" s="49">
        <v>8.4</v>
      </c>
      <c r="I49" s="49">
        <v>8.4</v>
      </c>
      <c r="J49" s="49">
        <v>8.4</v>
      </c>
      <c r="K49" s="49">
        <v>8.4</v>
      </c>
      <c r="L49" s="49">
        <v>8.4</v>
      </c>
      <c r="M49" s="49">
        <v>8.4</v>
      </c>
      <c r="N49" s="49">
        <v>8.4</v>
      </c>
      <c r="O49" s="49">
        <v>8.4</v>
      </c>
      <c r="P49" s="49">
        <v>8.4</v>
      </c>
      <c r="Q49" s="49">
        <v>8.4</v>
      </c>
      <c r="R49" s="49">
        <v>8.4</v>
      </c>
      <c r="S49" s="49">
        <v>8.4</v>
      </c>
      <c r="T49" s="49">
        <v>8.4</v>
      </c>
      <c r="U49" s="49">
        <v>8.4</v>
      </c>
      <c r="V49" s="49">
        <v>8.4</v>
      </c>
      <c r="W49" s="49">
        <v>8.4</v>
      </c>
      <c r="X49" s="49">
        <v>8.4</v>
      </c>
      <c r="Y49" s="49">
        <v>8.4</v>
      </c>
      <c r="Z49" s="49">
        <v>8.4</v>
      </c>
      <c r="AA49" s="49">
        <v>8.4</v>
      </c>
      <c r="AB49" s="49">
        <v>8.4</v>
      </c>
      <c r="AC49" s="49">
        <v>8.4</v>
      </c>
      <c r="AD49" s="49">
        <v>9.3000000000000007</v>
      </c>
      <c r="AE49" s="49">
        <v>9.3000000000000007</v>
      </c>
      <c r="AF49" s="49">
        <v>9.3000000000000007</v>
      </c>
      <c r="AG49" s="64">
        <v>10.050000000000001</v>
      </c>
      <c r="AH49" s="55">
        <f t="shared" si="2"/>
        <v>9.5</v>
      </c>
      <c r="AI49" s="56">
        <f t="shared" si="3"/>
        <v>8.4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0</v>
      </c>
      <c r="K50" s="49">
        <v>6</v>
      </c>
      <c r="L50" s="49">
        <v>6</v>
      </c>
      <c r="M50" s="49">
        <v>6</v>
      </c>
      <c r="N50" s="49">
        <v>6</v>
      </c>
      <c r="O50" s="49">
        <v>6</v>
      </c>
      <c r="P50" s="49">
        <v>6</v>
      </c>
      <c r="Q50" s="49">
        <v>6</v>
      </c>
      <c r="R50" s="49">
        <v>6</v>
      </c>
      <c r="S50" s="49">
        <v>6</v>
      </c>
      <c r="T50" s="49">
        <v>6</v>
      </c>
      <c r="U50" s="49">
        <v>6</v>
      </c>
      <c r="V50" s="49">
        <v>6</v>
      </c>
      <c r="W50" s="49">
        <v>6</v>
      </c>
      <c r="X50" s="49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49">
        <v>6</v>
      </c>
      <c r="AE50" s="49">
        <v>6</v>
      </c>
      <c r="AF50" s="49">
        <v>6</v>
      </c>
      <c r="AG50" s="64">
        <v>6.2</v>
      </c>
      <c r="AH50" s="55">
        <f t="shared" si="2"/>
        <v>6</v>
      </c>
      <c r="AI50" s="56">
        <f t="shared" si="3"/>
        <v>0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:AF52" si="7">SUM(B39:B51)</f>
        <v>412.94</v>
      </c>
      <c r="C52" s="70">
        <f t="shared" si="7"/>
        <v>412.94</v>
      </c>
      <c r="D52" s="70">
        <f t="shared" si="7"/>
        <v>418.94</v>
      </c>
      <c r="E52" s="70">
        <f t="shared" si="7"/>
        <v>383.44000000000005</v>
      </c>
      <c r="F52" s="70">
        <f t="shared" si="7"/>
        <v>338.64</v>
      </c>
      <c r="G52" s="70">
        <f t="shared" si="7"/>
        <v>341.53999999999996</v>
      </c>
      <c r="H52" s="70">
        <f t="shared" si="7"/>
        <v>347.63999999999993</v>
      </c>
      <c r="I52" s="70">
        <f t="shared" si="7"/>
        <v>344.73999999999995</v>
      </c>
      <c r="J52" s="70">
        <f t="shared" si="7"/>
        <v>343.73999999999995</v>
      </c>
      <c r="K52" s="70">
        <f t="shared" si="7"/>
        <v>349.73999999999995</v>
      </c>
      <c r="L52" s="70">
        <f t="shared" si="7"/>
        <v>349.63999999999993</v>
      </c>
      <c r="M52" s="70">
        <f t="shared" si="7"/>
        <v>364.53999999999996</v>
      </c>
      <c r="N52" s="70">
        <f t="shared" si="7"/>
        <v>373.53999999999996</v>
      </c>
      <c r="O52" s="70">
        <f t="shared" si="7"/>
        <v>396.53999999999996</v>
      </c>
      <c r="P52" s="70">
        <f t="shared" si="7"/>
        <v>437.23999999999995</v>
      </c>
      <c r="Q52" s="70">
        <f t="shared" si="7"/>
        <v>437.23999999999995</v>
      </c>
      <c r="R52" s="70">
        <f t="shared" si="7"/>
        <v>437.23999999999995</v>
      </c>
      <c r="S52" s="70">
        <f t="shared" si="7"/>
        <v>437.23999999999995</v>
      </c>
      <c r="T52" s="70">
        <f t="shared" si="7"/>
        <v>439.23999999999995</v>
      </c>
      <c r="U52" s="70">
        <f t="shared" si="7"/>
        <v>425.83999999999992</v>
      </c>
      <c r="V52" s="70">
        <f t="shared" si="7"/>
        <v>425.83999999999992</v>
      </c>
      <c r="W52" s="70">
        <f t="shared" si="7"/>
        <v>422.73999999999995</v>
      </c>
      <c r="X52" s="70">
        <f t="shared" si="7"/>
        <v>422.73999999999995</v>
      </c>
      <c r="Y52" s="70">
        <f t="shared" si="7"/>
        <v>422.73999999999995</v>
      </c>
      <c r="Z52" s="70">
        <f t="shared" si="7"/>
        <v>422.73999999999995</v>
      </c>
      <c r="AA52" s="70">
        <f t="shared" si="7"/>
        <v>422.73999999999995</v>
      </c>
      <c r="AB52" s="70">
        <f t="shared" si="7"/>
        <v>432.7399999999999</v>
      </c>
      <c r="AC52" s="70">
        <f t="shared" si="7"/>
        <v>432.7399999999999</v>
      </c>
      <c r="AD52" s="70">
        <f t="shared" si="7"/>
        <v>415.34</v>
      </c>
      <c r="AE52" s="70">
        <f t="shared" si="7"/>
        <v>411.14000000000004</v>
      </c>
      <c r="AF52" s="70">
        <f t="shared" si="7"/>
        <v>414.74</v>
      </c>
      <c r="AG52" s="74">
        <f>SUM(AG39:AG51)</f>
        <v>489.91</v>
      </c>
      <c r="AH52" s="55">
        <f t="shared" si="2"/>
        <v>439.23999999999995</v>
      </c>
      <c r="AI52" s="56">
        <f t="shared" si="3"/>
        <v>338.64</v>
      </c>
      <c r="AK52" s="57"/>
    </row>
    <row r="53" spans="1:37" x14ac:dyDescent="0.25">
      <c r="A53" s="58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29.1</v>
      </c>
      <c r="G53" s="51">
        <v>20.6</v>
      </c>
      <c r="H53" s="51">
        <v>20.399999999999999</v>
      </c>
      <c r="I53" s="51">
        <v>29.1</v>
      </c>
      <c r="J53" s="51">
        <v>0</v>
      </c>
      <c r="K53" s="51">
        <v>30</v>
      </c>
      <c r="L53" s="51">
        <v>30.5</v>
      </c>
      <c r="M53" s="51">
        <v>39</v>
      </c>
      <c r="N53" s="51">
        <v>14</v>
      </c>
      <c r="O53" s="51">
        <v>14</v>
      </c>
      <c r="P53" s="51">
        <v>35</v>
      </c>
      <c r="Q53" s="51">
        <v>40.299999999999997</v>
      </c>
      <c r="R53" s="51">
        <v>40.299999999999997</v>
      </c>
      <c r="S53" s="51">
        <v>34.6</v>
      </c>
      <c r="T53" s="51">
        <v>59.5</v>
      </c>
      <c r="U53" s="51">
        <v>34.299999999999997</v>
      </c>
      <c r="V53" s="51">
        <v>34.299999999999997</v>
      </c>
      <c r="W53" s="51">
        <v>10.5</v>
      </c>
      <c r="X53" s="51">
        <v>10.5</v>
      </c>
      <c r="Y53" s="51">
        <v>0</v>
      </c>
      <c r="Z53" s="51">
        <v>9.9</v>
      </c>
      <c r="AA53" s="51">
        <v>60</v>
      </c>
      <c r="AB53" s="51">
        <v>59.2</v>
      </c>
      <c r="AC53" s="51">
        <v>59.9</v>
      </c>
      <c r="AD53" s="51">
        <v>29.7</v>
      </c>
      <c r="AE53" s="51">
        <v>45</v>
      </c>
      <c r="AF53" s="51">
        <v>30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0</v>
      </c>
      <c r="D54" s="49">
        <v>0</v>
      </c>
      <c r="E54" s="49">
        <v>0</v>
      </c>
      <c r="F54" s="49">
        <v>4.8</v>
      </c>
      <c r="G54" s="49">
        <v>9.1</v>
      </c>
      <c r="H54" s="49">
        <v>6</v>
      </c>
      <c r="I54" s="49">
        <v>6</v>
      </c>
      <c r="J54" s="49">
        <v>0</v>
      </c>
      <c r="K54" s="49">
        <v>15.1</v>
      </c>
      <c r="L54" s="49">
        <v>9.8000000000000007</v>
      </c>
      <c r="M54" s="49">
        <v>19.7</v>
      </c>
      <c r="N54" s="49">
        <v>6.3</v>
      </c>
      <c r="O54" s="49">
        <v>6.3</v>
      </c>
      <c r="P54" s="49">
        <v>15.6</v>
      </c>
      <c r="Q54" s="49">
        <v>19.2</v>
      </c>
      <c r="R54" s="49">
        <v>19.2</v>
      </c>
      <c r="S54" s="49">
        <v>15.2</v>
      </c>
      <c r="T54" s="49">
        <v>30.3</v>
      </c>
      <c r="U54" s="49">
        <v>15</v>
      </c>
      <c r="V54" s="49">
        <v>14.5</v>
      </c>
      <c r="W54" s="49">
        <v>5.6</v>
      </c>
      <c r="X54" s="49">
        <v>5.6</v>
      </c>
      <c r="Y54" s="49">
        <v>0</v>
      </c>
      <c r="Z54" s="49">
        <v>0</v>
      </c>
      <c r="AA54" s="49">
        <v>15.6</v>
      </c>
      <c r="AB54" s="49">
        <v>30.5</v>
      </c>
      <c r="AC54" s="49">
        <v>30.6</v>
      </c>
      <c r="AD54" s="49">
        <v>13.9</v>
      </c>
      <c r="AE54" s="49">
        <v>19.2</v>
      </c>
      <c r="AF54" s="49">
        <v>13.3</v>
      </c>
      <c r="AG54" s="64">
        <v>32</v>
      </c>
      <c r="AH54" s="55">
        <f t="shared" si="2"/>
        <v>30.6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1.8</v>
      </c>
      <c r="G55" s="75">
        <v>3.3</v>
      </c>
      <c r="H55" s="75">
        <v>2.2000000000000002</v>
      </c>
      <c r="I55" s="75">
        <v>2.2000000000000002</v>
      </c>
      <c r="J55" s="75">
        <v>0</v>
      </c>
      <c r="K55" s="75">
        <v>5.5</v>
      </c>
      <c r="L55" s="75">
        <v>3.6</v>
      </c>
      <c r="M55" s="75">
        <v>7.2</v>
      </c>
      <c r="N55" s="75">
        <v>2.2999999999999998</v>
      </c>
      <c r="O55" s="75">
        <v>2.2999999999999998</v>
      </c>
      <c r="P55" s="75">
        <v>5.7</v>
      </c>
      <c r="Q55" s="75">
        <v>7</v>
      </c>
      <c r="R55" s="75">
        <v>7</v>
      </c>
      <c r="S55" s="75">
        <v>5.5</v>
      </c>
      <c r="T55" s="75">
        <v>11.1</v>
      </c>
      <c r="U55" s="75">
        <v>5.5</v>
      </c>
      <c r="V55" s="75">
        <v>5.3</v>
      </c>
      <c r="W55" s="75">
        <v>2.1</v>
      </c>
      <c r="X55" s="75">
        <v>2.1</v>
      </c>
      <c r="Y55" s="75">
        <v>0</v>
      </c>
      <c r="Z55" s="75">
        <v>0</v>
      </c>
      <c r="AA55" s="75">
        <v>5.7</v>
      </c>
      <c r="AB55" s="75">
        <v>11.1</v>
      </c>
      <c r="AC55" s="75">
        <v>11.2</v>
      </c>
      <c r="AD55" s="75">
        <v>5.0999999999999996</v>
      </c>
      <c r="AE55" s="75">
        <v>5.0999999999999996</v>
      </c>
      <c r="AF55" s="75">
        <v>4.9000000000000004</v>
      </c>
      <c r="AG55" s="76">
        <v>14</v>
      </c>
      <c r="AH55" s="55">
        <f t="shared" si="2"/>
        <v>11.2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8">SUM(B53:B55)</f>
        <v>0</v>
      </c>
      <c r="C56" s="70">
        <f t="shared" si="8"/>
        <v>0</v>
      </c>
      <c r="D56" s="70">
        <f t="shared" si="8"/>
        <v>0</v>
      </c>
      <c r="E56" s="70">
        <f t="shared" si="8"/>
        <v>0</v>
      </c>
      <c r="F56" s="70">
        <f t="shared" si="8"/>
        <v>35.699999999999996</v>
      </c>
      <c r="G56" s="70">
        <f t="shared" si="8"/>
        <v>33</v>
      </c>
      <c r="H56" s="70">
        <f t="shared" si="8"/>
        <v>28.599999999999998</v>
      </c>
      <c r="I56" s="70">
        <f t="shared" si="8"/>
        <v>37.300000000000004</v>
      </c>
      <c r="J56" s="70">
        <f t="shared" si="8"/>
        <v>0</v>
      </c>
      <c r="K56" s="70">
        <f t="shared" si="8"/>
        <v>50.6</v>
      </c>
      <c r="L56" s="70">
        <f t="shared" si="8"/>
        <v>43.9</v>
      </c>
      <c r="M56" s="70">
        <f t="shared" si="8"/>
        <v>65.900000000000006</v>
      </c>
      <c r="N56" s="70">
        <f t="shared" si="8"/>
        <v>22.6</v>
      </c>
      <c r="O56" s="70">
        <f t="shared" si="8"/>
        <v>22.6</v>
      </c>
      <c r="P56" s="70">
        <f t="shared" si="8"/>
        <v>56.300000000000004</v>
      </c>
      <c r="Q56" s="70">
        <f t="shared" si="8"/>
        <v>66.5</v>
      </c>
      <c r="R56" s="70">
        <f t="shared" si="8"/>
        <v>66.5</v>
      </c>
      <c r="S56" s="70">
        <f t="shared" si="8"/>
        <v>55.3</v>
      </c>
      <c r="T56" s="70">
        <f t="shared" si="8"/>
        <v>100.89999999999999</v>
      </c>
      <c r="U56" s="70">
        <f t="shared" si="8"/>
        <v>54.8</v>
      </c>
      <c r="V56" s="70">
        <f t="shared" si="8"/>
        <v>54.099999999999994</v>
      </c>
      <c r="W56" s="70">
        <f t="shared" si="8"/>
        <v>18.200000000000003</v>
      </c>
      <c r="X56" s="70">
        <f t="shared" si="8"/>
        <v>18.200000000000003</v>
      </c>
      <c r="Y56" s="70">
        <f t="shared" si="8"/>
        <v>0</v>
      </c>
      <c r="Z56" s="70">
        <f t="shared" si="8"/>
        <v>9.9</v>
      </c>
      <c r="AA56" s="70">
        <f t="shared" si="8"/>
        <v>81.3</v>
      </c>
      <c r="AB56" s="70">
        <f t="shared" si="8"/>
        <v>100.8</v>
      </c>
      <c r="AC56" s="70">
        <f t="shared" si="8"/>
        <v>101.7</v>
      </c>
      <c r="AD56" s="70">
        <f t="shared" si="8"/>
        <v>48.7</v>
      </c>
      <c r="AE56" s="70">
        <f t="shared" si="8"/>
        <v>69.3</v>
      </c>
      <c r="AF56" s="70">
        <f t="shared" si="8"/>
        <v>48.199999999999996</v>
      </c>
      <c r="AG56" s="74">
        <f>SUM(AG53:AG55)</f>
        <v>106</v>
      </c>
      <c r="AH56" s="55">
        <f t="shared" si="2"/>
        <v>101.7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74</v>
      </c>
      <c r="C57" s="51">
        <v>70</v>
      </c>
      <c r="D57" s="51">
        <v>72</v>
      </c>
      <c r="E57" s="51">
        <v>68.67</v>
      </c>
      <c r="F57" s="51">
        <v>68.900000000000006</v>
      </c>
      <c r="G57" s="51">
        <v>72.19</v>
      </c>
      <c r="H57" s="51">
        <v>64</v>
      </c>
      <c r="I57" s="51">
        <v>66.7</v>
      </c>
      <c r="J57" s="51">
        <v>61</v>
      </c>
      <c r="K57" s="51">
        <v>62</v>
      </c>
      <c r="L57" s="51">
        <v>71.75</v>
      </c>
      <c r="M57" s="51">
        <v>62</v>
      </c>
      <c r="N57" s="51">
        <v>62</v>
      </c>
      <c r="O57" s="51">
        <v>62</v>
      </c>
      <c r="P57" s="51">
        <v>67</v>
      </c>
      <c r="Q57" s="51">
        <v>73.16</v>
      </c>
      <c r="R57" s="51">
        <v>73.16</v>
      </c>
      <c r="S57" s="51">
        <v>65</v>
      </c>
      <c r="T57" s="51">
        <v>74.12</v>
      </c>
      <c r="U57" s="51">
        <v>77.8</v>
      </c>
      <c r="V57" s="51">
        <v>72.7</v>
      </c>
      <c r="W57" s="51">
        <v>71.599999999999994</v>
      </c>
      <c r="X57" s="51">
        <v>65.2</v>
      </c>
      <c r="Y57" s="51">
        <v>74</v>
      </c>
      <c r="Z57" s="51">
        <v>71.2</v>
      </c>
      <c r="AA57" s="51">
        <v>68.8</v>
      </c>
      <c r="AB57" s="51">
        <v>59</v>
      </c>
      <c r="AC57" s="51">
        <v>66</v>
      </c>
      <c r="AD57" s="51">
        <v>69.8</v>
      </c>
      <c r="AE57" s="51">
        <v>74.400000000000006</v>
      </c>
      <c r="AF57" s="51">
        <v>73.7</v>
      </c>
      <c r="AG57" s="60"/>
      <c r="AH57" s="55">
        <f t="shared" si="2"/>
        <v>77.8</v>
      </c>
      <c r="AI57" s="56">
        <f t="shared" si="3"/>
        <v>59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-339</v>
      </c>
      <c r="C59" s="49">
        <v>-420</v>
      </c>
      <c r="D59" s="49">
        <v>-320</v>
      </c>
      <c r="E59" s="49">
        <v>-320</v>
      </c>
      <c r="F59" s="49">
        <v>-326</v>
      </c>
      <c r="G59" s="49">
        <v>-360</v>
      </c>
      <c r="H59" s="49">
        <v>-370</v>
      </c>
      <c r="I59" s="49">
        <v>-390</v>
      </c>
      <c r="J59" s="49">
        <v>-296</v>
      </c>
      <c r="K59" s="49">
        <v>-280</v>
      </c>
      <c r="L59" s="49">
        <v>-276</v>
      </c>
      <c r="M59" s="49">
        <v>-311</v>
      </c>
      <c r="N59" s="49">
        <v>-288</v>
      </c>
      <c r="O59" s="49">
        <v>-275</v>
      </c>
      <c r="P59" s="49">
        <v>-259</v>
      </c>
      <c r="Q59" s="49">
        <v>-219</v>
      </c>
      <c r="R59" s="49">
        <v>-219</v>
      </c>
      <c r="S59" s="49">
        <v>-276</v>
      </c>
      <c r="T59" s="49">
        <v>-273</v>
      </c>
      <c r="U59" s="49">
        <v>-294</v>
      </c>
      <c r="V59" s="49">
        <v>-315</v>
      </c>
      <c r="W59" s="49">
        <v>-278</v>
      </c>
      <c r="X59" s="49">
        <v>-299</v>
      </c>
      <c r="Y59" s="49">
        <v>-307</v>
      </c>
      <c r="Z59" s="49">
        <v>-277</v>
      </c>
      <c r="AA59" s="49">
        <v>-234</v>
      </c>
      <c r="AB59" s="49">
        <v>-265.89999999999998</v>
      </c>
      <c r="AC59" s="49">
        <v>-255.2</v>
      </c>
      <c r="AD59" s="49">
        <v>-270.3</v>
      </c>
      <c r="AE59" s="49">
        <v>-290</v>
      </c>
      <c r="AF59" s="49">
        <v>-330</v>
      </c>
      <c r="AG59" s="77"/>
      <c r="AH59" s="55">
        <f t="shared" si="2"/>
        <v>-219</v>
      </c>
      <c r="AI59" s="56">
        <f t="shared" si="3"/>
        <v>-420</v>
      </c>
      <c r="AK59" s="57"/>
    </row>
    <row r="60" spans="1:37" x14ac:dyDescent="0.25">
      <c r="A60" s="63" t="s">
        <v>68</v>
      </c>
      <c r="B60" s="78">
        <v>21</v>
      </c>
      <c r="C60" s="78">
        <v>21</v>
      </c>
      <c r="D60" s="78">
        <v>10</v>
      </c>
      <c r="E60" s="78">
        <v>10</v>
      </c>
      <c r="F60" s="78">
        <v>10</v>
      </c>
      <c r="G60" s="78">
        <v>10</v>
      </c>
      <c r="H60" s="78">
        <v>10</v>
      </c>
      <c r="I60" s="78">
        <v>10</v>
      </c>
      <c r="J60" s="78">
        <v>10</v>
      </c>
      <c r="K60" s="78">
        <v>10</v>
      </c>
      <c r="L60" s="78">
        <v>10</v>
      </c>
      <c r="M60" s="78">
        <v>12</v>
      </c>
      <c r="N60" s="78">
        <v>12</v>
      </c>
      <c r="O60" s="78">
        <v>12</v>
      </c>
      <c r="P60" s="78">
        <v>12</v>
      </c>
      <c r="Q60" s="78">
        <v>12</v>
      </c>
      <c r="R60" s="78">
        <v>12</v>
      </c>
      <c r="S60" s="78">
        <v>12</v>
      </c>
      <c r="T60" s="78">
        <v>12</v>
      </c>
      <c r="U60" s="78">
        <v>36.200000000000003</v>
      </c>
      <c r="V60" s="78">
        <v>34</v>
      </c>
      <c r="W60" s="78">
        <v>33</v>
      </c>
      <c r="X60" s="78">
        <v>36</v>
      </c>
      <c r="Y60" s="78">
        <v>36</v>
      </c>
      <c r="Z60" s="78">
        <v>36</v>
      </c>
      <c r="AA60" s="78">
        <v>30.7</v>
      </c>
      <c r="AB60" s="78">
        <v>27.2</v>
      </c>
      <c r="AC60" s="78">
        <v>21.3</v>
      </c>
      <c r="AD60" s="78">
        <v>27.3</v>
      </c>
      <c r="AE60" s="78">
        <v>27</v>
      </c>
      <c r="AF60" s="78">
        <v>27</v>
      </c>
      <c r="AG60" s="77"/>
      <c r="AH60" s="55">
        <f t="shared" si="2"/>
        <v>36.200000000000003</v>
      </c>
      <c r="AI60" s="56">
        <f t="shared" si="3"/>
        <v>10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5">
        <f t="shared" si="2"/>
        <v>8</v>
      </c>
      <c r="AI62" s="56">
        <f t="shared" si="3"/>
        <v>8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9">
        <v>0</v>
      </c>
      <c r="Q64" s="79">
        <v>0</v>
      </c>
      <c r="R64" s="79">
        <v>0</v>
      </c>
      <c r="S64" s="79">
        <v>0</v>
      </c>
      <c r="T64" s="79">
        <v>0</v>
      </c>
      <c r="U64" s="79">
        <v>0</v>
      </c>
      <c r="V64" s="79">
        <v>0</v>
      </c>
      <c r="W64" s="79">
        <v>0</v>
      </c>
      <c r="X64" s="79">
        <v>0</v>
      </c>
      <c r="Y64" s="79">
        <v>0</v>
      </c>
      <c r="Z64" s="79">
        <v>0</v>
      </c>
      <c r="AA64" s="79">
        <v>0</v>
      </c>
      <c r="AB64" s="78">
        <v>0</v>
      </c>
      <c r="AC64" s="78">
        <v>0</v>
      </c>
      <c r="AD64" s="79">
        <v>0</v>
      </c>
      <c r="AE64" s="79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9">
        <v>0</v>
      </c>
      <c r="Q65" s="79">
        <v>0</v>
      </c>
      <c r="R65" s="79">
        <v>0</v>
      </c>
      <c r="S65" s="79">
        <v>0</v>
      </c>
      <c r="T65" s="79">
        <v>0</v>
      </c>
      <c r="U65" s="79">
        <v>0</v>
      </c>
      <c r="V65" s="79">
        <v>0</v>
      </c>
      <c r="W65" s="79">
        <v>0</v>
      </c>
      <c r="X65" s="79">
        <v>0</v>
      </c>
      <c r="Y65" s="79">
        <v>0</v>
      </c>
      <c r="Z65" s="79">
        <v>0</v>
      </c>
      <c r="AA65" s="79">
        <v>0</v>
      </c>
      <c r="AB65" s="78">
        <v>0</v>
      </c>
      <c r="AC65" s="78">
        <v>0</v>
      </c>
      <c r="AD65" s="79">
        <v>0</v>
      </c>
      <c r="AE65" s="79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79">
        <v>0</v>
      </c>
      <c r="Q66" s="79">
        <v>0</v>
      </c>
      <c r="R66" s="79">
        <v>0</v>
      </c>
      <c r="S66" s="79">
        <v>0</v>
      </c>
      <c r="T66" s="79">
        <v>0</v>
      </c>
      <c r="U66" s="79">
        <v>0</v>
      </c>
      <c r="V66" s="79">
        <v>0</v>
      </c>
      <c r="W66" s="79">
        <v>0</v>
      </c>
      <c r="X66" s="79">
        <v>0</v>
      </c>
      <c r="Y66" s="79">
        <v>0</v>
      </c>
      <c r="Z66" s="79">
        <v>0</v>
      </c>
      <c r="AA66" s="79">
        <v>0</v>
      </c>
      <c r="AB66" s="81">
        <v>0</v>
      </c>
      <c r="AC66" s="81">
        <v>0</v>
      </c>
      <c r="AD66" s="79">
        <v>0</v>
      </c>
      <c r="AE66" s="79">
        <v>0</v>
      </c>
      <c r="AF66" s="78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79">
        <v>0</v>
      </c>
      <c r="Q67" s="79">
        <v>0</v>
      </c>
      <c r="R67" s="79">
        <v>0</v>
      </c>
      <c r="S67" s="79">
        <v>0</v>
      </c>
      <c r="T67" s="79">
        <v>0</v>
      </c>
      <c r="U67" s="79">
        <v>0</v>
      </c>
      <c r="V67" s="79">
        <v>0</v>
      </c>
      <c r="W67" s="79">
        <v>0</v>
      </c>
      <c r="X67" s="79">
        <v>0</v>
      </c>
      <c r="Y67" s="79">
        <v>0</v>
      </c>
      <c r="Z67" s="79">
        <v>0</v>
      </c>
      <c r="AA67" s="79">
        <v>0</v>
      </c>
      <c r="AB67" s="81">
        <v>0</v>
      </c>
      <c r="AC67" s="81">
        <v>0</v>
      </c>
      <c r="AD67" s="79">
        <v>0</v>
      </c>
      <c r="AE67" s="79">
        <v>0</v>
      </c>
      <c r="AF67" s="78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:AF68" si="9">SUMIF(B57:B67,"&gt;0")</f>
        <v>103</v>
      </c>
      <c r="C68" s="70">
        <f t="shared" si="9"/>
        <v>99</v>
      </c>
      <c r="D68" s="70">
        <f t="shared" si="9"/>
        <v>90</v>
      </c>
      <c r="E68" s="70">
        <f t="shared" si="9"/>
        <v>86.67</v>
      </c>
      <c r="F68" s="70">
        <f t="shared" si="9"/>
        <v>86.9</v>
      </c>
      <c r="G68" s="70">
        <f t="shared" si="9"/>
        <v>90.19</v>
      </c>
      <c r="H68" s="70">
        <f t="shared" si="9"/>
        <v>82</v>
      </c>
      <c r="I68" s="70">
        <f t="shared" si="9"/>
        <v>84.7</v>
      </c>
      <c r="J68" s="70">
        <f t="shared" si="9"/>
        <v>79</v>
      </c>
      <c r="K68" s="70">
        <f t="shared" si="9"/>
        <v>80</v>
      </c>
      <c r="L68" s="70">
        <f t="shared" si="9"/>
        <v>89.75</v>
      </c>
      <c r="M68" s="70">
        <f t="shared" si="9"/>
        <v>82</v>
      </c>
      <c r="N68" s="70">
        <f t="shared" si="9"/>
        <v>82</v>
      </c>
      <c r="O68" s="70">
        <f t="shared" si="9"/>
        <v>82</v>
      </c>
      <c r="P68" s="70">
        <f t="shared" si="9"/>
        <v>87</v>
      </c>
      <c r="Q68" s="70">
        <f t="shared" si="9"/>
        <v>93.16</v>
      </c>
      <c r="R68" s="70">
        <f t="shared" si="9"/>
        <v>93.16</v>
      </c>
      <c r="S68" s="70">
        <f t="shared" si="9"/>
        <v>85</v>
      </c>
      <c r="T68" s="70">
        <f t="shared" si="9"/>
        <v>94.12</v>
      </c>
      <c r="U68" s="70">
        <f t="shared" si="9"/>
        <v>122</v>
      </c>
      <c r="V68" s="70">
        <f t="shared" si="9"/>
        <v>114.7</v>
      </c>
      <c r="W68" s="70">
        <f t="shared" si="9"/>
        <v>112.6</v>
      </c>
      <c r="X68" s="70">
        <f t="shared" si="9"/>
        <v>109.2</v>
      </c>
      <c r="Y68" s="70">
        <f t="shared" si="9"/>
        <v>118</v>
      </c>
      <c r="Z68" s="70">
        <f t="shared" si="9"/>
        <v>115.2</v>
      </c>
      <c r="AA68" s="70">
        <f t="shared" si="9"/>
        <v>107.5</v>
      </c>
      <c r="AB68" s="70">
        <f t="shared" si="9"/>
        <v>94.2</v>
      </c>
      <c r="AC68" s="70">
        <f t="shared" si="9"/>
        <v>95.3</v>
      </c>
      <c r="AD68" s="70">
        <f t="shared" si="9"/>
        <v>105.1</v>
      </c>
      <c r="AE68" s="70">
        <f t="shared" si="9"/>
        <v>109.4</v>
      </c>
      <c r="AF68" s="70">
        <f t="shared" si="9"/>
        <v>108.7</v>
      </c>
      <c r="AG68" s="74">
        <f>SUM(AG57:AG67)</f>
        <v>0</v>
      </c>
      <c r="AH68" s="55">
        <f t="shared" si="2"/>
        <v>122</v>
      </c>
      <c r="AI68" s="56">
        <f t="shared" si="3"/>
        <v>79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:AF73" si="10">B38+B52+B68+B72</f>
        <v>1720.04</v>
      </c>
      <c r="C73" s="84">
        <f t="shared" si="10"/>
        <v>1716.04</v>
      </c>
      <c r="D73" s="84">
        <f t="shared" si="10"/>
        <v>1708.04</v>
      </c>
      <c r="E73" s="84">
        <f t="shared" si="10"/>
        <v>1691.21</v>
      </c>
      <c r="F73" s="84">
        <f t="shared" si="10"/>
        <v>1609.8400000000001</v>
      </c>
      <c r="G73" s="84">
        <f t="shared" si="10"/>
        <v>1648.13</v>
      </c>
      <c r="H73" s="84">
        <f t="shared" si="10"/>
        <v>1646.04</v>
      </c>
      <c r="I73" s="84">
        <f t="shared" si="10"/>
        <v>1645.8400000000001</v>
      </c>
      <c r="J73" s="84">
        <f t="shared" si="10"/>
        <v>1492.54</v>
      </c>
      <c r="K73" s="84">
        <f t="shared" si="10"/>
        <v>1632.14</v>
      </c>
      <c r="L73" s="84">
        <f t="shared" si="10"/>
        <v>1641.79</v>
      </c>
      <c r="M73" s="84">
        <f t="shared" si="10"/>
        <v>1648.94</v>
      </c>
      <c r="N73" s="84">
        <f t="shared" si="10"/>
        <v>1657.94</v>
      </c>
      <c r="O73" s="84">
        <f t="shared" si="10"/>
        <v>1680.94</v>
      </c>
      <c r="P73" s="84">
        <f t="shared" si="10"/>
        <v>1726.64</v>
      </c>
      <c r="Q73" s="84">
        <f t="shared" si="10"/>
        <v>1732.8000000000002</v>
      </c>
      <c r="R73" s="84">
        <f t="shared" si="10"/>
        <v>1732.8000000000002</v>
      </c>
      <c r="S73" s="84">
        <f t="shared" si="10"/>
        <v>1724.64</v>
      </c>
      <c r="T73" s="84">
        <f t="shared" si="10"/>
        <v>1709.7600000000002</v>
      </c>
      <c r="U73" s="84">
        <f t="shared" si="10"/>
        <v>1724.24</v>
      </c>
      <c r="V73" s="84">
        <f t="shared" si="10"/>
        <v>1670.94</v>
      </c>
      <c r="W73" s="84">
        <f t="shared" si="10"/>
        <v>1675.74</v>
      </c>
      <c r="X73" s="84">
        <f t="shared" si="10"/>
        <v>1652.3400000000001</v>
      </c>
      <c r="Y73" s="84">
        <f t="shared" si="10"/>
        <v>1712.14</v>
      </c>
      <c r="Z73" s="84">
        <f t="shared" si="10"/>
        <v>1714.3400000000001</v>
      </c>
      <c r="AA73" s="84">
        <f t="shared" si="10"/>
        <v>1706.64</v>
      </c>
      <c r="AB73" s="84">
        <f t="shared" si="10"/>
        <v>1750.74</v>
      </c>
      <c r="AC73" s="84">
        <f t="shared" si="10"/>
        <v>1740.0399999999997</v>
      </c>
      <c r="AD73" s="84">
        <f t="shared" si="10"/>
        <v>1745.0399999999997</v>
      </c>
      <c r="AE73" s="84">
        <f t="shared" si="10"/>
        <v>1695.14</v>
      </c>
      <c r="AF73" s="84">
        <f t="shared" si="10"/>
        <v>1737.8400000000001</v>
      </c>
      <c r="AG73" s="84">
        <f t="shared" ref="AG73" si="11">AG68+AG56+AG52+AG38+AG72</f>
        <v>2144.14</v>
      </c>
      <c r="AH73" s="55">
        <f t="shared" si="2"/>
        <v>1750.74</v>
      </c>
      <c r="AI73" s="56">
        <f t="shared" si="3"/>
        <v>1492.54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>
        <v>140</v>
      </c>
      <c r="K74" s="86">
        <v>30</v>
      </c>
      <c r="L74" s="86">
        <v>10</v>
      </c>
      <c r="M74" s="86"/>
      <c r="N74" s="86"/>
      <c r="O74" s="86"/>
      <c r="P74" s="86"/>
      <c r="Q74" s="86">
        <v>10</v>
      </c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>
        <v>45</v>
      </c>
      <c r="AF74" s="86"/>
      <c r="AG74" s="74"/>
      <c r="AH74" s="55">
        <f t="shared" si="2"/>
        <v>140</v>
      </c>
      <c r="AI74" s="56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:AF75" si="12">B73+B74</f>
        <v>1720.04</v>
      </c>
      <c r="C75" s="84">
        <f t="shared" si="12"/>
        <v>1716.04</v>
      </c>
      <c r="D75" s="84">
        <f t="shared" si="12"/>
        <v>1708.04</v>
      </c>
      <c r="E75" s="84">
        <f t="shared" si="12"/>
        <v>1691.21</v>
      </c>
      <c r="F75" s="84">
        <f t="shared" si="12"/>
        <v>1609.8400000000001</v>
      </c>
      <c r="G75" s="84">
        <f t="shared" si="12"/>
        <v>1648.13</v>
      </c>
      <c r="H75" s="84">
        <f t="shared" si="12"/>
        <v>1646.04</v>
      </c>
      <c r="I75" s="84">
        <f t="shared" si="12"/>
        <v>1645.8400000000001</v>
      </c>
      <c r="J75" s="84">
        <f t="shared" si="12"/>
        <v>1632.54</v>
      </c>
      <c r="K75" s="84">
        <f t="shared" si="12"/>
        <v>1662.14</v>
      </c>
      <c r="L75" s="84">
        <f t="shared" si="12"/>
        <v>1651.79</v>
      </c>
      <c r="M75" s="84">
        <f t="shared" si="12"/>
        <v>1648.94</v>
      </c>
      <c r="N75" s="84">
        <f t="shared" si="12"/>
        <v>1657.94</v>
      </c>
      <c r="O75" s="84">
        <f t="shared" si="12"/>
        <v>1680.94</v>
      </c>
      <c r="P75" s="84">
        <f t="shared" si="12"/>
        <v>1726.64</v>
      </c>
      <c r="Q75" s="84">
        <f t="shared" si="12"/>
        <v>1742.8000000000002</v>
      </c>
      <c r="R75" s="84">
        <f t="shared" si="12"/>
        <v>1732.8000000000002</v>
      </c>
      <c r="S75" s="84">
        <f t="shared" si="12"/>
        <v>1724.64</v>
      </c>
      <c r="T75" s="84">
        <f t="shared" si="12"/>
        <v>1709.7600000000002</v>
      </c>
      <c r="U75" s="84">
        <f t="shared" si="12"/>
        <v>1724.24</v>
      </c>
      <c r="V75" s="84">
        <f t="shared" si="12"/>
        <v>1670.94</v>
      </c>
      <c r="W75" s="84">
        <f t="shared" si="12"/>
        <v>1675.74</v>
      </c>
      <c r="X75" s="84">
        <f t="shared" si="12"/>
        <v>1652.3400000000001</v>
      </c>
      <c r="Y75" s="84">
        <f t="shared" si="12"/>
        <v>1712.14</v>
      </c>
      <c r="Z75" s="84">
        <f t="shared" si="12"/>
        <v>1714.3400000000001</v>
      </c>
      <c r="AA75" s="84">
        <f t="shared" si="12"/>
        <v>1706.64</v>
      </c>
      <c r="AB75" s="84">
        <f t="shared" si="12"/>
        <v>1750.74</v>
      </c>
      <c r="AC75" s="84">
        <f t="shared" si="12"/>
        <v>1740.0399999999997</v>
      </c>
      <c r="AD75" s="84">
        <f t="shared" si="12"/>
        <v>1745.0399999999997</v>
      </c>
      <c r="AE75" s="84">
        <f t="shared" si="12"/>
        <v>1740.14</v>
      </c>
      <c r="AF75" s="84">
        <f t="shared" si="12"/>
        <v>1737.8400000000001</v>
      </c>
      <c r="AG75" s="74">
        <f>AG72+AG68+AG56+AG52+AG38+AG74</f>
        <v>2144.14</v>
      </c>
      <c r="AH75" s="55">
        <f t="shared" si="2"/>
        <v>1750.74</v>
      </c>
      <c r="AI75" s="56">
        <f t="shared" si="3"/>
        <v>1609.8400000000001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:AF76" si="13">IF(B60&lt;0,B60*-1,0)</f>
        <v>0</v>
      </c>
      <c r="C76" s="78">
        <f t="shared" si="13"/>
        <v>0</v>
      </c>
      <c r="D76" s="78">
        <f t="shared" si="13"/>
        <v>0</v>
      </c>
      <c r="E76" s="78">
        <f t="shared" si="13"/>
        <v>0</v>
      </c>
      <c r="F76" s="78">
        <f t="shared" si="13"/>
        <v>0</v>
      </c>
      <c r="G76" s="78">
        <f t="shared" si="13"/>
        <v>0</v>
      </c>
      <c r="H76" s="78">
        <f t="shared" si="13"/>
        <v>0</v>
      </c>
      <c r="I76" s="78">
        <f t="shared" si="13"/>
        <v>0</v>
      </c>
      <c r="J76" s="78">
        <f t="shared" si="13"/>
        <v>0</v>
      </c>
      <c r="K76" s="78">
        <f t="shared" si="13"/>
        <v>0</v>
      </c>
      <c r="L76" s="78">
        <f t="shared" si="13"/>
        <v>0</v>
      </c>
      <c r="M76" s="78">
        <f t="shared" si="13"/>
        <v>0</v>
      </c>
      <c r="N76" s="78">
        <f t="shared" si="13"/>
        <v>0</v>
      </c>
      <c r="O76" s="78">
        <f t="shared" si="13"/>
        <v>0</v>
      </c>
      <c r="P76" s="78">
        <f t="shared" si="13"/>
        <v>0</v>
      </c>
      <c r="Q76" s="78">
        <f t="shared" si="13"/>
        <v>0</v>
      </c>
      <c r="R76" s="78">
        <f t="shared" si="13"/>
        <v>0</v>
      </c>
      <c r="S76" s="78">
        <f t="shared" si="13"/>
        <v>0</v>
      </c>
      <c r="T76" s="78">
        <f t="shared" si="13"/>
        <v>0</v>
      </c>
      <c r="U76" s="78">
        <f t="shared" si="13"/>
        <v>0</v>
      </c>
      <c r="V76" s="78">
        <f t="shared" si="13"/>
        <v>0</v>
      </c>
      <c r="W76" s="78">
        <f t="shared" si="13"/>
        <v>0</v>
      </c>
      <c r="X76" s="78">
        <f t="shared" si="13"/>
        <v>0</v>
      </c>
      <c r="Y76" s="78">
        <f t="shared" si="13"/>
        <v>0</v>
      </c>
      <c r="Z76" s="78">
        <f t="shared" si="13"/>
        <v>0</v>
      </c>
      <c r="AA76" s="78">
        <f t="shared" si="13"/>
        <v>0</v>
      </c>
      <c r="AB76" s="78">
        <f t="shared" si="13"/>
        <v>0</v>
      </c>
      <c r="AC76" s="78" t="s">
        <v>242</v>
      </c>
      <c r="AD76" s="78">
        <f t="shared" si="13"/>
        <v>0</v>
      </c>
      <c r="AE76" s="78">
        <f t="shared" si="13"/>
        <v>0</v>
      </c>
      <c r="AF76" s="78">
        <f t="shared" si="13"/>
        <v>0</v>
      </c>
      <c r="AG76" s="60"/>
      <c r="AH76" s="55">
        <f t="shared" ref="AH76:AH91" si="14">MAX(B76:AF76)</f>
        <v>0</v>
      </c>
      <c r="AI76" s="56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:AF77" si="16">IF(B58&lt;0,B58*-1,0)</f>
        <v>0</v>
      </c>
      <c r="C77" s="78">
        <f t="shared" si="16"/>
        <v>0</v>
      </c>
      <c r="D77" s="78">
        <f t="shared" si="16"/>
        <v>0</v>
      </c>
      <c r="E77" s="78">
        <f t="shared" si="16"/>
        <v>0</v>
      </c>
      <c r="F77" s="78">
        <f t="shared" si="16"/>
        <v>0</v>
      </c>
      <c r="G77" s="78">
        <f t="shared" si="16"/>
        <v>0</v>
      </c>
      <c r="H77" s="78">
        <f t="shared" si="16"/>
        <v>0</v>
      </c>
      <c r="I77" s="78">
        <f t="shared" si="16"/>
        <v>0</v>
      </c>
      <c r="J77" s="78">
        <f t="shared" si="16"/>
        <v>0</v>
      </c>
      <c r="K77" s="78">
        <f t="shared" si="16"/>
        <v>0</v>
      </c>
      <c r="L77" s="78">
        <f t="shared" si="16"/>
        <v>0</v>
      </c>
      <c r="M77" s="78">
        <f t="shared" si="16"/>
        <v>0</v>
      </c>
      <c r="N77" s="78">
        <f t="shared" si="16"/>
        <v>0</v>
      </c>
      <c r="O77" s="78">
        <f t="shared" si="16"/>
        <v>0</v>
      </c>
      <c r="P77" s="78">
        <f t="shared" si="16"/>
        <v>0</v>
      </c>
      <c r="Q77" s="78">
        <f t="shared" si="16"/>
        <v>0</v>
      </c>
      <c r="R77" s="78">
        <f t="shared" si="16"/>
        <v>0</v>
      </c>
      <c r="S77" s="78">
        <f t="shared" si="16"/>
        <v>0</v>
      </c>
      <c r="T77" s="78">
        <f t="shared" si="16"/>
        <v>0</v>
      </c>
      <c r="U77" s="78">
        <f t="shared" si="16"/>
        <v>0</v>
      </c>
      <c r="V77" s="78">
        <f t="shared" si="16"/>
        <v>0</v>
      </c>
      <c r="W77" s="78">
        <f t="shared" si="16"/>
        <v>0</v>
      </c>
      <c r="X77" s="78">
        <f t="shared" si="16"/>
        <v>0</v>
      </c>
      <c r="Y77" s="78">
        <f t="shared" si="16"/>
        <v>0</v>
      </c>
      <c r="Z77" s="78">
        <f t="shared" si="16"/>
        <v>0</v>
      </c>
      <c r="AA77" s="78">
        <f t="shared" si="16"/>
        <v>0</v>
      </c>
      <c r="AB77" s="78">
        <f t="shared" si="16"/>
        <v>0</v>
      </c>
      <c r="AC77" s="78">
        <f t="shared" si="16"/>
        <v>0</v>
      </c>
      <c r="AD77" s="78">
        <f t="shared" si="16"/>
        <v>0</v>
      </c>
      <c r="AE77" s="78">
        <f t="shared" si="16"/>
        <v>0</v>
      </c>
      <c r="AF77" s="78">
        <f t="shared" si="16"/>
        <v>0</v>
      </c>
      <c r="AG77" s="64"/>
      <c r="AH77" s="55">
        <f t="shared" si="14"/>
        <v>0</v>
      </c>
      <c r="AI77" s="56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:AF78" si="17">IF(B61&lt;0,B61*-1,0)</f>
        <v>0</v>
      </c>
      <c r="C78" s="78">
        <f t="shared" si="17"/>
        <v>0</v>
      </c>
      <c r="D78" s="78">
        <f t="shared" si="17"/>
        <v>0</v>
      </c>
      <c r="E78" s="78">
        <f t="shared" si="17"/>
        <v>0</v>
      </c>
      <c r="F78" s="78">
        <f t="shared" si="17"/>
        <v>0</v>
      </c>
      <c r="G78" s="78">
        <f t="shared" si="17"/>
        <v>0</v>
      </c>
      <c r="H78" s="78">
        <f t="shared" si="17"/>
        <v>0</v>
      </c>
      <c r="I78" s="78">
        <f t="shared" si="17"/>
        <v>0</v>
      </c>
      <c r="J78" s="78">
        <f t="shared" si="17"/>
        <v>0</v>
      </c>
      <c r="K78" s="78">
        <f t="shared" si="17"/>
        <v>0</v>
      </c>
      <c r="L78" s="78">
        <f t="shared" si="17"/>
        <v>0</v>
      </c>
      <c r="M78" s="78">
        <f t="shared" si="17"/>
        <v>0</v>
      </c>
      <c r="N78" s="78">
        <f t="shared" si="17"/>
        <v>0</v>
      </c>
      <c r="O78" s="78">
        <f t="shared" si="17"/>
        <v>0</v>
      </c>
      <c r="P78" s="78">
        <f t="shared" si="17"/>
        <v>0</v>
      </c>
      <c r="Q78" s="78">
        <f t="shared" si="17"/>
        <v>0</v>
      </c>
      <c r="R78" s="78">
        <f t="shared" si="17"/>
        <v>0</v>
      </c>
      <c r="S78" s="78">
        <f t="shared" si="17"/>
        <v>0</v>
      </c>
      <c r="T78" s="78">
        <f t="shared" si="17"/>
        <v>0</v>
      </c>
      <c r="U78" s="78">
        <f t="shared" si="17"/>
        <v>0</v>
      </c>
      <c r="V78" s="78">
        <f t="shared" si="17"/>
        <v>0</v>
      </c>
      <c r="W78" s="78">
        <f t="shared" si="17"/>
        <v>0</v>
      </c>
      <c r="X78" s="78">
        <f t="shared" si="17"/>
        <v>0</v>
      </c>
      <c r="Y78" s="78">
        <f t="shared" si="17"/>
        <v>0</v>
      </c>
      <c r="Z78" s="78">
        <f t="shared" si="17"/>
        <v>0</v>
      </c>
      <c r="AA78" s="78">
        <f t="shared" si="17"/>
        <v>0</v>
      </c>
      <c r="AB78" s="78">
        <f t="shared" si="17"/>
        <v>0</v>
      </c>
      <c r="AC78" s="78">
        <f t="shared" si="17"/>
        <v>0</v>
      </c>
      <c r="AD78" s="78">
        <f t="shared" si="17"/>
        <v>0</v>
      </c>
      <c r="AE78" s="78">
        <f t="shared" si="17"/>
        <v>0</v>
      </c>
      <c r="AF78" s="78">
        <f t="shared" si="17"/>
        <v>0</v>
      </c>
      <c r="AG78" s="87"/>
      <c r="AH78" s="55">
        <f t="shared" si="14"/>
        <v>0</v>
      </c>
      <c r="AI78" s="56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:AF79" si="18">IF(B59&lt;0,B59*-1,0)</f>
        <v>339</v>
      </c>
      <c r="C79" s="78">
        <f t="shared" si="18"/>
        <v>420</v>
      </c>
      <c r="D79" s="78">
        <f t="shared" si="18"/>
        <v>320</v>
      </c>
      <c r="E79" s="78">
        <f t="shared" si="18"/>
        <v>320</v>
      </c>
      <c r="F79" s="78">
        <f t="shared" si="18"/>
        <v>326</v>
      </c>
      <c r="G79" s="78">
        <f t="shared" si="18"/>
        <v>360</v>
      </c>
      <c r="H79" s="78">
        <f t="shared" si="18"/>
        <v>370</v>
      </c>
      <c r="I79" s="78">
        <f t="shared" si="18"/>
        <v>390</v>
      </c>
      <c r="J79" s="78">
        <f t="shared" si="18"/>
        <v>296</v>
      </c>
      <c r="K79" s="78">
        <f t="shared" si="18"/>
        <v>280</v>
      </c>
      <c r="L79" s="78">
        <f t="shared" si="18"/>
        <v>276</v>
      </c>
      <c r="M79" s="78">
        <f t="shared" si="18"/>
        <v>311</v>
      </c>
      <c r="N79" s="78">
        <f t="shared" si="18"/>
        <v>288</v>
      </c>
      <c r="O79" s="78">
        <f t="shared" si="18"/>
        <v>275</v>
      </c>
      <c r="P79" s="78">
        <f t="shared" si="18"/>
        <v>259</v>
      </c>
      <c r="Q79" s="78">
        <f t="shared" si="18"/>
        <v>219</v>
      </c>
      <c r="R79" s="78">
        <f t="shared" si="18"/>
        <v>219</v>
      </c>
      <c r="S79" s="78">
        <f t="shared" si="18"/>
        <v>276</v>
      </c>
      <c r="T79" s="78">
        <f t="shared" si="18"/>
        <v>273</v>
      </c>
      <c r="U79" s="78">
        <f t="shared" si="18"/>
        <v>294</v>
      </c>
      <c r="V79" s="78">
        <f t="shared" si="18"/>
        <v>315</v>
      </c>
      <c r="W79" s="78">
        <f t="shared" si="18"/>
        <v>278</v>
      </c>
      <c r="X79" s="78">
        <f t="shared" si="18"/>
        <v>299</v>
      </c>
      <c r="Y79" s="78">
        <f t="shared" si="18"/>
        <v>307</v>
      </c>
      <c r="Z79" s="78">
        <f t="shared" si="18"/>
        <v>277</v>
      </c>
      <c r="AA79" s="78">
        <f t="shared" si="18"/>
        <v>234</v>
      </c>
      <c r="AB79" s="78">
        <f t="shared" si="18"/>
        <v>265.89999999999998</v>
      </c>
      <c r="AC79" s="78">
        <f t="shared" si="18"/>
        <v>255.2</v>
      </c>
      <c r="AD79" s="78">
        <f t="shared" si="18"/>
        <v>270.3</v>
      </c>
      <c r="AE79" s="78">
        <f t="shared" si="18"/>
        <v>290</v>
      </c>
      <c r="AF79" s="78">
        <f t="shared" si="18"/>
        <v>330</v>
      </c>
      <c r="AG79" s="87"/>
      <c r="AH79" s="55">
        <f t="shared" si="14"/>
        <v>420</v>
      </c>
      <c r="AI79" s="56">
        <f t="shared" si="15"/>
        <v>219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:AF80" si="19">IF(B57&lt;0,B57*-1,0)</f>
        <v>0</v>
      </c>
      <c r="C80" s="78">
        <f t="shared" si="19"/>
        <v>0</v>
      </c>
      <c r="D80" s="78">
        <f t="shared" si="19"/>
        <v>0</v>
      </c>
      <c r="E80" s="78">
        <f t="shared" si="19"/>
        <v>0</v>
      </c>
      <c r="F80" s="78">
        <f t="shared" si="19"/>
        <v>0</v>
      </c>
      <c r="G80" s="78">
        <f t="shared" si="19"/>
        <v>0</v>
      </c>
      <c r="H80" s="78">
        <f t="shared" si="19"/>
        <v>0</v>
      </c>
      <c r="I80" s="78">
        <f t="shared" si="19"/>
        <v>0</v>
      </c>
      <c r="J80" s="78">
        <f t="shared" si="19"/>
        <v>0</v>
      </c>
      <c r="K80" s="78">
        <f t="shared" si="19"/>
        <v>0</v>
      </c>
      <c r="L80" s="78">
        <f t="shared" si="19"/>
        <v>0</v>
      </c>
      <c r="M80" s="78">
        <f t="shared" si="19"/>
        <v>0</v>
      </c>
      <c r="N80" s="78">
        <f t="shared" si="19"/>
        <v>0</v>
      </c>
      <c r="O80" s="78">
        <f t="shared" si="19"/>
        <v>0</v>
      </c>
      <c r="P80" s="78">
        <f t="shared" si="19"/>
        <v>0</v>
      </c>
      <c r="Q80" s="78">
        <f t="shared" si="19"/>
        <v>0</v>
      </c>
      <c r="R80" s="78">
        <f t="shared" si="19"/>
        <v>0</v>
      </c>
      <c r="S80" s="78">
        <f t="shared" si="19"/>
        <v>0</v>
      </c>
      <c r="T80" s="78">
        <f t="shared" si="19"/>
        <v>0</v>
      </c>
      <c r="U80" s="78">
        <f t="shared" si="19"/>
        <v>0</v>
      </c>
      <c r="V80" s="78">
        <f t="shared" si="19"/>
        <v>0</v>
      </c>
      <c r="W80" s="78">
        <f t="shared" si="19"/>
        <v>0</v>
      </c>
      <c r="X80" s="78">
        <f t="shared" si="19"/>
        <v>0</v>
      </c>
      <c r="Y80" s="78">
        <f t="shared" si="19"/>
        <v>0</v>
      </c>
      <c r="Z80" s="78">
        <f t="shared" si="19"/>
        <v>0</v>
      </c>
      <c r="AA80" s="78">
        <f t="shared" si="19"/>
        <v>0</v>
      </c>
      <c r="AB80" s="78">
        <f t="shared" si="19"/>
        <v>0</v>
      </c>
      <c r="AC80" s="78">
        <f t="shared" si="19"/>
        <v>0</v>
      </c>
      <c r="AD80" s="78">
        <f t="shared" si="19"/>
        <v>0</v>
      </c>
      <c r="AE80" s="78">
        <f t="shared" si="19"/>
        <v>0</v>
      </c>
      <c r="AF80" s="78">
        <f t="shared" si="19"/>
        <v>0</v>
      </c>
      <c r="AG80" s="87"/>
      <c r="AH80" s="55">
        <f t="shared" si="14"/>
        <v>0</v>
      </c>
      <c r="AI80" s="56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4"/>
        <v>0</v>
      </c>
      <c r="AI81" s="56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:AG82" si="20">SUM(B76:B81)</f>
        <v>339</v>
      </c>
      <c r="C82" s="70">
        <f t="shared" si="20"/>
        <v>420</v>
      </c>
      <c r="D82" s="70">
        <f t="shared" si="20"/>
        <v>320</v>
      </c>
      <c r="E82" s="70">
        <f t="shared" si="20"/>
        <v>320</v>
      </c>
      <c r="F82" s="70">
        <f t="shared" si="20"/>
        <v>326</v>
      </c>
      <c r="G82" s="70">
        <f t="shared" si="20"/>
        <v>360</v>
      </c>
      <c r="H82" s="70">
        <f t="shared" si="20"/>
        <v>370</v>
      </c>
      <c r="I82" s="70">
        <f t="shared" si="20"/>
        <v>390</v>
      </c>
      <c r="J82" s="70">
        <f t="shared" si="20"/>
        <v>296</v>
      </c>
      <c r="K82" s="70">
        <f t="shared" si="20"/>
        <v>280</v>
      </c>
      <c r="L82" s="70">
        <f t="shared" si="20"/>
        <v>276</v>
      </c>
      <c r="M82" s="70">
        <f t="shared" si="20"/>
        <v>311</v>
      </c>
      <c r="N82" s="70">
        <f t="shared" si="20"/>
        <v>288</v>
      </c>
      <c r="O82" s="70">
        <f t="shared" si="20"/>
        <v>275</v>
      </c>
      <c r="P82" s="70">
        <f t="shared" si="20"/>
        <v>259</v>
      </c>
      <c r="Q82" s="70">
        <f t="shared" si="20"/>
        <v>219</v>
      </c>
      <c r="R82" s="70">
        <f t="shared" si="20"/>
        <v>219</v>
      </c>
      <c r="S82" s="70">
        <f t="shared" si="20"/>
        <v>276</v>
      </c>
      <c r="T82" s="70">
        <f t="shared" si="20"/>
        <v>273</v>
      </c>
      <c r="U82" s="70">
        <f t="shared" si="20"/>
        <v>294</v>
      </c>
      <c r="V82" s="70">
        <f t="shared" si="20"/>
        <v>315</v>
      </c>
      <c r="W82" s="70">
        <f t="shared" si="20"/>
        <v>278</v>
      </c>
      <c r="X82" s="70">
        <f t="shared" si="20"/>
        <v>299</v>
      </c>
      <c r="Y82" s="70">
        <f t="shared" si="20"/>
        <v>307</v>
      </c>
      <c r="Z82" s="70">
        <f t="shared" si="20"/>
        <v>277</v>
      </c>
      <c r="AA82" s="70">
        <f t="shared" si="20"/>
        <v>234</v>
      </c>
      <c r="AB82" s="70">
        <f t="shared" si="20"/>
        <v>265.89999999999998</v>
      </c>
      <c r="AC82" s="70">
        <f t="shared" si="20"/>
        <v>255.2</v>
      </c>
      <c r="AD82" s="70">
        <f t="shared" si="20"/>
        <v>270.3</v>
      </c>
      <c r="AE82" s="70">
        <f t="shared" si="20"/>
        <v>290</v>
      </c>
      <c r="AF82" s="70">
        <f t="shared" si="20"/>
        <v>330</v>
      </c>
      <c r="AG82" s="74">
        <f t="shared" si="20"/>
        <v>0</v>
      </c>
      <c r="AH82" s="55">
        <f t="shared" si="14"/>
        <v>420</v>
      </c>
      <c r="AI82" s="56">
        <f t="shared" si="15"/>
        <v>219</v>
      </c>
      <c r="AK82" s="57"/>
    </row>
    <row r="83" spans="1:88" s="1" customFormat="1" ht="15.75" thickBot="1" x14ac:dyDescent="0.3">
      <c r="A83" s="69" t="s">
        <v>88</v>
      </c>
      <c r="B83" s="70">
        <f t="shared" ref="B83:AF83" si="21">B68-B82</f>
        <v>-236</v>
      </c>
      <c r="C83" s="70">
        <f t="shared" si="21"/>
        <v>-321</v>
      </c>
      <c r="D83" s="70">
        <f t="shared" si="21"/>
        <v>-230</v>
      </c>
      <c r="E83" s="70">
        <f t="shared" si="21"/>
        <v>-233.32999999999998</v>
      </c>
      <c r="F83" s="70">
        <f t="shared" si="21"/>
        <v>-239.1</v>
      </c>
      <c r="G83" s="70">
        <f t="shared" si="21"/>
        <v>-269.81</v>
      </c>
      <c r="H83" s="70">
        <f t="shared" si="21"/>
        <v>-288</v>
      </c>
      <c r="I83" s="70">
        <f t="shared" si="21"/>
        <v>-305.3</v>
      </c>
      <c r="J83" s="70">
        <f t="shared" si="21"/>
        <v>-217</v>
      </c>
      <c r="K83" s="70">
        <f t="shared" si="21"/>
        <v>-200</v>
      </c>
      <c r="L83" s="70">
        <f t="shared" si="21"/>
        <v>-186.25</v>
      </c>
      <c r="M83" s="70">
        <f t="shared" si="21"/>
        <v>-229</v>
      </c>
      <c r="N83" s="70">
        <f t="shared" si="21"/>
        <v>-206</v>
      </c>
      <c r="O83" s="70">
        <f t="shared" si="21"/>
        <v>-193</v>
      </c>
      <c r="P83" s="70">
        <f t="shared" si="21"/>
        <v>-172</v>
      </c>
      <c r="Q83" s="70">
        <f t="shared" si="21"/>
        <v>-125.84</v>
      </c>
      <c r="R83" s="70">
        <f t="shared" si="21"/>
        <v>-125.84</v>
      </c>
      <c r="S83" s="70">
        <f t="shared" si="21"/>
        <v>-191</v>
      </c>
      <c r="T83" s="70">
        <f t="shared" si="21"/>
        <v>-178.88</v>
      </c>
      <c r="U83" s="70">
        <f t="shared" si="21"/>
        <v>-172</v>
      </c>
      <c r="V83" s="70">
        <f t="shared" si="21"/>
        <v>-200.3</v>
      </c>
      <c r="W83" s="70">
        <f t="shared" si="21"/>
        <v>-165.4</v>
      </c>
      <c r="X83" s="70">
        <f t="shared" si="21"/>
        <v>-189.8</v>
      </c>
      <c r="Y83" s="70">
        <f t="shared" si="21"/>
        <v>-189</v>
      </c>
      <c r="Z83" s="70">
        <f t="shared" si="21"/>
        <v>-161.80000000000001</v>
      </c>
      <c r="AA83" s="70">
        <f t="shared" si="21"/>
        <v>-126.5</v>
      </c>
      <c r="AB83" s="70">
        <f t="shared" si="21"/>
        <v>-171.7</v>
      </c>
      <c r="AC83" s="70">
        <f t="shared" si="21"/>
        <v>-159.89999999999998</v>
      </c>
      <c r="AD83" s="70">
        <f t="shared" si="21"/>
        <v>-165.20000000000002</v>
      </c>
      <c r="AE83" s="70">
        <f t="shared" si="21"/>
        <v>-180.6</v>
      </c>
      <c r="AF83" s="70">
        <f t="shared" si="21"/>
        <v>-221.3</v>
      </c>
      <c r="AG83" s="74">
        <f t="shared" ref="AG83" si="22">SUM(AG70:AG82)</f>
        <v>4360.08</v>
      </c>
      <c r="AH83" s="55">
        <f t="shared" si="14"/>
        <v>-125.84</v>
      </c>
      <c r="AI83" s="56">
        <f t="shared" si="15"/>
        <v>-321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50.067999999999998</v>
      </c>
      <c r="C84" s="90">
        <v>50.067999999999998</v>
      </c>
      <c r="D84" s="90">
        <v>49.866</v>
      </c>
      <c r="E84" s="90">
        <v>50.015000000000001</v>
      </c>
      <c r="F84" s="90">
        <v>50.030999999999999</v>
      </c>
      <c r="G84" s="90">
        <v>49.962000000000003</v>
      </c>
      <c r="H84" s="90">
        <v>49.944000000000003</v>
      </c>
      <c r="I84" s="90">
        <v>49.914999999999999</v>
      </c>
      <c r="J84" s="90">
        <v>50.033999999999999</v>
      </c>
      <c r="K84" s="90">
        <v>50.042999999999999</v>
      </c>
      <c r="L84" s="90">
        <v>50.076000000000001</v>
      </c>
      <c r="M84" s="90">
        <v>50.079000000000001</v>
      </c>
      <c r="N84" s="90">
        <v>50.079000000000001</v>
      </c>
      <c r="O84" s="90">
        <v>50.04</v>
      </c>
      <c r="P84" s="90">
        <v>50.03</v>
      </c>
      <c r="Q84" s="90">
        <v>49.96</v>
      </c>
      <c r="R84" s="90">
        <v>49.96</v>
      </c>
      <c r="S84" s="90">
        <v>49.976999999999997</v>
      </c>
      <c r="T84" s="90">
        <v>49.869</v>
      </c>
      <c r="U84" s="90">
        <v>49.982999999999997</v>
      </c>
      <c r="V84" s="90">
        <v>49.9</v>
      </c>
      <c r="W84" s="90">
        <v>50.015000000000001</v>
      </c>
      <c r="X84" s="90">
        <v>50.027000000000001</v>
      </c>
      <c r="Y84" s="90">
        <v>50.051000000000002</v>
      </c>
      <c r="Z84" s="90">
        <v>50.046999999999997</v>
      </c>
      <c r="AA84" s="90">
        <v>50.011000000000003</v>
      </c>
      <c r="AB84" s="90">
        <v>49.801000000000002</v>
      </c>
      <c r="AC84" s="90">
        <v>49.892000000000003</v>
      </c>
      <c r="AD84" s="90">
        <v>49.98</v>
      </c>
      <c r="AE84" s="90">
        <v>50.01</v>
      </c>
      <c r="AF84" s="90">
        <v>49.87</v>
      </c>
      <c r="AG84" s="91"/>
      <c r="AH84" s="55">
        <f t="shared" si="14"/>
        <v>50.079000000000001</v>
      </c>
      <c r="AI84" s="56">
        <f t="shared" si="15"/>
        <v>49.801000000000002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122</v>
      </c>
      <c r="C85" s="49">
        <v>122</v>
      </c>
      <c r="D85" s="49">
        <v>123.5</v>
      </c>
      <c r="E85" s="49">
        <v>122.6</v>
      </c>
      <c r="F85" s="49">
        <v>123.7</v>
      </c>
      <c r="G85" s="49">
        <v>123.6</v>
      </c>
      <c r="H85" s="49">
        <v>124.1</v>
      </c>
      <c r="I85" s="49">
        <v>124.1</v>
      </c>
      <c r="J85" s="49">
        <v>123.9</v>
      </c>
      <c r="K85" s="49">
        <v>122.2</v>
      </c>
      <c r="L85" s="49">
        <v>122.6</v>
      </c>
      <c r="M85" s="49">
        <v>121</v>
      </c>
      <c r="N85" s="49">
        <v>121</v>
      </c>
      <c r="O85" s="49">
        <v>119.7</v>
      </c>
      <c r="P85" s="49">
        <v>121.7</v>
      </c>
      <c r="Q85" s="49">
        <v>120.6</v>
      </c>
      <c r="R85" s="49">
        <v>120.6</v>
      </c>
      <c r="S85" s="49">
        <v>122</v>
      </c>
      <c r="T85" s="49">
        <v>122.7</v>
      </c>
      <c r="U85" s="49">
        <v>121.9</v>
      </c>
      <c r="V85" s="49">
        <v>123.3</v>
      </c>
      <c r="W85" s="49">
        <v>123.1</v>
      </c>
      <c r="X85" s="49">
        <v>123</v>
      </c>
      <c r="Y85" s="49">
        <v>123.1</v>
      </c>
      <c r="Z85" s="49">
        <v>123.3</v>
      </c>
      <c r="AA85" s="49">
        <v>123.2</v>
      </c>
      <c r="AB85" s="49">
        <v>123.6</v>
      </c>
      <c r="AC85" s="49">
        <v>123.6</v>
      </c>
      <c r="AD85" s="49">
        <v>124.3</v>
      </c>
      <c r="AE85" s="49">
        <v>124.9</v>
      </c>
      <c r="AF85" s="49">
        <v>122.5</v>
      </c>
      <c r="AG85" s="93"/>
      <c r="AH85" s="55">
        <f t="shared" si="14"/>
        <v>124.9</v>
      </c>
      <c r="AI85" s="56">
        <f t="shared" si="15"/>
        <v>119.7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</v>
      </c>
      <c r="C86" s="49">
        <v>128</v>
      </c>
      <c r="D86" s="49">
        <v>128.5</v>
      </c>
      <c r="E86" s="49">
        <v>127.9</v>
      </c>
      <c r="F86" s="49">
        <v>128.19999999999999</v>
      </c>
      <c r="G86" s="49">
        <v>128.19999999999999</v>
      </c>
      <c r="H86" s="49">
        <v>127.9</v>
      </c>
      <c r="I86" s="49">
        <v>127.7</v>
      </c>
      <c r="J86" s="49">
        <v>127.2</v>
      </c>
      <c r="K86" s="49">
        <v>125.8</v>
      </c>
      <c r="L86" s="49">
        <v>126.1</v>
      </c>
      <c r="M86" s="49">
        <v>125</v>
      </c>
      <c r="N86" s="49">
        <v>125</v>
      </c>
      <c r="O86" s="49">
        <v>123.9</v>
      </c>
      <c r="P86" s="49">
        <v>125.3</v>
      </c>
      <c r="Q86" s="49">
        <v>125.3</v>
      </c>
      <c r="R86" s="49">
        <v>125.3</v>
      </c>
      <c r="S86" s="49">
        <v>126.5</v>
      </c>
      <c r="T86" s="49">
        <v>127.1</v>
      </c>
      <c r="U86" s="49">
        <v>126.5</v>
      </c>
      <c r="V86" s="49">
        <v>127.5</v>
      </c>
      <c r="W86" s="49">
        <v>127.4</v>
      </c>
      <c r="X86" s="49">
        <v>127.4</v>
      </c>
      <c r="Y86" s="49">
        <v>127.7</v>
      </c>
      <c r="Z86" s="49">
        <v>127.8</v>
      </c>
      <c r="AA86" s="49">
        <v>127.8</v>
      </c>
      <c r="AB86" s="49">
        <v>128.19999999999999</v>
      </c>
      <c r="AC86" s="49">
        <v>128.6</v>
      </c>
      <c r="AD86" s="49">
        <v>128.9</v>
      </c>
      <c r="AE86" s="49">
        <v>130</v>
      </c>
      <c r="AF86" s="49">
        <v>128.19999999999999</v>
      </c>
      <c r="AG86" s="93"/>
      <c r="AH86" s="55">
        <f t="shared" si="14"/>
        <v>130</v>
      </c>
      <c r="AI86" s="56">
        <f t="shared" si="15"/>
        <v>123.9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128</v>
      </c>
      <c r="C87" s="49">
        <v>128</v>
      </c>
      <c r="D87" s="49">
        <v>125</v>
      </c>
      <c r="E87" s="49">
        <v>128.30000000000001</v>
      </c>
      <c r="F87" s="49">
        <v>127.5</v>
      </c>
      <c r="G87" s="49">
        <v>126.8</v>
      </c>
      <c r="H87" s="49">
        <v>128.6</v>
      </c>
      <c r="I87" s="49">
        <v>128.5</v>
      </c>
      <c r="J87" s="49">
        <v>127.4</v>
      </c>
      <c r="K87" s="49">
        <v>129.9</v>
      </c>
      <c r="L87" s="49">
        <v>128.19999999999999</v>
      </c>
      <c r="M87" s="49">
        <v>125</v>
      </c>
      <c r="N87" s="49">
        <v>125</v>
      </c>
      <c r="O87" s="49">
        <v>127.1</v>
      </c>
      <c r="P87" s="49">
        <v>126.2</v>
      </c>
      <c r="Q87" s="49">
        <v>126.2</v>
      </c>
      <c r="R87" s="49">
        <v>126.2</v>
      </c>
      <c r="S87" s="49">
        <v>126.8</v>
      </c>
      <c r="T87" s="49">
        <v>123.6</v>
      </c>
      <c r="U87" s="49">
        <v>126.6</v>
      </c>
      <c r="V87" s="49">
        <v>128.69999999999999</v>
      </c>
      <c r="W87" s="49">
        <v>128.4</v>
      </c>
      <c r="X87" s="49">
        <v>129.30000000000001</v>
      </c>
      <c r="Y87" s="49">
        <v>129.5</v>
      </c>
      <c r="Z87" s="49">
        <v>128.6</v>
      </c>
      <c r="AA87" s="49">
        <v>126.2</v>
      </c>
      <c r="AB87" s="49">
        <v>126.2</v>
      </c>
      <c r="AC87" s="49">
        <v>127.4</v>
      </c>
      <c r="AD87" s="49">
        <v>127.8</v>
      </c>
      <c r="AE87" s="49">
        <v>128.19999999999999</v>
      </c>
      <c r="AF87" s="49">
        <v>128</v>
      </c>
      <c r="AG87" s="93"/>
      <c r="AH87" s="55">
        <f t="shared" si="14"/>
        <v>129.9</v>
      </c>
      <c r="AI87" s="56">
        <f t="shared" si="15"/>
        <v>123.6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4"/>
        <v>0</v>
      </c>
      <c r="AI88" s="56">
        <f t="shared" si="15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131</v>
      </c>
      <c r="C89" s="95">
        <v>131</v>
      </c>
      <c r="D89" s="95">
        <v>131</v>
      </c>
      <c r="E89" s="95">
        <v>130.4</v>
      </c>
      <c r="F89" s="95">
        <v>135.5</v>
      </c>
      <c r="G89" s="95">
        <v>134.5</v>
      </c>
      <c r="H89" s="95">
        <v>133.19999999999999</v>
      </c>
      <c r="I89" s="95">
        <v>135.69999999999999</v>
      </c>
      <c r="J89" s="95">
        <v>135.5</v>
      </c>
      <c r="K89" s="95">
        <v>129.69999999999999</v>
      </c>
      <c r="L89" s="95">
        <v>132.9</v>
      </c>
      <c r="M89" s="95">
        <v>129.6</v>
      </c>
      <c r="N89" s="95">
        <v>129.6</v>
      </c>
      <c r="O89" s="95">
        <v>127</v>
      </c>
      <c r="P89" s="95">
        <v>128.5</v>
      </c>
      <c r="Q89" s="95">
        <v>132.9</v>
      </c>
      <c r="R89" s="95">
        <v>132.9</v>
      </c>
      <c r="S89" s="95">
        <v>133</v>
      </c>
      <c r="T89" s="95">
        <v>132.4</v>
      </c>
      <c r="U89" s="95">
        <v>134.9</v>
      </c>
      <c r="V89" s="95">
        <v>130.80000000000001</v>
      </c>
      <c r="W89" s="95">
        <v>130.5</v>
      </c>
      <c r="X89" s="95">
        <v>130.5</v>
      </c>
      <c r="Y89" s="95">
        <v>133.1</v>
      </c>
      <c r="Z89" s="95">
        <v>134</v>
      </c>
      <c r="AA89" s="95">
        <v>135.69999999999999</v>
      </c>
      <c r="AB89" s="95">
        <v>137.4</v>
      </c>
      <c r="AC89" s="95">
        <v>132.5</v>
      </c>
      <c r="AD89" s="95">
        <v>130.1</v>
      </c>
      <c r="AE89" s="95">
        <v>134.1</v>
      </c>
      <c r="AF89" s="95">
        <v>131.30000000000001</v>
      </c>
      <c r="AG89" s="96"/>
      <c r="AH89" s="55">
        <f t="shared" si="14"/>
        <v>137.4</v>
      </c>
      <c r="AI89" s="56">
        <f t="shared" si="15"/>
        <v>127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124</v>
      </c>
      <c r="C90" s="49">
        <v>124</v>
      </c>
      <c r="D90" s="49">
        <v>124</v>
      </c>
      <c r="E90" s="49">
        <v>120.9</v>
      </c>
      <c r="F90" s="49">
        <v>130.5</v>
      </c>
      <c r="G90" s="49">
        <v>130.80000000000001</v>
      </c>
      <c r="H90" s="49">
        <v>130.4</v>
      </c>
      <c r="I90" s="49">
        <v>132.30000000000001</v>
      </c>
      <c r="J90" s="49">
        <v>130.4</v>
      </c>
      <c r="K90" s="49">
        <v>121.2</v>
      </c>
      <c r="L90" s="49">
        <v>128.1</v>
      </c>
      <c r="M90" s="49">
        <v>130</v>
      </c>
      <c r="N90" s="49">
        <v>130</v>
      </c>
      <c r="O90" s="49">
        <v>122.7</v>
      </c>
      <c r="P90" s="49">
        <v>123.4</v>
      </c>
      <c r="Q90" s="49">
        <v>121.6</v>
      </c>
      <c r="R90" s="49">
        <v>121.6</v>
      </c>
      <c r="S90" s="49">
        <v>132</v>
      </c>
      <c r="T90" s="49">
        <v>131.69999999999999</v>
      </c>
      <c r="U90" s="49">
        <v>130.1</v>
      </c>
      <c r="V90" s="49">
        <v>123.7</v>
      </c>
      <c r="W90" s="49">
        <v>125.4</v>
      </c>
      <c r="X90" s="49">
        <v>125.4</v>
      </c>
      <c r="Y90" s="49">
        <v>131.5</v>
      </c>
      <c r="Z90" s="49">
        <v>131.6</v>
      </c>
      <c r="AA90" s="49">
        <v>137.1</v>
      </c>
      <c r="AB90" s="49">
        <v>135.6</v>
      </c>
      <c r="AC90" s="49">
        <v>133.9</v>
      </c>
      <c r="AD90" s="49">
        <v>127.5</v>
      </c>
      <c r="AE90" s="49">
        <v>134.19999999999999</v>
      </c>
      <c r="AF90" s="49">
        <v>126.2</v>
      </c>
      <c r="AG90" s="93"/>
      <c r="AH90" s="55">
        <f t="shared" si="14"/>
        <v>137.1</v>
      </c>
      <c r="AI90" s="56">
        <f t="shared" si="15"/>
        <v>120.9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64</v>
      </c>
      <c r="C91" s="97">
        <v>64</v>
      </c>
      <c r="D91" s="97">
        <v>64</v>
      </c>
      <c r="E91" s="97">
        <v>64.599999999999994</v>
      </c>
      <c r="F91" s="97">
        <v>65</v>
      </c>
      <c r="G91" s="97">
        <v>64.900000000000006</v>
      </c>
      <c r="H91" s="97">
        <v>64.8</v>
      </c>
      <c r="I91" s="97">
        <v>64.8</v>
      </c>
      <c r="J91" s="97">
        <v>64.3</v>
      </c>
      <c r="K91" s="97">
        <v>63.6</v>
      </c>
      <c r="L91" s="97">
        <v>63.8</v>
      </c>
      <c r="M91" s="97">
        <v>63.7</v>
      </c>
      <c r="N91" s="97">
        <v>63.7</v>
      </c>
      <c r="O91" s="97">
        <v>62.4</v>
      </c>
      <c r="P91" s="97">
        <v>63.1</v>
      </c>
      <c r="Q91" s="97">
        <v>63.4</v>
      </c>
      <c r="R91" s="97">
        <v>63.4</v>
      </c>
      <c r="S91" s="97">
        <v>63.6</v>
      </c>
      <c r="T91" s="97">
        <v>64</v>
      </c>
      <c r="U91" s="97">
        <v>64</v>
      </c>
      <c r="V91" s="97">
        <v>64.2</v>
      </c>
      <c r="W91" s="97">
        <v>64.2</v>
      </c>
      <c r="X91" s="97">
        <v>64.2</v>
      </c>
      <c r="Y91" s="97">
        <v>64.400000000000006</v>
      </c>
      <c r="Z91" s="97">
        <v>64.7</v>
      </c>
      <c r="AA91" s="97">
        <v>64.400000000000006</v>
      </c>
      <c r="AB91" s="97">
        <v>65</v>
      </c>
      <c r="AC91" s="97">
        <v>64.8</v>
      </c>
      <c r="AD91" s="97">
        <v>65.2</v>
      </c>
      <c r="AE91" s="97">
        <v>65.599999999999994</v>
      </c>
      <c r="AF91" s="97">
        <v>64.900000000000006</v>
      </c>
      <c r="AG91" s="98"/>
      <c r="AH91" s="55">
        <f t="shared" si="14"/>
        <v>65.599999999999994</v>
      </c>
      <c r="AI91" s="56">
        <f t="shared" si="15"/>
        <v>62.4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3">SUM(B15,B18,B21:B22,B42,B44:B45,B47,B49,B94:B97,B103,B109,B115,B124,B126,B138,B145,B148:B149,B156,B158,B160,B164:B166,B168:B170,B175,B181:B182,B184:B186,B194,B199)</f>
        <v>115.54</v>
      </c>
      <c r="C93" s="103">
        <f t="shared" si="23"/>
        <v>152.63999999999999</v>
      </c>
      <c r="D93" s="103">
        <f t="shared" si="23"/>
        <v>152.63999999999999</v>
      </c>
      <c r="E93" s="103">
        <f t="shared" si="23"/>
        <v>127.54</v>
      </c>
      <c r="F93" s="103">
        <f t="shared" si="23"/>
        <v>136.33999999999997</v>
      </c>
      <c r="G93" s="103">
        <f t="shared" si="23"/>
        <v>159.13999999999999</v>
      </c>
      <c r="H93" s="103">
        <f t="shared" si="23"/>
        <v>165.54000000000002</v>
      </c>
      <c r="I93" s="103">
        <f t="shared" si="23"/>
        <v>172.04</v>
      </c>
      <c r="J93" s="103">
        <f t="shared" si="23"/>
        <v>240.53999999999996</v>
      </c>
      <c r="K93" s="103">
        <f t="shared" si="23"/>
        <v>251.43999999999997</v>
      </c>
      <c r="L93" s="103">
        <f t="shared" si="23"/>
        <v>276.24000000000007</v>
      </c>
      <c r="M93" s="103">
        <f t="shared" si="23"/>
        <v>271.24000000000007</v>
      </c>
      <c r="N93" s="103">
        <f t="shared" si="23"/>
        <v>270.34000000000003</v>
      </c>
      <c r="O93" s="103">
        <f t="shared" si="23"/>
        <v>278.24000000000007</v>
      </c>
      <c r="P93" s="103">
        <f t="shared" si="23"/>
        <v>265.74</v>
      </c>
      <c r="Q93" s="103">
        <f t="shared" si="23"/>
        <v>258.94000000000005</v>
      </c>
      <c r="R93" s="103">
        <f t="shared" si="23"/>
        <v>259.94000000000005</v>
      </c>
      <c r="S93" s="103">
        <f t="shared" si="23"/>
        <v>262.64000000000004</v>
      </c>
      <c r="T93" s="103">
        <f t="shared" si="23"/>
        <v>264.64000000000004</v>
      </c>
      <c r="U93" s="103">
        <f t="shared" si="23"/>
        <v>271.73999999999995</v>
      </c>
      <c r="V93" s="103">
        <f t="shared" si="23"/>
        <v>245.03999999999996</v>
      </c>
      <c r="W93" s="103">
        <f>SUM(W15,W18,W21:W22,W42,W44:W45,W47,W49,W94:W97,W103,W109,W115,W124,W126,W138,W145,W148:W149,W156,W158,W160,W164:W166,W168:W170,W175,W181:W182,W184:W186,W194,W199)</f>
        <v>242.83999999999997</v>
      </c>
      <c r="X93" s="103">
        <f>SUM(X15,X18,X21:X22,X42,X44:X45,X47,X49,X94:X97,X103,X109,X115,X124,X126,X138,X145,X148:X149,X156,X158,X160,X164:X166,X168:X170,X175,X181:X182,X184:X186,X194,X199)</f>
        <v>238.53999999999996</v>
      </c>
      <c r="Y93" s="103">
        <f t="shared" si="23"/>
        <v>239.53999999999996</v>
      </c>
      <c r="Z93" s="103">
        <f t="shared" si="23"/>
        <v>267.74</v>
      </c>
      <c r="AA93" s="103">
        <f t="shared" si="23"/>
        <v>304.84000000000003</v>
      </c>
      <c r="AB93" s="103">
        <f t="shared" si="23"/>
        <v>288.34000000000003</v>
      </c>
      <c r="AC93" s="103">
        <f t="shared" si="23"/>
        <v>264.64000000000004</v>
      </c>
      <c r="AD93" s="103">
        <f t="shared" si="23"/>
        <v>244.43999999999994</v>
      </c>
      <c r="AE93" s="103">
        <f t="shared" si="23"/>
        <v>200.83999999999997</v>
      </c>
      <c r="AF93" s="103">
        <f t="shared" si="23"/>
        <v>141.14000000000001</v>
      </c>
      <c r="AG93" s="104"/>
      <c r="AH93" s="55">
        <f>MAX(C93:AF93)</f>
        <v>304.84000000000003</v>
      </c>
      <c r="AI93" s="56">
        <f>MIN(C93:AF93)</f>
        <v>127.54</v>
      </c>
    </row>
    <row r="94" spans="1:88" x14ac:dyDescent="0.25">
      <c r="A94" s="105" t="s">
        <v>98</v>
      </c>
      <c r="B94" s="106">
        <v>16.899999999999999</v>
      </c>
      <c r="C94" s="106">
        <v>18</v>
      </c>
      <c r="D94" s="106">
        <v>18</v>
      </c>
      <c r="E94" s="106">
        <v>2.6</v>
      </c>
      <c r="F94" s="106">
        <v>-13.8</v>
      </c>
      <c r="G94" s="106">
        <v>5.2</v>
      </c>
      <c r="H94" s="106">
        <v>-2.2000000000000002</v>
      </c>
      <c r="I94" s="106">
        <v>0</v>
      </c>
      <c r="J94" s="106">
        <v>-2.4</v>
      </c>
      <c r="K94" s="106">
        <v>-2.4</v>
      </c>
      <c r="L94" s="106">
        <v>0</v>
      </c>
      <c r="M94" s="106">
        <v>14</v>
      </c>
      <c r="N94" s="106">
        <v>15</v>
      </c>
      <c r="O94" s="106">
        <v>16.399999999999999</v>
      </c>
      <c r="P94" s="106">
        <v>18.7</v>
      </c>
      <c r="Q94" s="106">
        <v>18.899999999999999</v>
      </c>
      <c r="R94" s="106">
        <v>19.899999999999999</v>
      </c>
      <c r="S94" s="106">
        <v>21.3</v>
      </c>
      <c r="T94" s="106">
        <v>20.399999999999999</v>
      </c>
      <c r="U94" s="106">
        <v>35.200000000000003</v>
      </c>
      <c r="V94" s="106">
        <v>35.1</v>
      </c>
      <c r="W94" s="106">
        <v>31.7</v>
      </c>
      <c r="X94" s="106">
        <v>28.6</v>
      </c>
      <c r="Y94" s="106">
        <v>29.6</v>
      </c>
      <c r="Z94" s="106">
        <v>35.4</v>
      </c>
      <c r="AA94" s="106">
        <v>23.6</v>
      </c>
      <c r="AB94" s="106">
        <v>20.7</v>
      </c>
      <c r="AC94" s="106">
        <v>17.399999999999999</v>
      </c>
      <c r="AD94" s="106">
        <v>20.7</v>
      </c>
      <c r="AE94" s="106">
        <v>15.4</v>
      </c>
      <c r="AF94" s="106">
        <v>11.6</v>
      </c>
      <c r="AG94" s="107">
        <v>75</v>
      </c>
      <c r="AH94" s="55">
        <f t="shared" ref="AH94:AH100" si="24">IF(ABS(MAX(C94:AF94))&gt;ABS(MIN(C94:AF94)),MAX(C94:AF94),MIN(C94:AF94))</f>
        <v>35.4</v>
      </c>
      <c r="AI94" s="108">
        <f t="shared" ref="AI94:AI100" si="25">INDEX($C$9:$AF$9,1,MATCH(AH94,C94:AF94,0))</f>
        <v>0.79166666666666663</v>
      </c>
    </row>
    <row r="95" spans="1:88" x14ac:dyDescent="0.25">
      <c r="A95" s="109" t="s">
        <v>99</v>
      </c>
      <c r="B95" s="110">
        <v>-124</v>
      </c>
      <c r="C95" s="110">
        <v>-95</v>
      </c>
      <c r="D95" s="110">
        <v>-95</v>
      </c>
      <c r="E95" s="110">
        <v>-115</v>
      </c>
      <c r="F95" s="110">
        <v>-108</v>
      </c>
      <c r="G95" s="110">
        <v>-100</v>
      </c>
      <c r="H95" s="110">
        <v>-90</v>
      </c>
      <c r="I95" s="110">
        <v>-80</v>
      </c>
      <c r="J95" s="110">
        <v>-75</v>
      </c>
      <c r="K95" s="110">
        <v>-72</v>
      </c>
      <c r="L95" s="110">
        <v>-67</v>
      </c>
      <c r="M95" s="110">
        <f>-40-46.5</f>
        <v>-86.5</v>
      </c>
      <c r="N95" s="110">
        <f>-40-46.5</f>
        <v>-86.5</v>
      </c>
      <c r="O95" s="110">
        <f>-45.8-13.5</f>
        <v>-59.3</v>
      </c>
      <c r="P95" s="110">
        <f>-34-41.9</f>
        <v>-75.900000000000006</v>
      </c>
      <c r="Q95" s="110">
        <f>-36-46</f>
        <v>-82</v>
      </c>
      <c r="R95" s="110">
        <f>-36-46</f>
        <v>-82</v>
      </c>
      <c r="S95" s="110">
        <f>-38-47.4</f>
        <v>-85.4</v>
      </c>
      <c r="T95" s="110">
        <f>-39-50.3</f>
        <v>-89.3</v>
      </c>
      <c r="U95" s="110">
        <f>-41-51.3</f>
        <v>-92.3</v>
      </c>
      <c r="V95" s="110">
        <f>-42.9-53.7</f>
        <v>-96.6</v>
      </c>
      <c r="W95" s="110">
        <f>-45-52.5</f>
        <v>-97.5</v>
      </c>
      <c r="X95" s="110">
        <f>-46-52.6</f>
        <v>-98.6</v>
      </c>
      <c r="Y95" s="110">
        <f>-46-52.6</f>
        <v>-98.6</v>
      </c>
      <c r="Z95" s="110">
        <f>-42.9-49.5</f>
        <v>-92.4</v>
      </c>
      <c r="AA95" s="110">
        <f>-36.9-40.9</f>
        <v>-77.8</v>
      </c>
      <c r="AB95" s="110">
        <v>-76.2</v>
      </c>
      <c r="AC95" s="110">
        <v>-87</v>
      </c>
      <c r="AD95" s="110">
        <f>-44.5-53.5</f>
        <v>-98</v>
      </c>
      <c r="AE95" s="110">
        <f>-50-63.7</f>
        <v>-113.7</v>
      </c>
      <c r="AF95" s="110">
        <f>-60-69.5</f>
        <v>-129.5</v>
      </c>
      <c r="AG95" s="107">
        <v>240</v>
      </c>
      <c r="AH95" s="55">
        <f t="shared" si="24"/>
        <v>-129.5</v>
      </c>
      <c r="AI95" s="108">
        <f t="shared" si="25"/>
        <v>0.95833333333333304</v>
      </c>
    </row>
    <row r="96" spans="1:88" x14ac:dyDescent="0.25">
      <c r="A96" s="109" t="s">
        <v>100</v>
      </c>
      <c r="B96" s="110">
        <v>-21</v>
      </c>
      <c r="C96" s="110">
        <v>-14</v>
      </c>
      <c r="D96" s="110">
        <v>-14</v>
      </c>
      <c r="E96" s="110">
        <v>-2.6</v>
      </c>
      <c r="F96" s="110">
        <v>15.8</v>
      </c>
      <c r="G96" s="110">
        <v>11.5</v>
      </c>
      <c r="H96" s="110">
        <v>15.3</v>
      </c>
      <c r="I96" s="110">
        <v>9.9</v>
      </c>
      <c r="J96" s="110">
        <v>11.6</v>
      </c>
      <c r="K96" s="110">
        <v>11.7</v>
      </c>
      <c r="L96" s="110">
        <v>10.9</v>
      </c>
      <c r="M96" s="110">
        <v>10.9</v>
      </c>
      <c r="N96" s="110">
        <v>9</v>
      </c>
      <c r="O96" s="110">
        <v>1.5</v>
      </c>
      <c r="P96" s="110">
        <v>10.9</v>
      </c>
      <c r="Q96" s="110">
        <v>16.7</v>
      </c>
      <c r="R96" s="110">
        <v>16.7</v>
      </c>
      <c r="S96" s="110">
        <v>23</v>
      </c>
      <c r="T96" s="110">
        <v>35.5</v>
      </c>
      <c r="U96" s="110">
        <v>25</v>
      </c>
      <c r="V96" s="110">
        <v>22.7</v>
      </c>
      <c r="W96" s="110">
        <v>9.6999999999999993</v>
      </c>
      <c r="X96" s="110">
        <v>4.7</v>
      </c>
      <c r="Y96" s="110">
        <v>4.7</v>
      </c>
      <c r="Z96" s="110">
        <v>15.5</v>
      </c>
      <c r="AA96" s="110">
        <v>45.3</v>
      </c>
      <c r="AB96" s="110">
        <v>44.5</v>
      </c>
      <c r="AC96" s="110">
        <v>40.200000000000003</v>
      </c>
      <c r="AD96" s="110">
        <v>22.1</v>
      </c>
      <c r="AE96" s="110">
        <v>23.8</v>
      </c>
      <c r="AF96" s="110">
        <v>14.4</v>
      </c>
      <c r="AG96" s="107">
        <v>60</v>
      </c>
      <c r="AH96" s="55">
        <f t="shared" si="24"/>
        <v>45.3</v>
      </c>
      <c r="AI96" s="108">
        <f t="shared" si="25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58.2</v>
      </c>
      <c r="K97" s="112">
        <v>66</v>
      </c>
      <c r="L97" s="112">
        <v>84.2</v>
      </c>
      <c r="M97" s="112">
        <v>84.2</v>
      </c>
      <c r="N97" s="112">
        <v>84.2</v>
      </c>
      <c r="O97" s="112">
        <v>71</v>
      </c>
      <c r="P97" s="112">
        <v>63.4</v>
      </c>
      <c r="Q97" s="112">
        <v>56.7</v>
      </c>
      <c r="R97" s="112">
        <v>56.7</v>
      </c>
      <c r="S97" s="112">
        <v>55.1</v>
      </c>
      <c r="T97" s="112">
        <v>49.4</v>
      </c>
      <c r="U97" s="112">
        <v>55.2</v>
      </c>
      <c r="V97" s="112">
        <v>35.200000000000003</v>
      </c>
      <c r="W97" s="112">
        <v>50.3</v>
      </c>
      <c r="X97" s="112">
        <v>55.2</v>
      </c>
      <c r="Y97" s="112">
        <v>55.2</v>
      </c>
      <c r="Z97" s="112">
        <v>60.6</v>
      </c>
      <c r="AA97" s="112">
        <v>65.099999999999994</v>
      </c>
      <c r="AB97" s="112">
        <v>56.5</v>
      </c>
      <c r="AC97" s="112">
        <v>51.2</v>
      </c>
      <c r="AD97" s="112">
        <v>54.1</v>
      </c>
      <c r="AE97" s="112">
        <v>29.8</v>
      </c>
      <c r="AF97" s="112">
        <v>0</v>
      </c>
      <c r="AG97" s="113">
        <v>120</v>
      </c>
      <c r="AH97" s="55">
        <f t="shared" si="24"/>
        <v>84.2</v>
      </c>
      <c r="AI97" s="108">
        <f t="shared" si="25"/>
        <v>0.3125</v>
      </c>
    </row>
    <row r="98" spans="1:37" x14ac:dyDescent="0.25">
      <c r="A98" s="111" t="s">
        <v>102</v>
      </c>
      <c r="B98" s="112">
        <v>58</v>
      </c>
      <c r="C98" s="112">
        <v>58</v>
      </c>
      <c r="D98" s="112">
        <v>58</v>
      </c>
      <c r="E98" s="112">
        <v>70</v>
      </c>
      <c r="F98" s="112">
        <v>68</v>
      </c>
      <c r="G98" s="112">
        <v>64</v>
      </c>
      <c r="H98" s="112">
        <v>59</v>
      </c>
      <c r="I98" s="112">
        <v>66</v>
      </c>
      <c r="J98" s="112">
        <v>67.8</v>
      </c>
      <c r="K98" s="112">
        <v>77</v>
      </c>
      <c r="L98" s="112">
        <v>89</v>
      </c>
      <c r="M98" s="112">
        <v>89</v>
      </c>
      <c r="N98" s="112">
        <v>89</v>
      </c>
      <c r="O98" s="112">
        <v>78.7</v>
      </c>
      <c r="P98" s="112">
        <v>77</v>
      </c>
      <c r="Q98" s="112">
        <v>70.7</v>
      </c>
      <c r="R98" s="112">
        <v>70.7</v>
      </c>
      <c r="S98" s="112">
        <v>67</v>
      </c>
      <c r="T98" s="112">
        <v>48.4</v>
      </c>
      <c r="U98" s="112">
        <v>45</v>
      </c>
      <c r="V98" s="112">
        <v>34.6</v>
      </c>
      <c r="W98" s="112">
        <v>53</v>
      </c>
      <c r="X98" s="112">
        <v>57</v>
      </c>
      <c r="Y98" s="112">
        <v>57</v>
      </c>
      <c r="Z98" s="112">
        <v>57</v>
      </c>
      <c r="AA98" s="112">
        <v>55.9</v>
      </c>
      <c r="AB98" s="112">
        <v>49.6</v>
      </c>
      <c r="AC98" s="112">
        <v>50.9</v>
      </c>
      <c r="AD98" s="112">
        <v>55</v>
      </c>
      <c r="AE98" s="112">
        <v>40.4</v>
      </c>
      <c r="AF98" s="112">
        <v>40.200000000000003</v>
      </c>
      <c r="AG98" s="113"/>
      <c r="AH98" s="55">
        <f t="shared" si="24"/>
        <v>89</v>
      </c>
      <c r="AI98" s="108">
        <f t="shared" si="25"/>
        <v>0.3125</v>
      </c>
    </row>
    <row r="99" spans="1:37" x14ac:dyDescent="0.25">
      <c r="A99" s="111" t="s">
        <v>103</v>
      </c>
      <c r="B99" s="112">
        <v>40</v>
      </c>
      <c r="C99" s="112">
        <v>48</v>
      </c>
      <c r="D99" s="112">
        <v>48</v>
      </c>
      <c r="E99" s="112">
        <v>80</v>
      </c>
      <c r="F99" s="112">
        <v>85.9</v>
      </c>
      <c r="G99" s="112">
        <v>75</v>
      </c>
      <c r="H99" s="112">
        <v>65</v>
      </c>
      <c r="I99" s="112">
        <v>58</v>
      </c>
      <c r="J99" s="112">
        <v>60</v>
      </c>
      <c r="K99" s="112">
        <v>61</v>
      </c>
      <c r="L99" s="112">
        <v>57</v>
      </c>
      <c r="M99" s="112">
        <v>57</v>
      </c>
      <c r="N99" s="112">
        <v>57</v>
      </c>
      <c r="O99" s="112">
        <v>50.3</v>
      </c>
      <c r="P99" s="112">
        <v>50.6</v>
      </c>
      <c r="Q99" s="112">
        <v>48.2</v>
      </c>
      <c r="R99" s="112">
        <v>48.2</v>
      </c>
      <c r="S99" s="112">
        <v>61.2</v>
      </c>
      <c r="T99" s="112">
        <v>62.1</v>
      </c>
      <c r="U99" s="112">
        <v>13.3</v>
      </c>
      <c r="V99" s="112">
        <v>24.8</v>
      </c>
      <c r="W99" s="112">
        <v>39</v>
      </c>
      <c r="X99" s="112">
        <v>34</v>
      </c>
      <c r="Y99" s="112">
        <v>34</v>
      </c>
      <c r="Z99" s="112">
        <v>17.3</v>
      </c>
      <c r="AA99" s="112">
        <v>61.1</v>
      </c>
      <c r="AB99" s="112">
        <v>67.900000000000006</v>
      </c>
      <c r="AC99" s="112">
        <v>74.5</v>
      </c>
      <c r="AD99" s="112">
        <v>73.2</v>
      </c>
      <c r="AE99" s="112">
        <v>64.2</v>
      </c>
      <c r="AF99" s="112">
        <v>79.5</v>
      </c>
      <c r="AG99" s="114"/>
      <c r="AH99" s="55">
        <f t="shared" si="24"/>
        <v>85.9</v>
      </c>
      <c r="AI99" s="108">
        <f t="shared" si="25"/>
        <v>0.16666666666666699</v>
      </c>
    </row>
    <row r="100" spans="1:37" ht="15.75" thickBot="1" x14ac:dyDescent="0.3">
      <c r="A100" s="115" t="s">
        <v>241</v>
      </c>
      <c r="B100" s="95"/>
      <c r="C100" s="95"/>
      <c r="D100" s="95"/>
      <c r="E100" s="95">
        <v>100</v>
      </c>
      <c r="F100" s="95">
        <v>95.8</v>
      </c>
      <c r="G100" s="95">
        <v>101</v>
      </c>
      <c r="H100" s="95">
        <v>85</v>
      </c>
      <c r="I100" s="95">
        <v>75</v>
      </c>
      <c r="J100" s="95">
        <v>66</v>
      </c>
      <c r="K100" s="95">
        <v>62</v>
      </c>
      <c r="L100" s="95">
        <v>44</v>
      </c>
      <c r="M100" s="95">
        <v>44</v>
      </c>
      <c r="N100" s="95">
        <v>44</v>
      </c>
      <c r="O100" s="95">
        <v>23</v>
      </c>
      <c r="P100" s="95">
        <v>20.9</v>
      </c>
      <c r="Q100" s="95">
        <v>90.8</v>
      </c>
      <c r="R100" s="95">
        <v>90.8</v>
      </c>
      <c r="S100" s="95">
        <v>28</v>
      </c>
      <c r="T100" s="95">
        <v>62.8</v>
      </c>
      <c r="U100" s="95">
        <v>64.400000000000006</v>
      </c>
      <c r="V100" s="95">
        <v>68.099999999999994</v>
      </c>
      <c r="W100" s="95">
        <v>52</v>
      </c>
      <c r="X100" s="95"/>
      <c r="Y100" s="95"/>
      <c r="Z100" s="95"/>
      <c r="AA100" s="95"/>
      <c r="AB100" s="95">
        <v>73.7</v>
      </c>
      <c r="AC100" s="95">
        <v>83.2</v>
      </c>
      <c r="AD100" s="95">
        <v>78.2</v>
      </c>
      <c r="AE100" s="95">
        <v>88.9</v>
      </c>
      <c r="AF100" s="95">
        <v>94.3</v>
      </c>
      <c r="AG100" s="114"/>
      <c r="AH100" s="55">
        <f t="shared" si="24"/>
        <v>101</v>
      </c>
      <c r="AI100" s="108">
        <f t="shared" si="25"/>
        <v>0.20833333333333301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6">AF102</f>
        <v>9.9</v>
      </c>
      <c r="C102" s="54">
        <v>9.9</v>
      </c>
      <c r="D102" s="121">
        <f t="shared" ref="D102:S107" si="27">C102</f>
        <v>9.9</v>
      </c>
      <c r="E102" s="121">
        <f t="shared" si="27"/>
        <v>9.9</v>
      </c>
      <c r="F102" s="121">
        <f t="shared" si="27"/>
        <v>9.9</v>
      </c>
      <c r="G102" s="121">
        <f t="shared" si="27"/>
        <v>9.9</v>
      </c>
      <c r="H102" s="121">
        <f t="shared" si="27"/>
        <v>9.9</v>
      </c>
      <c r="I102" s="121">
        <f t="shared" si="27"/>
        <v>9.9</v>
      </c>
      <c r="J102" s="121">
        <f t="shared" si="27"/>
        <v>9.9</v>
      </c>
      <c r="K102" s="121">
        <f t="shared" si="27"/>
        <v>9.9</v>
      </c>
      <c r="L102" s="121">
        <f t="shared" si="27"/>
        <v>9.9</v>
      </c>
      <c r="M102" s="121">
        <f t="shared" si="27"/>
        <v>9.9</v>
      </c>
      <c r="N102" s="121">
        <f t="shared" si="27"/>
        <v>9.9</v>
      </c>
      <c r="O102" s="121">
        <f t="shared" si="27"/>
        <v>9.9</v>
      </c>
      <c r="P102" s="121">
        <f t="shared" si="27"/>
        <v>9.9</v>
      </c>
      <c r="Q102" s="121">
        <f t="shared" si="27"/>
        <v>9.9</v>
      </c>
      <c r="R102" s="121">
        <f t="shared" si="27"/>
        <v>9.9</v>
      </c>
      <c r="S102" s="121">
        <f t="shared" si="27"/>
        <v>9.9</v>
      </c>
      <c r="T102" s="121">
        <f t="shared" ref="T102:AF107" si="28">S102</f>
        <v>9.9</v>
      </c>
      <c r="U102" s="121">
        <f t="shared" si="28"/>
        <v>9.9</v>
      </c>
      <c r="V102" s="121">
        <f t="shared" si="28"/>
        <v>9.9</v>
      </c>
      <c r="W102" s="121">
        <f t="shared" si="28"/>
        <v>9.9</v>
      </c>
      <c r="X102" s="121">
        <f t="shared" si="28"/>
        <v>9.9</v>
      </c>
      <c r="Y102" s="121">
        <f t="shared" si="28"/>
        <v>9.9</v>
      </c>
      <c r="Z102" s="121">
        <f t="shared" si="28"/>
        <v>9.9</v>
      </c>
      <c r="AA102" s="121">
        <f t="shared" si="28"/>
        <v>9.9</v>
      </c>
      <c r="AB102" s="121">
        <f t="shared" si="28"/>
        <v>9.9</v>
      </c>
      <c r="AC102" s="121">
        <f t="shared" si="28"/>
        <v>9.9</v>
      </c>
      <c r="AD102" s="121">
        <f t="shared" si="28"/>
        <v>9.9</v>
      </c>
      <c r="AE102" s="121">
        <f t="shared" si="28"/>
        <v>9.9</v>
      </c>
      <c r="AF102" s="121">
        <f t="shared" si="28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6"/>
        <v>9.6</v>
      </c>
      <c r="C103" s="124">
        <v>9.6</v>
      </c>
      <c r="D103" s="123">
        <f t="shared" si="27"/>
        <v>9.6</v>
      </c>
      <c r="E103" s="123">
        <f t="shared" si="27"/>
        <v>9.6</v>
      </c>
      <c r="F103" s="123">
        <f t="shared" si="27"/>
        <v>9.6</v>
      </c>
      <c r="G103" s="123">
        <f t="shared" si="27"/>
        <v>9.6</v>
      </c>
      <c r="H103" s="123">
        <f t="shared" si="27"/>
        <v>9.6</v>
      </c>
      <c r="I103" s="123">
        <f t="shared" si="27"/>
        <v>9.6</v>
      </c>
      <c r="J103" s="123">
        <f t="shared" si="27"/>
        <v>9.6</v>
      </c>
      <c r="K103" s="123">
        <f t="shared" si="27"/>
        <v>9.6</v>
      </c>
      <c r="L103" s="123">
        <f t="shared" si="27"/>
        <v>9.6</v>
      </c>
      <c r="M103" s="123">
        <f t="shared" si="27"/>
        <v>9.6</v>
      </c>
      <c r="N103" s="123">
        <f t="shared" si="27"/>
        <v>9.6</v>
      </c>
      <c r="O103" s="123">
        <f t="shared" si="27"/>
        <v>9.6</v>
      </c>
      <c r="P103" s="123">
        <f t="shared" si="27"/>
        <v>9.6</v>
      </c>
      <c r="Q103" s="123">
        <f t="shared" si="27"/>
        <v>9.6</v>
      </c>
      <c r="R103" s="123">
        <f t="shared" si="27"/>
        <v>9.6</v>
      </c>
      <c r="S103" s="123">
        <f t="shared" si="27"/>
        <v>9.6</v>
      </c>
      <c r="T103" s="123">
        <f t="shared" si="28"/>
        <v>9.6</v>
      </c>
      <c r="U103" s="123">
        <f t="shared" si="28"/>
        <v>9.6</v>
      </c>
      <c r="V103" s="123">
        <f t="shared" si="28"/>
        <v>9.6</v>
      </c>
      <c r="W103" s="123">
        <f t="shared" si="28"/>
        <v>9.6</v>
      </c>
      <c r="X103" s="123">
        <f t="shared" si="28"/>
        <v>9.6</v>
      </c>
      <c r="Y103" s="123">
        <f t="shared" si="28"/>
        <v>9.6</v>
      </c>
      <c r="Z103" s="123">
        <f t="shared" si="28"/>
        <v>9.6</v>
      </c>
      <c r="AA103" s="123">
        <f t="shared" si="28"/>
        <v>9.6</v>
      </c>
      <c r="AB103" s="123">
        <f t="shared" si="28"/>
        <v>9.6</v>
      </c>
      <c r="AC103" s="123">
        <f t="shared" si="28"/>
        <v>9.6</v>
      </c>
      <c r="AD103" s="123">
        <f t="shared" si="28"/>
        <v>9.6</v>
      </c>
      <c r="AE103" s="123">
        <f t="shared" si="28"/>
        <v>9.6</v>
      </c>
      <c r="AF103" s="123">
        <f t="shared" si="28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6"/>
        <v>9.98</v>
      </c>
      <c r="C104" s="124">
        <v>9.98</v>
      </c>
      <c r="D104" s="123">
        <f t="shared" si="27"/>
        <v>9.98</v>
      </c>
      <c r="E104" s="123">
        <f t="shared" si="27"/>
        <v>9.98</v>
      </c>
      <c r="F104" s="123">
        <f t="shared" si="27"/>
        <v>9.98</v>
      </c>
      <c r="G104" s="123">
        <f t="shared" si="27"/>
        <v>9.98</v>
      </c>
      <c r="H104" s="123">
        <f t="shared" si="27"/>
        <v>9.98</v>
      </c>
      <c r="I104" s="123">
        <f t="shared" si="27"/>
        <v>9.98</v>
      </c>
      <c r="J104" s="123">
        <f t="shared" si="27"/>
        <v>9.98</v>
      </c>
      <c r="K104" s="123">
        <f t="shared" si="27"/>
        <v>9.98</v>
      </c>
      <c r="L104" s="123">
        <f t="shared" si="27"/>
        <v>9.98</v>
      </c>
      <c r="M104" s="123">
        <f t="shared" si="27"/>
        <v>9.98</v>
      </c>
      <c r="N104" s="123">
        <f t="shared" si="27"/>
        <v>9.98</v>
      </c>
      <c r="O104" s="123">
        <f t="shared" si="27"/>
        <v>9.98</v>
      </c>
      <c r="P104" s="123">
        <f t="shared" si="27"/>
        <v>9.98</v>
      </c>
      <c r="Q104" s="123">
        <f t="shared" si="27"/>
        <v>9.98</v>
      </c>
      <c r="R104" s="123">
        <f t="shared" si="27"/>
        <v>9.98</v>
      </c>
      <c r="S104" s="123">
        <f t="shared" si="27"/>
        <v>9.98</v>
      </c>
      <c r="T104" s="123">
        <f t="shared" si="28"/>
        <v>9.98</v>
      </c>
      <c r="U104" s="123">
        <f t="shared" si="28"/>
        <v>9.98</v>
      </c>
      <c r="V104" s="123">
        <f t="shared" si="28"/>
        <v>9.98</v>
      </c>
      <c r="W104" s="123">
        <f t="shared" si="28"/>
        <v>9.98</v>
      </c>
      <c r="X104" s="123">
        <f t="shared" si="28"/>
        <v>9.98</v>
      </c>
      <c r="Y104" s="123">
        <f t="shared" si="28"/>
        <v>9.98</v>
      </c>
      <c r="Z104" s="123">
        <f t="shared" si="28"/>
        <v>9.98</v>
      </c>
      <c r="AA104" s="123">
        <f t="shared" si="28"/>
        <v>9.98</v>
      </c>
      <c r="AB104" s="123">
        <f t="shared" si="28"/>
        <v>9.98</v>
      </c>
      <c r="AC104" s="123">
        <f t="shared" si="28"/>
        <v>9.98</v>
      </c>
      <c r="AD104" s="123">
        <f t="shared" si="28"/>
        <v>9.98</v>
      </c>
      <c r="AE104" s="123">
        <f t="shared" si="28"/>
        <v>9.98</v>
      </c>
      <c r="AF104" s="123">
        <f t="shared" si="28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6"/>
        <v>9.1</v>
      </c>
      <c r="C105" s="124">
        <v>9.1</v>
      </c>
      <c r="D105" s="123">
        <f t="shared" si="27"/>
        <v>9.1</v>
      </c>
      <c r="E105" s="123">
        <f t="shared" si="27"/>
        <v>9.1</v>
      </c>
      <c r="F105" s="123">
        <f t="shared" si="27"/>
        <v>9.1</v>
      </c>
      <c r="G105" s="123">
        <f t="shared" si="27"/>
        <v>9.1</v>
      </c>
      <c r="H105" s="123">
        <f t="shared" si="27"/>
        <v>9.1</v>
      </c>
      <c r="I105" s="123">
        <f t="shared" si="27"/>
        <v>9.1</v>
      </c>
      <c r="J105" s="123">
        <f t="shared" si="27"/>
        <v>9.1</v>
      </c>
      <c r="K105" s="123">
        <f t="shared" si="27"/>
        <v>9.1</v>
      </c>
      <c r="L105" s="123">
        <f t="shared" si="27"/>
        <v>9.1</v>
      </c>
      <c r="M105" s="123">
        <f t="shared" si="27"/>
        <v>9.1</v>
      </c>
      <c r="N105" s="123">
        <f t="shared" si="27"/>
        <v>9.1</v>
      </c>
      <c r="O105" s="123">
        <f t="shared" si="27"/>
        <v>9.1</v>
      </c>
      <c r="P105" s="123">
        <f t="shared" si="27"/>
        <v>9.1</v>
      </c>
      <c r="Q105" s="123">
        <f t="shared" si="27"/>
        <v>9.1</v>
      </c>
      <c r="R105" s="123">
        <f t="shared" si="27"/>
        <v>9.1</v>
      </c>
      <c r="S105" s="123">
        <f t="shared" si="27"/>
        <v>9.1</v>
      </c>
      <c r="T105" s="123">
        <f t="shared" si="28"/>
        <v>9.1</v>
      </c>
      <c r="U105" s="123">
        <f t="shared" si="28"/>
        <v>9.1</v>
      </c>
      <c r="V105" s="123">
        <f t="shared" si="28"/>
        <v>9.1</v>
      </c>
      <c r="W105" s="123">
        <f t="shared" si="28"/>
        <v>9.1</v>
      </c>
      <c r="X105" s="123">
        <f t="shared" si="28"/>
        <v>9.1</v>
      </c>
      <c r="Y105" s="123">
        <f t="shared" si="28"/>
        <v>9.1</v>
      </c>
      <c r="Z105" s="123">
        <f t="shared" si="28"/>
        <v>9.1</v>
      </c>
      <c r="AA105" s="123">
        <f t="shared" si="28"/>
        <v>9.1</v>
      </c>
      <c r="AB105" s="123">
        <f t="shared" si="28"/>
        <v>9.1</v>
      </c>
      <c r="AC105" s="123">
        <f t="shared" si="28"/>
        <v>9.1</v>
      </c>
      <c r="AD105" s="123">
        <f t="shared" si="28"/>
        <v>9.1</v>
      </c>
      <c r="AE105" s="123">
        <f t="shared" si="28"/>
        <v>9.1</v>
      </c>
      <c r="AF105" s="123">
        <f t="shared" si="28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6"/>
        <v>9.18</v>
      </c>
      <c r="C106" s="124">
        <v>9.18</v>
      </c>
      <c r="D106" s="123">
        <f t="shared" si="27"/>
        <v>9.18</v>
      </c>
      <c r="E106" s="123">
        <f t="shared" si="27"/>
        <v>9.18</v>
      </c>
      <c r="F106" s="123">
        <f t="shared" si="27"/>
        <v>9.18</v>
      </c>
      <c r="G106" s="123">
        <f t="shared" si="27"/>
        <v>9.18</v>
      </c>
      <c r="H106" s="123">
        <f t="shared" si="27"/>
        <v>9.18</v>
      </c>
      <c r="I106" s="123">
        <f t="shared" si="27"/>
        <v>9.18</v>
      </c>
      <c r="J106" s="123">
        <f t="shared" si="27"/>
        <v>9.18</v>
      </c>
      <c r="K106" s="123">
        <f t="shared" si="27"/>
        <v>9.18</v>
      </c>
      <c r="L106" s="123">
        <f t="shared" si="27"/>
        <v>9.18</v>
      </c>
      <c r="M106" s="123">
        <f t="shared" si="27"/>
        <v>9.18</v>
      </c>
      <c r="N106" s="123">
        <f t="shared" si="27"/>
        <v>9.18</v>
      </c>
      <c r="O106" s="123">
        <f t="shared" si="27"/>
        <v>9.18</v>
      </c>
      <c r="P106" s="123">
        <f t="shared" si="27"/>
        <v>9.18</v>
      </c>
      <c r="Q106" s="123">
        <f t="shared" si="27"/>
        <v>9.18</v>
      </c>
      <c r="R106" s="123">
        <f t="shared" si="27"/>
        <v>9.18</v>
      </c>
      <c r="S106" s="123">
        <f t="shared" si="27"/>
        <v>9.18</v>
      </c>
      <c r="T106" s="123">
        <f t="shared" si="28"/>
        <v>9.18</v>
      </c>
      <c r="U106" s="123">
        <f t="shared" si="28"/>
        <v>9.18</v>
      </c>
      <c r="V106" s="123">
        <f t="shared" si="28"/>
        <v>9.18</v>
      </c>
      <c r="W106" s="123">
        <f t="shared" si="28"/>
        <v>9.18</v>
      </c>
      <c r="X106" s="123">
        <f t="shared" si="28"/>
        <v>9.18</v>
      </c>
      <c r="Y106" s="123">
        <f t="shared" si="28"/>
        <v>9.18</v>
      </c>
      <c r="Z106" s="123">
        <f t="shared" si="28"/>
        <v>9.18</v>
      </c>
      <c r="AA106" s="123">
        <f t="shared" si="28"/>
        <v>9.18</v>
      </c>
      <c r="AB106" s="123">
        <f t="shared" si="28"/>
        <v>9.18</v>
      </c>
      <c r="AC106" s="123">
        <f t="shared" si="28"/>
        <v>9.18</v>
      </c>
      <c r="AD106" s="123">
        <f t="shared" si="28"/>
        <v>9.18</v>
      </c>
      <c r="AE106" s="123">
        <f t="shared" si="28"/>
        <v>9.18</v>
      </c>
      <c r="AF106" s="123">
        <f t="shared" si="28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6"/>
        <v>7</v>
      </c>
      <c r="C107" s="124">
        <v>7</v>
      </c>
      <c r="D107" s="123">
        <f t="shared" si="27"/>
        <v>7</v>
      </c>
      <c r="E107" s="123">
        <f t="shared" si="27"/>
        <v>7</v>
      </c>
      <c r="F107" s="123">
        <f t="shared" si="27"/>
        <v>7</v>
      </c>
      <c r="G107" s="123">
        <f t="shared" si="27"/>
        <v>7</v>
      </c>
      <c r="H107" s="123">
        <f t="shared" si="27"/>
        <v>7</v>
      </c>
      <c r="I107" s="123">
        <f t="shared" si="27"/>
        <v>7</v>
      </c>
      <c r="J107" s="123">
        <f t="shared" si="27"/>
        <v>7</v>
      </c>
      <c r="K107" s="123">
        <f t="shared" si="27"/>
        <v>7</v>
      </c>
      <c r="L107" s="123">
        <f t="shared" si="27"/>
        <v>7</v>
      </c>
      <c r="M107" s="123">
        <f t="shared" si="27"/>
        <v>7</v>
      </c>
      <c r="N107" s="123">
        <f t="shared" si="27"/>
        <v>7</v>
      </c>
      <c r="O107" s="123">
        <f t="shared" si="27"/>
        <v>7</v>
      </c>
      <c r="P107" s="123">
        <f t="shared" si="27"/>
        <v>7</v>
      </c>
      <c r="Q107" s="123">
        <f t="shared" si="27"/>
        <v>7</v>
      </c>
      <c r="R107" s="123">
        <f t="shared" si="27"/>
        <v>7</v>
      </c>
      <c r="S107" s="123">
        <f t="shared" si="27"/>
        <v>7</v>
      </c>
      <c r="T107" s="123">
        <f t="shared" si="28"/>
        <v>7</v>
      </c>
      <c r="U107" s="123">
        <f t="shared" si="28"/>
        <v>7</v>
      </c>
      <c r="V107" s="123">
        <f t="shared" si="28"/>
        <v>7</v>
      </c>
      <c r="W107" s="123">
        <f t="shared" si="28"/>
        <v>7</v>
      </c>
      <c r="X107" s="123">
        <f t="shared" si="28"/>
        <v>7</v>
      </c>
      <c r="Y107" s="123">
        <f t="shared" si="28"/>
        <v>7</v>
      </c>
      <c r="Z107" s="123">
        <f t="shared" si="28"/>
        <v>7</v>
      </c>
      <c r="AA107" s="123">
        <f t="shared" si="28"/>
        <v>7</v>
      </c>
      <c r="AB107" s="123">
        <f t="shared" si="28"/>
        <v>7</v>
      </c>
      <c r="AC107" s="123">
        <f t="shared" si="28"/>
        <v>7</v>
      </c>
      <c r="AD107" s="123">
        <f t="shared" si="28"/>
        <v>7</v>
      </c>
      <c r="AE107" s="123">
        <f t="shared" si="28"/>
        <v>7</v>
      </c>
      <c r="AF107" s="123">
        <f t="shared" si="28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29">C109</f>
        <v>2.25</v>
      </c>
      <c r="E109" s="123">
        <f t="shared" si="29"/>
        <v>2.25</v>
      </c>
      <c r="F109" s="123">
        <f t="shared" si="29"/>
        <v>2.25</v>
      </c>
      <c r="G109" s="123">
        <f t="shared" si="29"/>
        <v>2.25</v>
      </c>
      <c r="H109" s="123">
        <f t="shared" si="29"/>
        <v>2.25</v>
      </c>
      <c r="I109" s="123">
        <f t="shared" si="29"/>
        <v>2.25</v>
      </c>
      <c r="J109" s="123">
        <f t="shared" si="29"/>
        <v>2.25</v>
      </c>
      <c r="K109" s="123">
        <f t="shared" si="29"/>
        <v>2.25</v>
      </c>
      <c r="L109" s="123">
        <f t="shared" si="29"/>
        <v>2.25</v>
      </c>
      <c r="M109" s="123">
        <f t="shared" si="29"/>
        <v>2.25</v>
      </c>
      <c r="N109" s="123">
        <f t="shared" si="29"/>
        <v>2.25</v>
      </c>
      <c r="O109" s="123">
        <f t="shared" si="29"/>
        <v>2.25</v>
      </c>
      <c r="P109" s="123">
        <f t="shared" si="29"/>
        <v>2.25</v>
      </c>
      <c r="Q109" s="123">
        <f t="shared" si="29"/>
        <v>2.25</v>
      </c>
      <c r="R109" s="123">
        <f t="shared" si="29"/>
        <v>2.25</v>
      </c>
      <c r="S109" s="123">
        <f t="shared" si="29"/>
        <v>2.25</v>
      </c>
      <c r="T109" s="123">
        <f t="shared" ref="T109:AF110" si="30">S109</f>
        <v>2.25</v>
      </c>
      <c r="U109" s="123">
        <f t="shared" si="30"/>
        <v>2.25</v>
      </c>
      <c r="V109" s="123">
        <f t="shared" si="30"/>
        <v>2.25</v>
      </c>
      <c r="W109" s="123">
        <f t="shared" si="30"/>
        <v>2.25</v>
      </c>
      <c r="X109" s="123">
        <f t="shared" si="30"/>
        <v>2.25</v>
      </c>
      <c r="Y109" s="123">
        <f t="shared" si="30"/>
        <v>2.25</v>
      </c>
      <c r="Z109" s="123">
        <f t="shared" si="30"/>
        <v>2.25</v>
      </c>
      <c r="AA109" s="123">
        <f t="shared" si="30"/>
        <v>2.25</v>
      </c>
      <c r="AB109" s="123">
        <f t="shared" si="30"/>
        <v>2.25</v>
      </c>
      <c r="AC109" s="123">
        <f t="shared" si="30"/>
        <v>2.25</v>
      </c>
      <c r="AD109" s="123">
        <f t="shared" si="30"/>
        <v>2.25</v>
      </c>
      <c r="AE109" s="123">
        <f t="shared" si="30"/>
        <v>2.25</v>
      </c>
      <c r="AF109" s="123">
        <f t="shared" si="30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29"/>
        <v>1.64</v>
      </c>
      <c r="E110" s="123">
        <f t="shared" si="29"/>
        <v>1.64</v>
      </c>
      <c r="F110" s="123">
        <f t="shared" si="29"/>
        <v>1.64</v>
      </c>
      <c r="G110" s="123">
        <f t="shared" si="29"/>
        <v>1.64</v>
      </c>
      <c r="H110" s="123">
        <f t="shared" si="29"/>
        <v>1.64</v>
      </c>
      <c r="I110" s="123">
        <f t="shared" si="29"/>
        <v>1.64</v>
      </c>
      <c r="J110" s="123">
        <f t="shared" si="29"/>
        <v>1.64</v>
      </c>
      <c r="K110" s="123">
        <f t="shared" si="29"/>
        <v>1.64</v>
      </c>
      <c r="L110" s="123">
        <f t="shared" si="29"/>
        <v>1.64</v>
      </c>
      <c r="M110" s="123">
        <f t="shared" si="29"/>
        <v>1.64</v>
      </c>
      <c r="N110" s="123">
        <f t="shared" si="29"/>
        <v>1.64</v>
      </c>
      <c r="O110" s="123">
        <f t="shared" si="29"/>
        <v>1.64</v>
      </c>
      <c r="P110" s="123">
        <f t="shared" si="29"/>
        <v>1.64</v>
      </c>
      <c r="Q110" s="123">
        <f t="shared" si="29"/>
        <v>1.64</v>
      </c>
      <c r="R110" s="123">
        <f t="shared" si="29"/>
        <v>1.64</v>
      </c>
      <c r="S110" s="123">
        <f t="shared" si="29"/>
        <v>1.64</v>
      </c>
      <c r="T110" s="123">
        <f t="shared" si="30"/>
        <v>1.64</v>
      </c>
      <c r="U110" s="123">
        <f t="shared" si="30"/>
        <v>1.64</v>
      </c>
      <c r="V110" s="123">
        <f t="shared" si="30"/>
        <v>1.64</v>
      </c>
      <c r="W110" s="123">
        <f t="shared" si="30"/>
        <v>1.64</v>
      </c>
      <c r="X110" s="123">
        <f t="shared" si="30"/>
        <v>1.64</v>
      </c>
      <c r="Y110" s="123">
        <f t="shared" si="30"/>
        <v>1.64</v>
      </c>
      <c r="Z110" s="123">
        <f t="shared" si="30"/>
        <v>1.64</v>
      </c>
      <c r="AA110" s="123">
        <f t="shared" si="30"/>
        <v>1.64</v>
      </c>
      <c r="AB110" s="123">
        <f t="shared" si="30"/>
        <v>1.64</v>
      </c>
      <c r="AC110" s="123">
        <f t="shared" si="30"/>
        <v>1.64</v>
      </c>
      <c r="AD110" s="123">
        <f t="shared" si="30"/>
        <v>1.64</v>
      </c>
      <c r="AE110" s="123">
        <f t="shared" si="30"/>
        <v>1.64</v>
      </c>
      <c r="AF110" s="123">
        <f t="shared" si="30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1">AF112</f>
        <v>1.62</v>
      </c>
      <c r="C112" s="124">
        <v>1.62</v>
      </c>
      <c r="D112" s="123">
        <f t="shared" ref="D112:S119" si="32">C112</f>
        <v>1.62</v>
      </c>
      <c r="E112" s="123">
        <f t="shared" si="32"/>
        <v>1.62</v>
      </c>
      <c r="F112" s="123">
        <f t="shared" si="32"/>
        <v>1.62</v>
      </c>
      <c r="G112" s="123">
        <f t="shared" si="32"/>
        <v>1.62</v>
      </c>
      <c r="H112" s="123">
        <f t="shared" si="32"/>
        <v>1.62</v>
      </c>
      <c r="I112" s="123">
        <f t="shared" si="32"/>
        <v>1.62</v>
      </c>
      <c r="J112" s="123">
        <f t="shared" si="32"/>
        <v>1.62</v>
      </c>
      <c r="K112" s="123">
        <f t="shared" si="32"/>
        <v>1.62</v>
      </c>
      <c r="L112" s="123">
        <f t="shared" si="32"/>
        <v>1.62</v>
      </c>
      <c r="M112" s="123">
        <f t="shared" si="32"/>
        <v>1.62</v>
      </c>
      <c r="N112" s="123">
        <f t="shared" si="32"/>
        <v>1.62</v>
      </c>
      <c r="O112" s="123">
        <f t="shared" si="32"/>
        <v>1.62</v>
      </c>
      <c r="P112" s="123">
        <f t="shared" si="32"/>
        <v>1.62</v>
      </c>
      <c r="Q112" s="123">
        <f t="shared" si="32"/>
        <v>1.62</v>
      </c>
      <c r="R112" s="123">
        <f t="shared" si="32"/>
        <v>1.62</v>
      </c>
      <c r="S112" s="123">
        <f t="shared" si="32"/>
        <v>1.62</v>
      </c>
      <c r="T112" s="123">
        <f t="shared" ref="T112:AF127" si="33">S112</f>
        <v>1.62</v>
      </c>
      <c r="U112" s="123">
        <f t="shared" si="33"/>
        <v>1.62</v>
      </c>
      <c r="V112" s="123">
        <f t="shared" si="33"/>
        <v>1.62</v>
      </c>
      <c r="W112" s="123">
        <f t="shared" si="33"/>
        <v>1.62</v>
      </c>
      <c r="X112" s="123">
        <f t="shared" si="33"/>
        <v>1.62</v>
      </c>
      <c r="Y112" s="123">
        <f t="shared" si="33"/>
        <v>1.62</v>
      </c>
      <c r="Z112" s="123">
        <f t="shared" si="33"/>
        <v>1.62</v>
      </c>
      <c r="AA112" s="123">
        <f t="shared" si="33"/>
        <v>1.62</v>
      </c>
      <c r="AB112" s="123">
        <f t="shared" si="33"/>
        <v>1.62</v>
      </c>
      <c r="AC112" s="123">
        <f t="shared" si="33"/>
        <v>1.62</v>
      </c>
      <c r="AD112" s="123">
        <f t="shared" si="33"/>
        <v>1.62</v>
      </c>
      <c r="AE112" s="123">
        <f t="shared" si="33"/>
        <v>1.62</v>
      </c>
      <c r="AF112" s="123">
        <f t="shared" si="33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1"/>
        <v>8.36</v>
      </c>
      <c r="C113" s="124">
        <v>8.36</v>
      </c>
      <c r="D113" s="123">
        <f t="shared" si="32"/>
        <v>8.36</v>
      </c>
      <c r="E113" s="123">
        <f t="shared" si="32"/>
        <v>8.36</v>
      </c>
      <c r="F113" s="123">
        <f t="shared" si="32"/>
        <v>8.36</v>
      </c>
      <c r="G113" s="123">
        <f t="shared" si="32"/>
        <v>8.36</v>
      </c>
      <c r="H113" s="123">
        <f t="shared" si="32"/>
        <v>8.36</v>
      </c>
      <c r="I113" s="123">
        <f t="shared" si="32"/>
        <v>8.36</v>
      </c>
      <c r="J113" s="123">
        <f t="shared" si="32"/>
        <v>8.36</v>
      </c>
      <c r="K113" s="123">
        <f t="shared" si="32"/>
        <v>8.36</v>
      </c>
      <c r="L113" s="123">
        <f t="shared" si="32"/>
        <v>8.36</v>
      </c>
      <c r="M113" s="123">
        <f t="shared" si="32"/>
        <v>8.36</v>
      </c>
      <c r="N113" s="123">
        <f t="shared" si="32"/>
        <v>8.36</v>
      </c>
      <c r="O113" s="123">
        <f t="shared" si="32"/>
        <v>8.36</v>
      </c>
      <c r="P113" s="123">
        <f t="shared" si="32"/>
        <v>8.36</v>
      </c>
      <c r="Q113" s="123">
        <f t="shared" si="32"/>
        <v>8.36</v>
      </c>
      <c r="R113" s="123">
        <f t="shared" si="32"/>
        <v>8.36</v>
      </c>
      <c r="S113" s="123">
        <f t="shared" si="32"/>
        <v>8.36</v>
      </c>
      <c r="T113" s="123">
        <f t="shared" si="33"/>
        <v>8.36</v>
      </c>
      <c r="U113" s="123">
        <f t="shared" si="33"/>
        <v>8.36</v>
      </c>
      <c r="V113" s="123">
        <f t="shared" si="33"/>
        <v>8.36</v>
      </c>
      <c r="W113" s="123">
        <f t="shared" si="33"/>
        <v>8.36</v>
      </c>
      <c r="X113" s="123">
        <f t="shared" si="33"/>
        <v>8.36</v>
      </c>
      <c r="Y113" s="123">
        <f t="shared" si="33"/>
        <v>8.36</v>
      </c>
      <c r="Z113" s="123">
        <f t="shared" si="33"/>
        <v>8.36</v>
      </c>
      <c r="AA113" s="123">
        <f t="shared" si="33"/>
        <v>8.36</v>
      </c>
      <c r="AB113" s="123">
        <f t="shared" si="33"/>
        <v>8.36</v>
      </c>
      <c r="AC113" s="123">
        <f t="shared" si="33"/>
        <v>8.36</v>
      </c>
      <c r="AD113" s="123">
        <f t="shared" si="33"/>
        <v>8.36</v>
      </c>
      <c r="AE113" s="123">
        <f t="shared" si="33"/>
        <v>8.36</v>
      </c>
      <c r="AF113" s="123">
        <f t="shared" si="33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1"/>
        <v>5.4</v>
      </c>
      <c r="C114" s="124">
        <v>8</v>
      </c>
      <c r="D114" s="123">
        <f t="shared" si="32"/>
        <v>8</v>
      </c>
      <c r="E114" s="123">
        <f t="shared" si="32"/>
        <v>8</v>
      </c>
      <c r="F114" s="123">
        <f t="shared" si="32"/>
        <v>8</v>
      </c>
      <c r="G114" s="123">
        <f t="shared" si="32"/>
        <v>8</v>
      </c>
      <c r="H114" s="123">
        <f t="shared" si="32"/>
        <v>8</v>
      </c>
      <c r="I114" s="123">
        <f t="shared" si="32"/>
        <v>8</v>
      </c>
      <c r="J114" s="123">
        <v>5.4</v>
      </c>
      <c r="K114" s="123">
        <f t="shared" si="32"/>
        <v>5.4</v>
      </c>
      <c r="L114" s="123">
        <f t="shared" si="32"/>
        <v>5.4</v>
      </c>
      <c r="M114" s="123">
        <f t="shared" si="32"/>
        <v>5.4</v>
      </c>
      <c r="N114" s="123">
        <f t="shared" si="32"/>
        <v>5.4</v>
      </c>
      <c r="O114" s="123">
        <f t="shared" si="32"/>
        <v>5.4</v>
      </c>
      <c r="P114" s="123">
        <f t="shared" si="32"/>
        <v>5.4</v>
      </c>
      <c r="Q114" s="123">
        <f t="shared" si="32"/>
        <v>5.4</v>
      </c>
      <c r="R114" s="123">
        <f t="shared" si="32"/>
        <v>5.4</v>
      </c>
      <c r="S114" s="123">
        <f t="shared" si="32"/>
        <v>5.4</v>
      </c>
      <c r="T114" s="123">
        <f t="shared" si="33"/>
        <v>5.4</v>
      </c>
      <c r="U114" s="123">
        <f t="shared" si="33"/>
        <v>5.4</v>
      </c>
      <c r="V114" s="123">
        <f t="shared" si="33"/>
        <v>5.4</v>
      </c>
      <c r="W114" s="123">
        <f t="shared" si="33"/>
        <v>5.4</v>
      </c>
      <c r="X114" s="123">
        <f t="shared" si="33"/>
        <v>5.4</v>
      </c>
      <c r="Y114" s="123">
        <f t="shared" si="33"/>
        <v>5.4</v>
      </c>
      <c r="Z114" s="123">
        <f t="shared" si="33"/>
        <v>5.4</v>
      </c>
      <c r="AA114" s="123">
        <f t="shared" si="33"/>
        <v>5.4</v>
      </c>
      <c r="AB114" s="123">
        <f t="shared" si="33"/>
        <v>5.4</v>
      </c>
      <c r="AC114" s="123">
        <f t="shared" si="33"/>
        <v>5.4</v>
      </c>
      <c r="AD114" s="123">
        <f t="shared" si="33"/>
        <v>5.4</v>
      </c>
      <c r="AE114" s="123">
        <f t="shared" si="33"/>
        <v>5.4</v>
      </c>
      <c r="AF114" s="123">
        <f t="shared" si="33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1"/>
        <v>6.57</v>
      </c>
      <c r="C115" s="124">
        <v>6.57</v>
      </c>
      <c r="D115" s="123">
        <f t="shared" si="32"/>
        <v>6.57</v>
      </c>
      <c r="E115" s="123">
        <f t="shared" si="32"/>
        <v>6.57</v>
      </c>
      <c r="F115" s="123">
        <f t="shared" si="32"/>
        <v>6.57</v>
      </c>
      <c r="G115" s="123">
        <f t="shared" si="32"/>
        <v>6.57</v>
      </c>
      <c r="H115" s="123">
        <f t="shared" si="32"/>
        <v>6.57</v>
      </c>
      <c r="I115" s="123">
        <f t="shared" si="32"/>
        <v>6.57</v>
      </c>
      <c r="J115" s="123">
        <f t="shared" si="32"/>
        <v>6.57</v>
      </c>
      <c r="K115" s="123">
        <f t="shared" si="32"/>
        <v>6.57</v>
      </c>
      <c r="L115" s="123">
        <f t="shared" si="32"/>
        <v>6.57</v>
      </c>
      <c r="M115" s="123">
        <f t="shared" si="32"/>
        <v>6.57</v>
      </c>
      <c r="N115" s="123">
        <f t="shared" si="32"/>
        <v>6.57</v>
      </c>
      <c r="O115" s="123">
        <f t="shared" si="32"/>
        <v>6.57</v>
      </c>
      <c r="P115" s="123">
        <f t="shared" si="32"/>
        <v>6.57</v>
      </c>
      <c r="Q115" s="123">
        <f t="shared" si="32"/>
        <v>6.57</v>
      </c>
      <c r="R115" s="123">
        <f t="shared" si="32"/>
        <v>6.57</v>
      </c>
      <c r="S115" s="123">
        <f t="shared" si="32"/>
        <v>6.57</v>
      </c>
      <c r="T115" s="123">
        <f t="shared" si="33"/>
        <v>6.57</v>
      </c>
      <c r="U115" s="123">
        <f t="shared" si="33"/>
        <v>6.57</v>
      </c>
      <c r="V115" s="123">
        <f t="shared" si="33"/>
        <v>6.57</v>
      </c>
      <c r="W115" s="123">
        <f t="shared" si="33"/>
        <v>6.57</v>
      </c>
      <c r="X115" s="123">
        <f t="shared" si="33"/>
        <v>6.57</v>
      </c>
      <c r="Y115" s="123">
        <f t="shared" si="33"/>
        <v>6.57</v>
      </c>
      <c r="Z115" s="123">
        <f t="shared" si="33"/>
        <v>6.57</v>
      </c>
      <c r="AA115" s="123">
        <f t="shared" si="33"/>
        <v>6.57</v>
      </c>
      <c r="AB115" s="123">
        <f t="shared" si="33"/>
        <v>6.57</v>
      </c>
      <c r="AC115" s="123">
        <f t="shared" si="33"/>
        <v>6.57</v>
      </c>
      <c r="AD115" s="123">
        <f t="shared" si="33"/>
        <v>6.57</v>
      </c>
      <c r="AE115" s="123">
        <f t="shared" si="33"/>
        <v>6.57</v>
      </c>
      <c r="AF115" s="123">
        <f t="shared" si="33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1"/>
        <v>3.43</v>
      </c>
      <c r="C116" s="124">
        <v>3.43</v>
      </c>
      <c r="D116" s="123">
        <f t="shared" si="32"/>
        <v>3.43</v>
      </c>
      <c r="E116" s="123">
        <f t="shared" si="32"/>
        <v>3.43</v>
      </c>
      <c r="F116" s="123">
        <f t="shared" si="32"/>
        <v>3.43</v>
      </c>
      <c r="G116" s="123">
        <f t="shared" si="32"/>
        <v>3.43</v>
      </c>
      <c r="H116" s="123">
        <f t="shared" si="32"/>
        <v>3.43</v>
      </c>
      <c r="I116" s="123">
        <f t="shared" si="32"/>
        <v>3.43</v>
      </c>
      <c r="J116" s="123">
        <f t="shared" si="32"/>
        <v>3.43</v>
      </c>
      <c r="K116" s="123">
        <f t="shared" si="32"/>
        <v>3.43</v>
      </c>
      <c r="L116" s="123">
        <f t="shared" si="32"/>
        <v>3.43</v>
      </c>
      <c r="M116" s="123">
        <f t="shared" si="32"/>
        <v>3.43</v>
      </c>
      <c r="N116" s="123">
        <f t="shared" si="32"/>
        <v>3.43</v>
      </c>
      <c r="O116" s="123">
        <f t="shared" si="32"/>
        <v>3.43</v>
      </c>
      <c r="P116" s="123">
        <f t="shared" si="32"/>
        <v>3.43</v>
      </c>
      <c r="Q116" s="123">
        <f t="shared" si="32"/>
        <v>3.43</v>
      </c>
      <c r="R116" s="123">
        <f t="shared" si="32"/>
        <v>3.43</v>
      </c>
      <c r="S116" s="123">
        <f t="shared" si="32"/>
        <v>3.43</v>
      </c>
      <c r="T116" s="123">
        <f t="shared" si="33"/>
        <v>3.43</v>
      </c>
      <c r="U116" s="123">
        <f t="shared" si="33"/>
        <v>3.43</v>
      </c>
      <c r="V116" s="123">
        <f t="shared" si="33"/>
        <v>3.43</v>
      </c>
      <c r="W116" s="123">
        <f t="shared" si="33"/>
        <v>3.43</v>
      </c>
      <c r="X116" s="123">
        <f t="shared" si="33"/>
        <v>3.43</v>
      </c>
      <c r="Y116" s="123">
        <f t="shared" si="33"/>
        <v>3.43</v>
      </c>
      <c r="Z116" s="123">
        <f t="shared" si="33"/>
        <v>3.43</v>
      </c>
      <c r="AA116" s="123">
        <f t="shared" si="33"/>
        <v>3.43</v>
      </c>
      <c r="AB116" s="123">
        <f t="shared" si="33"/>
        <v>3.43</v>
      </c>
      <c r="AC116" s="123">
        <f t="shared" si="33"/>
        <v>3.43</v>
      </c>
      <c r="AD116" s="123">
        <f t="shared" si="33"/>
        <v>3.43</v>
      </c>
      <c r="AE116" s="123">
        <f t="shared" si="33"/>
        <v>3.43</v>
      </c>
      <c r="AF116" s="123">
        <f t="shared" si="33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1"/>
        <v>2.96</v>
      </c>
      <c r="C117" s="124">
        <v>2.96</v>
      </c>
      <c r="D117" s="123">
        <f t="shared" si="32"/>
        <v>2.96</v>
      </c>
      <c r="E117" s="123">
        <f t="shared" si="32"/>
        <v>2.96</v>
      </c>
      <c r="F117" s="123">
        <f t="shared" si="32"/>
        <v>2.96</v>
      </c>
      <c r="G117" s="123">
        <f t="shared" si="32"/>
        <v>2.96</v>
      </c>
      <c r="H117" s="123">
        <f t="shared" si="32"/>
        <v>2.96</v>
      </c>
      <c r="I117" s="123">
        <f t="shared" si="32"/>
        <v>2.96</v>
      </c>
      <c r="J117" s="123">
        <f t="shared" si="32"/>
        <v>2.96</v>
      </c>
      <c r="K117" s="123">
        <f t="shared" si="32"/>
        <v>2.96</v>
      </c>
      <c r="L117" s="123">
        <f t="shared" si="32"/>
        <v>2.96</v>
      </c>
      <c r="M117" s="123">
        <f t="shared" si="32"/>
        <v>2.96</v>
      </c>
      <c r="N117" s="123">
        <f t="shared" si="32"/>
        <v>2.96</v>
      </c>
      <c r="O117" s="123">
        <f t="shared" si="32"/>
        <v>2.96</v>
      </c>
      <c r="P117" s="123">
        <f t="shared" si="32"/>
        <v>2.96</v>
      </c>
      <c r="Q117" s="123">
        <f t="shared" si="32"/>
        <v>2.96</v>
      </c>
      <c r="R117" s="123">
        <f t="shared" si="32"/>
        <v>2.96</v>
      </c>
      <c r="S117" s="123">
        <f t="shared" si="32"/>
        <v>2.96</v>
      </c>
      <c r="T117" s="123">
        <f t="shared" si="33"/>
        <v>2.96</v>
      </c>
      <c r="U117" s="123">
        <f t="shared" si="33"/>
        <v>2.96</v>
      </c>
      <c r="V117" s="123">
        <f t="shared" si="33"/>
        <v>2.96</v>
      </c>
      <c r="W117" s="123">
        <f t="shared" si="33"/>
        <v>2.96</v>
      </c>
      <c r="X117" s="123">
        <f t="shared" si="33"/>
        <v>2.96</v>
      </c>
      <c r="Y117" s="123">
        <f t="shared" si="33"/>
        <v>2.96</v>
      </c>
      <c r="Z117" s="123">
        <f t="shared" si="33"/>
        <v>2.96</v>
      </c>
      <c r="AA117" s="123">
        <f t="shared" si="33"/>
        <v>2.96</v>
      </c>
      <c r="AB117" s="123">
        <f t="shared" si="33"/>
        <v>2.96</v>
      </c>
      <c r="AC117" s="123">
        <f t="shared" si="33"/>
        <v>2.96</v>
      </c>
      <c r="AD117" s="123">
        <f t="shared" si="33"/>
        <v>2.96</v>
      </c>
      <c r="AE117" s="123">
        <f t="shared" si="33"/>
        <v>2.96</v>
      </c>
      <c r="AF117" s="123">
        <f t="shared" si="33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1"/>
        <v>8</v>
      </c>
      <c r="C118" s="124">
        <v>8</v>
      </c>
      <c r="D118" s="123">
        <f t="shared" si="32"/>
        <v>8</v>
      </c>
      <c r="E118" s="123">
        <f t="shared" si="32"/>
        <v>8</v>
      </c>
      <c r="F118" s="123">
        <f t="shared" si="32"/>
        <v>8</v>
      </c>
      <c r="G118" s="123">
        <f t="shared" si="32"/>
        <v>8</v>
      </c>
      <c r="H118" s="123">
        <f t="shared" si="32"/>
        <v>8</v>
      </c>
      <c r="I118" s="123">
        <f t="shared" si="32"/>
        <v>8</v>
      </c>
      <c r="J118" s="123">
        <f t="shared" si="32"/>
        <v>8</v>
      </c>
      <c r="K118" s="123">
        <f t="shared" si="32"/>
        <v>8</v>
      </c>
      <c r="L118" s="123">
        <f t="shared" si="32"/>
        <v>8</v>
      </c>
      <c r="M118" s="123">
        <f t="shared" si="32"/>
        <v>8</v>
      </c>
      <c r="N118" s="123">
        <f t="shared" si="32"/>
        <v>8</v>
      </c>
      <c r="O118" s="123">
        <f t="shared" si="32"/>
        <v>8</v>
      </c>
      <c r="P118" s="123">
        <f t="shared" si="32"/>
        <v>8</v>
      </c>
      <c r="Q118" s="123">
        <f t="shared" si="32"/>
        <v>8</v>
      </c>
      <c r="R118" s="123">
        <f t="shared" si="32"/>
        <v>8</v>
      </c>
      <c r="S118" s="123">
        <f t="shared" si="32"/>
        <v>8</v>
      </c>
      <c r="T118" s="123">
        <f t="shared" si="33"/>
        <v>8</v>
      </c>
      <c r="U118" s="123">
        <f t="shared" si="33"/>
        <v>8</v>
      </c>
      <c r="V118" s="123">
        <f t="shared" si="33"/>
        <v>8</v>
      </c>
      <c r="W118" s="123">
        <f t="shared" si="33"/>
        <v>8</v>
      </c>
      <c r="X118" s="123">
        <f t="shared" si="33"/>
        <v>8</v>
      </c>
      <c r="Y118" s="123">
        <f t="shared" si="33"/>
        <v>8</v>
      </c>
      <c r="Z118" s="123">
        <f t="shared" si="33"/>
        <v>8</v>
      </c>
      <c r="AA118" s="123">
        <f t="shared" si="33"/>
        <v>8</v>
      </c>
      <c r="AB118" s="123">
        <f t="shared" si="33"/>
        <v>8</v>
      </c>
      <c r="AC118" s="123">
        <f t="shared" si="33"/>
        <v>8</v>
      </c>
      <c r="AD118" s="123">
        <f t="shared" si="33"/>
        <v>8</v>
      </c>
      <c r="AE118" s="123">
        <f t="shared" si="33"/>
        <v>8</v>
      </c>
      <c r="AF118" s="123">
        <f t="shared" si="33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1"/>
        <v>7</v>
      </c>
      <c r="C119" s="124">
        <v>7</v>
      </c>
      <c r="D119" s="123">
        <f>C119</f>
        <v>7</v>
      </c>
      <c r="E119" s="123">
        <f t="shared" si="32"/>
        <v>7</v>
      </c>
      <c r="F119" s="123">
        <f t="shared" si="32"/>
        <v>7</v>
      </c>
      <c r="G119" s="123">
        <f t="shared" si="32"/>
        <v>7</v>
      </c>
      <c r="H119" s="123">
        <f t="shared" si="32"/>
        <v>7</v>
      </c>
      <c r="I119" s="123">
        <f t="shared" si="32"/>
        <v>7</v>
      </c>
      <c r="J119" s="123">
        <f t="shared" si="32"/>
        <v>7</v>
      </c>
      <c r="K119" s="123">
        <f t="shared" si="32"/>
        <v>7</v>
      </c>
      <c r="L119" s="123">
        <f t="shared" si="32"/>
        <v>7</v>
      </c>
      <c r="M119" s="123">
        <f t="shared" si="32"/>
        <v>7</v>
      </c>
      <c r="N119" s="123">
        <f t="shared" si="32"/>
        <v>7</v>
      </c>
      <c r="O119" s="123">
        <f t="shared" si="32"/>
        <v>7</v>
      </c>
      <c r="P119" s="123">
        <f t="shared" si="32"/>
        <v>7</v>
      </c>
      <c r="Q119" s="123">
        <f t="shared" si="32"/>
        <v>7</v>
      </c>
      <c r="R119" s="123">
        <f t="shared" si="32"/>
        <v>7</v>
      </c>
      <c r="S119" s="123">
        <f t="shared" si="32"/>
        <v>7</v>
      </c>
      <c r="T119" s="123">
        <f t="shared" si="33"/>
        <v>7</v>
      </c>
      <c r="U119" s="123">
        <f t="shared" si="33"/>
        <v>7</v>
      </c>
      <c r="V119" s="123">
        <f t="shared" si="33"/>
        <v>7</v>
      </c>
      <c r="W119" s="123">
        <f t="shared" si="33"/>
        <v>7</v>
      </c>
      <c r="X119" s="123">
        <f t="shared" si="33"/>
        <v>7</v>
      </c>
      <c r="Y119" s="123">
        <f t="shared" si="33"/>
        <v>7</v>
      </c>
      <c r="Z119" s="123">
        <f t="shared" si="33"/>
        <v>7</v>
      </c>
      <c r="AA119" s="123">
        <f t="shared" si="33"/>
        <v>7</v>
      </c>
      <c r="AB119" s="123">
        <f t="shared" si="33"/>
        <v>7</v>
      </c>
      <c r="AC119" s="123">
        <f t="shared" si="33"/>
        <v>7</v>
      </c>
      <c r="AD119" s="123">
        <f t="shared" si="33"/>
        <v>7</v>
      </c>
      <c r="AE119" s="123">
        <f t="shared" si="33"/>
        <v>7</v>
      </c>
      <c r="AF119" s="123">
        <f t="shared" si="33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1"/>
        <v>3.47</v>
      </c>
      <c r="C120" s="124">
        <v>3.47</v>
      </c>
      <c r="D120" s="123">
        <f t="shared" ref="D120:S129" si="34">C120</f>
        <v>3.47</v>
      </c>
      <c r="E120" s="123">
        <f t="shared" si="34"/>
        <v>3.47</v>
      </c>
      <c r="F120" s="123">
        <f t="shared" si="34"/>
        <v>3.47</v>
      </c>
      <c r="G120" s="123">
        <f t="shared" si="34"/>
        <v>3.47</v>
      </c>
      <c r="H120" s="123">
        <f t="shared" si="34"/>
        <v>3.47</v>
      </c>
      <c r="I120" s="123">
        <f t="shared" si="34"/>
        <v>3.47</v>
      </c>
      <c r="J120" s="123">
        <f t="shared" si="34"/>
        <v>3.47</v>
      </c>
      <c r="K120" s="123">
        <f t="shared" si="34"/>
        <v>3.47</v>
      </c>
      <c r="L120" s="123">
        <f t="shared" si="34"/>
        <v>3.47</v>
      </c>
      <c r="M120" s="123">
        <f t="shared" si="34"/>
        <v>3.47</v>
      </c>
      <c r="N120" s="123">
        <f t="shared" si="34"/>
        <v>3.47</v>
      </c>
      <c r="O120" s="123">
        <f t="shared" si="34"/>
        <v>3.47</v>
      </c>
      <c r="P120" s="123">
        <f t="shared" si="34"/>
        <v>3.47</v>
      </c>
      <c r="Q120" s="123">
        <f t="shared" si="34"/>
        <v>3.47</v>
      </c>
      <c r="R120" s="123">
        <f t="shared" si="34"/>
        <v>3.47</v>
      </c>
      <c r="S120" s="123">
        <f t="shared" si="34"/>
        <v>3.47</v>
      </c>
      <c r="T120" s="123">
        <f t="shared" si="33"/>
        <v>3.47</v>
      </c>
      <c r="U120" s="123">
        <f t="shared" si="33"/>
        <v>3.47</v>
      </c>
      <c r="V120" s="123">
        <f t="shared" si="33"/>
        <v>3.47</v>
      </c>
      <c r="W120" s="123">
        <f t="shared" si="33"/>
        <v>3.47</v>
      </c>
      <c r="X120" s="123">
        <f t="shared" si="33"/>
        <v>3.47</v>
      </c>
      <c r="Y120" s="123">
        <f t="shared" si="33"/>
        <v>3.47</v>
      </c>
      <c r="Z120" s="123">
        <f t="shared" si="33"/>
        <v>3.47</v>
      </c>
      <c r="AA120" s="123">
        <f t="shared" si="33"/>
        <v>3.47</v>
      </c>
      <c r="AB120" s="123">
        <f t="shared" si="33"/>
        <v>3.47</v>
      </c>
      <c r="AC120" s="123">
        <f t="shared" si="33"/>
        <v>3.47</v>
      </c>
      <c r="AD120" s="123">
        <f t="shared" si="33"/>
        <v>3.47</v>
      </c>
      <c r="AE120" s="123">
        <f t="shared" si="33"/>
        <v>3.47</v>
      </c>
      <c r="AF120" s="123">
        <f t="shared" si="33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1"/>
        <v>2.1</v>
      </c>
      <c r="C121" s="124">
        <v>2.1</v>
      </c>
      <c r="D121" s="123">
        <f t="shared" si="34"/>
        <v>2.1</v>
      </c>
      <c r="E121" s="123">
        <f t="shared" si="34"/>
        <v>2.1</v>
      </c>
      <c r="F121" s="123">
        <f t="shared" si="34"/>
        <v>2.1</v>
      </c>
      <c r="G121" s="123">
        <f t="shared" si="34"/>
        <v>2.1</v>
      </c>
      <c r="H121" s="123">
        <f t="shared" si="34"/>
        <v>2.1</v>
      </c>
      <c r="I121" s="123">
        <f t="shared" si="34"/>
        <v>2.1</v>
      </c>
      <c r="J121" s="123">
        <f t="shared" si="34"/>
        <v>2.1</v>
      </c>
      <c r="K121" s="123">
        <f t="shared" si="34"/>
        <v>2.1</v>
      </c>
      <c r="L121" s="123">
        <f t="shared" si="34"/>
        <v>2.1</v>
      </c>
      <c r="M121" s="123">
        <f t="shared" si="34"/>
        <v>2.1</v>
      </c>
      <c r="N121" s="123">
        <f t="shared" si="34"/>
        <v>2.1</v>
      </c>
      <c r="O121" s="123">
        <f t="shared" si="34"/>
        <v>2.1</v>
      </c>
      <c r="P121" s="123">
        <f t="shared" si="34"/>
        <v>2.1</v>
      </c>
      <c r="Q121" s="123">
        <f t="shared" si="34"/>
        <v>2.1</v>
      </c>
      <c r="R121" s="123">
        <f t="shared" si="34"/>
        <v>2.1</v>
      </c>
      <c r="S121" s="123">
        <f t="shared" si="34"/>
        <v>2.1</v>
      </c>
      <c r="T121" s="123">
        <f t="shared" si="33"/>
        <v>2.1</v>
      </c>
      <c r="U121" s="123">
        <f t="shared" si="33"/>
        <v>2.1</v>
      </c>
      <c r="V121" s="123">
        <f t="shared" si="33"/>
        <v>2.1</v>
      </c>
      <c r="W121" s="123">
        <f t="shared" si="33"/>
        <v>2.1</v>
      </c>
      <c r="X121" s="123">
        <f t="shared" si="33"/>
        <v>2.1</v>
      </c>
      <c r="Y121" s="123">
        <f t="shared" si="33"/>
        <v>2.1</v>
      </c>
      <c r="Z121" s="123">
        <f t="shared" si="33"/>
        <v>2.1</v>
      </c>
      <c r="AA121" s="123">
        <f t="shared" si="33"/>
        <v>2.1</v>
      </c>
      <c r="AB121" s="123">
        <f t="shared" si="33"/>
        <v>2.1</v>
      </c>
      <c r="AC121" s="123">
        <f t="shared" si="33"/>
        <v>2.1</v>
      </c>
      <c r="AD121" s="123">
        <f t="shared" si="33"/>
        <v>2.1</v>
      </c>
      <c r="AE121" s="123">
        <f t="shared" si="33"/>
        <v>2.1</v>
      </c>
      <c r="AF121" s="123">
        <f t="shared" si="33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1"/>
        <v>9.3000000000000007</v>
      </c>
      <c r="C122" s="124">
        <v>9.3000000000000007</v>
      </c>
      <c r="D122" s="123">
        <f t="shared" si="34"/>
        <v>9.3000000000000007</v>
      </c>
      <c r="E122" s="123">
        <f t="shared" si="34"/>
        <v>9.3000000000000007</v>
      </c>
      <c r="F122" s="123">
        <f t="shared" si="34"/>
        <v>9.3000000000000007</v>
      </c>
      <c r="G122" s="123">
        <f t="shared" si="34"/>
        <v>9.3000000000000007</v>
      </c>
      <c r="H122" s="123">
        <f t="shared" si="34"/>
        <v>9.3000000000000007</v>
      </c>
      <c r="I122" s="123">
        <f t="shared" si="34"/>
        <v>9.3000000000000007</v>
      </c>
      <c r="J122" s="123">
        <f t="shared" si="34"/>
        <v>9.3000000000000007</v>
      </c>
      <c r="K122" s="123">
        <f t="shared" si="34"/>
        <v>9.3000000000000007</v>
      </c>
      <c r="L122" s="123">
        <f t="shared" si="34"/>
        <v>9.3000000000000007</v>
      </c>
      <c r="M122" s="123">
        <f t="shared" si="34"/>
        <v>9.3000000000000007</v>
      </c>
      <c r="N122" s="123">
        <f t="shared" si="34"/>
        <v>9.3000000000000007</v>
      </c>
      <c r="O122" s="123">
        <f t="shared" si="34"/>
        <v>9.3000000000000007</v>
      </c>
      <c r="P122" s="123">
        <f t="shared" si="34"/>
        <v>9.3000000000000007</v>
      </c>
      <c r="Q122" s="123">
        <f t="shared" si="34"/>
        <v>9.3000000000000007</v>
      </c>
      <c r="R122" s="123">
        <f t="shared" si="34"/>
        <v>9.3000000000000007</v>
      </c>
      <c r="S122" s="123">
        <f t="shared" si="34"/>
        <v>9.3000000000000007</v>
      </c>
      <c r="T122" s="123">
        <f t="shared" si="33"/>
        <v>9.3000000000000007</v>
      </c>
      <c r="U122" s="123">
        <f t="shared" si="33"/>
        <v>9.3000000000000007</v>
      </c>
      <c r="V122" s="123">
        <f t="shared" si="33"/>
        <v>9.3000000000000007</v>
      </c>
      <c r="W122" s="123">
        <f t="shared" si="33"/>
        <v>9.3000000000000007</v>
      </c>
      <c r="X122" s="123">
        <f t="shared" si="33"/>
        <v>9.3000000000000007</v>
      </c>
      <c r="Y122" s="123">
        <f t="shared" si="33"/>
        <v>9.3000000000000007</v>
      </c>
      <c r="Z122" s="123">
        <f t="shared" si="33"/>
        <v>9.3000000000000007</v>
      </c>
      <c r="AA122" s="123">
        <f t="shared" si="33"/>
        <v>9.3000000000000007</v>
      </c>
      <c r="AB122" s="123">
        <f t="shared" si="33"/>
        <v>9.3000000000000007</v>
      </c>
      <c r="AC122" s="123">
        <f t="shared" si="33"/>
        <v>9.3000000000000007</v>
      </c>
      <c r="AD122" s="123">
        <f t="shared" si="33"/>
        <v>9.3000000000000007</v>
      </c>
      <c r="AE122" s="123">
        <f t="shared" si="33"/>
        <v>9.3000000000000007</v>
      </c>
      <c r="AF122" s="123">
        <f t="shared" si="33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1"/>
        <v>0</v>
      </c>
      <c r="C123" s="124">
        <v>0</v>
      </c>
      <c r="D123" s="123">
        <f t="shared" si="34"/>
        <v>0</v>
      </c>
      <c r="E123" s="123">
        <f t="shared" si="34"/>
        <v>0</v>
      </c>
      <c r="F123" s="123">
        <f t="shared" si="34"/>
        <v>0</v>
      </c>
      <c r="G123" s="123">
        <f t="shared" si="34"/>
        <v>0</v>
      </c>
      <c r="H123" s="123">
        <f t="shared" si="34"/>
        <v>0</v>
      </c>
      <c r="I123" s="123">
        <f t="shared" si="34"/>
        <v>0</v>
      </c>
      <c r="J123" s="123">
        <f t="shared" si="34"/>
        <v>0</v>
      </c>
      <c r="K123" s="123">
        <f t="shared" si="34"/>
        <v>0</v>
      </c>
      <c r="L123" s="123">
        <f t="shared" si="34"/>
        <v>0</v>
      </c>
      <c r="M123" s="123">
        <f t="shared" si="34"/>
        <v>0</v>
      </c>
      <c r="N123" s="123">
        <f t="shared" si="34"/>
        <v>0</v>
      </c>
      <c r="O123" s="123">
        <f t="shared" si="34"/>
        <v>0</v>
      </c>
      <c r="P123" s="123">
        <f t="shared" si="34"/>
        <v>0</v>
      </c>
      <c r="Q123" s="123">
        <f t="shared" si="34"/>
        <v>0</v>
      </c>
      <c r="R123" s="123">
        <f t="shared" si="34"/>
        <v>0</v>
      </c>
      <c r="S123" s="123">
        <f t="shared" si="34"/>
        <v>0</v>
      </c>
      <c r="T123" s="123">
        <f t="shared" si="33"/>
        <v>0</v>
      </c>
      <c r="U123" s="123">
        <f t="shared" si="33"/>
        <v>0</v>
      </c>
      <c r="V123" s="123">
        <f t="shared" si="33"/>
        <v>0</v>
      </c>
      <c r="W123" s="123">
        <f t="shared" si="33"/>
        <v>0</v>
      </c>
      <c r="X123" s="123">
        <f t="shared" si="33"/>
        <v>0</v>
      </c>
      <c r="Y123" s="123">
        <f t="shared" si="33"/>
        <v>0</v>
      </c>
      <c r="Z123" s="123">
        <f t="shared" si="33"/>
        <v>0</v>
      </c>
      <c r="AA123" s="123">
        <f t="shared" si="33"/>
        <v>0</v>
      </c>
      <c r="AB123" s="123">
        <f t="shared" si="33"/>
        <v>0</v>
      </c>
      <c r="AC123" s="123">
        <f t="shared" si="33"/>
        <v>0</v>
      </c>
      <c r="AD123" s="123">
        <f t="shared" si="33"/>
        <v>0</v>
      </c>
      <c r="AE123" s="123">
        <f t="shared" si="33"/>
        <v>0</v>
      </c>
      <c r="AF123" s="123">
        <f t="shared" si="33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1"/>
        <v>;/</v>
      </c>
      <c r="C125" s="124">
        <v>5</v>
      </c>
      <c r="D125" s="123">
        <f t="shared" si="34"/>
        <v>5</v>
      </c>
      <c r="E125" s="123">
        <f t="shared" si="34"/>
        <v>5</v>
      </c>
      <c r="F125" s="123">
        <f t="shared" si="34"/>
        <v>5</v>
      </c>
      <c r="G125" s="123">
        <f t="shared" si="34"/>
        <v>5</v>
      </c>
      <c r="H125" s="123">
        <f t="shared" si="34"/>
        <v>5</v>
      </c>
      <c r="I125" s="123" t="s">
        <v>130</v>
      </c>
      <c r="J125" s="123" t="str">
        <f t="shared" si="34"/>
        <v>;/</v>
      </c>
      <c r="K125" s="123" t="str">
        <f t="shared" si="34"/>
        <v>;/</v>
      </c>
      <c r="L125" s="123" t="str">
        <f t="shared" si="34"/>
        <v>;/</v>
      </c>
      <c r="M125" s="123" t="str">
        <f t="shared" si="34"/>
        <v>;/</v>
      </c>
      <c r="N125" s="123" t="str">
        <f t="shared" si="34"/>
        <v>;/</v>
      </c>
      <c r="O125" s="123" t="str">
        <f t="shared" si="34"/>
        <v>;/</v>
      </c>
      <c r="P125" s="123" t="str">
        <f t="shared" si="34"/>
        <v>;/</v>
      </c>
      <c r="Q125" s="123" t="str">
        <f t="shared" si="34"/>
        <v>;/</v>
      </c>
      <c r="R125" s="123" t="str">
        <f t="shared" si="34"/>
        <v>;/</v>
      </c>
      <c r="S125" s="123" t="str">
        <f t="shared" si="34"/>
        <v>;/</v>
      </c>
      <c r="T125" s="123" t="str">
        <f t="shared" si="33"/>
        <v>;/</v>
      </c>
      <c r="U125" s="123" t="str">
        <f t="shared" si="33"/>
        <v>;/</v>
      </c>
      <c r="V125" s="123" t="str">
        <f t="shared" si="33"/>
        <v>;/</v>
      </c>
      <c r="W125" s="123" t="str">
        <f t="shared" si="33"/>
        <v>;/</v>
      </c>
      <c r="X125" s="123" t="str">
        <f t="shared" si="33"/>
        <v>;/</v>
      </c>
      <c r="Y125" s="123" t="str">
        <f t="shared" si="33"/>
        <v>;/</v>
      </c>
      <c r="Z125" s="123" t="str">
        <f t="shared" si="33"/>
        <v>;/</v>
      </c>
      <c r="AA125" s="123" t="str">
        <f t="shared" si="33"/>
        <v>;/</v>
      </c>
      <c r="AB125" s="123" t="str">
        <f t="shared" si="33"/>
        <v>;/</v>
      </c>
      <c r="AC125" s="123" t="str">
        <f t="shared" si="33"/>
        <v>;/</v>
      </c>
      <c r="AD125" s="123" t="str">
        <f t="shared" si="33"/>
        <v>;/</v>
      </c>
      <c r="AE125" s="123" t="str">
        <f t="shared" si="33"/>
        <v>;/</v>
      </c>
      <c r="AF125" s="123" t="str">
        <f t="shared" si="33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1"/>
        <v>1</v>
      </c>
      <c r="C126" s="124">
        <v>1</v>
      </c>
      <c r="D126" s="123">
        <f t="shared" si="34"/>
        <v>1</v>
      </c>
      <c r="E126" s="123">
        <f t="shared" si="34"/>
        <v>1</v>
      </c>
      <c r="F126" s="123">
        <f t="shared" si="34"/>
        <v>1</v>
      </c>
      <c r="G126" s="123">
        <f t="shared" si="34"/>
        <v>1</v>
      </c>
      <c r="H126" s="123">
        <f t="shared" si="34"/>
        <v>1</v>
      </c>
      <c r="I126" s="123">
        <f t="shared" si="34"/>
        <v>1</v>
      </c>
      <c r="J126" s="123">
        <f t="shared" si="34"/>
        <v>1</v>
      </c>
      <c r="K126" s="123">
        <f t="shared" si="34"/>
        <v>1</v>
      </c>
      <c r="L126" s="123">
        <f t="shared" si="34"/>
        <v>1</v>
      </c>
      <c r="M126" s="123">
        <f t="shared" si="34"/>
        <v>1</v>
      </c>
      <c r="N126" s="123">
        <f t="shared" si="34"/>
        <v>1</v>
      </c>
      <c r="O126" s="123">
        <f t="shared" si="34"/>
        <v>1</v>
      </c>
      <c r="P126" s="123">
        <f t="shared" si="34"/>
        <v>1</v>
      </c>
      <c r="Q126" s="123">
        <f t="shared" si="34"/>
        <v>1</v>
      </c>
      <c r="R126" s="123">
        <f t="shared" si="34"/>
        <v>1</v>
      </c>
      <c r="S126" s="123">
        <f t="shared" si="34"/>
        <v>1</v>
      </c>
      <c r="T126" s="123">
        <f t="shared" si="33"/>
        <v>1</v>
      </c>
      <c r="U126" s="123">
        <f t="shared" si="33"/>
        <v>1</v>
      </c>
      <c r="V126" s="123">
        <f t="shared" si="33"/>
        <v>1</v>
      </c>
      <c r="W126" s="123">
        <f t="shared" si="33"/>
        <v>1</v>
      </c>
      <c r="X126" s="123">
        <f t="shared" si="33"/>
        <v>1</v>
      </c>
      <c r="Y126" s="123">
        <f t="shared" si="33"/>
        <v>1</v>
      </c>
      <c r="Z126" s="123">
        <f t="shared" si="33"/>
        <v>1</v>
      </c>
      <c r="AA126" s="123">
        <f t="shared" si="33"/>
        <v>1</v>
      </c>
      <c r="AB126" s="123">
        <f t="shared" si="33"/>
        <v>1</v>
      </c>
      <c r="AC126" s="123">
        <f t="shared" si="33"/>
        <v>1</v>
      </c>
      <c r="AD126" s="123">
        <f t="shared" si="33"/>
        <v>1</v>
      </c>
      <c r="AE126" s="123">
        <f t="shared" si="33"/>
        <v>1</v>
      </c>
      <c r="AF126" s="123">
        <f t="shared" si="33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1"/>
        <v>1.58</v>
      </c>
      <c r="C127" s="124">
        <v>1.58</v>
      </c>
      <c r="D127" s="123">
        <f t="shared" si="34"/>
        <v>1.58</v>
      </c>
      <c r="E127" s="123">
        <f t="shared" si="34"/>
        <v>1.58</v>
      </c>
      <c r="F127" s="123">
        <f t="shared" si="34"/>
        <v>1.58</v>
      </c>
      <c r="G127" s="123">
        <f t="shared" si="34"/>
        <v>1.58</v>
      </c>
      <c r="H127" s="123">
        <f t="shared" si="34"/>
        <v>1.58</v>
      </c>
      <c r="I127" s="123">
        <f t="shared" si="34"/>
        <v>1.58</v>
      </c>
      <c r="J127" s="123">
        <f t="shared" si="34"/>
        <v>1.58</v>
      </c>
      <c r="K127" s="123">
        <f t="shared" si="34"/>
        <v>1.58</v>
      </c>
      <c r="L127" s="123">
        <f t="shared" si="34"/>
        <v>1.58</v>
      </c>
      <c r="M127" s="123">
        <f t="shared" si="34"/>
        <v>1.58</v>
      </c>
      <c r="N127" s="123">
        <f t="shared" si="34"/>
        <v>1.58</v>
      </c>
      <c r="O127" s="123">
        <f t="shared" si="34"/>
        <v>1.58</v>
      </c>
      <c r="P127" s="123">
        <f t="shared" si="34"/>
        <v>1.58</v>
      </c>
      <c r="Q127" s="123">
        <f t="shared" si="34"/>
        <v>1.58</v>
      </c>
      <c r="R127" s="123">
        <f t="shared" si="34"/>
        <v>1.58</v>
      </c>
      <c r="S127" s="123">
        <f t="shared" si="34"/>
        <v>1.58</v>
      </c>
      <c r="T127" s="123">
        <f t="shared" si="33"/>
        <v>1.58</v>
      </c>
      <c r="U127" s="123">
        <f t="shared" si="33"/>
        <v>1.58</v>
      </c>
      <c r="V127" s="123">
        <f t="shared" si="33"/>
        <v>1.58</v>
      </c>
      <c r="W127" s="123">
        <f t="shared" si="33"/>
        <v>1.58</v>
      </c>
      <c r="X127" s="123">
        <f t="shared" si="33"/>
        <v>1.58</v>
      </c>
      <c r="Y127" s="123">
        <f t="shared" si="33"/>
        <v>1.58</v>
      </c>
      <c r="Z127" s="123">
        <f t="shared" si="33"/>
        <v>1.58</v>
      </c>
      <c r="AA127" s="123">
        <f t="shared" si="33"/>
        <v>1.58</v>
      </c>
      <c r="AB127" s="123">
        <f t="shared" si="33"/>
        <v>1.58</v>
      </c>
      <c r="AC127" s="123">
        <f t="shared" si="33"/>
        <v>1.58</v>
      </c>
      <c r="AD127" s="123">
        <f t="shared" si="33"/>
        <v>1.58</v>
      </c>
      <c r="AE127" s="123">
        <f t="shared" si="33"/>
        <v>1.58</v>
      </c>
      <c r="AF127" s="123">
        <f t="shared" si="33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1"/>
        <v>1.46</v>
      </c>
      <c r="C128" s="124">
        <v>1.46</v>
      </c>
      <c r="D128" s="123">
        <f t="shared" si="34"/>
        <v>1.46</v>
      </c>
      <c r="E128" s="123">
        <f t="shared" si="34"/>
        <v>1.46</v>
      </c>
      <c r="F128" s="123">
        <f t="shared" si="34"/>
        <v>1.46</v>
      </c>
      <c r="G128" s="123">
        <f t="shared" si="34"/>
        <v>1.46</v>
      </c>
      <c r="H128" s="123">
        <f t="shared" si="34"/>
        <v>1.46</v>
      </c>
      <c r="I128" s="123">
        <f t="shared" si="34"/>
        <v>1.46</v>
      </c>
      <c r="J128" s="123">
        <f t="shared" si="34"/>
        <v>1.46</v>
      </c>
      <c r="K128" s="123">
        <f t="shared" si="34"/>
        <v>1.46</v>
      </c>
      <c r="L128" s="123">
        <f t="shared" si="34"/>
        <v>1.46</v>
      </c>
      <c r="M128" s="123">
        <f t="shared" si="34"/>
        <v>1.46</v>
      </c>
      <c r="N128" s="123">
        <f t="shared" si="34"/>
        <v>1.46</v>
      </c>
      <c r="O128" s="123">
        <f t="shared" si="34"/>
        <v>1.46</v>
      </c>
      <c r="P128" s="123">
        <f t="shared" si="34"/>
        <v>1.46</v>
      </c>
      <c r="Q128" s="123">
        <f t="shared" si="34"/>
        <v>1.46</v>
      </c>
      <c r="R128" s="123">
        <f t="shared" si="34"/>
        <v>1.46</v>
      </c>
      <c r="S128" s="123">
        <f t="shared" si="34"/>
        <v>1.46</v>
      </c>
      <c r="T128" s="123">
        <f t="shared" ref="T128:AF129" si="35">S128</f>
        <v>1.46</v>
      </c>
      <c r="U128" s="123">
        <f t="shared" si="35"/>
        <v>1.46</v>
      </c>
      <c r="V128" s="123">
        <f t="shared" si="35"/>
        <v>1.46</v>
      </c>
      <c r="W128" s="123">
        <f t="shared" si="35"/>
        <v>1.46</v>
      </c>
      <c r="X128" s="123">
        <f t="shared" si="35"/>
        <v>1.46</v>
      </c>
      <c r="Y128" s="123">
        <f t="shared" si="35"/>
        <v>1.46</v>
      </c>
      <c r="Z128" s="123">
        <f t="shared" si="35"/>
        <v>1.46</v>
      </c>
      <c r="AA128" s="123">
        <f t="shared" si="35"/>
        <v>1.46</v>
      </c>
      <c r="AB128" s="123">
        <f t="shared" si="35"/>
        <v>1.46</v>
      </c>
      <c r="AC128" s="123">
        <f t="shared" si="35"/>
        <v>1.46</v>
      </c>
      <c r="AD128" s="123">
        <f t="shared" si="35"/>
        <v>1.46</v>
      </c>
      <c r="AE128" s="123">
        <f t="shared" si="35"/>
        <v>1.46</v>
      </c>
      <c r="AF128" s="123">
        <f t="shared" si="35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1"/>
        <v>1.48</v>
      </c>
      <c r="C129" s="124">
        <v>1.48</v>
      </c>
      <c r="D129" s="123">
        <f t="shared" si="34"/>
        <v>1.48</v>
      </c>
      <c r="E129" s="123">
        <f t="shared" si="34"/>
        <v>1.48</v>
      </c>
      <c r="F129" s="123">
        <f t="shared" si="34"/>
        <v>1.48</v>
      </c>
      <c r="G129" s="123">
        <f t="shared" si="34"/>
        <v>1.48</v>
      </c>
      <c r="H129" s="123">
        <f t="shared" si="34"/>
        <v>1.48</v>
      </c>
      <c r="I129" s="123">
        <f t="shared" si="34"/>
        <v>1.48</v>
      </c>
      <c r="J129" s="123">
        <f t="shared" si="34"/>
        <v>1.48</v>
      </c>
      <c r="K129" s="123">
        <f t="shared" si="34"/>
        <v>1.48</v>
      </c>
      <c r="L129" s="123">
        <f t="shared" si="34"/>
        <v>1.48</v>
      </c>
      <c r="M129" s="123">
        <f t="shared" si="34"/>
        <v>1.48</v>
      </c>
      <c r="N129" s="123">
        <f t="shared" si="34"/>
        <v>1.48</v>
      </c>
      <c r="O129" s="123">
        <f t="shared" si="34"/>
        <v>1.48</v>
      </c>
      <c r="P129" s="123">
        <f t="shared" si="34"/>
        <v>1.48</v>
      </c>
      <c r="Q129" s="123">
        <f t="shared" si="34"/>
        <v>1.48</v>
      </c>
      <c r="R129" s="123">
        <f t="shared" si="34"/>
        <v>1.48</v>
      </c>
      <c r="S129" s="123">
        <f t="shared" si="34"/>
        <v>1.48</v>
      </c>
      <c r="T129" s="123">
        <f t="shared" si="35"/>
        <v>1.48</v>
      </c>
      <c r="U129" s="123">
        <f t="shared" si="35"/>
        <v>1.48</v>
      </c>
      <c r="V129" s="123">
        <f t="shared" si="35"/>
        <v>1.48</v>
      </c>
      <c r="W129" s="123">
        <f t="shared" si="35"/>
        <v>1.48</v>
      </c>
      <c r="X129" s="123">
        <f t="shared" si="35"/>
        <v>1.48</v>
      </c>
      <c r="Y129" s="123">
        <f t="shared" si="35"/>
        <v>1.48</v>
      </c>
      <c r="Z129" s="123">
        <f t="shared" si="35"/>
        <v>1.48</v>
      </c>
      <c r="AA129" s="123">
        <f t="shared" si="35"/>
        <v>1.48</v>
      </c>
      <c r="AB129" s="123">
        <f t="shared" si="35"/>
        <v>1.48</v>
      </c>
      <c r="AC129" s="123">
        <f t="shared" si="35"/>
        <v>1.48</v>
      </c>
      <c r="AD129" s="123">
        <f t="shared" si="35"/>
        <v>1.48</v>
      </c>
      <c r="AE129" s="123">
        <f t="shared" si="35"/>
        <v>1.48</v>
      </c>
      <c r="AF129" s="123">
        <f t="shared" si="35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6">AF131</f>
        <v>2.2000000000000002</v>
      </c>
      <c r="C131" s="124">
        <v>2.2000000000000002</v>
      </c>
      <c r="D131" s="123">
        <f t="shared" ref="D131:S138" si="37">C131</f>
        <v>2.2000000000000002</v>
      </c>
      <c r="E131" s="123">
        <f t="shared" si="37"/>
        <v>2.2000000000000002</v>
      </c>
      <c r="F131" s="123">
        <f t="shared" si="37"/>
        <v>2.2000000000000002</v>
      </c>
      <c r="G131" s="123">
        <f t="shared" si="37"/>
        <v>2.2000000000000002</v>
      </c>
      <c r="H131" s="123">
        <f t="shared" si="37"/>
        <v>2.2000000000000002</v>
      </c>
      <c r="I131" s="123">
        <f t="shared" si="37"/>
        <v>2.2000000000000002</v>
      </c>
      <c r="J131" s="123">
        <f t="shared" si="37"/>
        <v>2.2000000000000002</v>
      </c>
      <c r="K131" s="123">
        <f t="shared" si="37"/>
        <v>2.2000000000000002</v>
      </c>
      <c r="L131" s="123">
        <f t="shared" si="37"/>
        <v>2.2000000000000002</v>
      </c>
      <c r="M131" s="123">
        <f t="shared" si="37"/>
        <v>2.2000000000000002</v>
      </c>
      <c r="N131" s="123">
        <f t="shared" si="37"/>
        <v>2.2000000000000002</v>
      </c>
      <c r="O131" s="123">
        <f t="shared" si="37"/>
        <v>2.2000000000000002</v>
      </c>
      <c r="P131" s="123">
        <f t="shared" si="37"/>
        <v>2.2000000000000002</v>
      </c>
      <c r="Q131" s="123">
        <f t="shared" si="37"/>
        <v>2.2000000000000002</v>
      </c>
      <c r="R131" s="123">
        <f t="shared" si="37"/>
        <v>2.2000000000000002</v>
      </c>
      <c r="S131" s="123">
        <f t="shared" si="37"/>
        <v>2.2000000000000002</v>
      </c>
      <c r="T131" s="123">
        <f t="shared" ref="T131:AF138" si="38">S131</f>
        <v>2.2000000000000002</v>
      </c>
      <c r="U131" s="123">
        <f t="shared" si="38"/>
        <v>2.2000000000000002</v>
      </c>
      <c r="V131" s="123">
        <f t="shared" si="38"/>
        <v>2.2000000000000002</v>
      </c>
      <c r="W131" s="123">
        <f t="shared" si="38"/>
        <v>2.2000000000000002</v>
      </c>
      <c r="X131" s="123">
        <f t="shared" si="38"/>
        <v>2.2000000000000002</v>
      </c>
      <c r="Y131" s="123">
        <f t="shared" si="38"/>
        <v>2.2000000000000002</v>
      </c>
      <c r="Z131" s="123">
        <f t="shared" si="38"/>
        <v>2.2000000000000002</v>
      </c>
      <c r="AA131" s="123">
        <f t="shared" si="38"/>
        <v>2.2000000000000002</v>
      </c>
      <c r="AB131" s="123">
        <f t="shared" si="38"/>
        <v>2.2000000000000002</v>
      </c>
      <c r="AC131" s="123">
        <f t="shared" si="38"/>
        <v>2.2000000000000002</v>
      </c>
      <c r="AD131" s="123">
        <f t="shared" si="38"/>
        <v>2.2000000000000002</v>
      </c>
      <c r="AE131" s="123">
        <f t="shared" si="38"/>
        <v>2.2000000000000002</v>
      </c>
      <c r="AF131" s="123">
        <f t="shared" si="38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6"/>
        <v>2</v>
      </c>
      <c r="C132" s="124">
        <v>2</v>
      </c>
      <c r="D132" s="123">
        <f t="shared" si="37"/>
        <v>2</v>
      </c>
      <c r="E132" s="123">
        <f t="shared" si="37"/>
        <v>2</v>
      </c>
      <c r="F132" s="123">
        <f t="shared" si="37"/>
        <v>2</v>
      </c>
      <c r="G132" s="123">
        <f t="shared" si="37"/>
        <v>2</v>
      </c>
      <c r="H132" s="123">
        <f t="shared" si="37"/>
        <v>2</v>
      </c>
      <c r="I132" s="123">
        <f t="shared" si="37"/>
        <v>2</v>
      </c>
      <c r="J132" s="123">
        <f t="shared" si="37"/>
        <v>2</v>
      </c>
      <c r="K132" s="123">
        <f t="shared" si="37"/>
        <v>2</v>
      </c>
      <c r="L132" s="123">
        <f t="shared" si="37"/>
        <v>2</v>
      </c>
      <c r="M132" s="123">
        <f t="shared" si="37"/>
        <v>2</v>
      </c>
      <c r="N132" s="123">
        <f t="shared" si="37"/>
        <v>2</v>
      </c>
      <c r="O132" s="123">
        <f t="shared" si="37"/>
        <v>2</v>
      </c>
      <c r="P132" s="123">
        <f t="shared" si="37"/>
        <v>2</v>
      </c>
      <c r="Q132" s="123">
        <f t="shared" si="37"/>
        <v>2</v>
      </c>
      <c r="R132" s="123">
        <f t="shared" si="37"/>
        <v>2</v>
      </c>
      <c r="S132" s="123">
        <f t="shared" si="37"/>
        <v>2</v>
      </c>
      <c r="T132" s="123">
        <f t="shared" si="38"/>
        <v>2</v>
      </c>
      <c r="U132" s="123">
        <f t="shared" si="38"/>
        <v>2</v>
      </c>
      <c r="V132" s="123">
        <f t="shared" si="38"/>
        <v>2</v>
      </c>
      <c r="W132" s="123">
        <f t="shared" si="38"/>
        <v>2</v>
      </c>
      <c r="X132" s="123">
        <f t="shared" si="38"/>
        <v>2</v>
      </c>
      <c r="Y132" s="123">
        <f t="shared" si="38"/>
        <v>2</v>
      </c>
      <c r="Z132" s="123">
        <f t="shared" si="38"/>
        <v>2</v>
      </c>
      <c r="AA132" s="123">
        <f t="shared" si="38"/>
        <v>2</v>
      </c>
      <c r="AB132" s="123">
        <f t="shared" si="38"/>
        <v>2</v>
      </c>
      <c r="AC132" s="123">
        <f t="shared" si="38"/>
        <v>2</v>
      </c>
      <c r="AD132" s="123">
        <f t="shared" si="38"/>
        <v>2</v>
      </c>
      <c r="AE132" s="123">
        <f t="shared" si="38"/>
        <v>2</v>
      </c>
      <c r="AF132" s="123">
        <f t="shared" si="38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6"/>
        <v>1.25</v>
      </c>
      <c r="C133" s="124">
        <v>1.25</v>
      </c>
      <c r="D133" s="123">
        <f t="shared" si="37"/>
        <v>1.25</v>
      </c>
      <c r="E133" s="123">
        <f t="shared" si="37"/>
        <v>1.25</v>
      </c>
      <c r="F133" s="123">
        <f t="shared" si="37"/>
        <v>1.25</v>
      </c>
      <c r="G133" s="123">
        <f t="shared" si="37"/>
        <v>1.25</v>
      </c>
      <c r="H133" s="123">
        <f t="shared" si="37"/>
        <v>1.25</v>
      </c>
      <c r="I133" s="123">
        <f t="shared" si="37"/>
        <v>1.25</v>
      </c>
      <c r="J133" s="123">
        <f t="shared" si="37"/>
        <v>1.25</v>
      </c>
      <c r="K133" s="123">
        <f t="shared" si="37"/>
        <v>1.25</v>
      </c>
      <c r="L133" s="123">
        <f t="shared" si="37"/>
        <v>1.25</v>
      </c>
      <c r="M133" s="123">
        <f t="shared" si="37"/>
        <v>1.25</v>
      </c>
      <c r="N133" s="123">
        <f t="shared" si="37"/>
        <v>1.25</v>
      </c>
      <c r="O133" s="123">
        <f t="shared" si="37"/>
        <v>1.25</v>
      </c>
      <c r="P133" s="123">
        <f t="shared" si="37"/>
        <v>1.25</v>
      </c>
      <c r="Q133" s="123">
        <f t="shared" si="37"/>
        <v>1.25</v>
      </c>
      <c r="R133" s="123">
        <f t="shared" si="37"/>
        <v>1.25</v>
      </c>
      <c r="S133" s="123">
        <f t="shared" si="37"/>
        <v>1.25</v>
      </c>
      <c r="T133" s="123">
        <f t="shared" si="38"/>
        <v>1.25</v>
      </c>
      <c r="U133" s="123">
        <f t="shared" si="38"/>
        <v>1.25</v>
      </c>
      <c r="V133" s="123">
        <f t="shared" si="38"/>
        <v>1.25</v>
      </c>
      <c r="W133" s="123">
        <f t="shared" si="38"/>
        <v>1.25</v>
      </c>
      <c r="X133" s="123">
        <f t="shared" si="38"/>
        <v>1.25</v>
      </c>
      <c r="Y133" s="123">
        <f t="shared" si="38"/>
        <v>1.25</v>
      </c>
      <c r="Z133" s="123">
        <f t="shared" si="38"/>
        <v>1.25</v>
      </c>
      <c r="AA133" s="123">
        <f t="shared" si="38"/>
        <v>1.25</v>
      </c>
      <c r="AB133" s="123">
        <f t="shared" si="38"/>
        <v>1.25</v>
      </c>
      <c r="AC133" s="123">
        <f t="shared" si="38"/>
        <v>1.25</v>
      </c>
      <c r="AD133" s="123">
        <f t="shared" si="38"/>
        <v>1.25</v>
      </c>
      <c r="AE133" s="123">
        <f t="shared" si="38"/>
        <v>1.25</v>
      </c>
      <c r="AF133" s="123">
        <f t="shared" si="38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6"/>
        <v>1.1499999999999999</v>
      </c>
      <c r="C134" s="124">
        <v>1.1499999999999999</v>
      </c>
      <c r="D134" s="123">
        <f t="shared" si="37"/>
        <v>1.1499999999999999</v>
      </c>
      <c r="E134" s="123">
        <f t="shared" si="37"/>
        <v>1.1499999999999999</v>
      </c>
      <c r="F134" s="123">
        <f t="shared" si="37"/>
        <v>1.1499999999999999</v>
      </c>
      <c r="G134" s="123">
        <f t="shared" si="37"/>
        <v>1.1499999999999999</v>
      </c>
      <c r="H134" s="123">
        <f t="shared" si="37"/>
        <v>1.1499999999999999</v>
      </c>
      <c r="I134" s="123">
        <f t="shared" si="37"/>
        <v>1.1499999999999999</v>
      </c>
      <c r="J134" s="123">
        <f t="shared" si="37"/>
        <v>1.1499999999999999</v>
      </c>
      <c r="K134" s="123">
        <f t="shared" si="37"/>
        <v>1.1499999999999999</v>
      </c>
      <c r="L134" s="123">
        <f t="shared" si="37"/>
        <v>1.1499999999999999</v>
      </c>
      <c r="M134" s="123">
        <f t="shared" si="37"/>
        <v>1.1499999999999999</v>
      </c>
      <c r="N134" s="123">
        <f t="shared" si="37"/>
        <v>1.1499999999999999</v>
      </c>
      <c r="O134" s="123">
        <f t="shared" si="37"/>
        <v>1.1499999999999999</v>
      </c>
      <c r="P134" s="123">
        <f t="shared" si="37"/>
        <v>1.1499999999999999</v>
      </c>
      <c r="Q134" s="123">
        <f t="shared" si="37"/>
        <v>1.1499999999999999</v>
      </c>
      <c r="R134" s="123">
        <f t="shared" si="37"/>
        <v>1.1499999999999999</v>
      </c>
      <c r="S134" s="123">
        <f t="shared" si="37"/>
        <v>1.1499999999999999</v>
      </c>
      <c r="T134" s="123">
        <f t="shared" si="38"/>
        <v>1.1499999999999999</v>
      </c>
      <c r="U134" s="123">
        <f t="shared" si="38"/>
        <v>1.1499999999999999</v>
      </c>
      <c r="V134" s="123">
        <f t="shared" si="38"/>
        <v>1.1499999999999999</v>
      </c>
      <c r="W134" s="123">
        <f t="shared" si="38"/>
        <v>1.1499999999999999</v>
      </c>
      <c r="X134" s="123">
        <f t="shared" si="38"/>
        <v>1.1499999999999999</v>
      </c>
      <c r="Y134" s="123">
        <f t="shared" si="38"/>
        <v>1.1499999999999999</v>
      </c>
      <c r="Z134" s="123">
        <f t="shared" si="38"/>
        <v>1.1499999999999999</v>
      </c>
      <c r="AA134" s="123">
        <f t="shared" si="38"/>
        <v>1.1499999999999999</v>
      </c>
      <c r="AB134" s="123">
        <f t="shared" si="38"/>
        <v>1.1499999999999999</v>
      </c>
      <c r="AC134" s="123">
        <f t="shared" si="38"/>
        <v>1.1499999999999999</v>
      </c>
      <c r="AD134" s="123">
        <f t="shared" si="38"/>
        <v>1.1499999999999999</v>
      </c>
      <c r="AE134" s="123">
        <f t="shared" si="38"/>
        <v>1.1499999999999999</v>
      </c>
      <c r="AF134" s="123">
        <f t="shared" si="38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6"/>
        <v>2.133</v>
      </c>
      <c r="C135" s="124">
        <v>2.133</v>
      </c>
      <c r="D135" s="123">
        <f t="shared" si="37"/>
        <v>2.133</v>
      </c>
      <c r="E135" s="123">
        <f t="shared" si="37"/>
        <v>2.133</v>
      </c>
      <c r="F135" s="123">
        <f t="shared" si="37"/>
        <v>2.133</v>
      </c>
      <c r="G135" s="123">
        <f t="shared" si="37"/>
        <v>2.133</v>
      </c>
      <c r="H135" s="123">
        <f t="shared" si="37"/>
        <v>2.133</v>
      </c>
      <c r="I135" s="123">
        <f t="shared" si="37"/>
        <v>2.133</v>
      </c>
      <c r="J135" s="123">
        <f t="shared" si="37"/>
        <v>2.133</v>
      </c>
      <c r="K135" s="123">
        <f t="shared" si="37"/>
        <v>2.133</v>
      </c>
      <c r="L135" s="123">
        <f t="shared" si="37"/>
        <v>2.133</v>
      </c>
      <c r="M135" s="123">
        <f t="shared" si="37"/>
        <v>2.133</v>
      </c>
      <c r="N135" s="123">
        <f t="shared" si="37"/>
        <v>2.133</v>
      </c>
      <c r="O135" s="123">
        <f t="shared" si="37"/>
        <v>2.133</v>
      </c>
      <c r="P135" s="123">
        <f t="shared" si="37"/>
        <v>2.133</v>
      </c>
      <c r="Q135" s="123">
        <f t="shared" si="37"/>
        <v>2.133</v>
      </c>
      <c r="R135" s="123">
        <f t="shared" si="37"/>
        <v>2.133</v>
      </c>
      <c r="S135" s="123">
        <f t="shared" si="37"/>
        <v>2.133</v>
      </c>
      <c r="T135" s="123">
        <f t="shared" si="38"/>
        <v>2.133</v>
      </c>
      <c r="U135" s="123">
        <f t="shared" si="38"/>
        <v>2.133</v>
      </c>
      <c r="V135" s="123">
        <f t="shared" si="38"/>
        <v>2.133</v>
      </c>
      <c r="W135" s="123">
        <f t="shared" si="38"/>
        <v>2.133</v>
      </c>
      <c r="X135" s="123">
        <f t="shared" si="38"/>
        <v>2.133</v>
      </c>
      <c r="Y135" s="123">
        <f t="shared" si="38"/>
        <v>2.133</v>
      </c>
      <c r="Z135" s="123">
        <f t="shared" si="38"/>
        <v>2.133</v>
      </c>
      <c r="AA135" s="123">
        <f t="shared" si="38"/>
        <v>2.133</v>
      </c>
      <c r="AB135" s="123">
        <f t="shared" si="38"/>
        <v>2.133</v>
      </c>
      <c r="AC135" s="123">
        <f t="shared" si="38"/>
        <v>2.133</v>
      </c>
      <c r="AD135" s="123">
        <f t="shared" si="38"/>
        <v>2.133</v>
      </c>
      <c r="AE135" s="123">
        <f t="shared" si="38"/>
        <v>2.133</v>
      </c>
      <c r="AF135" s="123">
        <f t="shared" si="38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6"/>
        <v>2.09</v>
      </c>
      <c r="C136" s="124">
        <v>2.09</v>
      </c>
      <c r="D136" s="123">
        <f t="shared" si="37"/>
        <v>2.09</v>
      </c>
      <c r="E136" s="123">
        <f t="shared" si="37"/>
        <v>2.09</v>
      </c>
      <c r="F136" s="123">
        <f t="shared" si="37"/>
        <v>2.09</v>
      </c>
      <c r="G136" s="123">
        <f t="shared" si="37"/>
        <v>2.09</v>
      </c>
      <c r="H136" s="123">
        <f t="shared" si="37"/>
        <v>2.09</v>
      </c>
      <c r="I136" s="123">
        <f t="shared" si="37"/>
        <v>2.09</v>
      </c>
      <c r="J136" s="123">
        <f t="shared" si="37"/>
        <v>2.09</v>
      </c>
      <c r="K136" s="123">
        <f t="shared" si="37"/>
        <v>2.09</v>
      </c>
      <c r="L136" s="123">
        <f t="shared" si="37"/>
        <v>2.09</v>
      </c>
      <c r="M136" s="123">
        <f t="shared" si="37"/>
        <v>2.09</v>
      </c>
      <c r="N136" s="123">
        <f t="shared" si="37"/>
        <v>2.09</v>
      </c>
      <c r="O136" s="123">
        <f t="shared" si="37"/>
        <v>2.09</v>
      </c>
      <c r="P136" s="123">
        <f t="shared" si="37"/>
        <v>2.09</v>
      </c>
      <c r="Q136" s="123">
        <f t="shared" si="37"/>
        <v>2.09</v>
      </c>
      <c r="R136" s="123">
        <f t="shared" si="37"/>
        <v>2.09</v>
      </c>
      <c r="S136" s="123">
        <f t="shared" si="37"/>
        <v>2.09</v>
      </c>
      <c r="T136" s="123">
        <f t="shared" si="38"/>
        <v>2.09</v>
      </c>
      <c r="U136" s="123">
        <f t="shared" si="38"/>
        <v>2.09</v>
      </c>
      <c r="V136" s="123">
        <f t="shared" si="38"/>
        <v>2.09</v>
      </c>
      <c r="W136" s="123">
        <f t="shared" si="38"/>
        <v>2.09</v>
      </c>
      <c r="X136" s="123">
        <f t="shared" si="38"/>
        <v>2.09</v>
      </c>
      <c r="Y136" s="123">
        <f t="shared" si="38"/>
        <v>2.09</v>
      </c>
      <c r="Z136" s="123">
        <f t="shared" si="38"/>
        <v>2.09</v>
      </c>
      <c r="AA136" s="123">
        <f t="shared" si="38"/>
        <v>2.09</v>
      </c>
      <c r="AB136" s="123">
        <f t="shared" si="38"/>
        <v>2.09</v>
      </c>
      <c r="AC136" s="123">
        <f t="shared" si="38"/>
        <v>2.09</v>
      </c>
      <c r="AD136" s="123">
        <f t="shared" si="38"/>
        <v>2.09</v>
      </c>
      <c r="AE136" s="123">
        <f t="shared" si="38"/>
        <v>2.09</v>
      </c>
      <c r="AF136" s="123">
        <f t="shared" si="38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6"/>
        <v>1.1399999999999999</v>
      </c>
      <c r="C137" s="124">
        <v>1.1399999999999999</v>
      </c>
      <c r="D137" s="123">
        <f t="shared" si="37"/>
        <v>1.1399999999999999</v>
      </c>
      <c r="E137" s="123">
        <f t="shared" si="37"/>
        <v>1.1399999999999999</v>
      </c>
      <c r="F137" s="123">
        <f t="shared" si="37"/>
        <v>1.1399999999999999</v>
      </c>
      <c r="G137" s="123">
        <f t="shared" si="37"/>
        <v>1.1399999999999999</v>
      </c>
      <c r="H137" s="123">
        <f t="shared" si="37"/>
        <v>1.1399999999999999</v>
      </c>
      <c r="I137" s="123">
        <f t="shared" si="37"/>
        <v>1.1399999999999999</v>
      </c>
      <c r="J137" s="123">
        <f t="shared" si="37"/>
        <v>1.1399999999999999</v>
      </c>
      <c r="K137" s="123">
        <f t="shared" si="37"/>
        <v>1.1399999999999999</v>
      </c>
      <c r="L137" s="123">
        <f t="shared" si="37"/>
        <v>1.1399999999999999</v>
      </c>
      <c r="M137" s="123">
        <f t="shared" si="37"/>
        <v>1.1399999999999999</v>
      </c>
      <c r="N137" s="123">
        <f t="shared" si="37"/>
        <v>1.1399999999999999</v>
      </c>
      <c r="O137" s="123">
        <f t="shared" si="37"/>
        <v>1.1399999999999999</v>
      </c>
      <c r="P137" s="123">
        <f t="shared" si="37"/>
        <v>1.1399999999999999</v>
      </c>
      <c r="Q137" s="123">
        <f t="shared" si="37"/>
        <v>1.1399999999999999</v>
      </c>
      <c r="R137" s="123">
        <f t="shared" si="37"/>
        <v>1.1399999999999999</v>
      </c>
      <c r="S137" s="123">
        <f t="shared" si="37"/>
        <v>1.1399999999999999</v>
      </c>
      <c r="T137" s="123">
        <f t="shared" si="38"/>
        <v>1.1399999999999999</v>
      </c>
      <c r="U137" s="123">
        <f t="shared" si="38"/>
        <v>1.1399999999999999</v>
      </c>
      <c r="V137" s="123">
        <f t="shared" si="38"/>
        <v>1.1399999999999999</v>
      </c>
      <c r="W137" s="123">
        <f t="shared" si="38"/>
        <v>1.1399999999999999</v>
      </c>
      <c r="X137" s="123">
        <f t="shared" si="38"/>
        <v>1.1399999999999999</v>
      </c>
      <c r="Y137" s="123">
        <f t="shared" si="38"/>
        <v>1.1399999999999999</v>
      </c>
      <c r="Z137" s="123">
        <f t="shared" si="38"/>
        <v>1.1399999999999999</v>
      </c>
      <c r="AA137" s="123">
        <f t="shared" si="38"/>
        <v>1.1399999999999999</v>
      </c>
      <c r="AB137" s="123">
        <f t="shared" si="38"/>
        <v>1.1399999999999999</v>
      </c>
      <c r="AC137" s="123">
        <f t="shared" si="38"/>
        <v>1.1399999999999999</v>
      </c>
      <c r="AD137" s="123">
        <f t="shared" si="38"/>
        <v>1.1399999999999999</v>
      </c>
      <c r="AE137" s="123">
        <f t="shared" si="38"/>
        <v>1.1399999999999999</v>
      </c>
      <c r="AF137" s="123">
        <f t="shared" si="38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6"/>
        <v>0.82</v>
      </c>
      <c r="C138" s="124">
        <v>0.82</v>
      </c>
      <c r="D138" s="123">
        <f t="shared" si="37"/>
        <v>0.82</v>
      </c>
      <c r="E138" s="123">
        <f t="shared" si="37"/>
        <v>0.82</v>
      </c>
      <c r="F138" s="123">
        <f t="shared" si="37"/>
        <v>0.82</v>
      </c>
      <c r="G138" s="123">
        <f t="shared" si="37"/>
        <v>0.82</v>
      </c>
      <c r="H138" s="123">
        <f t="shared" si="37"/>
        <v>0.82</v>
      </c>
      <c r="I138" s="123">
        <f t="shared" si="37"/>
        <v>0.82</v>
      </c>
      <c r="J138" s="123">
        <f t="shared" si="37"/>
        <v>0.82</v>
      </c>
      <c r="K138" s="123">
        <f t="shared" si="37"/>
        <v>0.82</v>
      </c>
      <c r="L138" s="123">
        <f t="shared" si="37"/>
        <v>0.82</v>
      </c>
      <c r="M138" s="123">
        <f t="shared" si="37"/>
        <v>0.82</v>
      </c>
      <c r="N138" s="123">
        <f t="shared" si="37"/>
        <v>0.82</v>
      </c>
      <c r="O138" s="123">
        <f t="shared" si="37"/>
        <v>0.82</v>
      </c>
      <c r="P138" s="123">
        <f t="shared" si="37"/>
        <v>0.82</v>
      </c>
      <c r="Q138" s="123">
        <f t="shared" si="37"/>
        <v>0.82</v>
      </c>
      <c r="R138" s="123">
        <f t="shared" si="37"/>
        <v>0.82</v>
      </c>
      <c r="S138" s="123">
        <f t="shared" si="37"/>
        <v>0.82</v>
      </c>
      <c r="T138" s="123">
        <f t="shared" si="38"/>
        <v>0.82</v>
      </c>
      <c r="U138" s="123">
        <f t="shared" si="38"/>
        <v>0.82</v>
      </c>
      <c r="V138" s="123">
        <f t="shared" si="38"/>
        <v>0.82</v>
      </c>
      <c r="W138" s="123">
        <f t="shared" si="38"/>
        <v>0.82</v>
      </c>
      <c r="X138" s="123">
        <f t="shared" si="38"/>
        <v>0.82</v>
      </c>
      <c r="Y138" s="123">
        <f t="shared" si="38"/>
        <v>0.82</v>
      </c>
      <c r="Z138" s="123">
        <f t="shared" si="38"/>
        <v>0.82</v>
      </c>
      <c r="AA138" s="123">
        <f t="shared" si="38"/>
        <v>0.82</v>
      </c>
      <c r="AB138" s="123">
        <f t="shared" si="38"/>
        <v>0.82</v>
      </c>
      <c r="AC138" s="123">
        <f t="shared" si="38"/>
        <v>0.82</v>
      </c>
      <c r="AD138" s="123">
        <f t="shared" si="38"/>
        <v>0.82</v>
      </c>
      <c r="AE138" s="123">
        <f t="shared" si="38"/>
        <v>0.82</v>
      </c>
      <c r="AF138" s="123">
        <f t="shared" si="38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39">AF140</f>
        <v>2</v>
      </c>
      <c r="C140" s="124">
        <v>2</v>
      </c>
      <c r="D140" s="123">
        <f t="shared" ref="D140:S146" si="40">C140</f>
        <v>2</v>
      </c>
      <c r="E140" s="123">
        <f t="shared" si="40"/>
        <v>2</v>
      </c>
      <c r="F140" s="123">
        <f t="shared" si="40"/>
        <v>2</v>
      </c>
      <c r="G140" s="123">
        <f t="shared" si="40"/>
        <v>2</v>
      </c>
      <c r="H140" s="123">
        <f t="shared" si="40"/>
        <v>2</v>
      </c>
      <c r="I140" s="123">
        <f t="shared" si="40"/>
        <v>2</v>
      </c>
      <c r="J140" s="123">
        <f t="shared" si="40"/>
        <v>2</v>
      </c>
      <c r="K140" s="123">
        <f t="shared" si="40"/>
        <v>2</v>
      </c>
      <c r="L140" s="123">
        <f t="shared" si="40"/>
        <v>2</v>
      </c>
      <c r="M140" s="123">
        <f t="shared" si="40"/>
        <v>2</v>
      </c>
      <c r="N140" s="123">
        <f t="shared" si="40"/>
        <v>2</v>
      </c>
      <c r="O140" s="123">
        <f t="shared" si="40"/>
        <v>2</v>
      </c>
      <c r="P140" s="123">
        <f t="shared" si="40"/>
        <v>2</v>
      </c>
      <c r="Q140" s="123">
        <f t="shared" si="40"/>
        <v>2</v>
      </c>
      <c r="R140" s="123">
        <f t="shared" si="40"/>
        <v>2</v>
      </c>
      <c r="S140" s="123">
        <f t="shared" si="40"/>
        <v>2</v>
      </c>
      <c r="T140" s="123">
        <f t="shared" ref="T140:AF146" si="41">S140</f>
        <v>2</v>
      </c>
      <c r="U140" s="123">
        <f t="shared" si="41"/>
        <v>2</v>
      </c>
      <c r="V140" s="123">
        <f t="shared" si="41"/>
        <v>2</v>
      </c>
      <c r="W140" s="123">
        <f t="shared" si="41"/>
        <v>2</v>
      </c>
      <c r="X140" s="123">
        <f t="shared" si="41"/>
        <v>2</v>
      </c>
      <c r="Y140" s="123">
        <f t="shared" si="41"/>
        <v>2</v>
      </c>
      <c r="Z140" s="123">
        <f t="shared" si="41"/>
        <v>2</v>
      </c>
      <c r="AA140" s="123">
        <f t="shared" si="41"/>
        <v>2</v>
      </c>
      <c r="AB140" s="123">
        <f t="shared" si="41"/>
        <v>2</v>
      </c>
      <c r="AC140" s="123">
        <f t="shared" si="41"/>
        <v>2</v>
      </c>
      <c r="AD140" s="123">
        <f t="shared" si="41"/>
        <v>2</v>
      </c>
      <c r="AE140" s="123">
        <f t="shared" si="41"/>
        <v>2</v>
      </c>
      <c r="AF140" s="123">
        <f t="shared" si="41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39"/>
        <v>5.61</v>
      </c>
      <c r="C141" s="124">
        <v>5.61</v>
      </c>
      <c r="D141" s="123">
        <f t="shared" si="40"/>
        <v>5.61</v>
      </c>
      <c r="E141" s="123">
        <f t="shared" si="40"/>
        <v>5.61</v>
      </c>
      <c r="F141" s="123">
        <f t="shared" si="40"/>
        <v>5.61</v>
      </c>
      <c r="G141" s="123">
        <f t="shared" si="40"/>
        <v>5.61</v>
      </c>
      <c r="H141" s="123">
        <f t="shared" si="40"/>
        <v>5.61</v>
      </c>
      <c r="I141" s="123">
        <f t="shared" si="40"/>
        <v>5.61</v>
      </c>
      <c r="J141" s="123">
        <f t="shared" si="40"/>
        <v>5.61</v>
      </c>
      <c r="K141" s="123">
        <f t="shared" si="40"/>
        <v>5.61</v>
      </c>
      <c r="L141" s="123">
        <f t="shared" si="40"/>
        <v>5.61</v>
      </c>
      <c r="M141" s="123">
        <f t="shared" si="40"/>
        <v>5.61</v>
      </c>
      <c r="N141" s="123">
        <f t="shared" si="40"/>
        <v>5.61</v>
      </c>
      <c r="O141" s="123">
        <f t="shared" si="40"/>
        <v>5.61</v>
      </c>
      <c r="P141" s="123">
        <f t="shared" si="40"/>
        <v>5.61</v>
      </c>
      <c r="Q141" s="123">
        <f t="shared" si="40"/>
        <v>5.61</v>
      </c>
      <c r="R141" s="123">
        <f t="shared" si="40"/>
        <v>5.61</v>
      </c>
      <c r="S141" s="123">
        <f t="shared" si="40"/>
        <v>5.61</v>
      </c>
      <c r="T141" s="123">
        <f t="shared" si="41"/>
        <v>5.61</v>
      </c>
      <c r="U141" s="123">
        <f t="shared" si="41"/>
        <v>5.61</v>
      </c>
      <c r="V141" s="123">
        <f t="shared" si="41"/>
        <v>5.61</v>
      </c>
      <c r="W141" s="123">
        <f t="shared" si="41"/>
        <v>5.61</v>
      </c>
      <c r="X141" s="123">
        <f t="shared" si="41"/>
        <v>5.61</v>
      </c>
      <c r="Y141" s="123">
        <f t="shared" si="41"/>
        <v>5.61</v>
      </c>
      <c r="Z141" s="123">
        <f t="shared" si="41"/>
        <v>5.61</v>
      </c>
      <c r="AA141" s="123">
        <f t="shared" si="41"/>
        <v>5.61</v>
      </c>
      <c r="AB141" s="123">
        <f t="shared" si="41"/>
        <v>5.61</v>
      </c>
      <c r="AC141" s="123">
        <f t="shared" si="41"/>
        <v>5.61</v>
      </c>
      <c r="AD141" s="123">
        <f t="shared" si="41"/>
        <v>5.61</v>
      </c>
      <c r="AE141" s="123">
        <f t="shared" si="41"/>
        <v>5.61</v>
      </c>
      <c r="AF141" s="123">
        <f t="shared" si="41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39"/>
        <v>1.25</v>
      </c>
      <c r="C142" s="124">
        <v>1.25</v>
      </c>
      <c r="D142" s="123">
        <f t="shared" si="40"/>
        <v>1.25</v>
      </c>
      <c r="E142" s="123">
        <f t="shared" si="40"/>
        <v>1.25</v>
      </c>
      <c r="F142" s="123">
        <f t="shared" si="40"/>
        <v>1.25</v>
      </c>
      <c r="G142" s="123">
        <f t="shared" si="40"/>
        <v>1.25</v>
      </c>
      <c r="H142" s="123">
        <f t="shared" si="40"/>
        <v>1.25</v>
      </c>
      <c r="I142" s="123">
        <f t="shared" si="40"/>
        <v>1.25</v>
      </c>
      <c r="J142" s="123">
        <f t="shared" si="40"/>
        <v>1.25</v>
      </c>
      <c r="K142" s="123">
        <f t="shared" si="40"/>
        <v>1.25</v>
      </c>
      <c r="L142" s="123">
        <f t="shared" si="40"/>
        <v>1.25</v>
      </c>
      <c r="M142" s="123">
        <f t="shared" si="40"/>
        <v>1.25</v>
      </c>
      <c r="N142" s="123">
        <f t="shared" si="40"/>
        <v>1.25</v>
      </c>
      <c r="O142" s="123">
        <f t="shared" si="40"/>
        <v>1.25</v>
      </c>
      <c r="P142" s="123">
        <f t="shared" si="40"/>
        <v>1.25</v>
      </c>
      <c r="Q142" s="123">
        <f t="shared" si="40"/>
        <v>1.25</v>
      </c>
      <c r="R142" s="123">
        <f t="shared" si="40"/>
        <v>1.25</v>
      </c>
      <c r="S142" s="123">
        <f t="shared" si="40"/>
        <v>1.25</v>
      </c>
      <c r="T142" s="123">
        <f t="shared" si="41"/>
        <v>1.25</v>
      </c>
      <c r="U142" s="123">
        <f t="shared" si="41"/>
        <v>1.25</v>
      </c>
      <c r="V142" s="123">
        <f t="shared" si="41"/>
        <v>1.25</v>
      </c>
      <c r="W142" s="123">
        <f t="shared" si="41"/>
        <v>1.25</v>
      </c>
      <c r="X142" s="123">
        <f t="shared" si="41"/>
        <v>1.25</v>
      </c>
      <c r="Y142" s="123">
        <f t="shared" si="41"/>
        <v>1.25</v>
      </c>
      <c r="Z142" s="123">
        <f t="shared" si="41"/>
        <v>1.25</v>
      </c>
      <c r="AA142" s="123">
        <f t="shared" si="41"/>
        <v>1.25</v>
      </c>
      <c r="AB142" s="123">
        <f t="shared" si="41"/>
        <v>1.25</v>
      </c>
      <c r="AC142" s="123">
        <f t="shared" si="41"/>
        <v>1.25</v>
      </c>
      <c r="AD142" s="123">
        <f t="shared" si="41"/>
        <v>1.25</v>
      </c>
      <c r="AE142" s="123">
        <f t="shared" si="41"/>
        <v>1.25</v>
      </c>
      <c r="AF142" s="123">
        <f t="shared" si="41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39"/>
        <v>1.46</v>
      </c>
      <c r="C144" s="124">
        <v>1.46</v>
      </c>
      <c r="D144" s="123">
        <f t="shared" si="40"/>
        <v>1.46</v>
      </c>
      <c r="E144" s="123">
        <f t="shared" si="40"/>
        <v>1.46</v>
      </c>
      <c r="F144" s="123">
        <f t="shared" si="40"/>
        <v>1.46</v>
      </c>
      <c r="G144" s="123">
        <f t="shared" si="40"/>
        <v>1.46</v>
      </c>
      <c r="H144" s="123">
        <f t="shared" si="40"/>
        <v>1.46</v>
      </c>
      <c r="I144" s="123">
        <f t="shared" si="40"/>
        <v>1.46</v>
      </c>
      <c r="J144" s="123">
        <f t="shared" si="40"/>
        <v>1.46</v>
      </c>
      <c r="K144" s="123">
        <f t="shared" si="40"/>
        <v>1.46</v>
      </c>
      <c r="L144" s="123">
        <f t="shared" si="40"/>
        <v>1.46</v>
      </c>
      <c r="M144" s="123">
        <f t="shared" si="40"/>
        <v>1.46</v>
      </c>
      <c r="N144" s="123">
        <f t="shared" si="40"/>
        <v>1.46</v>
      </c>
      <c r="O144" s="123">
        <f t="shared" si="40"/>
        <v>1.46</v>
      </c>
      <c r="P144" s="123">
        <f t="shared" si="40"/>
        <v>1.46</v>
      </c>
      <c r="Q144" s="123">
        <f t="shared" si="40"/>
        <v>1.46</v>
      </c>
      <c r="R144" s="123">
        <f t="shared" si="40"/>
        <v>1.46</v>
      </c>
      <c r="S144" s="123">
        <f t="shared" si="40"/>
        <v>1.46</v>
      </c>
      <c r="T144" s="123">
        <f t="shared" si="41"/>
        <v>1.46</v>
      </c>
      <c r="U144" s="123">
        <f t="shared" si="41"/>
        <v>1.46</v>
      </c>
      <c r="V144" s="123">
        <f t="shared" si="41"/>
        <v>1.46</v>
      </c>
      <c r="W144" s="123">
        <f t="shared" si="41"/>
        <v>1.46</v>
      </c>
      <c r="X144" s="123">
        <f t="shared" si="41"/>
        <v>1.46</v>
      </c>
      <c r="Y144" s="123">
        <f t="shared" si="41"/>
        <v>1.46</v>
      </c>
      <c r="Z144" s="123">
        <f t="shared" si="41"/>
        <v>1.46</v>
      </c>
      <c r="AA144" s="123">
        <f t="shared" si="41"/>
        <v>1.46</v>
      </c>
      <c r="AB144" s="123">
        <f t="shared" si="41"/>
        <v>1.46</v>
      </c>
      <c r="AC144" s="123">
        <f t="shared" si="41"/>
        <v>1.46</v>
      </c>
      <c r="AD144" s="123">
        <f t="shared" si="41"/>
        <v>1.46</v>
      </c>
      <c r="AE144" s="123">
        <f t="shared" si="41"/>
        <v>1.46</v>
      </c>
      <c r="AF144" s="123">
        <f t="shared" si="41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39"/>
        <v>3</v>
      </c>
      <c r="C145" s="124">
        <v>3</v>
      </c>
      <c r="D145" s="123">
        <f t="shared" si="40"/>
        <v>3</v>
      </c>
      <c r="E145" s="123">
        <f t="shared" si="40"/>
        <v>3</v>
      </c>
      <c r="F145" s="123">
        <f t="shared" si="40"/>
        <v>3</v>
      </c>
      <c r="G145" s="123">
        <f t="shared" si="40"/>
        <v>3</v>
      </c>
      <c r="H145" s="123">
        <f t="shared" si="40"/>
        <v>3</v>
      </c>
      <c r="I145" s="123">
        <f t="shared" si="40"/>
        <v>3</v>
      </c>
      <c r="J145" s="123">
        <f t="shared" si="40"/>
        <v>3</v>
      </c>
      <c r="K145" s="123">
        <f t="shared" si="40"/>
        <v>3</v>
      </c>
      <c r="L145" s="123">
        <f t="shared" si="40"/>
        <v>3</v>
      </c>
      <c r="M145" s="123">
        <f t="shared" si="40"/>
        <v>3</v>
      </c>
      <c r="N145" s="123">
        <f t="shared" si="40"/>
        <v>3</v>
      </c>
      <c r="O145" s="123">
        <f t="shared" si="40"/>
        <v>3</v>
      </c>
      <c r="P145" s="123">
        <f t="shared" si="40"/>
        <v>3</v>
      </c>
      <c r="Q145" s="123">
        <f t="shared" si="40"/>
        <v>3</v>
      </c>
      <c r="R145" s="123">
        <f t="shared" si="40"/>
        <v>3</v>
      </c>
      <c r="S145" s="123">
        <f t="shared" si="40"/>
        <v>3</v>
      </c>
      <c r="T145" s="123">
        <f t="shared" si="41"/>
        <v>3</v>
      </c>
      <c r="U145" s="123">
        <f t="shared" si="41"/>
        <v>3</v>
      </c>
      <c r="V145" s="123">
        <f t="shared" si="41"/>
        <v>3</v>
      </c>
      <c r="W145" s="123">
        <f t="shared" si="41"/>
        <v>3</v>
      </c>
      <c r="X145" s="123">
        <f t="shared" si="41"/>
        <v>3</v>
      </c>
      <c r="Y145" s="123">
        <f t="shared" si="41"/>
        <v>3</v>
      </c>
      <c r="Z145" s="123">
        <f t="shared" si="41"/>
        <v>3</v>
      </c>
      <c r="AA145" s="123">
        <f t="shared" si="41"/>
        <v>3</v>
      </c>
      <c r="AB145" s="123">
        <f t="shared" si="41"/>
        <v>3</v>
      </c>
      <c r="AC145" s="123">
        <f t="shared" si="41"/>
        <v>3</v>
      </c>
      <c r="AD145" s="123">
        <f t="shared" si="41"/>
        <v>3</v>
      </c>
      <c r="AE145" s="123">
        <f t="shared" si="41"/>
        <v>3</v>
      </c>
      <c r="AF145" s="123">
        <f t="shared" si="41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39"/>
        <v>3.3</v>
      </c>
      <c r="C146" s="124">
        <v>3.3</v>
      </c>
      <c r="D146" s="123">
        <f t="shared" si="40"/>
        <v>3.3</v>
      </c>
      <c r="E146" s="123">
        <f t="shared" si="40"/>
        <v>3.3</v>
      </c>
      <c r="F146" s="123">
        <f t="shared" si="40"/>
        <v>3.3</v>
      </c>
      <c r="G146" s="123">
        <f t="shared" si="40"/>
        <v>3.3</v>
      </c>
      <c r="H146" s="123">
        <f t="shared" si="40"/>
        <v>3.3</v>
      </c>
      <c r="I146" s="123">
        <f t="shared" si="40"/>
        <v>3.3</v>
      </c>
      <c r="J146" s="123">
        <f t="shared" si="40"/>
        <v>3.3</v>
      </c>
      <c r="K146" s="123">
        <f t="shared" si="40"/>
        <v>3.3</v>
      </c>
      <c r="L146" s="123">
        <f t="shared" si="40"/>
        <v>3.3</v>
      </c>
      <c r="M146" s="123">
        <f t="shared" si="40"/>
        <v>3.3</v>
      </c>
      <c r="N146" s="123">
        <f t="shared" si="40"/>
        <v>3.3</v>
      </c>
      <c r="O146" s="123">
        <f t="shared" si="40"/>
        <v>3.3</v>
      </c>
      <c r="P146" s="123">
        <f t="shared" si="40"/>
        <v>3.3</v>
      </c>
      <c r="Q146" s="123">
        <f t="shared" si="40"/>
        <v>3.3</v>
      </c>
      <c r="R146" s="123">
        <f t="shared" si="40"/>
        <v>3.3</v>
      </c>
      <c r="S146" s="123">
        <f t="shared" si="40"/>
        <v>3.3</v>
      </c>
      <c r="T146" s="123">
        <f t="shared" si="41"/>
        <v>3.3</v>
      </c>
      <c r="U146" s="123">
        <f t="shared" si="41"/>
        <v>3.3</v>
      </c>
      <c r="V146" s="123">
        <f t="shared" si="41"/>
        <v>3.3</v>
      </c>
      <c r="W146" s="123">
        <f t="shared" si="41"/>
        <v>3.3</v>
      </c>
      <c r="X146" s="123">
        <f t="shared" si="41"/>
        <v>3.3</v>
      </c>
      <c r="Y146" s="123">
        <f t="shared" si="41"/>
        <v>3.3</v>
      </c>
      <c r="Z146" s="123">
        <f t="shared" si="41"/>
        <v>3.3</v>
      </c>
      <c r="AA146" s="123">
        <f t="shared" si="41"/>
        <v>3.3</v>
      </c>
      <c r="AB146" s="123">
        <f t="shared" si="41"/>
        <v>3.3</v>
      </c>
      <c r="AC146" s="123">
        <f t="shared" si="41"/>
        <v>3.3</v>
      </c>
      <c r="AD146" s="123">
        <f t="shared" si="41"/>
        <v>3.3</v>
      </c>
      <c r="AE146" s="123">
        <f t="shared" si="41"/>
        <v>3.3</v>
      </c>
      <c r="AF146" s="123">
        <f t="shared" si="41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2">C148</f>
        <v>1.76</v>
      </c>
      <c r="E148" s="123">
        <f t="shared" si="42"/>
        <v>1.76</v>
      </c>
      <c r="F148" s="123">
        <f t="shared" si="42"/>
        <v>1.76</v>
      </c>
      <c r="G148" s="123">
        <f t="shared" si="42"/>
        <v>1.76</v>
      </c>
      <c r="H148" s="123">
        <f t="shared" si="42"/>
        <v>1.76</v>
      </c>
      <c r="I148" s="123">
        <f t="shared" si="42"/>
        <v>1.76</v>
      </c>
      <c r="J148" s="123">
        <f t="shared" si="42"/>
        <v>1.76</v>
      </c>
      <c r="K148" s="123">
        <f t="shared" si="42"/>
        <v>1.76</v>
      </c>
      <c r="L148" s="123">
        <f t="shared" si="42"/>
        <v>1.76</v>
      </c>
      <c r="M148" s="123">
        <f t="shared" si="42"/>
        <v>1.76</v>
      </c>
      <c r="N148" s="123">
        <f t="shared" si="42"/>
        <v>1.76</v>
      </c>
      <c r="O148" s="123">
        <f t="shared" si="42"/>
        <v>1.76</v>
      </c>
      <c r="P148" s="123">
        <f t="shared" si="42"/>
        <v>1.76</v>
      </c>
      <c r="Q148" s="123">
        <f t="shared" si="42"/>
        <v>1.76</v>
      </c>
      <c r="R148" s="123">
        <f t="shared" si="42"/>
        <v>1.76</v>
      </c>
      <c r="S148" s="123">
        <f t="shared" si="42"/>
        <v>1.76</v>
      </c>
      <c r="T148" s="123">
        <f t="shared" ref="T148:AF149" si="43">S148</f>
        <v>1.76</v>
      </c>
      <c r="U148" s="123">
        <f t="shared" si="43"/>
        <v>1.76</v>
      </c>
      <c r="V148" s="123">
        <f t="shared" si="43"/>
        <v>1.76</v>
      </c>
      <c r="W148" s="123">
        <f t="shared" si="43"/>
        <v>1.76</v>
      </c>
      <c r="X148" s="123">
        <f t="shared" si="43"/>
        <v>1.76</v>
      </c>
      <c r="Y148" s="123">
        <f t="shared" si="43"/>
        <v>1.76</v>
      </c>
      <c r="Z148" s="123">
        <f t="shared" si="43"/>
        <v>1.76</v>
      </c>
      <c r="AA148" s="123">
        <f t="shared" si="43"/>
        <v>1.76</v>
      </c>
      <c r="AB148" s="123">
        <f t="shared" si="43"/>
        <v>1.76</v>
      </c>
      <c r="AC148" s="123">
        <f t="shared" si="43"/>
        <v>1.76</v>
      </c>
      <c r="AD148" s="123">
        <f t="shared" si="43"/>
        <v>1.76</v>
      </c>
      <c r="AE148" s="123">
        <f t="shared" si="43"/>
        <v>1.76</v>
      </c>
      <c r="AF148" s="123">
        <f t="shared" si="43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2"/>
        <v>0</v>
      </c>
      <c r="E149" s="123">
        <f t="shared" si="42"/>
        <v>0</v>
      </c>
      <c r="F149" s="123">
        <f t="shared" si="42"/>
        <v>0</v>
      </c>
      <c r="G149" s="123">
        <f t="shared" si="42"/>
        <v>0</v>
      </c>
      <c r="H149" s="123">
        <f t="shared" si="42"/>
        <v>0</v>
      </c>
      <c r="I149" s="123">
        <f t="shared" si="42"/>
        <v>0</v>
      </c>
      <c r="J149" s="123">
        <f t="shared" si="42"/>
        <v>0</v>
      </c>
      <c r="K149" s="123">
        <f t="shared" si="42"/>
        <v>0</v>
      </c>
      <c r="L149" s="123">
        <f t="shared" si="42"/>
        <v>0</v>
      </c>
      <c r="M149" s="123">
        <f t="shared" si="42"/>
        <v>0</v>
      </c>
      <c r="N149" s="123">
        <f t="shared" si="42"/>
        <v>0</v>
      </c>
      <c r="O149" s="123">
        <f t="shared" si="42"/>
        <v>0</v>
      </c>
      <c r="P149" s="123">
        <f t="shared" si="42"/>
        <v>0</v>
      </c>
      <c r="Q149" s="123">
        <f t="shared" si="42"/>
        <v>0</v>
      </c>
      <c r="R149" s="123">
        <f t="shared" si="42"/>
        <v>0</v>
      </c>
      <c r="S149" s="123">
        <f t="shared" si="42"/>
        <v>0</v>
      </c>
      <c r="T149" s="123">
        <f t="shared" si="43"/>
        <v>0</v>
      </c>
      <c r="U149" s="123">
        <f t="shared" si="43"/>
        <v>0</v>
      </c>
      <c r="V149" s="123">
        <f t="shared" si="43"/>
        <v>0</v>
      </c>
      <c r="W149" s="123">
        <f t="shared" si="43"/>
        <v>0</v>
      </c>
      <c r="X149" s="123">
        <f t="shared" si="43"/>
        <v>0</v>
      </c>
      <c r="Y149" s="123">
        <f t="shared" si="43"/>
        <v>0</v>
      </c>
      <c r="Z149" s="123">
        <f t="shared" si="43"/>
        <v>0</v>
      </c>
      <c r="AA149" s="123">
        <f t="shared" si="43"/>
        <v>0</v>
      </c>
      <c r="AB149" s="123">
        <f t="shared" si="43"/>
        <v>0</v>
      </c>
      <c r="AC149" s="123">
        <f t="shared" si="43"/>
        <v>0</v>
      </c>
      <c r="AD149" s="123">
        <f t="shared" si="43"/>
        <v>0</v>
      </c>
      <c r="AE149" s="123">
        <f t="shared" si="43"/>
        <v>0</v>
      </c>
      <c r="AF149" s="123">
        <f t="shared" si="43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4">C151</f>
        <v>0.1</v>
      </c>
      <c r="E151" s="123">
        <f t="shared" si="44"/>
        <v>0.1</v>
      </c>
      <c r="F151" s="123">
        <f t="shared" si="44"/>
        <v>0.1</v>
      </c>
      <c r="G151" s="123">
        <f t="shared" si="44"/>
        <v>0.1</v>
      </c>
      <c r="H151" s="123">
        <f t="shared" si="44"/>
        <v>0.1</v>
      </c>
      <c r="I151" s="123">
        <f t="shared" si="44"/>
        <v>0.1</v>
      </c>
      <c r="J151" s="123">
        <f t="shared" si="44"/>
        <v>0.1</v>
      </c>
      <c r="K151" s="123">
        <f t="shared" si="44"/>
        <v>0.1</v>
      </c>
      <c r="L151" s="123">
        <f t="shared" si="44"/>
        <v>0.1</v>
      </c>
      <c r="M151" s="123">
        <f t="shared" si="44"/>
        <v>0.1</v>
      </c>
      <c r="N151" s="123">
        <f t="shared" si="44"/>
        <v>0.1</v>
      </c>
      <c r="O151" s="123">
        <f t="shared" si="44"/>
        <v>0.1</v>
      </c>
      <c r="P151" s="123">
        <f t="shared" si="44"/>
        <v>0.1</v>
      </c>
      <c r="Q151" s="123">
        <f t="shared" si="44"/>
        <v>0.1</v>
      </c>
      <c r="R151" s="123">
        <f t="shared" si="44"/>
        <v>0.1</v>
      </c>
      <c r="S151" s="123">
        <f t="shared" si="44"/>
        <v>0.1</v>
      </c>
      <c r="T151" s="123">
        <f t="shared" ref="T151:AF154" si="45">S151</f>
        <v>0.1</v>
      </c>
      <c r="U151" s="123">
        <f t="shared" si="45"/>
        <v>0.1</v>
      </c>
      <c r="V151" s="123">
        <f t="shared" si="45"/>
        <v>0.1</v>
      </c>
      <c r="W151" s="123">
        <f t="shared" si="45"/>
        <v>0.1</v>
      </c>
      <c r="X151" s="123">
        <f t="shared" si="45"/>
        <v>0.1</v>
      </c>
      <c r="Y151" s="123">
        <f t="shared" si="45"/>
        <v>0.1</v>
      </c>
      <c r="Z151" s="123">
        <f t="shared" si="45"/>
        <v>0.1</v>
      </c>
      <c r="AA151" s="123">
        <f t="shared" si="45"/>
        <v>0.1</v>
      </c>
      <c r="AB151" s="123">
        <f t="shared" si="45"/>
        <v>0.1</v>
      </c>
      <c r="AC151" s="123">
        <f t="shared" si="45"/>
        <v>0.1</v>
      </c>
      <c r="AD151" s="123">
        <f t="shared" si="45"/>
        <v>0.1</v>
      </c>
      <c r="AE151" s="123">
        <f t="shared" si="45"/>
        <v>0.1</v>
      </c>
      <c r="AF151" s="123">
        <f t="shared" si="45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4"/>
        <v>2.0499999999999998</v>
      </c>
      <c r="E152" s="123">
        <f t="shared" si="44"/>
        <v>2.0499999999999998</v>
      </c>
      <c r="F152" s="123">
        <f t="shared" si="44"/>
        <v>2.0499999999999998</v>
      </c>
      <c r="G152" s="123">
        <f t="shared" si="44"/>
        <v>2.0499999999999998</v>
      </c>
      <c r="H152" s="123">
        <f t="shared" si="44"/>
        <v>2.0499999999999998</v>
      </c>
      <c r="I152" s="123">
        <f t="shared" si="44"/>
        <v>2.0499999999999998</v>
      </c>
      <c r="J152" s="123">
        <f t="shared" si="44"/>
        <v>2.0499999999999998</v>
      </c>
      <c r="K152" s="123">
        <f t="shared" si="44"/>
        <v>2.0499999999999998</v>
      </c>
      <c r="L152" s="123">
        <f t="shared" si="44"/>
        <v>2.0499999999999998</v>
      </c>
      <c r="M152" s="123">
        <f t="shared" si="44"/>
        <v>2.0499999999999998</v>
      </c>
      <c r="N152" s="123">
        <f t="shared" si="44"/>
        <v>2.0499999999999998</v>
      </c>
      <c r="O152" s="123">
        <f t="shared" si="44"/>
        <v>2.0499999999999998</v>
      </c>
      <c r="P152" s="123">
        <f t="shared" si="44"/>
        <v>2.0499999999999998</v>
      </c>
      <c r="Q152" s="123">
        <f t="shared" si="44"/>
        <v>2.0499999999999998</v>
      </c>
      <c r="R152" s="123">
        <f t="shared" si="44"/>
        <v>2.0499999999999998</v>
      </c>
      <c r="S152" s="123">
        <f t="shared" si="44"/>
        <v>2.0499999999999998</v>
      </c>
      <c r="T152" s="123">
        <f t="shared" si="45"/>
        <v>2.0499999999999998</v>
      </c>
      <c r="U152" s="123">
        <f t="shared" si="45"/>
        <v>2.0499999999999998</v>
      </c>
      <c r="V152" s="123">
        <f t="shared" si="45"/>
        <v>2.0499999999999998</v>
      </c>
      <c r="W152" s="123">
        <f t="shared" si="45"/>
        <v>2.0499999999999998</v>
      </c>
      <c r="X152" s="123">
        <f t="shared" si="45"/>
        <v>2.0499999999999998</v>
      </c>
      <c r="Y152" s="123">
        <f t="shared" si="45"/>
        <v>2.0499999999999998</v>
      </c>
      <c r="Z152" s="123">
        <f t="shared" si="45"/>
        <v>2.0499999999999998</v>
      </c>
      <c r="AA152" s="123">
        <f t="shared" si="45"/>
        <v>2.0499999999999998</v>
      </c>
      <c r="AB152" s="123">
        <f t="shared" si="45"/>
        <v>2.0499999999999998</v>
      </c>
      <c r="AC152" s="123">
        <f t="shared" si="45"/>
        <v>2.0499999999999998</v>
      </c>
      <c r="AD152" s="123">
        <f t="shared" si="45"/>
        <v>2.0499999999999998</v>
      </c>
      <c r="AE152" s="123">
        <f t="shared" si="45"/>
        <v>2.0499999999999998</v>
      </c>
      <c r="AF152" s="123">
        <f t="shared" si="45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4"/>
        <v>2.7</v>
      </c>
      <c r="E153" s="123">
        <f t="shared" si="44"/>
        <v>2.7</v>
      </c>
      <c r="F153" s="123">
        <f t="shared" si="44"/>
        <v>2.7</v>
      </c>
      <c r="G153" s="123">
        <f t="shared" si="44"/>
        <v>2.7</v>
      </c>
      <c r="H153" s="123">
        <f t="shared" si="44"/>
        <v>2.7</v>
      </c>
      <c r="I153" s="123">
        <f t="shared" si="44"/>
        <v>2.7</v>
      </c>
      <c r="J153" s="123">
        <f t="shared" si="44"/>
        <v>2.7</v>
      </c>
      <c r="K153" s="123">
        <f t="shared" si="44"/>
        <v>2.7</v>
      </c>
      <c r="L153" s="123">
        <f t="shared" si="44"/>
        <v>2.7</v>
      </c>
      <c r="M153" s="123">
        <f t="shared" si="44"/>
        <v>2.7</v>
      </c>
      <c r="N153" s="123">
        <f t="shared" si="44"/>
        <v>2.7</v>
      </c>
      <c r="O153" s="123">
        <f t="shared" si="44"/>
        <v>2.7</v>
      </c>
      <c r="P153" s="123">
        <f t="shared" si="44"/>
        <v>2.7</v>
      </c>
      <c r="Q153" s="123">
        <f t="shared" si="44"/>
        <v>2.7</v>
      </c>
      <c r="R153" s="123">
        <f t="shared" si="44"/>
        <v>2.7</v>
      </c>
      <c r="S153" s="123">
        <f t="shared" si="44"/>
        <v>2.7</v>
      </c>
      <c r="T153" s="123">
        <f t="shared" si="45"/>
        <v>2.7</v>
      </c>
      <c r="U153" s="123">
        <f t="shared" si="45"/>
        <v>2.7</v>
      </c>
      <c r="V153" s="123">
        <f t="shared" si="45"/>
        <v>2.7</v>
      </c>
      <c r="W153" s="123">
        <f t="shared" si="45"/>
        <v>2.7</v>
      </c>
      <c r="X153" s="123">
        <f t="shared" si="45"/>
        <v>2.7</v>
      </c>
      <c r="Y153" s="123">
        <f t="shared" si="45"/>
        <v>2.7</v>
      </c>
      <c r="Z153" s="123">
        <f t="shared" si="45"/>
        <v>2.7</v>
      </c>
      <c r="AA153" s="123">
        <f t="shared" si="45"/>
        <v>2.7</v>
      </c>
      <c r="AB153" s="123">
        <f t="shared" si="45"/>
        <v>2.7</v>
      </c>
      <c r="AC153" s="123">
        <f t="shared" si="45"/>
        <v>2.7</v>
      </c>
      <c r="AD153" s="123">
        <f t="shared" si="45"/>
        <v>2.7</v>
      </c>
      <c r="AE153" s="123">
        <f t="shared" si="45"/>
        <v>2.7</v>
      </c>
      <c r="AF153" s="123">
        <f t="shared" si="45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4"/>
        <v>2.15</v>
      </c>
      <c r="E154" s="123">
        <f t="shared" si="44"/>
        <v>2.15</v>
      </c>
      <c r="F154" s="123">
        <f t="shared" si="44"/>
        <v>2.15</v>
      </c>
      <c r="G154" s="123">
        <f t="shared" si="44"/>
        <v>2.15</v>
      </c>
      <c r="H154" s="123">
        <f t="shared" si="44"/>
        <v>2.15</v>
      </c>
      <c r="I154" s="123">
        <f t="shared" si="44"/>
        <v>2.15</v>
      </c>
      <c r="J154" s="123">
        <f t="shared" si="44"/>
        <v>2.15</v>
      </c>
      <c r="K154" s="123">
        <f t="shared" si="44"/>
        <v>2.15</v>
      </c>
      <c r="L154" s="123">
        <f t="shared" si="44"/>
        <v>2.15</v>
      </c>
      <c r="M154" s="123">
        <f t="shared" si="44"/>
        <v>2.15</v>
      </c>
      <c r="N154" s="123">
        <f t="shared" si="44"/>
        <v>2.15</v>
      </c>
      <c r="O154" s="123">
        <f t="shared" si="44"/>
        <v>2.15</v>
      </c>
      <c r="P154" s="123">
        <f t="shared" si="44"/>
        <v>2.15</v>
      </c>
      <c r="Q154" s="123">
        <f t="shared" si="44"/>
        <v>2.15</v>
      </c>
      <c r="R154" s="123">
        <f t="shared" si="44"/>
        <v>2.15</v>
      </c>
      <c r="S154" s="123">
        <f t="shared" si="44"/>
        <v>2.15</v>
      </c>
      <c r="T154" s="123">
        <f t="shared" si="45"/>
        <v>2.15</v>
      </c>
      <c r="U154" s="123">
        <f t="shared" si="45"/>
        <v>2.15</v>
      </c>
      <c r="V154" s="123">
        <f t="shared" si="45"/>
        <v>2.15</v>
      </c>
      <c r="W154" s="123">
        <f t="shared" si="45"/>
        <v>2.15</v>
      </c>
      <c r="X154" s="123">
        <f t="shared" si="45"/>
        <v>2.15</v>
      </c>
      <c r="Y154" s="123">
        <f t="shared" si="45"/>
        <v>2.15</v>
      </c>
      <c r="Z154" s="123">
        <f t="shared" si="45"/>
        <v>2.15</v>
      </c>
      <c r="AA154" s="123">
        <f t="shared" si="45"/>
        <v>2.15</v>
      </c>
      <c r="AB154" s="123">
        <f t="shared" si="45"/>
        <v>2.15</v>
      </c>
      <c r="AC154" s="123">
        <f t="shared" si="45"/>
        <v>2.15</v>
      </c>
      <c r="AD154" s="123">
        <f t="shared" si="45"/>
        <v>2.15</v>
      </c>
      <c r="AE154" s="123">
        <f t="shared" si="45"/>
        <v>2.15</v>
      </c>
      <c r="AF154" s="123">
        <f t="shared" si="45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6">AF156</f>
        <v>0.9</v>
      </c>
      <c r="C156" s="124">
        <v>0.9</v>
      </c>
      <c r="D156" s="123">
        <f t="shared" ref="D156:S168" si="47">C156</f>
        <v>0.9</v>
      </c>
      <c r="E156" s="123">
        <f t="shared" si="47"/>
        <v>0.9</v>
      </c>
      <c r="F156" s="123">
        <f t="shared" si="47"/>
        <v>0.9</v>
      </c>
      <c r="G156" s="123">
        <f t="shared" si="47"/>
        <v>0.9</v>
      </c>
      <c r="H156" s="123">
        <f t="shared" si="47"/>
        <v>0.9</v>
      </c>
      <c r="I156" s="123">
        <f t="shared" si="47"/>
        <v>0.9</v>
      </c>
      <c r="J156" s="123">
        <f t="shared" si="47"/>
        <v>0.9</v>
      </c>
      <c r="K156" s="123">
        <f t="shared" si="47"/>
        <v>0.9</v>
      </c>
      <c r="L156" s="123">
        <f t="shared" si="47"/>
        <v>0.9</v>
      </c>
      <c r="M156" s="123">
        <f t="shared" si="47"/>
        <v>0.9</v>
      </c>
      <c r="N156" s="123">
        <f t="shared" si="47"/>
        <v>0.9</v>
      </c>
      <c r="O156" s="123">
        <f t="shared" si="47"/>
        <v>0.9</v>
      </c>
      <c r="P156" s="123">
        <f t="shared" si="47"/>
        <v>0.9</v>
      </c>
      <c r="Q156" s="123">
        <f t="shared" si="47"/>
        <v>0.9</v>
      </c>
      <c r="R156" s="123">
        <f t="shared" si="47"/>
        <v>0.9</v>
      </c>
      <c r="S156" s="123">
        <f t="shared" si="47"/>
        <v>0.9</v>
      </c>
      <c r="T156" s="123">
        <f t="shared" ref="S156:AF168" si="48">S156</f>
        <v>0.9</v>
      </c>
      <c r="U156" s="123">
        <f t="shared" si="48"/>
        <v>0.9</v>
      </c>
      <c r="V156" s="123">
        <f t="shared" si="48"/>
        <v>0.9</v>
      </c>
      <c r="W156" s="123">
        <f t="shared" si="48"/>
        <v>0.9</v>
      </c>
      <c r="X156" s="123">
        <f t="shared" si="48"/>
        <v>0.9</v>
      </c>
      <c r="Y156" s="123">
        <f t="shared" si="48"/>
        <v>0.9</v>
      </c>
      <c r="Z156" s="123">
        <f t="shared" si="48"/>
        <v>0.9</v>
      </c>
      <c r="AA156" s="123">
        <f t="shared" si="48"/>
        <v>0.9</v>
      </c>
      <c r="AB156" s="123">
        <f t="shared" si="48"/>
        <v>0.9</v>
      </c>
      <c r="AC156" s="123">
        <f t="shared" si="48"/>
        <v>0.9</v>
      </c>
      <c r="AD156" s="123">
        <f t="shared" si="48"/>
        <v>0.9</v>
      </c>
      <c r="AE156" s="123">
        <f t="shared" si="48"/>
        <v>0.9</v>
      </c>
      <c r="AF156" s="123">
        <f t="shared" si="48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6"/>
        <v>1.08</v>
      </c>
      <c r="C157" s="124">
        <v>1.08</v>
      </c>
      <c r="D157" s="123">
        <f t="shared" si="47"/>
        <v>1.08</v>
      </c>
      <c r="E157" s="123">
        <f t="shared" si="47"/>
        <v>1.08</v>
      </c>
      <c r="F157" s="123">
        <f t="shared" si="47"/>
        <v>1.08</v>
      </c>
      <c r="G157" s="123">
        <f t="shared" si="47"/>
        <v>1.08</v>
      </c>
      <c r="H157" s="123">
        <f t="shared" si="47"/>
        <v>1.08</v>
      </c>
      <c r="I157" s="123">
        <f t="shared" si="47"/>
        <v>1.08</v>
      </c>
      <c r="J157" s="123">
        <f t="shared" si="47"/>
        <v>1.08</v>
      </c>
      <c r="K157" s="123">
        <f t="shared" si="47"/>
        <v>1.08</v>
      </c>
      <c r="L157" s="123">
        <f t="shared" si="47"/>
        <v>1.08</v>
      </c>
      <c r="M157" s="123">
        <f t="shared" si="47"/>
        <v>1.08</v>
      </c>
      <c r="N157" s="123">
        <f t="shared" si="47"/>
        <v>1.08</v>
      </c>
      <c r="O157" s="123">
        <f t="shared" si="47"/>
        <v>1.08</v>
      </c>
      <c r="P157" s="123">
        <f t="shared" si="47"/>
        <v>1.08</v>
      </c>
      <c r="Q157" s="123">
        <f t="shared" si="47"/>
        <v>1.08</v>
      </c>
      <c r="R157" s="123">
        <f t="shared" si="47"/>
        <v>1.08</v>
      </c>
      <c r="S157" s="123">
        <f t="shared" si="47"/>
        <v>1.08</v>
      </c>
      <c r="T157" s="123">
        <f t="shared" si="48"/>
        <v>1.08</v>
      </c>
      <c r="U157" s="123">
        <f t="shared" si="48"/>
        <v>1.08</v>
      </c>
      <c r="V157" s="123">
        <f t="shared" si="48"/>
        <v>1.08</v>
      </c>
      <c r="W157" s="123">
        <f t="shared" si="48"/>
        <v>1.08</v>
      </c>
      <c r="X157" s="123">
        <f t="shared" si="48"/>
        <v>1.08</v>
      </c>
      <c r="Y157" s="123">
        <f t="shared" si="48"/>
        <v>1.08</v>
      </c>
      <c r="Z157" s="123">
        <f t="shared" si="48"/>
        <v>1.08</v>
      </c>
      <c r="AA157" s="123">
        <f t="shared" si="48"/>
        <v>1.08</v>
      </c>
      <c r="AB157" s="123">
        <f t="shared" si="48"/>
        <v>1.08</v>
      </c>
      <c r="AC157" s="123">
        <f t="shared" si="48"/>
        <v>1.08</v>
      </c>
      <c r="AD157" s="123">
        <f t="shared" si="48"/>
        <v>1.08</v>
      </c>
      <c r="AE157" s="123">
        <f t="shared" si="48"/>
        <v>1.08</v>
      </c>
      <c r="AF157" s="123">
        <f t="shared" si="48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6"/>
        <v>2.37</v>
      </c>
      <c r="C158" s="124">
        <v>2.37</v>
      </c>
      <c r="D158" s="123">
        <f t="shared" si="47"/>
        <v>2.37</v>
      </c>
      <c r="E158" s="123">
        <f t="shared" si="47"/>
        <v>2.37</v>
      </c>
      <c r="F158" s="123">
        <f t="shared" si="47"/>
        <v>2.37</v>
      </c>
      <c r="G158" s="123">
        <f t="shared" si="47"/>
        <v>2.37</v>
      </c>
      <c r="H158" s="123">
        <f t="shared" si="47"/>
        <v>2.37</v>
      </c>
      <c r="I158" s="123">
        <f t="shared" si="47"/>
        <v>2.37</v>
      </c>
      <c r="J158" s="123">
        <f t="shared" si="47"/>
        <v>2.37</v>
      </c>
      <c r="K158" s="123">
        <f t="shared" si="47"/>
        <v>2.37</v>
      </c>
      <c r="L158" s="123">
        <f t="shared" si="47"/>
        <v>2.37</v>
      </c>
      <c r="M158" s="123">
        <f t="shared" si="47"/>
        <v>2.37</v>
      </c>
      <c r="N158" s="123">
        <f t="shared" si="47"/>
        <v>2.37</v>
      </c>
      <c r="O158" s="123">
        <f t="shared" si="47"/>
        <v>2.37</v>
      </c>
      <c r="P158" s="123">
        <f t="shared" si="47"/>
        <v>2.37</v>
      </c>
      <c r="Q158" s="123">
        <f t="shared" si="47"/>
        <v>2.37</v>
      </c>
      <c r="R158" s="123">
        <f t="shared" si="47"/>
        <v>2.37</v>
      </c>
      <c r="S158" s="123">
        <f t="shared" si="47"/>
        <v>2.37</v>
      </c>
      <c r="T158" s="123">
        <f t="shared" si="48"/>
        <v>2.37</v>
      </c>
      <c r="U158" s="123">
        <f t="shared" si="48"/>
        <v>2.37</v>
      </c>
      <c r="V158" s="123">
        <f t="shared" si="48"/>
        <v>2.37</v>
      </c>
      <c r="W158" s="123">
        <f t="shared" si="48"/>
        <v>2.37</v>
      </c>
      <c r="X158" s="123">
        <f t="shared" si="48"/>
        <v>2.37</v>
      </c>
      <c r="Y158" s="123">
        <f t="shared" si="48"/>
        <v>2.37</v>
      </c>
      <c r="Z158" s="123">
        <f t="shared" si="48"/>
        <v>2.37</v>
      </c>
      <c r="AA158" s="123">
        <f t="shared" si="48"/>
        <v>2.37</v>
      </c>
      <c r="AB158" s="123">
        <f t="shared" si="48"/>
        <v>2.37</v>
      </c>
      <c r="AC158" s="123">
        <f t="shared" si="48"/>
        <v>2.37</v>
      </c>
      <c r="AD158" s="123">
        <f t="shared" si="48"/>
        <v>2.37</v>
      </c>
      <c r="AE158" s="123">
        <f t="shared" si="48"/>
        <v>2.37</v>
      </c>
      <c r="AF158" s="123">
        <f t="shared" si="48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6"/>
        <v>1.81</v>
      </c>
      <c r="C159" s="124">
        <v>1.81</v>
      </c>
      <c r="D159" s="123">
        <f t="shared" si="47"/>
        <v>1.81</v>
      </c>
      <c r="E159" s="123">
        <f t="shared" si="47"/>
        <v>1.81</v>
      </c>
      <c r="F159" s="123">
        <f t="shared" si="47"/>
        <v>1.81</v>
      </c>
      <c r="G159" s="123">
        <f t="shared" si="47"/>
        <v>1.81</v>
      </c>
      <c r="H159" s="123">
        <f t="shared" si="47"/>
        <v>1.81</v>
      </c>
      <c r="I159" s="123">
        <f t="shared" si="47"/>
        <v>1.81</v>
      </c>
      <c r="J159" s="123">
        <f t="shared" si="47"/>
        <v>1.81</v>
      </c>
      <c r="K159" s="123">
        <f t="shared" si="47"/>
        <v>1.81</v>
      </c>
      <c r="L159" s="123">
        <f t="shared" si="47"/>
        <v>1.81</v>
      </c>
      <c r="M159" s="123">
        <f t="shared" si="47"/>
        <v>1.81</v>
      </c>
      <c r="N159" s="123">
        <f t="shared" si="47"/>
        <v>1.81</v>
      </c>
      <c r="O159" s="123">
        <f t="shared" si="47"/>
        <v>1.81</v>
      </c>
      <c r="P159" s="123">
        <f t="shared" si="47"/>
        <v>1.81</v>
      </c>
      <c r="Q159" s="123">
        <f t="shared" si="47"/>
        <v>1.81</v>
      </c>
      <c r="R159" s="123">
        <f t="shared" si="47"/>
        <v>1.81</v>
      </c>
      <c r="S159" s="123">
        <f t="shared" si="47"/>
        <v>1.81</v>
      </c>
      <c r="T159" s="123">
        <f t="shared" si="48"/>
        <v>1.81</v>
      </c>
      <c r="U159" s="123">
        <f t="shared" si="48"/>
        <v>1.81</v>
      </c>
      <c r="V159" s="123">
        <f t="shared" si="48"/>
        <v>1.81</v>
      </c>
      <c r="W159" s="123">
        <f t="shared" si="48"/>
        <v>1.81</v>
      </c>
      <c r="X159" s="123">
        <f t="shared" si="48"/>
        <v>1.81</v>
      </c>
      <c r="Y159" s="123">
        <f t="shared" si="48"/>
        <v>1.81</v>
      </c>
      <c r="Z159" s="123">
        <f t="shared" si="48"/>
        <v>1.81</v>
      </c>
      <c r="AA159" s="123">
        <f t="shared" si="48"/>
        <v>1.81</v>
      </c>
      <c r="AB159" s="123">
        <f t="shared" si="48"/>
        <v>1.81</v>
      </c>
      <c r="AC159" s="123">
        <f t="shared" si="48"/>
        <v>1.81</v>
      </c>
      <c r="AD159" s="123">
        <f t="shared" si="48"/>
        <v>1.81</v>
      </c>
      <c r="AE159" s="123">
        <f t="shared" si="48"/>
        <v>1.81</v>
      </c>
      <c r="AF159" s="123">
        <f t="shared" si="48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6"/>
        <v>1.0900000000000001</v>
      </c>
      <c r="C160" s="124">
        <v>1.0900000000000001</v>
      </c>
      <c r="D160" s="123">
        <f t="shared" si="47"/>
        <v>1.0900000000000001</v>
      </c>
      <c r="E160" s="123">
        <f t="shared" si="47"/>
        <v>1.0900000000000001</v>
      </c>
      <c r="F160" s="123">
        <f t="shared" si="47"/>
        <v>1.0900000000000001</v>
      </c>
      <c r="G160" s="123">
        <f t="shared" si="47"/>
        <v>1.0900000000000001</v>
      </c>
      <c r="H160" s="123">
        <f t="shared" si="47"/>
        <v>1.0900000000000001</v>
      </c>
      <c r="I160" s="123">
        <f t="shared" si="47"/>
        <v>1.0900000000000001</v>
      </c>
      <c r="J160" s="123">
        <f t="shared" si="47"/>
        <v>1.0900000000000001</v>
      </c>
      <c r="K160" s="123">
        <f t="shared" si="47"/>
        <v>1.0900000000000001</v>
      </c>
      <c r="L160" s="123">
        <f t="shared" si="47"/>
        <v>1.0900000000000001</v>
      </c>
      <c r="M160" s="123">
        <f t="shared" si="47"/>
        <v>1.0900000000000001</v>
      </c>
      <c r="N160" s="123">
        <f t="shared" si="47"/>
        <v>1.0900000000000001</v>
      </c>
      <c r="O160" s="123">
        <f t="shared" si="47"/>
        <v>1.0900000000000001</v>
      </c>
      <c r="P160" s="123">
        <f t="shared" si="47"/>
        <v>1.0900000000000001</v>
      </c>
      <c r="Q160" s="123">
        <f t="shared" si="47"/>
        <v>1.0900000000000001</v>
      </c>
      <c r="R160" s="123">
        <f t="shared" si="47"/>
        <v>1.0900000000000001</v>
      </c>
      <c r="S160" s="123">
        <f t="shared" si="47"/>
        <v>1.0900000000000001</v>
      </c>
      <c r="T160" s="123">
        <f t="shared" si="48"/>
        <v>1.0900000000000001</v>
      </c>
      <c r="U160" s="123">
        <f t="shared" si="48"/>
        <v>1.0900000000000001</v>
      </c>
      <c r="V160" s="123">
        <f t="shared" si="48"/>
        <v>1.0900000000000001</v>
      </c>
      <c r="W160" s="123">
        <f t="shared" si="48"/>
        <v>1.0900000000000001</v>
      </c>
      <c r="X160" s="123">
        <f t="shared" si="48"/>
        <v>1.0900000000000001</v>
      </c>
      <c r="Y160" s="123">
        <f t="shared" si="48"/>
        <v>1.0900000000000001</v>
      </c>
      <c r="Z160" s="123">
        <f t="shared" si="48"/>
        <v>1.0900000000000001</v>
      </c>
      <c r="AA160" s="123">
        <f t="shared" si="48"/>
        <v>1.0900000000000001</v>
      </c>
      <c r="AB160" s="123">
        <f t="shared" si="48"/>
        <v>1.0900000000000001</v>
      </c>
      <c r="AC160" s="123">
        <f t="shared" si="48"/>
        <v>1.0900000000000001</v>
      </c>
      <c r="AD160" s="123">
        <f t="shared" si="48"/>
        <v>1.0900000000000001</v>
      </c>
      <c r="AE160" s="123">
        <f t="shared" si="48"/>
        <v>1.0900000000000001</v>
      </c>
      <c r="AF160" s="123">
        <f t="shared" si="48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6"/>
        <v>1.58</v>
      </c>
      <c r="C161" s="124">
        <v>1.58</v>
      </c>
      <c r="D161" s="123">
        <f t="shared" si="47"/>
        <v>1.58</v>
      </c>
      <c r="E161" s="123">
        <f t="shared" si="47"/>
        <v>1.58</v>
      </c>
      <c r="F161" s="123">
        <f t="shared" si="47"/>
        <v>1.58</v>
      </c>
      <c r="G161" s="123">
        <f t="shared" si="47"/>
        <v>1.58</v>
      </c>
      <c r="H161" s="123">
        <f t="shared" si="47"/>
        <v>1.58</v>
      </c>
      <c r="I161" s="123">
        <f t="shared" si="47"/>
        <v>1.58</v>
      </c>
      <c r="J161" s="123">
        <f t="shared" si="47"/>
        <v>1.58</v>
      </c>
      <c r="K161" s="123">
        <f t="shared" si="47"/>
        <v>1.58</v>
      </c>
      <c r="L161" s="123">
        <f t="shared" si="47"/>
        <v>1.58</v>
      </c>
      <c r="M161" s="123">
        <f t="shared" si="47"/>
        <v>1.58</v>
      </c>
      <c r="N161" s="123">
        <f t="shared" si="47"/>
        <v>1.58</v>
      </c>
      <c r="O161" s="123">
        <f t="shared" si="47"/>
        <v>1.58</v>
      </c>
      <c r="P161" s="123">
        <f t="shared" si="47"/>
        <v>1.58</v>
      </c>
      <c r="Q161" s="123">
        <f t="shared" si="47"/>
        <v>1.58</v>
      </c>
      <c r="R161" s="123">
        <f t="shared" si="47"/>
        <v>1.58</v>
      </c>
      <c r="S161" s="123">
        <f t="shared" si="47"/>
        <v>1.58</v>
      </c>
      <c r="T161" s="123">
        <f t="shared" si="48"/>
        <v>1.58</v>
      </c>
      <c r="U161" s="123">
        <f t="shared" si="48"/>
        <v>1.58</v>
      </c>
      <c r="V161" s="123">
        <f t="shared" si="48"/>
        <v>1.58</v>
      </c>
      <c r="W161" s="123">
        <f t="shared" si="48"/>
        <v>1.58</v>
      </c>
      <c r="X161" s="123">
        <f t="shared" si="48"/>
        <v>1.58</v>
      </c>
      <c r="Y161" s="123">
        <f t="shared" si="48"/>
        <v>1.58</v>
      </c>
      <c r="Z161" s="123">
        <f t="shared" si="48"/>
        <v>1.58</v>
      </c>
      <c r="AA161" s="123">
        <f t="shared" si="48"/>
        <v>1.58</v>
      </c>
      <c r="AB161" s="123">
        <f t="shared" si="48"/>
        <v>1.58</v>
      </c>
      <c r="AC161" s="123">
        <f t="shared" si="48"/>
        <v>1.58</v>
      </c>
      <c r="AD161" s="123">
        <f t="shared" si="48"/>
        <v>1.58</v>
      </c>
      <c r="AE161" s="123">
        <f t="shared" si="48"/>
        <v>1.58</v>
      </c>
      <c r="AF161" s="123">
        <f t="shared" si="48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6"/>
        <v>2</v>
      </c>
      <c r="C162" s="124">
        <v>2</v>
      </c>
      <c r="D162" s="123">
        <f t="shared" si="47"/>
        <v>2</v>
      </c>
      <c r="E162" s="123">
        <f t="shared" si="47"/>
        <v>2</v>
      </c>
      <c r="F162" s="123">
        <f t="shared" si="47"/>
        <v>2</v>
      </c>
      <c r="G162" s="123">
        <f t="shared" si="47"/>
        <v>2</v>
      </c>
      <c r="H162" s="123">
        <f t="shared" si="47"/>
        <v>2</v>
      </c>
      <c r="I162" s="123">
        <f t="shared" si="47"/>
        <v>2</v>
      </c>
      <c r="J162" s="123">
        <f t="shared" si="47"/>
        <v>2</v>
      </c>
      <c r="K162" s="123">
        <f t="shared" si="47"/>
        <v>2</v>
      </c>
      <c r="L162" s="123">
        <f t="shared" si="47"/>
        <v>2</v>
      </c>
      <c r="M162" s="123">
        <f t="shared" si="47"/>
        <v>2</v>
      </c>
      <c r="N162" s="123">
        <f t="shared" si="47"/>
        <v>2</v>
      </c>
      <c r="O162" s="123">
        <f t="shared" si="47"/>
        <v>2</v>
      </c>
      <c r="P162" s="123">
        <f t="shared" si="47"/>
        <v>2</v>
      </c>
      <c r="Q162" s="123">
        <f t="shared" si="47"/>
        <v>2</v>
      </c>
      <c r="R162" s="123">
        <f t="shared" si="47"/>
        <v>2</v>
      </c>
      <c r="S162" s="123">
        <f t="shared" si="47"/>
        <v>2</v>
      </c>
      <c r="T162" s="123">
        <f t="shared" si="48"/>
        <v>2</v>
      </c>
      <c r="U162" s="123">
        <f t="shared" si="48"/>
        <v>2</v>
      </c>
      <c r="V162" s="123">
        <f t="shared" si="48"/>
        <v>2</v>
      </c>
      <c r="W162" s="123">
        <f t="shared" si="48"/>
        <v>2</v>
      </c>
      <c r="X162" s="123">
        <f t="shared" si="48"/>
        <v>2</v>
      </c>
      <c r="Y162" s="123">
        <f t="shared" si="48"/>
        <v>2</v>
      </c>
      <c r="Z162" s="123">
        <f t="shared" si="48"/>
        <v>2</v>
      </c>
      <c r="AA162" s="123">
        <f t="shared" si="48"/>
        <v>2</v>
      </c>
      <c r="AB162" s="123">
        <f t="shared" si="48"/>
        <v>2</v>
      </c>
      <c r="AC162" s="123">
        <f t="shared" si="48"/>
        <v>2</v>
      </c>
      <c r="AD162" s="123">
        <f t="shared" si="48"/>
        <v>2</v>
      </c>
      <c r="AE162" s="123">
        <f t="shared" si="48"/>
        <v>2</v>
      </c>
      <c r="AF162" s="123">
        <f t="shared" si="48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6"/>
        <v>0.47</v>
      </c>
      <c r="C163" s="124">
        <v>0.47</v>
      </c>
      <c r="D163" s="123">
        <f t="shared" si="47"/>
        <v>0.47</v>
      </c>
      <c r="E163" s="123">
        <f t="shared" si="47"/>
        <v>0.47</v>
      </c>
      <c r="F163" s="123">
        <f t="shared" si="47"/>
        <v>0.47</v>
      </c>
      <c r="G163" s="123">
        <f t="shared" si="47"/>
        <v>0.47</v>
      </c>
      <c r="H163" s="123">
        <f t="shared" si="47"/>
        <v>0.47</v>
      </c>
      <c r="I163" s="123">
        <f t="shared" si="47"/>
        <v>0.47</v>
      </c>
      <c r="J163" s="123">
        <f t="shared" si="47"/>
        <v>0.47</v>
      </c>
      <c r="K163" s="123">
        <f t="shared" si="47"/>
        <v>0.47</v>
      </c>
      <c r="L163" s="123">
        <f t="shared" si="47"/>
        <v>0.47</v>
      </c>
      <c r="M163" s="123">
        <f t="shared" si="47"/>
        <v>0.47</v>
      </c>
      <c r="N163" s="123">
        <f t="shared" si="47"/>
        <v>0.47</v>
      </c>
      <c r="O163" s="123">
        <f t="shared" si="47"/>
        <v>0.47</v>
      </c>
      <c r="P163" s="123">
        <f t="shared" si="47"/>
        <v>0.47</v>
      </c>
      <c r="Q163" s="123">
        <f t="shared" si="47"/>
        <v>0.47</v>
      </c>
      <c r="R163" s="123">
        <f t="shared" si="47"/>
        <v>0.47</v>
      </c>
      <c r="S163" s="123">
        <f t="shared" si="47"/>
        <v>0.47</v>
      </c>
      <c r="T163" s="123">
        <f t="shared" si="48"/>
        <v>0.47</v>
      </c>
      <c r="U163" s="123">
        <f t="shared" si="48"/>
        <v>0.47</v>
      </c>
      <c r="V163" s="123">
        <f t="shared" si="48"/>
        <v>0.47</v>
      </c>
      <c r="W163" s="123">
        <f t="shared" si="48"/>
        <v>0.47</v>
      </c>
      <c r="X163" s="123">
        <f t="shared" si="48"/>
        <v>0.47</v>
      </c>
      <c r="Y163" s="123">
        <f t="shared" si="48"/>
        <v>0.47</v>
      </c>
      <c r="Z163" s="123">
        <f t="shared" si="48"/>
        <v>0.47</v>
      </c>
      <c r="AA163" s="123">
        <f t="shared" si="48"/>
        <v>0.47</v>
      </c>
      <c r="AB163" s="123">
        <f t="shared" si="48"/>
        <v>0.47</v>
      </c>
      <c r="AC163" s="123">
        <f t="shared" si="48"/>
        <v>0.47</v>
      </c>
      <c r="AD163" s="123">
        <f t="shared" si="48"/>
        <v>0.47</v>
      </c>
      <c r="AE163" s="123">
        <f t="shared" si="48"/>
        <v>0.47</v>
      </c>
      <c r="AF163" s="123">
        <f t="shared" si="48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6"/>
        <v>0</v>
      </c>
      <c r="C164" s="124">
        <v>0</v>
      </c>
      <c r="D164" s="123">
        <f t="shared" si="47"/>
        <v>0</v>
      </c>
      <c r="E164" s="123">
        <f t="shared" si="47"/>
        <v>0</v>
      </c>
      <c r="F164" s="123">
        <f t="shared" si="47"/>
        <v>0</v>
      </c>
      <c r="G164" s="123">
        <f t="shared" si="47"/>
        <v>0</v>
      </c>
      <c r="H164" s="123">
        <f t="shared" si="47"/>
        <v>0</v>
      </c>
      <c r="I164" s="123">
        <f t="shared" si="47"/>
        <v>0</v>
      </c>
      <c r="J164" s="123">
        <f t="shared" si="47"/>
        <v>0</v>
      </c>
      <c r="K164" s="123">
        <f t="shared" si="47"/>
        <v>0</v>
      </c>
      <c r="L164" s="123">
        <f t="shared" si="47"/>
        <v>0</v>
      </c>
      <c r="M164" s="123">
        <f t="shared" si="47"/>
        <v>0</v>
      </c>
      <c r="N164" s="123">
        <f t="shared" si="47"/>
        <v>0</v>
      </c>
      <c r="O164" s="123">
        <f t="shared" si="47"/>
        <v>0</v>
      </c>
      <c r="P164" s="123">
        <f t="shared" si="47"/>
        <v>0</v>
      </c>
      <c r="Q164" s="123">
        <f t="shared" si="47"/>
        <v>0</v>
      </c>
      <c r="R164" s="123">
        <f t="shared" si="47"/>
        <v>0</v>
      </c>
      <c r="S164" s="123">
        <f t="shared" si="47"/>
        <v>0</v>
      </c>
      <c r="T164" s="123">
        <f t="shared" si="48"/>
        <v>0</v>
      </c>
      <c r="U164" s="123">
        <f t="shared" si="48"/>
        <v>0</v>
      </c>
      <c r="V164" s="123">
        <f t="shared" si="48"/>
        <v>0</v>
      </c>
      <c r="W164" s="123">
        <f t="shared" si="48"/>
        <v>0</v>
      </c>
      <c r="X164" s="123">
        <f t="shared" si="48"/>
        <v>0</v>
      </c>
      <c r="Y164" s="123">
        <f t="shared" si="48"/>
        <v>0</v>
      </c>
      <c r="Z164" s="123">
        <f t="shared" si="48"/>
        <v>0</v>
      </c>
      <c r="AA164" s="123">
        <f t="shared" si="48"/>
        <v>0</v>
      </c>
      <c r="AB164" s="123">
        <f t="shared" si="48"/>
        <v>0</v>
      </c>
      <c r="AC164" s="123">
        <f t="shared" si="48"/>
        <v>0</v>
      </c>
      <c r="AD164" s="123">
        <f t="shared" si="48"/>
        <v>0</v>
      </c>
      <c r="AE164" s="123">
        <f t="shared" si="48"/>
        <v>0</v>
      </c>
      <c r="AF164" s="123">
        <f t="shared" si="48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8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6"/>
        <v>0.8</v>
      </c>
      <c r="C166" s="124">
        <v>0.8</v>
      </c>
      <c r="D166" s="123">
        <f t="shared" si="47"/>
        <v>0.8</v>
      </c>
      <c r="E166" s="123">
        <f t="shared" si="47"/>
        <v>0.8</v>
      </c>
      <c r="F166" s="123">
        <f t="shared" si="47"/>
        <v>0.8</v>
      </c>
      <c r="G166" s="123">
        <f t="shared" si="47"/>
        <v>0.8</v>
      </c>
      <c r="H166" s="123">
        <f t="shared" si="47"/>
        <v>0.8</v>
      </c>
      <c r="I166" s="123">
        <f t="shared" si="47"/>
        <v>0.8</v>
      </c>
      <c r="J166" s="123">
        <f t="shared" si="47"/>
        <v>0.8</v>
      </c>
      <c r="K166" s="123">
        <f t="shared" si="47"/>
        <v>0.8</v>
      </c>
      <c r="L166" s="123">
        <f t="shared" si="47"/>
        <v>0.8</v>
      </c>
      <c r="M166" s="123">
        <f t="shared" si="47"/>
        <v>0.8</v>
      </c>
      <c r="N166" s="123">
        <f t="shared" si="47"/>
        <v>0.8</v>
      </c>
      <c r="O166" s="123">
        <f t="shared" si="47"/>
        <v>0.8</v>
      </c>
      <c r="P166" s="123">
        <f t="shared" si="47"/>
        <v>0.8</v>
      </c>
      <c r="Q166" s="123">
        <f t="shared" si="47"/>
        <v>0.8</v>
      </c>
      <c r="R166" s="123">
        <f t="shared" si="47"/>
        <v>0.8</v>
      </c>
      <c r="S166" s="123">
        <f t="shared" si="48"/>
        <v>0.8</v>
      </c>
      <c r="T166" s="123">
        <f t="shared" si="48"/>
        <v>0.8</v>
      </c>
      <c r="U166" s="123">
        <f t="shared" si="48"/>
        <v>0.8</v>
      </c>
      <c r="V166" s="123">
        <f t="shared" si="48"/>
        <v>0.8</v>
      </c>
      <c r="W166" s="123">
        <f t="shared" si="48"/>
        <v>0.8</v>
      </c>
      <c r="X166" s="123">
        <f t="shared" si="48"/>
        <v>0.8</v>
      </c>
      <c r="Y166" s="123">
        <f t="shared" si="48"/>
        <v>0.8</v>
      </c>
      <c r="Z166" s="123">
        <f t="shared" si="48"/>
        <v>0.8</v>
      </c>
      <c r="AA166" s="123">
        <f t="shared" si="48"/>
        <v>0.8</v>
      </c>
      <c r="AB166" s="123">
        <f t="shared" si="48"/>
        <v>0.8</v>
      </c>
      <c r="AC166" s="123">
        <f t="shared" si="48"/>
        <v>0.8</v>
      </c>
      <c r="AD166" s="123">
        <f t="shared" si="48"/>
        <v>0.8</v>
      </c>
      <c r="AE166" s="123">
        <f t="shared" si="48"/>
        <v>0.8</v>
      </c>
      <c r="AF166" s="123">
        <f t="shared" si="48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6"/>
        <v>1.5</v>
      </c>
      <c r="C167" s="124">
        <v>1.5</v>
      </c>
      <c r="D167" s="123">
        <f t="shared" si="47"/>
        <v>1.5</v>
      </c>
      <c r="E167" s="123">
        <f t="shared" si="47"/>
        <v>1.5</v>
      </c>
      <c r="F167" s="123">
        <f t="shared" si="47"/>
        <v>1.5</v>
      </c>
      <c r="G167" s="123">
        <f t="shared" si="47"/>
        <v>1.5</v>
      </c>
      <c r="H167" s="123">
        <f t="shared" si="47"/>
        <v>1.5</v>
      </c>
      <c r="I167" s="123">
        <f t="shared" si="47"/>
        <v>1.5</v>
      </c>
      <c r="J167" s="123">
        <f t="shared" si="47"/>
        <v>1.5</v>
      </c>
      <c r="K167" s="123">
        <f t="shared" si="47"/>
        <v>1.5</v>
      </c>
      <c r="L167" s="123">
        <f t="shared" si="47"/>
        <v>1.5</v>
      </c>
      <c r="M167" s="123">
        <f t="shared" si="47"/>
        <v>1.5</v>
      </c>
      <c r="N167" s="123">
        <f t="shared" si="47"/>
        <v>1.5</v>
      </c>
      <c r="O167" s="123">
        <f t="shared" si="47"/>
        <v>1.5</v>
      </c>
      <c r="P167" s="123">
        <f t="shared" si="47"/>
        <v>1.5</v>
      </c>
      <c r="Q167" s="123">
        <f t="shared" si="47"/>
        <v>1.5</v>
      </c>
      <c r="R167" s="123">
        <f t="shared" si="47"/>
        <v>1.5</v>
      </c>
      <c r="S167" s="123">
        <f t="shared" si="48"/>
        <v>1.5</v>
      </c>
      <c r="T167" s="123">
        <f t="shared" si="48"/>
        <v>1.5</v>
      </c>
      <c r="U167" s="123">
        <f t="shared" si="48"/>
        <v>1.5</v>
      </c>
      <c r="V167" s="123">
        <f t="shared" si="48"/>
        <v>1.5</v>
      </c>
      <c r="W167" s="123">
        <f t="shared" si="48"/>
        <v>1.5</v>
      </c>
      <c r="X167" s="123">
        <f t="shared" si="48"/>
        <v>1.5</v>
      </c>
      <c r="Y167" s="123">
        <f t="shared" si="48"/>
        <v>1.5</v>
      </c>
      <c r="Z167" s="123">
        <f t="shared" si="48"/>
        <v>1.5</v>
      </c>
      <c r="AA167" s="123">
        <f t="shared" si="48"/>
        <v>1.5</v>
      </c>
      <c r="AB167" s="123">
        <f t="shared" si="48"/>
        <v>1.5</v>
      </c>
      <c r="AC167" s="123">
        <f t="shared" si="48"/>
        <v>1.5</v>
      </c>
      <c r="AD167" s="123">
        <f t="shared" si="48"/>
        <v>1.5</v>
      </c>
      <c r="AE167" s="123">
        <f t="shared" si="48"/>
        <v>1.5</v>
      </c>
      <c r="AF167" s="123">
        <f t="shared" si="48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6"/>
        <v>1</v>
      </c>
      <c r="C168" s="124">
        <v>1</v>
      </c>
      <c r="D168" s="123">
        <f t="shared" si="47"/>
        <v>1</v>
      </c>
      <c r="E168" s="123">
        <f t="shared" si="47"/>
        <v>1</v>
      </c>
      <c r="F168" s="123">
        <f t="shared" si="47"/>
        <v>1</v>
      </c>
      <c r="G168" s="123">
        <f t="shared" si="47"/>
        <v>1</v>
      </c>
      <c r="H168" s="123">
        <f t="shared" si="47"/>
        <v>1</v>
      </c>
      <c r="I168" s="123">
        <f t="shared" si="47"/>
        <v>1</v>
      </c>
      <c r="J168" s="123">
        <f t="shared" si="47"/>
        <v>1</v>
      </c>
      <c r="K168" s="123">
        <f t="shared" si="47"/>
        <v>1</v>
      </c>
      <c r="L168" s="123">
        <f t="shared" si="47"/>
        <v>1</v>
      </c>
      <c r="M168" s="123">
        <f t="shared" si="47"/>
        <v>1</v>
      </c>
      <c r="N168" s="123">
        <f t="shared" si="47"/>
        <v>1</v>
      </c>
      <c r="O168" s="123">
        <f t="shared" si="47"/>
        <v>1</v>
      </c>
      <c r="P168" s="123">
        <f t="shared" si="47"/>
        <v>1</v>
      </c>
      <c r="Q168" s="123">
        <f t="shared" si="47"/>
        <v>1</v>
      </c>
      <c r="R168" s="123">
        <f t="shared" si="47"/>
        <v>1</v>
      </c>
      <c r="S168" s="123">
        <f t="shared" si="48"/>
        <v>1</v>
      </c>
      <c r="T168" s="123">
        <f t="shared" si="48"/>
        <v>1</v>
      </c>
      <c r="U168" s="123">
        <f t="shared" si="48"/>
        <v>1</v>
      </c>
      <c r="V168" s="123">
        <f t="shared" si="48"/>
        <v>1</v>
      </c>
      <c r="W168" s="123">
        <f t="shared" si="48"/>
        <v>1</v>
      </c>
      <c r="X168" s="123">
        <f t="shared" si="48"/>
        <v>1</v>
      </c>
      <c r="Y168" s="123">
        <f t="shared" si="48"/>
        <v>1</v>
      </c>
      <c r="Z168" s="123">
        <f t="shared" si="48"/>
        <v>1</v>
      </c>
      <c r="AA168" s="123">
        <f t="shared" si="48"/>
        <v>1</v>
      </c>
      <c r="AB168" s="123">
        <f t="shared" si="48"/>
        <v>1</v>
      </c>
      <c r="AC168" s="123">
        <f t="shared" si="48"/>
        <v>1</v>
      </c>
      <c r="AD168" s="123">
        <f t="shared" si="48"/>
        <v>1</v>
      </c>
      <c r="AE168" s="123">
        <f t="shared" si="48"/>
        <v>1</v>
      </c>
      <c r="AF168" s="123">
        <f t="shared" si="48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49">AF170</f>
        <v>1</v>
      </c>
      <c r="C170" s="124">
        <v>1</v>
      </c>
      <c r="D170" s="123">
        <f t="shared" ref="D170:S177" si="50">C170</f>
        <v>1</v>
      </c>
      <c r="E170" s="123">
        <f t="shared" si="50"/>
        <v>1</v>
      </c>
      <c r="F170" s="123">
        <f t="shared" si="50"/>
        <v>1</v>
      </c>
      <c r="G170" s="123">
        <f t="shared" si="50"/>
        <v>1</v>
      </c>
      <c r="H170" s="123">
        <f t="shared" si="50"/>
        <v>1</v>
      </c>
      <c r="I170" s="123">
        <f t="shared" si="50"/>
        <v>1</v>
      </c>
      <c r="J170" s="123">
        <f t="shared" si="50"/>
        <v>1</v>
      </c>
      <c r="K170" s="123">
        <f t="shared" si="50"/>
        <v>1</v>
      </c>
      <c r="L170" s="123">
        <f t="shared" si="50"/>
        <v>1</v>
      </c>
      <c r="M170" s="123">
        <f t="shared" si="50"/>
        <v>1</v>
      </c>
      <c r="N170" s="123">
        <f t="shared" si="50"/>
        <v>1</v>
      </c>
      <c r="O170" s="123">
        <f t="shared" si="50"/>
        <v>1</v>
      </c>
      <c r="P170" s="123">
        <f t="shared" si="50"/>
        <v>1</v>
      </c>
      <c r="Q170" s="123">
        <f t="shared" si="50"/>
        <v>1</v>
      </c>
      <c r="R170" s="123">
        <f t="shared" si="50"/>
        <v>1</v>
      </c>
      <c r="S170" s="123">
        <f t="shared" si="50"/>
        <v>1</v>
      </c>
      <c r="T170" s="123">
        <f t="shared" ref="S170:AF177" si="51">S170</f>
        <v>1</v>
      </c>
      <c r="U170" s="123">
        <f t="shared" si="51"/>
        <v>1</v>
      </c>
      <c r="V170" s="123">
        <f t="shared" si="51"/>
        <v>1</v>
      </c>
      <c r="W170" s="123">
        <f t="shared" si="51"/>
        <v>1</v>
      </c>
      <c r="X170" s="123">
        <f t="shared" si="51"/>
        <v>1</v>
      </c>
      <c r="Y170" s="123">
        <f t="shared" si="51"/>
        <v>1</v>
      </c>
      <c r="Z170" s="123">
        <f t="shared" si="51"/>
        <v>1</v>
      </c>
      <c r="AA170" s="123">
        <f t="shared" si="51"/>
        <v>1</v>
      </c>
      <c r="AB170" s="123">
        <f t="shared" si="51"/>
        <v>1</v>
      </c>
      <c r="AC170" s="123">
        <f t="shared" si="51"/>
        <v>1</v>
      </c>
      <c r="AD170" s="123">
        <f t="shared" si="51"/>
        <v>1</v>
      </c>
      <c r="AE170" s="123">
        <f t="shared" si="51"/>
        <v>1</v>
      </c>
      <c r="AF170" s="123">
        <f t="shared" si="51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49"/>
        <v>0.42</v>
      </c>
      <c r="C171" s="124">
        <v>0.42</v>
      </c>
      <c r="D171" s="123">
        <f t="shared" si="50"/>
        <v>0.42</v>
      </c>
      <c r="E171" s="123">
        <f t="shared" si="50"/>
        <v>0.42</v>
      </c>
      <c r="F171" s="123">
        <f t="shared" si="50"/>
        <v>0.42</v>
      </c>
      <c r="G171" s="123">
        <f t="shared" si="50"/>
        <v>0.42</v>
      </c>
      <c r="H171" s="123">
        <f t="shared" si="50"/>
        <v>0.42</v>
      </c>
      <c r="I171" s="123">
        <f t="shared" si="50"/>
        <v>0.42</v>
      </c>
      <c r="J171" s="123">
        <f t="shared" si="50"/>
        <v>0.42</v>
      </c>
      <c r="K171" s="123">
        <f t="shared" si="50"/>
        <v>0.42</v>
      </c>
      <c r="L171" s="123">
        <f t="shared" si="50"/>
        <v>0.42</v>
      </c>
      <c r="M171" s="123">
        <f t="shared" si="50"/>
        <v>0.42</v>
      </c>
      <c r="N171" s="123">
        <f t="shared" si="50"/>
        <v>0.42</v>
      </c>
      <c r="O171" s="123">
        <f t="shared" si="50"/>
        <v>0.42</v>
      </c>
      <c r="P171" s="123">
        <f t="shared" si="50"/>
        <v>0.42</v>
      </c>
      <c r="Q171" s="123">
        <f t="shared" si="50"/>
        <v>0.42</v>
      </c>
      <c r="R171" s="123">
        <f t="shared" si="50"/>
        <v>0.42</v>
      </c>
      <c r="S171" s="123">
        <f t="shared" si="51"/>
        <v>0.42</v>
      </c>
      <c r="T171" s="123">
        <f t="shared" si="51"/>
        <v>0.42</v>
      </c>
      <c r="U171" s="123">
        <f t="shared" si="51"/>
        <v>0.42</v>
      </c>
      <c r="V171" s="123">
        <f t="shared" si="51"/>
        <v>0.42</v>
      </c>
      <c r="W171" s="123">
        <f t="shared" si="51"/>
        <v>0.42</v>
      </c>
      <c r="X171" s="123">
        <f t="shared" si="51"/>
        <v>0.42</v>
      </c>
      <c r="Y171" s="123">
        <f t="shared" si="51"/>
        <v>0.42</v>
      </c>
      <c r="Z171" s="123">
        <f t="shared" si="51"/>
        <v>0.42</v>
      </c>
      <c r="AA171" s="123">
        <f t="shared" si="51"/>
        <v>0.42</v>
      </c>
      <c r="AB171" s="123">
        <f t="shared" si="51"/>
        <v>0.42</v>
      </c>
      <c r="AC171" s="123">
        <f t="shared" si="51"/>
        <v>0.42</v>
      </c>
      <c r="AD171" s="123">
        <f t="shared" si="51"/>
        <v>0.42</v>
      </c>
      <c r="AE171" s="123">
        <f t="shared" si="51"/>
        <v>0.42</v>
      </c>
      <c r="AF171" s="123">
        <f t="shared" si="51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49"/>
        <v>0.46</v>
      </c>
      <c r="C172" s="124">
        <v>0.46</v>
      </c>
      <c r="D172" s="123">
        <f t="shared" si="50"/>
        <v>0.46</v>
      </c>
      <c r="E172" s="123">
        <f t="shared" si="50"/>
        <v>0.46</v>
      </c>
      <c r="F172" s="123">
        <f t="shared" si="50"/>
        <v>0.46</v>
      </c>
      <c r="G172" s="123">
        <f t="shared" si="50"/>
        <v>0.46</v>
      </c>
      <c r="H172" s="123">
        <f t="shared" si="50"/>
        <v>0.46</v>
      </c>
      <c r="I172" s="123">
        <f t="shared" si="50"/>
        <v>0.46</v>
      </c>
      <c r="J172" s="123">
        <f t="shared" si="50"/>
        <v>0.46</v>
      </c>
      <c r="K172" s="123">
        <f t="shared" si="50"/>
        <v>0.46</v>
      </c>
      <c r="L172" s="123">
        <f t="shared" si="50"/>
        <v>0.46</v>
      </c>
      <c r="M172" s="123">
        <f t="shared" si="50"/>
        <v>0.46</v>
      </c>
      <c r="N172" s="123">
        <f t="shared" si="50"/>
        <v>0.46</v>
      </c>
      <c r="O172" s="123">
        <f t="shared" si="50"/>
        <v>0.46</v>
      </c>
      <c r="P172" s="123">
        <f t="shared" si="50"/>
        <v>0.46</v>
      </c>
      <c r="Q172" s="123">
        <f t="shared" si="50"/>
        <v>0.46</v>
      </c>
      <c r="R172" s="123">
        <f t="shared" si="50"/>
        <v>0.46</v>
      </c>
      <c r="S172" s="123">
        <f t="shared" si="51"/>
        <v>0.46</v>
      </c>
      <c r="T172" s="123">
        <f t="shared" si="51"/>
        <v>0.46</v>
      </c>
      <c r="U172" s="123">
        <f t="shared" si="51"/>
        <v>0.46</v>
      </c>
      <c r="V172" s="123">
        <f t="shared" si="51"/>
        <v>0.46</v>
      </c>
      <c r="W172" s="123">
        <f t="shared" si="51"/>
        <v>0.46</v>
      </c>
      <c r="X172" s="123">
        <f t="shared" si="51"/>
        <v>0.46</v>
      </c>
      <c r="Y172" s="123">
        <f t="shared" si="51"/>
        <v>0.46</v>
      </c>
      <c r="Z172" s="123">
        <f t="shared" si="51"/>
        <v>0.46</v>
      </c>
      <c r="AA172" s="123">
        <f t="shared" si="51"/>
        <v>0.46</v>
      </c>
      <c r="AB172" s="123">
        <f t="shared" si="51"/>
        <v>0.46</v>
      </c>
      <c r="AC172" s="123">
        <f t="shared" si="51"/>
        <v>0.46</v>
      </c>
      <c r="AD172" s="123">
        <f t="shared" si="51"/>
        <v>0.46</v>
      </c>
      <c r="AE172" s="123">
        <f t="shared" si="51"/>
        <v>0.46</v>
      </c>
      <c r="AF172" s="123">
        <f t="shared" si="51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49"/>
        <v>0.85</v>
      </c>
      <c r="C173" s="124">
        <v>0.85</v>
      </c>
      <c r="D173" s="123">
        <f t="shared" si="50"/>
        <v>0.85</v>
      </c>
      <c r="E173" s="123">
        <f t="shared" si="50"/>
        <v>0.85</v>
      </c>
      <c r="F173" s="123">
        <f t="shared" si="50"/>
        <v>0.85</v>
      </c>
      <c r="G173" s="123">
        <f t="shared" si="50"/>
        <v>0.85</v>
      </c>
      <c r="H173" s="123">
        <f t="shared" si="50"/>
        <v>0.85</v>
      </c>
      <c r="I173" s="123">
        <f t="shared" si="50"/>
        <v>0.85</v>
      </c>
      <c r="J173" s="123">
        <f t="shared" si="50"/>
        <v>0.85</v>
      </c>
      <c r="K173" s="123">
        <f t="shared" si="50"/>
        <v>0.85</v>
      </c>
      <c r="L173" s="123">
        <f t="shared" si="50"/>
        <v>0.85</v>
      </c>
      <c r="M173" s="123">
        <f t="shared" si="50"/>
        <v>0.85</v>
      </c>
      <c r="N173" s="123">
        <f t="shared" si="50"/>
        <v>0.85</v>
      </c>
      <c r="O173" s="123">
        <f t="shared" si="50"/>
        <v>0.85</v>
      </c>
      <c r="P173" s="123">
        <f t="shared" si="50"/>
        <v>0.85</v>
      </c>
      <c r="Q173" s="123">
        <f t="shared" si="50"/>
        <v>0.85</v>
      </c>
      <c r="R173" s="123">
        <f t="shared" si="50"/>
        <v>0.85</v>
      </c>
      <c r="S173" s="123">
        <f t="shared" si="51"/>
        <v>0.85</v>
      </c>
      <c r="T173" s="123">
        <f t="shared" si="51"/>
        <v>0.85</v>
      </c>
      <c r="U173" s="123">
        <f t="shared" si="51"/>
        <v>0.85</v>
      </c>
      <c r="V173" s="123">
        <f t="shared" si="51"/>
        <v>0.85</v>
      </c>
      <c r="W173" s="123">
        <f t="shared" si="51"/>
        <v>0.85</v>
      </c>
      <c r="X173" s="123">
        <f t="shared" si="51"/>
        <v>0.85</v>
      </c>
      <c r="Y173" s="123">
        <f t="shared" si="51"/>
        <v>0.85</v>
      </c>
      <c r="Z173" s="123">
        <f t="shared" si="51"/>
        <v>0.85</v>
      </c>
      <c r="AA173" s="123">
        <f t="shared" si="51"/>
        <v>0.85</v>
      </c>
      <c r="AB173" s="123">
        <f t="shared" si="51"/>
        <v>0.85</v>
      </c>
      <c r="AC173" s="123">
        <f t="shared" si="51"/>
        <v>0.85</v>
      </c>
      <c r="AD173" s="123">
        <f t="shared" si="51"/>
        <v>0.85</v>
      </c>
      <c r="AE173" s="123">
        <f t="shared" si="51"/>
        <v>0.85</v>
      </c>
      <c r="AF173" s="123">
        <f t="shared" si="51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49"/>
        <v>0.9</v>
      </c>
      <c r="C174" s="124">
        <v>0.9</v>
      </c>
      <c r="D174" s="123">
        <f t="shared" si="50"/>
        <v>0.9</v>
      </c>
      <c r="E174" s="123">
        <f t="shared" si="50"/>
        <v>0.9</v>
      </c>
      <c r="F174" s="123">
        <f t="shared" si="50"/>
        <v>0.9</v>
      </c>
      <c r="G174" s="123">
        <f t="shared" si="50"/>
        <v>0.9</v>
      </c>
      <c r="H174" s="123">
        <f t="shared" si="50"/>
        <v>0.9</v>
      </c>
      <c r="I174" s="123">
        <f t="shared" si="50"/>
        <v>0.9</v>
      </c>
      <c r="J174" s="123">
        <f t="shared" si="50"/>
        <v>0.9</v>
      </c>
      <c r="K174" s="123">
        <f t="shared" si="50"/>
        <v>0.9</v>
      </c>
      <c r="L174" s="123">
        <f t="shared" si="50"/>
        <v>0.9</v>
      </c>
      <c r="M174" s="123">
        <f t="shared" si="50"/>
        <v>0.9</v>
      </c>
      <c r="N174" s="123">
        <f t="shared" si="50"/>
        <v>0.9</v>
      </c>
      <c r="O174" s="123">
        <f t="shared" si="50"/>
        <v>0.9</v>
      </c>
      <c r="P174" s="123">
        <f t="shared" si="50"/>
        <v>0.9</v>
      </c>
      <c r="Q174" s="123">
        <f t="shared" si="50"/>
        <v>0.9</v>
      </c>
      <c r="R174" s="123">
        <f t="shared" si="50"/>
        <v>0.9</v>
      </c>
      <c r="S174" s="123">
        <f t="shared" si="51"/>
        <v>0.9</v>
      </c>
      <c r="T174" s="123">
        <f t="shared" si="51"/>
        <v>0.9</v>
      </c>
      <c r="U174" s="123">
        <f t="shared" si="51"/>
        <v>0.9</v>
      </c>
      <c r="V174" s="123">
        <f t="shared" si="51"/>
        <v>0.9</v>
      </c>
      <c r="W174" s="123">
        <f t="shared" si="51"/>
        <v>0.9</v>
      </c>
      <c r="X174" s="123">
        <f t="shared" si="51"/>
        <v>0.9</v>
      </c>
      <c r="Y174" s="123">
        <f t="shared" si="51"/>
        <v>0.9</v>
      </c>
      <c r="Z174" s="123">
        <f t="shared" si="51"/>
        <v>0.9</v>
      </c>
      <c r="AA174" s="123">
        <f t="shared" si="51"/>
        <v>0.9</v>
      </c>
      <c r="AB174" s="123">
        <f t="shared" si="51"/>
        <v>0.9</v>
      </c>
      <c r="AC174" s="123">
        <f t="shared" si="51"/>
        <v>0.9</v>
      </c>
      <c r="AD174" s="123">
        <f t="shared" si="51"/>
        <v>0.9</v>
      </c>
      <c r="AE174" s="123">
        <f t="shared" si="51"/>
        <v>0.9</v>
      </c>
      <c r="AF174" s="123">
        <f t="shared" si="51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49"/>
        <v>0.44</v>
      </c>
      <c r="C175" s="124">
        <v>0.44</v>
      </c>
      <c r="D175" s="123">
        <f t="shared" si="50"/>
        <v>0.44</v>
      </c>
      <c r="E175" s="123">
        <f t="shared" si="50"/>
        <v>0.44</v>
      </c>
      <c r="F175" s="123">
        <f t="shared" si="50"/>
        <v>0.44</v>
      </c>
      <c r="G175" s="123">
        <f t="shared" si="50"/>
        <v>0.44</v>
      </c>
      <c r="H175" s="123">
        <f t="shared" si="50"/>
        <v>0.44</v>
      </c>
      <c r="I175" s="123">
        <f t="shared" si="50"/>
        <v>0.44</v>
      </c>
      <c r="J175" s="123">
        <f t="shared" si="50"/>
        <v>0.44</v>
      </c>
      <c r="K175" s="123">
        <f t="shared" si="50"/>
        <v>0.44</v>
      </c>
      <c r="L175" s="123">
        <f t="shared" si="50"/>
        <v>0.44</v>
      </c>
      <c r="M175" s="123">
        <f t="shared" si="50"/>
        <v>0.44</v>
      </c>
      <c r="N175" s="123">
        <f t="shared" si="50"/>
        <v>0.44</v>
      </c>
      <c r="O175" s="123">
        <f t="shared" si="50"/>
        <v>0.44</v>
      </c>
      <c r="P175" s="123">
        <f t="shared" si="50"/>
        <v>0.44</v>
      </c>
      <c r="Q175" s="123">
        <f t="shared" si="50"/>
        <v>0.44</v>
      </c>
      <c r="R175" s="123">
        <f t="shared" si="50"/>
        <v>0.44</v>
      </c>
      <c r="S175" s="123">
        <f t="shared" si="51"/>
        <v>0.44</v>
      </c>
      <c r="T175" s="123">
        <f t="shared" si="51"/>
        <v>0.44</v>
      </c>
      <c r="U175" s="123">
        <f t="shared" si="51"/>
        <v>0.44</v>
      </c>
      <c r="V175" s="123">
        <f t="shared" si="51"/>
        <v>0.44</v>
      </c>
      <c r="W175" s="123">
        <f t="shared" si="51"/>
        <v>0.44</v>
      </c>
      <c r="X175" s="123">
        <f t="shared" si="51"/>
        <v>0.44</v>
      </c>
      <c r="Y175" s="123">
        <f t="shared" si="51"/>
        <v>0.44</v>
      </c>
      <c r="Z175" s="123">
        <f t="shared" si="51"/>
        <v>0.44</v>
      </c>
      <c r="AA175" s="123">
        <f t="shared" si="51"/>
        <v>0.44</v>
      </c>
      <c r="AB175" s="123">
        <f t="shared" si="51"/>
        <v>0.44</v>
      </c>
      <c r="AC175" s="123">
        <f t="shared" si="51"/>
        <v>0.44</v>
      </c>
      <c r="AD175" s="123">
        <f t="shared" si="51"/>
        <v>0.44</v>
      </c>
      <c r="AE175" s="123">
        <f t="shared" si="51"/>
        <v>0.44</v>
      </c>
      <c r="AF175" s="123">
        <f t="shared" si="51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49"/>
        <v>2.1</v>
      </c>
      <c r="C176" s="124">
        <v>2.1</v>
      </c>
      <c r="D176" s="123">
        <f t="shared" si="50"/>
        <v>2.1</v>
      </c>
      <c r="E176" s="123">
        <f t="shared" si="50"/>
        <v>2.1</v>
      </c>
      <c r="F176" s="123">
        <f t="shared" si="50"/>
        <v>2.1</v>
      </c>
      <c r="G176" s="123">
        <f t="shared" si="50"/>
        <v>2.1</v>
      </c>
      <c r="H176" s="123">
        <f t="shared" si="50"/>
        <v>2.1</v>
      </c>
      <c r="I176" s="123">
        <f t="shared" si="50"/>
        <v>2.1</v>
      </c>
      <c r="J176" s="123">
        <f t="shared" si="50"/>
        <v>2.1</v>
      </c>
      <c r="K176" s="123">
        <f t="shared" si="50"/>
        <v>2.1</v>
      </c>
      <c r="L176" s="123">
        <f t="shared" si="50"/>
        <v>2.1</v>
      </c>
      <c r="M176" s="123">
        <f t="shared" si="50"/>
        <v>2.1</v>
      </c>
      <c r="N176" s="123">
        <f t="shared" si="50"/>
        <v>2.1</v>
      </c>
      <c r="O176" s="123">
        <f t="shared" si="50"/>
        <v>2.1</v>
      </c>
      <c r="P176" s="123">
        <f t="shared" si="50"/>
        <v>2.1</v>
      </c>
      <c r="Q176" s="123">
        <f t="shared" si="50"/>
        <v>2.1</v>
      </c>
      <c r="R176" s="123">
        <f t="shared" si="50"/>
        <v>2.1</v>
      </c>
      <c r="S176" s="123">
        <f t="shared" si="51"/>
        <v>2.1</v>
      </c>
      <c r="T176" s="123">
        <f t="shared" si="51"/>
        <v>2.1</v>
      </c>
      <c r="U176" s="123">
        <f t="shared" si="51"/>
        <v>2.1</v>
      </c>
      <c r="V176" s="123">
        <f t="shared" si="51"/>
        <v>2.1</v>
      </c>
      <c r="W176" s="123">
        <f t="shared" si="51"/>
        <v>2.1</v>
      </c>
      <c r="X176" s="123">
        <f t="shared" si="51"/>
        <v>2.1</v>
      </c>
      <c r="Y176" s="123">
        <f t="shared" si="51"/>
        <v>2.1</v>
      </c>
      <c r="Z176" s="123">
        <f t="shared" si="51"/>
        <v>2.1</v>
      </c>
      <c r="AA176" s="123">
        <f t="shared" si="51"/>
        <v>2.1</v>
      </c>
      <c r="AB176" s="123">
        <f t="shared" si="51"/>
        <v>2.1</v>
      </c>
      <c r="AC176" s="123">
        <f t="shared" si="51"/>
        <v>2.1</v>
      </c>
      <c r="AD176" s="123">
        <f t="shared" si="51"/>
        <v>2.1</v>
      </c>
      <c r="AE176" s="123">
        <f t="shared" si="51"/>
        <v>2.1</v>
      </c>
      <c r="AF176" s="123">
        <f t="shared" si="51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49"/>
        <v>0.9</v>
      </c>
      <c r="C177" s="124">
        <v>0.9</v>
      </c>
      <c r="D177" s="123">
        <f t="shared" si="50"/>
        <v>0.9</v>
      </c>
      <c r="E177" s="123">
        <f t="shared" si="50"/>
        <v>0.9</v>
      </c>
      <c r="F177" s="123">
        <f t="shared" si="50"/>
        <v>0.9</v>
      </c>
      <c r="G177" s="123">
        <f t="shared" si="50"/>
        <v>0.9</v>
      </c>
      <c r="H177" s="123">
        <f t="shared" si="50"/>
        <v>0.9</v>
      </c>
      <c r="I177" s="123">
        <f t="shared" si="50"/>
        <v>0.9</v>
      </c>
      <c r="J177" s="123">
        <f t="shared" si="50"/>
        <v>0.9</v>
      </c>
      <c r="K177" s="123">
        <f t="shared" si="50"/>
        <v>0.9</v>
      </c>
      <c r="L177" s="123">
        <f t="shared" si="50"/>
        <v>0.9</v>
      </c>
      <c r="M177" s="123">
        <f t="shared" si="50"/>
        <v>0.9</v>
      </c>
      <c r="N177" s="123">
        <f t="shared" si="50"/>
        <v>0.9</v>
      </c>
      <c r="O177" s="123">
        <f t="shared" si="50"/>
        <v>0.9</v>
      </c>
      <c r="P177" s="123">
        <f t="shared" si="50"/>
        <v>0.9</v>
      </c>
      <c r="Q177" s="123">
        <f t="shared" si="50"/>
        <v>0.9</v>
      </c>
      <c r="R177" s="123">
        <f t="shared" si="50"/>
        <v>0.9</v>
      </c>
      <c r="S177" s="123">
        <f t="shared" si="51"/>
        <v>0.9</v>
      </c>
      <c r="T177" s="123">
        <f t="shared" si="51"/>
        <v>0.9</v>
      </c>
      <c r="U177" s="123">
        <f t="shared" si="51"/>
        <v>0.9</v>
      </c>
      <c r="V177" s="123">
        <f t="shared" si="51"/>
        <v>0.9</v>
      </c>
      <c r="W177" s="123">
        <f t="shared" si="51"/>
        <v>0.9</v>
      </c>
      <c r="X177" s="123">
        <f t="shared" si="51"/>
        <v>0.9</v>
      </c>
      <c r="Y177" s="123">
        <f t="shared" si="51"/>
        <v>0.9</v>
      </c>
      <c r="Z177" s="123">
        <f t="shared" si="51"/>
        <v>0.9</v>
      </c>
      <c r="AA177" s="123">
        <f t="shared" si="51"/>
        <v>0.9</v>
      </c>
      <c r="AB177" s="123">
        <f t="shared" si="51"/>
        <v>0.9</v>
      </c>
      <c r="AC177" s="123">
        <f t="shared" si="51"/>
        <v>0.9</v>
      </c>
      <c r="AD177" s="123">
        <f t="shared" si="51"/>
        <v>0.9</v>
      </c>
      <c r="AE177" s="123">
        <f t="shared" si="51"/>
        <v>0.9</v>
      </c>
      <c r="AF177" s="123">
        <f t="shared" si="51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2">AF179</f>
        <v>0.57999999999999996</v>
      </c>
      <c r="C179" s="124">
        <v>0.57999999999999996</v>
      </c>
      <c r="D179" s="123">
        <f t="shared" ref="D179:S191" si="53">C179</f>
        <v>0.57999999999999996</v>
      </c>
      <c r="E179" s="123">
        <f t="shared" si="53"/>
        <v>0.57999999999999996</v>
      </c>
      <c r="F179" s="123">
        <f t="shared" si="53"/>
        <v>0.57999999999999996</v>
      </c>
      <c r="G179" s="123">
        <f t="shared" si="53"/>
        <v>0.57999999999999996</v>
      </c>
      <c r="H179" s="123">
        <f t="shared" si="53"/>
        <v>0.57999999999999996</v>
      </c>
      <c r="I179" s="123">
        <f t="shared" si="53"/>
        <v>0.57999999999999996</v>
      </c>
      <c r="J179" s="123">
        <f t="shared" si="53"/>
        <v>0.57999999999999996</v>
      </c>
      <c r="K179" s="123">
        <f t="shared" si="53"/>
        <v>0.57999999999999996</v>
      </c>
      <c r="L179" s="123">
        <f t="shared" si="53"/>
        <v>0.57999999999999996</v>
      </c>
      <c r="M179" s="123">
        <f t="shared" si="53"/>
        <v>0.57999999999999996</v>
      </c>
      <c r="N179" s="123">
        <f t="shared" si="53"/>
        <v>0.57999999999999996</v>
      </c>
      <c r="O179" s="123">
        <f t="shared" si="53"/>
        <v>0.57999999999999996</v>
      </c>
      <c r="P179" s="123">
        <f t="shared" si="53"/>
        <v>0.57999999999999996</v>
      </c>
      <c r="Q179" s="123">
        <f t="shared" si="53"/>
        <v>0.57999999999999996</v>
      </c>
      <c r="R179" s="123">
        <f t="shared" si="53"/>
        <v>0.57999999999999996</v>
      </c>
      <c r="S179" s="123">
        <f t="shared" si="53"/>
        <v>0.57999999999999996</v>
      </c>
      <c r="T179" s="123">
        <f t="shared" ref="S179:AF191" si="54">S179</f>
        <v>0.57999999999999996</v>
      </c>
      <c r="U179" s="123">
        <f t="shared" si="54"/>
        <v>0.57999999999999996</v>
      </c>
      <c r="V179" s="123">
        <f t="shared" si="54"/>
        <v>0.57999999999999996</v>
      </c>
      <c r="W179" s="123">
        <f t="shared" si="54"/>
        <v>0.57999999999999996</v>
      </c>
      <c r="X179" s="123">
        <f t="shared" si="54"/>
        <v>0.57999999999999996</v>
      </c>
      <c r="Y179" s="123">
        <f t="shared" si="54"/>
        <v>0.57999999999999996</v>
      </c>
      <c r="Z179" s="123">
        <f t="shared" si="54"/>
        <v>0.57999999999999996</v>
      </c>
      <c r="AA179" s="123">
        <f t="shared" si="54"/>
        <v>0.57999999999999996</v>
      </c>
      <c r="AB179" s="123">
        <f t="shared" si="54"/>
        <v>0.57999999999999996</v>
      </c>
      <c r="AC179" s="123">
        <f t="shared" si="54"/>
        <v>0.57999999999999996</v>
      </c>
      <c r="AD179" s="123">
        <f t="shared" si="54"/>
        <v>0.57999999999999996</v>
      </c>
      <c r="AE179" s="123">
        <f t="shared" si="54"/>
        <v>0.57999999999999996</v>
      </c>
      <c r="AF179" s="123">
        <f t="shared" si="54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2"/>
        <v>0.8</v>
      </c>
      <c r="C180" s="124">
        <v>0.8</v>
      </c>
      <c r="D180" s="123">
        <f t="shared" si="53"/>
        <v>0.8</v>
      </c>
      <c r="E180" s="123">
        <f t="shared" si="53"/>
        <v>0.8</v>
      </c>
      <c r="F180" s="123">
        <f t="shared" si="53"/>
        <v>0.8</v>
      </c>
      <c r="G180" s="123">
        <f t="shared" si="53"/>
        <v>0.8</v>
      </c>
      <c r="H180" s="123">
        <f t="shared" si="53"/>
        <v>0.8</v>
      </c>
      <c r="I180" s="123">
        <f t="shared" si="53"/>
        <v>0.8</v>
      </c>
      <c r="J180" s="123">
        <f t="shared" si="53"/>
        <v>0.8</v>
      </c>
      <c r="K180" s="123">
        <f t="shared" si="53"/>
        <v>0.8</v>
      </c>
      <c r="L180" s="123">
        <f t="shared" si="53"/>
        <v>0.8</v>
      </c>
      <c r="M180" s="123">
        <f t="shared" si="53"/>
        <v>0.8</v>
      </c>
      <c r="N180" s="123">
        <f t="shared" si="53"/>
        <v>0.8</v>
      </c>
      <c r="O180" s="123">
        <f t="shared" si="53"/>
        <v>0.8</v>
      </c>
      <c r="P180" s="123">
        <f t="shared" si="53"/>
        <v>0.8</v>
      </c>
      <c r="Q180" s="123">
        <f t="shared" si="53"/>
        <v>0.8</v>
      </c>
      <c r="R180" s="123">
        <f t="shared" si="53"/>
        <v>0.8</v>
      </c>
      <c r="S180" s="123">
        <f t="shared" si="53"/>
        <v>0.8</v>
      </c>
      <c r="T180" s="123">
        <f t="shared" si="54"/>
        <v>0.8</v>
      </c>
      <c r="U180" s="123">
        <f t="shared" si="54"/>
        <v>0.8</v>
      </c>
      <c r="V180" s="123">
        <f t="shared" si="54"/>
        <v>0.8</v>
      </c>
      <c r="W180" s="123">
        <f t="shared" si="54"/>
        <v>0.8</v>
      </c>
      <c r="X180" s="123">
        <f t="shared" si="54"/>
        <v>0.8</v>
      </c>
      <c r="Y180" s="123">
        <f t="shared" si="54"/>
        <v>0.8</v>
      </c>
      <c r="Z180" s="123">
        <f t="shared" si="54"/>
        <v>0.8</v>
      </c>
      <c r="AA180" s="123">
        <f t="shared" si="54"/>
        <v>0.8</v>
      </c>
      <c r="AB180" s="123">
        <f t="shared" si="54"/>
        <v>0.8</v>
      </c>
      <c r="AC180" s="123">
        <f t="shared" si="54"/>
        <v>0.8</v>
      </c>
      <c r="AD180" s="123">
        <f t="shared" si="54"/>
        <v>0.8</v>
      </c>
      <c r="AE180" s="123">
        <f t="shared" si="54"/>
        <v>0.8</v>
      </c>
      <c r="AF180" s="123">
        <f t="shared" si="54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2"/>
        <v>0</v>
      </c>
      <c r="C181" s="124">
        <v>0</v>
      </c>
      <c r="D181" s="123">
        <f t="shared" si="53"/>
        <v>0</v>
      </c>
      <c r="E181" s="123">
        <f t="shared" si="53"/>
        <v>0</v>
      </c>
      <c r="F181" s="123">
        <f t="shared" si="53"/>
        <v>0</v>
      </c>
      <c r="G181" s="123">
        <f t="shared" si="53"/>
        <v>0</v>
      </c>
      <c r="H181" s="123">
        <f t="shared" si="53"/>
        <v>0</v>
      </c>
      <c r="I181" s="123">
        <f t="shared" si="53"/>
        <v>0</v>
      </c>
      <c r="J181" s="123">
        <f t="shared" si="53"/>
        <v>0</v>
      </c>
      <c r="K181" s="123">
        <f t="shared" si="53"/>
        <v>0</v>
      </c>
      <c r="L181" s="123">
        <f t="shared" si="53"/>
        <v>0</v>
      </c>
      <c r="M181" s="123">
        <f t="shared" si="53"/>
        <v>0</v>
      </c>
      <c r="N181" s="123">
        <f t="shared" si="53"/>
        <v>0</v>
      </c>
      <c r="O181" s="123">
        <f t="shared" si="53"/>
        <v>0</v>
      </c>
      <c r="P181" s="123">
        <f t="shared" si="53"/>
        <v>0</v>
      </c>
      <c r="Q181" s="123">
        <f t="shared" si="53"/>
        <v>0</v>
      </c>
      <c r="R181" s="123">
        <f t="shared" si="53"/>
        <v>0</v>
      </c>
      <c r="S181" s="123">
        <f t="shared" si="53"/>
        <v>0</v>
      </c>
      <c r="T181" s="123">
        <f t="shared" si="54"/>
        <v>0</v>
      </c>
      <c r="U181" s="123">
        <f t="shared" si="54"/>
        <v>0</v>
      </c>
      <c r="V181" s="123">
        <f t="shared" si="54"/>
        <v>0</v>
      </c>
      <c r="W181" s="123">
        <f t="shared" si="54"/>
        <v>0</v>
      </c>
      <c r="X181" s="123">
        <f t="shared" si="54"/>
        <v>0</v>
      </c>
      <c r="Y181" s="123">
        <f t="shared" si="54"/>
        <v>0</v>
      </c>
      <c r="Z181" s="123">
        <f t="shared" si="54"/>
        <v>0</v>
      </c>
      <c r="AA181" s="123">
        <f t="shared" si="54"/>
        <v>0</v>
      </c>
      <c r="AB181" s="123">
        <f t="shared" si="54"/>
        <v>0</v>
      </c>
      <c r="AC181" s="123">
        <f t="shared" si="54"/>
        <v>0</v>
      </c>
      <c r="AD181" s="123">
        <f t="shared" si="54"/>
        <v>0</v>
      </c>
      <c r="AE181" s="123">
        <f t="shared" si="54"/>
        <v>0</v>
      </c>
      <c r="AF181" s="123">
        <f t="shared" si="54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2"/>
        <v>0.6</v>
      </c>
      <c r="C182" s="124">
        <v>0.6</v>
      </c>
      <c r="D182" s="123">
        <f t="shared" si="53"/>
        <v>0.6</v>
      </c>
      <c r="E182" s="123">
        <f t="shared" si="53"/>
        <v>0.6</v>
      </c>
      <c r="F182" s="123">
        <f t="shared" si="53"/>
        <v>0.6</v>
      </c>
      <c r="G182" s="123">
        <f t="shared" si="53"/>
        <v>0.6</v>
      </c>
      <c r="H182" s="123">
        <f t="shared" si="53"/>
        <v>0.6</v>
      </c>
      <c r="I182" s="123">
        <f t="shared" si="53"/>
        <v>0.6</v>
      </c>
      <c r="J182" s="123">
        <f t="shared" si="53"/>
        <v>0.6</v>
      </c>
      <c r="K182" s="123">
        <f t="shared" si="53"/>
        <v>0.6</v>
      </c>
      <c r="L182" s="123">
        <f t="shared" si="53"/>
        <v>0.6</v>
      </c>
      <c r="M182" s="123">
        <f t="shared" si="53"/>
        <v>0.6</v>
      </c>
      <c r="N182" s="123">
        <f t="shared" si="53"/>
        <v>0.6</v>
      </c>
      <c r="O182" s="123">
        <f t="shared" si="53"/>
        <v>0.6</v>
      </c>
      <c r="P182" s="123">
        <f t="shared" si="53"/>
        <v>0.6</v>
      </c>
      <c r="Q182" s="123">
        <f t="shared" si="53"/>
        <v>0.6</v>
      </c>
      <c r="R182" s="123">
        <f t="shared" si="53"/>
        <v>0.6</v>
      </c>
      <c r="S182" s="123">
        <f t="shared" si="53"/>
        <v>0.6</v>
      </c>
      <c r="T182" s="123">
        <f t="shared" si="54"/>
        <v>0.6</v>
      </c>
      <c r="U182" s="123">
        <f t="shared" si="54"/>
        <v>0.6</v>
      </c>
      <c r="V182" s="123">
        <f t="shared" si="54"/>
        <v>0.6</v>
      </c>
      <c r="W182" s="123">
        <f t="shared" si="54"/>
        <v>0.6</v>
      </c>
      <c r="X182" s="123">
        <f t="shared" si="54"/>
        <v>0.6</v>
      </c>
      <c r="Y182" s="123">
        <f t="shared" si="54"/>
        <v>0.6</v>
      </c>
      <c r="Z182" s="123">
        <f t="shared" si="54"/>
        <v>0.6</v>
      </c>
      <c r="AA182" s="123">
        <f t="shared" si="54"/>
        <v>0.6</v>
      </c>
      <c r="AB182" s="123">
        <f t="shared" si="54"/>
        <v>0.6</v>
      </c>
      <c r="AC182" s="123">
        <f t="shared" si="54"/>
        <v>0.6</v>
      </c>
      <c r="AD182" s="123">
        <f t="shared" si="54"/>
        <v>0.6</v>
      </c>
      <c r="AE182" s="123">
        <f t="shared" si="54"/>
        <v>0.6</v>
      </c>
      <c r="AF182" s="123">
        <f t="shared" si="54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2"/>
        <v>0.35</v>
      </c>
      <c r="C184" s="124">
        <v>0.35</v>
      </c>
      <c r="D184" s="123">
        <f t="shared" si="53"/>
        <v>0.35</v>
      </c>
      <c r="E184" s="123">
        <f t="shared" si="53"/>
        <v>0.35</v>
      </c>
      <c r="F184" s="123">
        <f t="shared" si="53"/>
        <v>0.35</v>
      </c>
      <c r="G184" s="123">
        <f t="shared" si="53"/>
        <v>0.35</v>
      </c>
      <c r="H184" s="123">
        <f t="shared" si="53"/>
        <v>0.35</v>
      </c>
      <c r="I184" s="123">
        <f t="shared" si="53"/>
        <v>0.35</v>
      </c>
      <c r="J184" s="123">
        <f t="shared" si="53"/>
        <v>0.35</v>
      </c>
      <c r="K184" s="123">
        <f t="shared" si="53"/>
        <v>0.35</v>
      </c>
      <c r="L184" s="123">
        <f t="shared" si="53"/>
        <v>0.35</v>
      </c>
      <c r="M184" s="123">
        <f t="shared" si="53"/>
        <v>0.35</v>
      </c>
      <c r="N184" s="123">
        <f t="shared" si="53"/>
        <v>0.35</v>
      </c>
      <c r="O184" s="123">
        <f t="shared" si="53"/>
        <v>0.35</v>
      </c>
      <c r="P184" s="123">
        <f t="shared" si="53"/>
        <v>0.35</v>
      </c>
      <c r="Q184" s="123">
        <f t="shared" si="53"/>
        <v>0.35</v>
      </c>
      <c r="R184" s="123">
        <f t="shared" si="53"/>
        <v>0.35</v>
      </c>
      <c r="S184" s="123">
        <f t="shared" si="53"/>
        <v>0.35</v>
      </c>
      <c r="T184" s="123">
        <f t="shared" si="54"/>
        <v>0.35</v>
      </c>
      <c r="U184" s="123">
        <f t="shared" si="54"/>
        <v>0.35</v>
      </c>
      <c r="V184" s="123">
        <f t="shared" si="54"/>
        <v>0.35</v>
      </c>
      <c r="W184" s="123">
        <f t="shared" si="54"/>
        <v>0.35</v>
      </c>
      <c r="X184" s="123">
        <f t="shared" si="54"/>
        <v>0.35</v>
      </c>
      <c r="Y184" s="123">
        <f t="shared" si="54"/>
        <v>0.35</v>
      </c>
      <c r="Z184" s="123">
        <f t="shared" si="54"/>
        <v>0.35</v>
      </c>
      <c r="AA184" s="123">
        <f t="shared" si="54"/>
        <v>0.35</v>
      </c>
      <c r="AB184" s="123">
        <f t="shared" si="54"/>
        <v>0.35</v>
      </c>
      <c r="AC184" s="123">
        <f t="shared" si="54"/>
        <v>0.35</v>
      </c>
      <c r="AD184" s="123">
        <f t="shared" si="54"/>
        <v>0.35</v>
      </c>
      <c r="AE184" s="123">
        <f t="shared" si="54"/>
        <v>0.35</v>
      </c>
      <c r="AF184" s="123">
        <f t="shared" si="54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2"/>
        <v>0.28999999999999998</v>
      </c>
      <c r="C185" s="124">
        <v>0.28999999999999998</v>
      </c>
      <c r="D185" s="123">
        <f t="shared" si="53"/>
        <v>0.28999999999999998</v>
      </c>
      <c r="E185" s="123">
        <f t="shared" si="53"/>
        <v>0.28999999999999998</v>
      </c>
      <c r="F185" s="123">
        <f t="shared" si="53"/>
        <v>0.28999999999999998</v>
      </c>
      <c r="G185" s="123">
        <f t="shared" si="53"/>
        <v>0.28999999999999998</v>
      </c>
      <c r="H185" s="123">
        <f t="shared" si="53"/>
        <v>0.28999999999999998</v>
      </c>
      <c r="I185" s="123">
        <f t="shared" si="53"/>
        <v>0.28999999999999998</v>
      </c>
      <c r="J185" s="123">
        <f t="shared" si="53"/>
        <v>0.28999999999999998</v>
      </c>
      <c r="K185" s="123">
        <f t="shared" si="53"/>
        <v>0.28999999999999998</v>
      </c>
      <c r="L185" s="123">
        <f t="shared" si="53"/>
        <v>0.28999999999999998</v>
      </c>
      <c r="M185" s="123">
        <f t="shared" si="53"/>
        <v>0.28999999999999998</v>
      </c>
      <c r="N185" s="123">
        <f t="shared" si="53"/>
        <v>0.28999999999999998</v>
      </c>
      <c r="O185" s="123">
        <f t="shared" si="53"/>
        <v>0.28999999999999998</v>
      </c>
      <c r="P185" s="123">
        <f t="shared" si="53"/>
        <v>0.28999999999999998</v>
      </c>
      <c r="Q185" s="123">
        <f t="shared" si="53"/>
        <v>0.28999999999999998</v>
      </c>
      <c r="R185" s="123">
        <f t="shared" si="53"/>
        <v>0.28999999999999998</v>
      </c>
      <c r="S185" s="123">
        <f t="shared" si="53"/>
        <v>0.28999999999999998</v>
      </c>
      <c r="T185" s="123">
        <f t="shared" si="54"/>
        <v>0.28999999999999998</v>
      </c>
      <c r="U185" s="123">
        <f t="shared" si="54"/>
        <v>0.28999999999999998</v>
      </c>
      <c r="V185" s="123">
        <f t="shared" si="54"/>
        <v>0.28999999999999998</v>
      </c>
      <c r="W185" s="123">
        <f t="shared" si="54"/>
        <v>0.28999999999999998</v>
      </c>
      <c r="X185" s="123">
        <f t="shared" si="54"/>
        <v>0.28999999999999998</v>
      </c>
      <c r="Y185" s="123">
        <f t="shared" si="54"/>
        <v>0.28999999999999998</v>
      </c>
      <c r="Z185" s="123">
        <f t="shared" si="54"/>
        <v>0.28999999999999998</v>
      </c>
      <c r="AA185" s="123">
        <f t="shared" si="54"/>
        <v>0.28999999999999998</v>
      </c>
      <c r="AB185" s="123">
        <f t="shared" si="54"/>
        <v>0.28999999999999998</v>
      </c>
      <c r="AC185" s="123">
        <f t="shared" si="54"/>
        <v>0.28999999999999998</v>
      </c>
      <c r="AD185" s="123">
        <f t="shared" si="54"/>
        <v>0.28999999999999998</v>
      </c>
      <c r="AE185" s="123">
        <f t="shared" si="54"/>
        <v>0.28999999999999998</v>
      </c>
      <c r="AF185" s="123">
        <f t="shared" si="54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2"/>
        <v>0.06</v>
      </c>
      <c r="C186" s="124">
        <v>0.06</v>
      </c>
      <c r="D186" s="123">
        <f t="shared" si="53"/>
        <v>0.06</v>
      </c>
      <c r="E186" s="123">
        <f t="shared" si="53"/>
        <v>0.06</v>
      </c>
      <c r="F186" s="123">
        <f t="shared" si="53"/>
        <v>0.06</v>
      </c>
      <c r="G186" s="123">
        <f t="shared" si="53"/>
        <v>0.06</v>
      </c>
      <c r="H186" s="123">
        <f t="shared" si="53"/>
        <v>0.06</v>
      </c>
      <c r="I186" s="123">
        <f t="shared" si="53"/>
        <v>0.06</v>
      </c>
      <c r="J186" s="123">
        <f t="shared" si="53"/>
        <v>0.06</v>
      </c>
      <c r="K186" s="123">
        <f t="shared" si="53"/>
        <v>0.06</v>
      </c>
      <c r="L186" s="123">
        <f t="shared" si="53"/>
        <v>0.06</v>
      </c>
      <c r="M186" s="123">
        <f t="shared" si="53"/>
        <v>0.06</v>
      </c>
      <c r="N186" s="123">
        <f t="shared" si="53"/>
        <v>0.06</v>
      </c>
      <c r="O186" s="123">
        <f t="shared" si="53"/>
        <v>0.06</v>
      </c>
      <c r="P186" s="123">
        <f t="shared" si="53"/>
        <v>0.06</v>
      </c>
      <c r="Q186" s="123">
        <f t="shared" si="53"/>
        <v>0.06</v>
      </c>
      <c r="R186" s="123">
        <f t="shared" si="53"/>
        <v>0.06</v>
      </c>
      <c r="S186" s="123">
        <f t="shared" si="53"/>
        <v>0.06</v>
      </c>
      <c r="T186" s="123">
        <f t="shared" si="54"/>
        <v>0.06</v>
      </c>
      <c r="U186" s="123">
        <f t="shared" si="54"/>
        <v>0.06</v>
      </c>
      <c r="V186" s="123">
        <f t="shared" si="54"/>
        <v>0.06</v>
      </c>
      <c r="W186" s="123">
        <f t="shared" si="54"/>
        <v>0.06</v>
      </c>
      <c r="X186" s="123">
        <f t="shared" si="54"/>
        <v>0.06</v>
      </c>
      <c r="Y186" s="123">
        <f t="shared" si="54"/>
        <v>0.06</v>
      </c>
      <c r="Z186" s="123">
        <f t="shared" si="54"/>
        <v>0.06</v>
      </c>
      <c r="AA186" s="123">
        <f t="shared" si="54"/>
        <v>0.06</v>
      </c>
      <c r="AB186" s="123">
        <f t="shared" si="54"/>
        <v>0.06</v>
      </c>
      <c r="AC186" s="123">
        <f t="shared" si="54"/>
        <v>0.06</v>
      </c>
      <c r="AD186" s="123">
        <f t="shared" si="54"/>
        <v>0.06</v>
      </c>
      <c r="AE186" s="123">
        <f t="shared" si="54"/>
        <v>0.06</v>
      </c>
      <c r="AF186" s="123">
        <f t="shared" si="54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2"/>
        <v>0.11</v>
      </c>
      <c r="C187" s="124">
        <v>0.11</v>
      </c>
      <c r="D187" s="123">
        <f t="shared" si="53"/>
        <v>0.11</v>
      </c>
      <c r="E187" s="123">
        <f t="shared" si="53"/>
        <v>0.11</v>
      </c>
      <c r="F187" s="123">
        <f t="shared" si="53"/>
        <v>0.11</v>
      </c>
      <c r="G187" s="123">
        <f t="shared" si="53"/>
        <v>0.11</v>
      </c>
      <c r="H187" s="123">
        <f t="shared" si="53"/>
        <v>0.11</v>
      </c>
      <c r="I187" s="123">
        <f t="shared" si="53"/>
        <v>0.11</v>
      </c>
      <c r="J187" s="123">
        <f t="shared" si="53"/>
        <v>0.11</v>
      </c>
      <c r="K187" s="123">
        <f t="shared" si="53"/>
        <v>0.11</v>
      </c>
      <c r="L187" s="123">
        <f t="shared" si="53"/>
        <v>0.11</v>
      </c>
      <c r="M187" s="123">
        <f t="shared" si="53"/>
        <v>0.11</v>
      </c>
      <c r="N187" s="123">
        <f t="shared" si="53"/>
        <v>0.11</v>
      </c>
      <c r="O187" s="123">
        <f t="shared" si="53"/>
        <v>0.11</v>
      </c>
      <c r="P187" s="123">
        <f t="shared" si="53"/>
        <v>0.11</v>
      </c>
      <c r="Q187" s="123">
        <f t="shared" si="53"/>
        <v>0.11</v>
      </c>
      <c r="R187" s="123">
        <f t="shared" si="53"/>
        <v>0.11</v>
      </c>
      <c r="S187" s="123">
        <f t="shared" si="53"/>
        <v>0.11</v>
      </c>
      <c r="T187" s="123">
        <f t="shared" si="54"/>
        <v>0.11</v>
      </c>
      <c r="U187" s="123">
        <f t="shared" si="54"/>
        <v>0.11</v>
      </c>
      <c r="V187" s="123">
        <f t="shared" si="54"/>
        <v>0.11</v>
      </c>
      <c r="W187" s="123">
        <f t="shared" si="54"/>
        <v>0.11</v>
      </c>
      <c r="X187" s="123">
        <f t="shared" si="54"/>
        <v>0.11</v>
      </c>
      <c r="Y187" s="123">
        <f t="shared" si="54"/>
        <v>0.11</v>
      </c>
      <c r="Z187" s="123">
        <f t="shared" si="54"/>
        <v>0.11</v>
      </c>
      <c r="AA187" s="123">
        <f t="shared" si="54"/>
        <v>0.11</v>
      </c>
      <c r="AB187" s="123">
        <f t="shared" si="54"/>
        <v>0.11</v>
      </c>
      <c r="AC187" s="123">
        <f t="shared" si="54"/>
        <v>0.11</v>
      </c>
      <c r="AD187" s="123">
        <f t="shared" si="54"/>
        <v>0.11</v>
      </c>
      <c r="AE187" s="123">
        <f t="shared" si="54"/>
        <v>0.11</v>
      </c>
      <c r="AF187" s="123">
        <f t="shared" si="54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2"/>
        <v>0.1</v>
      </c>
      <c r="C188" s="124">
        <v>0.1</v>
      </c>
      <c r="D188" s="123">
        <f t="shared" si="53"/>
        <v>0.1</v>
      </c>
      <c r="E188" s="123">
        <f t="shared" si="53"/>
        <v>0.1</v>
      </c>
      <c r="F188" s="123">
        <f t="shared" si="53"/>
        <v>0.1</v>
      </c>
      <c r="G188" s="123">
        <f t="shared" si="53"/>
        <v>0.1</v>
      </c>
      <c r="H188" s="123">
        <f t="shared" si="53"/>
        <v>0.1</v>
      </c>
      <c r="I188" s="123">
        <f t="shared" si="53"/>
        <v>0.1</v>
      </c>
      <c r="J188" s="123">
        <f t="shared" si="53"/>
        <v>0.1</v>
      </c>
      <c r="K188" s="123">
        <f t="shared" si="53"/>
        <v>0.1</v>
      </c>
      <c r="L188" s="123">
        <f t="shared" si="53"/>
        <v>0.1</v>
      </c>
      <c r="M188" s="123">
        <f t="shared" si="53"/>
        <v>0.1</v>
      </c>
      <c r="N188" s="123">
        <f t="shared" si="53"/>
        <v>0.1</v>
      </c>
      <c r="O188" s="123">
        <f t="shared" si="53"/>
        <v>0.1</v>
      </c>
      <c r="P188" s="123">
        <f t="shared" si="53"/>
        <v>0.1</v>
      </c>
      <c r="Q188" s="123">
        <f t="shared" si="53"/>
        <v>0.1</v>
      </c>
      <c r="R188" s="123">
        <f t="shared" si="53"/>
        <v>0.1</v>
      </c>
      <c r="S188" s="123">
        <f t="shared" si="54"/>
        <v>0.1</v>
      </c>
      <c r="T188" s="123">
        <f t="shared" si="54"/>
        <v>0.1</v>
      </c>
      <c r="U188" s="123">
        <f t="shared" si="54"/>
        <v>0.1</v>
      </c>
      <c r="V188" s="123">
        <f t="shared" si="54"/>
        <v>0.1</v>
      </c>
      <c r="W188" s="123">
        <f t="shared" si="54"/>
        <v>0.1</v>
      </c>
      <c r="X188" s="123">
        <f t="shared" si="54"/>
        <v>0.1</v>
      </c>
      <c r="Y188" s="123">
        <f t="shared" si="54"/>
        <v>0.1</v>
      </c>
      <c r="Z188" s="123">
        <f t="shared" si="54"/>
        <v>0.1</v>
      </c>
      <c r="AA188" s="123">
        <f t="shared" si="54"/>
        <v>0.1</v>
      </c>
      <c r="AB188" s="123">
        <f t="shared" si="54"/>
        <v>0.1</v>
      </c>
      <c r="AC188" s="123">
        <f t="shared" si="54"/>
        <v>0.1</v>
      </c>
      <c r="AD188" s="123">
        <f t="shared" si="54"/>
        <v>0.1</v>
      </c>
      <c r="AE188" s="123">
        <f t="shared" si="54"/>
        <v>0.1</v>
      </c>
      <c r="AF188" s="123">
        <f t="shared" si="54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2"/>
        <v>0.09</v>
      </c>
      <c r="C189" s="124">
        <v>0.09</v>
      </c>
      <c r="D189" s="123">
        <f t="shared" si="53"/>
        <v>0.09</v>
      </c>
      <c r="E189" s="123">
        <f t="shared" si="53"/>
        <v>0.09</v>
      </c>
      <c r="F189" s="123">
        <f t="shared" si="53"/>
        <v>0.09</v>
      </c>
      <c r="G189" s="123">
        <f t="shared" si="53"/>
        <v>0.09</v>
      </c>
      <c r="H189" s="123">
        <f t="shared" si="53"/>
        <v>0.09</v>
      </c>
      <c r="I189" s="123">
        <f t="shared" si="53"/>
        <v>0.09</v>
      </c>
      <c r="J189" s="123">
        <f t="shared" si="53"/>
        <v>0.09</v>
      </c>
      <c r="K189" s="123">
        <f t="shared" si="53"/>
        <v>0.09</v>
      </c>
      <c r="L189" s="123">
        <f t="shared" si="53"/>
        <v>0.09</v>
      </c>
      <c r="M189" s="123">
        <f t="shared" si="53"/>
        <v>0.09</v>
      </c>
      <c r="N189" s="123">
        <f t="shared" si="53"/>
        <v>0.09</v>
      </c>
      <c r="O189" s="123">
        <f t="shared" si="53"/>
        <v>0.09</v>
      </c>
      <c r="P189" s="123">
        <f t="shared" si="53"/>
        <v>0.09</v>
      </c>
      <c r="Q189" s="123">
        <f t="shared" si="53"/>
        <v>0.09</v>
      </c>
      <c r="R189" s="123">
        <f t="shared" si="53"/>
        <v>0.09</v>
      </c>
      <c r="S189" s="123">
        <f t="shared" si="54"/>
        <v>0.09</v>
      </c>
      <c r="T189" s="123">
        <f t="shared" si="54"/>
        <v>0.09</v>
      </c>
      <c r="U189" s="123">
        <f t="shared" si="54"/>
        <v>0.09</v>
      </c>
      <c r="V189" s="123">
        <f t="shared" si="54"/>
        <v>0.09</v>
      </c>
      <c r="W189" s="123">
        <f t="shared" si="54"/>
        <v>0.09</v>
      </c>
      <c r="X189" s="123">
        <f t="shared" si="54"/>
        <v>0.09</v>
      </c>
      <c r="Y189" s="123">
        <f t="shared" si="54"/>
        <v>0.09</v>
      </c>
      <c r="Z189" s="123">
        <f t="shared" si="54"/>
        <v>0.09</v>
      </c>
      <c r="AA189" s="123">
        <f t="shared" si="54"/>
        <v>0.09</v>
      </c>
      <c r="AB189" s="123">
        <f t="shared" si="54"/>
        <v>0.09</v>
      </c>
      <c r="AC189" s="123">
        <f t="shared" si="54"/>
        <v>0.09</v>
      </c>
      <c r="AD189" s="123">
        <f t="shared" si="54"/>
        <v>0.09</v>
      </c>
      <c r="AE189" s="123">
        <f t="shared" si="54"/>
        <v>0.09</v>
      </c>
      <c r="AF189" s="123">
        <f t="shared" si="54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2"/>
        <v>0.04</v>
      </c>
      <c r="C190" s="54">
        <v>0.04</v>
      </c>
      <c r="D190" s="123">
        <f t="shared" si="53"/>
        <v>0.04</v>
      </c>
      <c r="E190" s="123">
        <f t="shared" si="53"/>
        <v>0.04</v>
      </c>
      <c r="F190" s="123">
        <f t="shared" si="53"/>
        <v>0.04</v>
      </c>
      <c r="G190" s="123">
        <f t="shared" si="53"/>
        <v>0.04</v>
      </c>
      <c r="H190" s="123">
        <f t="shared" si="53"/>
        <v>0.04</v>
      </c>
      <c r="I190" s="123">
        <f t="shared" si="53"/>
        <v>0.04</v>
      </c>
      <c r="J190" s="123">
        <f t="shared" si="53"/>
        <v>0.04</v>
      </c>
      <c r="K190" s="123">
        <f t="shared" si="53"/>
        <v>0.04</v>
      </c>
      <c r="L190" s="123">
        <f t="shared" si="53"/>
        <v>0.04</v>
      </c>
      <c r="M190" s="123">
        <f t="shared" si="53"/>
        <v>0.04</v>
      </c>
      <c r="N190" s="123">
        <f t="shared" si="53"/>
        <v>0.04</v>
      </c>
      <c r="O190" s="123">
        <f t="shared" si="53"/>
        <v>0.04</v>
      </c>
      <c r="P190" s="123">
        <f t="shared" si="53"/>
        <v>0.04</v>
      </c>
      <c r="Q190" s="123">
        <f t="shared" si="53"/>
        <v>0.04</v>
      </c>
      <c r="R190" s="123">
        <f t="shared" si="53"/>
        <v>0.04</v>
      </c>
      <c r="S190" s="123">
        <f t="shared" si="54"/>
        <v>0.04</v>
      </c>
      <c r="T190" s="123">
        <f t="shared" si="54"/>
        <v>0.04</v>
      </c>
      <c r="U190" s="123">
        <f t="shared" si="54"/>
        <v>0.04</v>
      </c>
      <c r="V190" s="123">
        <f t="shared" si="54"/>
        <v>0.04</v>
      </c>
      <c r="W190" s="123">
        <f t="shared" si="54"/>
        <v>0.04</v>
      </c>
      <c r="X190" s="123">
        <f t="shared" si="54"/>
        <v>0.04</v>
      </c>
      <c r="Y190" s="123">
        <f t="shared" si="54"/>
        <v>0.04</v>
      </c>
      <c r="Z190" s="123">
        <f t="shared" si="54"/>
        <v>0.04</v>
      </c>
      <c r="AA190" s="123">
        <f t="shared" si="54"/>
        <v>0.04</v>
      </c>
      <c r="AB190" s="123">
        <f t="shared" si="54"/>
        <v>0.04</v>
      </c>
      <c r="AC190" s="123">
        <f t="shared" si="54"/>
        <v>0.04</v>
      </c>
      <c r="AD190" s="123">
        <f t="shared" si="54"/>
        <v>0.04</v>
      </c>
      <c r="AE190" s="123">
        <f t="shared" si="54"/>
        <v>0.04</v>
      </c>
      <c r="AF190" s="123">
        <f t="shared" si="54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2"/>
        <v>2.3E-2</v>
      </c>
      <c r="C191" s="54">
        <v>2.3E-2</v>
      </c>
      <c r="D191" s="123">
        <f>C191</f>
        <v>2.3E-2</v>
      </c>
      <c r="E191" s="123">
        <f t="shared" si="53"/>
        <v>2.3E-2</v>
      </c>
      <c r="F191" s="123">
        <f t="shared" si="53"/>
        <v>2.3E-2</v>
      </c>
      <c r="G191" s="123">
        <f t="shared" si="53"/>
        <v>2.3E-2</v>
      </c>
      <c r="H191" s="123">
        <f t="shared" si="53"/>
        <v>2.3E-2</v>
      </c>
      <c r="I191" s="123">
        <f t="shared" si="53"/>
        <v>2.3E-2</v>
      </c>
      <c r="J191" s="123">
        <f t="shared" si="53"/>
        <v>2.3E-2</v>
      </c>
      <c r="K191" s="123">
        <f t="shared" si="53"/>
        <v>2.3E-2</v>
      </c>
      <c r="L191" s="123">
        <f t="shared" si="53"/>
        <v>2.3E-2</v>
      </c>
      <c r="M191" s="123">
        <f t="shared" si="53"/>
        <v>2.3E-2</v>
      </c>
      <c r="N191" s="123">
        <f t="shared" si="53"/>
        <v>2.3E-2</v>
      </c>
      <c r="O191" s="123">
        <f t="shared" si="53"/>
        <v>2.3E-2</v>
      </c>
      <c r="P191" s="123">
        <f t="shared" si="53"/>
        <v>2.3E-2</v>
      </c>
      <c r="Q191" s="123">
        <f t="shared" si="53"/>
        <v>2.3E-2</v>
      </c>
      <c r="R191" s="123">
        <f t="shared" si="53"/>
        <v>2.3E-2</v>
      </c>
      <c r="S191" s="123">
        <f t="shared" si="54"/>
        <v>2.3E-2</v>
      </c>
      <c r="T191" s="123">
        <f t="shared" si="54"/>
        <v>2.3E-2</v>
      </c>
      <c r="U191" s="123">
        <f t="shared" si="54"/>
        <v>2.3E-2</v>
      </c>
      <c r="V191" s="123">
        <f t="shared" si="54"/>
        <v>2.3E-2</v>
      </c>
      <c r="W191" s="123">
        <f t="shared" si="54"/>
        <v>2.3E-2</v>
      </c>
      <c r="X191" s="123">
        <f t="shared" si="54"/>
        <v>2.3E-2</v>
      </c>
      <c r="Y191" s="123">
        <f t="shared" si="54"/>
        <v>2.3E-2</v>
      </c>
      <c r="Z191" s="123">
        <f t="shared" si="54"/>
        <v>2.3E-2</v>
      </c>
      <c r="AA191" s="123">
        <f t="shared" si="54"/>
        <v>2.3E-2</v>
      </c>
      <c r="AB191" s="123">
        <f t="shared" si="54"/>
        <v>2.3E-2</v>
      </c>
      <c r="AC191" s="123">
        <f t="shared" si="54"/>
        <v>2.3E-2</v>
      </c>
      <c r="AD191" s="123">
        <f t="shared" si="54"/>
        <v>2.3E-2</v>
      </c>
      <c r="AE191" s="123">
        <f t="shared" si="54"/>
        <v>2.3E-2</v>
      </c>
      <c r="AF191" s="123">
        <f t="shared" si="54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5">SUM(C102:C191)</f>
        <v>194.70600000000002</v>
      </c>
      <c r="D192" s="128">
        <f t="shared" si="55"/>
        <v>194.70600000000002</v>
      </c>
      <c r="E192" s="128">
        <f t="shared" si="55"/>
        <v>194.70600000000002</v>
      </c>
      <c r="F192" s="128">
        <f t="shared" si="55"/>
        <v>194.70600000000002</v>
      </c>
      <c r="G192" s="128">
        <f t="shared" si="55"/>
        <v>194.70600000000002</v>
      </c>
      <c r="H192" s="128">
        <f t="shared" si="55"/>
        <v>194.70600000000002</v>
      </c>
      <c r="I192" s="128">
        <f t="shared" si="55"/>
        <v>189.70600000000005</v>
      </c>
      <c r="J192" s="128">
        <f t="shared" si="55"/>
        <v>187.10600000000005</v>
      </c>
      <c r="K192" s="128">
        <f t="shared" si="55"/>
        <v>187.10600000000005</v>
      </c>
      <c r="L192" s="128">
        <f t="shared" si="55"/>
        <v>187.10600000000005</v>
      </c>
      <c r="M192" s="128">
        <f t="shared" si="55"/>
        <v>187.10600000000005</v>
      </c>
      <c r="N192" s="128">
        <f t="shared" si="55"/>
        <v>187.10600000000005</v>
      </c>
      <c r="O192" s="128">
        <f t="shared" si="55"/>
        <v>187.10600000000005</v>
      </c>
      <c r="P192" s="128">
        <f t="shared" si="55"/>
        <v>187.10600000000005</v>
      </c>
      <c r="Q192" s="128">
        <f t="shared" si="55"/>
        <v>187.10600000000005</v>
      </c>
      <c r="R192" s="128">
        <f t="shared" si="55"/>
        <v>187.10600000000005</v>
      </c>
      <c r="S192" s="128">
        <f t="shared" si="55"/>
        <v>187.10600000000005</v>
      </c>
      <c r="T192" s="128">
        <f t="shared" si="55"/>
        <v>187.10600000000005</v>
      </c>
      <c r="U192" s="128">
        <f t="shared" si="55"/>
        <v>187.10600000000005</v>
      </c>
      <c r="V192" s="128">
        <f t="shared" si="55"/>
        <v>187.10600000000005</v>
      </c>
      <c r="W192" s="128">
        <f t="shared" si="55"/>
        <v>187.10600000000005</v>
      </c>
      <c r="X192" s="128">
        <f t="shared" si="55"/>
        <v>187.10600000000005</v>
      </c>
      <c r="Y192" s="128">
        <f t="shared" si="55"/>
        <v>187.10600000000005</v>
      </c>
      <c r="Z192" s="128">
        <f t="shared" si="55"/>
        <v>187.10600000000005</v>
      </c>
      <c r="AA192" s="128">
        <f t="shared" si="55"/>
        <v>187.10600000000005</v>
      </c>
      <c r="AB192" s="128">
        <f t="shared" si="55"/>
        <v>187.10600000000005</v>
      </c>
      <c r="AC192" s="128">
        <f t="shared" si="55"/>
        <v>187.10600000000005</v>
      </c>
      <c r="AD192" s="128">
        <f t="shared" si="55"/>
        <v>187.10600000000005</v>
      </c>
      <c r="AE192" s="128">
        <f t="shared" si="55"/>
        <v>187.10600000000005</v>
      </c>
      <c r="AF192" s="128">
        <f t="shared" si="55"/>
        <v>187.10600000000005</v>
      </c>
      <c r="AG192" s="129">
        <f t="shared" si="55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6">AF194</f>
        <v>0.3</v>
      </c>
      <c r="C194" s="130">
        <v>0.3</v>
      </c>
      <c r="D194" s="130">
        <f t="shared" ref="D194:S199" si="57">C194</f>
        <v>0.3</v>
      </c>
      <c r="E194" s="130">
        <f t="shared" si="57"/>
        <v>0.3</v>
      </c>
      <c r="F194" s="130">
        <f t="shared" si="57"/>
        <v>0.3</v>
      </c>
      <c r="G194" s="130">
        <f t="shared" si="57"/>
        <v>0.3</v>
      </c>
      <c r="H194" s="130">
        <f t="shared" si="57"/>
        <v>0.3</v>
      </c>
      <c r="I194" s="130">
        <f t="shared" si="57"/>
        <v>0.3</v>
      </c>
      <c r="J194" s="130">
        <f t="shared" si="57"/>
        <v>0.3</v>
      </c>
      <c r="K194" s="130">
        <f t="shared" si="57"/>
        <v>0.3</v>
      </c>
      <c r="L194" s="130">
        <f t="shared" si="57"/>
        <v>0.3</v>
      </c>
      <c r="M194" s="130">
        <f t="shared" si="57"/>
        <v>0.3</v>
      </c>
      <c r="N194" s="130">
        <f t="shared" si="57"/>
        <v>0.3</v>
      </c>
      <c r="O194" s="130">
        <f t="shared" si="57"/>
        <v>0.3</v>
      </c>
      <c r="P194" s="130">
        <f t="shared" si="57"/>
        <v>0.3</v>
      </c>
      <c r="Q194" s="130">
        <f t="shared" si="57"/>
        <v>0.3</v>
      </c>
      <c r="R194" s="130">
        <f t="shared" si="57"/>
        <v>0.3</v>
      </c>
      <c r="S194" s="130">
        <f t="shared" si="57"/>
        <v>0.3</v>
      </c>
      <c r="T194" s="130">
        <f t="shared" ref="T194:AF199" si="58">S194</f>
        <v>0.3</v>
      </c>
      <c r="U194" s="130">
        <f t="shared" si="58"/>
        <v>0.3</v>
      </c>
      <c r="V194" s="130">
        <f t="shared" si="58"/>
        <v>0.3</v>
      </c>
      <c r="W194" s="130">
        <f t="shared" si="58"/>
        <v>0.3</v>
      </c>
      <c r="X194" s="130">
        <f t="shared" si="58"/>
        <v>0.3</v>
      </c>
      <c r="Y194" s="130">
        <f t="shared" si="58"/>
        <v>0.3</v>
      </c>
      <c r="Z194" s="130">
        <f t="shared" si="58"/>
        <v>0.3</v>
      </c>
      <c r="AA194" s="130">
        <f t="shared" si="58"/>
        <v>0.3</v>
      </c>
      <c r="AB194" s="130">
        <f t="shared" si="58"/>
        <v>0.3</v>
      </c>
      <c r="AC194" s="130">
        <f t="shared" si="58"/>
        <v>0.3</v>
      </c>
      <c r="AD194" s="130">
        <f t="shared" si="58"/>
        <v>0.3</v>
      </c>
      <c r="AE194" s="130">
        <f t="shared" si="58"/>
        <v>0.3</v>
      </c>
      <c r="AF194" s="130">
        <f t="shared" si="58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6"/>
        <v>0.4</v>
      </c>
      <c r="C195" s="123">
        <v>0.4</v>
      </c>
      <c r="D195" s="123">
        <f t="shared" si="57"/>
        <v>0.4</v>
      </c>
      <c r="E195" s="123">
        <f t="shared" si="57"/>
        <v>0.4</v>
      </c>
      <c r="F195" s="123">
        <f t="shared" si="57"/>
        <v>0.4</v>
      </c>
      <c r="G195" s="123">
        <f t="shared" si="57"/>
        <v>0.4</v>
      </c>
      <c r="H195" s="123">
        <f t="shared" si="57"/>
        <v>0.4</v>
      </c>
      <c r="I195" s="123">
        <f t="shared" si="57"/>
        <v>0.4</v>
      </c>
      <c r="J195" s="123">
        <f t="shared" si="57"/>
        <v>0.4</v>
      </c>
      <c r="K195" s="123">
        <f t="shared" si="57"/>
        <v>0.4</v>
      </c>
      <c r="L195" s="123">
        <f t="shared" si="57"/>
        <v>0.4</v>
      </c>
      <c r="M195" s="123">
        <f t="shared" si="57"/>
        <v>0.4</v>
      </c>
      <c r="N195" s="123">
        <f t="shared" si="57"/>
        <v>0.4</v>
      </c>
      <c r="O195" s="123">
        <f t="shared" si="57"/>
        <v>0.4</v>
      </c>
      <c r="P195" s="123">
        <f t="shared" si="57"/>
        <v>0.4</v>
      </c>
      <c r="Q195" s="123">
        <f t="shared" si="57"/>
        <v>0.4</v>
      </c>
      <c r="R195" s="123">
        <f t="shared" si="57"/>
        <v>0.4</v>
      </c>
      <c r="S195" s="123">
        <f t="shared" si="57"/>
        <v>0.4</v>
      </c>
      <c r="T195" s="123">
        <f t="shared" si="58"/>
        <v>0.4</v>
      </c>
      <c r="U195" s="123">
        <f t="shared" si="58"/>
        <v>0.4</v>
      </c>
      <c r="V195" s="123">
        <f t="shared" si="58"/>
        <v>0.4</v>
      </c>
      <c r="W195" s="123">
        <f>V195</f>
        <v>0.4</v>
      </c>
      <c r="X195" s="123">
        <f>W195</f>
        <v>0.4</v>
      </c>
      <c r="Y195" s="123">
        <f t="shared" si="58"/>
        <v>0.4</v>
      </c>
      <c r="Z195" s="123">
        <f t="shared" si="58"/>
        <v>0.4</v>
      </c>
      <c r="AA195" s="123">
        <f t="shared" si="58"/>
        <v>0.4</v>
      </c>
      <c r="AB195" s="123">
        <f t="shared" si="58"/>
        <v>0.4</v>
      </c>
      <c r="AC195" s="123">
        <f t="shared" si="58"/>
        <v>0.4</v>
      </c>
      <c r="AD195" s="123">
        <f t="shared" si="58"/>
        <v>0.4</v>
      </c>
      <c r="AE195" s="123">
        <f t="shared" si="58"/>
        <v>0.4</v>
      </c>
      <c r="AF195" s="123">
        <f t="shared" si="58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6"/>
        <v>1.5</v>
      </c>
      <c r="C196" s="123">
        <v>1.5</v>
      </c>
      <c r="D196" s="123">
        <f t="shared" si="57"/>
        <v>1.5</v>
      </c>
      <c r="E196" s="123">
        <f t="shared" si="57"/>
        <v>1.5</v>
      </c>
      <c r="F196" s="123">
        <f t="shared" si="57"/>
        <v>1.5</v>
      </c>
      <c r="G196" s="123">
        <f t="shared" si="57"/>
        <v>1.5</v>
      </c>
      <c r="H196" s="123">
        <f t="shared" si="57"/>
        <v>1.5</v>
      </c>
      <c r="I196" s="123">
        <f t="shared" si="57"/>
        <v>1.5</v>
      </c>
      <c r="J196" s="123">
        <f t="shared" si="57"/>
        <v>1.5</v>
      </c>
      <c r="K196" s="123">
        <f t="shared" si="57"/>
        <v>1.5</v>
      </c>
      <c r="L196" s="123">
        <f t="shared" si="57"/>
        <v>1.5</v>
      </c>
      <c r="M196" s="123">
        <f t="shared" si="57"/>
        <v>1.5</v>
      </c>
      <c r="N196" s="123">
        <f t="shared" si="57"/>
        <v>1.5</v>
      </c>
      <c r="O196" s="123">
        <f t="shared" si="57"/>
        <v>1.5</v>
      </c>
      <c r="P196" s="123">
        <f t="shared" si="57"/>
        <v>1.5</v>
      </c>
      <c r="Q196" s="123">
        <f t="shared" si="57"/>
        <v>1.5</v>
      </c>
      <c r="R196" s="123">
        <f t="shared" si="57"/>
        <v>1.5</v>
      </c>
      <c r="S196" s="123">
        <f t="shared" si="57"/>
        <v>1.5</v>
      </c>
      <c r="T196" s="123">
        <f t="shared" si="58"/>
        <v>1.5</v>
      </c>
      <c r="U196" s="123">
        <f t="shared" si="58"/>
        <v>1.5</v>
      </c>
      <c r="V196" s="123">
        <f t="shared" si="58"/>
        <v>1.5</v>
      </c>
      <c r="W196" s="123">
        <f t="shared" si="58"/>
        <v>1.5</v>
      </c>
      <c r="X196" s="123">
        <f t="shared" si="58"/>
        <v>1.5</v>
      </c>
      <c r="Y196" s="123">
        <f t="shared" si="58"/>
        <v>1.5</v>
      </c>
      <c r="Z196" s="123">
        <f t="shared" si="58"/>
        <v>1.5</v>
      </c>
      <c r="AA196" s="123">
        <f t="shared" si="58"/>
        <v>1.5</v>
      </c>
      <c r="AB196" s="123">
        <f t="shared" si="58"/>
        <v>1.5</v>
      </c>
      <c r="AC196" s="123">
        <f t="shared" si="58"/>
        <v>1.5</v>
      </c>
      <c r="AD196" s="123">
        <f t="shared" si="58"/>
        <v>1.5</v>
      </c>
      <c r="AE196" s="123">
        <f t="shared" si="58"/>
        <v>1.5</v>
      </c>
      <c r="AF196" s="123">
        <f t="shared" si="58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6"/>
        <v>0.3</v>
      </c>
      <c r="C197" s="123">
        <v>0.3</v>
      </c>
      <c r="D197" s="123">
        <f t="shared" si="57"/>
        <v>0.3</v>
      </c>
      <c r="E197" s="123">
        <f t="shared" si="57"/>
        <v>0.3</v>
      </c>
      <c r="F197" s="123">
        <f t="shared" si="57"/>
        <v>0.3</v>
      </c>
      <c r="G197" s="123">
        <f t="shared" si="57"/>
        <v>0.3</v>
      </c>
      <c r="H197" s="123">
        <f t="shared" si="57"/>
        <v>0.3</v>
      </c>
      <c r="I197" s="123">
        <f t="shared" si="57"/>
        <v>0.3</v>
      </c>
      <c r="J197" s="123">
        <f t="shared" si="57"/>
        <v>0.3</v>
      </c>
      <c r="K197" s="123">
        <f t="shared" si="57"/>
        <v>0.3</v>
      </c>
      <c r="L197" s="123">
        <f t="shared" si="57"/>
        <v>0.3</v>
      </c>
      <c r="M197" s="123">
        <f t="shared" si="57"/>
        <v>0.3</v>
      </c>
      <c r="N197" s="123">
        <f t="shared" si="57"/>
        <v>0.3</v>
      </c>
      <c r="O197" s="123">
        <f t="shared" si="57"/>
        <v>0.3</v>
      </c>
      <c r="P197" s="123">
        <f t="shared" si="57"/>
        <v>0.3</v>
      </c>
      <c r="Q197" s="123">
        <f t="shared" si="57"/>
        <v>0.3</v>
      </c>
      <c r="R197" s="123">
        <f t="shared" si="57"/>
        <v>0.3</v>
      </c>
      <c r="S197" s="123">
        <f t="shared" si="57"/>
        <v>0.3</v>
      </c>
      <c r="T197" s="123">
        <f t="shared" si="58"/>
        <v>0.3</v>
      </c>
      <c r="U197" s="123">
        <f t="shared" si="58"/>
        <v>0.3</v>
      </c>
      <c r="V197" s="123">
        <f t="shared" si="58"/>
        <v>0.3</v>
      </c>
      <c r="W197" s="123">
        <f t="shared" si="58"/>
        <v>0.3</v>
      </c>
      <c r="X197" s="123">
        <f t="shared" si="58"/>
        <v>0.3</v>
      </c>
      <c r="Y197" s="123">
        <f t="shared" si="58"/>
        <v>0.3</v>
      </c>
      <c r="Z197" s="123">
        <f t="shared" si="58"/>
        <v>0.3</v>
      </c>
      <c r="AA197" s="123">
        <f t="shared" si="58"/>
        <v>0.3</v>
      </c>
      <c r="AB197" s="123">
        <f t="shared" si="58"/>
        <v>0.3</v>
      </c>
      <c r="AC197" s="123">
        <f t="shared" si="58"/>
        <v>0.3</v>
      </c>
      <c r="AD197" s="123">
        <f t="shared" si="58"/>
        <v>0.3</v>
      </c>
      <c r="AE197" s="123">
        <f t="shared" si="58"/>
        <v>0.3</v>
      </c>
      <c r="AF197" s="123">
        <f t="shared" si="58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6"/>
        <v>0.4</v>
      </c>
      <c r="C198" s="123">
        <v>0.4</v>
      </c>
      <c r="D198" s="123">
        <f t="shared" si="57"/>
        <v>0.4</v>
      </c>
      <c r="E198" s="123">
        <f t="shared" si="57"/>
        <v>0.4</v>
      </c>
      <c r="F198" s="123">
        <f t="shared" si="57"/>
        <v>0.4</v>
      </c>
      <c r="G198" s="123">
        <f t="shared" si="57"/>
        <v>0.4</v>
      </c>
      <c r="H198" s="123">
        <f t="shared" si="57"/>
        <v>0.4</v>
      </c>
      <c r="I198" s="123">
        <f t="shared" si="57"/>
        <v>0.4</v>
      </c>
      <c r="J198" s="123">
        <f t="shared" si="57"/>
        <v>0.4</v>
      </c>
      <c r="K198" s="123">
        <f t="shared" si="57"/>
        <v>0.4</v>
      </c>
      <c r="L198" s="123">
        <f t="shared" si="57"/>
        <v>0.4</v>
      </c>
      <c r="M198" s="123">
        <f t="shared" si="57"/>
        <v>0.4</v>
      </c>
      <c r="N198" s="123">
        <f t="shared" si="57"/>
        <v>0.4</v>
      </c>
      <c r="O198" s="123">
        <f t="shared" si="57"/>
        <v>0.4</v>
      </c>
      <c r="P198" s="123">
        <f t="shared" si="57"/>
        <v>0.4</v>
      </c>
      <c r="Q198" s="123">
        <f t="shared" si="57"/>
        <v>0.4</v>
      </c>
      <c r="R198" s="123">
        <f t="shared" si="57"/>
        <v>0.4</v>
      </c>
      <c r="S198" s="123">
        <f t="shared" si="57"/>
        <v>0.4</v>
      </c>
      <c r="T198" s="123">
        <f t="shared" si="58"/>
        <v>0.4</v>
      </c>
      <c r="U198" s="123">
        <f t="shared" si="58"/>
        <v>0.4</v>
      </c>
      <c r="V198" s="123">
        <f t="shared" si="58"/>
        <v>0.4</v>
      </c>
      <c r="W198" s="123">
        <f t="shared" si="58"/>
        <v>0.4</v>
      </c>
      <c r="X198" s="123">
        <f t="shared" si="58"/>
        <v>0.4</v>
      </c>
      <c r="Y198" s="123">
        <f t="shared" si="58"/>
        <v>0.4</v>
      </c>
      <c r="Z198" s="123">
        <f t="shared" si="58"/>
        <v>0.4</v>
      </c>
      <c r="AA198" s="123">
        <f t="shared" si="58"/>
        <v>0.4</v>
      </c>
      <c r="AB198" s="123">
        <f t="shared" si="58"/>
        <v>0.4</v>
      </c>
      <c r="AC198" s="123">
        <f t="shared" si="58"/>
        <v>0.4</v>
      </c>
      <c r="AD198" s="123">
        <f t="shared" si="58"/>
        <v>0.4</v>
      </c>
      <c r="AE198" s="123">
        <f t="shared" si="58"/>
        <v>0.4</v>
      </c>
      <c r="AF198" s="123">
        <f t="shared" si="58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6"/>
        <v>0.64</v>
      </c>
      <c r="C199" s="133">
        <v>0.64</v>
      </c>
      <c r="D199" s="133">
        <f t="shared" si="57"/>
        <v>0.64</v>
      </c>
      <c r="E199" s="133">
        <f t="shared" si="57"/>
        <v>0.64</v>
      </c>
      <c r="F199" s="133">
        <f t="shared" si="57"/>
        <v>0.64</v>
      </c>
      <c r="G199" s="133">
        <f t="shared" si="57"/>
        <v>0.64</v>
      </c>
      <c r="H199" s="133">
        <f t="shared" si="57"/>
        <v>0.64</v>
      </c>
      <c r="I199" s="133">
        <f t="shared" si="57"/>
        <v>0.64</v>
      </c>
      <c r="J199" s="133">
        <f t="shared" si="57"/>
        <v>0.64</v>
      </c>
      <c r="K199" s="133">
        <f t="shared" si="57"/>
        <v>0.64</v>
      </c>
      <c r="L199" s="133">
        <f t="shared" si="57"/>
        <v>0.64</v>
      </c>
      <c r="M199" s="133">
        <f t="shared" si="57"/>
        <v>0.64</v>
      </c>
      <c r="N199" s="133">
        <f t="shared" si="57"/>
        <v>0.64</v>
      </c>
      <c r="O199" s="133">
        <f t="shared" si="57"/>
        <v>0.64</v>
      </c>
      <c r="P199" s="133">
        <f t="shared" si="57"/>
        <v>0.64</v>
      </c>
      <c r="Q199" s="133">
        <f t="shared" si="57"/>
        <v>0.64</v>
      </c>
      <c r="R199" s="133">
        <f t="shared" si="57"/>
        <v>0.64</v>
      </c>
      <c r="S199" s="133">
        <f t="shared" si="57"/>
        <v>0.64</v>
      </c>
      <c r="T199" s="133">
        <f t="shared" si="58"/>
        <v>0.64</v>
      </c>
      <c r="U199" s="133">
        <f t="shared" si="58"/>
        <v>0.64</v>
      </c>
      <c r="V199" s="133">
        <f t="shared" si="58"/>
        <v>0.64</v>
      </c>
      <c r="W199" s="133">
        <f t="shared" si="58"/>
        <v>0.64</v>
      </c>
      <c r="X199" s="133">
        <f t="shared" si="58"/>
        <v>0.64</v>
      </c>
      <c r="Y199" s="133">
        <f t="shared" si="58"/>
        <v>0.64</v>
      </c>
      <c r="Z199" s="133">
        <f t="shared" si="58"/>
        <v>0.64</v>
      </c>
      <c r="AA199" s="133">
        <f t="shared" si="58"/>
        <v>0.64</v>
      </c>
      <c r="AB199" s="133">
        <f t="shared" si="58"/>
        <v>0.64</v>
      </c>
      <c r="AC199" s="133">
        <f t="shared" si="58"/>
        <v>0.64</v>
      </c>
      <c r="AD199" s="133">
        <f t="shared" si="58"/>
        <v>0.64</v>
      </c>
      <c r="AE199" s="133">
        <f t="shared" si="58"/>
        <v>0.64</v>
      </c>
      <c r="AF199" s="133">
        <f t="shared" si="58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9">SUM(D194:D199)</f>
        <v>3.54</v>
      </c>
      <c r="E200" s="136">
        <f t="shared" si="59"/>
        <v>3.54</v>
      </c>
      <c r="F200" s="136">
        <f t="shared" si="59"/>
        <v>3.54</v>
      </c>
      <c r="G200" s="136">
        <f t="shared" si="59"/>
        <v>3.54</v>
      </c>
      <c r="H200" s="136">
        <f t="shared" si="59"/>
        <v>3.54</v>
      </c>
      <c r="I200" s="136">
        <f t="shared" si="59"/>
        <v>3.54</v>
      </c>
      <c r="J200" s="136">
        <f t="shared" si="59"/>
        <v>3.54</v>
      </c>
      <c r="K200" s="136">
        <f t="shared" si="59"/>
        <v>3.54</v>
      </c>
      <c r="L200" s="136">
        <f t="shared" si="59"/>
        <v>3.54</v>
      </c>
      <c r="M200" s="136">
        <f>SUM(M194:M199)</f>
        <v>3.54</v>
      </c>
      <c r="N200" s="136">
        <f t="shared" ref="N200:S200" si="60">SUM(N194:N199)</f>
        <v>3.54</v>
      </c>
      <c r="O200" s="136">
        <f t="shared" si="60"/>
        <v>3.54</v>
      </c>
      <c r="P200" s="136">
        <f t="shared" si="60"/>
        <v>3.54</v>
      </c>
      <c r="Q200" s="136">
        <f t="shared" si="60"/>
        <v>3.54</v>
      </c>
      <c r="R200" s="136">
        <f t="shared" si="60"/>
        <v>3.54</v>
      </c>
      <c r="S200" s="136">
        <f t="shared" si="60"/>
        <v>3.54</v>
      </c>
      <c r="T200" s="136">
        <f>SUM(T194:T199)</f>
        <v>3.54</v>
      </c>
      <c r="U200" s="136">
        <f t="shared" ref="U200:AG200" si="61">SUM(U194:U199)</f>
        <v>3.54</v>
      </c>
      <c r="V200" s="136">
        <f t="shared" si="61"/>
        <v>3.54</v>
      </c>
      <c r="W200" s="136">
        <f t="shared" si="61"/>
        <v>3.54</v>
      </c>
      <c r="X200" s="136">
        <f t="shared" si="61"/>
        <v>3.54</v>
      </c>
      <c r="Y200" s="136">
        <f t="shared" si="61"/>
        <v>3.54</v>
      </c>
      <c r="Z200" s="136">
        <f t="shared" si="61"/>
        <v>3.54</v>
      </c>
      <c r="AA200" s="136">
        <f t="shared" si="61"/>
        <v>3.54</v>
      </c>
      <c r="AB200" s="136">
        <f t="shared" si="61"/>
        <v>3.54</v>
      </c>
      <c r="AC200" s="136">
        <f t="shared" si="61"/>
        <v>3.54</v>
      </c>
      <c r="AD200" s="136">
        <f t="shared" si="61"/>
        <v>3.54</v>
      </c>
      <c r="AE200" s="136">
        <f t="shared" si="61"/>
        <v>3.54</v>
      </c>
      <c r="AF200" s="136">
        <f t="shared" si="61"/>
        <v>3.54</v>
      </c>
      <c r="AG200" s="137">
        <f t="shared" si="61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1662.14</v>
      </c>
      <c r="C209" s="151">
        <f>INDEX(G9:N9,1,MATCH(MAX(G75:N75),G75:N75,0))</f>
        <v>0.29166666666666669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10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2079/02/10)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2079/02/10)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2">B75</f>
        <v>1720.04</v>
      </c>
      <c r="U214" s="161">
        <f t="shared" si="62"/>
        <v>1716.04</v>
      </c>
      <c r="V214" s="161">
        <f t="shared" si="62"/>
        <v>1708.04</v>
      </c>
      <c r="W214" s="161">
        <f t="shared" si="62"/>
        <v>1691.21</v>
      </c>
      <c r="X214" s="161">
        <f t="shared" si="62"/>
        <v>1609.8400000000001</v>
      </c>
      <c r="Y214" s="161">
        <f t="shared" si="62"/>
        <v>1648.13</v>
      </c>
      <c r="Z214" s="161">
        <f t="shared" si="62"/>
        <v>1646.04</v>
      </c>
      <c r="AA214" s="161">
        <f t="shared" si="62"/>
        <v>1645.8400000000001</v>
      </c>
      <c r="AB214" s="161">
        <f t="shared" si="62"/>
        <v>1632.54</v>
      </c>
      <c r="AC214" s="161">
        <f t="shared" si="62"/>
        <v>1662.14</v>
      </c>
      <c r="AD214" s="161">
        <f t="shared" si="62"/>
        <v>1651.79</v>
      </c>
      <c r="AE214" s="161">
        <f t="shared" si="62"/>
        <v>1648.94</v>
      </c>
      <c r="AF214" s="161">
        <f t="shared" si="62"/>
        <v>1657.94</v>
      </c>
      <c r="AG214" s="161">
        <f t="shared" si="62"/>
        <v>1680.94</v>
      </c>
      <c r="AH214" s="161">
        <f t="shared" si="62"/>
        <v>1726.64</v>
      </c>
      <c r="AI214" s="161">
        <f t="shared" si="62"/>
        <v>1742.8000000000002</v>
      </c>
      <c r="AJ214" s="161">
        <f t="shared" si="62"/>
        <v>1732.8000000000002</v>
      </c>
      <c r="AK214" s="161">
        <f t="shared" si="62"/>
        <v>1724.64</v>
      </c>
      <c r="AL214" s="161">
        <f t="shared" si="62"/>
        <v>1709.7600000000002</v>
      </c>
      <c r="AM214" s="161">
        <f t="shared" si="62"/>
        <v>1724.24</v>
      </c>
      <c r="AN214" s="161">
        <f t="shared" si="62"/>
        <v>1670.94</v>
      </c>
      <c r="AO214" s="161">
        <f t="shared" si="62"/>
        <v>1675.74</v>
      </c>
      <c r="AP214" s="161">
        <f t="shared" si="62"/>
        <v>1652.3400000000001</v>
      </c>
      <c r="AQ214" s="161">
        <f t="shared" si="62"/>
        <v>1712.14</v>
      </c>
      <c r="AR214" s="161">
        <f t="shared" si="62"/>
        <v>1714.3400000000001</v>
      </c>
      <c r="AS214" s="161">
        <f t="shared" si="62"/>
        <v>1706.64</v>
      </c>
      <c r="AT214" s="161">
        <f t="shared" si="62"/>
        <v>1750.74</v>
      </c>
      <c r="AU214" s="161">
        <f t="shared" si="62"/>
        <v>1740.0399999999997</v>
      </c>
      <c r="AV214" s="161">
        <f t="shared" si="62"/>
        <v>1745.0399999999997</v>
      </c>
      <c r="AW214" s="161">
        <f t="shared" si="62"/>
        <v>1740.14</v>
      </c>
      <c r="AX214" s="161">
        <f t="shared" si="62"/>
        <v>1737.8400000000001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3">C199</f>
        <v>0.64</v>
      </c>
      <c r="C235" s="164">
        <f t="shared" si="63"/>
        <v>0.64</v>
      </c>
      <c r="D235" s="164">
        <f t="shared" si="63"/>
        <v>0.64</v>
      </c>
      <c r="E235" s="164">
        <f t="shared" si="63"/>
        <v>0.64</v>
      </c>
      <c r="F235" s="164">
        <f t="shared" si="63"/>
        <v>0.64</v>
      </c>
      <c r="G235" s="164">
        <f t="shared" si="63"/>
        <v>0.64</v>
      </c>
      <c r="H235" s="164">
        <f t="shared" si="63"/>
        <v>0.64</v>
      </c>
      <c r="I235" s="164">
        <f t="shared" si="63"/>
        <v>0.64</v>
      </c>
      <c r="J235" s="164">
        <f t="shared" si="63"/>
        <v>0.64</v>
      </c>
      <c r="K235" s="164">
        <f t="shared" si="63"/>
        <v>0.64</v>
      </c>
      <c r="L235" s="164">
        <f t="shared" si="63"/>
        <v>0.64</v>
      </c>
      <c r="M235" s="164">
        <f t="shared" si="63"/>
        <v>0.64</v>
      </c>
      <c r="N235" s="164">
        <f t="shared" si="63"/>
        <v>0.64</v>
      </c>
      <c r="O235" s="164">
        <f t="shared" si="63"/>
        <v>0.64</v>
      </c>
      <c r="P235" s="164">
        <f t="shared" si="63"/>
        <v>0.64</v>
      </c>
      <c r="Q235" s="164">
        <f t="shared" si="63"/>
        <v>0.64</v>
      </c>
      <c r="R235" s="164">
        <f t="shared" si="63"/>
        <v>0.64</v>
      </c>
      <c r="S235" s="164">
        <f t="shared" si="63"/>
        <v>0.64</v>
      </c>
      <c r="T235" s="164">
        <f t="shared" si="63"/>
        <v>0.64</v>
      </c>
      <c r="U235" s="164">
        <f t="shared" si="63"/>
        <v>0.64</v>
      </c>
      <c r="V235" s="164">
        <f t="shared" si="63"/>
        <v>0.64</v>
      </c>
      <c r="W235" s="164">
        <f t="shared" si="63"/>
        <v>0.64</v>
      </c>
      <c r="X235" s="164">
        <f t="shared" si="63"/>
        <v>0.64</v>
      </c>
      <c r="Y235" s="164">
        <f t="shared" si="63"/>
        <v>0.64</v>
      </c>
      <c r="Z235" s="164">
        <f t="shared" si="63"/>
        <v>0.64</v>
      </c>
      <c r="AA235" s="164">
        <f t="shared" si="63"/>
        <v>0.64</v>
      </c>
      <c r="AB235" s="164">
        <f t="shared" si="63"/>
        <v>0.64</v>
      </c>
      <c r="AC235" s="164">
        <f t="shared" si="63"/>
        <v>0.64</v>
      </c>
      <c r="AD235" s="164">
        <f t="shared" si="63"/>
        <v>0.64</v>
      </c>
      <c r="AE235" s="164">
        <f t="shared" si="63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4">IF(C203&lt;100,"",C203-520)</f>
        <v/>
      </c>
      <c r="D236" s="107" t="str">
        <f t="shared" si="64"/>
        <v/>
      </c>
      <c r="E236" s="107" t="str">
        <f t="shared" si="64"/>
        <v/>
      </c>
      <c r="F236" s="107" t="str">
        <f t="shared" si="64"/>
        <v/>
      </c>
      <c r="G236" s="107" t="str">
        <f t="shared" si="64"/>
        <v/>
      </c>
      <c r="H236" s="107" t="str">
        <f t="shared" si="64"/>
        <v/>
      </c>
      <c r="I236" s="107" t="str">
        <f t="shared" si="64"/>
        <v/>
      </c>
      <c r="J236" s="107" t="str">
        <f t="shared" si="64"/>
        <v/>
      </c>
      <c r="K236" s="107" t="str">
        <f t="shared" si="64"/>
        <v/>
      </c>
      <c r="L236" s="107" t="str">
        <f t="shared" si="64"/>
        <v/>
      </c>
      <c r="M236" s="107" t="str">
        <f t="shared" si="64"/>
        <v/>
      </c>
      <c r="N236" s="107" t="str">
        <f t="shared" si="64"/>
        <v/>
      </c>
      <c r="O236" s="107" t="str">
        <f t="shared" si="64"/>
        <v/>
      </c>
      <c r="P236" s="107" t="str">
        <f t="shared" si="64"/>
        <v/>
      </c>
      <c r="Q236" s="107" t="str">
        <f t="shared" si="64"/>
        <v/>
      </c>
      <c r="R236" s="107" t="str">
        <f t="shared" si="64"/>
        <v/>
      </c>
      <c r="S236" s="107" t="str">
        <f t="shared" si="64"/>
        <v/>
      </c>
      <c r="T236" s="107" t="str">
        <f t="shared" si="64"/>
        <v/>
      </c>
      <c r="U236" s="107" t="str">
        <f t="shared" si="64"/>
        <v/>
      </c>
      <c r="V236" s="107" t="str">
        <f t="shared" si="64"/>
        <v/>
      </c>
      <c r="W236" s="107" t="str">
        <f t="shared" si="64"/>
        <v/>
      </c>
      <c r="X236" s="107" t="str">
        <f t="shared" si="64"/>
        <v/>
      </c>
      <c r="Y236" s="107" t="str">
        <f t="shared" si="64"/>
        <v/>
      </c>
      <c r="Z236" s="107" t="str">
        <f t="shared" si="64"/>
        <v/>
      </c>
      <c r="AA236" s="107" t="str">
        <f t="shared" si="64"/>
        <v/>
      </c>
      <c r="AB236" s="107" t="str">
        <f t="shared" si="64"/>
        <v/>
      </c>
      <c r="AC236" s="107" t="str">
        <f t="shared" si="64"/>
        <v/>
      </c>
      <c r="AD236" s="107" t="str">
        <f t="shared" si="64"/>
        <v/>
      </c>
      <c r="AE236" s="107" t="str">
        <f t="shared" si="64"/>
        <v/>
      </c>
      <c r="AF236" s="107" t="str">
        <f t="shared" si="64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5">IF(B204&lt;100,"",B204-620)</f>
        <v/>
      </c>
      <c r="C237" s="107" t="str">
        <f t="shared" si="65"/>
        <v/>
      </c>
      <c r="D237" s="107" t="str">
        <f t="shared" si="65"/>
        <v/>
      </c>
      <c r="E237" s="107" t="str">
        <f t="shared" si="65"/>
        <v/>
      </c>
      <c r="F237" s="107" t="str">
        <f t="shared" si="65"/>
        <v/>
      </c>
      <c r="G237" s="107" t="str">
        <f t="shared" si="65"/>
        <v/>
      </c>
      <c r="H237" s="107" t="str">
        <f t="shared" si="65"/>
        <v/>
      </c>
      <c r="I237" s="107" t="str">
        <f t="shared" si="65"/>
        <v/>
      </c>
      <c r="J237" s="107" t="str">
        <f t="shared" si="65"/>
        <v/>
      </c>
      <c r="K237" s="107" t="str">
        <f t="shared" si="65"/>
        <v/>
      </c>
      <c r="L237" s="107" t="str">
        <f t="shared" si="65"/>
        <v/>
      </c>
      <c r="M237" s="107" t="str">
        <f t="shared" si="65"/>
        <v/>
      </c>
      <c r="N237" s="107" t="str">
        <f t="shared" si="65"/>
        <v/>
      </c>
      <c r="O237" s="107" t="str">
        <f t="shared" si="65"/>
        <v/>
      </c>
      <c r="P237" s="107" t="str">
        <f t="shared" si="65"/>
        <v/>
      </c>
      <c r="Q237" s="107" t="str">
        <f t="shared" si="65"/>
        <v/>
      </c>
      <c r="R237" s="107" t="str">
        <f t="shared" si="65"/>
        <v/>
      </c>
      <c r="S237" s="107" t="str">
        <f t="shared" si="65"/>
        <v/>
      </c>
      <c r="T237" s="107" t="str">
        <f t="shared" si="65"/>
        <v/>
      </c>
      <c r="U237" s="107" t="str">
        <f t="shared" si="65"/>
        <v/>
      </c>
      <c r="V237" s="107" t="str">
        <f t="shared" si="65"/>
        <v/>
      </c>
      <c r="W237" s="107" t="str">
        <f t="shared" si="65"/>
        <v/>
      </c>
      <c r="X237" s="107" t="str">
        <f t="shared" si="65"/>
        <v/>
      </c>
      <c r="Y237" s="107" t="str">
        <f t="shared" si="65"/>
        <v/>
      </c>
      <c r="Z237" s="107" t="str">
        <f t="shared" si="65"/>
        <v/>
      </c>
      <c r="AA237" s="107" t="str">
        <f t="shared" si="65"/>
        <v/>
      </c>
      <c r="AB237" s="107" t="str">
        <f t="shared" si="65"/>
        <v/>
      </c>
      <c r="AC237" s="107" t="str">
        <f t="shared" si="65"/>
        <v/>
      </c>
      <c r="AD237" s="107" t="str">
        <f t="shared" si="65"/>
        <v/>
      </c>
      <c r="AE237" s="107" t="str">
        <f t="shared" si="65"/>
        <v/>
      </c>
      <c r="AF237" s="107" t="str">
        <f t="shared" si="65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6">IF(B205&lt;100,"",B205-330)</f>
        <v/>
      </c>
      <c r="C238" s="107" t="str">
        <f t="shared" si="66"/>
        <v/>
      </c>
      <c r="D238" s="107" t="str">
        <f t="shared" si="66"/>
        <v/>
      </c>
      <c r="E238" s="107" t="str">
        <f t="shared" si="66"/>
        <v/>
      </c>
      <c r="F238" s="107" t="str">
        <f t="shared" si="66"/>
        <v/>
      </c>
      <c r="G238" s="107" t="str">
        <f t="shared" si="66"/>
        <v/>
      </c>
      <c r="H238" s="107" t="str">
        <f t="shared" si="66"/>
        <v/>
      </c>
      <c r="I238" s="107" t="str">
        <f t="shared" si="66"/>
        <v/>
      </c>
      <c r="J238" s="107" t="str">
        <f t="shared" si="66"/>
        <v/>
      </c>
      <c r="K238" s="107" t="str">
        <f t="shared" si="66"/>
        <v/>
      </c>
      <c r="L238" s="107" t="str">
        <f t="shared" si="66"/>
        <v/>
      </c>
      <c r="M238" s="107" t="str">
        <f t="shared" si="66"/>
        <v/>
      </c>
      <c r="N238" s="107" t="str">
        <f t="shared" si="66"/>
        <v/>
      </c>
      <c r="O238" s="107" t="str">
        <f t="shared" si="66"/>
        <v/>
      </c>
      <c r="P238" s="107" t="str">
        <f t="shared" si="66"/>
        <v/>
      </c>
      <c r="Q238" s="107" t="str">
        <f t="shared" si="66"/>
        <v/>
      </c>
      <c r="R238" s="107" t="str">
        <f t="shared" si="66"/>
        <v/>
      </c>
      <c r="S238" s="107" t="str">
        <f t="shared" si="66"/>
        <v/>
      </c>
      <c r="T238" s="107" t="str">
        <f t="shared" si="66"/>
        <v/>
      </c>
      <c r="U238" s="107" t="str">
        <f t="shared" si="66"/>
        <v/>
      </c>
      <c r="V238" s="107" t="str">
        <f t="shared" si="66"/>
        <v/>
      </c>
      <c r="W238" s="107" t="str">
        <f t="shared" si="66"/>
        <v/>
      </c>
      <c r="X238" s="107" t="str">
        <f t="shared" si="66"/>
        <v/>
      </c>
      <c r="Y238" s="107" t="str">
        <f t="shared" si="66"/>
        <v/>
      </c>
      <c r="Z238" s="107" t="str">
        <f t="shared" si="66"/>
        <v/>
      </c>
      <c r="AA238" s="107" t="str">
        <f t="shared" si="66"/>
        <v/>
      </c>
      <c r="AB238" s="107" t="str">
        <f t="shared" si="66"/>
        <v/>
      </c>
      <c r="AC238" s="107" t="str">
        <f t="shared" si="66"/>
        <v/>
      </c>
      <c r="AD238" s="107" t="str">
        <f t="shared" si="66"/>
        <v/>
      </c>
      <c r="AE238" s="107" t="str">
        <f t="shared" si="66"/>
        <v/>
      </c>
      <c r="AF238" s="107" t="str">
        <f t="shared" si="66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7">IF(C206&lt;100,"",C206-1500)</f>
        <v/>
      </c>
      <c r="D239" s="107" t="str">
        <f t="shared" si="67"/>
        <v/>
      </c>
      <c r="E239" s="107" t="str">
        <f t="shared" si="67"/>
        <v/>
      </c>
      <c r="F239" s="107" t="str">
        <f t="shared" si="67"/>
        <v/>
      </c>
      <c r="G239" s="107" t="str">
        <f t="shared" si="67"/>
        <v/>
      </c>
      <c r="H239" s="107" t="str">
        <f t="shared" si="67"/>
        <v/>
      </c>
      <c r="I239" s="107" t="str">
        <f t="shared" si="67"/>
        <v/>
      </c>
      <c r="J239" s="107" t="str">
        <f t="shared" si="67"/>
        <v/>
      </c>
      <c r="K239" s="107" t="str">
        <f t="shared" si="67"/>
        <v/>
      </c>
      <c r="L239" s="107" t="str">
        <f t="shared" si="67"/>
        <v/>
      </c>
      <c r="M239" s="107" t="str">
        <f t="shared" si="67"/>
        <v/>
      </c>
      <c r="N239" s="107" t="str">
        <f t="shared" si="67"/>
        <v/>
      </c>
      <c r="O239" s="107" t="str">
        <f t="shared" si="67"/>
        <v/>
      </c>
      <c r="P239" s="107" t="str">
        <f t="shared" si="67"/>
        <v/>
      </c>
      <c r="Q239" s="107" t="str">
        <f t="shared" si="67"/>
        <v/>
      </c>
      <c r="R239" s="107" t="str">
        <f t="shared" si="67"/>
        <v/>
      </c>
      <c r="S239" s="107" t="str">
        <f t="shared" si="67"/>
        <v/>
      </c>
      <c r="T239" s="107" t="str">
        <f t="shared" si="67"/>
        <v/>
      </c>
      <c r="U239" s="107" t="str">
        <f t="shared" si="67"/>
        <v/>
      </c>
      <c r="V239" s="107" t="str">
        <f t="shared" si="67"/>
        <v/>
      </c>
      <c r="W239" s="107" t="str">
        <f t="shared" si="67"/>
        <v/>
      </c>
      <c r="X239" s="107" t="str">
        <f t="shared" si="67"/>
        <v/>
      </c>
      <c r="Y239" s="107" t="str">
        <f t="shared" si="67"/>
        <v/>
      </c>
      <c r="Z239" s="107" t="str">
        <f t="shared" si="67"/>
        <v/>
      </c>
      <c r="AA239" s="107" t="str">
        <f t="shared" si="67"/>
        <v/>
      </c>
      <c r="AB239" s="107" t="str">
        <f t="shared" si="67"/>
        <v/>
      </c>
      <c r="AC239" s="107" t="str">
        <f t="shared" si="67"/>
        <v/>
      </c>
      <c r="AD239" s="107" t="str">
        <f t="shared" si="67"/>
        <v/>
      </c>
      <c r="AE239" s="107" t="str">
        <f t="shared" si="67"/>
        <v/>
      </c>
      <c r="AF239" s="107" t="str">
        <f t="shared" si="67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U11:AF11">
    <cfRule type="expression" dxfId="4905" priority="181">
      <formula>B$9&gt;=20/24</formula>
    </cfRule>
    <cfRule type="expression" dxfId="4904" priority="182">
      <formula>AND(B$9&gt;=14/24,B$9&lt;20/24)</formula>
    </cfRule>
    <cfRule type="expression" dxfId="4903" priority="183">
      <formula>AND(B$9&gt;=8/24,B$9&lt;14/24)</formula>
    </cfRule>
    <cfRule type="expression" dxfId="4902" priority="184">
      <formula>B$9&lt;8/24</formula>
    </cfRule>
  </conditionalFormatting>
  <conditionalFormatting sqref="AL4:AL6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4901" priority="176">
      <formula>T$9&gt;=20/24</formula>
    </cfRule>
    <cfRule type="expression" dxfId="4900" priority="177">
      <formula>AND(T$9&gt;=14/24,T$9&lt;20/24)</formula>
    </cfRule>
    <cfRule type="expression" dxfId="4899" priority="178">
      <formula>AND(T$9&gt;=8/24,T$9&lt;14/24)</formula>
    </cfRule>
    <cfRule type="expression" dxfId="4898" priority="179">
      <formula>T$9&lt;8/24</formula>
    </cfRule>
  </conditionalFormatting>
  <conditionalFormatting sqref="AG51 M11:AF11 T37:AF37">
    <cfRule type="expression" dxfId="4897" priority="175">
      <formula>M11&gt;$AG11</formula>
    </cfRule>
  </conditionalFormatting>
  <conditionalFormatting sqref="A101:A157 A84:A97 A11:A14 A16:A32 A45:A72 A80:A82 A74:A78 A35:A43 A170:A200">
    <cfRule type="expression" dxfId="4896" priority="174">
      <formula>$AH11=0</formula>
    </cfRule>
  </conditionalFormatting>
  <conditionalFormatting sqref="A98">
    <cfRule type="expression" dxfId="4895" priority="173">
      <formula>$AH98=0</formula>
    </cfRule>
  </conditionalFormatting>
  <conditionalFormatting sqref="AL32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894" priority="171">
      <formula>$AH34=0</formula>
    </cfRule>
  </conditionalFormatting>
  <conditionalFormatting sqref="A83">
    <cfRule type="expression" dxfId="4893" priority="170">
      <formula>$AH83=0</formula>
    </cfRule>
  </conditionalFormatting>
  <conditionalFormatting sqref="A15">
    <cfRule type="expression" dxfId="4892" priority="169">
      <formula>$AH15=0</formula>
    </cfRule>
  </conditionalFormatting>
  <conditionalFormatting sqref="A164:A169">
    <cfRule type="expression" dxfId="4891" priority="168">
      <formula>$AH164=0</formula>
    </cfRule>
  </conditionalFormatting>
  <conditionalFormatting sqref="A158:A163">
    <cfRule type="expression" dxfId="4890" priority="167">
      <formula>$AH158=0</formula>
    </cfRule>
  </conditionalFormatting>
  <conditionalFormatting sqref="A44">
    <cfRule type="expression" dxfId="4889" priority="166">
      <formula>$AH44=0</formula>
    </cfRule>
  </conditionalFormatting>
  <conditionalFormatting sqref="A79">
    <cfRule type="expression" dxfId="4888" priority="165">
      <formula>$AH79=0</formula>
    </cfRule>
  </conditionalFormatting>
  <conditionalFormatting sqref="A73">
    <cfRule type="expression" dxfId="4887" priority="164">
      <formula>$AH73=0</formula>
    </cfRule>
  </conditionalFormatting>
  <conditionalFormatting sqref="AL34:AL35 AL7:AL31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4886" priority="160">
      <formula>D$9&gt;=20/24</formula>
    </cfRule>
    <cfRule type="expression" dxfId="4885" priority="161">
      <formula>AND(D$9&gt;=14/24,D$9&lt;20/24)</formula>
    </cfRule>
    <cfRule type="expression" dxfId="4884" priority="162">
      <formula>AND(D$9&gt;=8/24,D$9&lt;14/24)</formula>
    </cfRule>
    <cfRule type="expression" dxfId="4883" priority="163">
      <formula>D$9&lt;8/24</formula>
    </cfRule>
  </conditionalFormatting>
  <conditionalFormatting sqref="AL3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882" priority="188">
      <formula>C$9&gt;=20/24</formula>
    </cfRule>
    <cfRule type="expression" dxfId="4881" priority="189">
      <formula>AND(C$9&gt;=14/24,C$9&lt;20/24)</formula>
    </cfRule>
    <cfRule type="expression" dxfId="4880" priority="190">
      <formula>AND(C$9&gt;=8/24,C$9&lt;14/24)</formula>
    </cfRule>
    <cfRule type="expression" dxfId="4879" priority="191">
      <formula>C$9&lt;8/24</formula>
    </cfRule>
  </conditionalFormatting>
  <conditionalFormatting sqref="A201">
    <cfRule type="expression" dxfId="4878" priority="192">
      <formula>$AH201=0</formula>
    </cfRule>
  </conditionalFormatting>
  <conditionalFormatting sqref="AG213">
    <cfRule type="expression" dxfId="4877" priority="193">
      <formula>B$9&gt;=20/24</formula>
    </cfRule>
    <cfRule type="expression" dxfId="4876" priority="194">
      <formula>AND(B$9&gt;=14/24,B$9&lt;20/24)</formula>
    </cfRule>
    <cfRule type="expression" dxfId="4875" priority="195">
      <formula>AND(B$9&gt;=8/24,B$9&lt;14/24)</formula>
    </cfRule>
    <cfRule type="expression" dxfId="4874" priority="196">
      <formula>B$9&lt;8/24</formula>
    </cfRule>
  </conditionalFormatting>
  <conditionalFormatting sqref="S8">
    <cfRule type="expression" dxfId="4873" priority="155">
      <formula>U$9&gt;=20/24</formula>
    </cfRule>
    <cfRule type="expression" dxfId="4872" priority="156">
      <formula>AND(U$9&gt;=14/24,U$9&lt;20/24)</formula>
    </cfRule>
    <cfRule type="expression" dxfId="4871" priority="157">
      <formula>AND(U$9&gt;=8/24,U$9&lt;14/24)</formula>
    </cfRule>
    <cfRule type="expression" dxfId="4870" priority="158">
      <formula>U$9&lt;8/24</formula>
    </cfRule>
  </conditionalFormatting>
  <conditionalFormatting sqref="AB8">
    <cfRule type="expression" dxfId="4869" priority="151">
      <formula>AD$9&gt;=20/24</formula>
    </cfRule>
    <cfRule type="expression" dxfId="4868" priority="152">
      <formula>AND(AD$9&gt;=14/24,AD$9&lt;20/24)</formula>
    </cfRule>
    <cfRule type="expression" dxfId="4867" priority="153">
      <formula>AND(AD$9&gt;=8/24,AD$9&lt;14/24)</formula>
    </cfRule>
    <cfRule type="expression" dxfId="4866" priority="154">
      <formula>AD$9&lt;8/24</formula>
    </cfRule>
  </conditionalFormatting>
  <conditionalFormatting sqref="AH213:AX213">
    <cfRule type="expression" dxfId="4865" priority="197">
      <formula>AG$9&gt;=20/24</formula>
    </cfRule>
    <cfRule type="expression" dxfId="4864" priority="198">
      <formula>AND(AG$9&gt;=14/24,AG$9&lt;20/24)</formula>
    </cfRule>
    <cfRule type="expression" dxfId="4863" priority="199">
      <formula>AND(AG$9&gt;=8/24,AG$9&lt;14/24)</formula>
    </cfRule>
    <cfRule type="expression" dxfId="4862" priority="200">
      <formula>AG$9&lt;8/24</formula>
    </cfRule>
  </conditionalFormatting>
  <conditionalFormatting sqref="T213">
    <cfRule type="expression" dxfId="4861" priority="201">
      <formula>AX$9&gt;=20/24</formula>
    </cfRule>
    <cfRule type="expression" dxfId="4860" priority="202">
      <formula>AND(AX$9&gt;=14/24,AX$9&lt;20/24)</formula>
    </cfRule>
    <cfRule type="expression" dxfId="4859" priority="203">
      <formula>AND(AX$9&gt;=8/24,AX$9&lt;14/24)</formula>
    </cfRule>
    <cfRule type="expression" dxfId="4858" priority="204">
      <formula>AX$9&lt;8/24</formula>
    </cfRule>
  </conditionalFormatting>
  <conditionalFormatting sqref="A99:A100">
    <cfRule type="expression" dxfId="4857" priority="150">
      <formula>$AH99=0</formula>
    </cfRule>
  </conditionalFormatting>
  <conditionalFormatting sqref="L41 E40:K41 F11:L11 L40:T40 C57:AF57 U40:AF41">
    <cfRule type="expression" dxfId="4856" priority="146">
      <formula>C$9&gt;=20/24</formula>
    </cfRule>
    <cfRule type="expression" dxfId="4855" priority="147">
      <formula>AND(C$9&gt;=14/24,C$9&lt;20/24)</formula>
    </cfRule>
    <cfRule type="expression" dxfId="4854" priority="148">
      <formula>AND(C$9&gt;=8/24,C$9&lt;14/24)</formula>
    </cfRule>
    <cfRule type="expression" dxfId="4853" priority="149">
      <formula>C$9&lt;8/24</formula>
    </cfRule>
  </conditionalFormatting>
  <conditionalFormatting sqref="E39:AF39">
    <cfRule type="expression" dxfId="4852" priority="142">
      <formula>E$9&gt;=20/24</formula>
    </cfRule>
    <cfRule type="expression" dxfId="4851" priority="143">
      <formula>AND(E$9&gt;=14/24,E$9&lt;20/24)</formula>
    </cfRule>
    <cfRule type="expression" dxfId="4850" priority="144">
      <formula>AND(E$9&gt;=8/24,E$9&lt;14/24)</formula>
    </cfRule>
    <cfRule type="expression" dxfId="4849" priority="145">
      <formula>E$9&lt;8/24</formula>
    </cfRule>
  </conditionalFormatting>
  <conditionalFormatting sqref="L41 E39:K41 F11:L11 L39:T40 U39:AF41">
    <cfRule type="expression" dxfId="4848" priority="141">
      <formula>E11&gt;$AG11</formula>
    </cfRule>
  </conditionalFormatting>
  <conditionalFormatting sqref="C81:AF81 C69:AF72 C56:AF56 D85:M88 D60:J60 E89:M91 F61:J63 F12:L14 F67:L67 K60:L63 C58:O59 M60:O67 M37:S37 M11:T14 N85:AF91 E53:AF55 AD16:AF16 U12:AF14 P58:AF67">
    <cfRule type="expression" dxfId="4847" priority="137">
      <formula>C$9&gt;=20/24</formula>
    </cfRule>
    <cfRule type="expression" dxfId="4846" priority="138">
      <formula>AND(C$9&gt;=14/24,C$9&lt;20/24)</formula>
    </cfRule>
    <cfRule type="expression" dxfId="4845" priority="139">
      <formula>AND(C$9&gt;=8/24,C$9&lt;14/24)</formula>
    </cfRule>
    <cfRule type="expression" dxfId="4844" priority="140">
      <formula>C$9&lt;8/24</formula>
    </cfRule>
  </conditionalFormatting>
  <conditionalFormatting sqref="C51:AF51 C56:AF56 AD16 F12:L15 E42:L43 E37:S37 M11:T15 F44:AA44 U12:AD15 E53:AF55 AE12:AF16 AB42:AF43">
    <cfRule type="expression" dxfId="4843" priority="128">
      <formula>C11&gt;$AG11</formula>
    </cfRule>
  </conditionalFormatting>
  <conditionalFormatting sqref="F15:AF15">
    <cfRule type="expression" dxfId="4842" priority="120">
      <formula>F$9&gt;=20/24</formula>
    </cfRule>
    <cfRule type="expression" dxfId="4841" priority="121">
      <formula>AND(F$9&gt;=14/24,F$9&lt;20/24)</formula>
    </cfRule>
    <cfRule type="expression" dxfId="4840" priority="122">
      <formula>AND(F$9&gt;=8/24,F$9&lt;14/24)</formula>
    </cfRule>
    <cfRule type="expression" dxfId="4839" priority="123">
      <formula>F$9&lt;8/24</formula>
    </cfRule>
  </conditionalFormatting>
  <conditionalFormatting sqref="AB44:AC45 AD44:AF50">
    <cfRule type="expression" dxfId="4838" priority="107">
      <formula>AB$9&gt;=20/24</formula>
    </cfRule>
    <cfRule type="expression" dxfId="4837" priority="108">
      <formula>AND(AB$9&gt;=14/24,AB$9&lt;20/24)</formula>
    </cfRule>
    <cfRule type="expression" dxfId="4836" priority="109">
      <formula>AND(AB$9&gt;=8/24,AB$9&lt;14/24)</formula>
    </cfRule>
    <cfRule type="expression" dxfId="4835" priority="110">
      <formula>AB$9&lt;8/24</formula>
    </cfRule>
  </conditionalFormatting>
  <conditionalFormatting sqref="AB44:AC45 AD44:AF50">
    <cfRule type="expression" dxfId="4834" priority="106">
      <formula>AB44&gt;$AG44</formula>
    </cfRule>
  </conditionalFormatting>
  <conditionalFormatting sqref="U42:AA43 Y50:AC50">
    <cfRule type="expression" dxfId="4833" priority="102">
      <formula>U$9&gt;=20/24</formula>
    </cfRule>
    <cfRule type="expression" dxfId="4832" priority="103">
      <formula>AND(U$9&gt;=14/24,U$9&lt;20/24)</formula>
    </cfRule>
    <cfRule type="expression" dxfId="4831" priority="104">
      <formula>AND(U$9&gt;=8/24,U$9&lt;14/24)</formula>
    </cfRule>
    <cfRule type="expression" dxfId="4830" priority="105">
      <formula>U$9&lt;8/24</formula>
    </cfRule>
  </conditionalFormatting>
  <conditionalFormatting sqref="U42:AA43 Y50:AC50">
    <cfRule type="expression" dxfId="4829" priority="101">
      <formula>U42&gt;$AG42</formula>
    </cfRule>
  </conditionalFormatting>
  <conditionalFormatting sqref="F16:AC20 AD17:AF20">
    <cfRule type="expression" dxfId="4828" priority="93">
      <formula>F$9&gt;=20/24</formula>
    </cfRule>
    <cfRule type="expression" dxfId="4827" priority="94">
      <formula>AND(F$9&gt;=14/24,F$9&lt;20/24)</formula>
    </cfRule>
    <cfRule type="expression" dxfId="4826" priority="95">
      <formula>AND(F$9&gt;=8/24,F$9&lt;14/24)</formula>
    </cfRule>
    <cfRule type="expression" dxfId="4825" priority="96">
      <formula>F$9&lt;8/24</formula>
    </cfRule>
  </conditionalFormatting>
  <conditionalFormatting sqref="F16:AC20 AD17:AF20">
    <cfRule type="expression" dxfId="4824" priority="92">
      <formula>F16&gt;$AG16</formula>
    </cfRule>
  </conditionalFormatting>
  <conditionalFormatting sqref="F64:L66">
    <cfRule type="expression" dxfId="4823" priority="88">
      <formula>F$9&gt;=20/24</formula>
    </cfRule>
    <cfRule type="expression" dxfId="4822" priority="89">
      <formula>AND(F$9&gt;=14/24,F$9&lt;20/24)</formula>
    </cfRule>
    <cfRule type="expression" dxfId="4821" priority="90">
      <formula>AND(F$9&gt;=8/24,F$9&lt;14/24)</formula>
    </cfRule>
    <cfRule type="expression" dxfId="4820" priority="91">
      <formula>F$9&lt;8/24</formula>
    </cfRule>
  </conditionalFormatting>
  <conditionalFormatting sqref="F45:X50 Y45:AA49 AB46:AC49">
    <cfRule type="expression" dxfId="4819" priority="83">
      <formula>F$9&gt;=20/24</formula>
    </cfRule>
    <cfRule type="expression" dxfId="4818" priority="84">
      <formula>AND(F$9&gt;=14/24,F$9&lt;20/24)</formula>
    </cfRule>
    <cfRule type="expression" dxfId="4817" priority="85">
      <formula>AND(F$9&gt;=8/24,F$9&lt;14/24)</formula>
    </cfRule>
    <cfRule type="expression" dxfId="4816" priority="86">
      <formula>F$9&lt;8/24</formula>
    </cfRule>
  </conditionalFormatting>
  <conditionalFormatting sqref="F45:X50 Y45:AA49 AB46:AC49">
    <cfRule type="expression" dxfId="4815" priority="82">
      <formula>F45&gt;$AG45</formula>
    </cfRule>
  </conditionalFormatting>
  <conditionalFormatting sqref="B94:B100 B74:AF74 B82:AF82 B11:E11">
    <cfRule type="expression" dxfId="4814" priority="78">
      <formula>B$9&gt;=20/24</formula>
    </cfRule>
    <cfRule type="expression" dxfId="4813" priority="79">
      <formula>AND(B$9&gt;=14/24,B$9&lt;20/24)</formula>
    </cfRule>
    <cfRule type="expression" dxfId="4812" priority="80">
      <formula>AND(B$9&gt;=8/24,B$9&lt;14/24)</formula>
    </cfRule>
    <cfRule type="expression" dxfId="4811" priority="81">
      <formula>B$9&lt;8/24</formula>
    </cfRule>
  </conditionalFormatting>
  <conditionalFormatting sqref="B37:D37">
    <cfRule type="expression" dxfId="4810" priority="74">
      <formula>B$9&gt;=20/24</formula>
    </cfRule>
    <cfRule type="expression" dxfId="4809" priority="75">
      <formula>AND(B$9&gt;=14/24,B$9&lt;20/24)</formula>
    </cfRule>
    <cfRule type="expression" dxfId="4808" priority="76">
      <formula>AND(B$9&gt;=8/24,B$9&lt;14/24)</formula>
    </cfRule>
    <cfRule type="expression" dxfId="4807" priority="77">
      <formula>B$9&lt;8/24</formula>
    </cfRule>
  </conditionalFormatting>
  <conditionalFormatting sqref="B37:D37 B11:E11">
    <cfRule type="expression" dxfId="4806" priority="73">
      <formula>B11&gt;$AG11</formula>
    </cfRule>
  </conditionalFormatting>
  <conditionalFormatting sqref="B84:C84">
    <cfRule type="expression" dxfId="4805" priority="69">
      <formula>B$9&gt;=20/24</formula>
    </cfRule>
    <cfRule type="expression" dxfId="4804" priority="70">
      <formula>AND(B$9&gt;=14/24,B$9&lt;20/24)</formula>
    </cfRule>
    <cfRule type="expression" dxfId="4803" priority="71">
      <formula>AND(B$9&gt;=8/24,B$9&lt;14/24)</formula>
    </cfRule>
    <cfRule type="expression" dxfId="4802" priority="72">
      <formula>B$9&lt;8/24</formula>
    </cfRule>
  </conditionalFormatting>
  <conditionalFormatting sqref="B57 B40:D41 B36:AF36">
    <cfRule type="expression" dxfId="4801" priority="65">
      <formula>B$9&gt;=20/24</formula>
    </cfRule>
    <cfRule type="expression" dxfId="4800" priority="66">
      <formula>AND(B$9&gt;=14/24,B$9&lt;20/24)</formula>
    </cfRule>
    <cfRule type="expression" dxfId="4799" priority="67">
      <formula>AND(B$9&gt;=8/24,B$9&lt;14/24)</formula>
    </cfRule>
    <cfRule type="expression" dxfId="4798" priority="68">
      <formula>B$9&lt;8/24</formula>
    </cfRule>
  </conditionalFormatting>
  <conditionalFormatting sqref="B39:D39">
    <cfRule type="expression" dxfId="4797" priority="61">
      <formula>B$9&gt;=20/24</formula>
    </cfRule>
    <cfRule type="expression" dxfId="4796" priority="62">
      <formula>AND(B$9&gt;=14/24,B$9&lt;20/24)</formula>
    </cfRule>
    <cfRule type="expression" dxfId="4795" priority="63">
      <formula>AND(B$9&gt;=8/24,B$9&lt;14/24)</formula>
    </cfRule>
    <cfRule type="expression" dxfId="4794" priority="64">
      <formula>B$9&lt;8/24</formula>
    </cfRule>
  </conditionalFormatting>
  <conditionalFormatting sqref="B39:D41 B36:AF36">
    <cfRule type="expression" dxfId="4793" priority="60">
      <formula>B36&gt;$AG36</formula>
    </cfRule>
  </conditionalFormatting>
  <conditionalFormatting sqref="B53:B56 B58:B67 B69:B73 B75:AF75 C73:AF73 B81 B83:AF83 C60:C67 B85:C91 C53:D55 D61:E67 B12:E14 B16:E16 B18:E22 D89:D91 F21:AF22 B28:AF31 B24:AF26">
    <cfRule type="expression" dxfId="4792" priority="56">
      <formula>B$9&gt;=20/24</formula>
    </cfRule>
    <cfRule type="expression" dxfId="4791" priority="57">
      <formula>AND(B$9&gt;=14/24,B$9&lt;20/24)</formula>
    </cfRule>
    <cfRule type="expression" dxfId="4790" priority="58">
      <formula>AND(B$9&gt;=8/24,B$9&lt;14/24)</formula>
    </cfRule>
    <cfRule type="expression" dxfId="4789" priority="59">
      <formula>B$9&lt;8/24</formula>
    </cfRule>
  </conditionalFormatting>
  <conditionalFormatting sqref="B32:AF32">
    <cfRule type="expression" dxfId="4788" priority="52">
      <formula>B$9&gt;=20/24</formula>
    </cfRule>
    <cfRule type="expression" dxfId="4787" priority="53">
      <formula>AND(B$9&gt;=14/24,B$9&lt;20/24)</formula>
    </cfRule>
    <cfRule type="expression" dxfId="4786" priority="54">
      <formula>AND(B$9&gt;=8/24,B$9&lt;14/24)</formula>
    </cfRule>
    <cfRule type="expression" dxfId="4785" priority="55">
      <formula>B$9&lt;8/24</formula>
    </cfRule>
  </conditionalFormatting>
  <conditionalFormatting sqref="B35:AF35">
    <cfRule type="expression" dxfId="4784" priority="48">
      <formula>B$9&gt;=20/24</formula>
    </cfRule>
    <cfRule type="expression" dxfId="4783" priority="49">
      <formula>AND(B$9&gt;=14/24,B$9&lt;20/24)</formula>
    </cfRule>
    <cfRule type="expression" dxfId="4782" priority="50">
      <formula>AND(B$9&gt;=8/24,B$9&lt;14/24)</formula>
    </cfRule>
    <cfRule type="expression" dxfId="4781" priority="51">
      <formula>B$9&lt;8/24</formula>
    </cfRule>
  </conditionalFormatting>
  <conditionalFormatting sqref="B51:B56 B38:AF38 C52:AF52 B42:D43 C53:D55 B12:E16 B18:E22 F21:AF22 B34:AF35 B24:AF32">
    <cfRule type="expression" dxfId="4780" priority="47">
      <formula>B12&gt;$AG12</formula>
    </cfRule>
  </conditionalFormatting>
  <conditionalFormatting sqref="B34:AF34">
    <cfRule type="expression" dxfId="4779" priority="43">
      <formula>B$9&gt;=20/24</formula>
    </cfRule>
    <cfRule type="expression" dxfId="4778" priority="44">
      <formula>AND(B$9&gt;=14/24,B$9&lt;20/24)</formula>
    </cfRule>
    <cfRule type="expression" dxfId="4777" priority="45">
      <formula>AND(B$9&gt;=8/24,B$9&lt;14/24)</formula>
    </cfRule>
    <cfRule type="expression" dxfId="4776" priority="46">
      <formula>B$9&lt;8/24</formula>
    </cfRule>
  </conditionalFormatting>
  <conditionalFormatting sqref="B15:E15">
    <cfRule type="expression" dxfId="4775" priority="39">
      <formula>B$9&gt;=20/24</formula>
    </cfRule>
    <cfRule type="expression" dxfId="4774" priority="40">
      <formula>AND(B$9&gt;=14/24,B$9&lt;20/24)</formula>
    </cfRule>
    <cfRule type="expression" dxfId="4773" priority="41">
      <formula>AND(B$9&gt;=8/24,B$9&lt;14/24)</formula>
    </cfRule>
    <cfRule type="expression" dxfId="4772" priority="42">
      <formula>B$9&lt;8/24</formula>
    </cfRule>
  </conditionalFormatting>
  <conditionalFormatting sqref="B33:AF33">
    <cfRule type="expression" dxfId="4771" priority="35">
      <formula>B$9&gt;=20/24</formula>
    </cfRule>
    <cfRule type="expression" dxfId="4770" priority="36">
      <formula>AND(B$9&gt;=14/24,B$9&lt;20/24)</formula>
    </cfRule>
    <cfRule type="expression" dxfId="4769" priority="37">
      <formula>AND(B$9&gt;=8/24,B$9&lt;14/24)</formula>
    </cfRule>
    <cfRule type="expression" dxfId="4768" priority="38">
      <formula>B$9&lt;8/24</formula>
    </cfRule>
  </conditionalFormatting>
  <conditionalFormatting sqref="B33:AF33">
    <cfRule type="expression" dxfId="4767" priority="34">
      <formula>B33&gt;$AG33</formula>
    </cfRule>
  </conditionalFormatting>
  <conditionalFormatting sqref="B44:E50">
    <cfRule type="expression" dxfId="4766" priority="30">
      <formula>B$9&gt;=20/24</formula>
    </cfRule>
    <cfRule type="expression" dxfId="4765" priority="31">
      <formula>AND(B$9&gt;=14/24,B$9&lt;20/24)</formula>
    </cfRule>
    <cfRule type="expression" dxfId="4764" priority="32">
      <formula>AND(B$9&gt;=8/24,B$9&lt;14/24)</formula>
    </cfRule>
    <cfRule type="expression" dxfId="4763" priority="33">
      <formula>B$9&lt;8/24</formula>
    </cfRule>
  </conditionalFormatting>
  <conditionalFormatting sqref="B44:E50">
    <cfRule type="expression" dxfId="4762" priority="29">
      <formula>B44&gt;$AG44</formula>
    </cfRule>
  </conditionalFormatting>
  <conditionalFormatting sqref="B27:AF27">
    <cfRule type="expression" dxfId="4761" priority="25">
      <formula>B$9&gt;=20/24</formula>
    </cfRule>
    <cfRule type="expression" dxfId="4760" priority="26">
      <formula>AND(B$9&gt;=14/24,B$9&lt;20/24)</formula>
    </cfRule>
    <cfRule type="expression" dxfId="4759" priority="27">
      <formula>AND(B$9&gt;=8/24,B$9&lt;14/24)</formula>
    </cfRule>
    <cfRule type="expression" dxfId="4758" priority="28">
      <formula>B$9&lt;8/24</formula>
    </cfRule>
  </conditionalFormatting>
  <conditionalFormatting sqref="B17:E17 B23:AF23">
    <cfRule type="expression" dxfId="4757" priority="21">
      <formula>B$9&gt;=20/24</formula>
    </cfRule>
    <cfRule type="expression" dxfId="4756" priority="22">
      <formula>AND(B$9&gt;=14/24,B$9&lt;20/24)</formula>
    </cfRule>
    <cfRule type="expression" dxfId="4755" priority="23">
      <formula>AND(B$9&gt;=8/24,B$9&lt;14/24)</formula>
    </cfRule>
    <cfRule type="expression" dxfId="4754" priority="24">
      <formula>B$9&lt;8/24</formula>
    </cfRule>
  </conditionalFormatting>
  <conditionalFormatting sqref="B17:E17 B23:AF23">
    <cfRule type="expression" dxfId="4753" priority="20">
      <formula>B17&gt;$AG17</formula>
    </cfRule>
  </conditionalFormatting>
  <conditionalFormatting sqref="A33">
    <cfRule type="expression" dxfId="4752" priority="19">
      <formula>$AH33=0</formula>
    </cfRule>
  </conditionalFormatting>
  <conditionalFormatting sqref="B68:AF68">
    <cfRule type="expression" dxfId="4751" priority="15">
      <formula>B$9&gt;=20/24</formula>
    </cfRule>
    <cfRule type="expression" dxfId="4750" priority="16">
      <formula>AND(B$9&gt;=14/24,B$9&lt;20/24)</formula>
    </cfRule>
    <cfRule type="expression" dxfId="4749" priority="17">
      <formula>AND(B$9&gt;=8/24,B$9&lt;14/24)</formula>
    </cfRule>
    <cfRule type="expression" dxfId="4748" priority="18">
      <formula>B$9&lt;8/24</formula>
    </cfRule>
  </conditionalFormatting>
  <conditionalFormatting sqref="B76:AF80">
    <cfRule type="expression" dxfId="4747" priority="11">
      <formula>B$9&gt;=20/24</formula>
    </cfRule>
    <cfRule type="expression" dxfId="4746" priority="12">
      <formula>AND(B$9&gt;=14/24,B$9&lt;20/24)</formula>
    </cfRule>
    <cfRule type="expression" dxfId="4745" priority="13">
      <formula>AND(B$9&gt;=8/24,B$9&lt;14/24)</formula>
    </cfRule>
    <cfRule type="expression" dxfId="4744" priority="14">
      <formula>B$9&lt;8/24</formula>
    </cfRule>
  </conditionalFormatting>
  <conditionalFormatting sqref="M41:T43">
    <cfRule type="expression" dxfId="4743" priority="7">
      <formula>M$9&gt;=20/24</formula>
    </cfRule>
    <cfRule type="expression" dxfId="4742" priority="8">
      <formula>AND(M$9&gt;=14/24,M$9&lt;20/24)</formula>
    </cfRule>
    <cfRule type="expression" dxfId="4741" priority="9">
      <formula>AND(M$9&gt;=8/24,M$9&lt;14/24)</formula>
    </cfRule>
    <cfRule type="expression" dxfId="4740" priority="10">
      <formula>M$9&lt;8/24</formula>
    </cfRule>
  </conditionalFormatting>
  <conditionalFormatting sqref="M41:T43">
    <cfRule type="expression" dxfId="4739" priority="6">
      <formula>M41&gt;$AG41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17" sqref="AE1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2079/02/11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86.1</v>
      </c>
      <c r="C5" s="32">
        <f t="shared" si="0"/>
        <v>88.2</v>
      </c>
      <c r="D5" s="32">
        <f t="shared" si="0"/>
        <v>85.5</v>
      </c>
      <c r="E5" s="32">
        <f t="shared" si="0"/>
        <v>68.099999999999994</v>
      </c>
      <c r="F5" s="32">
        <f t="shared" si="0"/>
        <v>0</v>
      </c>
      <c r="G5" s="32">
        <f t="shared" si="0"/>
        <v>62</v>
      </c>
      <c r="H5" s="32">
        <f t="shared" si="0"/>
        <v>39</v>
      </c>
      <c r="I5" s="32">
        <f t="shared" si="0"/>
        <v>39.299999999999997</v>
      </c>
      <c r="J5" s="32">
        <f t="shared" si="0"/>
        <v>59.1</v>
      </c>
      <c r="K5" s="32">
        <f t="shared" si="0"/>
        <v>50.6</v>
      </c>
      <c r="L5" s="32">
        <f t="shared" si="0"/>
        <v>49.4</v>
      </c>
      <c r="M5" s="32">
        <f t="shared" si="0"/>
        <v>40.799999999999997</v>
      </c>
      <c r="N5" s="32">
        <f t="shared" si="0"/>
        <v>42</v>
      </c>
      <c r="O5" s="32">
        <f t="shared" si="0"/>
        <v>102</v>
      </c>
      <c r="P5" s="32">
        <f t="shared" si="0"/>
        <v>73.5</v>
      </c>
      <c r="Q5" s="32">
        <f t="shared" si="0"/>
        <v>73.400000000000006</v>
      </c>
      <c r="R5" s="32">
        <f t="shared" si="0"/>
        <v>76.2</v>
      </c>
      <c r="S5" s="32">
        <f t="shared" si="0"/>
        <v>74.900000000000006</v>
      </c>
      <c r="T5" s="32">
        <f t="shared" si="0"/>
        <v>56.9</v>
      </c>
      <c r="U5" s="32">
        <f t="shared" si="0"/>
        <v>61.6</v>
      </c>
      <c r="V5" s="32">
        <f t="shared" si="0"/>
        <v>61.6</v>
      </c>
      <c r="W5" s="32">
        <f t="shared" si="0"/>
        <v>61.6</v>
      </c>
      <c r="X5" s="32">
        <f t="shared" si="0"/>
        <v>53.7</v>
      </c>
      <c r="Y5" s="32">
        <f t="shared" si="0"/>
        <v>45.4</v>
      </c>
      <c r="Z5" s="32">
        <f t="shared" si="0"/>
        <v>72.900000000000006</v>
      </c>
      <c r="AA5" s="32">
        <f t="shared" si="0"/>
        <v>90.7</v>
      </c>
      <c r="AB5" s="32">
        <f t="shared" si="0"/>
        <v>93.5</v>
      </c>
      <c r="AC5" s="32">
        <f t="shared" si="0"/>
        <v>82</v>
      </c>
      <c r="AD5" s="32">
        <f t="shared" si="0"/>
        <v>78.400000000000006</v>
      </c>
      <c r="AE5" s="32">
        <f t="shared" si="0"/>
        <v>0</v>
      </c>
      <c r="AF5" s="32">
        <f>B68</f>
        <v>95.8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1705MW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1726.5399999999997</v>
      </c>
      <c r="C7" s="37">
        <f t="shared" ref="C7:AF7" si="1">C75</f>
        <v>1646.54</v>
      </c>
      <c r="D7" s="37">
        <f t="shared" si="1"/>
        <v>1691.94</v>
      </c>
      <c r="E7" s="37">
        <f t="shared" si="1"/>
        <v>1647.44</v>
      </c>
      <c r="F7" s="37">
        <f t="shared" si="1"/>
        <v>1693.8400000000001</v>
      </c>
      <c r="G7" s="37">
        <f t="shared" si="1"/>
        <v>3.54</v>
      </c>
      <c r="H7" s="37">
        <f t="shared" si="1"/>
        <v>1600.8400000000001</v>
      </c>
      <c r="I7" s="37">
        <f t="shared" si="1"/>
        <v>1622.8400000000001</v>
      </c>
      <c r="J7" s="37">
        <f t="shared" si="1"/>
        <v>1669.1399999999999</v>
      </c>
      <c r="K7" s="37">
        <f t="shared" si="1"/>
        <v>1659.34</v>
      </c>
      <c r="L7" s="37">
        <f t="shared" si="1"/>
        <v>1696.44</v>
      </c>
      <c r="M7" s="37">
        <f t="shared" si="1"/>
        <v>1704.74</v>
      </c>
      <c r="N7" s="37">
        <f t="shared" si="1"/>
        <v>1667.74</v>
      </c>
      <c r="O7" s="37">
        <f t="shared" si="1"/>
        <v>1671.94</v>
      </c>
      <c r="P7" s="37">
        <f t="shared" si="1"/>
        <v>1663.5400000000002</v>
      </c>
      <c r="Q7" s="37">
        <f t="shared" si="1"/>
        <v>1670.94</v>
      </c>
      <c r="R7" s="37">
        <f t="shared" si="1"/>
        <v>1708.94</v>
      </c>
      <c r="S7" s="37">
        <f t="shared" si="1"/>
        <v>1714.54</v>
      </c>
      <c r="T7" s="37">
        <f t="shared" si="1"/>
        <v>1713.04</v>
      </c>
      <c r="U7" s="37">
        <f t="shared" si="1"/>
        <v>1695.8400000000001</v>
      </c>
      <c r="V7" s="37">
        <f t="shared" si="1"/>
        <v>1700.44</v>
      </c>
      <c r="W7" s="37">
        <f t="shared" si="1"/>
        <v>1700.44</v>
      </c>
      <c r="X7" s="37">
        <f t="shared" si="1"/>
        <v>1689.44</v>
      </c>
      <c r="Y7" s="37">
        <f t="shared" si="1"/>
        <v>1680.8400000000001</v>
      </c>
      <c r="Z7" s="37">
        <f t="shared" si="1"/>
        <v>1672.5400000000002</v>
      </c>
      <c r="AA7" s="37">
        <f t="shared" si="1"/>
        <v>1714.8400000000001</v>
      </c>
      <c r="AB7" s="37">
        <f t="shared" si="1"/>
        <v>1732.64</v>
      </c>
      <c r="AC7" s="37">
        <f t="shared" si="1"/>
        <v>1735.44</v>
      </c>
      <c r="AD7" s="37">
        <f t="shared" si="1"/>
        <v>1723.94</v>
      </c>
      <c r="AE7" s="37">
        <f t="shared" si="1"/>
        <v>1700.7400000000002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3">
        <v>456</v>
      </c>
      <c r="C11" s="53">
        <v>456</v>
      </c>
      <c r="D11" s="53">
        <v>456</v>
      </c>
      <c r="E11" s="53">
        <v>456</v>
      </c>
      <c r="F11" s="53">
        <v>456</v>
      </c>
      <c r="G11" s="51" t="s">
        <v>222</v>
      </c>
      <c r="H11" s="51">
        <v>430</v>
      </c>
      <c r="I11" s="51">
        <v>430</v>
      </c>
      <c r="J11" s="51">
        <v>456</v>
      </c>
      <c r="K11" s="51">
        <v>456</v>
      </c>
      <c r="L11" s="51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1">
        <v>456</v>
      </c>
      <c r="Y11" s="51">
        <v>456</v>
      </c>
      <c r="Z11" s="51">
        <v>456</v>
      </c>
      <c r="AA11" s="51">
        <v>456</v>
      </c>
      <c r="AB11" s="51">
        <v>456</v>
      </c>
      <c r="AC11" s="51">
        <v>456</v>
      </c>
      <c r="AD11" s="51">
        <v>456</v>
      </c>
      <c r="AE11" s="51">
        <v>456</v>
      </c>
      <c r="AF11" s="53"/>
      <c r="AG11" s="54">
        <v>456</v>
      </c>
      <c r="AH11" s="55">
        <f>MAX(B11:AF11)</f>
        <v>456</v>
      </c>
      <c r="AI11" s="56">
        <f>MIN(B11:AF11)</f>
        <v>430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 t="s">
        <v>223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 t="s">
        <v>245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53.6</v>
      </c>
      <c r="C13" s="51">
        <v>53.6</v>
      </c>
      <c r="D13" s="51">
        <v>15.7</v>
      </c>
      <c r="E13" s="51">
        <v>15.7</v>
      </c>
      <c r="F13" s="51">
        <v>53.7</v>
      </c>
      <c r="G13" s="51" t="s">
        <v>222</v>
      </c>
      <c r="H13" s="51">
        <v>53.7</v>
      </c>
      <c r="I13" s="51">
        <v>53.7</v>
      </c>
      <c r="J13" s="51">
        <v>53.7</v>
      </c>
      <c r="K13" s="51">
        <v>53.7</v>
      </c>
      <c r="L13" s="51">
        <v>53.7</v>
      </c>
      <c r="M13" s="51">
        <v>53.7</v>
      </c>
      <c r="N13" s="51">
        <v>53.7</v>
      </c>
      <c r="O13" s="51">
        <v>53.7</v>
      </c>
      <c r="P13" s="51">
        <v>53.7</v>
      </c>
      <c r="Q13" s="51">
        <v>53.7</v>
      </c>
      <c r="R13" s="51">
        <v>53.7</v>
      </c>
      <c r="S13" s="51">
        <v>53.7</v>
      </c>
      <c r="T13" s="51">
        <v>53.7</v>
      </c>
      <c r="U13" s="51">
        <v>53.7</v>
      </c>
      <c r="V13" s="51">
        <v>53.7</v>
      </c>
      <c r="W13" s="51">
        <v>53.7</v>
      </c>
      <c r="X13" s="51">
        <v>53.7</v>
      </c>
      <c r="Y13" s="51">
        <v>53.7</v>
      </c>
      <c r="Z13" s="51">
        <v>53.7</v>
      </c>
      <c r="AA13" s="51">
        <v>53.7</v>
      </c>
      <c r="AB13" s="51">
        <v>53.7</v>
      </c>
      <c r="AC13" s="51">
        <v>53.7</v>
      </c>
      <c r="AD13" s="51">
        <v>53.7</v>
      </c>
      <c r="AE13" s="51">
        <v>53.7</v>
      </c>
      <c r="AF13" s="51" t="s">
        <v>246</v>
      </c>
      <c r="AG13" s="59">
        <v>52.4</v>
      </c>
      <c r="AH13" s="55">
        <f t="shared" si="2"/>
        <v>53.7</v>
      </c>
      <c r="AI13" s="56">
        <f t="shared" si="3"/>
        <v>15.7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49.9</v>
      </c>
      <c r="C14" s="51">
        <v>50.6</v>
      </c>
      <c r="D14" s="51">
        <v>50.4</v>
      </c>
      <c r="E14" s="51">
        <v>50.4</v>
      </c>
      <c r="F14" s="51">
        <v>50.4</v>
      </c>
      <c r="G14" s="51" t="s">
        <v>226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50.4</v>
      </c>
      <c r="N14" s="51">
        <v>50.4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 t="s">
        <v>228</v>
      </c>
      <c r="AG14" s="59">
        <v>50</v>
      </c>
      <c r="AH14" s="55">
        <f t="shared" si="2"/>
        <v>50.6</v>
      </c>
      <c r="AI14" s="56">
        <f t="shared" si="3"/>
        <v>49.9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45.3</v>
      </c>
      <c r="C15" s="51">
        <v>45.3</v>
      </c>
      <c r="D15" s="51">
        <v>45.3</v>
      </c>
      <c r="E15" s="51">
        <v>45.3</v>
      </c>
      <c r="F15" s="51">
        <v>45.2</v>
      </c>
      <c r="G15" s="51" t="s">
        <v>243</v>
      </c>
      <c r="H15" s="51">
        <v>45.2</v>
      </c>
      <c r="I15" s="51">
        <v>45.2</v>
      </c>
      <c r="J15" s="51">
        <v>45.2</v>
      </c>
      <c r="K15" s="51">
        <v>45.2</v>
      </c>
      <c r="L15" s="51">
        <v>45.2</v>
      </c>
      <c r="M15" s="51">
        <v>45.2</v>
      </c>
      <c r="N15" s="51">
        <v>45.2</v>
      </c>
      <c r="O15" s="51">
        <v>45.2</v>
      </c>
      <c r="P15" s="51">
        <v>45.2</v>
      </c>
      <c r="Q15" s="51">
        <v>45.2</v>
      </c>
      <c r="R15" s="51">
        <v>45.2</v>
      </c>
      <c r="S15" s="51">
        <v>45.2</v>
      </c>
      <c r="T15" s="51">
        <v>45.2</v>
      </c>
      <c r="U15" s="51">
        <v>45.2</v>
      </c>
      <c r="V15" s="51">
        <v>45.2</v>
      </c>
      <c r="W15" s="51">
        <v>45.2</v>
      </c>
      <c r="X15" s="51">
        <v>45.2</v>
      </c>
      <c r="Y15" s="51">
        <v>45.2</v>
      </c>
      <c r="Z15" s="51">
        <v>45.2</v>
      </c>
      <c r="AA15" s="51">
        <v>45.2</v>
      </c>
      <c r="AB15" s="51">
        <v>45.2</v>
      </c>
      <c r="AC15" s="51">
        <v>45.2</v>
      </c>
      <c r="AD15" s="51">
        <v>45.2</v>
      </c>
      <c r="AE15" s="51">
        <v>45.2</v>
      </c>
      <c r="AF15" s="51" t="s">
        <v>226</v>
      </c>
      <c r="AG15" s="60">
        <v>45</v>
      </c>
      <c r="AH15" s="55">
        <f t="shared" si="2"/>
        <v>45.3</v>
      </c>
      <c r="AI15" s="56">
        <f t="shared" si="3"/>
        <v>45.2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28</v>
      </c>
      <c r="C16" s="51">
        <v>28</v>
      </c>
      <c r="D16" s="51">
        <v>40</v>
      </c>
      <c r="E16" s="51">
        <v>0</v>
      </c>
      <c r="F16" s="51">
        <v>30</v>
      </c>
      <c r="G16" s="51" t="s">
        <v>244</v>
      </c>
      <c r="H16" s="51">
        <v>0</v>
      </c>
      <c r="I16" s="51">
        <v>25</v>
      </c>
      <c r="J16" s="51">
        <v>30</v>
      </c>
      <c r="K16" s="51">
        <v>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 t="s">
        <v>225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/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 t="s">
        <v>246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23</v>
      </c>
      <c r="C18" s="51">
        <v>23</v>
      </c>
      <c r="D18" s="51">
        <v>23</v>
      </c>
      <c r="E18" s="51">
        <v>23</v>
      </c>
      <c r="F18" s="51">
        <v>23</v>
      </c>
      <c r="G18" s="51" t="s">
        <v>224</v>
      </c>
      <c r="H18" s="51">
        <v>23</v>
      </c>
      <c r="I18" s="51">
        <v>23</v>
      </c>
      <c r="J18" s="51">
        <v>23</v>
      </c>
      <c r="K18" s="51">
        <v>23</v>
      </c>
      <c r="L18" s="51">
        <v>23</v>
      </c>
      <c r="M18" s="51">
        <v>23</v>
      </c>
      <c r="N18" s="51">
        <v>23</v>
      </c>
      <c r="O18" s="51">
        <v>23</v>
      </c>
      <c r="P18" s="51">
        <v>23</v>
      </c>
      <c r="Q18" s="51">
        <v>23</v>
      </c>
      <c r="R18" s="51">
        <v>23</v>
      </c>
      <c r="S18" s="51">
        <v>23</v>
      </c>
      <c r="T18" s="51">
        <v>23</v>
      </c>
      <c r="U18" s="51">
        <v>23</v>
      </c>
      <c r="V18" s="51">
        <v>23</v>
      </c>
      <c r="W18" s="51">
        <v>23</v>
      </c>
      <c r="X18" s="51">
        <v>23</v>
      </c>
      <c r="Y18" s="51">
        <v>23</v>
      </c>
      <c r="Z18" s="51">
        <v>23</v>
      </c>
      <c r="AA18" s="51">
        <v>23</v>
      </c>
      <c r="AB18" s="51">
        <v>23</v>
      </c>
      <c r="AC18" s="51">
        <v>23</v>
      </c>
      <c r="AD18" s="51">
        <v>23</v>
      </c>
      <c r="AE18" s="51">
        <v>23</v>
      </c>
      <c r="AF18" s="51" t="s">
        <v>247</v>
      </c>
      <c r="AG18" s="59">
        <v>36</v>
      </c>
      <c r="AH18" s="55">
        <f t="shared" si="2"/>
        <v>23</v>
      </c>
      <c r="AI18" s="56">
        <f t="shared" si="3"/>
        <v>23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25.8</v>
      </c>
      <c r="C19" s="51">
        <v>24.8</v>
      </c>
      <c r="D19" s="51">
        <v>23.5</v>
      </c>
      <c r="E19" s="51">
        <v>23.5</v>
      </c>
      <c r="F19" s="51">
        <v>23.5</v>
      </c>
      <c r="G19" s="51" t="s">
        <v>225</v>
      </c>
      <c r="H19" s="51">
        <v>23.5</v>
      </c>
      <c r="I19" s="51">
        <v>23.5</v>
      </c>
      <c r="J19" s="51">
        <v>23.2</v>
      </c>
      <c r="K19" s="51">
        <v>23.2</v>
      </c>
      <c r="L19" s="51">
        <v>23.2</v>
      </c>
      <c r="M19" s="51">
        <v>23.2</v>
      </c>
      <c r="N19" s="51">
        <v>23.2</v>
      </c>
      <c r="O19" s="51">
        <v>23.2</v>
      </c>
      <c r="P19" s="51">
        <v>23.2</v>
      </c>
      <c r="Q19" s="51">
        <v>20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>
        <v>26</v>
      </c>
      <c r="Z19" s="51">
        <v>26</v>
      </c>
      <c r="AA19" s="51">
        <v>26</v>
      </c>
      <c r="AB19" s="51">
        <v>26</v>
      </c>
      <c r="AC19" s="51">
        <v>26</v>
      </c>
      <c r="AD19" s="51">
        <v>26</v>
      </c>
      <c r="AE19" s="51">
        <v>26</v>
      </c>
      <c r="AF19" s="51"/>
      <c r="AG19" s="59">
        <v>30</v>
      </c>
      <c r="AH19" s="55">
        <f t="shared" si="2"/>
        <v>26</v>
      </c>
      <c r="AI19" s="56">
        <f t="shared" si="3"/>
        <v>20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5</v>
      </c>
      <c r="C20" s="51">
        <v>5</v>
      </c>
      <c r="D20" s="51">
        <v>5</v>
      </c>
      <c r="E20" s="51">
        <v>5</v>
      </c>
      <c r="F20" s="51">
        <v>5</v>
      </c>
      <c r="G20" s="51" t="s">
        <v>222</v>
      </c>
      <c r="H20" s="51">
        <v>5</v>
      </c>
      <c r="I20" s="51">
        <v>5</v>
      </c>
      <c r="J20" s="51">
        <v>5</v>
      </c>
      <c r="K20" s="51">
        <v>5</v>
      </c>
      <c r="L20" s="51">
        <v>5</v>
      </c>
      <c r="M20" s="51">
        <v>5</v>
      </c>
      <c r="N20" s="51">
        <v>5</v>
      </c>
      <c r="O20" s="51">
        <v>5</v>
      </c>
      <c r="P20" s="51">
        <v>5</v>
      </c>
      <c r="Q20" s="51">
        <v>5</v>
      </c>
      <c r="R20" s="51">
        <v>5</v>
      </c>
      <c r="S20" s="51">
        <v>5</v>
      </c>
      <c r="T20" s="51">
        <v>5</v>
      </c>
      <c r="U20" s="51">
        <v>5</v>
      </c>
      <c r="V20" s="51">
        <v>5</v>
      </c>
      <c r="W20" s="51">
        <v>5</v>
      </c>
      <c r="X20" s="51">
        <v>5</v>
      </c>
      <c r="Y20" s="51">
        <v>5</v>
      </c>
      <c r="Z20" s="51">
        <v>5</v>
      </c>
      <c r="AA20" s="51">
        <v>5</v>
      </c>
      <c r="AB20" s="51">
        <v>5</v>
      </c>
      <c r="AC20" s="51">
        <v>5</v>
      </c>
      <c r="AD20" s="51">
        <v>5</v>
      </c>
      <c r="AE20" s="51">
        <v>5</v>
      </c>
      <c r="AF20" s="51"/>
      <c r="AG20" s="59">
        <v>27</v>
      </c>
      <c r="AH20" s="55">
        <f t="shared" si="2"/>
        <v>5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 t="s">
        <v>226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/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 t="s">
        <v>227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24.1</v>
      </c>
      <c r="O22" s="51">
        <v>24.1</v>
      </c>
      <c r="P22" s="51">
        <v>24.1</v>
      </c>
      <c r="Q22" s="51">
        <v>25.2</v>
      </c>
      <c r="R22" s="51">
        <v>25.2</v>
      </c>
      <c r="S22" s="51">
        <v>25.2</v>
      </c>
      <c r="T22" s="51">
        <v>25.2</v>
      </c>
      <c r="U22" s="51">
        <v>25.2</v>
      </c>
      <c r="V22" s="51">
        <v>25.2</v>
      </c>
      <c r="W22" s="51">
        <v>25.2</v>
      </c>
      <c r="X22" s="51">
        <v>25.2</v>
      </c>
      <c r="Y22" s="51">
        <v>25.2</v>
      </c>
      <c r="Z22" s="51">
        <v>25.2</v>
      </c>
      <c r="AA22" s="51">
        <v>25.2</v>
      </c>
      <c r="AB22" s="51">
        <v>25.2</v>
      </c>
      <c r="AC22" s="51">
        <v>25.2</v>
      </c>
      <c r="AD22" s="51">
        <v>25.2</v>
      </c>
      <c r="AE22" s="51">
        <v>25.2</v>
      </c>
      <c r="AF22" s="51" t="s">
        <v>222</v>
      </c>
      <c r="AG22" s="59">
        <v>25</v>
      </c>
      <c r="AH22" s="55">
        <f t="shared" si="2"/>
        <v>25.2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 t="s">
        <v>228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 t="s">
        <v>223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 t="s">
        <v>229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20</v>
      </c>
      <c r="N24" s="51">
        <v>20</v>
      </c>
      <c r="O24" s="51">
        <v>20</v>
      </c>
      <c r="P24" s="51">
        <v>20</v>
      </c>
      <c r="Q24" s="51">
        <v>20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 t="s">
        <v>222</v>
      </c>
      <c r="AG24" s="59">
        <v>25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/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 t="s">
        <v>226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0</v>
      </c>
      <c r="C26" s="51">
        <v>10</v>
      </c>
      <c r="D26" s="51">
        <v>10</v>
      </c>
      <c r="E26" s="51">
        <v>10</v>
      </c>
      <c r="F26" s="51">
        <v>10</v>
      </c>
      <c r="G26" s="51"/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5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 t="s">
        <v>243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>
        <v>14.9</v>
      </c>
      <c r="E27" s="51">
        <v>14.9</v>
      </c>
      <c r="F27" s="51">
        <v>14.9</v>
      </c>
      <c r="G27" s="51"/>
      <c r="H27" s="51">
        <v>14.9</v>
      </c>
      <c r="I27" s="51">
        <v>14.9</v>
      </c>
      <c r="J27" s="51">
        <v>14.9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14.9</v>
      </c>
      <c r="R27" s="51">
        <v>14.9</v>
      </c>
      <c r="S27" s="51">
        <v>14.9</v>
      </c>
      <c r="T27" s="51">
        <v>14.9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 t="s">
        <v>244</v>
      </c>
      <c r="AG27" s="59">
        <v>23.5</v>
      </c>
      <c r="AH27" s="55">
        <f t="shared" si="2"/>
        <v>14.9</v>
      </c>
      <c r="AI27" s="56">
        <f t="shared" si="3"/>
        <v>14.9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/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/>
      <c r="AG28" s="59">
        <v>22.2</v>
      </c>
      <c r="AH28" s="55">
        <f t="shared" si="2"/>
        <v>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/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 t="s">
        <v>224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10</v>
      </c>
      <c r="C30" s="51">
        <v>10</v>
      </c>
      <c r="D30" s="51">
        <v>10</v>
      </c>
      <c r="E30" s="51">
        <v>10</v>
      </c>
      <c r="F30" s="51">
        <v>10</v>
      </c>
      <c r="G30" s="51"/>
      <c r="H30" s="51">
        <v>10</v>
      </c>
      <c r="I30" s="51">
        <v>10</v>
      </c>
      <c r="J30" s="51">
        <v>10</v>
      </c>
      <c r="K30" s="51">
        <v>10</v>
      </c>
      <c r="L30" s="51">
        <v>10</v>
      </c>
      <c r="M30" s="51">
        <v>10</v>
      </c>
      <c r="N30" s="51">
        <v>10</v>
      </c>
      <c r="O30" s="51">
        <v>10</v>
      </c>
      <c r="P30" s="51">
        <v>10</v>
      </c>
      <c r="Q30" s="51">
        <v>10</v>
      </c>
      <c r="R30" s="51">
        <v>10</v>
      </c>
      <c r="S30" s="51">
        <v>10</v>
      </c>
      <c r="T30" s="51">
        <v>10</v>
      </c>
      <c r="U30" s="51">
        <v>10</v>
      </c>
      <c r="V30" s="51">
        <v>10</v>
      </c>
      <c r="W30" s="51">
        <v>10</v>
      </c>
      <c r="X30" s="51">
        <v>10</v>
      </c>
      <c r="Y30" s="51">
        <v>10</v>
      </c>
      <c r="Z30" s="51">
        <v>10</v>
      </c>
      <c r="AA30" s="51">
        <v>10</v>
      </c>
      <c r="AB30" s="51">
        <v>10</v>
      </c>
      <c r="AC30" s="51">
        <v>10</v>
      </c>
      <c r="AD30" s="51">
        <v>10</v>
      </c>
      <c r="AE30" s="51">
        <v>10</v>
      </c>
      <c r="AF30" s="51" t="s">
        <v>225</v>
      </c>
      <c r="AG30" s="59">
        <v>22.1</v>
      </c>
      <c r="AH30" s="55">
        <f t="shared" si="2"/>
        <v>10</v>
      </c>
      <c r="AI30" s="56">
        <f t="shared" si="3"/>
        <v>10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/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 t="s">
        <v>222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8</v>
      </c>
      <c r="C32" s="51">
        <v>8</v>
      </c>
      <c r="D32" s="51">
        <v>8</v>
      </c>
      <c r="E32" s="51">
        <v>8</v>
      </c>
      <c r="F32" s="51">
        <v>8</v>
      </c>
      <c r="G32" s="51"/>
      <c r="H32" s="51">
        <v>8</v>
      </c>
      <c r="I32" s="51">
        <v>8</v>
      </c>
      <c r="J32" s="51">
        <v>8</v>
      </c>
      <c r="K32" s="51">
        <v>8</v>
      </c>
      <c r="L32" s="51">
        <v>8</v>
      </c>
      <c r="M32" s="51">
        <v>8</v>
      </c>
      <c r="N32" s="51">
        <v>8</v>
      </c>
      <c r="O32" s="51">
        <v>8</v>
      </c>
      <c r="P32" s="51">
        <v>8</v>
      </c>
      <c r="Q32" s="51">
        <v>8</v>
      </c>
      <c r="R32" s="51">
        <v>8</v>
      </c>
      <c r="S32" s="51">
        <v>8</v>
      </c>
      <c r="T32" s="51">
        <v>8</v>
      </c>
      <c r="U32" s="51">
        <v>8</v>
      </c>
      <c r="V32" s="51">
        <v>8</v>
      </c>
      <c r="W32" s="51">
        <v>8</v>
      </c>
      <c r="X32" s="51">
        <v>8</v>
      </c>
      <c r="Y32" s="51">
        <v>8</v>
      </c>
      <c r="Z32" s="51">
        <v>8</v>
      </c>
      <c r="AA32" s="51">
        <v>8</v>
      </c>
      <c r="AB32" s="51">
        <v>8</v>
      </c>
      <c r="AC32" s="51">
        <v>8</v>
      </c>
      <c r="AD32" s="51">
        <v>8</v>
      </c>
      <c r="AE32" s="51">
        <v>8</v>
      </c>
      <c r="AF32" s="51" t="s">
        <v>226</v>
      </c>
      <c r="AG32" s="64">
        <v>22</v>
      </c>
      <c r="AH32" s="55">
        <f t="shared" si="2"/>
        <v>8</v>
      </c>
      <c r="AI32" s="56">
        <f t="shared" si="3"/>
        <v>8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/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 t="s">
        <v>227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8.4</v>
      </c>
      <c r="C34" s="51">
        <v>8.4</v>
      </c>
      <c r="D34" s="51">
        <v>8.4</v>
      </c>
      <c r="E34" s="51">
        <v>8.4</v>
      </c>
      <c r="F34" s="51">
        <v>8.4</v>
      </c>
      <c r="G34" s="51"/>
      <c r="H34" s="51">
        <v>8.4</v>
      </c>
      <c r="I34" s="51">
        <v>8.4</v>
      </c>
      <c r="J34" s="51">
        <v>8.4</v>
      </c>
      <c r="K34" s="51">
        <v>8.4</v>
      </c>
      <c r="L34" s="51">
        <v>8.4</v>
      </c>
      <c r="M34" s="51">
        <v>8.4</v>
      </c>
      <c r="N34" s="51">
        <v>8.4</v>
      </c>
      <c r="O34" s="51">
        <v>8.4</v>
      </c>
      <c r="P34" s="51">
        <v>8.4</v>
      </c>
      <c r="Q34" s="51">
        <v>8.4</v>
      </c>
      <c r="R34" s="51">
        <v>8.4</v>
      </c>
      <c r="S34" s="51">
        <v>8.4</v>
      </c>
      <c r="T34" s="51">
        <v>8.4</v>
      </c>
      <c r="U34" s="51">
        <v>8.4</v>
      </c>
      <c r="V34" s="51">
        <v>8.4</v>
      </c>
      <c r="W34" s="51">
        <v>8.4</v>
      </c>
      <c r="X34" s="51">
        <v>8.4</v>
      </c>
      <c r="Y34" s="51">
        <v>8.4</v>
      </c>
      <c r="Z34" s="51">
        <v>8.4</v>
      </c>
      <c r="AA34" s="51">
        <v>8.4</v>
      </c>
      <c r="AB34" s="51">
        <v>8.4</v>
      </c>
      <c r="AC34" s="51">
        <v>8.4</v>
      </c>
      <c r="AD34" s="51">
        <v>8.4</v>
      </c>
      <c r="AE34" s="51">
        <v>8.4</v>
      </c>
      <c r="AF34" s="51" t="s">
        <v>228</v>
      </c>
      <c r="AG34" s="64">
        <v>20</v>
      </c>
      <c r="AH34" s="55">
        <f t="shared" si="2"/>
        <v>8.4</v>
      </c>
      <c r="AI34" s="56">
        <f t="shared" si="3"/>
        <v>8.4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/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 t="s">
        <v>229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/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/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42.5+94.8</f>
        <v>137.30000000000001</v>
      </c>
      <c r="C37" s="68">
        <f>43.2+96.8</f>
        <v>140</v>
      </c>
      <c r="D37" s="68">
        <f>43.4+97.4</f>
        <v>140.80000000000001</v>
      </c>
      <c r="E37" s="68">
        <f>43.6+97.4</f>
        <v>141</v>
      </c>
      <c r="F37" s="66">
        <f>42.4+93.2</f>
        <v>135.6</v>
      </c>
      <c r="G37" s="66"/>
      <c r="H37" s="66">
        <f>40.7+94.6</f>
        <v>135.30000000000001</v>
      </c>
      <c r="I37" s="66">
        <f>41.2+94.7</f>
        <v>135.9</v>
      </c>
      <c r="J37" s="66">
        <f>42.4+95.6</f>
        <v>138</v>
      </c>
      <c r="K37" s="66">
        <f>43.1+96</f>
        <v>139.1</v>
      </c>
      <c r="L37" s="66">
        <f>42.3+93.3</f>
        <v>135.6</v>
      </c>
      <c r="M37" s="66">
        <f>92.5+42</f>
        <v>134.5</v>
      </c>
      <c r="N37" s="66">
        <f>95.7+42.9</f>
        <v>138.6</v>
      </c>
      <c r="O37" s="66">
        <f>93.9+42.4</f>
        <v>136.30000000000001</v>
      </c>
      <c r="P37" s="66">
        <f>94.2+42.6</f>
        <v>136.80000000000001</v>
      </c>
      <c r="Q37" s="66">
        <f>89.6+41.5</f>
        <v>131.1</v>
      </c>
      <c r="R37" s="66">
        <f>91.5+42.2</f>
        <v>133.69999999999999</v>
      </c>
      <c r="S37" s="66">
        <f>42.7+94.2</f>
        <v>136.9</v>
      </c>
      <c r="T37" s="66">
        <f>42.9+95</f>
        <v>137.9</v>
      </c>
      <c r="U37" s="66">
        <f>40.4+86.2</f>
        <v>126.6</v>
      </c>
      <c r="V37" s="66">
        <f>41.3+89.8</f>
        <v>131.1</v>
      </c>
      <c r="W37" s="66">
        <f>41.3+89.8</f>
        <v>131.1</v>
      </c>
      <c r="X37" s="66">
        <f>41.3+89.8</f>
        <v>131.1</v>
      </c>
      <c r="Y37" s="66">
        <f>40+85.5</f>
        <v>125.5</v>
      </c>
      <c r="Z37" s="66">
        <f>39+83.1</f>
        <v>122.1</v>
      </c>
      <c r="AA37" s="66">
        <f>37.5+77.1</f>
        <v>114.6</v>
      </c>
      <c r="AB37" s="68">
        <f>42+94.5</f>
        <v>136.5</v>
      </c>
      <c r="AC37" s="68">
        <f>42.3+94.8</f>
        <v>137.1</v>
      </c>
      <c r="AD37" s="68">
        <f>42.3+94.8</f>
        <v>137.1</v>
      </c>
      <c r="AE37" s="68">
        <f>42.3+94.8</f>
        <v>137.1</v>
      </c>
      <c r="AF37" s="68"/>
      <c r="AG37" s="64">
        <v>240</v>
      </c>
      <c r="AH37" s="55">
        <f t="shared" si="2"/>
        <v>141</v>
      </c>
      <c r="AI37" s="56">
        <f t="shared" si="3"/>
        <v>114.6</v>
      </c>
      <c r="AK37" s="57"/>
    </row>
    <row r="38" spans="1:88" ht="15.75" thickBot="1" x14ac:dyDescent="0.3">
      <c r="A38" s="69" t="s">
        <v>46</v>
      </c>
      <c r="B38" s="70">
        <f t="shared" ref="B38" si="4">SUM(B11:B36)</f>
        <v>1201.0999999999999</v>
      </c>
      <c r="C38" s="70">
        <f t="shared" ref="C38:AF38" si="5">SUM(C11:C36)</f>
        <v>1210.8</v>
      </c>
      <c r="D38" s="70">
        <f t="shared" si="5"/>
        <v>1183.4000000000001</v>
      </c>
      <c r="E38" s="70">
        <f t="shared" si="5"/>
        <v>1143.4000000000001</v>
      </c>
      <c r="F38" s="70">
        <f t="shared" si="5"/>
        <v>1211.3000000000002</v>
      </c>
      <c r="G38" s="70">
        <f t="shared" si="5"/>
        <v>0</v>
      </c>
      <c r="H38" s="70">
        <f t="shared" si="5"/>
        <v>1155.3000000000002</v>
      </c>
      <c r="I38" s="70">
        <f t="shared" si="5"/>
        <v>1180.3000000000002</v>
      </c>
      <c r="J38" s="70">
        <f t="shared" si="5"/>
        <v>1211</v>
      </c>
      <c r="K38" s="70">
        <f t="shared" si="5"/>
        <v>1181</v>
      </c>
      <c r="L38" s="70">
        <f t="shared" si="5"/>
        <v>1221</v>
      </c>
      <c r="M38" s="70">
        <f t="shared" si="5"/>
        <v>1219</v>
      </c>
      <c r="N38" s="70">
        <f t="shared" si="5"/>
        <v>1221.1000000000001</v>
      </c>
      <c r="O38" s="70">
        <f t="shared" si="5"/>
        <v>1221.1000000000001</v>
      </c>
      <c r="P38" s="70">
        <f t="shared" si="5"/>
        <v>1221.1000000000001</v>
      </c>
      <c r="Q38" s="70">
        <f t="shared" si="5"/>
        <v>1214</v>
      </c>
      <c r="R38" s="70">
        <f t="shared" si="5"/>
        <v>1205</v>
      </c>
      <c r="S38" s="70">
        <f t="shared" si="5"/>
        <v>1205</v>
      </c>
      <c r="T38" s="70">
        <f t="shared" si="5"/>
        <v>1205</v>
      </c>
      <c r="U38" s="70">
        <f t="shared" si="5"/>
        <v>1205</v>
      </c>
      <c r="V38" s="70">
        <f t="shared" si="5"/>
        <v>1205</v>
      </c>
      <c r="W38" s="70">
        <f t="shared" si="5"/>
        <v>1205</v>
      </c>
      <c r="X38" s="70">
        <f t="shared" si="5"/>
        <v>1205</v>
      </c>
      <c r="Y38" s="70">
        <f t="shared" si="5"/>
        <v>1205</v>
      </c>
      <c r="Z38" s="70">
        <f t="shared" si="5"/>
        <v>1205</v>
      </c>
      <c r="AA38" s="70">
        <f t="shared" si="5"/>
        <v>1205</v>
      </c>
      <c r="AB38" s="70">
        <f t="shared" si="5"/>
        <v>1205</v>
      </c>
      <c r="AC38" s="70">
        <f t="shared" si="5"/>
        <v>1205</v>
      </c>
      <c r="AD38" s="70">
        <f t="shared" si="5"/>
        <v>1205</v>
      </c>
      <c r="AE38" s="70">
        <f t="shared" si="5"/>
        <v>1205</v>
      </c>
      <c r="AF38" s="70">
        <f t="shared" si="5"/>
        <v>0</v>
      </c>
      <c r="AG38" s="64">
        <f>SUM(AG11:AG37)</f>
        <v>1492.8299999999997</v>
      </c>
      <c r="AH38" s="55">
        <f t="shared" si="2"/>
        <v>1221.1000000000001</v>
      </c>
      <c r="AI38" s="56">
        <f t="shared" si="3"/>
        <v>0</v>
      </c>
      <c r="AK38" s="57"/>
    </row>
    <row r="39" spans="1:88" x14ac:dyDescent="0.25">
      <c r="A39" s="58" t="s">
        <v>47</v>
      </c>
      <c r="B39" s="51">
        <v>144.19999999999999</v>
      </c>
      <c r="C39" s="51">
        <v>144.9</v>
      </c>
      <c r="D39" s="51">
        <v>145.1</v>
      </c>
      <c r="E39" s="51">
        <v>145.1</v>
      </c>
      <c r="F39" s="51">
        <v>145</v>
      </c>
      <c r="G39" s="51"/>
      <c r="H39" s="51">
        <v>145</v>
      </c>
      <c r="I39" s="51">
        <v>145</v>
      </c>
      <c r="J39" s="51">
        <v>144.5</v>
      </c>
      <c r="K39" s="51">
        <v>144.5</v>
      </c>
      <c r="L39" s="51">
        <v>143.80000000000001</v>
      </c>
      <c r="M39" s="51">
        <v>143.4</v>
      </c>
      <c r="N39" s="51">
        <v>113.1</v>
      </c>
      <c r="O39" s="51">
        <v>113.3</v>
      </c>
      <c r="P39" s="51">
        <v>0</v>
      </c>
      <c r="Q39" s="51">
        <v>92</v>
      </c>
      <c r="R39" s="51">
        <v>141.5</v>
      </c>
      <c r="S39" s="51">
        <v>141.80000000000001</v>
      </c>
      <c r="T39" s="51">
        <v>143</v>
      </c>
      <c r="U39" s="51">
        <v>143</v>
      </c>
      <c r="V39" s="51">
        <v>143.30000000000001</v>
      </c>
      <c r="W39" s="51">
        <v>143.30000000000001</v>
      </c>
      <c r="X39" s="51">
        <v>143.30000000000001</v>
      </c>
      <c r="Y39" s="51">
        <v>143.30000000000001</v>
      </c>
      <c r="Z39" s="51">
        <v>142.80000000000001</v>
      </c>
      <c r="AA39" s="51">
        <v>142</v>
      </c>
      <c r="AB39" s="51">
        <v>142</v>
      </c>
      <c r="AC39" s="51">
        <v>142</v>
      </c>
      <c r="AD39" s="51">
        <v>142</v>
      </c>
      <c r="AE39" s="51">
        <v>142</v>
      </c>
      <c r="AF39" s="51"/>
      <c r="AG39" s="60">
        <v>144</v>
      </c>
      <c r="AH39" s="55">
        <f t="shared" si="2"/>
        <v>145.1</v>
      </c>
      <c r="AI39" s="56">
        <f t="shared" si="3"/>
        <v>0</v>
      </c>
      <c r="AK39" s="57"/>
    </row>
    <row r="40" spans="1:88" x14ac:dyDescent="0.25">
      <c r="A40" s="63" t="s">
        <v>48</v>
      </c>
      <c r="B40" s="49">
        <v>70.099999999999994</v>
      </c>
      <c r="C40" s="49">
        <v>70.2</v>
      </c>
      <c r="D40" s="49">
        <v>72.099999999999994</v>
      </c>
      <c r="E40" s="49">
        <v>72.099999999999994</v>
      </c>
      <c r="F40" s="49">
        <v>60.6</v>
      </c>
      <c r="G40" s="49"/>
      <c r="H40" s="49">
        <v>60.6</v>
      </c>
      <c r="I40" s="49">
        <v>60.6</v>
      </c>
      <c r="J40" s="49">
        <v>69.3</v>
      </c>
      <c r="K40" s="49">
        <v>69.900000000000006</v>
      </c>
      <c r="L40" s="49">
        <v>69.5</v>
      </c>
      <c r="M40" s="51">
        <v>70.400000000000006</v>
      </c>
      <c r="N40" s="51">
        <v>70.3</v>
      </c>
      <c r="O40" s="51">
        <v>71.3</v>
      </c>
      <c r="P40" s="51">
        <v>71.7</v>
      </c>
      <c r="Q40" s="51">
        <v>72.599999999999994</v>
      </c>
      <c r="R40" s="51">
        <v>72.3</v>
      </c>
      <c r="S40" s="51">
        <v>72.5</v>
      </c>
      <c r="T40" s="49">
        <v>73.599999999999994</v>
      </c>
      <c r="U40" s="49">
        <v>74.3</v>
      </c>
      <c r="V40" s="49">
        <v>73.2</v>
      </c>
      <c r="W40" s="49">
        <v>73.2</v>
      </c>
      <c r="X40" s="49">
        <v>73.2</v>
      </c>
      <c r="Y40" s="49">
        <v>72</v>
      </c>
      <c r="Z40" s="49">
        <v>72.900000000000006</v>
      </c>
      <c r="AA40" s="49">
        <v>73.7</v>
      </c>
      <c r="AB40" s="49">
        <v>73.7</v>
      </c>
      <c r="AC40" s="49">
        <v>73.7</v>
      </c>
      <c r="AD40" s="49">
        <v>73.7</v>
      </c>
      <c r="AE40" s="49">
        <v>73.7</v>
      </c>
      <c r="AF40" s="49"/>
      <c r="AG40" s="64">
        <v>70</v>
      </c>
      <c r="AH40" s="55">
        <f t="shared" si="2"/>
        <v>74.3</v>
      </c>
      <c r="AI40" s="56">
        <f t="shared" si="3"/>
        <v>60.6</v>
      </c>
      <c r="AK40" s="57"/>
    </row>
    <row r="41" spans="1:88" x14ac:dyDescent="0.25">
      <c r="A41" s="63" t="s">
        <v>49</v>
      </c>
      <c r="B41" s="49">
        <v>61</v>
      </c>
      <c r="C41" s="49">
        <v>61</v>
      </c>
      <c r="D41" s="49">
        <v>64</v>
      </c>
      <c r="E41" s="49">
        <v>64</v>
      </c>
      <c r="F41" s="49">
        <v>61.4</v>
      </c>
      <c r="G41" s="49"/>
      <c r="H41" s="49">
        <v>61.4</v>
      </c>
      <c r="I41" s="49">
        <v>61.4</v>
      </c>
      <c r="J41" s="49">
        <v>63.9</v>
      </c>
      <c r="K41" s="49">
        <v>63.7</v>
      </c>
      <c r="L41" s="49">
        <v>64</v>
      </c>
      <c r="M41" s="51">
        <v>63.7</v>
      </c>
      <c r="N41" s="51">
        <v>63.9</v>
      </c>
      <c r="O41" s="51">
        <v>63.4</v>
      </c>
      <c r="P41" s="51">
        <v>63.8</v>
      </c>
      <c r="Q41" s="51">
        <v>63.9</v>
      </c>
      <c r="R41" s="51">
        <v>64</v>
      </c>
      <c r="S41" s="51">
        <v>64.599999999999994</v>
      </c>
      <c r="T41" s="49">
        <v>63.6</v>
      </c>
      <c r="U41" s="49">
        <v>63.6</v>
      </c>
      <c r="V41" s="49">
        <v>64.3</v>
      </c>
      <c r="W41" s="49">
        <v>64.3</v>
      </c>
      <c r="X41" s="49">
        <v>64.3</v>
      </c>
      <c r="Y41" s="49">
        <v>64.3</v>
      </c>
      <c r="Z41" s="49">
        <v>64.2</v>
      </c>
      <c r="AA41" s="49">
        <v>64.7</v>
      </c>
      <c r="AB41" s="49">
        <v>64.7</v>
      </c>
      <c r="AC41" s="49">
        <v>64.7</v>
      </c>
      <c r="AD41" s="49">
        <v>64.7</v>
      </c>
      <c r="AE41" s="49">
        <v>45.1</v>
      </c>
      <c r="AF41" s="49"/>
      <c r="AG41" s="64">
        <v>69</v>
      </c>
      <c r="AH41" s="55">
        <f t="shared" si="2"/>
        <v>64.7</v>
      </c>
      <c r="AI41" s="56">
        <f t="shared" si="3"/>
        <v>45.1</v>
      </c>
      <c r="AK41" s="57"/>
    </row>
    <row r="42" spans="1:88" x14ac:dyDescent="0.25">
      <c r="A42" s="63" t="s">
        <v>50</v>
      </c>
      <c r="B42" s="66">
        <v>61.4</v>
      </c>
      <c r="C42" s="66">
        <v>0</v>
      </c>
      <c r="D42" s="66">
        <v>60.4</v>
      </c>
      <c r="E42" s="66">
        <v>60.4</v>
      </c>
      <c r="F42" s="66">
        <v>60.9</v>
      </c>
      <c r="G42" s="66"/>
      <c r="H42" s="66">
        <v>30</v>
      </c>
      <c r="I42" s="66">
        <v>50</v>
      </c>
      <c r="J42" s="66">
        <v>61.2</v>
      </c>
      <c r="K42" s="66">
        <v>61.2</v>
      </c>
      <c r="L42" s="66">
        <v>60.9</v>
      </c>
      <c r="M42" s="51">
        <v>60.9</v>
      </c>
      <c r="N42" s="51">
        <v>60.9</v>
      </c>
      <c r="O42" s="51">
        <v>63.3</v>
      </c>
      <c r="P42" s="51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61.2</v>
      </c>
      <c r="V42" s="51">
        <v>61.2</v>
      </c>
      <c r="W42" s="51">
        <v>61.2</v>
      </c>
      <c r="X42" s="51">
        <v>61.2</v>
      </c>
      <c r="Y42" s="51">
        <v>61.2</v>
      </c>
      <c r="Z42" s="51">
        <v>60.9</v>
      </c>
      <c r="AA42" s="49">
        <v>60.9</v>
      </c>
      <c r="AB42" s="49">
        <v>60.9</v>
      </c>
      <c r="AC42" s="49">
        <v>60.9</v>
      </c>
      <c r="AD42" s="49">
        <v>60.9</v>
      </c>
      <c r="AE42" s="49">
        <v>60.9</v>
      </c>
      <c r="AF42" s="66"/>
      <c r="AG42" s="64">
        <v>60</v>
      </c>
      <c r="AH42" s="55">
        <f t="shared" si="2"/>
        <v>63.3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18</v>
      </c>
      <c r="C43" s="66">
        <v>18.600000000000001</v>
      </c>
      <c r="D43" s="66">
        <v>20</v>
      </c>
      <c r="E43" s="66">
        <v>21</v>
      </c>
      <c r="F43" s="66">
        <v>21</v>
      </c>
      <c r="G43" s="66"/>
      <c r="H43" s="66">
        <v>21</v>
      </c>
      <c r="I43" s="66">
        <v>21</v>
      </c>
      <c r="J43" s="66">
        <v>20</v>
      </c>
      <c r="K43" s="66">
        <v>20</v>
      </c>
      <c r="L43" s="66">
        <v>30</v>
      </c>
      <c r="M43" s="51">
        <v>30</v>
      </c>
      <c r="N43" s="51">
        <v>30</v>
      </c>
      <c r="O43" s="51">
        <v>30</v>
      </c>
      <c r="P43" s="51">
        <v>30</v>
      </c>
      <c r="Q43" s="51">
        <v>30</v>
      </c>
      <c r="R43" s="51">
        <v>28</v>
      </c>
      <c r="S43" s="51">
        <v>29.7</v>
      </c>
      <c r="T43" s="51">
        <v>29.7</v>
      </c>
      <c r="U43" s="51">
        <v>29.5</v>
      </c>
      <c r="V43" s="51">
        <v>29.5</v>
      </c>
      <c r="W43" s="51">
        <v>29.5</v>
      </c>
      <c r="X43" s="51">
        <v>18.5</v>
      </c>
      <c r="Y43" s="51">
        <v>19</v>
      </c>
      <c r="Z43" s="51">
        <v>19</v>
      </c>
      <c r="AA43" s="49">
        <v>29.7</v>
      </c>
      <c r="AB43" s="49">
        <v>29.7</v>
      </c>
      <c r="AC43" s="49">
        <v>29.7</v>
      </c>
      <c r="AD43" s="49">
        <v>29.7</v>
      </c>
      <c r="AE43" s="49">
        <v>29.7</v>
      </c>
      <c r="AF43" s="66"/>
      <c r="AG43" s="64">
        <v>30</v>
      </c>
      <c r="AH43" s="55">
        <f t="shared" si="2"/>
        <v>30</v>
      </c>
      <c r="AI43" s="56">
        <f t="shared" si="3"/>
        <v>18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/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6</v>
      </c>
      <c r="N44" s="51">
        <v>6</v>
      </c>
      <c r="O44" s="51">
        <v>6</v>
      </c>
      <c r="P44" s="51">
        <v>6</v>
      </c>
      <c r="Q44" s="51">
        <v>6</v>
      </c>
      <c r="R44" s="51">
        <v>6</v>
      </c>
      <c r="S44" s="51">
        <v>6</v>
      </c>
      <c r="T44" s="51">
        <v>6</v>
      </c>
      <c r="U44" s="51">
        <v>6</v>
      </c>
      <c r="V44" s="51">
        <v>6</v>
      </c>
      <c r="W44" s="51">
        <v>6</v>
      </c>
      <c r="X44" s="51">
        <v>6</v>
      </c>
      <c r="Y44" s="51">
        <v>6</v>
      </c>
      <c r="Z44" s="51">
        <v>6</v>
      </c>
      <c r="AA44" s="51">
        <v>6</v>
      </c>
      <c r="AB44" s="51">
        <v>6</v>
      </c>
      <c r="AC44" s="51">
        <v>6</v>
      </c>
      <c r="AD44" s="51">
        <v>6</v>
      </c>
      <c r="AE44" s="51">
        <v>6</v>
      </c>
      <c r="AF44" s="49"/>
      <c r="AG44" s="64">
        <v>25</v>
      </c>
      <c r="AH44" s="55">
        <f t="shared" si="2"/>
        <v>6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17.8</v>
      </c>
      <c r="C45" s="49">
        <v>17.8</v>
      </c>
      <c r="D45" s="49">
        <v>17.5</v>
      </c>
      <c r="E45" s="49">
        <v>17.5</v>
      </c>
      <c r="F45" s="49">
        <v>17.3</v>
      </c>
      <c r="G45" s="49"/>
      <c r="H45" s="49">
        <v>17.3</v>
      </c>
      <c r="I45" s="49">
        <v>17.3</v>
      </c>
      <c r="J45" s="49">
        <v>15</v>
      </c>
      <c r="K45" s="49">
        <v>15</v>
      </c>
      <c r="L45" s="49">
        <v>15</v>
      </c>
      <c r="M45" s="49">
        <v>17.399999999999999</v>
      </c>
      <c r="N45" s="51">
        <v>17.100000000000001</v>
      </c>
      <c r="O45" s="51">
        <v>17</v>
      </c>
      <c r="P45" s="51">
        <v>16.5</v>
      </c>
      <c r="Q45" s="51">
        <v>16.5</v>
      </c>
      <c r="R45" s="51">
        <v>16.3</v>
      </c>
      <c r="S45" s="51">
        <v>16.3</v>
      </c>
      <c r="T45" s="51">
        <v>16.7</v>
      </c>
      <c r="U45" s="51">
        <v>16.7</v>
      </c>
      <c r="V45" s="51">
        <v>16.7</v>
      </c>
      <c r="W45" s="51">
        <v>16.7</v>
      </c>
      <c r="X45" s="51">
        <v>16.7</v>
      </c>
      <c r="Y45" s="51">
        <v>16.7</v>
      </c>
      <c r="Z45" s="51">
        <v>16.7</v>
      </c>
      <c r="AA45" s="51">
        <v>20.3</v>
      </c>
      <c r="AB45" s="51">
        <v>20.3</v>
      </c>
      <c r="AC45" s="51">
        <v>20.3</v>
      </c>
      <c r="AD45" s="51">
        <v>20.3</v>
      </c>
      <c r="AE45" s="51">
        <v>20.3</v>
      </c>
      <c r="AF45" s="49"/>
      <c r="AG45" s="64">
        <v>24</v>
      </c>
      <c r="AH45" s="55">
        <f t="shared" si="2"/>
        <v>20.3</v>
      </c>
      <c r="AI45" s="56">
        <f t="shared" si="3"/>
        <v>15</v>
      </c>
      <c r="AK45" s="57"/>
    </row>
    <row r="46" spans="1:88" x14ac:dyDescent="0.25">
      <c r="A46" s="63" t="s">
        <v>54</v>
      </c>
      <c r="B46" s="49">
        <v>2.5</v>
      </c>
      <c r="C46" s="49">
        <v>2.5</v>
      </c>
      <c r="D46" s="49">
        <v>2.5</v>
      </c>
      <c r="E46" s="49">
        <v>2.5</v>
      </c>
      <c r="F46" s="49">
        <v>2.5</v>
      </c>
      <c r="G46" s="49"/>
      <c r="H46" s="49">
        <v>2.5</v>
      </c>
      <c r="I46" s="49">
        <v>2.5</v>
      </c>
      <c r="J46" s="49">
        <v>2.5</v>
      </c>
      <c r="K46" s="49">
        <v>2.5</v>
      </c>
      <c r="L46" s="49">
        <v>2.5</v>
      </c>
      <c r="M46" s="49">
        <v>2.5</v>
      </c>
      <c r="N46" s="49">
        <v>2.5</v>
      </c>
      <c r="O46" s="49">
        <v>2.5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49"/>
      <c r="AG46" s="64">
        <v>15</v>
      </c>
      <c r="AH46" s="55">
        <f t="shared" si="2"/>
        <v>2.5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12.3</v>
      </c>
      <c r="C47" s="49">
        <v>12.3</v>
      </c>
      <c r="D47" s="49">
        <v>13.2</v>
      </c>
      <c r="E47" s="49">
        <v>13.2</v>
      </c>
      <c r="F47" s="49">
        <v>13</v>
      </c>
      <c r="G47" s="49"/>
      <c r="H47" s="49">
        <v>13</v>
      </c>
      <c r="I47" s="49">
        <v>13</v>
      </c>
      <c r="J47" s="49">
        <v>10</v>
      </c>
      <c r="K47" s="49">
        <v>10</v>
      </c>
      <c r="L47" s="49">
        <v>10</v>
      </c>
      <c r="M47" s="49">
        <v>10</v>
      </c>
      <c r="N47" s="49">
        <v>10</v>
      </c>
      <c r="O47" s="49">
        <v>10</v>
      </c>
      <c r="P47" s="49">
        <v>9.5</v>
      </c>
      <c r="Q47" s="49">
        <v>9.5</v>
      </c>
      <c r="R47" s="51">
        <v>9.5</v>
      </c>
      <c r="S47" s="51">
        <v>9.5</v>
      </c>
      <c r="T47" s="51">
        <v>9.3000000000000007</v>
      </c>
      <c r="U47" s="51">
        <v>9.3000000000000007</v>
      </c>
      <c r="V47" s="51">
        <v>9.3000000000000007</v>
      </c>
      <c r="W47" s="51">
        <v>9.3000000000000007</v>
      </c>
      <c r="X47" s="51">
        <v>9.3000000000000007</v>
      </c>
      <c r="Y47" s="51">
        <v>9.3000000000000007</v>
      </c>
      <c r="Z47" s="51">
        <v>9.3000000000000007</v>
      </c>
      <c r="AA47" s="51">
        <v>9.3000000000000007</v>
      </c>
      <c r="AB47" s="51">
        <v>9.3000000000000007</v>
      </c>
      <c r="AC47" s="51">
        <v>9.3000000000000007</v>
      </c>
      <c r="AD47" s="51">
        <v>9.3000000000000007</v>
      </c>
      <c r="AE47" s="51">
        <v>9.3000000000000007</v>
      </c>
      <c r="AF47" s="49"/>
      <c r="AG47" s="64">
        <v>14.1</v>
      </c>
      <c r="AH47" s="55">
        <f t="shared" si="2"/>
        <v>13.2</v>
      </c>
      <c r="AI47" s="56">
        <f t="shared" si="3"/>
        <v>9.3000000000000007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3.5</v>
      </c>
      <c r="C48" s="49">
        <v>3.5</v>
      </c>
      <c r="D48" s="49">
        <v>6.8</v>
      </c>
      <c r="E48" s="49">
        <v>4</v>
      </c>
      <c r="F48" s="49">
        <v>14</v>
      </c>
      <c r="G48" s="49"/>
      <c r="H48" s="49">
        <v>14</v>
      </c>
      <c r="I48" s="49">
        <v>14</v>
      </c>
      <c r="J48" s="49">
        <v>13.7</v>
      </c>
      <c r="K48" s="49">
        <v>13.7</v>
      </c>
      <c r="L48" s="49">
        <v>10.8</v>
      </c>
      <c r="M48" s="49">
        <v>13.7</v>
      </c>
      <c r="N48" s="49">
        <v>13.7</v>
      </c>
      <c r="O48" s="49">
        <v>13.7</v>
      </c>
      <c r="P48" s="49">
        <v>13.7</v>
      </c>
      <c r="Q48" s="49">
        <v>13.7</v>
      </c>
      <c r="R48" s="49">
        <v>13.7</v>
      </c>
      <c r="S48" s="49">
        <v>13.7</v>
      </c>
      <c r="T48" s="51">
        <v>13.8</v>
      </c>
      <c r="U48" s="51">
        <v>13.8</v>
      </c>
      <c r="V48" s="51">
        <v>13.8</v>
      </c>
      <c r="W48" s="51">
        <v>13.8</v>
      </c>
      <c r="X48" s="51">
        <v>13.8</v>
      </c>
      <c r="Y48" s="51">
        <v>13.8</v>
      </c>
      <c r="Z48" s="51">
        <v>13.8</v>
      </c>
      <c r="AA48" s="51">
        <v>13.8</v>
      </c>
      <c r="AB48" s="51">
        <v>13.8</v>
      </c>
      <c r="AC48" s="51">
        <v>13.8</v>
      </c>
      <c r="AD48" s="51">
        <v>13.8</v>
      </c>
      <c r="AE48" s="51">
        <v>13.8</v>
      </c>
      <c r="AF48" s="49"/>
      <c r="AG48" s="64">
        <v>14</v>
      </c>
      <c r="AH48" s="55">
        <f t="shared" si="2"/>
        <v>14</v>
      </c>
      <c r="AI48" s="56">
        <f t="shared" si="3"/>
        <v>3.5</v>
      </c>
      <c r="AK48" s="57"/>
    </row>
    <row r="49" spans="1:37" x14ac:dyDescent="0.25">
      <c r="A49" s="63" t="s">
        <v>57</v>
      </c>
      <c r="B49" s="49">
        <v>9.3000000000000007</v>
      </c>
      <c r="C49" s="49">
        <v>9.3000000000000007</v>
      </c>
      <c r="D49" s="49">
        <v>9.1999999999999993</v>
      </c>
      <c r="E49" s="49">
        <v>9.1999999999999993</v>
      </c>
      <c r="F49" s="49">
        <v>9.1999999999999993</v>
      </c>
      <c r="G49" s="49"/>
      <c r="H49" s="49">
        <v>9.1999999999999993</v>
      </c>
      <c r="I49" s="49">
        <v>9.1999999999999993</v>
      </c>
      <c r="J49" s="49">
        <v>9.1999999999999993</v>
      </c>
      <c r="K49" s="49">
        <v>9.1999999999999993</v>
      </c>
      <c r="L49" s="49">
        <v>8.8000000000000007</v>
      </c>
      <c r="M49" s="49">
        <v>8.8000000000000007</v>
      </c>
      <c r="N49" s="49">
        <v>8.8000000000000007</v>
      </c>
      <c r="O49" s="49">
        <v>8.8000000000000007</v>
      </c>
      <c r="P49" s="49">
        <v>8.8000000000000007</v>
      </c>
      <c r="Q49" s="49">
        <v>8.8000000000000007</v>
      </c>
      <c r="R49" s="49">
        <v>8.8000000000000007</v>
      </c>
      <c r="S49" s="49">
        <v>8.8000000000000007</v>
      </c>
      <c r="T49" s="51">
        <v>7</v>
      </c>
      <c r="U49" s="51">
        <v>7</v>
      </c>
      <c r="V49" s="51">
        <v>7</v>
      </c>
      <c r="W49" s="51">
        <v>7</v>
      </c>
      <c r="X49" s="51">
        <v>7</v>
      </c>
      <c r="Y49" s="51">
        <v>7</v>
      </c>
      <c r="Z49" s="51">
        <v>7</v>
      </c>
      <c r="AA49" s="51">
        <v>7</v>
      </c>
      <c r="AB49" s="51">
        <v>7</v>
      </c>
      <c r="AC49" s="51">
        <v>7</v>
      </c>
      <c r="AD49" s="51">
        <v>7</v>
      </c>
      <c r="AE49" s="51">
        <v>7</v>
      </c>
      <c r="AF49" s="49"/>
      <c r="AG49" s="64">
        <v>10.050000000000001</v>
      </c>
      <c r="AH49" s="55">
        <f t="shared" si="2"/>
        <v>9.3000000000000007</v>
      </c>
      <c r="AI49" s="56">
        <f t="shared" si="3"/>
        <v>7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/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49">
        <v>6</v>
      </c>
      <c r="O50" s="49">
        <v>6</v>
      </c>
      <c r="P50" s="49">
        <v>6</v>
      </c>
      <c r="Q50" s="49">
        <v>6</v>
      </c>
      <c r="R50" s="49">
        <v>6</v>
      </c>
      <c r="S50" s="49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49"/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7">SUM(B39:B51)</f>
        <v>409.64</v>
      </c>
      <c r="C52" s="70">
        <f t="shared" ref="C52:AF52" si="8">SUM(C39:C51)</f>
        <v>349.6400000000001</v>
      </c>
      <c r="D52" s="70">
        <f t="shared" si="8"/>
        <v>420.34</v>
      </c>
      <c r="E52" s="70">
        <f t="shared" si="8"/>
        <v>418.53999999999996</v>
      </c>
      <c r="F52" s="70">
        <f t="shared" si="8"/>
        <v>414.44</v>
      </c>
      <c r="G52" s="70">
        <f t="shared" si="8"/>
        <v>3.54</v>
      </c>
      <c r="H52" s="70">
        <f t="shared" si="8"/>
        <v>383.54</v>
      </c>
      <c r="I52" s="70">
        <f t="shared" si="8"/>
        <v>403.54</v>
      </c>
      <c r="J52" s="70">
        <f t="shared" si="8"/>
        <v>418.84</v>
      </c>
      <c r="K52" s="70">
        <f t="shared" si="8"/>
        <v>419.24</v>
      </c>
      <c r="L52" s="70">
        <f t="shared" si="8"/>
        <v>424.84000000000003</v>
      </c>
      <c r="M52" s="70">
        <f t="shared" si="8"/>
        <v>436.34</v>
      </c>
      <c r="N52" s="70">
        <f t="shared" si="8"/>
        <v>405.84000000000003</v>
      </c>
      <c r="O52" s="70">
        <f t="shared" si="8"/>
        <v>408.84000000000003</v>
      </c>
      <c r="P52" s="70">
        <f t="shared" si="8"/>
        <v>290.44</v>
      </c>
      <c r="Q52" s="70">
        <f t="shared" si="8"/>
        <v>383.44</v>
      </c>
      <c r="R52" s="70">
        <f t="shared" ref="R52" si="9">SUM(R39:R51)</f>
        <v>430.54</v>
      </c>
      <c r="S52" s="70">
        <f t="shared" si="8"/>
        <v>433.34</v>
      </c>
      <c r="T52" s="70">
        <f t="shared" si="8"/>
        <v>433.14</v>
      </c>
      <c r="U52" s="70">
        <f t="shared" si="8"/>
        <v>433.94000000000005</v>
      </c>
      <c r="V52" s="70">
        <f t="shared" si="8"/>
        <v>433.84000000000003</v>
      </c>
      <c r="W52" s="70">
        <f t="shared" si="8"/>
        <v>433.84000000000003</v>
      </c>
      <c r="X52" s="70">
        <f t="shared" si="8"/>
        <v>422.84000000000003</v>
      </c>
      <c r="Y52" s="70">
        <f t="shared" si="8"/>
        <v>422.14000000000004</v>
      </c>
      <c r="Z52" s="70">
        <f t="shared" si="8"/>
        <v>422.14000000000004</v>
      </c>
      <c r="AA52" s="70">
        <f t="shared" si="8"/>
        <v>436.94</v>
      </c>
      <c r="AB52" s="70">
        <f t="shared" si="8"/>
        <v>436.94</v>
      </c>
      <c r="AC52" s="70">
        <f t="shared" si="8"/>
        <v>436.94</v>
      </c>
      <c r="AD52" s="70">
        <f t="shared" si="8"/>
        <v>436.94</v>
      </c>
      <c r="AE52" s="70">
        <f t="shared" si="8"/>
        <v>417.34000000000003</v>
      </c>
      <c r="AF52" s="70">
        <f t="shared" si="8"/>
        <v>3.54</v>
      </c>
      <c r="AG52" s="74">
        <f>SUM(AG39:AG51)</f>
        <v>489.91</v>
      </c>
      <c r="AH52" s="55">
        <f t="shared" si="2"/>
        <v>436.94</v>
      </c>
      <c r="AI52" s="56">
        <f t="shared" si="3"/>
        <v>3.54</v>
      </c>
      <c r="AK52" s="57"/>
    </row>
    <row r="53" spans="1:37" x14ac:dyDescent="0.25">
      <c r="A53" s="58" t="s">
        <v>61</v>
      </c>
      <c r="B53" s="51">
        <v>45</v>
      </c>
      <c r="C53" s="51">
        <v>30</v>
      </c>
      <c r="D53" s="51">
        <v>20</v>
      </c>
      <c r="E53" s="51">
        <v>20</v>
      </c>
      <c r="F53" s="51">
        <v>10.5</v>
      </c>
      <c r="G53" s="51"/>
      <c r="H53" s="51">
        <v>20</v>
      </c>
      <c r="I53" s="51">
        <v>0</v>
      </c>
      <c r="J53" s="51">
        <v>0</v>
      </c>
      <c r="K53" s="51">
        <v>0</v>
      </c>
      <c r="L53" s="51">
        <v>0</v>
      </c>
      <c r="M53" s="51">
        <v>15</v>
      </c>
      <c r="N53" s="51">
        <v>13.6</v>
      </c>
      <c r="O53" s="51">
        <v>10.5</v>
      </c>
      <c r="P53" s="51">
        <v>25</v>
      </c>
      <c r="Q53" s="51">
        <v>0</v>
      </c>
      <c r="R53" s="51">
        <v>0</v>
      </c>
      <c r="S53" s="51">
        <v>24</v>
      </c>
      <c r="T53" s="51">
        <v>10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14.1</v>
      </c>
      <c r="AA53" s="51">
        <v>60</v>
      </c>
      <c r="AB53" s="51">
        <v>60</v>
      </c>
      <c r="AC53" s="51">
        <v>38.5</v>
      </c>
      <c r="AD53" s="51">
        <v>50</v>
      </c>
      <c r="AE53" s="51">
        <v>50</v>
      </c>
      <c r="AF53" s="51"/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22.7</v>
      </c>
      <c r="C54" s="49">
        <v>15.1</v>
      </c>
      <c r="D54" s="49">
        <v>15.4</v>
      </c>
      <c r="E54" s="49">
        <v>10.199999999999999</v>
      </c>
      <c r="F54" s="49">
        <v>4.4000000000000004</v>
      </c>
      <c r="G54" s="49"/>
      <c r="H54" s="49">
        <v>5</v>
      </c>
      <c r="I54" s="49">
        <v>0</v>
      </c>
      <c r="J54" s="49">
        <v>0</v>
      </c>
      <c r="K54" s="49">
        <v>0</v>
      </c>
      <c r="L54" s="49">
        <v>0</v>
      </c>
      <c r="M54" s="49">
        <v>5.2</v>
      </c>
      <c r="N54" s="49">
        <v>12.1</v>
      </c>
      <c r="O54" s="49">
        <v>3.9</v>
      </c>
      <c r="P54" s="49">
        <v>9.6</v>
      </c>
      <c r="Q54" s="49">
        <v>0</v>
      </c>
      <c r="R54" s="49">
        <v>0</v>
      </c>
      <c r="S54" s="49">
        <v>15.5</v>
      </c>
      <c r="T54" s="49">
        <v>4.0999999999999996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4.9000000000000004</v>
      </c>
      <c r="AA54" s="49">
        <v>29.8</v>
      </c>
      <c r="AB54" s="49">
        <v>29.8</v>
      </c>
      <c r="AC54" s="49">
        <v>21.3</v>
      </c>
      <c r="AD54" s="49">
        <v>16</v>
      </c>
      <c r="AE54" s="49">
        <v>16</v>
      </c>
      <c r="AF54" s="49"/>
      <c r="AG54" s="64">
        <v>32</v>
      </c>
      <c r="AH54" s="55">
        <f t="shared" si="2"/>
        <v>29.8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8.9</v>
      </c>
      <c r="C55" s="75">
        <v>5.5</v>
      </c>
      <c r="D55" s="75">
        <v>5.6</v>
      </c>
      <c r="E55" s="75">
        <v>3.7</v>
      </c>
      <c r="F55" s="75">
        <v>1.6</v>
      </c>
      <c r="G55" s="75"/>
      <c r="H55" s="75">
        <v>2</v>
      </c>
      <c r="I55" s="75">
        <v>0</v>
      </c>
      <c r="J55" s="75">
        <v>0</v>
      </c>
      <c r="K55" s="75">
        <v>0</v>
      </c>
      <c r="L55" s="75">
        <v>0</v>
      </c>
      <c r="M55" s="75">
        <v>1.9</v>
      </c>
      <c r="N55" s="75">
        <v>4.4000000000000004</v>
      </c>
      <c r="O55" s="75">
        <v>1.4</v>
      </c>
      <c r="P55" s="75">
        <v>3.5</v>
      </c>
      <c r="Q55" s="75">
        <v>0</v>
      </c>
      <c r="R55" s="75">
        <v>0</v>
      </c>
      <c r="S55" s="75">
        <v>5.7</v>
      </c>
      <c r="T55" s="75">
        <v>1.5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1.8</v>
      </c>
      <c r="AA55" s="75">
        <v>1.5</v>
      </c>
      <c r="AB55" s="75">
        <v>1.5</v>
      </c>
      <c r="AC55" s="75">
        <v>7.8</v>
      </c>
      <c r="AD55" s="75">
        <v>6</v>
      </c>
      <c r="AE55" s="75">
        <v>6</v>
      </c>
      <c r="AF55" s="75"/>
      <c r="AG55" s="76">
        <v>14</v>
      </c>
      <c r="AH55" s="55">
        <f t="shared" si="2"/>
        <v>8.9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10">SUM(B53:B55)</f>
        <v>76.600000000000009</v>
      </c>
      <c r="C56" s="70">
        <f t="shared" ref="C56:AF56" si="11">SUM(C53:C55)</f>
        <v>50.6</v>
      </c>
      <c r="D56" s="70">
        <f t="shared" si="11"/>
        <v>41</v>
      </c>
      <c r="E56" s="70">
        <f t="shared" si="11"/>
        <v>33.9</v>
      </c>
      <c r="F56" s="70">
        <f t="shared" si="11"/>
        <v>16.5</v>
      </c>
      <c r="G56" s="70">
        <f t="shared" si="11"/>
        <v>0</v>
      </c>
      <c r="H56" s="70">
        <f t="shared" si="11"/>
        <v>27</v>
      </c>
      <c r="I56" s="70">
        <f t="shared" si="11"/>
        <v>0</v>
      </c>
      <c r="J56" s="70">
        <f t="shared" si="11"/>
        <v>0</v>
      </c>
      <c r="K56" s="70">
        <f t="shared" si="11"/>
        <v>0</v>
      </c>
      <c r="L56" s="70">
        <f t="shared" si="11"/>
        <v>0</v>
      </c>
      <c r="M56" s="70">
        <f t="shared" si="11"/>
        <v>22.099999999999998</v>
      </c>
      <c r="N56" s="70">
        <f t="shared" si="11"/>
        <v>30.1</v>
      </c>
      <c r="O56" s="70">
        <f t="shared" si="11"/>
        <v>15.8</v>
      </c>
      <c r="P56" s="70">
        <f t="shared" si="11"/>
        <v>38.1</v>
      </c>
      <c r="Q56" s="70">
        <f t="shared" si="11"/>
        <v>0</v>
      </c>
      <c r="R56" s="70">
        <f t="shared" si="11"/>
        <v>0</v>
      </c>
      <c r="S56" s="70">
        <f t="shared" si="11"/>
        <v>45.2</v>
      </c>
      <c r="T56" s="70">
        <f t="shared" si="11"/>
        <v>15.6</v>
      </c>
      <c r="U56" s="70">
        <f t="shared" si="11"/>
        <v>0</v>
      </c>
      <c r="V56" s="70">
        <f t="shared" si="11"/>
        <v>0</v>
      </c>
      <c r="W56" s="70">
        <f t="shared" si="11"/>
        <v>0</v>
      </c>
      <c r="X56" s="70">
        <f t="shared" si="11"/>
        <v>0</v>
      </c>
      <c r="Y56" s="70">
        <f t="shared" si="11"/>
        <v>0</v>
      </c>
      <c r="Z56" s="70">
        <f t="shared" si="11"/>
        <v>20.8</v>
      </c>
      <c r="AA56" s="70">
        <f t="shared" si="11"/>
        <v>91.3</v>
      </c>
      <c r="AB56" s="70">
        <f t="shared" si="11"/>
        <v>91.3</v>
      </c>
      <c r="AC56" s="70">
        <f t="shared" si="11"/>
        <v>67.599999999999994</v>
      </c>
      <c r="AD56" s="70">
        <f t="shared" si="11"/>
        <v>72</v>
      </c>
      <c r="AE56" s="70">
        <f t="shared" si="11"/>
        <v>72</v>
      </c>
      <c r="AF56" s="70">
        <f t="shared" si="11"/>
        <v>0</v>
      </c>
      <c r="AG56" s="74">
        <f>SUM(AG53:AG55)</f>
        <v>106</v>
      </c>
      <c r="AH56" s="55">
        <f t="shared" si="2"/>
        <v>91.3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72.8</v>
      </c>
      <c r="C57" s="51">
        <v>63.1</v>
      </c>
      <c r="D57" s="51">
        <v>65.2</v>
      </c>
      <c r="E57" s="51">
        <v>63.5</v>
      </c>
      <c r="F57" s="51">
        <v>60.1</v>
      </c>
      <c r="G57" s="51"/>
      <c r="H57" s="51">
        <v>58</v>
      </c>
      <c r="I57" s="51">
        <v>35</v>
      </c>
      <c r="J57" s="51">
        <v>35.299999999999997</v>
      </c>
      <c r="K57" s="51">
        <v>55.1</v>
      </c>
      <c r="L57" s="51">
        <v>46.6</v>
      </c>
      <c r="M57" s="51">
        <v>45.4</v>
      </c>
      <c r="N57" s="51">
        <v>36.799999999999997</v>
      </c>
      <c r="O57" s="51">
        <v>38</v>
      </c>
      <c r="P57" s="51">
        <v>77</v>
      </c>
      <c r="Q57" s="51">
        <v>65.5</v>
      </c>
      <c r="R57" s="51">
        <v>69.400000000000006</v>
      </c>
      <c r="S57" s="51">
        <v>72.2</v>
      </c>
      <c r="T57" s="51">
        <v>70.900000000000006</v>
      </c>
      <c r="U57" s="51">
        <v>52.9</v>
      </c>
      <c r="V57" s="51">
        <v>57.6</v>
      </c>
      <c r="W57" s="51">
        <v>57.6</v>
      </c>
      <c r="X57" s="51">
        <v>57.6</v>
      </c>
      <c r="Y57" s="51">
        <v>49.7</v>
      </c>
      <c r="Z57" s="51">
        <v>41.4</v>
      </c>
      <c r="AA57" s="51">
        <v>68.900000000000006</v>
      </c>
      <c r="AB57" s="51">
        <v>71.7</v>
      </c>
      <c r="AC57" s="51">
        <v>74.5</v>
      </c>
      <c r="AD57" s="51">
        <v>63</v>
      </c>
      <c r="AE57" s="51">
        <v>59.4</v>
      </c>
      <c r="AF57" s="51"/>
      <c r="AG57" s="60"/>
      <c r="AH57" s="55">
        <f t="shared" si="2"/>
        <v>77</v>
      </c>
      <c r="AI57" s="56">
        <f t="shared" si="3"/>
        <v>35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/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/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-373</v>
      </c>
      <c r="C59" s="49">
        <v>-335</v>
      </c>
      <c r="D59" s="49">
        <v>-367</v>
      </c>
      <c r="E59" s="49">
        <v>-364.2</v>
      </c>
      <c r="F59" s="49">
        <v>-390.3</v>
      </c>
      <c r="G59" s="49"/>
      <c r="H59" s="49">
        <v>-400</v>
      </c>
      <c r="I59" s="49">
        <v>-393.5</v>
      </c>
      <c r="J59" s="49">
        <v>-409.7</v>
      </c>
      <c r="K59" s="49">
        <v>-360.7</v>
      </c>
      <c r="L59" s="49">
        <v>-411</v>
      </c>
      <c r="M59" s="49">
        <v>-390</v>
      </c>
      <c r="N59" s="49">
        <v>-410.5</v>
      </c>
      <c r="O59" s="49">
        <v>-398</v>
      </c>
      <c r="P59" s="49">
        <v>-383</v>
      </c>
      <c r="Q59" s="49">
        <v>-375.5</v>
      </c>
      <c r="R59" s="49">
        <v>-389.7</v>
      </c>
      <c r="S59" s="49">
        <v>-380</v>
      </c>
      <c r="T59" s="49">
        <v>-398</v>
      </c>
      <c r="U59" s="49">
        <v>-425</v>
      </c>
      <c r="V59" s="49">
        <v>-409</v>
      </c>
      <c r="W59" s="49">
        <v>-400</v>
      </c>
      <c r="X59" s="49">
        <v>-360</v>
      </c>
      <c r="Y59" s="49">
        <v>-325</v>
      </c>
      <c r="Z59" s="49">
        <v>-276</v>
      </c>
      <c r="AA59" s="49">
        <v>-252</v>
      </c>
      <c r="AB59" s="49">
        <v>-277</v>
      </c>
      <c r="AC59" s="49">
        <v>-276</v>
      </c>
      <c r="AD59" s="49">
        <v>-286</v>
      </c>
      <c r="AE59" s="49">
        <v>-353</v>
      </c>
      <c r="AF59" s="49"/>
      <c r="AG59" s="77"/>
      <c r="AH59" s="55">
        <f t="shared" si="2"/>
        <v>-252</v>
      </c>
      <c r="AI59" s="56">
        <f t="shared" si="3"/>
        <v>-425</v>
      </c>
      <c r="AK59" s="57"/>
    </row>
    <row r="60" spans="1:37" x14ac:dyDescent="0.25">
      <c r="A60" s="63" t="s">
        <v>68</v>
      </c>
      <c r="B60" s="78">
        <v>15</v>
      </c>
      <c r="C60" s="78">
        <v>15</v>
      </c>
      <c r="D60" s="78">
        <v>15</v>
      </c>
      <c r="E60" s="78">
        <v>14</v>
      </c>
      <c r="F60" s="78">
        <v>0</v>
      </c>
      <c r="G60" s="78"/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17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15</v>
      </c>
      <c r="AC60" s="78">
        <v>15</v>
      </c>
      <c r="AD60" s="78">
        <v>15</v>
      </c>
      <c r="AE60" s="78">
        <v>15</v>
      </c>
      <c r="AF60" s="78"/>
      <c r="AG60" s="77"/>
      <c r="AH60" s="55">
        <f t="shared" si="2"/>
        <v>17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/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/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/>
      <c r="H62" s="79">
        <v>4</v>
      </c>
      <c r="I62" s="79">
        <v>4</v>
      </c>
      <c r="J62" s="79">
        <v>4</v>
      </c>
      <c r="K62" s="79">
        <v>4</v>
      </c>
      <c r="L62" s="79">
        <v>4</v>
      </c>
      <c r="M62" s="79">
        <v>4</v>
      </c>
      <c r="N62" s="79">
        <v>4</v>
      </c>
      <c r="O62" s="79">
        <v>4</v>
      </c>
      <c r="P62" s="79">
        <v>8</v>
      </c>
      <c r="Q62" s="79">
        <v>8</v>
      </c>
      <c r="R62" s="79">
        <v>4</v>
      </c>
      <c r="S62" s="79">
        <v>4</v>
      </c>
      <c r="T62" s="79">
        <v>4</v>
      </c>
      <c r="U62" s="79">
        <v>4</v>
      </c>
      <c r="V62" s="79">
        <v>4</v>
      </c>
      <c r="W62" s="79">
        <v>4</v>
      </c>
      <c r="X62" s="79">
        <v>4</v>
      </c>
      <c r="Y62" s="79">
        <v>4</v>
      </c>
      <c r="Z62" s="79">
        <v>4</v>
      </c>
      <c r="AA62" s="79">
        <v>4</v>
      </c>
      <c r="AB62" s="79">
        <v>4</v>
      </c>
      <c r="AC62" s="79">
        <v>4</v>
      </c>
      <c r="AD62" s="79">
        <v>4</v>
      </c>
      <c r="AE62" s="79">
        <v>4</v>
      </c>
      <c r="AF62" s="79"/>
      <c r="AG62" s="77"/>
      <c r="AH62" s="55">
        <f t="shared" si="2"/>
        <v>8</v>
      </c>
      <c r="AI62" s="56">
        <f t="shared" si="3"/>
        <v>4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/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/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/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/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/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/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78">
        <v>0</v>
      </c>
      <c r="C66" s="81">
        <v>0</v>
      </c>
      <c r="D66" s="78">
        <v>0</v>
      </c>
      <c r="E66" s="81">
        <v>0</v>
      </c>
      <c r="F66" s="81">
        <v>0</v>
      </c>
      <c r="G66" s="81"/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/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78">
        <v>0</v>
      </c>
      <c r="C67" s="81">
        <v>0</v>
      </c>
      <c r="D67" s="78">
        <v>0</v>
      </c>
      <c r="E67" s="81">
        <v>0</v>
      </c>
      <c r="F67" s="81">
        <v>0</v>
      </c>
      <c r="G67" s="81"/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/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2">SUMIF(B57:B67,"&gt;0")</f>
        <v>95.8</v>
      </c>
      <c r="C68" s="70">
        <f t="shared" ref="C68:AF68" si="13">SUMIF(C57:C67,"&gt;0")</f>
        <v>86.1</v>
      </c>
      <c r="D68" s="70">
        <f t="shared" si="13"/>
        <v>88.2</v>
      </c>
      <c r="E68" s="70">
        <f t="shared" si="13"/>
        <v>85.5</v>
      </c>
      <c r="F68" s="70">
        <f t="shared" si="13"/>
        <v>68.099999999999994</v>
      </c>
      <c r="G68" s="70">
        <f t="shared" si="13"/>
        <v>0</v>
      </c>
      <c r="H68" s="70">
        <f t="shared" si="13"/>
        <v>62</v>
      </c>
      <c r="I68" s="70">
        <f t="shared" si="13"/>
        <v>39</v>
      </c>
      <c r="J68" s="70">
        <f t="shared" si="13"/>
        <v>39.299999999999997</v>
      </c>
      <c r="K68" s="70">
        <f t="shared" si="13"/>
        <v>59.1</v>
      </c>
      <c r="L68" s="70">
        <f t="shared" si="13"/>
        <v>50.6</v>
      </c>
      <c r="M68" s="70">
        <f t="shared" si="13"/>
        <v>49.4</v>
      </c>
      <c r="N68" s="70">
        <f t="shared" si="13"/>
        <v>40.799999999999997</v>
      </c>
      <c r="O68" s="70">
        <f t="shared" si="13"/>
        <v>42</v>
      </c>
      <c r="P68" s="70">
        <f t="shared" si="13"/>
        <v>102</v>
      </c>
      <c r="Q68" s="70">
        <f t="shared" si="13"/>
        <v>73.5</v>
      </c>
      <c r="R68" s="70">
        <f t="shared" si="13"/>
        <v>73.400000000000006</v>
      </c>
      <c r="S68" s="70">
        <f t="shared" si="13"/>
        <v>76.2</v>
      </c>
      <c r="T68" s="70">
        <f t="shared" si="13"/>
        <v>74.900000000000006</v>
      </c>
      <c r="U68" s="70">
        <f t="shared" si="13"/>
        <v>56.9</v>
      </c>
      <c r="V68" s="70">
        <f t="shared" si="13"/>
        <v>61.6</v>
      </c>
      <c r="W68" s="70">
        <f t="shared" si="13"/>
        <v>61.6</v>
      </c>
      <c r="X68" s="70">
        <f t="shared" si="13"/>
        <v>61.6</v>
      </c>
      <c r="Y68" s="70">
        <f t="shared" si="13"/>
        <v>53.7</v>
      </c>
      <c r="Z68" s="70">
        <f t="shared" si="13"/>
        <v>45.4</v>
      </c>
      <c r="AA68" s="70">
        <f t="shared" si="13"/>
        <v>72.900000000000006</v>
      </c>
      <c r="AB68" s="70">
        <f t="shared" si="13"/>
        <v>90.7</v>
      </c>
      <c r="AC68" s="70">
        <f t="shared" si="13"/>
        <v>93.5</v>
      </c>
      <c r="AD68" s="70">
        <f t="shared" si="13"/>
        <v>82</v>
      </c>
      <c r="AE68" s="70">
        <f t="shared" si="13"/>
        <v>78.400000000000006</v>
      </c>
      <c r="AF68" s="70">
        <f t="shared" si="13"/>
        <v>0</v>
      </c>
      <c r="AG68" s="74">
        <f>SUM(AG57:AG67)</f>
        <v>0</v>
      </c>
      <c r="AH68" s="55">
        <f t="shared" si="2"/>
        <v>102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4">B38+B52+B68+B72</f>
        <v>1706.5399999999997</v>
      </c>
      <c r="C73" s="84">
        <f t="shared" ref="C73:AF73" si="15">C38+C52+C68+C72</f>
        <v>1646.54</v>
      </c>
      <c r="D73" s="84">
        <f t="shared" si="15"/>
        <v>1691.94</v>
      </c>
      <c r="E73" s="84">
        <f t="shared" si="15"/>
        <v>1647.44</v>
      </c>
      <c r="F73" s="84">
        <f t="shared" si="15"/>
        <v>1693.8400000000001</v>
      </c>
      <c r="G73" s="84">
        <f t="shared" si="15"/>
        <v>3.54</v>
      </c>
      <c r="H73" s="84">
        <f t="shared" si="15"/>
        <v>1600.8400000000001</v>
      </c>
      <c r="I73" s="84">
        <f t="shared" si="15"/>
        <v>1622.8400000000001</v>
      </c>
      <c r="J73" s="84">
        <f t="shared" si="15"/>
        <v>1669.1399999999999</v>
      </c>
      <c r="K73" s="84">
        <f t="shared" si="15"/>
        <v>1659.34</v>
      </c>
      <c r="L73" s="84">
        <f t="shared" si="15"/>
        <v>1696.44</v>
      </c>
      <c r="M73" s="84">
        <f t="shared" si="15"/>
        <v>1704.74</v>
      </c>
      <c r="N73" s="84">
        <f t="shared" si="15"/>
        <v>1667.74</v>
      </c>
      <c r="O73" s="84">
        <f t="shared" si="15"/>
        <v>1671.94</v>
      </c>
      <c r="P73" s="84">
        <f t="shared" si="15"/>
        <v>1613.5400000000002</v>
      </c>
      <c r="Q73" s="84">
        <f t="shared" si="15"/>
        <v>1670.94</v>
      </c>
      <c r="R73" s="84">
        <f t="shared" si="15"/>
        <v>1708.94</v>
      </c>
      <c r="S73" s="84">
        <f t="shared" si="15"/>
        <v>1714.54</v>
      </c>
      <c r="T73" s="84">
        <f t="shared" si="15"/>
        <v>1713.04</v>
      </c>
      <c r="U73" s="84">
        <f t="shared" si="15"/>
        <v>1695.8400000000001</v>
      </c>
      <c r="V73" s="84">
        <f t="shared" si="15"/>
        <v>1700.44</v>
      </c>
      <c r="W73" s="84">
        <f t="shared" si="15"/>
        <v>1700.44</v>
      </c>
      <c r="X73" s="84">
        <f t="shared" si="15"/>
        <v>1689.44</v>
      </c>
      <c r="Y73" s="84">
        <f t="shared" si="15"/>
        <v>1680.8400000000001</v>
      </c>
      <c r="Z73" s="84">
        <f t="shared" si="15"/>
        <v>1672.5400000000002</v>
      </c>
      <c r="AA73" s="84">
        <f t="shared" si="15"/>
        <v>1714.8400000000001</v>
      </c>
      <c r="AB73" s="84">
        <f t="shared" si="15"/>
        <v>1732.64</v>
      </c>
      <c r="AC73" s="84">
        <f t="shared" si="15"/>
        <v>1735.44</v>
      </c>
      <c r="AD73" s="84">
        <f t="shared" si="15"/>
        <v>1723.94</v>
      </c>
      <c r="AE73" s="84">
        <f t="shared" si="15"/>
        <v>1700.7400000000002</v>
      </c>
      <c r="AF73" s="84">
        <f t="shared" si="15"/>
        <v>3.54</v>
      </c>
      <c r="AG73" s="84">
        <f t="shared" ref="AG73" si="16">AG68+AG56+AG52+AG38+AG72</f>
        <v>2144.14</v>
      </c>
      <c r="AH73" s="55">
        <f t="shared" si="2"/>
        <v>1735.44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20</v>
      </c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>
        <v>50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50</v>
      </c>
      <c r="AI74" s="56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7">B73+B74</f>
        <v>1726.5399999999997</v>
      </c>
      <c r="C75" s="84">
        <f t="shared" ref="C75:AF75" si="18">C73+C74</f>
        <v>1646.54</v>
      </c>
      <c r="D75" s="84">
        <f t="shared" si="18"/>
        <v>1691.94</v>
      </c>
      <c r="E75" s="84">
        <f t="shared" si="18"/>
        <v>1647.44</v>
      </c>
      <c r="F75" s="84">
        <f t="shared" si="18"/>
        <v>1693.8400000000001</v>
      </c>
      <c r="G75" s="84">
        <f t="shared" si="18"/>
        <v>3.54</v>
      </c>
      <c r="H75" s="84">
        <f t="shared" si="18"/>
        <v>1600.8400000000001</v>
      </c>
      <c r="I75" s="84">
        <f t="shared" si="18"/>
        <v>1622.8400000000001</v>
      </c>
      <c r="J75" s="84">
        <f t="shared" si="18"/>
        <v>1669.1399999999999</v>
      </c>
      <c r="K75" s="84">
        <f t="shared" si="18"/>
        <v>1659.34</v>
      </c>
      <c r="L75" s="84">
        <f t="shared" si="18"/>
        <v>1696.44</v>
      </c>
      <c r="M75" s="84">
        <f t="shared" si="18"/>
        <v>1704.74</v>
      </c>
      <c r="N75" s="84">
        <f t="shared" si="18"/>
        <v>1667.74</v>
      </c>
      <c r="O75" s="84">
        <f t="shared" si="18"/>
        <v>1671.94</v>
      </c>
      <c r="P75" s="84">
        <f t="shared" si="18"/>
        <v>1663.5400000000002</v>
      </c>
      <c r="Q75" s="84">
        <f t="shared" si="18"/>
        <v>1670.94</v>
      </c>
      <c r="R75" s="84">
        <f t="shared" si="18"/>
        <v>1708.94</v>
      </c>
      <c r="S75" s="84">
        <f t="shared" si="18"/>
        <v>1714.54</v>
      </c>
      <c r="T75" s="84">
        <f t="shared" si="18"/>
        <v>1713.04</v>
      </c>
      <c r="U75" s="84">
        <f t="shared" si="18"/>
        <v>1695.8400000000001</v>
      </c>
      <c r="V75" s="84">
        <f t="shared" si="18"/>
        <v>1700.44</v>
      </c>
      <c r="W75" s="84">
        <f t="shared" si="18"/>
        <v>1700.44</v>
      </c>
      <c r="X75" s="84">
        <f t="shared" si="18"/>
        <v>1689.44</v>
      </c>
      <c r="Y75" s="84">
        <f t="shared" si="18"/>
        <v>1680.8400000000001</v>
      </c>
      <c r="Z75" s="84">
        <f t="shared" si="18"/>
        <v>1672.5400000000002</v>
      </c>
      <c r="AA75" s="84">
        <f t="shared" si="18"/>
        <v>1714.8400000000001</v>
      </c>
      <c r="AB75" s="84">
        <f t="shared" si="18"/>
        <v>1732.64</v>
      </c>
      <c r="AC75" s="84">
        <f t="shared" si="18"/>
        <v>1735.44</v>
      </c>
      <c r="AD75" s="84">
        <f t="shared" si="18"/>
        <v>1723.94</v>
      </c>
      <c r="AE75" s="84">
        <f t="shared" si="18"/>
        <v>1700.7400000000002</v>
      </c>
      <c r="AF75" s="84">
        <f t="shared" si="18"/>
        <v>3.54</v>
      </c>
      <c r="AG75" s="74">
        <f>AG72+AG68+AG56+AG52+AG38+AG74</f>
        <v>2144.14</v>
      </c>
      <c r="AH75" s="55">
        <f t="shared" si="2"/>
        <v>1735.44</v>
      </c>
      <c r="AI75" s="56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19">IF(B60&lt;0,B60*-1,0)</f>
        <v>0</v>
      </c>
      <c r="C76" s="78">
        <f t="shared" ref="C76:AF76" si="20">IF(C60&lt;0,C60*-1,0)</f>
        <v>0</v>
      </c>
      <c r="D76" s="78">
        <f t="shared" si="20"/>
        <v>0</v>
      </c>
      <c r="E76" s="78">
        <f t="shared" si="20"/>
        <v>0</v>
      </c>
      <c r="F76" s="78">
        <f t="shared" si="20"/>
        <v>0</v>
      </c>
      <c r="G76" s="78">
        <f t="shared" si="20"/>
        <v>0</v>
      </c>
      <c r="H76" s="78">
        <f t="shared" si="20"/>
        <v>0</v>
      </c>
      <c r="I76" s="78">
        <f t="shared" si="20"/>
        <v>0</v>
      </c>
      <c r="J76" s="78">
        <f t="shared" si="20"/>
        <v>0</v>
      </c>
      <c r="K76" s="78">
        <f t="shared" si="20"/>
        <v>0</v>
      </c>
      <c r="L76" s="78">
        <f t="shared" si="20"/>
        <v>0</v>
      </c>
      <c r="M76" s="78">
        <f t="shared" si="20"/>
        <v>0</v>
      </c>
      <c r="N76" s="78">
        <f t="shared" si="20"/>
        <v>0</v>
      </c>
      <c r="O76" s="78">
        <f t="shared" si="20"/>
        <v>0</v>
      </c>
      <c r="P76" s="78">
        <v>0</v>
      </c>
      <c r="Q76" s="78">
        <f t="shared" si="20"/>
        <v>0</v>
      </c>
      <c r="R76" s="78">
        <f t="shared" si="20"/>
        <v>0</v>
      </c>
      <c r="S76" s="78">
        <f t="shared" si="20"/>
        <v>0</v>
      </c>
      <c r="T76" s="78">
        <f t="shared" si="20"/>
        <v>0</v>
      </c>
      <c r="U76" s="78">
        <f t="shared" si="20"/>
        <v>0</v>
      </c>
      <c r="V76" s="78">
        <f t="shared" si="20"/>
        <v>0</v>
      </c>
      <c r="W76" s="78">
        <f t="shared" si="20"/>
        <v>0</v>
      </c>
      <c r="X76" s="78">
        <f t="shared" si="20"/>
        <v>0</v>
      </c>
      <c r="Y76" s="78">
        <f t="shared" si="20"/>
        <v>0</v>
      </c>
      <c r="Z76" s="78">
        <f t="shared" si="20"/>
        <v>0</v>
      </c>
      <c r="AA76" s="78">
        <f t="shared" si="20"/>
        <v>0</v>
      </c>
      <c r="AB76" s="78">
        <f t="shared" si="20"/>
        <v>0</v>
      </c>
      <c r="AC76" s="78">
        <f t="shared" si="20"/>
        <v>0</v>
      </c>
      <c r="AD76" s="78">
        <f t="shared" si="20"/>
        <v>0</v>
      </c>
      <c r="AE76" s="78">
        <f t="shared" si="20"/>
        <v>0</v>
      </c>
      <c r="AF76" s="78">
        <f t="shared" si="20"/>
        <v>0</v>
      </c>
      <c r="AG76" s="60"/>
      <c r="AH76" s="55">
        <f t="shared" ref="AH76:AH91" si="21">MAX(B76:AF76)</f>
        <v>0</v>
      </c>
      <c r="AI76" s="56">
        <f t="shared" ref="AI76:AI91" si="2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3">IF(B58&lt;0,B58*-1,0)</f>
        <v>0</v>
      </c>
      <c r="C77" s="78">
        <f t="shared" ref="C77:AF77" si="24">IF(C58&lt;0,C58*-1,0)</f>
        <v>0</v>
      </c>
      <c r="D77" s="78">
        <f t="shared" si="24"/>
        <v>0</v>
      </c>
      <c r="E77" s="78">
        <f t="shared" si="24"/>
        <v>0</v>
      </c>
      <c r="F77" s="78">
        <f t="shared" si="24"/>
        <v>0</v>
      </c>
      <c r="G77" s="78">
        <f t="shared" si="24"/>
        <v>0</v>
      </c>
      <c r="H77" s="78">
        <f t="shared" si="24"/>
        <v>0</v>
      </c>
      <c r="I77" s="78">
        <f t="shared" si="24"/>
        <v>0</v>
      </c>
      <c r="J77" s="78">
        <f t="shared" si="24"/>
        <v>0</v>
      </c>
      <c r="K77" s="78">
        <f t="shared" si="24"/>
        <v>0</v>
      </c>
      <c r="L77" s="78">
        <f t="shared" si="24"/>
        <v>0</v>
      </c>
      <c r="M77" s="78">
        <f t="shared" si="24"/>
        <v>0</v>
      </c>
      <c r="N77" s="78">
        <f t="shared" si="24"/>
        <v>0</v>
      </c>
      <c r="O77" s="78">
        <f t="shared" si="24"/>
        <v>0</v>
      </c>
      <c r="P77" s="78">
        <f t="shared" si="24"/>
        <v>0</v>
      </c>
      <c r="Q77" s="78">
        <f t="shared" si="24"/>
        <v>0</v>
      </c>
      <c r="R77" s="78">
        <f t="shared" si="24"/>
        <v>0</v>
      </c>
      <c r="S77" s="78">
        <f t="shared" si="24"/>
        <v>0</v>
      </c>
      <c r="T77" s="78">
        <f t="shared" si="24"/>
        <v>0</v>
      </c>
      <c r="U77" s="78">
        <f t="shared" si="24"/>
        <v>0</v>
      </c>
      <c r="V77" s="78">
        <f t="shared" si="24"/>
        <v>0</v>
      </c>
      <c r="W77" s="78">
        <f t="shared" si="24"/>
        <v>0</v>
      </c>
      <c r="X77" s="78">
        <f t="shared" si="24"/>
        <v>0</v>
      </c>
      <c r="Y77" s="78">
        <f t="shared" si="24"/>
        <v>0</v>
      </c>
      <c r="Z77" s="78">
        <f t="shared" si="24"/>
        <v>0</v>
      </c>
      <c r="AA77" s="78">
        <f t="shared" si="24"/>
        <v>0</v>
      </c>
      <c r="AB77" s="78">
        <f t="shared" si="24"/>
        <v>0</v>
      </c>
      <c r="AC77" s="78">
        <f t="shared" si="24"/>
        <v>0</v>
      </c>
      <c r="AD77" s="78">
        <f t="shared" si="24"/>
        <v>0</v>
      </c>
      <c r="AE77" s="78">
        <f t="shared" si="24"/>
        <v>0</v>
      </c>
      <c r="AF77" s="78">
        <f t="shared" si="24"/>
        <v>0</v>
      </c>
      <c r="AG77" s="64"/>
      <c r="AH77" s="55">
        <f t="shared" si="21"/>
        <v>0</v>
      </c>
      <c r="AI77" s="56">
        <f t="shared" si="2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5">IF(B61&lt;0,B61*-1,0)</f>
        <v>0</v>
      </c>
      <c r="C78" s="78">
        <f t="shared" ref="C78:AF78" si="26">IF(C61&lt;0,C61*-1,0)</f>
        <v>0</v>
      </c>
      <c r="D78" s="78">
        <f t="shared" si="26"/>
        <v>0</v>
      </c>
      <c r="E78" s="78">
        <f t="shared" si="26"/>
        <v>0</v>
      </c>
      <c r="F78" s="78">
        <f t="shared" si="26"/>
        <v>0</v>
      </c>
      <c r="G78" s="78">
        <f t="shared" si="26"/>
        <v>0</v>
      </c>
      <c r="H78" s="78">
        <f t="shared" si="26"/>
        <v>0</v>
      </c>
      <c r="I78" s="78">
        <f t="shared" si="26"/>
        <v>0</v>
      </c>
      <c r="J78" s="78">
        <f t="shared" si="26"/>
        <v>0</v>
      </c>
      <c r="K78" s="78">
        <f t="shared" si="26"/>
        <v>0</v>
      </c>
      <c r="L78" s="78">
        <f t="shared" si="26"/>
        <v>0</v>
      </c>
      <c r="M78" s="78">
        <f t="shared" si="26"/>
        <v>0</v>
      </c>
      <c r="N78" s="78">
        <f t="shared" si="26"/>
        <v>0</v>
      </c>
      <c r="O78" s="78">
        <f t="shared" si="26"/>
        <v>0</v>
      </c>
      <c r="P78" s="78">
        <f t="shared" si="26"/>
        <v>0</v>
      </c>
      <c r="Q78" s="78">
        <f t="shared" si="26"/>
        <v>0</v>
      </c>
      <c r="R78" s="78">
        <f t="shared" si="26"/>
        <v>0</v>
      </c>
      <c r="S78" s="78">
        <f t="shared" si="26"/>
        <v>0</v>
      </c>
      <c r="T78" s="78">
        <f t="shared" si="26"/>
        <v>0</v>
      </c>
      <c r="U78" s="78">
        <f t="shared" si="26"/>
        <v>0</v>
      </c>
      <c r="V78" s="78">
        <f t="shared" si="26"/>
        <v>0</v>
      </c>
      <c r="W78" s="78">
        <f t="shared" si="26"/>
        <v>0</v>
      </c>
      <c r="X78" s="78">
        <f t="shared" si="26"/>
        <v>0</v>
      </c>
      <c r="Y78" s="78">
        <f t="shared" si="26"/>
        <v>0</v>
      </c>
      <c r="Z78" s="78">
        <f t="shared" si="26"/>
        <v>0</v>
      </c>
      <c r="AA78" s="78">
        <f t="shared" si="26"/>
        <v>0</v>
      </c>
      <c r="AB78" s="78">
        <f t="shared" si="26"/>
        <v>0</v>
      </c>
      <c r="AC78" s="78">
        <f t="shared" si="26"/>
        <v>0</v>
      </c>
      <c r="AD78" s="78">
        <f t="shared" si="26"/>
        <v>0</v>
      </c>
      <c r="AE78" s="78">
        <f t="shared" si="26"/>
        <v>0</v>
      </c>
      <c r="AF78" s="78">
        <f t="shared" si="26"/>
        <v>0</v>
      </c>
      <c r="AG78" s="87"/>
      <c r="AH78" s="55">
        <f t="shared" si="21"/>
        <v>0</v>
      </c>
      <c r="AI78" s="56">
        <f t="shared" si="2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27">IF(B59&lt;0,B59*-1,0)</f>
        <v>373</v>
      </c>
      <c r="C79" s="78">
        <f t="shared" ref="C79:AF79" si="28">IF(C59&lt;0,C59*-1,0)</f>
        <v>335</v>
      </c>
      <c r="D79" s="78">
        <f t="shared" si="28"/>
        <v>367</v>
      </c>
      <c r="E79" s="78">
        <f t="shared" si="28"/>
        <v>364.2</v>
      </c>
      <c r="F79" s="78">
        <f t="shared" si="28"/>
        <v>390.3</v>
      </c>
      <c r="G79" s="78">
        <f t="shared" si="28"/>
        <v>0</v>
      </c>
      <c r="H79" s="78">
        <f t="shared" si="28"/>
        <v>400</v>
      </c>
      <c r="I79" s="78">
        <f t="shared" si="28"/>
        <v>393.5</v>
      </c>
      <c r="J79" s="78">
        <f t="shared" si="28"/>
        <v>409.7</v>
      </c>
      <c r="K79" s="78">
        <f t="shared" si="28"/>
        <v>360.7</v>
      </c>
      <c r="L79" s="78">
        <f t="shared" si="28"/>
        <v>411</v>
      </c>
      <c r="M79" s="78">
        <f t="shared" si="28"/>
        <v>390</v>
      </c>
      <c r="N79" s="78">
        <f t="shared" si="28"/>
        <v>410.5</v>
      </c>
      <c r="O79" s="78">
        <f t="shared" si="28"/>
        <v>398</v>
      </c>
      <c r="P79" s="78">
        <f t="shared" si="28"/>
        <v>383</v>
      </c>
      <c r="Q79" s="78">
        <f t="shared" si="28"/>
        <v>375.5</v>
      </c>
      <c r="R79" s="78">
        <f t="shared" si="28"/>
        <v>389.7</v>
      </c>
      <c r="S79" s="78">
        <f t="shared" si="28"/>
        <v>380</v>
      </c>
      <c r="T79" s="78">
        <f t="shared" si="28"/>
        <v>398</v>
      </c>
      <c r="U79" s="78">
        <f t="shared" si="28"/>
        <v>425</v>
      </c>
      <c r="V79" s="78">
        <f t="shared" si="28"/>
        <v>409</v>
      </c>
      <c r="W79" s="78">
        <f t="shared" si="28"/>
        <v>400</v>
      </c>
      <c r="X79" s="78">
        <f t="shared" si="28"/>
        <v>360</v>
      </c>
      <c r="Y79" s="78">
        <f t="shared" si="28"/>
        <v>325</v>
      </c>
      <c r="Z79" s="78">
        <f t="shared" si="28"/>
        <v>276</v>
      </c>
      <c r="AA79" s="78">
        <f t="shared" si="28"/>
        <v>252</v>
      </c>
      <c r="AB79" s="78">
        <f t="shared" si="28"/>
        <v>277</v>
      </c>
      <c r="AC79" s="78">
        <f t="shared" si="28"/>
        <v>276</v>
      </c>
      <c r="AD79" s="78">
        <f t="shared" si="28"/>
        <v>286</v>
      </c>
      <c r="AE79" s="78">
        <f t="shared" si="28"/>
        <v>353</v>
      </c>
      <c r="AF79" s="78">
        <f t="shared" si="28"/>
        <v>0</v>
      </c>
      <c r="AG79" s="87"/>
      <c r="AH79" s="55">
        <f t="shared" si="21"/>
        <v>425</v>
      </c>
      <c r="AI79" s="56">
        <f t="shared" si="2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29">IF(B57&lt;0,B57*-1,0)</f>
        <v>0</v>
      </c>
      <c r="C80" s="78">
        <f t="shared" ref="C80:AF80" si="30">IF(C57&lt;0,C57*-1,0)</f>
        <v>0</v>
      </c>
      <c r="D80" s="78">
        <f t="shared" si="30"/>
        <v>0</v>
      </c>
      <c r="E80" s="78">
        <f t="shared" si="30"/>
        <v>0</v>
      </c>
      <c r="F80" s="78">
        <f t="shared" si="30"/>
        <v>0</v>
      </c>
      <c r="G80" s="78">
        <f t="shared" si="30"/>
        <v>0</v>
      </c>
      <c r="H80" s="78">
        <f t="shared" si="30"/>
        <v>0</v>
      </c>
      <c r="I80" s="78">
        <f t="shared" si="30"/>
        <v>0</v>
      </c>
      <c r="J80" s="78">
        <f t="shared" si="30"/>
        <v>0</v>
      </c>
      <c r="K80" s="78">
        <f t="shared" si="30"/>
        <v>0</v>
      </c>
      <c r="L80" s="78">
        <f t="shared" si="30"/>
        <v>0</v>
      </c>
      <c r="M80" s="78">
        <f t="shared" si="30"/>
        <v>0</v>
      </c>
      <c r="N80" s="78">
        <f t="shared" si="30"/>
        <v>0</v>
      </c>
      <c r="O80" s="78">
        <f t="shared" si="30"/>
        <v>0</v>
      </c>
      <c r="P80" s="78">
        <f t="shared" si="30"/>
        <v>0</v>
      </c>
      <c r="Q80" s="78">
        <f t="shared" si="30"/>
        <v>0</v>
      </c>
      <c r="R80" s="78">
        <f t="shared" si="30"/>
        <v>0</v>
      </c>
      <c r="S80" s="78">
        <f t="shared" si="30"/>
        <v>0</v>
      </c>
      <c r="T80" s="78">
        <f t="shared" si="30"/>
        <v>0</v>
      </c>
      <c r="U80" s="78">
        <f t="shared" si="30"/>
        <v>0</v>
      </c>
      <c r="V80" s="78">
        <f t="shared" si="30"/>
        <v>0</v>
      </c>
      <c r="W80" s="78">
        <f t="shared" si="30"/>
        <v>0</v>
      </c>
      <c r="X80" s="78">
        <f t="shared" si="30"/>
        <v>0</v>
      </c>
      <c r="Y80" s="78">
        <f t="shared" si="30"/>
        <v>0</v>
      </c>
      <c r="Z80" s="78">
        <f t="shared" si="30"/>
        <v>0</v>
      </c>
      <c r="AA80" s="78">
        <f t="shared" si="30"/>
        <v>0</v>
      </c>
      <c r="AB80" s="78">
        <f t="shared" si="30"/>
        <v>0</v>
      </c>
      <c r="AC80" s="78">
        <f t="shared" si="30"/>
        <v>0</v>
      </c>
      <c r="AD80" s="78">
        <f t="shared" si="30"/>
        <v>0</v>
      </c>
      <c r="AE80" s="78">
        <f t="shared" si="30"/>
        <v>0</v>
      </c>
      <c r="AF80" s="78">
        <f t="shared" si="30"/>
        <v>0</v>
      </c>
      <c r="AG80" s="87"/>
      <c r="AH80" s="55">
        <f t="shared" si="21"/>
        <v>0</v>
      </c>
      <c r="AI80" s="56">
        <f t="shared" si="2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1"/>
        <v>0</v>
      </c>
      <c r="AI81" s="56">
        <f t="shared" si="2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31">SUM(B76:B81)</f>
        <v>373</v>
      </c>
      <c r="C82" s="70">
        <f t="shared" ref="C82:AG82" si="32">SUM(C76:C81)</f>
        <v>335</v>
      </c>
      <c r="D82" s="70">
        <f t="shared" si="32"/>
        <v>367</v>
      </c>
      <c r="E82" s="70">
        <f t="shared" si="32"/>
        <v>364.2</v>
      </c>
      <c r="F82" s="70">
        <f t="shared" si="32"/>
        <v>390.3</v>
      </c>
      <c r="G82" s="70">
        <f t="shared" si="32"/>
        <v>0</v>
      </c>
      <c r="H82" s="70">
        <f t="shared" si="32"/>
        <v>400</v>
      </c>
      <c r="I82" s="70">
        <f t="shared" si="32"/>
        <v>393.5</v>
      </c>
      <c r="J82" s="70">
        <f t="shared" si="32"/>
        <v>409.7</v>
      </c>
      <c r="K82" s="70">
        <f t="shared" si="32"/>
        <v>360.7</v>
      </c>
      <c r="L82" s="70">
        <f t="shared" si="32"/>
        <v>411</v>
      </c>
      <c r="M82" s="70">
        <f t="shared" si="32"/>
        <v>390</v>
      </c>
      <c r="N82" s="70">
        <f t="shared" si="32"/>
        <v>410.5</v>
      </c>
      <c r="O82" s="70">
        <f t="shared" si="32"/>
        <v>398</v>
      </c>
      <c r="P82" s="70">
        <f t="shared" si="32"/>
        <v>383</v>
      </c>
      <c r="Q82" s="70">
        <f t="shared" si="32"/>
        <v>375.5</v>
      </c>
      <c r="R82" s="70">
        <f t="shared" si="32"/>
        <v>389.7</v>
      </c>
      <c r="S82" s="70">
        <f t="shared" si="32"/>
        <v>380</v>
      </c>
      <c r="T82" s="70">
        <f t="shared" si="32"/>
        <v>398</v>
      </c>
      <c r="U82" s="70">
        <f t="shared" si="32"/>
        <v>425</v>
      </c>
      <c r="V82" s="70">
        <f t="shared" si="32"/>
        <v>409</v>
      </c>
      <c r="W82" s="70">
        <f t="shared" si="32"/>
        <v>400</v>
      </c>
      <c r="X82" s="70">
        <f t="shared" si="32"/>
        <v>360</v>
      </c>
      <c r="Y82" s="70">
        <f t="shared" si="32"/>
        <v>325</v>
      </c>
      <c r="Z82" s="70">
        <f t="shared" si="32"/>
        <v>276</v>
      </c>
      <c r="AA82" s="70">
        <f t="shared" si="32"/>
        <v>252</v>
      </c>
      <c r="AB82" s="70">
        <f t="shared" si="32"/>
        <v>277</v>
      </c>
      <c r="AC82" s="70">
        <f t="shared" si="32"/>
        <v>276</v>
      </c>
      <c r="AD82" s="70">
        <f t="shared" si="32"/>
        <v>286</v>
      </c>
      <c r="AE82" s="70">
        <f t="shared" si="32"/>
        <v>353</v>
      </c>
      <c r="AF82" s="70">
        <f t="shared" si="32"/>
        <v>0</v>
      </c>
      <c r="AG82" s="74">
        <f t="shared" si="32"/>
        <v>0</v>
      </c>
      <c r="AH82" s="55">
        <f t="shared" si="21"/>
        <v>425</v>
      </c>
      <c r="AI82" s="56">
        <f t="shared" si="22"/>
        <v>0</v>
      </c>
      <c r="AK82" s="57"/>
    </row>
    <row r="83" spans="1:88" s="1" customFormat="1" ht="15.75" thickBot="1" x14ac:dyDescent="0.3">
      <c r="A83" s="69" t="s">
        <v>88</v>
      </c>
      <c r="B83" s="70">
        <f t="shared" ref="B83" si="33">B68-B82</f>
        <v>-277.2</v>
      </c>
      <c r="C83" s="70">
        <f t="shared" ref="C83:AF83" si="34">C68-C82</f>
        <v>-248.9</v>
      </c>
      <c r="D83" s="70">
        <f t="shared" si="34"/>
        <v>-278.8</v>
      </c>
      <c r="E83" s="70">
        <f t="shared" si="34"/>
        <v>-278.7</v>
      </c>
      <c r="F83" s="70">
        <f t="shared" si="34"/>
        <v>-322.20000000000005</v>
      </c>
      <c r="G83" s="70">
        <f t="shared" si="34"/>
        <v>0</v>
      </c>
      <c r="H83" s="70">
        <f t="shared" si="34"/>
        <v>-338</v>
      </c>
      <c r="I83" s="70">
        <f t="shared" si="34"/>
        <v>-354.5</v>
      </c>
      <c r="J83" s="70">
        <f t="shared" si="34"/>
        <v>-370.4</v>
      </c>
      <c r="K83" s="70">
        <f t="shared" si="34"/>
        <v>-301.59999999999997</v>
      </c>
      <c r="L83" s="70">
        <f t="shared" si="34"/>
        <v>-360.4</v>
      </c>
      <c r="M83" s="70">
        <f t="shared" si="34"/>
        <v>-340.6</v>
      </c>
      <c r="N83" s="70">
        <f t="shared" si="34"/>
        <v>-369.7</v>
      </c>
      <c r="O83" s="70">
        <f t="shared" si="34"/>
        <v>-356</v>
      </c>
      <c r="P83" s="70">
        <f t="shared" si="34"/>
        <v>-281</v>
      </c>
      <c r="Q83" s="70">
        <f t="shared" si="34"/>
        <v>-302</v>
      </c>
      <c r="R83" s="70">
        <f t="shared" si="34"/>
        <v>-316.29999999999995</v>
      </c>
      <c r="S83" s="70">
        <f t="shared" si="34"/>
        <v>-303.8</v>
      </c>
      <c r="T83" s="70">
        <f t="shared" si="34"/>
        <v>-323.10000000000002</v>
      </c>
      <c r="U83" s="70">
        <f t="shared" si="34"/>
        <v>-368.1</v>
      </c>
      <c r="V83" s="70">
        <f t="shared" si="34"/>
        <v>-347.4</v>
      </c>
      <c r="W83" s="70">
        <f t="shared" si="34"/>
        <v>-338.4</v>
      </c>
      <c r="X83" s="70">
        <f t="shared" si="34"/>
        <v>-298.39999999999998</v>
      </c>
      <c r="Y83" s="70">
        <f t="shared" si="34"/>
        <v>-271.3</v>
      </c>
      <c r="Z83" s="70">
        <f t="shared" si="34"/>
        <v>-230.6</v>
      </c>
      <c r="AA83" s="70">
        <f t="shared" si="34"/>
        <v>-179.1</v>
      </c>
      <c r="AB83" s="70">
        <f t="shared" si="34"/>
        <v>-186.3</v>
      </c>
      <c r="AC83" s="70">
        <f t="shared" si="34"/>
        <v>-182.5</v>
      </c>
      <c r="AD83" s="70">
        <f t="shared" si="34"/>
        <v>-204</v>
      </c>
      <c r="AE83" s="70">
        <f t="shared" si="34"/>
        <v>-274.60000000000002</v>
      </c>
      <c r="AF83" s="70">
        <f t="shared" si="34"/>
        <v>0</v>
      </c>
      <c r="AG83" s="74">
        <f t="shared" ref="AG83" si="35">SUM(AG70:AG82)</f>
        <v>4360.08</v>
      </c>
      <c r="AH83" s="55">
        <f t="shared" si="21"/>
        <v>0</v>
      </c>
      <c r="AI83" s="56">
        <f t="shared" si="22"/>
        <v>-370.4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</v>
      </c>
      <c r="C84" s="90">
        <v>49.99</v>
      </c>
      <c r="D84" s="90">
        <v>49.93</v>
      </c>
      <c r="E84" s="90">
        <v>49.954000000000001</v>
      </c>
      <c r="F84" s="90">
        <v>49.968000000000004</v>
      </c>
      <c r="G84" s="90"/>
      <c r="H84" s="90">
        <v>49.98</v>
      </c>
      <c r="I84" s="90">
        <v>50</v>
      </c>
      <c r="J84" s="90">
        <v>49.951999999999998</v>
      </c>
      <c r="K84" s="90">
        <v>50.064999999999998</v>
      </c>
      <c r="L84" s="90">
        <v>50.06</v>
      </c>
      <c r="M84" s="90">
        <v>49.988999999999997</v>
      </c>
      <c r="N84" s="90">
        <v>50.000999999999998</v>
      </c>
      <c r="O84" s="90">
        <v>49.994</v>
      </c>
      <c r="P84" s="90">
        <v>49.850999999999999</v>
      </c>
      <c r="Q84" s="90">
        <v>50.02</v>
      </c>
      <c r="R84" s="90">
        <v>49.976999999999997</v>
      </c>
      <c r="S84" s="90">
        <v>50</v>
      </c>
      <c r="T84" s="90">
        <v>50.02</v>
      </c>
      <c r="U84" s="90">
        <v>49.97</v>
      </c>
      <c r="V84" s="90">
        <v>49.96</v>
      </c>
      <c r="W84" s="90">
        <v>50</v>
      </c>
      <c r="X84" s="90">
        <v>49.96</v>
      </c>
      <c r="Y84" s="90">
        <v>50</v>
      </c>
      <c r="Z84" s="90">
        <v>50.03</v>
      </c>
      <c r="AA84" s="90">
        <v>50.02</v>
      </c>
      <c r="AB84" s="90">
        <v>49.98</v>
      </c>
      <c r="AC84" s="90">
        <v>49.901000000000003</v>
      </c>
      <c r="AD84" s="90">
        <v>49.956000000000003</v>
      </c>
      <c r="AE84" s="90">
        <v>49.969000000000001</v>
      </c>
      <c r="AF84" s="90"/>
      <c r="AG84" s="91"/>
      <c r="AH84" s="55">
        <f t="shared" si="21"/>
        <v>50.064999999999998</v>
      </c>
      <c r="AI84" s="56">
        <f t="shared" si="22"/>
        <v>49.850999999999999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124.4</v>
      </c>
      <c r="C85" s="49">
        <v>122.9</v>
      </c>
      <c r="D85" s="49">
        <v>122.8</v>
      </c>
      <c r="E85" s="49">
        <v>122.4</v>
      </c>
      <c r="F85" s="49">
        <v>123.3</v>
      </c>
      <c r="G85" s="49"/>
      <c r="H85" s="49">
        <v>123.3</v>
      </c>
      <c r="I85" s="49">
        <v>123.3</v>
      </c>
      <c r="J85" s="49">
        <v>122.5</v>
      </c>
      <c r="K85" s="49">
        <v>121.8</v>
      </c>
      <c r="L85" s="49">
        <v>121.6</v>
      </c>
      <c r="M85" s="49">
        <v>123.4</v>
      </c>
      <c r="N85" s="49">
        <v>123.5</v>
      </c>
      <c r="O85" s="49">
        <v>123.9</v>
      </c>
      <c r="P85" s="49">
        <v>123</v>
      </c>
      <c r="Q85" s="49">
        <v>123.9</v>
      </c>
      <c r="R85" s="49">
        <v>123</v>
      </c>
      <c r="S85" s="49">
        <v>123.6</v>
      </c>
      <c r="T85" s="49">
        <v>124.5</v>
      </c>
      <c r="U85" s="49">
        <v>124.5</v>
      </c>
      <c r="V85" s="49">
        <v>125.1</v>
      </c>
      <c r="W85" s="49">
        <v>125.4</v>
      </c>
      <c r="X85" s="49">
        <v>125.2</v>
      </c>
      <c r="Y85" s="49">
        <v>125</v>
      </c>
      <c r="Z85" s="49">
        <v>124</v>
      </c>
      <c r="AA85" s="49">
        <v>124.5</v>
      </c>
      <c r="AB85" s="49">
        <v>124.6</v>
      </c>
      <c r="AC85" s="49">
        <v>124.1</v>
      </c>
      <c r="AD85" s="49">
        <v>123.7</v>
      </c>
      <c r="AE85" s="49">
        <v>123.7</v>
      </c>
      <c r="AF85" s="49"/>
      <c r="AG85" s="93"/>
      <c r="AH85" s="55">
        <f t="shared" si="21"/>
        <v>125.4</v>
      </c>
      <c r="AI85" s="56">
        <f t="shared" si="22"/>
        <v>121.6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129.6</v>
      </c>
      <c r="C86" s="49">
        <v>128.1</v>
      </c>
      <c r="D86" s="49">
        <v>128.19999999999999</v>
      </c>
      <c r="E86" s="49">
        <v>128</v>
      </c>
      <c r="F86" s="49">
        <v>128.19999999999999</v>
      </c>
      <c r="G86" s="49"/>
      <c r="H86" s="49">
        <v>128.19999999999999</v>
      </c>
      <c r="I86" s="49">
        <v>128.19999999999999</v>
      </c>
      <c r="J86" s="49">
        <v>127.8</v>
      </c>
      <c r="K86" s="49">
        <v>126.7</v>
      </c>
      <c r="L86" s="49">
        <v>126</v>
      </c>
      <c r="M86" s="49">
        <v>128.19999999999999</v>
      </c>
      <c r="N86" s="49">
        <v>128.1</v>
      </c>
      <c r="O86" s="49">
        <v>128.30000000000001</v>
      </c>
      <c r="P86" s="49">
        <v>128.19999999999999</v>
      </c>
      <c r="Q86" s="49">
        <v>128.69999999999999</v>
      </c>
      <c r="R86" s="49">
        <v>127.9</v>
      </c>
      <c r="S86" s="49">
        <v>128.6</v>
      </c>
      <c r="T86" s="49">
        <v>129.4</v>
      </c>
      <c r="U86" s="49">
        <v>129.19999999999999</v>
      </c>
      <c r="V86" s="49">
        <v>129.4</v>
      </c>
      <c r="W86" s="49">
        <v>129.5</v>
      </c>
      <c r="X86" s="49">
        <v>129.5</v>
      </c>
      <c r="Y86" s="49">
        <v>129.4</v>
      </c>
      <c r="Z86" s="49">
        <v>128.4</v>
      </c>
      <c r="AA86" s="49">
        <v>129.1</v>
      </c>
      <c r="AB86" s="49">
        <v>129.1</v>
      </c>
      <c r="AC86" s="49">
        <v>129</v>
      </c>
      <c r="AD86" s="49">
        <v>128.80000000000001</v>
      </c>
      <c r="AE86" s="49">
        <v>129.30000000000001</v>
      </c>
      <c r="AF86" s="49">
        <f>62.2+80.3-50.5-69.5</f>
        <v>22.5</v>
      </c>
      <c r="AG86" s="93"/>
      <c r="AH86" s="55">
        <f t="shared" si="21"/>
        <v>129.6</v>
      </c>
      <c r="AI86" s="56">
        <f t="shared" si="22"/>
        <v>22.5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129</v>
      </c>
      <c r="C87" s="49">
        <v>129.5</v>
      </c>
      <c r="D87" s="49">
        <v>128.19999999999999</v>
      </c>
      <c r="E87" s="49">
        <v>127.1</v>
      </c>
      <c r="F87" s="49">
        <v>130.4</v>
      </c>
      <c r="G87" s="49"/>
      <c r="H87" s="49">
        <v>130.4</v>
      </c>
      <c r="I87" s="49">
        <v>130.4</v>
      </c>
      <c r="J87" s="49">
        <v>126.6</v>
      </c>
      <c r="K87" s="49">
        <v>127.2</v>
      </c>
      <c r="L87" s="49">
        <v>127</v>
      </c>
      <c r="M87" s="49">
        <v>124.8</v>
      </c>
      <c r="N87" s="49">
        <v>128.5</v>
      </c>
      <c r="O87" s="49">
        <v>126.5</v>
      </c>
      <c r="P87" s="49">
        <v>126.5</v>
      </c>
      <c r="Q87" s="49">
        <v>128.9</v>
      </c>
      <c r="R87" s="49">
        <v>128.1</v>
      </c>
      <c r="S87" s="49"/>
      <c r="T87" s="49">
        <v>128.80000000000001</v>
      </c>
      <c r="U87" s="49"/>
      <c r="V87" s="49"/>
      <c r="W87" s="49"/>
      <c r="X87" s="49"/>
      <c r="Y87" s="49"/>
      <c r="Z87" s="49"/>
      <c r="AA87" s="49"/>
      <c r="AB87" s="49">
        <v>128.4</v>
      </c>
      <c r="AC87" s="49">
        <v>127.2</v>
      </c>
      <c r="AD87" s="49">
        <v>126.2</v>
      </c>
      <c r="AE87" s="49">
        <v>126.8</v>
      </c>
      <c r="AF87" s="49"/>
      <c r="AG87" s="93"/>
      <c r="AH87" s="55">
        <f t="shared" si="21"/>
        <v>130.4</v>
      </c>
      <c r="AI87" s="56">
        <f t="shared" si="22"/>
        <v>124.8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21"/>
        <v>0</v>
      </c>
      <c r="AI88" s="56">
        <f t="shared" si="22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132.6</v>
      </c>
      <c r="C89" s="95">
        <v>133</v>
      </c>
      <c r="D89" s="95">
        <v>132.30000000000001</v>
      </c>
      <c r="E89" s="95">
        <v>132.4</v>
      </c>
      <c r="F89" s="95">
        <v>133.19999999999999</v>
      </c>
      <c r="G89" s="95"/>
      <c r="H89" s="95">
        <v>133.19999999999999</v>
      </c>
      <c r="I89" s="95">
        <v>133.19999999999999</v>
      </c>
      <c r="J89" s="95">
        <v>132.9</v>
      </c>
      <c r="K89" s="95">
        <v>132.5</v>
      </c>
      <c r="L89" s="95">
        <v>132.80000000000001</v>
      </c>
      <c r="M89" s="95">
        <v>132.4</v>
      </c>
      <c r="N89" s="95">
        <v>130.19999999999999</v>
      </c>
      <c r="O89" s="95">
        <v>132.19999999999999</v>
      </c>
      <c r="P89" s="95">
        <v>129.6</v>
      </c>
      <c r="Q89" s="95">
        <v>130.19999999999999</v>
      </c>
      <c r="R89" s="95">
        <v>135</v>
      </c>
      <c r="S89" s="95">
        <v>131.19999999999999</v>
      </c>
      <c r="T89" s="95">
        <v>130.6</v>
      </c>
      <c r="U89" s="95">
        <v>132.6</v>
      </c>
      <c r="V89" s="95">
        <v>131.9</v>
      </c>
      <c r="W89" s="95">
        <v>130.6</v>
      </c>
      <c r="X89" s="95">
        <v>129</v>
      </c>
      <c r="Y89" s="95">
        <v>132.69999999999999</v>
      </c>
      <c r="Z89" s="95">
        <v>133.9</v>
      </c>
      <c r="AA89" s="95">
        <v>133.30000000000001</v>
      </c>
      <c r="AB89" s="95">
        <v>132.1</v>
      </c>
      <c r="AC89" s="95">
        <v>132.80000000000001</v>
      </c>
      <c r="AD89" s="95">
        <v>129.5</v>
      </c>
      <c r="AE89" s="95">
        <v>132.69999999999999</v>
      </c>
      <c r="AF89" s="95"/>
      <c r="AG89" s="96"/>
      <c r="AH89" s="55">
        <f t="shared" si="21"/>
        <v>135</v>
      </c>
      <c r="AI89" s="56">
        <f t="shared" si="22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131.80000000000001</v>
      </c>
      <c r="C90" s="49">
        <v>129.69999999999999</v>
      </c>
      <c r="D90" s="49">
        <v>131.6</v>
      </c>
      <c r="E90" s="49">
        <v>129</v>
      </c>
      <c r="F90" s="49">
        <v>134</v>
      </c>
      <c r="G90" s="49"/>
      <c r="H90" s="49">
        <v>134</v>
      </c>
      <c r="I90" s="49">
        <v>134</v>
      </c>
      <c r="J90" s="49">
        <v>127.7</v>
      </c>
      <c r="K90" s="49">
        <v>128.6</v>
      </c>
      <c r="L90" s="49">
        <v>129</v>
      </c>
      <c r="M90" s="49">
        <v>128.6</v>
      </c>
      <c r="N90" s="49">
        <v>128.6</v>
      </c>
      <c r="O90" s="49">
        <v>130.30000000000001</v>
      </c>
      <c r="P90" s="49">
        <v>130.30000000000001</v>
      </c>
      <c r="Q90" s="49">
        <v>122.7</v>
      </c>
      <c r="R90" s="49">
        <v>123</v>
      </c>
      <c r="S90" s="49">
        <v>130.69999999999999</v>
      </c>
      <c r="T90" s="49">
        <v>124.2</v>
      </c>
      <c r="U90" s="49">
        <v>129.30000000000001</v>
      </c>
      <c r="V90" s="49">
        <v>125.7</v>
      </c>
      <c r="W90" s="49">
        <v>128.19999999999999</v>
      </c>
      <c r="X90" s="49">
        <v>128.30000000000001</v>
      </c>
      <c r="Y90" s="49">
        <v>128.30000000000001</v>
      </c>
      <c r="Z90" s="49">
        <v>129.80000000000001</v>
      </c>
      <c r="AA90" s="49">
        <v>121.9</v>
      </c>
      <c r="AB90" s="49">
        <v>130</v>
      </c>
      <c r="AC90" s="49">
        <v>129.1</v>
      </c>
      <c r="AD90" s="49">
        <v>125.2</v>
      </c>
      <c r="AE90" s="49">
        <v>126.3</v>
      </c>
      <c r="AF90" s="49"/>
      <c r="AG90" s="93"/>
      <c r="AH90" s="55">
        <f t="shared" si="21"/>
        <v>134</v>
      </c>
      <c r="AI90" s="56">
        <f t="shared" si="22"/>
        <v>121.9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65.2</v>
      </c>
      <c r="C91" s="97">
        <v>64.5</v>
      </c>
      <c r="D91" s="97">
        <v>64.5</v>
      </c>
      <c r="E91" s="97">
        <v>64.400000000000006</v>
      </c>
      <c r="F91" s="97">
        <v>64.5</v>
      </c>
      <c r="G91" s="97"/>
      <c r="H91" s="97">
        <v>64.5</v>
      </c>
      <c r="I91" s="97">
        <v>64.5</v>
      </c>
      <c r="J91" s="97">
        <v>64.599999999999994</v>
      </c>
      <c r="K91" s="97">
        <v>63.8</v>
      </c>
      <c r="L91" s="97">
        <v>63.9</v>
      </c>
      <c r="M91" s="97">
        <v>65</v>
      </c>
      <c r="N91" s="97">
        <v>65</v>
      </c>
      <c r="O91" s="97">
        <v>64.8</v>
      </c>
      <c r="P91" s="97">
        <v>64.7</v>
      </c>
      <c r="Q91" s="97">
        <v>64.900000000000006</v>
      </c>
      <c r="R91" s="97">
        <v>64.5</v>
      </c>
      <c r="S91" s="97">
        <v>64.5</v>
      </c>
      <c r="T91" s="97">
        <v>65.5</v>
      </c>
      <c r="U91" s="97">
        <v>65.099999999999994</v>
      </c>
      <c r="V91" s="97">
        <v>65.3</v>
      </c>
      <c r="W91" s="97">
        <v>65.400000000000006</v>
      </c>
      <c r="X91" s="97">
        <v>65.400000000000006</v>
      </c>
      <c r="Y91" s="97">
        <v>65.400000000000006</v>
      </c>
      <c r="Z91" s="97">
        <v>64.900000000000006</v>
      </c>
      <c r="AA91" s="97">
        <v>64.7</v>
      </c>
      <c r="AB91" s="97">
        <v>65.099999999999994</v>
      </c>
      <c r="AC91" s="97">
        <v>65.3</v>
      </c>
      <c r="AD91" s="97">
        <v>65</v>
      </c>
      <c r="AE91" s="97">
        <v>65.3</v>
      </c>
      <c r="AF91" s="97"/>
      <c r="AG91" s="98"/>
      <c r="AH91" s="55">
        <f t="shared" si="21"/>
        <v>65.5</v>
      </c>
      <c r="AI91" s="56">
        <f t="shared" si="22"/>
        <v>63.8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" si="36">SUM(B15,B18,B21:B22,B42,B44:B45,B47,B49,B94:B97,B103,B109,B115,B124,B126,B138,B145,B148:B149,B156,B158,B160,B164:B166,B168:B170,B175,B181:B182,B184:B186,B194,B199)</f>
        <v>139.94</v>
      </c>
      <c r="C93" s="103">
        <f t="shared" ref="C93:AF93" si="37">SUM(C15,C18,C21:C22,C42,C44:C45,C47,C49,C94:C97,C103,C109,C115,C124,C126,C138,C145,C148:C149,C156,C158,C160,C164:C166,C168:C170,C175,C181:C182,C184:C186,C194,C199)</f>
        <v>120.54</v>
      </c>
      <c r="D93" s="103">
        <f t="shared" si="37"/>
        <v>122.63999999999997</v>
      </c>
      <c r="E93" s="103">
        <f t="shared" si="37"/>
        <v>119.33999999999996</v>
      </c>
      <c r="F93" s="103">
        <f t="shared" si="37"/>
        <v>116.53999999999998</v>
      </c>
      <c r="G93" s="103">
        <f t="shared" si="37"/>
        <v>34.840000000000003</v>
      </c>
      <c r="H93" s="103">
        <f t="shared" si="37"/>
        <v>85.64</v>
      </c>
      <c r="I93" s="103">
        <f t="shared" si="37"/>
        <v>105.63999999999997</v>
      </c>
      <c r="J93" s="103">
        <f t="shared" si="37"/>
        <v>177.43999999999997</v>
      </c>
      <c r="K93" s="103">
        <f t="shared" si="37"/>
        <v>186.43999999999997</v>
      </c>
      <c r="L93" s="103">
        <f t="shared" si="37"/>
        <v>200.03999999999996</v>
      </c>
      <c r="M93" s="103">
        <f t="shared" si="37"/>
        <v>224.83999999999997</v>
      </c>
      <c r="N93" s="103">
        <f t="shared" si="37"/>
        <v>238.23999999999998</v>
      </c>
      <c r="O93" s="103">
        <f t="shared" si="37"/>
        <v>217.34000000000003</v>
      </c>
      <c r="P93" s="103">
        <f t="shared" si="37"/>
        <v>221.04</v>
      </c>
      <c r="Q93" s="103">
        <f t="shared" si="37"/>
        <v>313.64000000000004</v>
      </c>
      <c r="R93" s="103">
        <f t="shared" si="37"/>
        <v>208.04000000000002</v>
      </c>
      <c r="S93" s="103">
        <f t="shared" si="37"/>
        <v>224.14000000000001</v>
      </c>
      <c r="T93" s="103">
        <f t="shared" si="37"/>
        <v>222.54</v>
      </c>
      <c r="U93" s="103">
        <f t="shared" si="37"/>
        <v>197.94</v>
      </c>
      <c r="V93" s="103">
        <f t="shared" si="37"/>
        <v>206.94</v>
      </c>
      <c r="W93" s="103">
        <f>SUM(W15,W18,W21:W22,W42,W44:W45,W47,W49,W94:W97,W103,W109,W115,W124,W126,W138,W145,W148:W149,W156,W158,W160,W164:W166,W168:W170,W175,W181:W182,W184:W186,W194,W199)</f>
        <v>217.04</v>
      </c>
      <c r="X93" s="103">
        <f>SUM(X15,X18,X21:X22,X42,X44:X45,X47,X49,X94:X97,X103,X109,X115,X124,X126,X138,X145,X148:X149,X156,X158,X160,X164:X166,X168:X170,X175,X181:X182,X184:X186,X194,X199)</f>
        <v>219.84000000000003</v>
      </c>
      <c r="Y93" s="103">
        <f t="shared" si="37"/>
        <v>223.33999999999997</v>
      </c>
      <c r="Z93" s="103">
        <f t="shared" si="37"/>
        <v>267.04000000000002</v>
      </c>
      <c r="AA93" s="103">
        <f t="shared" si="37"/>
        <v>297.74000000000007</v>
      </c>
      <c r="AB93" s="103">
        <f t="shared" si="37"/>
        <v>278.6400000000001</v>
      </c>
      <c r="AC93" s="103">
        <f t="shared" si="37"/>
        <v>263.44000000000005</v>
      </c>
      <c r="AD93" s="103">
        <f t="shared" si="37"/>
        <v>244.54</v>
      </c>
      <c r="AE93" s="103">
        <f t="shared" si="37"/>
        <v>204.64000000000001</v>
      </c>
      <c r="AF93" s="103">
        <f t="shared" si="37"/>
        <v>34.840000000000003</v>
      </c>
      <c r="AG93" s="104"/>
      <c r="AH93" s="55">
        <f>MAX(C93:AF93)</f>
        <v>313.64000000000004</v>
      </c>
      <c r="AI93" s="56">
        <f>MIN(C93:AF93)</f>
        <v>34.840000000000003</v>
      </c>
    </row>
    <row r="94" spans="1:88" x14ac:dyDescent="0.25">
      <c r="A94" s="105" t="s">
        <v>98</v>
      </c>
      <c r="B94" s="106">
        <v>16.7</v>
      </c>
      <c r="C94" s="106">
        <v>17.600000000000001</v>
      </c>
      <c r="D94" s="106">
        <v>12.3</v>
      </c>
      <c r="E94" s="106">
        <v>16</v>
      </c>
      <c r="F94" s="106">
        <v>18.5</v>
      </c>
      <c r="G94" s="106"/>
      <c r="H94" s="106">
        <v>18.5</v>
      </c>
      <c r="I94" s="106">
        <v>18.5</v>
      </c>
      <c r="J94" s="106">
        <v>25.5</v>
      </c>
      <c r="K94" s="106">
        <v>17</v>
      </c>
      <c r="L94" s="106">
        <v>36.299999999999997</v>
      </c>
      <c r="M94" s="106">
        <v>23.6</v>
      </c>
      <c r="N94" s="106">
        <v>20.399999999999999</v>
      </c>
      <c r="O94" s="106">
        <v>26.8</v>
      </c>
      <c r="P94" s="106">
        <v>21.6</v>
      </c>
      <c r="Q94" s="106">
        <v>25.3</v>
      </c>
      <c r="R94" s="106">
        <v>35.4</v>
      </c>
      <c r="S94" s="106">
        <v>28.5</v>
      </c>
      <c r="T94" s="106">
        <v>22.6</v>
      </c>
      <c r="U94" s="106">
        <v>22.9</v>
      </c>
      <c r="V94" s="106">
        <v>21.1</v>
      </c>
      <c r="W94" s="106">
        <v>19.8</v>
      </c>
      <c r="X94" s="106">
        <v>20.8</v>
      </c>
      <c r="Y94" s="106">
        <v>20.7</v>
      </c>
      <c r="Z94" s="106">
        <v>25.3</v>
      </c>
      <c r="AA94" s="106">
        <v>22.4</v>
      </c>
      <c r="AB94" s="106">
        <v>20.8</v>
      </c>
      <c r="AC94" s="106">
        <v>24</v>
      </c>
      <c r="AD94" s="106">
        <v>21.2</v>
      </c>
      <c r="AE94" s="106">
        <v>16.3</v>
      </c>
      <c r="AF94" s="106"/>
      <c r="AG94" s="107">
        <v>75</v>
      </c>
      <c r="AH94" s="55">
        <f t="shared" ref="AH94:AH100" si="38">IF(ABS(MAX(C94:AF94))&gt;ABS(MIN(C94:AF94)),MAX(C94:AF94),MIN(C94:AF94))</f>
        <v>36.299999999999997</v>
      </c>
      <c r="AI94" s="108">
        <f t="shared" ref="AI94:AI100" si="39">INDEX($C$9:$AF$9,1,MATCH(AH94,C94:AF94,0))</f>
        <v>0.3125</v>
      </c>
    </row>
    <row r="95" spans="1:88" x14ac:dyDescent="0.25">
      <c r="A95" s="109" t="s">
        <v>99</v>
      </c>
      <c r="B95" s="110">
        <f>-62.4-75.7</f>
        <v>-138.1</v>
      </c>
      <c r="C95" s="110">
        <f>-43.1-51.5</f>
        <v>-94.6</v>
      </c>
      <c r="D95" s="110">
        <f>-62.4-74.8</f>
        <v>-137.19999999999999</v>
      </c>
      <c r="E95" s="110">
        <v>-143.19999999999999</v>
      </c>
      <c r="F95" s="110">
        <v>-143</v>
      </c>
      <c r="G95" s="110"/>
      <c r="H95" s="110">
        <v>-143</v>
      </c>
      <c r="I95" s="110">
        <v>-143</v>
      </c>
      <c r="J95" s="110">
        <v>-88</v>
      </c>
      <c r="K95" s="110">
        <v>-70</v>
      </c>
      <c r="L95" s="110">
        <v>-75</v>
      </c>
      <c r="M95" s="110">
        <f>-42.4-52.1</f>
        <v>-94.5</v>
      </c>
      <c r="N95" s="110">
        <f>-39.5-49.2</f>
        <v>-88.7</v>
      </c>
      <c r="O95" s="110">
        <f>-46.4-56.2</f>
        <v>-102.6</v>
      </c>
      <c r="P95" s="110">
        <f>-48-58</f>
        <v>-106</v>
      </c>
      <c r="Q95" s="110"/>
      <c r="R95" s="110">
        <f>-50-59.8</f>
        <v>-109.8</v>
      </c>
      <c r="S95" s="110">
        <f>-44.8-57.7</f>
        <v>-102.5</v>
      </c>
      <c r="T95" s="110">
        <f>-44.8-56.8</f>
        <v>-101.6</v>
      </c>
      <c r="U95" s="110">
        <f>-52.9-60.1</f>
        <v>-113</v>
      </c>
      <c r="V95" s="110">
        <f>-47.6-56.4</f>
        <v>-104</v>
      </c>
      <c r="W95" s="110">
        <f>-43.6-52.8</f>
        <v>-96.4</v>
      </c>
      <c r="X95" s="110">
        <f>-45-50.2</f>
        <v>-95.2</v>
      </c>
      <c r="Y95" s="110">
        <v>-93</v>
      </c>
      <c r="Z95" s="110">
        <f>-39.8-46.5</f>
        <v>-86.3</v>
      </c>
      <c r="AA95" s="110">
        <f>-31-43.1</f>
        <v>-74.099999999999994</v>
      </c>
      <c r="AB95" s="110">
        <f>-34.3-47.1</f>
        <v>-81.400000000000006</v>
      </c>
      <c r="AC95" s="110">
        <f>-38.3-51.4</f>
        <v>-89.699999999999989</v>
      </c>
      <c r="AD95" s="110">
        <f>-43.1-58.4</f>
        <v>-101.5</v>
      </c>
      <c r="AE95" s="110">
        <f>-37.4-55.1</f>
        <v>-92.5</v>
      </c>
      <c r="AF95" s="110"/>
      <c r="AG95" s="107">
        <v>240</v>
      </c>
      <c r="AH95" s="55">
        <f t="shared" si="38"/>
        <v>-143.19999999999999</v>
      </c>
      <c r="AI95" s="108">
        <f t="shared" si="39"/>
        <v>0.125</v>
      </c>
    </row>
    <row r="96" spans="1:88" x14ac:dyDescent="0.25">
      <c r="A96" s="109" t="s">
        <v>100</v>
      </c>
      <c r="B96" s="110">
        <v>16.399999999999999</v>
      </c>
      <c r="C96" s="110">
        <v>14</v>
      </c>
      <c r="D96" s="110">
        <v>3.1</v>
      </c>
      <c r="E96" s="110">
        <v>2.1</v>
      </c>
      <c r="F96" s="110">
        <v>-3.4</v>
      </c>
      <c r="G96" s="110"/>
      <c r="H96" s="110">
        <v>-3.4</v>
      </c>
      <c r="I96" s="110">
        <v>-3.4</v>
      </c>
      <c r="J96" s="110">
        <v>0.5</v>
      </c>
      <c r="K96" s="110">
        <v>0</v>
      </c>
      <c r="L96" s="110">
        <v>0</v>
      </c>
      <c r="M96" s="110">
        <v>8.9</v>
      </c>
      <c r="N96" s="110">
        <v>11</v>
      </c>
      <c r="O96" s="110">
        <v>9.1</v>
      </c>
      <c r="P96" s="110">
        <v>17.5</v>
      </c>
      <c r="Q96" s="110">
        <v>1.2</v>
      </c>
      <c r="R96" s="110">
        <v>-15.2</v>
      </c>
      <c r="S96" s="110">
        <v>0.8</v>
      </c>
      <c r="T96" s="110">
        <v>10.4</v>
      </c>
      <c r="U96" s="110">
        <v>1.9</v>
      </c>
      <c r="V96" s="110">
        <v>3.9</v>
      </c>
      <c r="W96" s="110">
        <v>4.2</v>
      </c>
      <c r="X96" s="110">
        <v>4.8</v>
      </c>
      <c r="Y96" s="110">
        <v>6.2</v>
      </c>
      <c r="Z96" s="110">
        <v>16.600000000000001</v>
      </c>
      <c r="AA96" s="110">
        <v>41.9</v>
      </c>
      <c r="AB96" s="110">
        <v>40.700000000000003</v>
      </c>
      <c r="AC96" s="110">
        <v>27.8</v>
      </c>
      <c r="AD96" s="110">
        <v>36.1</v>
      </c>
      <c r="AE96" s="110">
        <v>30.1</v>
      </c>
      <c r="AF96" s="110"/>
      <c r="AG96" s="107">
        <v>60</v>
      </c>
      <c r="AH96" s="55">
        <f t="shared" si="38"/>
        <v>41.9</v>
      </c>
      <c r="AI96" s="108">
        <f t="shared" si="39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/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39.700000000000003</v>
      </c>
      <c r="N97" s="112">
        <v>46.6</v>
      </c>
      <c r="O97" s="112">
        <v>32.799999999999997</v>
      </c>
      <c r="P97" s="112">
        <v>40.1</v>
      </c>
      <c r="Q97" s="112">
        <v>38.200000000000003</v>
      </c>
      <c r="R97" s="112">
        <v>48.9</v>
      </c>
      <c r="S97" s="112">
        <v>48.6</v>
      </c>
      <c r="T97" s="112">
        <v>44</v>
      </c>
      <c r="U97" s="112">
        <v>38.700000000000003</v>
      </c>
      <c r="V97" s="112">
        <v>38.5</v>
      </c>
      <c r="W97" s="112">
        <v>42</v>
      </c>
      <c r="X97" s="112">
        <v>42</v>
      </c>
      <c r="Y97" s="112">
        <v>42</v>
      </c>
      <c r="Z97" s="112">
        <v>64.3</v>
      </c>
      <c r="AA97" s="112">
        <v>56.8</v>
      </c>
      <c r="AB97" s="112">
        <v>47.8</v>
      </c>
      <c r="AC97" s="112">
        <v>50.6</v>
      </c>
      <c r="AD97" s="112">
        <v>38</v>
      </c>
      <c r="AE97" s="112">
        <v>0</v>
      </c>
      <c r="AF97" s="112"/>
      <c r="AG97" s="113">
        <v>120</v>
      </c>
      <c r="AH97" s="55">
        <f t="shared" si="38"/>
        <v>64.3</v>
      </c>
      <c r="AI97" s="108">
        <f t="shared" si="39"/>
        <v>0.79166666666666663</v>
      </c>
    </row>
    <row r="98" spans="1:37" x14ac:dyDescent="0.25">
      <c r="A98" s="111" t="s">
        <v>102</v>
      </c>
      <c r="B98" s="112">
        <v>15.8</v>
      </c>
      <c r="C98" s="112">
        <v>54</v>
      </c>
      <c r="D98" s="112">
        <v>27.3</v>
      </c>
      <c r="E98" s="112">
        <v>25.8</v>
      </c>
      <c r="F98" s="112">
        <v>33.700000000000003</v>
      </c>
      <c r="G98" s="112"/>
      <c r="H98" s="112">
        <v>33.700000000000003</v>
      </c>
      <c r="I98" s="112">
        <v>33.700000000000003</v>
      </c>
      <c r="J98" s="112">
        <v>46.6</v>
      </c>
      <c r="K98" s="112">
        <v>74.400000000000006</v>
      </c>
      <c r="L98" s="112">
        <v>37.299999999999997</v>
      </c>
      <c r="M98" s="112">
        <v>41.2</v>
      </c>
      <c r="N98" s="112">
        <v>43.6</v>
      </c>
      <c r="O98" s="112">
        <v>28</v>
      </c>
      <c r="P98" s="112">
        <v>39.1</v>
      </c>
      <c r="Q98" s="112">
        <v>32.799999999999997</v>
      </c>
      <c r="R98" s="112">
        <v>43.8</v>
      </c>
      <c r="S98" s="112">
        <v>41.5</v>
      </c>
      <c r="T98" s="112">
        <v>37.799999999999997</v>
      </c>
      <c r="U98" s="112">
        <v>35.6</v>
      </c>
      <c r="V98" s="112">
        <v>36.700000000000003</v>
      </c>
      <c r="W98" s="112">
        <v>54</v>
      </c>
      <c r="X98" s="112">
        <v>54</v>
      </c>
      <c r="Y98" s="112">
        <v>56.5</v>
      </c>
      <c r="Z98" s="112">
        <v>44.8</v>
      </c>
      <c r="AA98" s="112">
        <v>45.5</v>
      </c>
      <c r="AB98" s="112">
        <v>40.9</v>
      </c>
      <c r="AC98" s="112">
        <v>45.7</v>
      </c>
      <c r="AD98" s="112">
        <v>39.200000000000003</v>
      </c>
      <c r="AE98" s="112">
        <v>43</v>
      </c>
      <c r="AF98" s="112"/>
      <c r="AG98" s="113"/>
      <c r="AH98" s="55">
        <f t="shared" si="38"/>
        <v>74.400000000000006</v>
      </c>
      <c r="AI98" s="108">
        <f t="shared" si="39"/>
        <v>0.29166666666666669</v>
      </c>
    </row>
    <row r="99" spans="1:37" x14ac:dyDescent="0.25">
      <c r="A99" s="111" t="s">
        <v>103</v>
      </c>
      <c r="B99" s="112">
        <v>68.5</v>
      </c>
      <c r="C99" s="112">
        <v>76.8</v>
      </c>
      <c r="D99" s="112">
        <v>80.8</v>
      </c>
      <c r="E99" s="112">
        <v>78.900000000000006</v>
      </c>
      <c r="F99" s="112">
        <v>44</v>
      </c>
      <c r="G99" s="112"/>
      <c r="H99" s="112">
        <v>44</v>
      </c>
      <c r="I99" s="112">
        <v>44</v>
      </c>
      <c r="J99" s="112">
        <v>36.1</v>
      </c>
      <c r="K99" s="112">
        <v>52</v>
      </c>
      <c r="L99" s="112">
        <v>15</v>
      </c>
      <c r="M99" s="112">
        <v>42.4</v>
      </c>
      <c r="N99" s="112">
        <v>59.8</v>
      </c>
      <c r="O99" s="112">
        <v>49.7</v>
      </c>
      <c r="P99" s="112">
        <v>63.6</v>
      </c>
      <c r="Q99" s="112">
        <v>45.4</v>
      </c>
      <c r="R99" s="112">
        <v>15.8</v>
      </c>
      <c r="S99" s="112">
        <v>39.5</v>
      </c>
      <c r="T99" s="112">
        <v>45.6</v>
      </c>
      <c r="U99" s="112">
        <v>44.9</v>
      </c>
      <c r="V99" s="112">
        <v>57.7</v>
      </c>
      <c r="W99" s="112">
        <v>66.5</v>
      </c>
      <c r="X99" s="112">
        <v>66.5</v>
      </c>
      <c r="Y99" s="112">
        <v>64.5</v>
      </c>
      <c r="Z99" s="112">
        <v>49.5</v>
      </c>
      <c r="AA99" s="112">
        <v>63.5</v>
      </c>
      <c r="AB99" s="112">
        <v>63.6</v>
      </c>
      <c r="AC99" s="112">
        <v>50.1</v>
      </c>
      <c r="AD99" s="112">
        <v>59.3</v>
      </c>
      <c r="AE99" s="112">
        <v>61</v>
      </c>
      <c r="AF99" s="112"/>
      <c r="AG99" s="114"/>
      <c r="AH99" s="55">
        <f t="shared" si="38"/>
        <v>80.8</v>
      </c>
      <c r="AI99" s="108">
        <f t="shared" si="39"/>
        <v>8.3333333333333301E-2</v>
      </c>
    </row>
    <row r="100" spans="1:37" ht="15.75" thickBot="1" x14ac:dyDescent="0.3">
      <c r="A100" s="115" t="s">
        <v>241</v>
      </c>
      <c r="B100" s="95">
        <v>115</v>
      </c>
      <c r="C100" s="95">
        <v>79.5</v>
      </c>
      <c r="D100" s="95">
        <v>99.6</v>
      </c>
      <c r="E100" s="95">
        <v>102.3</v>
      </c>
      <c r="F100" s="95">
        <v>111</v>
      </c>
      <c r="G100" s="95"/>
      <c r="H100" s="95">
        <v>88</v>
      </c>
      <c r="I100" s="95">
        <v>78</v>
      </c>
      <c r="J100" s="95">
        <v>63</v>
      </c>
      <c r="K100" s="95">
        <v>47</v>
      </c>
      <c r="L100" s="95">
        <v>67</v>
      </c>
      <c r="M100" s="95">
        <v>69.099999999999994</v>
      </c>
      <c r="N100" s="95">
        <v>67</v>
      </c>
      <c r="O100" s="95">
        <v>76</v>
      </c>
      <c r="P100" s="95">
        <v>82.6</v>
      </c>
      <c r="Q100" s="95">
        <v>78.5</v>
      </c>
      <c r="R100" s="95">
        <v>75.599999999999994</v>
      </c>
      <c r="S100" s="95">
        <v>63.5</v>
      </c>
      <c r="T100" s="95">
        <v>58.5</v>
      </c>
      <c r="U100" s="95">
        <v>57.3</v>
      </c>
      <c r="V100" s="95">
        <v>54.9</v>
      </c>
      <c r="W100" s="95">
        <v>39.6</v>
      </c>
      <c r="X100" s="95">
        <v>39.6</v>
      </c>
      <c r="Y100" s="95">
        <v>42.3</v>
      </c>
      <c r="Z100" s="95">
        <v>47.6</v>
      </c>
      <c r="AA100" s="95">
        <v>59.7</v>
      </c>
      <c r="AB100" s="95">
        <v>61.7</v>
      </c>
      <c r="AC100" s="95"/>
      <c r="AD100" s="95"/>
      <c r="AE100" s="95">
        <v>73</v>
      </c>
      <c r="AF100" s="95"/>
      <c r="AG100" s="114"/>
      <c r="AH100" s="55">
        <f t="shared" si="38"/>
        <v>111</v>
      </c>
      <c r="AI100" s="108">
        <f t="shared" si="39"/>
        <v>0.16666666666666699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40">AF102</f>
        <v>9.9</v>
      </c>
      <c r="C102" s="54">
        <v>9.9</v>
      </c>
      <c r="D102" s="121">
        <f t="shared" ref="D102:S107" si="41">C102</f>
        <v>9.9</v>
      </c>
      <c r="E102" s="121">
        <f t="shared" si="41"/>
        <v>9.9</v>
      </c>
      <c r="F102" s="121">
        <f t="shared" si="41"/>
        <v>9.9</v>
      </c>
      <c r="G102" s="121">
        <f t="shared" si="41"/>
        <v>9.9</v>
      </c>
      <c r="H102" s="121">
        <f t="shared" si="41"/>
        <v>9.9</v>
      </c>
      <c r="I102" s="121">
        <f t="shared" si="41"/>
        <v>9.9</v>
      </c>
      <c r="J102" s="121">
        <f t="shared" si="41"/>
        <v>9.9</v>
      </c>
      <c r="K102" s="121">
        <f t="shared" si="41"/>
        <v>9.9</v>
      </c>
      <c r="L102" s="121">
        <f t="shared" si="41"/>
        <v>9.9</v>
      </c>
      <c r="M102" s="121">
        <f t="shared" si="41"/>
        <v>9.9</v>
      </c>
      <c r="N102" s="121">
        <f t="shared" si="41"/>
        <v>9.9</v>
      </c>
      <c r="O102" s="121">
        <f t="shared" si="41"/>
        <v>9.9</v>
      </c>
      <c r="P102" s="121">
        <f t="shared" si="41"/>
        <v>9.9</v>
      </c>
      <c r="Q102" s="121">
        <f t="shared" si="41"/>
        <v>9.9</v>
      </c>
      <c r="R102" s="121">
        <f t="shared" si="41"/>
        <v>9.9</v>
      </c>
      <c r="S102" s="121">
        <f t="shared" si="41"/>
        <v>9.9</v>
      </c>
      <c r="T102" s="121">
        <f t="shared" ref="T102:AF107" si="42">S102</f>
        <v>9.9</v>
      </c>
      <c r="U102" s="121">
        <f t="shared" si="42"/>
        <v>9.9</v>
      </c>
      <c r="V102" s="121">
        <f t="shared" si="42"/>
        <v>9.9</v>
      </c>
      <c r="W102" s="121">
        <f t="shared" si="42"/>
        <v>9.9</v>
      </c>
      <c r="X102" s="121">
        <f t="shared" si="42"/>
        <v>9.9</v>
      </c>
      <c r="Y102" s="121">
        <f t="shared" si="42"/>
        <v>9.9</v>
      </c>
      <c r="Z102" s="121">
        <f t="shared" si="42"/>
        <v>9.9</v>
      </c>
      <c r="AA102" s="121">
        <f t="shared" si="42"/>
        <v>9.9</v>
      </c>
      <c r="AB102" s="121">
        <f t="shared" si="42"/>
        <v>9.9</v>
      </c>
      <c r="AC102" s="121">
        <f t="shared" si="42"/>
        <v>9.9</v>
      </c>
      <c r="AD102" s="121">
        <f t="shared" si="42"/>
        <v>9.9</v>
      </c>
      <c r="AE102" s="121">
        <f t="shared" si="42"/>
        <v>9.9</v>
      </c>
      <c r="AF102" s="121">
        <f t="shared" si="42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40"/>
        <v>9.6</v>
      </c>
      <c r="C103" s="124">
        <v>9.6</v>
      </c>
      <c r="D103" s="123">
        <f t="shared" si="41"/>
        <v>9.6</v>
      </c>
      <c r="E103" s="123">
        <f t="shared" si="41"/>
        <v>9.6</v>
      </c>
      <c r="F103" s="123">
        <f t="shared" si="41"/>
        <v>9.6</v>
      </c>
      <c r="G103" s="123">
        <f t="shared" si="41"/>
        <v>9.6</v>
      </c>
      <c r="H103" s="123">
        <f t="shared" si="41"/>
        <v>9.6</v>
      </c>
      <c r="I103" s="123">
        <f t="shared" si="41"/>
        <v>9.6</v>
      </c>
      <c r="J103" s="123">
        <f t="shared" si="41"/>
        <v>9.6</v>
      </c>
      <c r="K103" s="123">
        <f t="shared" si="41"/>
        <v>9.6</v>
      </c>
      <c r="L103" s="123">
        <f t="shared" si="41"/>
        <v>9.6</v>
      </c>
      <c r="M103" s="123">
        <f t="shared" si="41"/>
        <v>9.6</v>
      </c>
      <c r="N103" s="123">
        <f t="shared" si="41"/>
        <v>9.6</v>
      </c>
      <c r="O103" s="123">
        <f t="shared" si="41"/>
        <v>9.6</v>
      </c>
      <c r="P103" s="123">
        <f t="shared" si="41"/>
        <v>9.6</v>
      </c>
      <c r="Q103" s="123">
        <f t="shared" si="41"/>
        <v>9.6</v>
      </c>
      <c r="R103" s="123">
        <f t="shared" si="41"/>
        <v>9.6</v>
      </c>
      <c r="S103" s="123">
        <f t="shared" si="41"/>
        <v>9.6</v>
      </c>
      <c r="T103" s="123">
        <f t="shared" si="42"/>
        <v>9.6</v>
      </c>
      <c r="U103" s="123">
        <f t="shared" si="42"/>
        <v>9.6</v>
      </c>
      <c r="V103" s="123">
        <f t="shared" si="42"/>
        <v>9.6</v>
      </c>
      <c r="W103" s="123">
        <f t="shared" si="42"/>
        <v>9.6</v>
      </c>
      <c r="X103" s="123">
        <f t="shared" si="42"/>
        <v>9.6</v>
      </c>
      <c r="Y103" s="123">
        <f t="shared" si="42"/>
        <v>9.6</v>
      </c>
      <c r="Z103" s="123">
        <f t="shared" si="42"/>
        <v>9.6</v>
      </c>
      <c r="AA103" s="123">
        <f t="shared" si="42"/>
        <v>9.6</v>
      </c>
      <c r="AB103" s="123">
        <f t="shared" si="42"/>
        <v>9.6</v>
      </c>
      <c r="AC103" s="123">
        <f t="shared" si="42"/>
        <v>9.6</v>
      </c>
      <c r="AD103" s="123">
        <f t="shared" si="42"/>
        <v>9.6</v>
      </c>
      <c r="AE103" s="123">
        <f t="shared" si="42"/>
        <v>9.6</v>
      </c>
      <c r="AF103" s="123">
        <f t="shared" si="42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40"/>
        <v>9.98</v>
      </c>
      <c r="C104" s="124">
        <v>9.98</v>
      </c>
      <c r="D104" s="123">
        <f t="shared" si="41"/>
        <v>9.98</v>
      </c>
      <c r="E104" s="123">
        <f t="shared" si="41"/>
        <v>9.98</v>
      </c>
      <c r="F104" s="123">
        <f t="shared" si="41"/>
        <v>9.98</v>
      </c>
      <c r="G104" s="123">
        <f t="shared" si="41"/>
        <v>9.98</v>
      </c>
      <c r="H104" s="123">
        <f t="shared" si="41"/>
        <v>9.98</v>
      </c>
      <c r="I104" s="123">
        <f t="shared" si="41"/>
        <v>9.98</v>
      </c>
      <c r="J104" s="123">
        <f t="shared" si="41"/>
        <v>9.98</v>
      </c>
      <c r="K104" s="123">
        <f t="shared" si="41"/>
        <v>9.98</v>
      </c>
      <c r="L104" s="123">
        <f t="shared" si="41"/>
        <v>9.98</v>
      </c>
      <c r="M104" s="123">
        <f t="shared" si="41"/>
        <v>9.98</v>
      </c>
      <c r="N104" s="123">
        <f t="shared" si="41"/>
        <v>9.98</v>
      </c>
      <c r="O104" s="123">
        <f t="shared" si="41"/>
        <v>9.98</v>
      </c>
      <c r="P104" s="123">
        <f t="shared" si="41"/>
        <v>9.98</v>
      </c>
      <c r="Q104" s="123">
        <f t="shared" si="41"/>
        <v>9.98</v>
      </c>
      <c r="R104" s="123">
        <f t="shared" si="41"/>
        <v>9.98</v>
      </c>
      <c r="S104" s="123">
        <f t="shared" si="41"/>
        <v>9.98</v>
      </c>
      <c r="T104" s="123">
        <f t="shared" si="42"/>
        <v>9.98</v>
      </c>
      <c r="U104" s="123">
        <f t="shared" si="42"/>
        <v>9.98</v>
      </c>
      <c r="V104" s="123">
        <f t="shared" si="42"/>
        <v>9.98</v>
      </c>
      <c r="W104" s="123">
        <f t="shared" si="42"/>
        <v>9.98</v>
      </c>
      <c r="X104" s="123">
        <f t="shared" si="42"/>
        <v>9.98</v>
      </c>
      <c r="Y104" s="123">
        <f t="shared" si="42"/>
        <v>9.98</v>
      </c>
      <c r="Z104" s="123">
        <f t="shared" si="42"/>
        <v>9.98</v>
      </c>
      <c r="AA104" s="123">
        <f t="shared" si="42"/>
        <v>9.98</v>
      </c>
      <c r="AB104" s="123">
        <f t="shared" si="42"/>
        <v>9.98</v>
      </c>
      <c r="AC104" s="123">
        <f t="shared" si="42"/>
        <v>9.98</v>
      </c>
      <c r="AD104" s="123">
        <f t="shared" si="42"/>
        <v>9.98</v>
      </c>
      <c r="AE104" s="123">
        <f t="shared" si="42"/>
        <v>9.98</v>
      </c>
      <c r="AF104" s="123">
        <f t="shared" si="42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40"/>
        <v>9.1</v>
      </c>
      <c r="C105" s="124">
        <v>9.1</v>
      </c>
      <c r="D105" s="123">
        <f t="shared" si="41"/>
        <v>9.1</v>
      </c>
      <c r="E105" s="123">
        <f t="shared" si="41"/>
        <v>9.1</v>
      </c>
      <c r="F105" s="123">
        <f t="shared" si="41"/>
        <v>9.1</v>
      </c>
      <c r="G105" s="123">
        <f t="shared" si="41"/>
        <v>9.1</v>
      </c>
      <c r="H105" s="123">
        <f t="shared" si="41"/>
        <v>9.1</v>
      </c>
      <c r="I105" s="123">
        <f t="shared" si="41"/>
        <v>9.1</v>
      </c>
      <c r="J105" s="123">
        <f t="shared" si="41"/>
        <v>9.1</v>
      </c>
      <c r="K105" s="123">
        <f t="shared" si="41"/>
        <v>9.1</v>
      </c>
      <c r="L105" s="123">
        <f t="shared" si="41"/>
        <v>9.1</v>
      </c>
      <c r="M105" s="123">
        <f t="shared" si="41"/>
        <v>9.1</v>
      </c>
      <c r="N105" s="123">
        <f t="shared" si="41"/>
        <v>9.1</v>
      </c>
      <c r="O105" s="123">
        <f t="shared" si="41"/>
        <v>9.1</v>
      </c>
      <c r="P105" s="123">
        <f t="shared" si="41"/>
        <v>9.1</v>
      </c>
      <c r="Q105" s="123">
        <f t="shared" si="41"/>
        <v>9.1</v>
      </c>
      <c r="R105" s="123">
        <f t="shared" si="41"/>
        <v>9.1</v>
      </c>
      <c r="S105" s="123">
        <f t="shared" si="41"/>
        <v>9.1</v>
      </c>
      <c r="T105" s="123">
        <f t="shared" si="42"/>
        <v>9.1</v>
      </c>
      <c r="U105" s="123">
        <f t="shared" si="42"/>
        <v>9.1</v>
      </c>
      <c r="V105" s="123">
        <f t="shared" si="42"/>
        <v>9.1</v>
      </c>
      <c r="W105" s="123">
        <f t="shared" si="42"/>
        <v>9.1</v>
      </c>
      <c r="X105" s="123">
        <f t="shared" si="42"/>
        <v>9.1</v>
      </c>
      <c r="Y105" s="123">
        <f t="shared" si="42"/>
        <v>9.1</v>
      </c>
      <c r="Z105" s="123">
        <f t="shared" si="42"/>
        <v>9.1</v>
      </c>
      <c r="AA105" s="123">
        <f t="shared" si="42"/>
        <v>9.1</v>
      </c>
      <c r="AB105" s="123">
        <f t="shared" si="42"/>
        <v>9.1</v>
      </c>
      <c r="AC105" s="123">
        <f t="shared" si="42"/>
        <v>9.1</v>
      </c>
      <c r="AD105" s="123">
        <f t="shared" si="42"/>
        <v>9.1</v>
      </c>
      <c r="AE105" s="123">
        <f t="shared" si="42"/>
        <v>9.1</v>
      </c>
      <c r="AF105" s="123">
        <f t="shared" si="42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40"/>
        <v>9.18</v>
      </c>
      <c r="C106" s="124">
        <v>9.18</v>
      </c>
      <c r="D106" s="123">
        <f t="shared" si="41"/>
        <v>9.18</v>
      </c>
      <c r="E106" s="123">
        <f t="shared" si="41"/>
        <v>9.18</v>
      </c>
      <c r="F106" s="123">
        <f t="shared" si="41"/>
        <v>9.18</v>
      </c>
      <c r="G106" s="123">
        <f t="shared" si="41"/>
        <v>9.18</v>
      </c>
      <c r="H106" s="123">
        <f t="shared" si="41"/>
        <v>9.18</v>
      </c>
      <c r="I106" s="123">
        <f t="shared" si="41"/>
        <v>9.18</v>
      </c>
      <c r="J106" s="123">
        <f t="shared" si="41"/>
        <v>9.18</v>
      </c>
      <c r="K106" s="123">
        <f t="shared" si="41"/>
        <v>9.18</v>
      </c>
      <c r="L106" s="123">
        <f t="shared" si="41"/>
        <v>9.18</v>
      </c>
      <c r="M106" s="123">
        <f t="shared" si="41"/>
        <v>9.18</v>
      </c>
      <c r="N106" s="123">
        <f t="shared" si="41"/>
        <v>9.18</v>
      </c>
      <c r="O106" s="123">
        <f t="shared" si="41"/>
        <v>9.18</v>
      </c>
      <c r="P106" s="123">
        <f t="shared" si="41"/>
        <v>9.18</v>
      </c>
      <c r="Q106" s="123">
        <f t="shared" si="41"/>
        <v>9.18</v>
      </c>
      <c r="R106" s="123">
        <f t="shared" si="41"/>
        <v>9.18</v>
      </c>
      <c r="S106" s="123">
        <f t="shared" si="41"/>
        <v>9.18</v>
      </c>
      <c r="T106" s="123">
        <f t="shared" si="42"/>
        <v>9.18</v>
      </c>
      <c r="U106" s="123">
        <f t="shared" si="42"/>
        <v>9.18</v>
      </c>
      <c r="V106" s="123">
        <f t="shared" si="42"/>
        <v>9.18</v>
      </c>
      <c r="W106" s="123">
        <f t="shared" si="42"/>
        <v>9.18</v>
      </c>
      <c r="X106" s="123">
        <f t="shared" si="42"/>
        <v>9.18</v>
      </c>
      <c r="Y106" s="123">
        <f t="shared" si="42"/>
        <v>9.18</v>
      </c>
      <c r="Z106" s="123">
        <f t="shared" si="42"/>
        <v>9.18</v>
      </c>
      <c r="AA106" s="123">
        <f t="shared" si="42"/>
        <v>9.18</v>
      </c>
      <c r="AB106" s="123">
        <f t="shared" si="42"/>
        <v>9.18</v>
      </c>
      <c r="AC106" s="123">
        <f t="shared" si="42"/>
        <v>9.18</v>
      </c>
      <c r="AD106" s="123">
        <f t="shared" si="42"/>
        <v>9.18</v>
      </c>
      <c r="AE106" s="123">
        <f t="shared" si="42"/>
        <v>9.18</v>
      </c>
      <c r="AF106" s="123">
        <f t="shared" si="42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40"/>
        <v>7</v>
      </c>
      <c r="C107" s="124">
        <v>7</v>
      </c>
      <c r="D107" s="123">
        <f t="shared" si="41"/>
        <v>7</v>
      </c>
      <c r="E107" s="123">
        <f t="shared" si="41"/>
        <v>7</v>
      </c>
      <c r="F107" s="123">
        <f t="shared" si="41"/>
        <v>7</v>
      </c>
      <c r="G107" s="123">
        <f t="shared" si="41"/>
        <v>7</v>
      </c>
      <c r="H107" s="123">
        <f t="shared" si="41"/>
        <v>7</v>
      </c>
      <c r="I107" s="123">
        <f t="shared" si="41"/>
        <v>7</v>
      </c>
      <c r="J107" s="123">
        <f t="shared" si="41"/>
        <v>7</v>
      </c>
      <c r="K107" s="123">
        <f t="shared" si="41"/>
        <v>7</v>
      </c>
      <c r="L107" s="123">
        <f t="shared" si="41"/>
        <v>7</v>
      </c>
      <c r="M107" s="123">
        <f t="shared" si="41"/>
        <v>7</v>
      </c>
      <c r="N107" s="123">
        <f t="shared" si="41"/>
        <v>7</v>
      </c>
      <c r="O107" s="123">
        <f t="shared" si="41"/>
        <v>7</v>
      </c>
      <c r="P107" s="123">
        <f t="shared" si="41"/>
        <v>7</v>
      </c>
      <c r="Q107" s="123">
        <f t="shared" si="41"/>
        <v>7</v>
      </c>
      <c r="R107" s="123">
        <f t="shared" si="41"/>
        <v>7</v>
      </c>
      <c r="S107" s="123">
        <f t="shared" si="41"/>
        <v>7</v>
      </c>
      <c r="T107" s="123">
        <f t="shared" si="42"/>
        <v>7</v>
      </c>
      <c r="U107" s="123">
        <f t="shared" si="42"/>
        <v>7</v>
      </c>
      <c r="V107" s="123">
        <f t="shared" si="42"/>
        <v>7</v>
      </c>
      <c r="W107" s="123">
        <f t="shared" si="42"/>
        <v>7</v>
      </c>
      <c r="X107" s="123">
        <f t="shared" si="42"/>
        <v>7</v>
      </c>
      <c r="Y107" s="123">
        <f t="shared" si="42"/>
        <v>7</v>
      </c>
      <c r="Z107" s="123">
        <f t="shared" si="42"/>
        <v>7</v>
      </c>
      <c r="AA107" s="123">
        <f t="shared" si="42"/>
        <v>7</v>
      </c>
      <c r="AB107" s="123">
        <f t="shared" si="42"/>
        <v>7</v>
      </c>
      <c r="AC107" s="123">
        <f t="shared" si="42"/>
        <v>7</v>
      </c>
      <c r="AD107" s="123">
        <f t="shared" si="42"/>
        <v>7</v>
      </c>
      <c r="AE107" s="123">
        <f t="shared" si="42"/>
        <v>7</v>
      </c>
      <c r="AF107" s="123">
        <f t="shared" si="42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3">C109</f>
        <v>2.25</v>
      </c>
      <c r="E109" s="123">
        <f t="shared" si="43"/>
        <v>2.25</v>
      </c>
      <c r="F109" s="123">
        <f t="shared" si="43"/>
        <v>2.25</v>
      </c>
      <c r="G109" s="123">
        <f t="shared" si="43"/>
        <v>2.25</v>
      </c>
      <c r="H109" s="123">
        <f t="shared" si="43"/>
        <v>2.25</v>
      </c>
      <c r="I109" s="123">
        <f t="shared" si="43"/>
        <v>2.25</v>
      </c>
      <c r="J109" s="123">
        <f t="shared" si="43"/>
        <v>2.25</v>
      </c>
      <c r="K109" s="123">
        <f t="shared" si="43"/>
        <v>2.25</v>
      </c>
      <c r="L109" s="123">
        <f t="shared" si="43"/>
        <v>2.25</v>
      </c>
      <c r="M109" s="123">
        <f t="shared" si="43"/>
        <v>2.25</v>
      </c>
      <c r="N109" s="123">
        <f t="shared" si="43"/>
        <v>2.25</v>
      </c>
      <c r="O109" s="123">
        <f t="shared" si="43"/>
        <v>2.25</v>
      </c>
      <c r="P109" s="123">
        <f t="shared" si="43"/>
        <v>2.25</v>
      </c>
      <c r="Q109" s="123">
        <f t="shared" si="43"/>
        <v>2.25</v>
      </c>
      <c r="R109" s="123">
        <f t="shared" si="43"/>
        <v>2.25</v>
      </c>
      <c r="S109" s="123">
        <f t="shared" si="43"/>
        <v>2.25</v>
      </c>
      <c r="T109" s="123">
        <f t="shared" ref="T109:AF110" si="44">S109</f>
        <v>2.25</v>
      </c>
      <c r="U109" s="123">
        <f t="shared" si="44"/>
        <v>2.25</v>
      </c>
      <c r="V109" s="123">
        <f t="shared" si="44"/>
        <v>2.25</v>
      </c>
      <c r="W109" s="123">
        <f t="shared" si="44"/>
        <v>2.25</v>
      </c>
      <c r="X109" s="123">
        <f t="shared" si="44"/>
        <v>2.25</v>
      </c>
      <c r="Y109" s="123">
        <f t="shared" si="44"/>
        <v>2.25</v>
      </c>
      <c r="Z109" s="123">
        <f t="shared" si="44"/>
        <v>2.25</v>
      </c>
      <c r="AA109" s="123">
        <f t="shared" si="44"/>
        <v>2.25</v>
      </c>
      <c r="AB109" s="123">
        <f t="shared" si="44"/>
        <v>2.25</v>
      </c>
      <c r="AC109" s="123">
        <f t="shared" si="44"/>
        <v>2.25</v>
      </c>
      <c r="AD109" s="123">
        <f t="shared" si="44"/>
        <v>2.25</v>
      </c>
      <c r="AE109" s="123">
        <f t="shared" si="44"/>
        <v>2.25</v>
      </c>
      <c r="AF109" s="123">
        <f t="shared" si="44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3"/>
        <v>1.64</v>
      </c>
      <c r="E110" s="123">
        <f t="shared" si="43"/>
        <v>1.64</v>
      </c>
      <c r="F110" s="123">
        <f t="shared" si="43"/>
        <v>1.64</v>
      </c>
      <c r="G110" s="123">
        <f t="shared" si="43"/>
        <v>1.64</v>
      </c>
      <c r="H110" s="123">
        <f t="shared" si="43"/>
        <v>1.64</v>
      </c>
      <c r="I110" s="123">
        <f t="shared" si="43"/>
        <v>1.64</v>
      </c>
      <c r="J110" s="123">
        <f t="shared" si="43"/>
        <v>1.64</v>
      </c>
      <c r="K110" s="123">
        <f t="shared" si="43"/>
        <v>1.64</v>
      </c>
      <c r="L110" s="123">
        <f t="shared" si="43"/>
        <v>1.64</v>
      </c>
      <c r="M110" s="123">
        <f t="shared" si="43"/>
        <v>1.64</v>
      </c>
      <c r="N110" s="123">
        <f t="shared" si="43"/>
        <v>1.64</v>
      </c>
      <c r="O110" s="123">
        <f t="shared" si="43"/>
        <v>1.64</v>
      </c>
      <c r="P110" s="123">
        <f t="shared" si="43"/>
        <v>1.64</v>
      </c>
      <c r="Q110" s="123">
        <f t="shared" si="43"/>
        <v>1.64</v>
      </c>
      <c r="R110" s="123">
        <f t="shared" si="43"/>
        <v>1.64</v>
      </c>
      <c r="S110" s="123">
        <f t="shared" si="43"/>
        <v>1.64</v>
      </c>
      <c r="T110" s="123">
        <f t="shared" si="44"/>
        <v>1.64</v>
      </c>
      <c r="U110" s="123">
        <f t="shared" si="44"/>
        <v>1.64</v>
      </c>
      <c r="V110" s="123">
        <f t="shared" si="44"/>
        <v>1.64</v>
      </c>
      <c r="W110" s="123">
        <f t="shared" si="44"/>
        <v>1.64</v>
      </c>
      <c r="X110" s="123">
        <f t="shared" si="44"/>
        <v>1.64</v>
      </c>
      <c r="Y110" s="123">
        <f t="shared" si="44"/>
        <v>1.64</v>
      </c>
      <c r="Z110" s="123">
        <f t="shared" si="44"/>
        <v>1.64</v>
      </c>
      <c r="AA110" s="123">
        <f t="shared" si="44"/>
        <v>1.64</v>
      </c>
      <c r="AB110" s="123">
        <f t="shared" si="44"/>
        <v>1.64</v>
      </c>
      <c r="AC110" s="123">
        <f t="shared" si="44"/>
        <v>1.64</v>
      </c>
      <c r="AD110" s="123">
        <f t="shared" si="44"/>
        <v>1.64</v>
      </c>
      <c r="AE110" s="123">
        <f t="shared" si="44"/>
        <v>1.64</v>
      </c>
      <c r="AF110" s="123">
        <f t="shared" si="44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5">AF112</f>
        <v>1.62</v>
      </c>
      <c r="C112" s="124">
        <v>1.62</v>
      </c>
      <c r="D112" s="123">
        <f t="shared" ref="D112:S119" si="46">C112</f>
        <v>1.62</v>
      </c>
      <c r="E112" s="123">
        <f t="shared" si="46"/>
        <v>1.62</v>
      </c>
      <c r="F112" s="123">
        <f t="shared" si="46"/>
        <v>1.62</v>
      </c>
      <c r="G112" s="123">
        <f t="shared" si="46"/>
        <v>1.62</v>
      </c>
      <c r="H112" s="123">
        <f t="shared" si="46"/>
        <v>1.62</v>
      </c>
      <c r="I112" s="123">
        <f t="shared" si="46"/>
        <v>1.62</v>
      </c>
      <c r="J112" s="123">
        <f t="shared" si="46"/>
        <v>1.62</v>
      </c>
      <c r="K112" s="123">
        <f t="shared" si="46"/>
        <v>1.62</v>
      </c>
      <c r="L112" s="123">
        <f t="shared" si="46"/>
        <v>1.62</v>
      </c>
      <c r="M112" s="123">
        <f t="shared" si="46"/>
        <v>1.62</v>
      </c>
      <c r="N112" s="123">
        <f t="shared" si="46"/>
        <v>1.62</v>
      </c>
      <c r="O112" s="123">
        <f t="shared" si="46"/>
        <v>1.62</v>
      </c>
      <c r="P112" s="123">
        <f t="shared" si="46"/>
        <v>1.62</v>
      </c>
      <c r="Q112" s="123">
        <f t="shared" si="46"/>
        <v>1.62</v>
      </c>
      <c r="R112" s="123">
        <f t="shared" si="46"/>
        <v>1.62</v>
      </c>
      <c r="S112" s="123">
        <f t="shared" si="46"/>
        <v>1.62</v>
      </c>
      <c r="T112" s="123">
        <f t="shared" ref="T112:AF127" si="47">S112</f>
        <v>1.62</v>
      </c>
      <c r="U112" s="123">
        <f t="shared" si="47"/>
        <v>1.62</v>
      </c>
      <c r="V112" s="123">
        <f t="shared" si="47"/>
        <v>1.62</v>
      </c>
      <c r="W112" s="123">
        <f t="shared" si="47"/>
        <v>1.62</v>
      </c>
      <c r="X112" s="123">
        <f t="shared" si="47"/>
        <v>1.62</v>
      </c>
      <c r="Y112" s="123">
        <f t="shared" si="47"/>
        <v>1.62</v>
      </c>
      <c r="Z112" s="123">
        <f t="shared" si="47"/>
        <v>1.62</v>
      </c>
      <c r="AA112" s="123">
        <f t="shared" si="47"/>
        <v>1.62</v>
      </c>
      <c r="AB112" s="123">
        <f t="shared" si="47"/>
        <v>1.62</v>
      </c>
      <c r="AC112" s="123">
        <f t="shared" si="47"/>
        <v>1.62</v>
      </c>
      <c r="AD112" s="123">
        <f t="shared" si="47"/>
        <v>1.62</v>
      </c>
      <c r="AE112" s="123">
        <f t="shared" si="47"/>
        <v>1.62</v>
      </c>
      <c r="AF112" s="123">
        <f t="shared" si="47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5"/>
        <v>8.36</v>
      </c>
      <c r="C113" s="124">
        <v>8.36</v>
      </c>
      <c r="D113" s="123">
        <f t="shared" si="46"/>
        <v>8.36</v>
      </c>
      <c r="E113" s="123">
        <f t="shared" si="46"/>
        <v>8.36</v>
      </c>
      <c r="F113" s="123">
        <f t="shared" si="46"/>
        <v>8.36</v>
      </c>
      <c r="G113" s="123">
        <f t="shared" si="46"/>
        <v>8.36</v>
      </c>
      <c r="H113" s="123">
        <f t="shared" si="46"/>
        <v>8.36</v>
      </c>
      <c r="I113" s="123">
        <f t="shared" si="46"/>
        <v>8.36</v>
      </c>
      <c r="J113" s="123">
        <f t="shared" si="46"/>
        <v>8.36</v>
      </c>
      <c r="K113" s="123">
        <f t="shared" si="46"/>
        <v>8.36</v>
      </c>
      <c r="L113" s="123">
        <f t="shared" si="46"/>
        <v>8.36</v>
      </c>
      <c r="M113" s="123">
        <f t="shared" si="46"/>
        <v>8.36</v>
      </c>
      <c r="N113" s="123">
        <f t="shared" si="46"/>
        <v>8.36</v>
      </c>
      <c r="O113" s="123">
        <f t="shared" si="46"/>
        <v>8.36</v>
      </c>
      <c r="P113" s="123">
        <f t="shared" si="46"/>
        <v>8.36</v>
      </c>
      <c r="Q113" s="123">
        <f t="shared" si="46"/>
        <v>8.36</v>
      </c>
      <c r="R113" s="123">
        <f t="shared" si="46"/>
        <v>8.36</v>
      </c>
      <c r="S113" s="123">
        <f t="shared" si="46"/>
        <v>8.36</v>
      </c>
      <c r="T113" s="123">
        <f t="shared" si="47"/>
        <v>8.36</v>
      </c>
      <c r="U113" s="123">
        <f t="shared" si="47"/>
        <v>8.36</v>
      </c>
      <c r="V113" s="123">
        <f t="shared" si="47"/>
        <v>8.36</v>
      </c>
      <c r="W113" s="123">
        <f t="shared" si="47"/>
        <v>8.36</v>
      </c>
      <c r="X113" s="123">
        <f t="shared" si="47"/>
        <v>8.36</v>
      </c>
      <c r="Y113" s="123">
        <f t="shared" si="47"/>
        <v>8.36</v>
      </c>
      <c r="Z113" s="123">
        <f t="shared" si="47"/>
        <v>8.36</v>
      </c>
      <c r="AA113" s="123">
        <f t="shared" si="47"/>
        <v>8.36</v>
      </c>
      <c r="AB113" s="123">
        <f t="shared" si="47"/>
        <v>8.36</v>
      </c>
      <c r="AC113" s="123">
        <f t="shared" si="47"/>
        <v>8.36</v>
      </c>
      <c r="AD113" s="123">
        <f t="shared" si="47"/>
        <v>8.36</v>
      </c>
      <c r="AE113" s="123">
        <f t="shared" si="47"/>
        <v>8.36</v>
      </c>
      <c r="AF113" s="123">
        <f t="shared" si="47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5"/>
        <v>5.4</v>
      </c>
      <c r="C114" s="124">
        <v>8</v>
      </c>
      <c r="D114" s="123">
        <f t="shared" si="46"/>
        <v>8</v>
      </c>
      <c r="E114" s="123">
        <f t="shared" si="46"/>
        <v>8</v>
      </c>
      <c r="F114" s="123">
        <f t="shared" si="46"/>
        <v>8</v>
      </c>
      <c r="G114" s="123">
        <f t="shared" si="46"/>
        <v>8</v>
      </c>
      <c r="H114" s="123">
        <f t="shared" si="46"/>
        <v>8</v>
      </c>
      <c r="I114" s="123">
        <f t="shared" si="46"/>
        <v>8</v>
      </c>
      <c r="J114" s="123">
        <v>5.4</v>
      </c>
      <c r="K114" s="123">
        <f t="shared" si="46"/>
        <v>5.4</v>
      </c>
      <c r="L114" s="123">
        <f t="shared" si="46"/>
        <v>5.4</v>
      </c>
      <c r="M114" s="123">
        <f t="shared" si="46"/>
        <v>5.4</v>
      </c>
      <c r="N114" s="123">
        <f t="shared" si="46"/>
        <v>5.4</v>
      </c>
      <c r="O114" s="123">
        <f t="shared" si="46"/>
        <v>5.4</v>
      </c>
      <c r="P114" s="123">
        <f t="shared" si="46"/>
        <v>5.4</v>
      </c>
      <c r="Q114" s="123">
        <f t="shared" si="46"/>
        <v>5.4</v>
      </c>
      <c r="R114" s="123">
        <f t="shared" si="46"/>
        <v>5.4</v>
      </c>
      <c r="S114" s="123">
        <f t="shared" si="46"/>
        <v>5.4</v>
      </c>
      <c r="T114" s="123">
        <f t="shared" si="47"/>
        <v>5.4</v>
      </c>
      <c r="U114" s="123">
        <f t="shared" si="47"/>
        <v>5.4</v>
      </c>
      <c r="V114" s="123">
        <f t="shared" si="47"/>
        <v>5.4</v>
      </c>
      <c r="W114" s="123">
        <f t="shared" si="47"/>
        <v>5.4</v>
      </c>
      <c r="X114" s="123">
        <f t="shared" si="47"/>
        <v>5.4</v>
      </c>
      <c r="Y114" s="123">
        <f t="shared" si="47"/>
        <v>5.4</v>
      </c>
      <c r="Z114" s="123">
        <f t="shared" si="47"/>
        <v>5.4</v>
      </c>
      <c r="AA114" s="123">
        <f t="shared" si="47"/>
        <v>5.4</v>
      </c>
      <c r="AB114" s="123">
        <f t="shared" si="47"/>
        <v>5.4</v>
      </c>
      <c r="AC114" s="123">
        <f t="shared" si="47"/>
        <v>5.4</v>
      </c>
      <c r="AD114" s="123">
        <f t="shared" si="47"/>
        <v>5.4</v>
      </c>
      <c r="AE114" s="123">
        <f t="shared" si="47"/>
        <v>5.4</v>
      </c>
      <c r="AF114" s="123">
        <f t="shared" si="47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5"/>
        <v>6.57</v>
      </c>
      <c r="C115" s="124">
        <v>6.57</v>
      </c>
      <c r="D115" s="123">
        <f t="shared" si="46"/>
        <v>6.57</v>
      </c>
      <c r="E115" s="123">
        <f t="shared" si="46"/>
        <v>6.57</v>
      </c>
      <c r="F115" s="123">
        <f t="shared" si="46"/>
        <v>6.57</v>
      </c>
      <c r="G115" s="123">
        <f t="shared" si="46"/>
        <v>6.57</v>
      </c>
      <c r="H115" s="123">
        <f t="shared" si="46"/>
        <v>6.57</v>
      </c>
      <c r="I115" s="123">
        <f t="shared" si="46"/>
        <v>6.57</v>
      </c>
      <c r="J115" s="123">
        <f t="shared" si="46"/>
        <v>6.57</v>
      </c>
      <c r="K115" s="123">
        <f t="shared" si="46"/>
        <v>6.57</v>
      </c>
      <c r="L115" s="123">
        <f t="shared" si="46"/>
        <v>6.57</v>
      </c>
      <c r="M115" s="123">
        <f t="shared" si="46"/>
        <v>6.57</v>
      </c>
      <c r="N115" s="123">
        <f t="shared" si="46"/>
        <v>6.57</v>
      </c>
      <c r="O115" s="123">
        <f t="shared" si="46"/>
        <v>6.57</v>
      </c>
      <c r="P115" s="123">
        <f t="shared" si="46"/>
        <v>6.57</v>
      </c>
      <c r="Q115" s="123">
        <f t="shared" si="46"/>
        <v>6.57</v>
      </c>
      <c r="R115" s="123">
        <f t="shared" si="46"/>
        <v>6.57</v>
      </c>
      <c r="S115" s="123">
        <f t="shared" si="46"/>
        <v>6.57</v>
      </c>
      <c r="T115" s="123">
        <f t="shared" si="47"/>
        <v>6.57</v>
      </c>
      <c r="U115" s="123">
        <f t="shared" si="47"/>
        <v>6.57</v>
      </c>
      <c r="V115" s="123">
        <f t="shared" si="47"/>
        <v>6.57</v>
      </c>
      <c r="W115" s="123">
        <f t="shared" si="47"/>
        <v>6.57</v>
      </c>
      <c r="X115" s="123">
        <f t="shared" si="47"/>
        <v>6.57</v>
      </c>
      <c r="Y115" s="123">
        <f t="shared" si="47"/>
        <v>6.57</v>
      </c>
      <c r="Z115" s="123">
        <f t="shared" si="47"/>
        <v>6.57</v>
      </c>
      <c r="AA115" s="123">
        <f t="shared" si="47"/>
        <v>6.57</v>
      </c>
      <c r="AB115" s="123">
        <f t="shared" si="47"/>
        <v>6.57</v>
      </c>
      <c r="AC115" s="123">
        <f t="shared" si="47"/>
        <v>6.57</v>
      </c>
      <c r="AD115" s="123">
        <f t="shared" si="47"/>
        <v>6.57</v>
      </c>
      <c r="AE115" s="123">
        <f t="shared" si="47"/>
        <v>6.57</v>
      </c>
      <c r="AF115" s="123">
        <f t="shared" si="47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5"/>
        <v>3.43</v>
      </c>
      <c r="C116" s="124">
        <v>3.43</v>
      </c>
      <c r="D116" s="123">
        <f t="shared" si="46"/>
        <v>3.43</v>
      </c>
      <c r="E116" s="123">
        <f t="shared" si="46"/>
        <v>3.43</v>
      </c>
      <c r="F116" s="123">
        <f t="shared" si="46"/>
        <v>3.43</v>
      </c>
      <c r="G116" s="123">
        <f t="shared" si="46"/>
        <v>3.43</v>
      </c>
      <c r="H116" s="123">
        <f t="shared" si="46"/>
        <v>3.43</v>
      </c>
      <c r="I116" s="123">
        <f t="shared" si="46"/>
        <v>3.43</v>
      </c>
      <c r="J116" s="123">
        <f t="shared" si="46"/>
        <v>3.43</v>
      </c>
      <c r="K116" s="123">
        <f t="shared" si="46"/>
        <v>3.43</v>
      </c>
      <c r="L116" s="123">
        <f t="shared" si="46"/>
        <v>3.43</v>
      </c>
      <c r="M116" s="123">
        <f t="shared" si="46"/>
        <v>3.43</v>
      </c>
      <c r="N116" s="123">
        <f t="shared" si="46"/>
        <v>3.43</v>
      </c>
      <c r="O116" s="123">
        <f t="shared" si="46"/>
        <v>3.43</v>
      </c>
      <c r="P116" s="123">
        <f t="shared" si="46"/>
        <v>3.43</v>
      </c>
      <c r="Q116" s="123">
        <f t="shared" si="46"/>
        <v>3.43</v>
      </c>
      <c r="R116" s="123">
        <f t="shared" si="46"/>
        <v>3.43</v>
      </c>
      <c r="S116" s="123">
        <f t="shared" si="46"/>
        <v>3.43</v>
      </c>
      <c r="T116" s="123">
        <f t="shared" si="47"/>
        <v>3.43</v>
      </c>
      <c r="U116" s="123">
        <f t="shared" si="47"/>
        <v>3.43</v>
      </c>
      <c r="V116" s="123">
        <f t="shared" si="47"/>
        <v>3.43</v>
      </c>
      <c r="W116" s="123">
        <f t="shared" si="47"/>
        <v>3.43</v>
      </c>
      <c r="X116" s="123">
        <f t="shared" si="47"/>
        <v>3.43</v>
      </c>
      <c r="Y116" s="123">
        <f t="shared" si="47"/>
        <v>3.43</v>
      </c>
      <c r="Z116" s="123">
        <f t="shared" si="47"/>
        <v>3.43</v>
      </c>
      <c r="AA116" s="123">
        <f t="shared" si="47"/>
        <v>3.43</v>
      </c>
      <c r="AB116" s="123">
        <f t="shared" si="47"/>
        <v>3.43</v>
      </c>
      <c r="AC116" s="123">
        <f t="shared" si="47"/>
        <v>3.43</v>
      </c>
      <c r="AD116" s="123">
        <f t="shared" si="47"/>
        <v>3.43</v>
      </c>
      <c r="AE116" s="123">
        <f t="shared" si="47"/>
        <v>3.43</v>
      </c>
      <c r="AF116" s="123">
        <f t="shared" si="47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5"/>
        <v>2.96</v>
      </c>
      <c r="C117" s="124">
        <v>2.96</v>
      </c>
      <c r="D117" s="123">
        <f t="shared" si="46"/>
        <v>2.96</v>
      </c>
      <c r="E117" s="123">
        <f t="shared" si="46"/>
        <v>2.96</v>
      </c>
      <c r="F117" s="123">
        <f t="shared" si="46"/>
        <v>2.96</v>
      </c>
      <c r="G117" s="123">
        <f t="shared" si="46"/>
        <v>2.96</v>
      </c>
      <c r="H117" s="123">
        <f t="shared" si="46"/>
        <v>2.96</v>
      </c>
      <c r="I117" s="123">
        <f t="shared" si="46"/>
        <v>2.96</v>
      </c>
      <c r="J117" s="123">
        <f t="shared" si="46"/>
        <v>2.96</v>
      </c>
      <c r="K117" s="123">
        <f t="shared" si="46"/>
        <v>2.96</v>
      </c>
      <c r="L117" s="123">
        <f t="shared" si="46"/>
        <v>2.96</v>
      </c>
      <c r="M117" s="123">
        <f t="shared" si="46"/>
        <v>2.96</v>
      </c>
      <c r="N117" s="123">
        <f t="shared" si="46"/>
        <v>2.96</v>
      </c>
      <c r="O117" s="123">
        <f t="shared" si="46"/>
        <v>2.96</v>
      </c>
      <c r="P117" s="123">
        <f t="shared" si="46"/>
        <v>2.96</v>
      </c>
      <c r="Q117" s="123">
        <f t="shared" si="46"/>
        <v>2.96</v>
      </c>
      <c r="R117" s="123">
        <f t="shared" si="46"/>
        <v>2.96</v>
      </c>
      <c r="S117" s="123">
        <f t="shared" si="46"/>
        <v>2.96</v>
      </c>
      <c r="T117" s="123">
        <f t="shared" si="47"/>
        <v>2.96</v>
      </c>
      <c r="U117" s="123">
        <f t="shared" si="47"/>
        <v>2.96</v>
      </c>
      <c r="V117" s="123">
        <f t="shared" si="47"/>
        <v>2.96</v>
      </c>
      <c r="W117" s="123">
        <f t="shared" si="47"/>
        <v>2.96</v>
      </c>
      <c r="X117" s="123">
        <f t="shared" si="47"/>
        <v>2.96</v>
      </c>
      <c r="Y117" s="123">
        <f t="shared" si="47"/>
        <v>2.96</v>
      </c>
      <c r="Z117" s="123">
        <f t="shared" si="47"/>
        <v>2.96</v>
      </c>
      <c r="AA117" s="123">
        <f t="shared" si="47"/>
        <v>2.96</v>
      </c>
      <c r="AB117" s="123">
        <f t="shared" si="47"/>
        <v>2.96</v>
      </c>
      <c r="AC117" s="123">
        <f t="shared" si="47"/>
        <v>2.96</v>
      </c>
      <c r="AD117" s="123">
        <f t="shared" si="47"/>
        <v>2.96</v>
      </c>
      <c r="AE117" s="123">
        <f t="shared" si="47"/>
        <v>2.96</v>
      </c>
      <c r="AF117" s="123">
        <f t="shared" si="47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5"/>
        <v>8</v>
      </c>
      <c r="C118" s="124">
        <v>8</v>
      </c>
      <c r="D118" s="123">
        <f t="shared" si="46"/>
        <v>8</v>
      </c>
      <c r="E118" s="123">
        <f t="shared" si="46"/>
        <v>8</v>
      </c>
      <c r="F118" s="123">
        <f t="shared" si="46"/>
        <v>8</v>
      </c>
      <c r="G118" s="123">
        <f t="shared" si="46"/>
        <v>8</v>
      </c>
      <c r="H118" s="123">
        <f t="shared" si="46"/>
        <v>8</v>
      </c>
      <c r="I118" s="123">
        <f t="shared" si="46"/>
        <v>8</v>
      </c>
      <c r="J118" s="123">
        <f t="shared" si="46"/>
        <v>8</v>
      </c>
      <c r="K118" s="123">
        <f t="shared" si="46"/>
        <v>8</v>
      </c>
      <c r="L118" s="123">
        <f t="shared" si="46"/>
        <v>8</v>
      </c>
      <c r="M118" s="123">
        <f t="shared" si="46"/>
        <v>8</v>
      </c>
      <c r="N118" s="123">
        <f t="shared" si="46"/>
        <v>8</v>
      </c>
      <c r="O118" s="123">
        <f t="shared" si="46"/>
        <v>8</v>
      </c>
      <c r="P118" s="123">
        <f t="shared" si="46"/>
        <v>8</v>
      </c>
      <c r="Q118" s="123">
        <f t="shared" si="46"/>
        <v>8</v>
      </c>
      <c r="R118" s="123">
        <f t="shared" si="46"/>
        <v>8</v>
      </c>
      <c r="S118" s="123">
        <f t="shared" si="46"/>
        <v>8</v>
      </c>
      <c r="T118" s="123">
        <f t="shared" si="47"/>
        <v>8</v>
      </c>
      <c r="U118" s="123">
        <f t="shared" si="47"/>
        <v>8</v>
      </c>
      <c r="V118" s="123">
        <f t="shared" si="47"/>
        <v>8</v>
      </c>
      <c r="W118" s="123">
        <f t="shared" si="47"/>
        <v>8</v>
      </c>
      <c r="X118" s="123">
        <f t="shared" si="47"/>
        <v>8</v>
      </c>
      <c r="Y118" s="123">
        <f t="shared" si="47"/>
        <v>8</v>
      </c>
      <c r="Z118" s="123">
        <f t="shared" si="47"/>
        <v>8</v>
      </c>
      <c r="AA118" s="123">
        <f t="shared" si="47"/>
        <v>8</v>
      </c>
      <c r="AB118" s="123">
        <f t="shared" si="47"/>
        <v>8</v>
      </c>
      <c r="AC118" s="123">
        <f t="shared" si="47"/>
        <v>8</v>
      </c>
      <c r="AD118" s="123">
        <f t="shared" si="47"/>
        <v>8</v>
      </c>
      <c r="AE118" s="123">
        <f t="shared" si="47"/>
        <v>8</v>
      </c>
      <c r="AF118" s="123">
        <f t="shared" si="47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5"/>
        <v>7</v>
      </c>
      <c r="C119" s="124">
        <v>7</v>
      </c>
      <c r="D119" s="123">
        <f>C119</f>
        <v>7</v>
      </c>
      <c r="E119" s="123">
        <f t="shared" si="46"/>
        <v>7</v>
      </c>
      <c r="F119" s="123">
        <f t="shared" si="46"/>
        <v>7</v>
      </c>
      <c r="G119" s="123">
        <f t="shared" si="46"/>
        <v>7</v>
      </c>
      <c r="H119" s="123">
        <f t="shared" si="46"/>
        <v>7</v>
      </c>
      <c r="I119" s="123">
        <f t="shared" si="46"/>
        <v>7</v>
      </c>
      <c r="J119" s="123">
        <f t="shared" si="46"/>
        <v>7</v>
      </c>
      <c r="K119" s="123">
        <f t="shared" si="46"/>
        <v>7</v>
      </c>
      <c r="L119" s="123">
        <f t="shared" si="46"/>
        <v>7</v>
      </c>
      <c r="M119" s="123">
        <f t="shared" si="46"/>
        <v>7</v>
      </c>
      <c r="N119" s="123">
        <f t="shared" si="46"/>
        <v>7</v>
      </c>
      <c r="O119" s="123">
        <f t="shared" si="46"/>
        <v>7</v>
      </c>
      <c r="P119" s="123">
        <f t="shared" si="46"/>
        <v>7</v>
      </c>
      <c r="Q119" s="123">
        <f t="shared" si="46"/>
        <v>7</v>
      </c>
      <c r="R119" s="123">
        <f t="shared" si="46"/>
        <v>7</v>
      </c>
      <c r="S119" s="123">
        <f t="shared" si="46"/>
        <v>7</v>
      </c>
      <c r="T119" s="123">
        <f t="shared" si="47"/>
        <v>7</v>
      </c>
      <c r="U119" s="123">
        <f t="shared" si="47"/>
        <v>7</v>
      </c>
      <c r="V119" s="123">
        <f t="shared" si="47"/>
        <v>7</v>
      </c>
      <c r="W119" s="123">
        <f t="shared" si="47"/>
        <v>7</v>
      </c>
      <c r="X119" s="123">
        <f t="shared" si="47"/>
        <v>7</v>
      </c>
      <c r="Y119" s="123">
        <f t="shared" si="47"/>
        <v>7</v>
      </c>
      <c r="Z119" s="123">
        <f t="shared" si="47"/>
        <v>7</v>
      </c>
      <c r="AA119" s="123">
        <f t="shared" si="47"/>
        <v>7</v>
      </c>
      <c r="AB119" s="123">
        <f t="shared" si="47"/>
        <v>7</v>
      </c>
      <c r="AC119" s="123">
        <f t="shared" si="47"/>
        <v>7</v>
      </c>
      <c r="AD119" s="123">
        <f t="shared" si="47"/>
        <v>7</v>
      </c>
      <c r="AE119" s="123">
        <f t="shared" si="47"/>
        <v>7</v>
      </c>
      <c r="AF119" s="123">
        <f t="shared" si="47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5"/>
        <v>3.47</v>
      </c>
      <c r="C120" s="124">
        <v>3.47</v>
      </c>
      <c r="D120" s="123">
        <f t="shared" ref="D120:S129" si="48">C120</f>
        <v>3.47</v>
      </c>
      <c r="E120" s="123">
        <f t="shared" si="48"/>
        <v>3.47</v>
      </c>
      <c r="F120" s="123">
        <f t="shared" si="48"/>
        <v>3.47</v>
      </c>
      <c r="G120" s="123">
        <f t="shared" si="48"/>
        <v>3.47</v>
      </c>
      <c r="H120" s="123">
        <f t="shared" si="48"/>
        <v>3.47</v>
      </c>
      <c r="I120" s="123">
        <f t="shared" si="48"/>
        <v>3.47</v>
      </c>
      <c r="J120" s="123">
        <f t="shared" si="48"/>
        <v>3.47</v>
      </c>
      <c r="K120" s="123">
        <f t="shared" si="48"/>
        <v>3.47</v>
      </c>
      <c r="L120" s="123">
        <f t="shared" si="48"/>
        <v>3.47</v>
      </c>
      <c r="M120" s="123">
        <f t="shared" si="48"/>
        <v>3.47</v>
      </c>
      <c r="N120" s="123">
        <f t="shared" si="48"/>
        <v>3.47</v>
      </c>
      <c r="O120" s="123">
        <f t="shared" si="48"/>
        <v>3.47</v>
      </c>
      <c r="P120" s="123">
        <f t="shared" si="48"/>
        <v>3.47</v>
      </c>
      <c r="Q120" s="123">
        <f t="shared" si="48"/>
        <v>3.47</v>
      </c>
      <c r="R120" s="123">
        <f t="shared" si="48"/>
        <v>3.47</v>
      </c>
      <c r="S120" s="123">
        <f t="shared" si="48"/>
        <v>3.47</v>
      </c>
      <c r="T120" s="123">
        <f t="shared" si="47"/>
        <v>3.47</v>
      </c>
      <c r="U120" s="123">
        <f t="shared" si="47"/>
        <v>3.47</v>
      </c>
      <c r="V120" s="123">
        <f t="shared" si="47"/>
        <v>3.47</v>
      </c>
      <c r="W120" s="123">
        <f t="shared" si="47"/>
        <v>3.47</v>
      </c>
      <c r="X120" s="123">
        <f t="shared" si="47"/>
        <v>3.47</v>
      </c>
      <c r="Y120" s="123">
        <f t="shared" si="47"/>
        <v>3.47</v>
      </c>
      <c r="Z120" s="123">
        <f t="shared" si="47"/>
        <v>3.47</v>
      </c>
      <c r="AA120" s="123">
        <f t="shared" si="47"/>
        <v>3.47</v>
      </c>
      <c r="AB120" s="123">
        <f t="shared" si="47"/>
        <v>3.47</v>
      </c>
      <c r="AC120" s="123">
        <f t="shared" si="47"/>
        <v>3.47</v>
      </c>
      <c r="AD120" s="123">
        <f t="shared" si="47"/>
        <v>3.47</v>
      </c>
      <c r="AE120" s="123">
        <f t="shared" si="47"/>
        <v>3.47</v>
      </c>
      <c r="AF120" s="123">
        <f t="shared" si="47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5"/>
        <v>2.1</v>
      </c>
      <c r="C121" s="124">
        <v>2.1</v>
      </c>
      <c r="D121" s="123">
        <f t="shared" si="48"/>
        <v>2.1</v>
      </c>
      <c r="E121" s="123">
        <f t="shared" si="48"/>
        <v>2.1</v>
      </c>
      <c r="F121" s="123">
        <f t="shared" si="48"/>
        <v>2.1</v>
      </c>
      <c r="G121" s="123">
        <f t="shared" si="48"/>
        <v>2.1</v>
      </c>
      <c r="H121" s="123">
        <f t="shared" si="48"/>
        <v>2.1</v>
      </c>
      <c r="I121" s="123">
        <f t="shared" si="48"/>
        <v>2.1</v>
      </c>
      <c r="J121" s="123">
        <f t="shared" si="48"/>
        <v>2.1</v>
      </c>
      <c r="K121" s="123">
        <f t="shared" si="48"/>
        <v>2.1</v>
      </c>
      <c r="L121" s="123">
        <f t="shared" si="48"/>
        <v>2.1</v>
      </c>
      <c r="M121" s="123">
        <f t="shared" si="48"/>
        <v>2.1</v>
      </c>
      <c r="N121" s="123">
        <f t="shared" si="48"/>
        <v>2.1</v>
      </c>
      <c r="O121" s="123">
        <f t="shared" si="48"/>
        <v>2.1</v>
      </c>
      <c r="P121" s="123">
        <f t="shared" si="48"/>
        <v>2.1</v>
      </c>
      <c r="Q121" s="123">
        <f t="shared" si="48"/>
        <v>2.1</v>
      </c>
      <c r="R121" s="123">
        <f t="shared" si="48"/>
        <v>2.1</v>
      </c>
      <c r="S121" s="123">
        <f t="shared" si="48"/>
        <v>2.1</v>
      </c>
      <c r="T121" s="123">
        <f t="shared" si="47"/>
        <v>2.1</v>
      </c>
      <c r="U121" s="123">
        <f t="shared" si="47"/>
        <v>2.1</v>
      </c>
      <c r="V121" s="123">
        <f t="shared" si="47"/>
        <v>2.1</v>
      </c>
      <c r="W121" s="123">
        <f t="shared" si="47"/>
        <v>2.1</v>
      </c>
      <c r="X121" s="123">
        <f t="shared" si="47"/>
        <v>2.1</v>
      </c>
      <c r="Y121" s="123">
        <f t="shared" si="47"/>
        <v>2.1</v>
      </c>
      <c r="Z121" s="123">
        <f t="shared" si="47"/>
        <v>2.1</v>
      </c>
      <c r="AA121" s="123">
        <f t="shared" si="47"/>
        <v>2.1</v>
      </c>
      <c r="AB121" s="123">
        <f t="shared" si="47"/>
        <v>2.1</v>
      </c>
      <c r="AC121" s="123">
        <f t="shared" si="47"/>
        <v>2.1</v>
      </c>
      <c r="AD121" s="123">
        <f t="shared" si="47"/>
        <v>2.1</v>
      </c>
      <c r="AE121" s="123">
        <f t="shared" si="47"/>
        <v>2.1</v>
      </c>
      <c r="AF121" s="123">
        <f t="shared" si="47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5"/>
        <v>9.3000000000000007</v>
      </c>
      <c r="C122" s="124">
        <v>9.3000000000000007</v>
      </c>
      <c r="D122" s="123">
        <f t="shared" si="48"/>
        <v>9.3000000000000007</v>
      </c>
      <c r="E122" s="123">
        <f t="shared" si="48"/>
        <v>9.3000000000000007</v>
      </c>
      <c r="F122" s="123">
        <f t="shared" si="48"/>
        <v>9.3000000000000007</v>
      </c>
      <c r="G122" s="123">
        <f t="shared" si="48"/>
        <v>9.3000000000000007</v>
      </c>
      <c r="H122" s="123">
        <f t="shared" si="48"/>
        <v>9.3000000000000007</v>
      </c>
      <c r="I122" s="123">
        <f t="shared" si="48"/>
        <v>9.3000000000000007</v>
      </c>
      <c r="J122" s="123">
        <f t="shared" si="48"/>
        <v>9.3000000000000007</v>
      </c>
      <c r="K122" s="123">
        <f t="shared" si="48"/>
        <v>9.3000000000000007</v>
      </c>
      <c r="L122" s="123">
        <f t="shared" si="48"/>
        <v>9.3000000000000007</v>
      </c>
      <c r="M122" s="123">
        <f t="shared" si="48"/>
        <v>9.3000000000000007</v>
      </c>
      <c r="N122" s="123">
        <f t="shared" si="48"/>
        <v>9.3000000000000007</v>
      </c>
      <c r="O122" s="123">
        <f t="shared" si="48"/>
        <v>9.3000000000000007</v>
      </c>
      <c r="P122" s="123">
        <f t="shared" si="48"/>
        <v>9.3000000000000007</v>
      </c>
      <c r="Q122" s="123">
        <f t="shared" si="48"/>
        <v>9.3000000000000007</v>
      </c>
      <c r="R122" s="123">
        <f t="shared" si="48"/>
        <v>9.3000000000000007</v>
      </c>
      <c r="S122" s="123">
        <f t="shared" si="48"/>
        <v>9.3000000000000007</v>
      </c>
      <c r="T122" s="123">
        <f t="shared" si="47"/>
        <v>9.3000000000000007</v>
      </c>
      <c r="U122" s="123">
        <f t="shared" si="47"/>
        <v>9.3000000000000007</v>
      </c>
      <c r="V122" s="123">
        <f t="shared" si="47"/>
        <v>9.3000000000000007</v>
      </c>
      <c r="W122" s="123">
        <f t="shared" si="47"/>
        <v>9.3000000000000007</v>
      </c>
      <c r="X122" s="123">
        <f t="shared" si="47"/>
        <v>9.3000000000000007</v>
      </c>
      <c r="Y122" s="123">
        <f t="shared" si="47"/>
        <v>9.3000000000000007</v>
      </c>
      <c r="Z122" s="123">
        <f t="shared" si="47"/>
        <v>9.3000000000000007</v>
      </c>
      <c r="AA122" s="123">
        <f t="shared" si="47"/>
        <v>9.3000000000000007</v>
      </c>
      <c r="AB122" s="123">
        <f t="shared" si="47"/>
        <v>9.3000000000000007</v>
      </c>
      <c r="AC122" s="123">
        <f t="shared" si="47"/>
        <v>9.3000000000000007</v>
      </c>
      <c r="AD122" s="123">
        <f t="shared" si="47"/>
        <v>9.3000000000000007</v>
      </c>
      <c r="AE122" s="123">
        <f t="shared" si="47"/>
        <v>9.3000000000000007</v>
      </c>
      <c r="AF122" s="123">
        <f t="shared" si="47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5"/>
        <v>0</v>
      </c>
      <c r="C123" s="124">
        <v>0</v>
      </c>
      <c r="D123" s="123">
        <f t="shared" si="48"/>
        <v>0</v>
      </c>
      <c r="E123" s="123">
        <f t="shared" si="48"/>
        <v>0</v>
      </c>
      <c r="F123" s="123">
        <f t="shared" si="48"/>
        <v>0</v>
      </c>
      <c r="G123" s="123">
        <f t="shared" si="48"/>
        <v>0</v>
      </c>
      <c r="H123" s="123">
        <f t="shared" si="48"/>
        <v>0</v>
      </c>
      <c r="I123" s="123">
        <f t="shared" si="48"/>
        <v>0</v>
      </c>
      <c r="J123" s="123">
        <f t="shared" si="48"/>
        <v>0</v>
      </c>
      <c r="K123" s="123">
        <f t="shared" si="48"/>
        <v>0</v>
      </c>
      <c r="L123" s="123">
        <f t="shared" si="48"/>
        <v>0</v>
      </c>
      <c r="M123" s="123">
        <f t="shared" si="48"/>
        <v>0</v>
      </c>
      <c r="N123" s="123">
        <f t="shared" si="48"/>
        <v>0</v>
      </c>
      <c r="O123" s="123">
        <f t="shared" si="48"/>
        <v>0</v>
      </c>
      <c r="P123" s="123">
        <f t="shared" si="48"/>
        <v>0</v>
      </c>
      <c r="Q123" s="123">
        <f t="shared" si="48"/>
        <v>0</v>
      </c>
      <c r="R123" s="123">
        <f t="shared" si="48"/>
        <v>0</v>
      </c>
      <c r="S123" s="123">
        <f t="shared" si="48"/>
        <v>0</v>
      </c>
      <c r="T123" s="123">
        <f t="shared" si="47"/>
        <v>0</v>
      </c>
      <c r="U123" s="123">
        <f t="shared" si="47"/>
        <v>0</v>
      </c>
      <c r="V123" s="123">
        <f t="shared" si="47"/>
        <v>0</v>
      </c>
      <c r="W123" s="123">
        <f t="shared" si="47"/>
        <v>0</v>
      </c>
      <c r="X123" s="123">
        <f t="shared" si="47"/>
        <v>0</v>
      </c>
      <c r="Y123" s="123">
        <f t="shared" si="47"/>
        <v>0</v>
      </c>
      <c r="Z123" s="123">
        <f t="shared" si="47"/>
        <v>0</v>
      </c>
      <c r="AA123" s="123">
        <f t="shared" si="47"/>
        <v>0</v>
      </c>
      <c r="AB123" s="123">
        <f t="shared" si="47"/>
        <v>0</v>
      </c>
      <c r="AC123" s="123">
        <f t="shared" si="47"/>
        <v>0</v>
      </c>
      <c r="AD123" s="123">
        <f t="shared" si="47"/>
        <v>0</v>
      </c>
      <c r="AE123" s="123">
        <f t="shared" si="47"/>
        <v>0</v>
      </c>
      <c r="AF123" s="123">
        <f t="shared" si="47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5"/>
        <v>0</v>
      </c>
      <c r="C124" s="124">
        <v>0</v>
      </c>
      <c r="D124" s="123">
        <f t="shared" si="48"/>
        <v>0</v>
      </c>
      <c r="E124" s="123">
        <f t="shared" si="48"/>
        <v>0</v>
      </c>
      <c r="F124" s="123">
        <f t="shared" si="48"/>
        <v>0</v>
      </c>
      <c r="G124" s="123">
        <f t="shared" si="48"/>
        <v>0</v>
      </c>
      <c r="H124" s="123">
        <f t="shared" si="48"/>
        <v>0</v>
      </c>
      <c r="I124" s="123">
        <f t="shared" si="48"/>
        <v>0</v>
      </c>
      <c r="J124" s="123">
        <f t="shared" si="48"/>
        <v>0</v>
      </c>
      <c r="K124" s="123">
        <f t="shared" si="48"/>
        <v>0</v>
      </c>
      <c r="L124" s="123">
        <f t="shared" si="48"/>
        <v>0</v>
      </c>
      <c r="M124" s="123">
        <f t="shared" si="48"/>
        <v>0</v>
      </c>
      <c r="N124" s="123">
        <f t="shared" si="48"/>
        <v>0</v>
      </c>
      <c r="O124" s="123">
        <f t="shared" si="48"/>
        <v>0</v>
      </c>
      <c r="P124" s="123">
        <f t="shared" si="48"/>
        <v>0</v>
      </c>
      <c r="Q124" s="123">
        <f t="shared" si="48"/>
        <v>0</v>
      </c>
      <c r="R124" s="123">
        <f t="shared" si="48"/>
        <v>0</v>
      </c>
      <c r="S124" s="123">
        <f t="shared" si="48"/>
        <v>0</v>
      </c>
      <c r="T124" s="123">
        <f t="shared" si="47"/>
        <v>0</v>
      </c>
      <c r="U124" s="123">
        <f t="shared" si="47"/>
        <v>0</v>
      </c>
      <c r="V124" s="123">
        <f t="shared" si="47"/>
        <v>0</v>
      </c>
      <c r="W124" s="123">
        <f t="shared" si="47"/>
        <v>0</v>
      </c>
      <c r="X124" s="123">
        <f t="shared" si="47"/>
        <v>0</v>
      </c>
      <c r="Y124" s="123">
        <f t="shared" si="47"/>
        <v>0</v>
      </c>
      <c r="Z124" s="123">
        <f t="shared" si="47"/>
        <v>0</v>
      </c>
      <c r="AA124" s="123">
        <f t="shared" si="47"/>
        <v>0</v>
      </c>
      <c r="AB124" s="123">
        <f t="shared" si="47"/>
        <v>0</v>
      </c>
      <c r="AC124" s="123">
        <f t="shared" si="47"/>
        <v>0</v>
      </c>
      <c r="AD124" s="123">
        <f t="shared" si="47"/>
        <v>0</v>
      </c>
      <c r="AE124" s="123">
        <f t="shared" si="47"/>
        <v>0</v>
      </c>
      <c r="AF124" s="123">
        <f t="shared" si="47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5"/>
        <v>;/</v>
      </c>
      <c r="C125" s="124">
        <v>5</v>
      </c>
      <c r="D125" s="123">
        <f t="shared" si="48"/>
        <v>5</v>
      </c>
      <c r="E125" s="123">
        <f t="shared" si="48"/>
        <v>5</v>
      </c>
      <c r="F125" s="123">
        <f t="shared" si="48"/>
        <v>5</v>
      </c>
      <c r="G125" s="123">
        <f t="shared" si="48"/>
        <v>5</v>
      </c>
      <c r="H125" s="123">
        <f t="shared" si="48"/>
        <v>5</v>
      </c>
      <c r="I125" s="123" t="s">
        <v>130</v>
      </c>
      <c r="J125" s="123" t="str">
        <f t="shared" si="48"/>
        <v>;/</v>
      </c>
      <c r="K125" s="123" t="str">
        <f t="shared" si="48"/>
        <v>;/</v>
      </c>
      <c r="L125" s="123" t="str">
        <f t="shared" si="48"/>
        <v>;/</v>
      </c>
      <c r="M125" s="123" t="str">
        <f t="shared" si="48"/>
        <v>;/</v>
      </c>
      <c r="N125" s="123" t="str">
        <f t="shared" si="48"/>
        <v>;/</v>
      </c>
      <c r="O125" s="123" t="str">
        <f t="shared" si="48"/>
        <v>;/</v>
      </c>
      <c r="P125" s="123" t="str">
        <f t="shared" si="48"/>
        <v>;/</v>
      </c>
      <c r="Q125" s="123" t="str">
        <f t="shared" si="48"/>
        <v>;/</v>
      </c>
      <c r="R125" s="123" t="str">
        <f t="shared" si="48"/>
        <v>;/</v>
      </c>
      <c r="S125" s="123" t="str">
        <f t="shared" si="48"/>
        <v>;/</v>
      </c>
      <c r="T125" s="123" t="str">
        <f t="shared" si="47"/>
        <v>;/</v>
      </c>
      <c r="U125" s="123" t="str">
        <f t="shared" si="47"/>
        <v>;/</v>
      </c>
      <c r="V125" s="123" t="str">
        <f t="shared" si="47"/>
        <v>;/</v>
      </c>
      <c r="W125" s="123" t="str">
        <f t="shared" si="47"/>
        <v>;/</v>
      </c>
      <c r="X125" s="123" t="str">
        <f t="shared" si="47"/>
        <v>;/</v>
      </c>
      <c r="Y125" s="123" t="str">
        <f t="shared" si="47"/>
        <v>;/</v>
      </c>
      <c r="Z125" s="123" t="str">
        <f t="shared" si="47"/>
        <v>;/</v>
      </c>
      <c r="AA125" s="123" t="str">
        <f t="shared" si="47"/>
        <v>;/</v>
      </c>
      <c r="AB125" s="123" t="str">
        <f t="shared" si="47"/>
        <v>;/</v>
      </c>
      <c r="AC125" s="123" t="str">
        <f t="shared" si="47"/>
        <v>;/</v>
      </c>
      <c r="AD125" s="123" t="str">
        <f t="shared" si="47"/>
        <v>;/</v>
      </c>
      <c r="AE125" s="123" t="str">
        <f t="shared" si="47"/>
        <v>;/</v>
      </c>
      <c r="AF125" s="123" t="str">
        <f t="shared" si="47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5"/>
        <v>1</v>
      </c>
      <c r="C126" s="124">
        <v>1</v>
      </c>
      <c r="D126" s="123">
        <f t="shared" si="48"/>
        <v>1</v>
      </c>
      <c r="E126" s="123">
        <f t="shared" si="48"/>
        <v>1</v>
      </c>
      <c r="F126" s="123">
        <f t="shared" si="48"/>
        <v>1</v>
      </c>
      <c r="G126" s="123">
        <f t="shared" si="48"/>
        <v>1</v>
      </c>
      <c r="H126" s="123">
        <f t="shared" si="48"/>
        <v>1</v>
      </c>
      <c r="I126" s="123">
        <f t="shared" si="48"/>
        <v>1</v>
      </c>
      <c r="J126" s="123">
        <f t="shared" si="48"/>
        <v>1</v>
      </c>
      <c r="K126" s="123">
        <f t="shared" si="48"/>
        <v>1</v>
      </c>
      <c r="L126" s="123">
        <f t="shared" si="48"/>
        <v>1</v>
      </c>
      <c r="M126" s="123">
        <f t="shared" si="48"/>
        <v>1</v>
      </c>
      <c r="N126" s="123">
        <f t="shared" si="48"/>
        <v>1</v>
      </c>
      <c r="O126" s="123">
        <f t="shared" si="48"/>
        <v>1</v>
      </c>
      <c r="P126" s="123">
        <f t="shared" si="48"/>
        <v>1</v>
      </c>
      <c r="Q126" s="123">
        <f t="shared" si="48"/>
        <v>1</v>
      </c>
      <c r="R126" s="123">
        <f t="shared" si="48"/>
        <v>1</v>
      </c>
      <c r="S126" s="123">
        <f t="shared" si="48"/>
        <v>1</v>
      </c>
      <c r="T126" s="123">
        <f t="shared" si="47"/>
        <v>1</v>
      </c>
      <c r="U126" s="123">
        <f t="shared" si="47"/>
        <v>1</v>
      </c>
      <c r="V126" s="123">
        <f t="shared" si="47"/>
        <v>1</v>
      </c>
      <c r="W126" s="123">
        <f t="shared" si="47"/>
        <v>1</v>
      </c>
      <c r="X126" s="123">
        <f t="shared" si="47"/>
        <v>1</v>
      </c>
      <c r="Y126" s="123">
        <f t="shared" si="47"/>
        <v>1</v>
      </c>
      <c r="Z126" s="123">
        <f t="shared" si="47"/>
        <v>1</v>
      </c>
      <c r="AA126" s="123">
        <f t="shared" si="47"/>
        <v>1</v>
      </c>
      <c r="AB126" s="123">
        <f t="shared" si="47"/>
        <v>1</v>
      </c>
      <c r="AC126" s="123">
        <f t="shared" si="47"/>
        <v>1</v>
      </c>
      <c r="AD126" s="123">
        <f t="shared" si="47"/>
        <v>1</v>
      </c>
      <c r="AE126" s="123">
        <f t="shared" si="47"/>
        <v>1</v>
      </c>
      <c r="AF126" s="123">
        <f t="shared" si="47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5"/>
        <v>1.58</v>
      </c>
      <c r="C127" s="124">
        <v>1.58</v>
      </c>
      <c r="D127" s="123">
        <f t="shared" si="48"/>
        <v>1.58</v>
      </c>
      <c r="E127" s="123">
        <f t="shared" si="48"/>
        <v>1.58</v>
      </c>
      <c r="F127" s="123">
        <f t="shared" si="48"/>
        <v>1.58</v>
      </c>
      <c r="G127" s="123">
        <f t="shared" si="48"/>
        <v>1.58</v>
      </c>
      <c r="H127" s="123">
        <f t="shared" si="48"/>
        <v>1.58</v>
      </c>
      <c r="I127" s="123">
        <f t="shared" si="48"/>
        <v>1.58</v>
      </c>
      <c r="J127" s="123">
        <f t="shared" si="48"/>
        <v>1.58</v>
      </c>
      <c r="K127" s="123">
        <f t="shared" si="48"/>
        <v>1.58</v>
      </c>
      <c r="L127" s="123">
        <f t="shared" si="48"/>
        <v>1.58</v>
      </c>
      <c r="M127" s="123">
        <f t="shared" si="48"/>
        <v>1.58</v>
      </c>
      <c r="N127" s="123">
        <f t="shared" si="48"/>
        <v>1.58</v>
      </c>
      <c r="O127" s="123">
        <f t="shared" si="48"/>
        <v>1.58</v>
      </c>
      <c r="P127" s="123">
        <f t="shared" si="48"/>
        <v>1.58</v>
      </c>
      <c r="Q127" s="123">
        <f t="shared" si="48"/>
        <v>1.58</v>
      </c>
      <c r="R127" s="123">
        <f t="shared" si="48"/>
        <v>1.58</v>
      </c>
      <c r="S127" s="123">
        <f t="shared" si="48"/>
        <v>1.58</v>
      </c>
      <c r="T127" s="123">
        <f t="shared" si="47"/>
        <v>1.58</v>
      </c>
      <c r="U127" s="123">
        <f t="shared" si="47"/>
        <v>1.58</v>
      </c>
      <c r="V127" s="123">
        <f t="shared" si="47"/>
        <v>1.58</v>
      </c>
      <c r="W127" s="123">
        <f t="shared" si="47"/>
        <v>1.58</v>
      </c>
      <c r="X127" s="123">
        <f t="shared" si="47"/>
        <v>1.58</v>
      </c>
      <c r="Y127" s="123">
        <f t="shared" si="47"/>
        <v>1.58</v>
      </c>
      <c r="Z127" s="123">
        <f t="shared" si="47"/>
        <v>1.58</v>
      </c>
      <c r="AA127" s="123">
        <f t="shared" si="47"/>
        <v>1.58</v>
      </c>
      <c r="AB127" s="123">
        <f t="shared" si="47"/>
        <v>1.58</v>
      </c>
      <c r="AC127" s="123">
        <f t="shared" si="47"/>
        <v>1.58</v>
      </c>
      <c r="AD127" s="123">
        <f t="shared" si="47"/>
        <v>1.58</v>
      </c>
      <c r="AE127" s="123">
        <f t="shared" si="47"/>
        <v>1.58</v>
      </c>
      <c r="AF127" s="123">
        <f t="shared" si="47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5"/>
        <v>1.46</v>
      </c>
      <c r="C128" s="124">
        <v>1.46</v>
      </c>
      <c r="D128" s="123">
        <f t="shared" si="48"/>
        <v>1.46</v>
      </c>
      <c r="E128" s="123">
        <f t="shared" si="48"/>
        <v>1.46</v>
      </c>
      <c r="F128" s="123">
        <f t="shared" si="48"/>
        <v>1.46</v>
      </c>
      <c r="G128" s="123">
        <f t="shared" si="48"/>
        <v>1.46</v>
      </c>
      <c r="H128" s="123">
        <f t="shared" si="48"/>
        <v>1.46</v>
      </c>
      <c r="I128" s="123">
        <f t="shared" si="48"/>
        <v>1.46</v>
      </c>
      <c r="J128" s="123">
        <f t="shared" si="48"/>
        <v>1.46</v>
      </c>
      <c r="K128" s="123">
        <f t="shared" si="48"/>
        <v>1.46</v>
      </c>
      <c r="L128" s="123">
        <f t="shared" si="48"/>
        <v>1.46</v>
      </c>
      <c r="M128" s="123">
        <f t="shared" si="48"/>
        <v>1.46</v>
      </c>
      <c r="N128" s="123">
        <f t="shared" si="48"/>
        <v>1.46</v>
      </c>
      <c r="O128" s="123">
        <f t="shared" si="48"/>
        <v>1.46</v>
      </c>
      <c r="P128" s="123">
        <f t="shared" si="48"/>
        <v>1.46</v>
      </c>
      <c r="Q128" s="123">
        <f t="shared" si="48"/>
        <v>1.46</v>
      </c>
      <c r="R128" s="123">
        <f t="shared" si="48"/>
        <v>1.46</v>
      </c>
      <c r="S128" s="123">
        <f t="shared" si="48"/>
        <v>1.46</v>
      </c>
      <c r="T128" s="123">
        <f t="shared" ref="T128:AF129" si="49">S128</f>
        <v>1.46</v>
      </c>
      <c r="U128" s="123">
        <f t="shared" si="49"/>
        <v>1.46</v>
      </c>
      <c r="V128" s="123">
        <f t="shared" si="49"/>
        <v>1.46</v>
      </c>
      <c r="W128" s="123">
        <f t="shared" si="49"/>
        <v>1.46</v>
      </c>
      <c r="X128" s="123">
        <f t="shared" si="49"/>
        <v>1.46</v>
      </c>
      <c r="Y128" s="123">
        <f t="shared" si="49"/>
        <v>1.46</v>
      </c>
      <c r="Z128" s="123">
        <f t="shared" si="49"/>
        <v>1.46</v>
      </c>
      <c r="AA128" s="123">
        <f t="shared" si="49"/>
        <v>1.46</v>
      </c>
      <c r="AB128" s="123">
        <f t="shared" si="49"/>
        <v>1.46</v>
      </c>
      <c r="AC128" s="123">
        <f t="shared" si="49"/>
        <v>1.46</v>
      </c>
      <c r="AD128" s="123">
        <f t="shared" si="49"/>
        <v>1.46</v>
      </c>
      <c r="AE128" s="123">
        <f t="shared" si="49"/>
        <v>1.46</v>
      </c>
      <c r="AF128" s="123">
        <f t="shared" si="49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5"/>
        <v>1.48</v>
      </c>
      <c r="C129" s="124">
        <v>1.48</v>
      </c>
      <c r="D129" s="123">
        <f t="shared" si="48"/>
        <v>1.48</v>
      </c>
      <c r="E129" s="123">
        <f t="shared" si="48"/>
        <v>1.48</v>
      </c>
      <c r="F129" s="123">
        <f t="shared" si="48"/>
        <v>1.48</v>
      </c>
      <c r="G129" s="123">
        <f t="shared" si="48"/>
        <v>1.48</v>
      </c>
      <c r="H129" s="123">
        <f t="shared" si="48"/>
        <v>1.48</v>
      </c>
      <c r="I129" s="123">
        <f t="shared" si="48"/>
        <v>1.48</v>
      </c>
      <c r="J129" s="123">
        <f t="shared" si="48"/>
        <v>1.48</v>
      </c>
      <c r="K129" s="123">
        <f t="shared" si="48"/>
        <v>1.48</v>
      </c>
      <c r="L129" s="123">
        <f t="shared" si="48"/>
        <v>1.48</v>
      </c>
      <c r="M129" s="123">
        <f t="shared" si="48"/>
        <v>1.48</v>
      </c>
      <c r="N129" s="123">
        <f t="shared" si="48"/>
        <v>1.48</v>
      </c>
      <c r="O129" s="123">
        <f t="shared" si="48"/>
        <v>1.48</v>
      </c>
      <c r="P129" s="123">
        <f t="shared" si="48"/>
        <v>1.48</v>
      </c>
      <c r="Q129" s="123">
        <f t="shared" si="48"/>
        <v>1.48</v>
      </c>
      <c r="R129" s="123">
        <f t="shared" si="48"/>
        <v>1.48</v>
      </c>
      <c r="S129" s="123">
        <f t="shared" si="48"/>
        <v>1.48</v>
      </c>
      <c r="T129" s="123">
        <f t="shared" si="49"/>
        <v>1.48</v>
      </c>
      <c r="U129" s="123">
        <f t="shared" si="49"/>
        <v>1.48</v>
      </c>
      <c r="V129" s="123">
        <f t="shared" si="49"/>
        <v>1.48</v>
      </c>
      <c r="W129" s="123">
        <f t="shared" si="49"/>
        <v>1.48</v>
      </c>
      <c r="X129" s="123">
        <f t="shared" si="49"/>
        <v>1.48</v>
      </c>
      <c r="Y129" s="123">
        <f t="shared" si="49"/>
        <v>1.48</v>
      </c>
      <c r="Z129" s="123">
        <f t="shared" si="49"/>
        <v>1.48</v>
      </c>
      <c r="AA129" s="123">
        <f t="shared" si="49"/>
        <v>1.48</v>
      </c>
      <c r="AB129" s="123">
        <f t="shared" si="49"/>
        <v>1.48</v>
      </c>
      <c r="AC129" s="123">
        <f t="shared" si="49"/>
        <v>1.48</v>
      </c>
      <c r="AD129" s="123">
        <f t="shared" si="49"/>
        <v>1.48</v>
      </c>
      <c r="AE129" s="123">
        <f t="shared" si="49"/>
        <v>1.48</v>
      </c>
      <c r="AF129" s="123">
        <f t="shared" si="49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50">AF131</f>
        <v>2.2000000000000002</v>
      </c>
      <c r="C131" s="124">
        <v>2.2000000000000002</v>
      </c>
      <c r="D131" s="123">
        <f t="shared" ref="D131:S138" si="51">C131</f>
        <v>2.2000000000000002</v>
      </c>
      <c r="E131" s="123">
        <f t="shared" si="51"/>
        <v>2.2000000000000002</v>
      </c>
      <c r="F131" s="123">
        <f t="shared" si="51"/>
        <v>2.2000000000000002</v>
      </c>
      <c r="G131" s="123">
        <f t="shared" si="51"/>
        <v>2.2000000000000002</v>
      </c>
      <c r="H131" s="123">
        <f t="shared" si="51"/>
        <v>2.2000000000000002</v>
      </c>
      <c r="I131" s="123">
        <f t="shared" si="51"/>
        <v>2.2000000000000002</v>
      </c>
      <c r="J131" s="123">
        <f t="shared" si="51"/>
        <v>2.2000000000000002</v>
      </c>
      <c r="K131" s="123">
        <f t="shared" si="51"/>
        <v>2.2000000000000002</v>
      </c>
      <c r="L131" s="123">
        <f t="shared" si="51"/>
        <v>2.2000000000000002</v>
      </c>
      <c r="M131" s="123">
        <f t="shared" si="51"/>
        <v>2.2000000000000002</v>
      </c>
      <c r="N131" s="123">
        <f t="shared" si="51"/>
        <v>2.2000000000000002</v>
      </c>
      <c r="O131" s="123">
        <f t="shared" si="51"/>
        <v>2.2000000000000002</v>
      </c>
      <c r="P131" s="123">
        <f t="shared" si="51"/>
        <v>2.2000000000000002</v>
      </c>
      <c r="Q131" s="123">
        <f t="shared" si="51"/>
        <v>2.2000000000000002</v>
      </c>
      <c r="R131" s="123">
        <f t="shared" si="51"/>
        <v>2.2000000000000002</v>
      </c>
      <c r="S131" s="123">
        <f t="shared" si="51"/>
        <v>2.2000000000000002</v>
      </c>
      <c r="T131" s="123">
        <f t="shared" ref="T131:AF138" si="52">S131</f>
        <v>2.2000000000000002</v>
      </c>
      <c r="U131" s="123">
        <f t="shared" si="52"/>
        <v>2.2000000000000002</v>
      </c>
      <c r="V131" s="123">
        <f t="shared" si="52"/>
        <v>2.2000000000000002</v>
      </c>
      <c r="W131" s="123">
        <f t="shared" si="52"/>
        <v>2.2000000000000002</v>
      </c>
      <c r="X131" s="123">
        <f t="shared" si="52"/>
        <v>2.2000000000000002</v>
      </c>
      <c r="Y131" s="123">
        <f t="shared" si="52"/>
        <v>2.2000000000000002</v>
      </c>
      <c r="Z131" s="123">
        <f t="shared" si="52"/>
        <v>2.2000000000000002</v>
      </c>
      <c r="AA131" s="123">
        <f t="shared" si="52"/>
        <v>2.2000000000000002</v>
      </c>
      <c r="AB131" s="123">
        <f t="shared" si="52"/>
        <v>2.2000000000000002</v>
      </c>
      <c r="AC131" s="123">
        <f t="shared" si="52"/>
        <v>2.2000000000000002</v>
      </c>
      <c r="AD131" s="123">
        <f t="shared" si="52"/>
        <v>2.2000000000000002</v>
      </c>
      <c r="AE131" s="123">
        <f t="shared" si="52"/>
        <v>2.2000000000000002</v>
      </c>
      <c r="AF131" s="123">
        <f t="shared" si="52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50"/>
        <v>2</v>
      </c>
      <c r="C132" s="124">
        <v>2</v>
      </c>
      <c r="D132" s="123">
        <f t="shared" si="51"/>
        <v>2</v>
      </c>
      <c r="E132" s="123">
        <f t="shared" si="51"/>
        <v>2</v>
      </c>
      <c r="F132" s="123">
        <f t="shared" si="51"/>
        <v>2</v>
      </c>
      <c r="G132" s="123">
        <f t="shared" si="51"/>
        <v>2</v>
      </c>
      <c r="H132" s="123">
        <f t="shared" si="51"/>
        <v>2</v>
      </c>
      <c r="I132" s="123">
        <f t="shared" si="51"/>
        <v>2</v>
      </c>
      <c r="J132" s="123">
        <f t="shared" si="51"/>
        <v>2</v>
      </c>
      <c r="K132" s="123">
        <f t="shared" si="51"/>
        <v>2</v>
      </c>
      <c r="L132" s="123">
        <f t="shared" si="51"/>
        <v>2</v>
      </c>
      <c r="M132" s="123">
        <f t="shared" si="51"/>
        <v>2</v>
      </c>
      <c r="N132" s="123">
        <f t="shared" si="51"/>
        <v>2</v>
      </c>
      <c r="O132" s="123">
        <f t="shared" si="51"/>
        <v>2</v>
      </c>
      <c r="P132" s="123">
        <f t="shared" si="51"/>
        <v>2</v>
      </c>
      <c r="Q132" s="123">
        <f t="shared" si="51"/>
        <v>2</v>
      </c>
      <c r="R132" s="123">
        <f t="shared" si="51"/>
        <v>2</v>
      </c>
      <c r="S132" s="123">
        <f t="shared" si="51"/>
        <v>2</v>
      </c>
      <c r="T132" s="123">
        <f t="shared" si="52"/>
        <v>2</v>
      </c>
      <c r="U132" s="123">
        <f t="shared" si="52"/>
        <v>2</v>
      </c>
      <c r="V132" s="123">
        <f t="shared" si="52"/>
        <v>2</v>
      </c>
      <c r="W132" s="123">
        <f t="shared" si="52"/>
        <v>2</v>
      </c>
      <c r="X132" s="123">
        <f t="shared" si="52"/>
        <v>2</v>
      </c>
      <c r="Y132" s="123">
        <f t="shared" si="52"/>
        <v>2</v>
      </c>
      <c r="Z132" s="123">
        <f t="shared" si="52"/>
        <v>2</v>
      </c>
      <c r="AA132" s="123">
        <f t="shared" si="52"/>
        <v>2</v>
      </c>
      <c r="AB132" s="123">
        <f t="shared" si="52"/>
        <v>2</v>
      </c>
      <c r="AC132" s="123">
        <f t="shared" si="52"/>
        <v>2</v>
      </c>
      <c r="AD132" s="123">
        <f t="shared" si="52"/>
        <v>2</v>
      </c>
      <c r="AE132" s="123">
        <f t="shared" si="52"/>
        <v>2</v>
      </c>
      <c r="AF132" s="123">
        <f t="shared" si="52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50"/>
        <v>1.25</v>
      </c>
      <c r="C133" s="124">
        <v>1.25</v>
      </c>
      <c r="D133" s="123">
        <f t="shared" si="51"/>
        <v>1.25</v>
      </c>
      <c r="E133" s="123">
        <f t="shared" si="51"/>
        <v>1.25</v>
      </c>
      <c r="F133" s="123">
        <f t="shared" si="51"/>
        <v>1.25</v>
      </c>
      <c r="G133" s="123">
        <f t="shared" si="51"/>
        <v>1.25</v>
      </c>
      <c r="H133" s="123">
        <f t="shared" si="51"/>
        <v>1.25</v>
      </c>
      <c r="I133" s="123">
        <f t="shared" si="51"/>
        <v>1.25</v>
      </c>
      <c r="J133" s="123">
        <f t="shared" si="51"/>
        <v>1.25</v>
      </c>
      <c r="K133" s="123">
        <f t="shared" si="51"/>
        <v>1.25</v>
      </c>
      <c r="L133" s="123">
        <f t="shared" si="51"/>
        <v>1.25</v>
      </c>
      <c r="M133" s="123">
        <f t="shared" si="51"/>
        <v>1.25</v>
      </c>
      <c r="N133" s="123">
        <f t="shared" si="51"/>
        <v>1.25</v>
      </c>
      <c r="O133" s="123">
        <f t="shared" si="51"/>
        <v>1.25</v>
      </c>
      <c r="P133" s="123">
        <f t="shared" si="51"/>
        <v>1.25</v>
      </c>
      <c r="Q133" s="123">
        <f t="shared" si="51"/>
        <v>1.25</v>
      </c>
      <c r="R133" s="123">
        <f t="shared" si="51"/>
        <v>1.25</v>
      </c>
      <c r="S133" s="123">
        <f t="shared" si="51"/>
        <v>1.25</v>
      </c>
      <c r="T133" s="123">
        <f t="shared" si="52"/>
        <v>1.25</v>
      </c>
      <c r="U133" s="123">
        <f t="shared" si="52"/>
        <v>1.25</v>
      </c>
      <c r="V133" s="123">
        <f t="shared" si="52"/>
        <v>1.25</v>
      </c>
      <c r="W133" s="123">
        <f t="shared" si="52"/>
        <v>1.25</v>
      </c>
      <c r="X133" s="123">
        <f t="shared" si="52"/>
        <v>1.25</v>
      </c>
      <c r="Y133" s="123">
        <f t="shared" si="52"/>
        <v>1.25</v>
      </c>
      <c r="Z133" s="123">
        <f t="shared" si="52"/>
        <v>1.25</v>
      </c>
      <c r="AA133" s="123">
        <f t="shared" si="52"/>
        <v>1.25</v>
      </c>
      <c r="AB133" s="123">
        <f t="shared" si="52"/>
        <v>1.25</v>
      </c>
      <c r="AC133" s="123">
        <f t="shared" si="52"/>
        <v>1.25</v>
      </c>
      <c r="AD133" s="123">
        <f t="shared" si="52"/>
        <v>1.25</v>
      </c>
      <c r="AE133" s="123">
        <f t="shared" si="52"/>
        <v>1.25</v>
      </c>
      <c r="AF133" s="123">
        <f t="shared" si="52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50"/>
        <v>1.1499999999999999</v>
      </c>
      <c r="C134" s="124">
        <v>1.1499999999999999</v>
      </c>
      <c r="D134" s="123">
        <f t="shared" si="51"/>
        <v>1.1499999999999999</v>
      </c>
      <c r="E134" s="123">
        <f t="shared" si="51"/>
        <v>1.1499999999999999</v>
      </c>
      <c r="F134" s="123">
        <f t="shared" si="51"/>
        <v>1.1499999999999999</v>
      </c>
      <c r="G134" s="123">
        <f t="shared" si="51"/>
        <v>1.1499999999999999</v>
      </c>
      <c r="H134" s="123">
        <f t="shared" si="51"/>
        <v>1.1499999999999999</v>
      </c>
      <c r="I134" s="123">
        <f t="shared" si="51"/>
        <v>1.1499999999999999</v>
      </c>
      <c r="J134" s="123">
        <f t="shared" si="51"/>
        <v>1.1499999999999999</v>
      </c>
      <c r="K134" s="123">
        <f t="shared" si="51"/>
        <v>1.1499999999999999</v>
      </c>
      <c r="L134" s="123">
        <f t="shared" si="51"/>
        <v>1.1499999999999999</v>
      </c>
      <c r="M134" s="123">
        <f t="shared" si="51"/>
        <v>1.1499999999999999</v>
      </c>
      <c r="N134" s="123">
        <f t="shared" si="51"/>
        <v>1.1499999999999999</v>
      </c>
      <c r="O134" s="123">
        <f t="shared" si="51"/>
        <v>1.1499999999999999</v>
      </c>
      <c r="P134" s="123">
        <f t="shared" si="51"/>
        <v>1.1499999999999999</v>
      </c>
      <c r="Q134" s="123">
        <f t="shared" si="51"/>
        <v>1.1499999999999999</v>
      </c>
      <c r="R134" s="123">
        <f t="shared" si="51"/>
        <v>1.1499999999999999</v>
      </c>
      <c r="S134" s="123">
        <f t="shared" si="51"/>
        <v>1.1499999999999999</v>
      </c>
      <c r="T134" s="123">
        <f t="shared" si="52"/>
        <v>1.1499999999999999</v>
      </c>
      <c r="U134" s="123">
        <f t="shared" si="52"/>
        <v>1.1499999999999999</v>
      </c>
      <c r="V134" s="123">
        <f t="shared" si="52"/>
        <v>1.1499999999999999</v>
      </c>
      <c r="W134" s="123">
        <f t="shared" si="52"/>
        <v>1.1499999999999999</v>
      </c>
      <c r="X134" s="123">
        <f t="shared" si="52"/>
        <v>1.1499999999999999</v>
      </c>
      <c r="Y134" s="123">
        <f t="shared" si="52"/>
        <v>1.1499999999999999</v>
      </c>
      <c r="Z134" s="123">
        <f t="shared" si="52"/>
        <v>1.1499999999999999</v>
      </c>
      <c r="AA134" s="123">
        <f t="shared" si="52"/>
        <v>1.1499999999999999</v>
      </c>
      <c r="AB134" s="123">
        <f t="shared" si="52"/>
        <v>1.1499999999999999</v>
      </c>
      <c r="AC134" s="123">
        <f t="shared" si="52"/>
        <v>1.1499999999999999</v>
      </c>
      <c r="AD134" s="123">
        <f t="shared" si="52"/>
        <v>1.1499999999999999</v>
      </c>
      <c r="AE134" s="123">
        <f t="shared" si="52"/>
        <v>1.1499999999999999</v>
      </c>
      <c r="AF134" s="123">
        <f t="shared" si="52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50"/>
        <v>2.133</v>
      </c>
      <c r="C135" s="124">
        <v>2.133</v>
      </c>
      <c r="D135" s="123">
        <f t="shared" si="51"/>
        <v>2.133</v>
      </c>
      <c r="E135" s="123">
        <f t="shared" si="51"/>
        <v>2.133</v>
      </c>
      <c r="F135" s="123">
        <f t="shared" si="51"/>
        <v>2.133</v>
      </c>
      <c r="G135" s="123">
        <f t="shared" si="51"/>
        <v>2.133</v>
      </c>
      <c r="H135" s="123">
        <f t="shared" si="51"/>
        <v>2.133</v>
      </c>
      <c r="I135" s="123">
        <f t="shared" si="51"/>
        <v>2.133</v>
      </c>
      <c r="J135" s="123">
        <f t="shared" si="51"/>
        <v>2.133</v>
      </c>
      <c r="K135" s="123">
        <f t="shared" si="51"/>
        <v>2.133</v>
      </c>
      <c r="L135" s="123">
        <f t="shared" si="51"/>
        <v>2.133</v>
      </c>
      <c r="M135" s="123">
        <f t="shared" si="51"/>
        <v>2.133</v>
      </c>
      <c r="N135" s="123">
        <f t="shared" si="51"/>
        <v>2.133</v>
      </c>
      <c r="O135" s="123">
        <f t="shared" si="51"/>
        <v>2.133</v>
      </c>
      <c r="P135" s="123">
        <f t="shared" si="51"/>
        <v>2.133</v>
      </c>
      <c r="Q135" s="123">
        <f t="shared" si="51"/>
        <v>2.133</v>
      </c>
      <c r="R135" s="123">
        <f t="shared" si="51"/>
        <v>2.133</v>
      </c>
      <c r="S135" s="123">
        <f t="shared" si="51"/>
        <v>2.133</v>
      </c>
      <c r="T135" s="123">
        <f t="shared" si="52"/>
        <v>2.133</v>
      </c>
      <c r="U135" s="123">
        <f t="shared" si="52"/>
        <v>2.133</v>
      </c>
      <c r="V135" s="123">
        <f t="shared" si="52"/>
        <v>2.133</v>
      </c>
      <c r="W135" s="123">
        <f t="shared" si="52"/>
        <v>2.133</v>
      </c>
      <c r="X135" s="123">
        <f t="shared" si="52"/>
        <v>2.133</v>
      </c>
      <c r="Y135" s="123">
        <f t="shared" si="52"/>
        <v>2.133</v>
      </c>
      <c r="Z135" s="123">
        <f t="shared" si="52"/>
        <v>2.133</v>
      </c>
      <c r="AA135" s="123">
        <f t="shared" si="52"/>
        <v>2.133</v>
      </c>
      <c r="AB135" s="123">
        <f t="shared" si="52"/>
        <v>2.133</v>
      </c>
      <c r="AC135" s="123">
        <f t="shared" si="52"/>
        <v>2.133</v>
      </c>
      <c r="AD135" s="123">
        <f t="shared" si="52"/>
        <v>2.133</v>
      </c>
      <c r="AE135" s="123">
        <f t="shared" si="52"/>
        <v>2.133</v>
      </c>
      <c r="AF135" s="123">
        <f t="shared" si="52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50"/>
        <v>2.09</v>
      </c>
      <c r="C136" s="124">
        <v>2.09</v>
      </c>
      <c r="D136" s="123">
        <f t="shared" si="51"/>
        <v>2.09</v>
      </c>
      <c r="E136" s="123">
        <f t="shared" si="51"/>
        <v>2.09</v>
      </c>
      <c r="F136" s="123">
        <f t="shared" si="51"/>
        <v>2.09</v>
      </c>
      <c r="G136" s="123">
        <f t="shared" si="51"/>
        <v>2.09</v>
      </c>
      <c r="H136" s="123">
        <f t="shared" si="51"/>
        <v>2.09</v>
      </c>
      <c r="I136" s="123">
        <f t="shared" si="51"/>
        <v>2.09</v>
      </c>
      <c r="J136" s="123">
        <f t="shared" si="51"/>
        <v>2.09</v>
      </c>
      <c r="K136" s="123">
        <f t="shared" si="51"/>
        <v>2.09</v>
      </c>
      <c r="L136" s="123">
        <f t="shared" si="51"/>
        <v>2.09</v>
      </c>
      <c r="M136" s="123">
        <f t="shared" si="51"/>
        <v>2.09</v>
      </c>
      <c r="N136" s="123">
        <f t="shared" si="51"/>
        <v>2.09</v>
      </c>
      <c r="O136" s="123">
        <f t="shared" si="51"/>
        <v>2.09</v>
      </c>
      <c r="P136" s="123">
        <f t="shared" si="51"/>
        <v>2.09</v>
      </c>
      <c r="Q136" s="123">
        <f t="shared" si="51"/>
        <v>2.09</v>
      </c>
      <c r="R136" s="123">
        <f t="shared" si="51"/>
        <v>2.09</v>
      </c>
      <c r="S136" s="123">
        <f t="shared" si="51"/>
        <v>2.09</v>
      </c>
      <c r="T136" s="123">
        <f t="shared" si="52"/>
        <v>2.09</v>
      </c>
      <c r="U136" s="123">
        <f t="shared" si="52"/>
        <v>2.09</v>
      </c>
      <c r="V136" s="123">
        <f t="shared" si="52"/>
        <v>2.09</v>
      </c>
      <c r="W136" s="123">
        <f t="shared" si="52"/>
        <v>2.09</v>
      </c>
      <c r="X136" s="123">
        <f t="shared" si="52"/>
        <v>2.09</v>
      </c>
      <c r="Y136" s="123">
        <f t="shared" si="52"/>
        <v>2.09</v>
      </c>
      <c r="Z136" s="123">
        <f t="shared" si="52"/>
        <v>2.09</v>
      </c>
      <c r="AA136" s="123">
        <f t="shared" si="52"/>
        <v>2.09</v>
      </c>
      <c r="AB136" s="123">
        <f t="shared" si="52"/>
        <v>2.09</v>
      </c>
      <c r="AC136" s="123">
        <f t="shared" si="52"/>
        <v>2.09</v>
      </c>
      <c r="AD136" s="123">
        <f t="shared" si="52"/>
        <v>2.09</v>
      </c>
      <c r="AE136" s="123">
        <f t="shared" si="52"/>
        <v>2.09</v>
      </c>
      <c r="AF136" s="123">
        <f t="shared" si="52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50"/>
        <v>1.1399999999999999</v>
      </c>
      <c r="C137" s="124">
        <v>1.1399999999999999</v>
      </c>
      <c r="D137" s="123">
        <f t="shared" si="51"/>
        <v>1.1399999999999999</v>
      </c>
      <c r="E137" s="123">
        <f t="shared" si="51"/>
        <v>1.1399999999999999</v>
      </c>
      <c r="F137" s="123">
        <f t="shared" si="51"/>
        <v>1.1399999999999999</v>
      </c>
      <c r="G137" s="123">
        <f t="shared" si="51"/>
        <v>1.1399999999999999</v>
      </c>
      <c r="H137" s="123">
        <f t="shared" si="51"/>
        <v>1.1399999999999999</v>
      </c>
      <c r="I137" s="123">
        <f t="shared" si="51"/>
        <v>1.1399999999999999</v>
      </c>
      <c r="J137" s="123">
        <f t="shared" si="51"/>
        <v>1.1399999999999999</v>
      </c>
      <c r="K137" s="123">
        <f t="shared" si="51"/>
        <v>1.1399999999999999</v>
      </c>
      <c r="L137" s="123">
        <f t="shared" si="51"/>
        <v>1.1399999999999999</v>
      </c>
      <c r="M137" s="123">
        <f t="shared" si="51"/>
        <v>1.1399999999999999</v>
      </c>
      <c r="N137" s="123">
        <f t="shared" si="51"/>
        <v>1.1399999999999999</v>
      </c>
      <c r="O137" s="123">
        <f t="shared" si="51"/>
        <v>1.1399999999999999</v>
      </c>
      <c r="P137" s="123">
        <f t="shared" si="51"/>
        <v>1.1399999999999999</v>
      </c>
      <c r="Q137" s="123">
        <f t="shared" si="51"/>
        <v>1.1399999999999999</v>
      </c>
      <c r="R137" s="123">
        <f t="shared" si="51"/>
        <v>1.1399999999999999</v>
      </c>
      <c r="S137" s="123">
        <f t="shared" si="51"/>
        <v>1.1399999999999999</v>
      </c>
      <c r="T137" s="123">
        <f t="shared" si="52"/>
        <v>1.1399999999999999</v>
      </c>
      <c r="U137" s="123">
        <f t="shared" si="52"/>
        <v>1.1399999999999999</v>
      </c>
      <c r="V137" s="123">
        <f t="shared" si="52"/>
        <v>1.1399999999999999</v>
      </c>
      <c r="W137" s="123">
        <f t="shared" si="52"/>
        <v>1.1399999999999999</v>
      </c>
      <c r="X137" s="123">
        <f t="shared" si="52"/>
        <v>1.1399999999999999</v>
      </c>
      <c r="Y137" s="123">
        <f t="shared" si="52"/>
        <v>1.1399999999999999</v>
      </c>
      <c r="Z137" s="123">
        <f t="shared" si="52"/>
        <v>1.1399999999999999</v>
      </c>
      <c r="AA137" s="123">
        <f t="shared" si="52"/>
        <v>1.1399999999999999</v>
      </c>
      <c r="AB137" s="123">
        <f t="shared" si="52"/>
        <v>1.1399999999999999</v>
      </c>
      <c r="AC137" s="123">
        <f t="shared" si="52"/>
        <v>1.1399999999999999</v>
      </c>
      <c r="AD137" s="123">
        <f t="shared" si="52"/>
        <v>1.1399999999999999</v>
      </c>
      <c r="AE137" s="123">
        <f t="shared" si="52"/>
        <v>1.1399999999999999</v>
      </c>
      <c r="AF137" s="123">
        <f t="shared" si="52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50"/>
        <v>0.82</v>
      </c>
      <c r="C138" s="124">
        <v>0.82</v>
      </c>
      <c r="D138" s="123">
        <f t="shared" si="51"/>
        <v>0.82</v>
      </c>
      <c r="E138" s="123">
        <f t="shared" si="51"/>
        <v>0.82</v>
      </c>
      <c r="F138" s="123">
        <f t="shared" si="51"/>
        <v>0.82</v>
      </c>
      <c r="G138" s="123">
        <f t="shared" si="51"/>
        <v>0.82</v>
      </c>
      <c r="H138" s="123">
        <f t="shared" si="51"/>
        <v>0.82</v>
      </c>
      <c r="I138" s="123">
        <f t="shared" si="51"/>
        <v>0.82</v>
      </c>
      <c r="J138" s="123">
        <f t="shared" si="51"/>
        <v>0.82</v>
      </c>
      <c r="K138" s="123">
        <f t="shared" si="51"/>
        <v>0.82</v>
      </c>
      <c r="L138" s="123">
        <f t="shared" si="51"/>
        <v>0.82</v>
      </c>
      <c r="M138" s="123">
        <f t="shared" si="51"/>
        <v>0.82</v>
      </c>
      <c r="N138" s="123">
        <f t="shared" si="51"/>
        <v>0.82</v>
      </c>
      <c r="O138" s="123">
        <f t="shared" si="51"/>
        <v>0.82</v>
      </c>
      <c r="P138" s="123">
        <f t="shared" si="51"/>
        <v>0.82</v>
      </c>
      <c r="Q138" s="123">
        <f t="shared" si="51"/>
        <v>0.82</v>
      </c>
      <c r="R138" s="123">
        <f t="shared" si="51"/>
        <v>0.82</v>
      </c>
      <c r="S138" s="123">
        <f t="shared" si="51"/>
        <v>0.82</v>
      </c>
      <c r="T138" s="123">
        <f t="shared" si="52"/>
        <v>0.82</v>
      </c>
      <c r="U138" s="123">
        <f t="shared" si="52"/>
        <v>0.82</v>
      </c>
      <c r="V138" s="123">
        <f t="shared" si="52"/>
        <v>0.82</v>
      </c>
      <c r="W138" s="123">
        <f t="shared" si="52"/>
        <v>0.82</v>
      </c>
      <c r="X138" s="123">
        <f t="shared" si="52"/>
        <v>0.82</v>
      </c>
      <c r="Y138" s="123">
        <f t="shared" si="52"/>
        <v>0.82</v>
      </c>
      <c r="Z138" s="123">
        <f t="shared" si="52"/>
        <v>0.82</v>
      </c>
      <c r="AA138" s="123">
        <f t="shared" si="52"/>
        <v>0.82</v>
      </c>
      <c r="AB138" s="123">
        <f t="shared" si="52"/>
        <v>0.82</v>
      </c>
      <c r="AC138" s="123">
        <f t="shared" si="52"/>
        <v>0.82</v>
      </c>
      <c r="AD138" s="123">
        <f t="shared" si="52"/>
        <v>0.82</v>
      </c>
      <c r="AE138" s="123">
        <f t="shared" si="52"/>
        <v>0.82</v>
      </c>
      <c r="AF138" s="123">
        <f t="shared" si="52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3">AF140</f>
        <v>2</v>
      </c>
      <c r="C140" s="124">
        <v>2</v>
      </c>
      <c r="D140" s="123">
        <f t="shared" ref="D140:S146" si="54">C140</f>
        <v>2</v>
      </c>
      <c r="E140" s="123">
        <f t="shared" si="54"/>
        <v>2</v>
      </c>
      <c r="F140" s="123">
        <f t="shared" si="54"/>
        <v>2</v>
      </c>
      <c r="G140" s="123">
        <f t="shared" si="54"/>
        <v>2</v>
      </c>
      <c r="H140" s="123">
        <f t="shared" si="54"/>
        <v>2</v>
      </c>
      <c r="I140" s="123">
        <f t="shared" si="54"/>
        <v>2</v>
      </c>
      <c r="J140" s="123">
        <f t="shared" si="54"/>
        <v>2</v>
      </c>
      <c r="K140" s="123">
        <f t="shared" si="54"/>
        <v>2</v>
      </c>
      <c r="L140" s="123">
        <f t="shared" si="54"/>
        <v>2</v>
      </c>
      <c r="M140" s="123">
        <f t="shared" si="54"/>
        <v>2</v>
      </c>
      <c r="N140" s="123">
        <f t="shared" si="54"/>
        <v>2</v>
      </c>
      <c r="O140" s="123">
        <f t="shared" si="54"/>
        <v>2</v>
      </c>
      <c r="P140" s="123">
        <f t="shared" si="54"/>
        <v>2</v>
      </c>
      <c r="Q140" s="123">
        <f t="shared" si="54"/>
        <v>2</v>
      </c>
      <c r="R140" s="123">
        <f t="shared" si="54"/>
        <v>2</v>
      </c>
      <c r="S140" s="123">
        <f t="shared" si="54"/>
        <v>2</v>
      </c>
      <c r="T140" s="123">
        <f t="shared" ref="T140:AF146" si="55">S140</f>
        <v>2</v>
      </c>
      <c r="U140" s="123">
        <f t="shared" si="55"/>
        <v>2</v>
      </c>
      <c r="V140" s="123">
        <f t="shared" si="55"/>
        <v>2</v>
      </c>
      <c r="W140" s="123">
        <f t="shared" si="55"/>
        <v>2</v>
      </c>
      <c r="X140" s="123">
        <f t="shared" si="55"/>
        <v>2</v>
      </c>
      <c r="Y140" s="123">
        <f t="shared" si="55"/>
        <v>2</v>
      </c>
      <c r="Z140" s="123">
        <f t="shared" si="55"/>
        <v>2</v>
      </c>
      <c r="AA140" s="123">
        <f t="shared" si="55"/>
        <v>2</v>
      </c>
      <c r="AB140" s="123">
        <f t="shared" si="55"/>
        <v>2</v>
      </c>
      <c r="AC140" s="123">
        <f t="shared" si="55"/>
        <v>2</v>
      </c>
      <c r="AD140" s="123">
        <f t="shared" si="55"/>
        <v>2</v>
      </c>
      <c r="AE140" s="123">
        <f t="shared" si="55"/>
        <v>2</v>
      </c>
      <c r="AF140" s="123">
        <f t="shared" si="55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3"/>
        <v>5.61</v>
      </c>
      <c r="C141" s="124">
        <v>5.61</v>
      </c>
      <c r="D141" s="123">
        <f t="shared" si="54"/>
        <v>5.61</v>
      </c>
      <c r="E141" s="123">
        <f t="shared" si="54"/>
        <v>5.61</v>
      </c>
      <c r="F141" s="123">
        <f t="shared" si="54"/>
        <v>5.61</v>
      </c>
      <c r="G141" s="123">
        <f t="shared" si="54"/>
        <v>5.61</v>
      </c>
      <c r="H141" s="123">
        <f t="shared" si="54"/>
        <v>5.61</v>
      </c>
      <c r="I141" s="123">
        <f t="shared" si="54"/>
        <v>5.61</v>
      </c>
      <c r="J141" s="123">
        <f t="shared" si="54"/>
        <v>5.61</v>
      </c>
      <c r="K141" s="123">
        <f t="shared" si="54"/>
        <v>5.61</v>
      </c>
      <c r="L141" s="123">
        <f t="shared" si="54"/>
        <v>5.61</v>
      </c>
      <c r="M141" s="123">
        <f t="shared" si="54"/>
        <v>5.61</v>
      </c>
      <c r="N141" s="123">
        <f t="shared" si="54"/>
        <v>5.61</v>
      </c>
      <c r="O141" s="123">
        <f t="shared" si="54"/>
        <v>5.61</v>
      </c>
      <c r="P141" s="123">
        <f t="shared" si="54"/>
        <v>5.61</v>
      </c>
      <c r="Q141" s="123">
        <f t="shared" si="54"/>
        <v>5.61</v>
      </c>
      <c r="R141" s="123">
        <f t="shared" si="54"/>
        <v>5.61</v>
      </c>
      <c r="S141" s="123">
        <f t="shared" si="54"/>
        <v>5.61</v>
      </c>
      <c r="T141" s="123">
        <f t="shared" si="55"/>
        <v>5.61</v>
      </c>
      <c r="U141" s="123">
        <f t="shared" si="55"/>
        <v>5.61</v>
      </c>
      <c r="V141" s="123">
        <f t="shared" si="55"/>
        <v>5.61</v>
      </c>
      <c r="W141" s="123">
        <f t="shared" si="55"/>
        <v>5.61</v>
      </c>
      <c r="X141" s="123">
        <f t="shared" si="55"/>
        <v>5.61</v>
      </c>
      <c r="Y141" s="123">
        <f t="shared" si="55"/>
        <v>5.61</v>
      </c>
      <c r="Z141" s="123">
        <f t="shared" si="55"/>
        <v>5.61</v>
      </c>
      <c r="AA141" s="123">
        <f t="shared" si="55"/>
        <v>5.61</v>
      </c>
      <c r="AB141" s="123">
        <f t="shared" si="55"/>
        <v>5.61</v>
      </c>
      <c r="AC141" s="123">
        <f t="shared" si="55"/>
        <v>5.61</v>
      </c>
      <c r="AD141" s="123">
        <f t="shared" si="55"/>
        <v>5.61</v>
      </c>
      <c r="AE141" s="123">
        <f t="shared" si="55"/>
        <v>5.61</v>
      </c>
      <c r="AF141" s="123">
        <f t="shared" si="55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3"/>
        <v>1.25</v>
      </c>
      <c r="C142" s="124">
        <v>1.25</v>
      </c>
      <c r="D142" s="123">
        <f t="shared" si="54"/>
        <v>1.25</v>
      </c>
      <c r="E142" s="123">
        <f t="shared" si="54"/>
        <v>1.25</v>
      </c>
      <c r="F142" s="123">
        <f t="shared" si="54"/>
        <v>1.25</v>
      </c>
      <c r="G142" s="123">
        <f t="shared" si="54"/>
        <v>1.25</v>
      </c>
      <c r="H142" s="123">
        <f t="shared" si="54"/>
        <v>1.25</v>
      </c>
      <c r="I142" s="123">
        <f t="shared" si="54"/>
        <v>1.25</v>
      </c>
      <c r="J142" s="123">
        <f t="shared" si="54"/>
        <v>1.25</v>
      </c>
      <c r="K142" s="123">
        <f t="shared" si="54"/>
        <v>1.25</v>
      </c>
      <c r="L142" s="123">
        <f t="shared" si="54"/>
        <v>1.25</v>
      </c>
      <c r="M142" s="123">
        <f t="shared" si="54"/>
        <v>1.25</v>
      </c>
      <c r="N142" s="123">
        <f t="shared" si="54"/>
        <v>1.25</v>
      </c>
      <c r="O142" s="123">
        <f t="shared" si="54"/>
        <v>1.25</v>
      </c>
      <c r="P142" s="123">
        <f t="shared" si="54"/>
        <v>1.25</v>
      </c>
      <c r="Q142" s="123">
        <f t="shared" si="54"/>
        <v>1.25</v>
      </c>
      <c r="R142" s="123">
        <f t="shared" si="54"/>
        <v>1.25</v>
      </c>
      <c r="S142" s="123">
        <f t="shared" si="54"/>
        <v>1.25</v>
      </c>
      <c r="T142" s="123">
        <f t="shared" si="55"/>
        <v>1.25</v>
      </c>
      <c r="U142" s="123">
        <f t="shared" si="55"/>
        <v>1.25</v>
      </c>
      <c r="V142" s="123">
        <f t="shared" si="55"/>
        <v>1.25</v>
      </c>
      <c r="W142" s="123">
        <f t="shared" si="55"/>
        <v>1.25</v>
      </c>
      <c r="X142" s="123">
        <f t="shared" si="55"/>
        <v>1.25</v>
      </c>
      <c r="Y142" s="123">
        <f t="shared" si="55"/>
        <v>1.25</v>
      </c>
      <c r="Z142" s="123">
        <f t="shared" si="55"/>
        <v>1.25</v>
      </c>
      <c r="AA142" s="123">
        <f t="shared" si="55"/>
        <v>1.25</v>
      </c>
      <c r="AB142" s="123">
        <f t="shared" si="55"/>
        <v>1.25</v>
      </c>
      <c r="AC142" s="123">
        <f t="shared" si="55"/>
        <v>1.25</v>
      </c>
      <c r="AD142" s="123">
        <f t="shared" si="55"/>
        <v>1.25</v>
      </c>
      <c r="AE142" s="123">
        <f t="shared" si="55"/>
        <v>1.25</v>
      </c>
      <c r="AF142" s="123">
        <f t="shared" si="55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3"/>
        <v>1.25</v>
      </c>
      <c r="C143" s="124">
        <v>1.25</v>
      </c>
      <c r="D143" s="123">
        <f t="shared" si="54"/>
        <v>1.25</v>
      </c>
      <c r="E143" s="123">
        <f t="shared" si="54"/>
        <v>1.25</v>
      </c>
      <c r="F143" s="123">
        <f t="shared" si="54"/>
        <v>1.25</v>
      </c>
      <c r="G143" s="123">
        <f t="shared" si="54"/>
        <v>1.25</v>
      </c>
      <c r="H143" s="123">
        <f t="shared" si="54"/>
        <v>1.25</v>
      </c>
      <c r="I143" s="123">
        <f t="shared" si="54"/>
        <v>1.25</v>
      </c>
      <c r="J143" s="123">
        <f t="shared" si="54"/>
        <v>1.25</v>
      </c>
      <c r="K143" s="123">
        <f t="shared" si="54"/>
        <v>1.25</v>
      </c>
      <c r="L143" s="123">
        <f t="shared" si="54"/>
        <v>1.25</v>
      </c>
      <c r="M143" s="123">
        <f t="shared" si="54"/>
        <v>1.25</v>
      </c>
      <c r="N143" s="123">
        <f t="shared" si="54"/>
        <v>1.25</v>
      </c>
      <c r="O143" s="123">
        <f t="shared" si="54"/>
        <v>1.25</v>
      </c>
      <c r="P143" s="123">
        <f t="shared" si="54"/>
        <v>1.25</v>
      </c>
      <c r="Q143" s="123">
        <f t="shared" si="54"/>
        <v>1.25</v>
      </c>
      <c r="R143" s="123">
        <f t="shared" si="54"/>
        <v>1.25</v>
      </c>
      <c r="S143" s="123">
        <f t="shared" si="54"/>
        <v>1.25</v>
      </c>
      <c r="T143" s="123">
        <f t="shared" si="55"/>
        <v>1.25</v>
      </c>
      <c r="U143" s="123">
        <f t="shared" si="55"/>
        <v>1.25</v>
      </c>
      <c r="V143" s="123">
        <f t="shared" si="55"/>
        <v>1.25</v>
      </c>
      <c r="W143" s="123">
        <f t="shared" si="55"/>
        <v>1.25</v>
      </c>
      <c r="X143" s="123">
        <f t="shared" si="55"/>
        <v>1.25</v>
      </c>
      <c r="Y143" s="123">
        <f t="shared" si="55"/>
        <v>1.25</v>
      </c>
      <c r="Z143" s="123">
        <f t="shared" si="55"/>
        <v>1.25</v>
      </c>
      <c r="AA143" s="123">
        <f t="shared" si="55"/>
        <v>1.25</v>
      </c>
      <c r="AB143" s="123">
        <f t="shared" si="55"/>
        <v>1.25</v>
      </c>
      <c r="AC143" s="123">
        <f t="shared" si="55"/>
        <v>1.25</v>
      </c>
      <c r="AD143" s="123">
        <f t="shared" si="55"/>
        <v>1.25</v>
      </c>
      <c r="AE143" s="123">
        <f t="shared" si="55"/>
        <v>1.25</v>
      </c>
      <c r="AF143" s="123">
        <f t="shared" si="55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3"/>
        <v>1.46</v>
      </c>
      <c r="C144" s="124">
        <v>1.46</v>
      </c>
      <c r="D144" s="123">
        <f t="shared" si="54"/>
        <v>1.46</v>
      </c>
      <c r="E144" s="123">
        <f t="shared" si="54"/>
        <v>1.46</v>
      </c>
      <c r="F144" s="123">
        <f t="shared" si="54"/>
        <v>1.46</v>
      </c>
      <c r="G144" s="123">
        <f t="shared" si="54"/>
        <v>1.46</v>
      </c>
      <c r="H144" s="123">
        <f t="shared" si="54"/>
        <v>1.46</v>
      </c>
      <c r="I144" s="123">
        <f t="shared" si="54"/>
        <v>1.46</v>
      </c>
      <c r="J144" s="123">
        <f t="shared" si="54"/>
        <v>1.46</v>
      </c>
      <c r="K144" s="123">
        <f t="shared" si="54"/>
        <v>1.46</v>
      </c>
      <c r="L144" s="123">
        <f t="shared" si="54"/>
        <v>1.46</v>
      </c>
      <c r="M144" s="123">
        <f t="shared" si="54"/>
        <v>1.46</v>
      </c>
      <c r="N144" s="123">
        <f t="shared" si="54"/>
        <v>1.46</v>
      </c>
      <c r="O144" s="123">
        <f t="shared" si="54"/>
        <v>1.46</v>
      </c>
      <c r="P144" s="123">
        <f t="shared" si="54"/>
        <v>1.46</v>
      </c>
      <c r="Q144" s="123">
        <f t="shared" si="54"/>
        <v>1.46</v>
      </c>
      <c r="R144" s="123">
        <f t="shared" si="54"/>
        <v>1.46</v>
      </c>
      <c r="S144" s="123">
        <f t="shared" si="54"/>
        <v>1.46</v>
      </c>
      <c r="T144" s="123">
        <f t="shared" si="55"/>
        <v>1.46</v>
      </c>
      <c r="U144" s="123">
        <f t="shared" si="55"/>
        <v>1.46</v>
      </c>
      <c r="V144" s="123">
        <f t="shared" si="55"/>
        <v>1.46</v>
      </c>
      <c r="W144" s="123">
        <f t="shared" si="55"/>
        <v>1.46</v>
      </c>
      <c r="X144" s="123">
        <f t="shared" si="55"/>
        <v>1.46</v>
      </c>
      <c r="Y144" s="123">
        <f t="shared" si="55"/>
        <v>1.46</v>
      </c>
      <c r="Z144" s="123">
        <f t="shared" si="55"/>
        <v>1.46</v>
      </c>
      <c r="AA144" s="123">
        <f t="shared" si="55"/>
        <v>1.46</v>
      </c>
      <c r="AB144" s="123">
        <f t="shared" si="55"/>
        <v>1.46</v>
      </c>
      <c r="AC144" s="123">
        <f t="shared" si="55"/>
        <v>1.46</v>
      </c>
      <c r="AD144" s="123">
        <f t="shared" si="55"/>
        <v>1.46</v>
      </c>
      <c r="AE144" s="123">
        <f t="shared" si="55"/>
        <v>1.46</v>
      </c>
      <c r="AF144" s="123">
        <f t="shared" si="55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3"/>
        <v>3</v>
      </c>
      <c r="C145" s="124">
        <v>3</v>
      </c>
      <c r="D145" s="123">
        <f t="shared" si="54"/>
        <v>3</v>
      </c>
      <c r="E145" s="123">
        <f t="shared" si="54"/>
        <v>3</v>
      </c>
      <c r="F145" s="123">
        <f t="shared" si="54"/>
        <v>3</v>
      </c>
      <c r="G145" s="123">
        <f t="shared" si="54"/>
        <v>3</v>
      </c>
      <c r="H145" s="123">
        <f t="shared" si="54"/>
        <v>3</v>
      </c>
      <c r="I145" s="123">
        <f t="shared" si="54"/>
        <v>3</v>
      </c>
      <c r="J145" s="123">
        <f t="shared" si="54"/>
        <v>3</v>
      </c>
      <c r="K145" s="123">
        <f t="shared" si="54"/>
        <v>3</v>
      </c>
      <c r="L145" s="123">
        <f t="shared" si="54"/>
        <v>3</v>
      </c>
      <c r="M145" s="123">
        <f t="shared" si="54"/>
        <v>3</v>
      </c>
      <c r="N145" s="123">
        <f t="shared" si="54"/>
        <v>3</v>
      </c>
      <c r="O145" s="123">
        <f t="shared" si="54"/>
        <v>3</v>
      </c>
      <c r="P145" s="123">
        <f t="shared" si="54"/>
        <v>3</v>
      </c>
      <c r="Q145" s="123">
        <f t="shared" si="54"/>
        <v>3</v>
      </c>
      <c r="R145" s="123">
        <f t="shared" si="54"/>
        <v>3</v>
      </c>
      <c r="S145" s="123">
        <f t="shared" si="54"/>
        <v>3</v>
      </c>
      <c r="T145" s="123">
        <f t="shared" si="55"/>
        <v>3</v>
      </c>
      <c r="U145" s="123">
        <f t="shared" si="55"/>
        <v>3</v>
      </c>
      <c r="V145" s="123">
        <f t="shared" si="55"/>
        <v>3</v>
      </c>
      <c r="W145" s="123">
        <f t="shared" si="55"/>
        <v>3</v>
      </c>
      <c r="X145" s="123">
        <f t="shared" si="55"/>
        <v>3</v>
      </c>
      <c r="Y145" s="123">
        <f t="shared" si="55"/>
        <v>3</v>
      </c>
      <c r="Z145" s="123">
        <f t="shared" si="55"/>
        <v>3</v>
      </c>
      <c r="AA145" s="123">
        <f t="shared" si="55"/>
        <v>3</v>
      </c>
      <c r="AB145" s="123">
        <f t="shared" si="55"/>
        <v>3</v>
      </c>
      <c r="AC145" s="123">
        <f t="shared" si="55"/>
        <v>3</v>
      </c>
      <c r="AD145" s="123">
        <f t="shared" si="55"/>
        <v>3</v>
      </c>
      <c r="AE145" s="123">
        <f t="shared" si="55"/>
        <v>3</v>
      </c>
      <c r="AF145" s="123">
        <f t="shared" si="55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3"/>
        <v>3.3</v>
      </c>
      <c r="C146" s="124">
        <v>3.3</v>
      </c>
      <c r="D146" s="123">
        <f t="shared" si="54"/>
        <v>3.3</v>
      </c>
      <c r="E146" s="123">
        <f t="shared" si="54"/>
        <v>3.3</v>
      </c>
      <c r="F146" s="123">
        <f t="shared" si="54"/>
        <v>3.3</v>
      </c>
      <c r="G146" s="123">
        <f t="shared" si="54"/>
        <v>3.3</v>
      </c>
      <c r="H146" s="123">
        <f t="shared" si="54"/>
        <v>3.3</v>
      </c>
      <c r="I146" s="123">
        <f t="shared" si="54"/>
        <v>3.3</v>
      </c>
      <c r="J146" s="123">
        <f t="shared" si="54"/>
        <v>3.3</v>
      </c>
      <c r="K146" s="123">
        <f t="shared" si="54"/>
        <v>3.3</v>
      </c>
      <c r="L146" s="123">
        <f t="shared" si="54"/>
        <v>3.3</v>
      </c>
      <c r="M146" s="123">
        <f t="shared" si="54"/>
        <v>3.3</v>
      </c>
      <c r="N146" s="123">
        <f t="shared" si="54"/>
        <v>3.3</v>
      </c>
      <c r="O146" s="123">
        <f t="shared" si="54"/>
        <v>3.3</v>
      </c>
      <c r="P146" s="123">
        <f t="shared" si="54"/>
        <v>3.3</v>
      </c>
      <c r="Q146" s="123">
        <f t="shared" si="54"/>
        <v>3.3</v>
      </c>
      <c r="R146" s="123">
        <f t="shared" si="54"/>
        <v>3.3</v>
      </c>
      <c r="S146" s="123">
        <f t="shared" si="54"/>
        <v>3.3</v>
      </c>
      <c r="T146" s="123">
        <f t="shared" si="55"/>
        <v>3.3</v>
      </c>
      <c r="U146" s="123">
        <f t="shared" si="55"/>
        <v>3.3</v>
      </c>
      <c r="V146" s="123">
        <f t="shared" si="55"/>
        <v>3.3</v>
      </c>
      <c r="W146" s="123">
        <f t="shared" si="55"/>
        <v>3.3</v>
      </c>
      <c r="X146" s="123">
        <f t="shared" si="55"/>
        <v>3.3</v>
      </c>
      <c r="Y146" s="123">
        <f t="shared" si="55"/>
        <v>3.3</v>
      </c>
      <c r="Z146" s="123">
        <f t="shared" si="55"/>
        <v>3.3</v>
      </c>
      <c r="AA146" s="123">
        <f t="shared" si="55"/>
        <v>3.3</v>
      </c>
      <c r="AB146" s="123">
        <f t="shared" si="55"/>
        <v>3.3</v>
      </c>
      <c r="AC146" s="123">
        <f t="shared" si="55"/>
        <v>3.3</v>
      </c>
      <c r="AD146" s="123">
        <f t="shared" si="55"/>
        <v>3.3</v>
      </c>
      <c r="AE146" s="123">
        <f t="shared" si="55"/>
        <v>3.3</v>
      </c>
      <c r="AF146" s="123">
        <f t="shared" si="55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6">C148</f>
        <v>1.76</v>
      </c>
      <c r="E148" s="123">
        <f t="shared" si="56"/>
        <v>1.76</v>
      </c>
      <c r="F148" s="123">
        <f t="shared" si="56"/>
        <v>1.76</v>
      </c>
      <c r="G148" s="123">
        <f t="shared" si="56"/>
        <v>1.76</v>
      </c>
      <c r="H148" s="123">
        <f t="shared" si="56"/>
        <v>1.76</v>
      </c>
      <c r="I148" s="123">
        <f t="shared" si="56"/>
        <v>1.76</v>
      </c>
      <c r="J148" s="123">
        <f t="shared" si="56"/>
        <v>1.76</v>
      </c>
      <c r="K148" s="123">
        <f t="shared" si="56"/>
        <v>1.76</v>
      </c>
      <c r="L148" s="123">
        <f t="shared" si="56"/>
        <v>1.76</v>
      </c>
      <c r="M148" s="123">
        <f t="shared" si="56"/>
        <v>1.76</v>
      </c>
      <c r="N148" s="123">
        <f t="shared" si="56"/>
        <v>1.76</v>
      </c>
      <c r="O148" s="123">
        <f t="shared" si="56"/>
        <v>1.76</v>
      </c>
      <c r="P148" s="123">
        <f t="shared" si="56"/>
        <v>1.76</v>
      </c>
      <c r="Q148" s="123">
        <f t="shared" si="56"/>
        <v>1.76</v>
      </c>
      <c r="R148" s="123">
        <f t="shared" si="56"/>
        <v>1.76</v>
      </c>
      <c r="S148" s="123">
        <f t="shared" si="56"/>
        <v>1.76</v>
      </c>
      <c r="T148" s="123">
        <f t="shared" ref="T148:AF149" si="57">S148</f>
        <v>1.76</v>
      </c>
      <c r="U148" s="123">
        <f t="shared" si="57"/>
        <v>1.76</v>
      </c>
      <c r="V148" s="123">
        <f t="shared" si="57"/>
        <v>1.76</v>
      </c>
      <c r="W148" s="123">
        <f t="shared" si="57"/>
        <v>1.76</v>
      </c>
      <c r="X148" s="123">
        <f t="shared" si="57"/>
        <v>1.76</v>
      </c>
      <c r="Y148" s="123">
        <f t="shared" si="57"/>
        <v>1.76</v>
      </c>
      <c r="Z148" s="123">
        <f t="shared" si="57"/>
        <v>1.76</v>
      </c>
      <c r="AA148" s="123">
        <f t="shared" si="57"/>
        <v>1.76</v>
      </c>
      <c r="AB148" s="123">
        <f t="shared" si="57"/>
        <v>1.76</v>
      </c>
      <c r="AC148" s="123">
        <f t="shared" si="57"/>
        <v>1.76</v>
      </c>
      <c r="AD148" s="123">
        <f t="shared" si="57"/>
        <v>1.76</v>
      </c>
      <c r="AE148" s="123">
        <f t="shared" si="57"/>
        <v>1.76</v>
      </c>
      <c r="AF148" s="123">
        <f t="shared" si="57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6"/>
        <v>0</v>
      </c>
      <c r="E149" s="123">
        <f t="shared" si="56"/>
        <v>0</v>
      </c>
      <c r="F149" s="123">
        <f t="shared" si="56"/>
        <v>0</v>
      </c>
      <c r="G149" s="123">
        <f t="shared" si="56"/>
        <v>0</v>
      </c>
      <c r="H149" s="123">
        <f t="shared" si="56"/>
        <v>0</v>
      </c>
      <c r="I149" s="123">
        <f t="shared" si="56"/>
        <v>0</v>
      </c>
      <c r="J149" s="123">
        <f t="shared" si="56"/>
        <v>0</v>
      </c>
      <c r="K149" s="123">
        <f t="shared" si="56"/>
        <v>0</v>
      </c>
      <c r="L149" s="123">
        <f t="shared" si="56"/>
        <v>0</v>
      </c>
      <c r="M149" s="123">
        <f t="shared" si="56"/>
        <v>0</v>
      </c>
      <c r="N149" s="123">
        <f t="shared" si="56"/>
        <v>0</v>
      </c>
      <c r="O149" s="123">
        <f t="shared" si="56"/>
        <v>0</v>
      </c>
      <c r="P149" s="123">
        <f t="shared" si="56"/>
        <v>0</v>
      </c>
      <c r="Q149" s="123">
        <f t="shared" si="56"/>
        <v>0</v>
      </c>
      <c r="R149" s="123">
        <f t="shared" si="56"/>
        <v>0</v>
      </c>
      <c r="S149" s="123">
        <f t="shared" si="56"/>
        <v>0</v>
      </c>
      <c r="T149" s="123">
        <f t="shared" si="57"/>
        <v>0</v>
      </c>
      <c r="U149" s="123">
        <f t="shared" si="57"/>
        <v>0</v>
      </c>
      <c r="V149" s="123">
        <f t="shared" si="57"/>
        <v>0</v>
      </c>
      <c r="W149" s="123">
        <f t="shared" si="57"/>
        <v>0</v>
      </c>
      <c r="X149" s="123">
        <f t="shared" si="57"/>
        <v>0</v>
      </c>
      <c r="Y149" s="123">
        <f t="shared" si="57"/>
        <v>0</v>
      </c>
      <c r="Z149" s="123">
        <f t="shared" si="57"/>
        <v>0</v>
      </c>
      <c r="AA149" s="123">
        <f t="shared" si="57"/>
        <v>0</v>
      </c>
      <c r="AB149" s="123">
        <f t="shared" si="57"/>
        <v>0</v>
      </c>
      <c r="AC149" s="123">
        <f t="shared" si="57"/>
        <v>0</v>
      </c>
      <c r="AD149" s="123">
        <f t="shared" si="57"/>
        <v>0</v>
      </c>
      <c r="AE149" s="123">
        <f t="shared" si="57"/>
        <v>0</v>
      </c>
      <c r="AF149" s="123">
        <f t="shared" si="57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58">C151</f>
        <v>0.1</v>
      </c>
      <c r="E151" s="123">
        <f t="shared" si="58"/>
        <v>0.1</v>
      </c>
      <c r="F151" s="123">
        <f t="shared" si="58"/>
        <v>0.1</v>
      </c>
      <c r="G151" s="123">
        <f t="shared" si="58"/>
        <v>0.1</v>
      </c>
      <c r="H151" s="123">
        <f t="shared" si="58"/>
        <v>0.1</v>
      </c>
      <c r="I151" s="123">
        <f t="shared" si="58"/>
        <v>0.1</v>
      </c>
      <c r="J151" s="123">
        <f t="shared" si="58"/>
        <v>0.1</v>
      </c>
      <c r="K151" s="123">
        <f t="shared" si="58"/>
        <v>0.1</v>
      </c>
      <c r="L151" s="123">
        <f t="shared" si="58"/>
        <v>0.1</v>
      </c>
      <c r="M151" s="123">
        <f t="shared" si="58"/>
        <v>0.1</v>
      </c>
      <c r="N151" s="123">
        <f t="shared" si="58"/>
        <v>0.1</v>
      </c>
      <c r="O151" s="123">
        <f t="shared" si="58"/>
        <v>0.1</v>
      </c>
      <c r="P151" s="123">
        <f t="shared" si="58"/>
        <v>0.1</v>
      </c>
      <c r="Q151" s="123">
        <f t="shared" si="58"/>
        <v>0.1</v>
      </c>
      <c r="R151" s="123">
        <f t="shared" si="58"/>
        <v>0.1</v>
      </c>
      <c r="S151" s="123">
        <f t="shared" si="58"/>
        <v>0.1</v>
      </c>
      <c r="T151" s="123">
        <f t="shared" ref="T151:AF154" si="59">S151</f>
        <v>0.1</v>
      </c>
      <c r="U151" s="123">
        <f t="shared" si="59"/>
        <v>0.1</v>
      </c>
      <c r="V151" s="123">
        <f t="shared" si="59"/>
        <v>0.1</v>
      </c>
      <c r="W151" s="123">
        <f t="shared" si="59"/>
        <v>0.1</v>
      </c>
      <c r="X151" s="123">
        <f t="shared" si="59"/>
        <v>0.1</v>
      </c>
      <c r="Y151" s="123">
        <f t="shared" si="59"/>
        <v>0.1</v>
      </c>
      <c r="Z151" s="123">
        <f t="shared" si="59"/>
        <v>0.1</v>
      </c>
      <c r="AA151" s="123">
        <f t="shared" si="59"/>
        <v>0.1</v>
      </c>
      <c r="AB151" s="123">
        <f t="shared" si="59"/>
        <v>0.1</v>
      </c>
      <c r="AC151" s="123">
        <f t="shared" si="59"/>
        <v>0.1</v>
      </c>
      <c r="AD151" s="123">
        <f t="shared" si="59"/>
        <v>0.1</v>
      </c>
      <c r="AE151" s="123">
        <f t="shared" si="59"/>
        <v>0.1</v>
      </c>
      <c r="AF151" s="123">
        <f t="shared" si="59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58"/>
        <v>2.0499999999999998</v>
      </c>
      <c r="E152" s="123">
        <f t="shared" si="58"/>
        <v>2.0499999999999998</v>
      </c>
      <c r="F152" s="123">
        <f t="shared" si="58"/>
        <v>2.0499999999999998</v>
      </c>
      <c r="G152" s="123">
        <f t="shared" si="58"/>
        <v>2.0499999999999998</v>
      </c>
      <c r="H152" s="123">
        <f t="shared" si="58"/>
        <v>2.0499999999999998</v>
      </c>
      <c r="I152" s="123">
        <f t="shared" si="58"/>
        <v>2.0499999999999998</v>
      </c>
      <c r="J152" s="123">
        <f t="shared" si="58"/>
        <v>2.0499999999999998</v>
      </c>
      <c r="K152" s="123">
        <f t="shared" si="58"/>
        <v>2.0499999999999998</v>
      </c>
      <c r="L152" s="123">
        <f t="shared" si="58"/>
        <v>2.0499999999999998</v>
      </c>
      <c r="M152" s="123">
        <f t="shared" si="58"/>
        <v>2.0499999999999998</v>
      </c>
      <c r="N152" s="123">
        <f t="shared" si="58"/>
        <v>2.0499999999999998</v>
      </c>
      <c r="O152" s="123">
        <f t="shared" si="58"/>
        <v>2.0499999999999998</v>
      </c>
      <c r="P152" s="123">
        <f t="shared" si="58"/>
        <v>2.0499999999999998</v>
      </c>
      <c r="Q152" s="123">
        <f t="shared" si="58"/>
        <v>2.0499999999999998</v>
      </c>
      <c r="R152" s="123">
        <f t="shared" si="58"/>
        <v>2.0499999999999998</v>
      </c>
      <c r="S152" s="123">
        <f t="shared" si="58"/>
        <v>2.0499999999999998</v>
      </c>
      <c r="T152" s="123">
        <f t="shared" si="59"/>
        <v>2.0499999999999998</v>
      </c>
      <c r="U152" s="123">
        <f t="shared" si="59"/>
        <v>2.0499999999999998</v>
      </c>
      <c r="V152" s="123">
        <f t="shared" si="59"/>
        <v>2.0499999999999998</v>
      </c>
      <c r="W152" s="123">
        <f t="shared" si="59"/>
        <v>2.0499999999999998</v>
      </c>
      <c r="X152" s="123">
        <f t="shared" si="59"/>
        <v>2.0499999999999998</v>
      </c>
      <c r="Y152" s="123">
        <f t="shared" si="59"/>
        <v>2.0499999999999998</v>
      </c>
      <c r="Z152" s="123">
        <f t="shared" si="59"/>
        <v>2.0499999999999998</v>
      </c>
      <c r="AA152" s="123">
        <f t="shared" si="59"/>
        <v>2.0499999999999998</v>
      </c>
      <c r="AB152" s="123">
        <f t="shared" si="59"/>
        <v>2.0499999999999998</v>
      </c>
      <c r="AC152" s="123">
        <f t="shared" si="59"/>
        <v>2.0499999999999998</v>
      </c>
      <c r="AD152" s="123">
        <f t="shared" si="59"/>
        <v>2.0499999999999998</v>
      </c>
      <c r="AE152" s="123">
        <f t="shared" si="59"/>
        <v>2.0499999999999998</v>
      </c>
      <c r="AF152" s="123">
        <f t="shared" si="59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58"/>
        <v>2.7</v>
      </c>
      <c r="E153" s="123">
        <f t="shared" si="58"/>
        <v>2.7</v>
      </c>
      <c r="F153" s="123">
        <f t="shared" si="58"/>
        <v>2.7</v>
      </c>
      <c r="G153" s="123">
        <f t="shared" si="58"/>
        <v>2.7</v>
      </c>
      <c r="H153" s="123">
        <f t="shared" si="58"/>
        <v>2.7</v>
      </c>
      <c r="I153" s="123">
        <f t="shared" si="58"/>
        <v>2.7</v>
      </c>
      <c r="J153" s="123">
        <f t="shared" si="58"/>
        <v>2.7</v>
      </c>
      <c r="K153" s="123">
        <f t="shared" si="58"/>
        <v>2.7</v>
      </c>
      <c r="L153" s="123">
        <f t="shared" si="58"/>
        <v>2.7</v>
      </c>
      <c r="M153" s="123">
        <f t="shared" si="58"/>
        <v>2.7</v>
      </c>
      <c r="N153" s="123">
        <f t="shared" si="58"/>
        <v>2.7</v>
      </c>
      <c r="O153" s="123">
        <f t="shared" si="58"/>
        <v>2.7</v>
      </c>
      <c r="P153" s="123">
        <f t="shared" si="58"/>
        <v>2.7</v>
      </c>
      <c r="Q153" s="123">
        <f t="shared" si="58"/>
        <v>2.7</v>
      </c>
      <c r="R153" s="123">
        <f t="shared" si="58"/>
        <v>2.7</v>
      </c>
      <c r="S153" s="123">
        <f t="shared" si="58"/>
        <v>2.7</v>
      </c>
      <c r="T153" s="123">
        <f t="shared" si="59"/>
        <v>2.7</v>
      </c>
      <c r="U153" s="123">
        <f t="shared" si="59"/>
        <v>2.7</v>
      </c>
      <c r="V153" s="123">
        <f t="shared" si="59"/>
        <v>2.7</v>
      </c>
      <c r="W153" s="123">
        <f t="shared" si="59"/>
        <v>2.7</v>
      </c>
      <c r="X153" s="123">
        <f t="shared" si="59"/>
        <v>2.7</v>
      </c>
      <c r="Y153" s="123">
        <f t="shared" si="59"/>
        <v>2.7</v>
      </c>
      <c r="Z153" s="123">
        <f t="shared" si="59"/>
        <v>2.7</v>
      </c>
      <c r="AA153" s="123">
        <f t="shared" si="59"/>
        <v>2.7</v>
      </c>
      <c r="AB153" s="123">
        <f t="shared" si="59"/>
        <v>2.7</v>
      </c>
      <c r="AC153" s="123">
        <f t="shared" si="59"/>
        <v>2.7</v>
      </c>
      <c r="AD153" s="123">
        <f t="shared" si="59"/>
        <v>2.7</v>
      </c>
      <c r="AE153" s="123">
        <f t="shared" si="59"/>
        <v>2.7</v>
      </c>
      <c r="AF153" s="123">
        <f t="shared" si="59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58"/>
        <v>2.15</v>
      </c>
      <c r="E154" s="123">
        <f t="shared" si="58"/>
        <v>2.15</v>
      </c>
      <c r="F154" s="123">
        <f t="shared" si="58"/>
        <v>2.15</v>
      </c>
      <c r="G154" s="123">
        <f t="shared" si="58"/>
        <v>2.15</v>
      </c>
      <c r="H154" s="123">
        <f t="shared" si="58"/>
        <v>2.15</v>
      </c>
      <c r="I154" s="123">
        <f t="shared" si="58"/>
        <v>2.15</v>
      </c>
      <c r="J154" s="123">
        <f t="shared" si="58"/>
        <v>2.15</v>
      </c>
      <c r="K154" s="123">
        <f t="shared" si="58"/>
        <v>2.15</v>
      </c>
      <c r="L154" s="123">
        <f t="shared" si="58"/>
        <v>2.15</v>
      </c>
      <c r="M154" s="123">
        <f t="shared" si="58"/>
        <v>2.15</v>
      </c>
      <c r="N154" s="123">
        <f t="shared" si="58"/>
        <v>2.15</v>
      </c>
      <c r="O154" s="123">
        <f t="shared" si="58"/>
        <v>2.15</v>
      </c>
      <c r="P154" s="123">
        <f t="shared" si="58"/>
        <v>2.15</v>
      </c>
      <c r="Q154" s="123">
        <f t="shared" si="58"/>
        <v>2.15</v>
      </c>
      <c r="R154" s="123">
        <f t="shared" si="58"/>
        <v>2.15</v>
      </c>
      <c r="S154" s="123">
        <f t="shared" si="58"/>
        <v>2.15</v>
      </c>
      <c r="T154" s="123">
        <f t="shared" si="59"/>
        <v>2.15</v>
      </c>
      <c r="U154" s="123">
        <f t="shared" si="59"/>
        <v>2.15</v>
      </c>
      <c r="V154" s="123">
        <f t="shared" si="59"/>
        <v>2.15</v>
      </c>
      <c r="W154" s="123">
        <f t="shared" si="59"/>
        <v>2.15</v>
      </c>
      <c r="X154" s="123">
        <f t="shared" si="59"/>
        <v>2.15</v>
      </c>
      <c r="Y154" s="123">
        <f t="shared" si="59"/>
        <v>2.15</v>
      </c>
      <c r="Z154" s="123">
        <f t="shared" si="59"/>
        <v>2.15</v>
      </c>
      <c r="AA154" s="123">
        <f t="shared" si="59"/>
        <v>2.15</v>
      </c>
      <c r="AB154" s="123">
        <f t="shared" si="59"/>
        <v>2.15</v>
      </c>
      <c r="AC154" s="123">
        <f t="shared" si="59"/>
        <v>2.15</v>
      </c>
      <c r="AD154" s="123">
        <f t="shared" si="59"/>
        <v>2.15</v>
      </c>
      <c r="AE154" s="123">
        <f t="shared" si="59"/>
        <v>2.15</v>
      </c>
      <c r="AF154" s="123">
        <f t="shared" si="59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60">AF156</f>
        <v>0.9</v>
      </c>
      <c r="C156" s="124">
        <v>0.9</v>
      </c>
      <c r="D156" s="123">
        <f t="shared" ref="D156:S168" si="61">C156</f>
        <v>0.9</v>
      </c>
      <c r="E156" s="123">
        <f t="shared" si="61"/>
        <v>0.9</v>
      </c>
      <c r="F156" s="123">
        <f t="shared" si="61"/>
        <v>0.9</v>
      </c>
      <c r="G156" s="123">
        <f t="shared" si="61"/>
        <v>0.9</v>
      </c>
      <c r="H156" s="123">
        <f t="shared" si="61"/>
        <v>0.9</v>
      </c>
      <c r="I156" s="123">
        <f t="shared" si="61"/>
        <v>0.9</v>
      </c>
      <c r="J156" s="123">
        <f t="shared" si="61"/>
        <v>0.9</v>
      </c>
      <c r="K156" s="123">
        <f t="shared" si="61"/>
        <v>0.9</v>
      </c>
      <c r="L156" s="123">
        <f t="shared" si="61"/>
        <v>0.9</v>
      </c>
      <c r="M156" s="123">
        <f t="shared" si="61"/>
        <v>0.9</v>
      </c>
      <c r="N156" s="123">
        <f t="shared" si="61"/>
        <v>0.9</v>
      </c>
      <c r="O156" s="123">
        <f t="shared" si="61"/>
        <v>0.9</v>
      </c>
      <c r="P156" s="123">
        <f t="shared" si="61"/>
        <v>0.9</v>
      </c>
      <c r="Q156" s="123">
        <f t="shared" si="61"/>
        <v>0.9</v>
      </c>
      <c r="R156" s="123">
        <f t="shared" si="61"/>
        <v>0.9</v>
      </c>
      <c r="S156" s="123">
        <f t="shared" si="61"/>
        <v>0.9</v>
      </c>
      <c r="T156" s="123">
        <f t="shared" ref="S156:AF168" si="62">S156</f>
        <v>0.9</v>
      </c>
      <c r="U156" s="123">
        <f t="shared" si="62"/>
        <v>0.9</v>
      </c>
      <c r="V156" s="123">
        <f t="shared" si="62"/>
        <v>0.9</v>
      </c>
      <c r="W156" s="123">
        <f t="shared" si="62"/>
        <v>0.9</v>
      </c>
      <c r="X156" s="123">
        <f t="shared" si="62"/>
        <v>0.9</v>
      </c>
      <c r="Y156" s="123">
        <f t="shared" si="62"/>
        <v>0.9</v>
      </c>
      <c r="Z156" s="123">
        <f t="shared" si="62"/>
        <v>0.9</v>
      </c>
      <c r="AA156" s="123">
        <f t="shared" si="62"/>
        <v>0.9</v>
      </c>
      <c r="AB156" s="123">
        <f t="shared" si="62"/>
        <v>0.9</v>
      </c>
      <c r="AC156" s="123">
        <f t="shared" si="62"/>
        <v>0.9</v>
      </c>
      <c r="AD156" s="123">
        <f t="shared" si="62"/>
        <v>0.9</v>
      </c>
      <c r="AE156" s="123">
        <f t="shared" si="62"/>
        <v>0.9</v>
      </c>
      <c r="AF156" s="123">
        <f t="shared" si="62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60"/>
        <v>1.08</v>
      </c>
      <c r="C157" s="124">
        <v>1.08</v>
      </c>
      <c r="D157" s="123">
        <f t="shared" si="61"/>
        <v>1.08</v>
      </c>
      <c r="E157" s="123">
        <f t="shared" si="61"/>
        <v>1.08</v>
      </c>
      <c r="F157" s="123">
        <f t="shared" si="61"/>
        <v>1.08</v>
      </c>
      <c r="G157" s="123">
        <f t="shared" si="61"/>
        <v>1.08</v>
      </c>
      <c r="H157" s="123">
        <f t="shared" si="61"/>
        <v>1.08</v>
      </c>
      <c r="I157" s="123">
        <f t="shared" si="61"/>
        <v>1.08</v>
      </c>
      <c r="J157" s="123">
        <f t="shared" si="61"/>
        <v>1.08</v>
      </c>
      <c r="K157" s="123">
        <f t="shared" si="61"/>
        <v>1.08</v>
      </c>
      <c r="L157" s="123">
        <f t="shared" si="61"/>
        <v>1.08</v>
      </c>
      <c r="M157" s="123">
        <f t="shared" si="61"/>
        <v>1.08</v>
      </c>
      <c r="N157" s="123">
        <f t="shared" si="61"/>
        <v>1.08</v>
      </c>
      <c r="O157" s="123">
        <f t="shared" si="61"/>
        <v>1.08</v>
      </c>
      <c r="P157" s="123">
        <f t="shared" si="61"/>
        <v>1.08</v>
      </c>
      <c r="Q157" s="123">
        <f t="shared" si="61"/>
        <v>1.08</v>
      </c>
      <c r="R157" s="123">
        <f t="shared" si="61"/>
        <v>1.08</v>
      </c>
      <c r="S157" s="123">
        <f t="shared" si="61"/>
        <v>1.08</v>
      </c>
      <c r="T157" s="123">
        <f t="shared" si="62"/>
        <v>1.08</v>
      </c>
      <c r="U157" s="123">
        <f t="shared" si="62"/>
        <v>1.08</v>
      </c>
      <c r="V157" s="123">
        <f t="shared" si="62"/>
        <v>1.08</v>
      </c>
      <c r="W157" s="123">
        <f t="shared" si="62"/>
        <v>1.08</v>
      </c>
      <c r="X157" s="123">
        <f t="shared" si="62"/>
        <v>1.08</v>
      </c>
      <c r="Y157" s="123">
        <f t="shared" si="62"/>
        <v>1.08</v>
      </c>
      <c r="Z157" s="123">
        <f t="shared" si="62"/>
        <v>1.08</v>
      </c>
      <c r="AA157" s="123">
        <f t="shared" si="62"/>
        <v>1.08</v>
      </c>
      <c r="AB157" s="123">
        <f t="shared" si="62"/>
        <v>1.08</v>
      </c>
      <c r="AC157" s="123">
        <f t="shared" si="62"/>
        <v>1.08</v>
      </c>
      <c r="AD157" s="123">
        <f t="shared" si="62"/>
        <v>1.08</v>
      </c>
      <c r="AE157" s="123">
        <f t="shared" si="62"/>
        <v>1.08</v>
      </c>
      <c r="AF157" s="123">
        <f t="shared" si="62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60"/>
        <v>2.37</v>
      </c>
      <c r="C158" s="124">
        <v>2.37</v>
      </c>
      <c r="D158" s="123">
        <f t="shared" si="61"/>
        <v>2.37</v>
      </c>
      <c r="E158" s="123">
        <f t="shared" si="61"/>
        <v>2.37</v>
      </c>
      <c r="F158" s="123">
        <f t="shared" si="61"/>
        <v>2.37</v>
      </c>
      <c r="G158" s="123">
        <f t="shared" si="61"/>
        <v>2.37</v>
      </c>
      <c r="H158" s="123">
        <f t="shared" si="61"/>
        <v>2.37</v>
      </c>
      <c r="I158" s="123">
        <f t="shared" si="61"/>
        <v>2.37</v>
      </c>
      <c r="J158" s="123">
        <f t="shared" si="61"/>
        <v>2.37</v>
      </c>
      <c r="K158" s="123">
        <f t="shared" si="61"/>
        <v>2.37</v>
      </c>
      <c r="L158" s="123">
        <f t="shared" si="61"/>
        <v>2.37</v>
      </c>
      <c r="M158" s="123">
        <f t="shared" si="61"/>
        <v>2.37</v>
      </c>
      <c r="N158" s="123">
        <f t="shared" si="61"/>
        <v>2.37</v>
      </c>
      <c r="O158" s="123">
        <f t="shared" si="61"/>
        <v>2.37</v>
      </c>
      <c r="P158" s="123">
        <f t="shared" si="61"/>
        <v>2.37</v>
      </c>
      <c r="Q158" s="123">
        <f t="shared" si="61"/>
        <v>2.37</v>
      </c>
      <c r="R158" s="123">
        <f t="shared" si="61"/>
        <v>2.37</v>
      </c>
      <c r="S158" s="123">
        <f t="shared" si="61"/>
        <v>2.37</v>
      </c>
      <c r="T158" s="123">
        <f t="shared" si="62"/>
        <v>2.37</v>
      </c>
      <c r="U158" s="123">
        <f t="shared" si="62"/>
        <v>2.37</v>
      </c>
      <c r="V158" s="123">
        <f t="shared" si="62"/>
        <v>2.37</v>
      </c>
      <c r="W158" s="123">
        <f t="shared" si="62"/>
        <v>2.37</v>
      </c>
      <c r="X158" s="123">
        <f t="shared" si="62"/>
        <v>2.37</v>
      </c>
      <c r="Y158" s="123">
        <f t="shared" si="62"/>
        <v>2.37</v>
      </c>
      <c r="Z158" s="123">
        <f t="shared" si="62"/>
        <v>2.37</v>
      </c>
      <c r="AA158" s="123">
        <f t="shared" si="62"/>
        <v>2.37</v>
      </c>
      <c r="AB158" s="123">
        <f t="shared" si="62"/>
        <v>2.37</v>
      </c>
      <c r="AC158" s="123">
        <f t="shared" si="62"/>
        <v>2.37</v>
      </c>
      <c r="AD158" s="123">
        <f t="shared" si="62"/>
        <v>2.37</v>
      </c>
      <c r="AE158" s="123">
        <f t="shared" si="62"/>
        <v>2.37</v>
      </c>
      <c r="AF158" s="123">
        <f t="shared" si="62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60"/>
        <v>1.81</v>
      </c>
      <c r="C159" s="124">
        <v>1.81</v>
      </c>
      <c r="D159" s="123">
        <f t="shared" si="61"/>
        <v>1.81</v>
      </c>
      <c r="E159" s="123">
        <f t="shared" si="61"/>
        <v>1.81</v>
      </c>
      <c r="F159" s="123">
        <f t="shared" si="61"/>
        <v>1.81</v>
      </c>
      <c r="G159" s="123">
        <f t="shared" si="61"/>
        <v>1.81</v>
      </c>
      <c r="H159" s="123">
        <f t="shared" si="61"/>
        <v>1.81</v>
      </c>
      <c r="I159" s="123">
        <f t="shared" si="61"/>
        <v>1.81</v>
      </c>
      <c r="J159" s="123">
        <f t="shared" si="61"/>
        <v>1.81</v>
      </c>
      <c r="K159" s="123">
        <f t="shared" si="61"/>
        <v>1.81</v>
      </c>
      <c r="L159" s="123">
        <f t="shared" si="61"/>
        <v>1.81</v>
      </c>
      <c r="M159" s="123">
        <f t="shared" si="61"/>
        <v>1.81</v>
      </c>
      <c r="N159" s="123">
        <f t="shared" si="61"/>
        <v>1.81</v>
      </c>
      <c r="O159" s="123">
        <f t="shared" si="61"/>
        <v>1.81</v>
      </c>
      <c r="P159" s="123">
        <f t="shared" si="61"/>
        <v>1.81</v>
      </c>
      <c r="Q159" s="123">
        <f t="shared" si="61"/>
        <v>1.81</v>
      </c>
      <c r="R159" s="123">
        <f t="shared" si="61"/>
        <v>1.81</v>
      </c>
      <c r="S159" s="123">
        <f t="shared" si="61"/>
        <v>1.81</v>
      </c>
      <c r="T159" s="123">
        <f t="shared" si="62"/>
        <v>1.81</v>
      </c>
      <c r="U159" s="123">
        <f t="shared" si="62"/>
        <v>1.81</v>
      </c>
      <c r="V159" s="123">
        <f t="shared" si="62"/>
        <v>1.81</v>
      </c>
      <c r="W159" s="123">
        <f t="shared" si="62"/>
        <v>1.81</v>
      </c>
      <c r="X159" s="123">
        <f t="shared" si="62"/>
        <v>1.81</v>
      </c>
      <c r="Y159" s="123">
        <f t="shared" si="62"/>
        <v>1.81</v>
      </c>
      <c r="Z159" s="123">
        <f t="shared" si="62"/>
        <v>1.81</v>
      </c>
      <c r="AA159" s="123">
        <f t="shared" si="62"/>
        <v>1.81</v>
      </c>
      <c r="AB159" s="123">
        <f t="shared" si="62"/>
        <v>1.81</v>
      </c>
      <c r="AC159" s="123">
        <f t="shared" si="62"/>
        <v>1.81</v>
      </c>
      <c r="AD159" s="123">
        <f t="shared" si="62"/>
        <v>1.81</v>
      </c>
      <c r="AE159" s="123">
        <f t="shared" si="62"/>
        <v>1.81</v>
      </c>
      <c r="AF159" s="123">
        <f t="shared" si="62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60"/>
        <v>1.0900000000000001</v>
      </c>
      <c r="C160" s="124">
        <v>1.0900000000000001</v>
      </c>
      <c r="D160" s="123">
        <f t="shared" si="61"/>
        <v>1.0900000000000001</v>
      </c>
      <c r="E160" s="123">
        <f t="shared" si="61"/>
        <v>1.0900000000000001</v>
      </c>
      <c r="F160" s="123">
        <f t="shared" si="61"/>
        <v>1.0900000000000001</v>
      </c>
      <c r="G160" s="123">
        <f t="shared" si="61"/>
        <v>1.0900000000000001</v>
      </c>
      <c r="H160" s="123">
        <f t="shared" si="61"/>
        <v>1.0900000000000001</v>
      </c>
      <c r="I160" s="123">
        <f t="shared" si="61"/>
        <v>1.0900000000000001</v>
      </c>
      <c r="J160" s="123">
        <f t="shared" si="61"/>
        <v>1.0900000000000001</v>
      </c>
      <c r="K160" s="123">
        <f t="shared" si="61"/>
        <v>1.0900000000000001</v>
      </c>
      <c r="L160" s="123">
        <f t="shared" si="61"/>
        <v>1.0900000000000001</v>
      </c>
      <c r="M160" s="123">
        <f t="shared" si="61"/>
        <v>1.0900000000000001</v>
      </c>
      <c r="N160" s="123">
        <f t="shared" si="61"/>
        <v>1.0900000000000001</v>
      </c>
      <c r="O160" s="123">
        <f t="shared" si="61"/>
        <v>1.0900000000000001</v>
      </c>
      <c r="P160" s="123">
        <f t="shared" si="61"/>
        <v>1.0900000000000001</v>
      </c>
      <c r="Q160" s="123">
        <f t="shared" si="61"/>
        <v>1.0900000000000001</v>
      </c>
      <c r="R160" s="123">
        <f t="shared" si="61"/>
        <v>1.0900000000000001</v>
      </c>
      <c r="S160" s="123">
        <f t="shared" si="61"/>
        <v>1.0900000000000001</v>
      </c>
      <c r="T160" s="123">
        <f t="shared" si="62"/>
        <v>1.0900000000000001</v>
      </c>
      <c r="U160" s="123">
        <f t="shared" si="62"/>
        <v>1.0900000000000001</v>
      </c>
      <c r="V160" s="123">
        <f t="shared" si="62"/>
        <v>1.0900000000000001</v>
      </c>
      <c r="W160" s="123">
        <f t="shared" si="62"/>
        <v>1.0900000000000001</v>
      </c>
      <c r="X160" s="123">
        <f t="shared" si="62"/>
        <v>1.0900000000000001</v>
      </c>
      <c r="Y160" s="123">
        <f t="shared" si="62"/>
        <v>1.0900000000000001</v>
      </c>
      <c r="Z160" s="123">
        <f t="shared" si="62"/>
        <v>1.0900000000000001</v>
      </c>
      <c r="AA160" s="123">
        <f t="shared" si="62"/>
        <v>1.0900000000000001</v>
      </c>
      <c r="AB160" s="123">
        <f t="shared" si="62"/>
        <v>1.0900000000000001</v>
      </c>
      <c r="AC160" s="123">
        <f t="shared" si="62"/>
        <v>1.0900000000000001</v>
      </c>
      <c r="AD160" s="123">
        <f t="shared" si="62"/>
        <v>1.0900000000000001</v>
      </c>
      <c r="AE160" s="123">
        <f t="shared" si="62"/>
        <v>1.0900000000000001</v>
      </c>
      <c r="AF160" s="123">
        <f t="shared" si="62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60"/>
        <v>1.58</v>
      </c>
      <c r="C161" s="124">
        <v>1.58</v>
      </c>
      <c r="D161" s="123">
        <f t="shared" si="61"/>
        <v>1.58</v>
      </c>
      <c r="E161" s="123">
        <f t="shared" si="61"/>
        <v>1.58</v>
      </c>
      <c r="F161" s="123">
        <f t="shared" si="61"/>
        <v>1.58</v>
      </c>
      <c r="G161" s="123">
        <f t="shared" si="61"/>
        <v>1.58</v>
      </c>
      <c r="H161" s="123">
        <f t="shared" si="61"/>
        <v>1.58</v>
      </c>
      <c r="I161" s="123">
        <f t="shared" si="61"/>
        <v>1.58</v>
      </c>
      <c r="J161" s="123">
        <f t="shared" si="61"/>
        <v>1.58</v>
      </c>
      <c r="K161" s="123">
        <f t="shared" si="61"/>
        <v>1.58</v>
      </c>
      <c r="L161" s="123">
        <f t="shared" si="61"/>
        <v>1.58</v>
      </c>
      <c r="M161" s="123">
        <f t="shared" si="61"/>
        <v>1.58</v>
      </c>
      <c r="N161" s="123">
        <f t="shared" si="61"/>
        <v>1.58</v>
      </c>
      <c r="O161" s="123">
        <f t="shared" si="61"/>
        <v>1.58</v>
      </c>
      <c r="P161" s="123">
        <f t="shared" si="61"/>
        <v>1.58</v>
      </c>
      <c r="Q161" s="123">
        <f t="shared" si="61"/>
        <v>1.58</v>
      </c>
      <c r="R161" s="123">
        <f t="shared" si="61"/>
        <v>1.58</v>
      </c>
      <c r="S161" s="123">
        <f t="shared" si="61"/>
        <v>1.58</v>
      </c>
      <c r="T161" s="123">
        <f t="shared" si="62"/>
        <v>1.58</v>
      </c>
      <c r="U161" s="123">
        <f t="shared" si="62"/>
        <v>1.58</v>
      </c>
      <c r="V161" s="123">
        <f t="shared" si="62"/>
        <v>1.58</v>
      </c>
      <c r="W161" s="123">
        <f t="shared" si="62"/>
        <v>1.58</v>
      </c>
      <c r="X161" s="123">
        <f t="shared" si="62"/>
        <v>1.58</v>
      </c>
      <c r="Y161" s="123">
        <f t="shared" si="62"/>
        <v>1.58</v>
      </c>
      <c r="Z161" s="123">
        <f t="shared" si="62"/>
        <v>1.58</v>
      </c>
      <c r="AA161" s="123">
        <f t="shared" si="62"/>
        <v>1.58</v>
      </c>
      <c r="AB161" s="123">
        <f t="shared" si="62"/>
        <v>1.58</v>
      </c>
      <c r="AC161" s="123">
        <f t="shared" si="62"/>
        <v>1.58</v>
      </c>
      <c r="AD161" s="123">
        <f t="shared" si="62"/>
        <v>1.58</v>
      </c>
      <c r="AE161" s="123">
        <f t="shared" si="62"/>
        <v>1.58</v>
      </c>
      <c r="AF161" s="123">
        <f t="shared" si="62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60"/>
        <v>2</v>
      </c>
      <c r="C162" s="124">
        <v>2</v>
      </c>
      <c r="D162" s="123">
        <f t="shared" si="61"/>
        <v>2</v>
      </c>
      <c r="E162" s="123">
        <f t="shared" si="61"/>
        <v>2</v>
      </c>
      <c r="F162" s="123">
        <f t="shared" si="61"/>
        <v>2</v>
      </c>
      <c r="G162" s="123">
        <f t="shared" si="61"/>
        <v>2</v>
      </c>
      <c r="H162" s="123">
        <f t="shared" si="61"/>
        <v>2</v>
      </c>
      <c r="I162" s="123">
        <f t="shared" si="61"/>
        <v>2</v>
      </c>
      <c r="J162" s="123">
        <f t="shared" si="61"/>
        <v>2</v>
      </c>
      <c r="K162" s="123">
        <f t="shared" si="61"/>
        <v>2</v>
      </c>
      <c r="L162" s="123">
        <f t="shared" si="61"/>
        <v>2</v>
      </c>
      <c r="M162" s="123">
        <f t="shared" si="61"/>
        <v>2</v>
      </c>
      <c r="N162" s="123">
        <f t="shared" si="61"/>
        <v>2</v>
      </c>
      <c r="O162" s="123">
        <f t="shared" si="61"/>
        <v>2</v>
      </c>
      <c r="P162" s="123">
        <f t="shared" si="61"/>
        <v>2</v>
      </c>
      <c r="Q162" s="123">
        <f t="shared" si="61"/>
        <v>2</v>
      </c>
      <c r="R162" s="123">
        <f t="shared" si="61"/>
        <v>2</v>
      </c>
      <c r="S162" s="123">
        <f t="shared" si="61"/>
        <v>2</v>
      </c>
      <c r="T162" s="123">
        <f t="shared" si="62"/>
        <v>2</v>
      </c>
      <c r="U162" s="123">
        <f t="shared" si="62"/>
        <v>2</v>
      </c>
      <c r="V162" s="123">
        <f t="shared" si="62"/>
        <v>2</v>
      </c>
      <c r="W162" s="123">
        <f t="shared" si="62"/>
        <v>2</v>
      </c>
      <c r="X162" s="123">
        <f t="shared" si="62"/>
        <v>2</v>
      </c>
      <c r="Y162" s="123">
        <f t="shared" si="62"/>
        <v>2</v>
      </c>
      <c r="Z162" s="123">
        <f t="shared" si="62"/>
        <v>2</v>
      </c>
      <c r="AA162" s="123">
        <f t="shared" si="62"/>
        <v>2</v>
      </c>
      <c r="AB162" s="123">
        <f t="shared" si="62"/>
        <v>2</v>
      </c>
      <c r="AC162" s="123">
        <f t="shared" si="62"/>
        <v>2</v>
      </c>
      <c r="AD162" s="123">
        <f t="shared" si="62"/>
        <v>2</v>
      </c>
      <c r="AE162" s="123">
        <f t="shared" si="62"/>
        <v>2</v>
      </c>
      <c r="AF162" s="123">
        <f t="shared" si="62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60"/>
        <v>0.47</v>
      </c>
      <c r="C163" s="124">
        <v>0.47</v>
      </c>
      <c r="D163" s="123">
        <f t="shared" si="61"/>
        <v>0.47</v>
      </c>
      <c r="E163" s="123">
        <f t="shared" si="61"/>
        <v>0.47</v>
      </c>
      <c r="F163" s="123">
        <f t="shared" si="61"/>
        <v>0.47</v>
      </c>
      <c r="G163" s="123">
        <f t="shared" si="61"/>
        <v>0.47</v>
      </c>
      <c r="H163" s="123">
        <f t="shared" si="61"/>
        <v>0.47</v>
      </c>
      <c r="I163" s="123">
        <f t="shared" si="61"/>
        <v>0.47</v>
      </c>
      <c r="J163" s="123">
        <f t="shared" si="61"/>
        <v>0.47</v>
      </c>
      <c r="K163" s="123">
        <f t="shared" si="61"/>
        <v>0.47</v>
      </c>
      <c r="L163" s="123">
        <f t="shared" si="61"/>
        <v>0.47</v>
      </c>
      <c r="M163" s="123">
        <f t="shared" si="61"/>
        <v>0.47</v>
      </c>
      <c r="N163" s="123">
        <f t="shared" si="61"/>
        <v>0.47</v>
      </c>
      <c r="O163" s="123">
        <f t="shared" si="61"/>
        <v>0.47</v>
      </c>
      <c r="P163" s="123">
        <f t="shared" si="61"/>
        <v>0.47</v>
      </c>
      <c r="Q163" s="123">
        <f t="shared" si="61"/>
        <v>0.47</v>
      </c>
      <c r="R163" s="123">
        <f t="shared" si="61"/>
        <v>0.47</v>
      </c>
      <c r="S163" s="123">
        <f t="shared" si="61"/>
        <v>0.47</v>
      </c>
      <c r="T163" s="123">
        <f t="shared" si="62"/>
        <v>0.47</v>
      </c>
      <c r="U163" s="123">
        <f t="shared" si="62"/>
        <v>0.47</v>
      </c>
      <c r="V163" s="123">
        <f t="shared" si="62"/>
        <v>0.47</v>
      </c>
      <c r="W163" s="123">
        <f t="shared" si="62"/>
        <v>0.47</v>
      </c>
      <c r="X163" s="123">
        <f t="shared" si="62"/>
        <v>0.47</v>
      </c>
      <c r="Y163" s="123">
        <f t="shared" si="62"/>
        <v>0.47</v>
      </c>
      <c r="Z163" s="123">
        <f t="shared" si="62"/>
        <v>0.47</v>
      </c>
      <c r="AA163" s="123">
        <f t="shared" si="62"/>
        <v>0.47</v>
      </c>
      <c r="AB163" s="123">
        <f t="shared" si="62"/>
        <v>0.47</v>
      </c>
      <c r="AC163" s="123">
        <f t="shared" si="62"/>
        <v>0.47</v>
      </c>
      <c r="AD163" s="123">
        <f t="shared" si="62"/>
        <v>0.47</v>
      </c>
      <c r="AE163" s="123">
        <f t="shared" si="62"/>
        <v>0.47</v>
      </c>
      <c r="AF163" s="123">
        <f t="shared" si="62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60"/>
        <v>0</v>
      </c>
      <c r="C164" s="124">
        <v>0</v>
      </c>
      <c r="D164" s="123">
        <f t="shared" si="61"/>
        <v>0</v>
      </c>
      <c r="E164" s="123">
        <f t="shared" si="61"/>
        <v>0</v>
      </c>
      <c r="F164" s="123">
        <f t="shared" si="61"/>
        <v>0</v>
      </c>
      <c r="G164" s="123">
        <f t="shared" si="61"/>
        <v>0</v>
      </c>
      <c r="H164" s="123">
        <f t="shared" si="61"/>
        <v>0</v>
      </c>
      <c r="I164" s="123">
        <f t="shared" si="61"/>
        <v>0</v>
      </c>
      <c r="J164" s="123">
        <f t="shared" si="61"/>
        <v>0</v>
      </c>
      <c r="K164" s="123">
        <f t="shared" si="61"/>
        <v>0</v>
      </c>
      <c r="L164" s="123">
        <f t="shared" si="61"/>
        <v>0</v>
      </c>
      <c r="M164" s="123">
        <f t="shared" si="61"/>
        <v>0</v>
      </c>
      <c r="N164" s="123">
        <f t="shared" si="61"/>
        <v>0</v>
      </c>
      <c r="O164" s="123">
        <f t="shared" si="61"/>
        <v>0</v>
      </c>
      <c r="P164" s="123">
        <f t="shared" si="61"/>
        <v>0</v>
      </c>
      <c r="Q164" s="123">
        <f t="shared" si="61"/>
        <v>0</v>
      </c>
      <c r="R164" s="123">
        <f t="shared" si="61"/>
        <v>0</v>
      </c>
      <c r="S164" s="123">
        <f t="shared" si="61"/>
        <v>0</v>
      </c>
      <c r="T164" s="123">
        <f t="shared" si="62"/>
        <v>0</v>
      </c>
      <c r="U164" s="123">
        <f t="shared" si="62"/>
        <v>0</v>
      </c>
      <c r="V164" s="123">
        <f t="shared" si="62"/>
        <v>0</v>
      </c>
      <c r="W164" s="123">
        <f t="shared" si="62"/>
        <v>0</v>
      </c>
      <c r="X164" s="123">
        <f t="shared" si="62"/>
        <v>0</v>
      </c>
      <c r="Y164" s="123">
        <f t="shared" si="62"/>
        <v>0</v>
      </c>
      <c r="Z164" s="123">
        <f t="shared" si="62"/>
        <v>0</v>
      </c>
      <c r="AA164" s="123">
        <f t="shared" si="62"/>
        <v>0</v>
      </c>
      <c r="AB164" s="123">
        <f t="shared" si="62"/>
        <v>0</v>
      </c>
      <c r="AC164" s="123">
        <f t="shared" si="62"/>
        <v>0</v>
      </c>
      <c r="AD164" s="123">
        <f t="shared" si="62"/>
        <v>0</v>
      </c>
      <c r="AE164" s="123">
        <f t="shared" si="62"/>
        <v>0</v>
      </c>
      <c r="AF164" s="123">
        <f t="shared" si="62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60"/>
        <v>0</v>
      </c>
      <c r="C165" s="124">
        <v>0</v>
      </c>
      <c r="D165" s="123">
        <f t="shared" si="61"/>
        <v>0</v>
      </c>
      <c r="E165" s="123">
        <f t="shared" si="61"/>
        <v>0</v>
      </c>
      <c r="F165" s="123">
        <f t="shared" si="61"/>
        <v>0</v>
      </c>
      <c r="G165" s="123">
        <f t="shared" si="61"/>
        <v>0</v>
      </c>
      <c r="H165" s="123">
        <f t="shared" si="61"/>
        <v>0</v>
      </c>
      <c r="I165" s="123">
        <f t="shared" si="61"/>
        <v>0</v>
      </c>
      <c r="J165" s="123">
        <f t="shared" si="61"/>
        <v>0</v>
      </c>
      <c r="K165" s="123">
        <f t="shared" si="61"/>
        <v>0</v>
      </c>
      <c r="L165" s="123">
        <f t="shared" si="61"/>
        <v>0</v>
      </c>
      <c r="M165" s="123">
        <f t="shared" si="61"/>
        <v>0</v>
      </c>
      <c r="N165" s="123">
        <f t="shared" si="61"/>
        <v>0</v>
      </c>
      <c r="O165" s="123">
        <f t="shared" si="61"/>
        <v>0</v>
      </c>
      <c r="P165" s="123">
        <f t="shared" si="61"/>
        <v>0</v>
      </c>
      <c r="Q165" s="123">
        <f t="shared" si="61"/>
        <v>0</v>
      </c>
      <c r="R165" s="123">
        <f t="shared" si="61"/>
        <v>0</v>
      </c>
      <c r="S165" s="123">
        <f t="shared" si="62"/>
        <v>0</v>
      </c>
      <c r="T165" s="123">
        <f t="shared" si="62"/>
        <v>0</v>
      </c>
      <c r="U165" s="123">
        <f t="shared" si="62"/>
        <v>0</v>
      </c>
      <c r="V165" s="123">
        <f t="shared" si="62"/>
        <v>0</v>
      </c>
      <c r="W165" s="123">
        <f t="shared" si="62"/>
        <v>0</v>
      </c>
      <c r="X165" s="123">
        <f t="shared" si="62"/>
        <v>0</v>
      </c>
      <c r="Y165" s="123">
        <f t="shared" si="62"/>
        <v>0</v>
      </c>
      <c r="Z165" s="123">
        <f t="shared" si="62"/>
        <v>0</v>
      </c>
      <c r="AA165" s="123">
        <f t="shared" si="62"/>
        <v>0</v>
      </c>
      <c r="AB165" s="123">
        <f t="shared" si="62"/>
        <v>0</v>
      </c>
      <c r="AC165" s="123">
        <f t="shared" si="62"/>
        <v>0</v>
      </c>
      <c r="AD165" s="123">
        <f t="shared" si="62"/>
        <v>0</v>
      </c>
      <c r="AE165" s="123">
        <f t="shared" si="62"/>
        <v>0</v>
      </c>
      <c r="AF165" s="123">
        <f t="shared" si="62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60"/>
        <v>0.8</v>
      </c>
      <c r="C166" s="124">
        <v>0.8</v>
      </c>
      <c r="D166" s="123">
        <f t="shared" si="61"/>
        <v>0.8</v>
      </c>
      <c r="E166" s="123">
        <f t="shared" si="61"/>
        <v>0.8</v>
      </c>
      <c r="F166" s="123">
        <f t="shared" si="61"/>
        <v>0.8</v>
      </c>
      <c r="G166" s="123">
        <f t="shared" si="61"/>
        <v>0.8</v>
      </c>
      <c r="H166" s="123">
        <f t="shared" si="61"/>
        <v>0.8</v>
      </c>
      <c r="I166" s="123">
        <f t="shared" si="61"/>
        <v>0.8</v>
      </c>
      <c r="J166" s="123">
        <f t="shared" si="61"/>
        <v>0.8</v>
      </c>
      <c r="K166" s="123">
        <f t="shared" si="61"/>
        <v>0.8</v>
      </c>
      <c r="L166" s="123">
        <f t="shared" si="61"/>
        <v>0.8</v>
      </c>
      <c r="M166" s="123">
        <f t="shared" si="61"/>
        <v>0.8</v>
      </c>
      <c r="N166" s="123">
        <f t="shared" si="61"/>
        <v>0.8</v>
      </c>
      <c r="O166" s="123">
        <f t="shared" si="61"/>
        <v>0.8</v>
      </c>
      <c r="P166" s="123">
        <f t="shared" si="61"/>
        <v>0.8</v>
      </c>
      <c r="Q166" s="123">
        <f t="shared" si="61"/>
        <v>0.8</v>
      </c>
      <c r="R166" s="123">
        <f t="shared" si="61"/>
        <v>0.8</v>
      </c>
      <c r="S166" s="123">
        <f t="shared" si="62"/>
        <v>0.8</v>
      </c>
      <c r="T166" s="123">
        <f t="shared" si="62"/>
        <v>0.8</v>
      </c>
      <c r="U166" s="123">
        <f t="shared" si="62"/>
        <v>0.8</v>
      </c>
      <c r="V166" s="123">
        <f t="shared" si="62"/>
        <v>0.8</v>
      </c>
      <c r="W166" s="123">
        <f t="shared" si="62"/>
        <v>0.8</v>
      </c>
      <c r="X166" s="123">
        <f t="shared" si="62"/>
        <v>0.8</v>
      </c>
      <c r="Y166" s="123">
        <f t="shared" si="62"/>
        <v>0.8</v>
      </c>
      <c r="Z166" s="123">
        <f t="shared" si="62"/>
        <v>0.8</v>
      </c>
      <c r="AA166" s="123">
        <f t="shared" si="62"/>
        <v>0.8</v>
      </c>
      <c r="AB166" s="123">
        <f t="shared" si="62"/>
        <v>0.8</v>
      </c>
      <c r="AC166" s="123">
        <f t="shared" si="62"/>
        <v>0.8</v>
      </c>
      <c r="AD166" s="123">
        <f t="shared" si="62"/>
        <v>0.8</v>
      </c>
      <c r="AE166" s="123">
        <f t="shared" si="62"/>
        <v>0.8</v>
      </c>
      <c r="AF166" s="123">
        <f t="shared" si="62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60"/>
        <v>1.5</v>
      </c>
      <c r="C167" s="124">
        <v>1.5</v>
      </c>
      <c r="D167" s="123">
        <f t="shared" si="61"/>
        <v>1.5</v>
      </c>
      <c r="E167" s="123">
        <f t="shared" si="61"/>
        <v>1.5</v>
      </c>
      <c r="F167" s="123">
        <f t="shared" si="61"/>
        <v>1.5</v>
      </c>
      <c r="G167" s="123">
        <f t="shared" si="61"/>
        <v>1.5</v>
      </c>
      <c r="H167" s="123">
        <f t="shared" si="61"/>
        <v>1.5</v>
      </c>
      <c r="I167" s="123">
        <f t="shared" si="61"/>
        <v>1.5</v>
      </c>
      <c r="J167" s="123">
        <f t="shared" si="61"/>
        <v>1.5</v>
      </c>
      <c r="K167" s="123">
        <f t="shared" si="61"/>
        <v>1.5</v>
      </c>
      <c r="L167" s="123">
        <f t="shared" si="61"/>
        <v>1.5</v>
      </c>
      <c r="M167" s="123">
        <f t="shared" si="61"/>
        <v>1.5</v>
      </c>
      <c r="N167" s="123">
        <f t="shared" si="61"/>
        <v>1.5</v>
      </c>
      <c r="O167" s="123">
        <f t="shared" si="61"/>
        <v>1.5</v>
      </c>
      <c r="P167" s="123">
        <f t="shared" si="61"/>
        <v>1.5</v>
      </c>
      <c r="Q167" s="123">
        <f t="shared" si="61"/>
        <v>1.5</v>
      </c>
      <c r="R167" s="123">
        <f t="shared" si="61"/>
        <v>1.5</v>
      </c>
      <c r="S167" s="123">
        <f t="shared" si="62"/>
        <v>1.5</v>
      </c>
      <c r="T167" s="123">
        <f t="shared" si="62"/>
        <v>1.5</v>
      </c>
      <c r="U167" s="123">
        <f t="shared" si="62"/>
        <v>1.5</v>
      </c>
      <c r="V167" s="123">
        <f t="shared" si="62"/>
        <v>1.5</v>
      </c>
      <c r="W167" s="123">
        <f t="shared" si="62"/>
        <v>1.5</v>
      </c>
      <c r="X167" s="123">
        <f t="shared" si="62"/>
        <v>1.5</v>
      </c>
      <c r="Y167" s="123">
        <f t="shared" si="62"/>
        <v>1.5</v>
      </c>
      <c r="Z167" s="123">
        <f t="shared" si="62"/>
        <v>1.5</v>
      </c>
      <c r="AA167" s="123">
        <f t="shared" si="62"/>
        <v>1.5</v>
      </c>
      <c r="AB167" s="123">
        <f t="shared" si="62"/>
        <v>1.5</v>
      </c>
      <c r="AC167" s="123">
        <f t="shared" si="62"/>
        <v>1.5</v>
      </c>
      <c r="AD167" s="123">
        <f t="shared" si="62"/>
        <v>1.5</v>
      </c>
      <c r="AE167" s="123">
        <f t="shared" si="62"/>
        <v>1.5</v>
      </c>
      <c r="AF167" s="123">
        <f t="shared" si="62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60"/>
        <v>1</v>
      </c>
      <c r="C168" s="124">
        <v>1</v>
      </c>
      <c r="D168" s="123">
        <f t="shared" si="61"/>
        <v>1</v>
      </c>
      <c r="E168" s="123">
        <f t="shared" si="61"/>
        <v>1</v>
      </c>
      <c r="F168" s="123">
        <f t="shared" si="61"/>
        <v>1</v>
      </c>
      <c r="G168" s="123">
        <f t="shared" si="61"/>
        <v>1</v>
      </c>
      <c r="H168" s="123">
        <f t="shared" si="61"/>
        <v>1</v>
      </c>
      <c r="I168" s="123">
        <f t="shared" si="61"/>
        <v>1</v>
      </c>
      <c r="J168" s="123">
        <f t="shared" si="61"/>
        <v>1</v>
      </c>
      <c r="K168" s="123">
        <f t="shared" si="61"/>
        <v>1</v>
      </c>
      <c r="L168" s="123">
        <f t="shared" si="61"/>
        <v>1</v>
      </c>
      <c r="M168" s="123">
        <f t="shared" si="61"/>
        <v>1</v>
      </c>
      <c r="N168" s="123">
        <f t="shared" si="61"/>
        <v>1</v>
      </c>
      <c r="O168" s="123">
        <f t="shared" si="61"/>
        <v>1</v>
      </c>
      <c r="P168" s="123">
        <f t="shared" si="61"/>
        <v>1</v>
      </c>
      <c r="Q168" s="123">
        <f t="shared" si="61"/>
        <v>1</v>
      </c>
      <c r="R168" s="123">
        <f t="shared" si="61"/>
        <v>1</v>
      </c>
      <c r="S168" s="123">
        <f t="shared" si="62"/>
        <v>1</v>
      </c>
      <c r="T168" s="123">
        <f t="shared" si="62"/>
        <v>1</v>
      </c>
      <c r="U168" s="123">
        <f t="shared" si="62"/>
        <v>1</v>
      </c>
      <c r="V168" s="123">
        <f t="shared" si="62"/>
        <v>1</v>
      </c>
      <c r="W168" s="123">
        <f t="shared" si="62"/>
        <v>1</v>
      </c>
      <c r="X168" s="123">
        <f t="shared" si="62"/>
        <v>1</v>
      </c>
      <c r="Y168" s="123">
        <f t="shared" si="62"/>
        <v>1</v>
      </c>
      <c r="Z168" s="123">
        <f t="shared" si="62"/>
        <v>1</v>
      </c>
      <c r="AA168" s="123">
        <f t="shared" si="62"/>
        <v>1</v>
      </c>
      <c r="AB168" s="123">
        <f t="shared" si="62"/>
        <v>1</v>
      </c>
      <c r="AC168" s="123">
        <f t="shared" si="62"/>
        <v>1</v>
      </c>
      <c r="AD168" s="123">
        <f t="shared" si="62"/>
        <v>1</v>
      </c>
      <c r="AE168" s="123">
        <f t="shared" si="62"/>
        <v>1</v>
      </c>
      <c r="AF168" s="123">
        <f t="shared" si="62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3">AF170</f>
        <v>1</v>
      </c>
      <c r="C170" s="124">
        <v>1</v>
      </c>
      <c r="D170" s="123">
        <f t="shared" ref="D170:S177" si="64">C170</f>
        <v>1</v>
      </c>
      <c r="E170" s="123">
        <f t="shared" si="64"/>
        <v>1</v>
      </c>
      <c r="F170" s="123">
        <f t="shared" si="64"/>
        <v>1</v>
      </c>
      <c r="G170" s="123">
        <f t="shared" si="64"/>
        <v>1</v>
      </c>
      <c r="H170" s="123">
        <f t="shared" si="64"/>
        <v>1</v>
      </c>
      <c r="I170" s="123">
        <f t="shared" si="64"/>
        <v>1</v>
      </c>
      <c r="J170" s="123">
        <f t="shared" si="64"/>
        <v>1</v>
      </c>
      <c r="K170" s="123">
        <f t="shared" si="64"/>
        <v>1</v>
      </c>
      <c r="L170" s="123">
        <f t="shared" si="64"/>
        <v>1</v>
      </c>
      <c r="M170" s="123">
        <f t="shared" si="64"/>
        <v>1</v>
      </c>
      <c r="N170" s="123">
        <f t="shared" si="64"/>
        <v>1</v>
      </c>
      <c r="O170" s="123">
        <f t="shared" si="64"/>
        <v>1</v>
      </c>
      <c r="P170" s="123">
        <f t="shared" si="64"/>
        <v>1</v>
      </c>
      <c r="Q170" s="123">
        <f t="shared" si="64"/>
        <v>1</v>
      </c>
      <c r="R170" s="123">
        <f t="shared" si="64"/>
        <v>1</v>
      </c>
      <c r="S170" s="123">
        <f t="shared" si="64"/>
        <v>1</v>
      </c>
      <c r="T170" s="123">
        <f t="shared" ref="S170:AF177" si="65">S170</f>
        <v>1</v>
      </c>
      <c r="U170" s="123">
        <f t="shared" si="65"/>
        <v>1</v>
      </c>
      <c r="V170" s="123">
        <f t="shared" si="65"/>
        <v>1</v>
      </c>
      <c r="W170" s="123">
        <f t="shared" si="65"/>
        <v>1</v>
      </c>
      <c r="X170" s="123">
        <f t="shared" si="65"/>
        <v>1</v>
      </c>
      <c r="Y170" s="123">
        <f t="shared" si="65"/>
        <v>1</v>
      </c>
      <c r="Z170" s="123">
        <f t="shared" si="65"/>
        <v>1</v>
      </c>
      <c r="AA170" s="123">
        <f t="shared" si="65"/>
        <v>1</v>
      </c>
      <c r="AB170" s="123">
        <f t="shared" si="65"/>
        <v>1</v>
      </c>
      <c r="AC170" s="123">
        <f t="shared" si="65"/>
        <v>1</v>
      </c>
      <c r="AD170" s="123">
        <f t="shared" si="65"/>
        <v>1</v>
      </c>
      <c r="AE170" s="123">
        <f t="shared" si="65"/>
        <v>1</v>
      </c>
      <c r="AF170" s="123">
        <f t="shared" si="65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3"/>
        <v>0.42</v>
      </c>
      <c r="C171" s="124">
        <v>0.42</v>
      </c>
      <c r="D171" s="123">
        <f t="shared" si="64"/>
        <v>0.42</v>
      </c>
      <c r="E171" s="123">
        <f t="shared" si="64"/>
        <v>0.42</v>
      </c>
      <c r="F171" s="123">
        <f t="shared" si="64"/>
        <v>0.42</v>
      </c>
      <c r="G171" s="123">
        <f t="shared" si="64"/>
        <v>0.42</v>
      </c>
      <c r="H171" s="123">
        <f t="shared" si="64"/>
        <v>0.42</v>
      </c>
      <c r="I171" s="123">
        <f t="shared" si="64"/>
        <v>0.42</v>
      </c>
      <c r="J171" s="123">
        <f t="shared" si="64"/>
        <v>0.42</v>
      </c>
      <c r="K171" s="123">
        <f t="shared" si="64"/>
        <v>0.42</v>
      </c>
      <c r="L171" s="123">
        <f t="shared" si="64"/>
        <v>0.42</v>
      </c>
      <c r="M171" s="123">
        <f t="shared" si="64"/>
        <v>0.42</v>
      </c>
      <c r="N171" s="123">
        <f t="shared" si="64"/>
        <v>0.42</v>
      </c>
      <c r="O171" s="123">
        <f t="shared" si="64"/>
        <v>0.42</v>
      </c>
      <c r="P171" s="123">
        <f t="shared" si="64"/>
        <v>0.42</v>
      </c>
      <c r="Q171" s="123">
        <f t="shared" si="64"/>
        <v>0.42</v>
      </c>
      <c r="R171" s="123">
        <f t="shared" si="64"/>
        <v>0.42</v>
      </c>
      <c r="S171" s="123">
        <f t="shared" si="65"/>
        <v>0.42</v>
      </c>
      <c r="T171" s="123">
        <f t="shared" si="65"/>
        <v>0.42</v>
      </c>
      <c r="U171" s="123">
        <f t="shared" si="65"/>
        <v>0.42</v>
      </c>
      <c r="V171" s="123">
        <f t="shared" si="65"/>
        <v>0.42</v>
      </c>
      <c r="W171" s="123">
        <f t="shared" si="65"/>
        <v>0.42</v>
      </c>
      <c r="X171" s="123">
        <f t="shared" si="65"/>
        <v>0.42</v>
      </c>
      <c r="Y171" s="123">
        <f t="shared" si="65"/>
        <v>0.42</v>
      </c>
      <c r="Z171" s="123">
        <f t="shared" si="65"/>
        <v>0.42</v>
      </c>
      <c r="AA171" s="123">
        <f t="shared" si="65"/>
        <v>0.42</v>
      </c>
      <c r="AB171" s="123">
        <f t="shared" si="65"/>
        <v>0.42</v>
      </c>
      <c r="AC171" s="123">
        <f t="shared" si="65"/>
        <v>0.42</v>
      </c>
      <c r="AD171" s="123">
        <f t="shared" si="65"/>
        <v>0.42</v>
      </c>
      <c r="AE171" s="123">
        <f t="shared" si="65"/>
        <v>0.42</v>
      </c>
      <c r="AF171" s="123">
        <f t="shared" si="65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3"/>
        <v>0.46</v>
      </c>
      <c r="C172" s="124">
        <v>0.46</v>
      </c>
      <c r="D172" s="123">
        <f t="shared" si="64"/>
        <v>0.46</v>
      </c>
      <c r="E172" s="123">
        <f t="shared" si="64"/>
        <v>0.46</v>
      </c>
      <c r="F172" s="123">
        <f t="shared" si="64"/>
        <v>0.46</v>
      </c>
      <c r="G172" s="123">
        <f t="shared" si="64"/>
        <v>0.46</v>
      </c>
      <c r="H172" s="123">
        <f t="shared" si="64"/>
        <v>0.46</v>
      </c>
      <c r="I172" s="123">
        <f t="shared" si="64"/>
        <v>0.46</v>
      </c>
      <c r="J172" s="123">
        <f t="shared" si="64"/>
        <v>0.46</v>
      </c>
      <c r="K172" s="123">
        <f t="shared" si="64"/>
        <v>0.46</v>
      </c>
      <c r="L172" s="123">
        <f t="shared" si="64"/>
        <v>0.46</v>
      </c>
      <c r="M172" s="123">
        <f t="shared" si="64"/>
        <v>0.46</v>
      </c>
      <c r="N172" s="123">
        <f t="shared" si="64"/>
        <v>0.46</v>
      </c>
      <c r="O172" s="123">
        <f t="shared" si="64"/>
        <v>0.46</v>
      </c>
      <c r="P172" s="123">
        <f t="shared" si="64"/>
        <v>0.46</v>
      </c>
      <c r="Q172" s="123">
        <f t="shared" si="64"/>
        <v>0.46</v>
      </c>
      <c r="R172" s="123">
        <f t="shared" si="64"/>
        <v>0.46</v>
      </c>
      <c r="S172" s="123">
        <f t="shared" si="65"/>
        <v>0.46</v>
      </c>
      <c r="T172" s="123">
        <f t="shared" si="65"/>
        <v>0.46</v>
      </c>
      <c r="U172" s="123">
        <f t="shared" si="65"/>
        <v>0.46</v>
      </c>
      <c r="V172" s="123">
        <f t="shared" si="65"/>
        <v>0.46</v>
      </c>
      <c r="W172" s="123">
        <f t="shared" si="65"/>
        <v>0.46</v>
      </c>
      <c r="X172" s="123">
        <f t="shared" si="65"/>
        <v>0.46</v>
      </c>
      <c r="Y172" s="123">
        <f t="shared" si="65"/>
        <v>0.46</v>
      </c>
      <c r="Z172" s="123">
        <f t="shared" si="65"/>
        <v>0.46</v>
      </c>
      <c r="AA172" s="123">
        <f t="shared" si="65"/>
        <v>0.46</v>
      </c>
      <c r="AB172" s="123">
        <f t="shared" si="65"/>
        <v>0.46</v>
      </c>
      <c r="AC172" s="123">
        <f t="shared" si="65"/>
        <v>0.46</v>
      </c>
      <c r="AD172" s="123">
        <f t="shared" si="65"/>
        <v>0.46</v>
      </c>
      <c r="AE172" s="123">
        <f t="shared" si="65"/>
        <v>0.46</v>
      </c>
      <c r="AF172" s="123">
        <f t="shared" si="65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3"/>
        <v>0.85</v>
      </c>
      <c r="C173" s="124">
        <v>0.85</v>
      </c>
      <c r="D173" s="123">
        <f t="shared" si="64"/>
        <v>0.85</v>
      </c>
      <c r="E173" s="123">
        <f t="shared" si="64"/>
        <v>0.85</v>
      </c>
      <c r="F173" s="123">
        <f t="shared" si="64"/>
        <v>0.85</v>
      </c>
      <c r="G173" s="123">
        <f t="shared" si="64"/>
        <v>0.85</v>
      </c>
      <c r="H173" s="123">
        <f t="shared" si="64"/>
        <v>0.85</v>
      </c>
      <c r="I173" s="123">
        <f t="shared" si="64"/>
        <v>0.85</v>
      </c>
      <c r="J173" s="123">
        <f t="shared" si="64"/>
        <v>0.85</v>
      </c>
      <c r="K173" s="123">
        <f t="shared" si="64"/>
        <v>0.85</v>
      </c>
      <c r="L173" s="123">
        <f t="shared" si="64"/>
        <v>0.85</v>
      </c>
      <c r="M173" s="123">
        <f t="shared" si="64"/>
        <v>0.85</v>
      </c>
      <c r="N173" s="123">
        <f t="shared" si="64"/>
        <v>0.85</v>
      </c>
      <c r="O173" s="123">
        <f t="shared" si="64"/>
        <v>0.85</v>
      </c>
      <c r="P173" s="123">
        <f t="shared" si="64"/>
        <v>0.85</v>
      </c>
      <c r="Q173" s="123">
        <f t="shared" si="64"/>
        <v>0.85</v>
      </c>
      <c r="R173" s="123">
        <f t="shared" si="64"/>
        <v>0.85</v>
      </c>
      <c r="S173" s="123">
        <f t="shared" si="65"/>
        <v>0.85</v>
      </c>
      <c r="T173" s="123">
        <f t="shared" si="65"/>
        <v>0.85</v>
      </c>
      <c r="U173" s="123">
        <f t="shared" si="65"/>
        <v>0.85</v>
      </c>
      <c r="V173" s="123">
        <f t="shared" si="65"/>
        <v>0.85</v>
      </c>
      <c r="W173" s="123">
        <f t="shared" si="65"/>
        <v>0.85</v>
      </c>
      <c r="X173" s="123">
        <f t="shared" si="65"/>
        <v>0.85</v>
      </c>
      <c r="Y173" s="123">
        <f t="shared" si="65"/>
        <v>0.85</v>
      </c>
      <c r="Z173" s="123">
        <f t="shared" si="65"/>
        <v>0.85</v>
      </c>
      <c r="AA173" s="123">
        <f t="shared" si="65"/>
        <v>0.85</v>
      </c>
      <c r="AB173" s="123">
        <f t="shared" si="65"/>
        <v>0.85</v>
      </c>
      <c r="AC173" s="123">
        <f t="shared" si="65"/>
        <v>0.85</v>
      </c>
      <c r="AD173" s="123">
        <f t="shared" si="65"/>
        <v>0.85</v>
      </c>
      <c r="AE173" s="123">
        <f t="shared" si="65"/>
        <v>0.85</v>
      </c>
      <c r="AF173" s="123">
        <f t="shared" si="65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3"/>
        <v>0.9</v>
      </c>
      <c r="C174" s="124">
        <v>0.9</v>
      </c>
      <c r="D174" s="123">
        <f t="shared" si="64"/>
        <v>0.9</v>
      </c>
      <c r="E174" s="123">
        <f t="shared" si="64"/>
        <v>0.9</v>
      </c>
      <c r="F174" s="123">
        <f t="shared" si="64"/>
        <v>0.9</v>
      </c>
      <c r="G174" s="123">
        <f t="shared" si="64"/>
        <v>0.9</v>
      </c>
      <c r="H174" s="123">
        <f t="shared" si="64"/>
        <v>0.9</v>
      </c>
      <c r="I174" s="123">
        <f t="shared" si="64"/>
        <v>0.9</v>
      </c>
      <c r="J174" s="123">
        <f t="shared" si="64"/>
        <v>0.9</v>
      </c>
      <c r="K174" s="123">
        <f t="shared" si="64"/>
        <v>0.9</v>
      </c>
      <c r="L174" s="123">
        <f t="shared" si="64"/>
        <v>0.9</v>
      </c>
      <c r="M174" s="123">
        <f t="shared" si="64"/>
        <v>0.9</v>
      </c>
      <c r="N174" s="123">
        <f t="shared" si="64"/>
        <v>0.9</v>
      </c>
      <c r="O174" s="123">
        <f t="shared" si="64"/>
        <v>0.9</v>
      </c>
      <c r="P174" s="123">
        <f t="shared" si="64"/>
        <v>0.9</v>
      </c>
      <c r="Q174" s="123">
        <f t="shared" si="64"/>
        <v>0.9</v>
      </c>
      <c r="R174" s="123">
        <f t="shared" si="64"/>
        <v>0.9</v>
      </c>
      <c r="S174" s="123">
        <f t="shared" si="65"/>
        <v>0.9</v>
      </c>
      <c r="T174" s="123">
        <f t="shared" si="65"/>
        <v>0.9</v>
      </c>
      <c r="U174" s="123">
        <f t="shared" si="65"/>
        <v>0.9</v>
      </c>
      <c r="V174" s="123">
        <f t="shared" si="65"/>
        <v>0.9</v>
      </c>
      <c r="W174" s="123">
        <f t="shared" si="65"/>
        <v>0.9</v>
      </c>
      <c r="X174" s="123">
        <f t="shared" si="65"/>
        <v>0.9</v>
      </c>
      <c r="Y174" s="123">
        <f t="shared" si="65"/>
        <v>0.9</v>
      </c>
      <c r="Z174" s="123">
        <f t="shared" si="65"/>
        <v>0.9</v>
      </c>
      <c r="AA174" s="123">
        <f t="shared" si="65"/>
        <v>0.9</v>
      </c>
      <c r="AB174" s="123">
        <f t="shared" si="65"/>
        <v>0.9</v>
      </c>
      <c r="AC174" s="123">
        <f t="shared" si="65"/>
        <v>0.9</v>
      </c>
      <c r="AD174" s="123">
        <f t="shared" si="65"/>
        <v>0.9</v>
      </c>
      <c r="AE174" s="123">
        <f t="shared" si="65"/>
        <v>0.9</v>
      </c>
      <c r="AF174" s="123">
        <f t="shared" si="65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3"/>
        <v>0.44</v>
      </c>
      <c r="C175" s="124">
        <v>0.44</v>
      </c>
      <c r="D175" s="123">
        <f t="shared" si="64"/>
        <v>0.44</v>
      </c>
      <c r="E175" s="123">
        <f t="shared" si="64"/>
        <v>0.44</v>
      </c>
      <c r="F175" s="123">
        <f t="shared" si="64"/>
        <v>0.44</v>
      </c>
      <c r="G175" s="123">
        <f t="shared" si="64"/>
        <v>0.44</v>
      </c>
      <c r="H175" s="123">
        <f t="shared" si="64"/>
        <v>0.44</v>
      </c>
      <c r="I175" s="123">
        <f t="shared" si="64"/>
        <v>0.44</v>
      </c>
      <c r="J175" s="123">
        <f t="shared" si="64"/>
        <v>0.44</v>
      </c>
      <c r="K175" s="123">
        <f t="shared" si="64"/>
        <v>0.44</v>
      </c>
      <c r="L175" s="123">
        <f t="shared" si="64"/>
        <v>0.44</v>
      </c>
      <c r="M175" s="123">
        <f t="shared" si="64"/>
        <v>0.44</v>
      </c>
      <c r="N175" s="123">
        <f t="shared" si="64"/>
        <v>0.44</v>
      </c>
      <c r="O175" s="123">
        <f t="shared" si="64"/>
        <v>0.44</v>
      </c>
      <c r="P175" s="123">
        <f t="shared" si="64"/>
        <v>0.44</v>
      </c>
      <c r="Q175" s="123">
        <f t="shared" si="64"/>
        <v>0.44</v>
      </c>
      <c r="R175" s="123">
        <f t="shared" si="64"/>
        <v>0.44</v>
      </c>
      <c r="S175" s="123">
        <f t="shared" si="65"/>
        <v>0.44</v>
      </c>
      <c r="T175" s="123">
        <f t="shared" si="65"/>
        <v>0.44</v>
      </c>
      <c r="U175" s="123">
        <f t="shared" si="65"/>
        <v>0.44</v>
      </c>
      <c r="V175" s="123">
        <f t="shared" si="65"/>
        <v>0.44</v>
      </c>
      <c r="W175" s="123">
        <f t="shared" si="65"/>
        <v>0.44</v>
      </c>
      <c r="X175" s="123">
        <f t="shared" si="65"/>
        <v>0.44</v>
      </c>
      <c r="Y175" s="123">
        <f t="shared" si="65"/>
        <v>0.44</v>
      </c>
      <c r="Z175" s="123">
        <f t="shared" si="65"/>
        <v>0.44</v>
      </c>
      <c r="AA175" s="123">
        <f t="shared" si="65"/>
        <v>0.44</v>
      </c>
      <c r="AB175" s="123">
        <f t="shared" si="65"/>
        <v>0.44</v>
      </c>
      <c r="AC175" s="123">
        <f t="shared" si="65"/>
        <v>0.44</v>
      </c>
      <c r="AD175" s="123">
        <f t="shared" si="65"/>
        <v>0.44</v>
      </c>
      <c r="AE175" s="123">
        <f t="shared" si="65"/>
        <v>0.44</v>
      </c>
      <c r="AF175" s="123">
        <f t="shared" si="65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3"/>
        <v>2.1</v>
      </c>
      <c r="C176" s="124">
        <v>2.1</v>
      </c>
      <c r="D176" s="123">
        <f t="shared" si="64"/>
        <v>2.1</v>
      </c>
      <c r="E176" s="123">
        <f t="shared" si="64"/>
        <v>2.1</v>
      </c>
      <c r="F176" s="123">
        <f t="shared" si="64"/>
        <v>2.1</v>
      </c>
      <c r="G176" s="123">
        <f t="shared" si="64"/>
        <v>2.1</v>
      </c>
      <c r="H176" s="123">
        <f t="shared" si="64"/>
        <v>2.1</v>
      </c>
      <c r="I176" s="123">
        <f t="shared" si="64"/>
        <v>2.1</v>
      </c>
      <c r="J176" s="123">
        <f t="shared" si="64"/>
        <v>2.1</v>
      </c>
      <c r="K176" s="123">
        <f t="shared" si="64"/>
        <v>2.1</v>
      </c>
      <c r="L176" s="123">
        <f t="shared" si="64"/>
        <v>2.1</v>
      </c>
      <c r="M176" s="123">
        <f t="shared" si="64"/>
        <v>2.1</v>
      </c>
      <c r="N176" s="123">
        <f t="shared" si="64"/>
        <v>2.1</v>
      </c>
      <c r="O176" s="123">
        <f t="shared" si="64"/>
        <v>2.1</v>
      </c>
      <c r="P176" s="123">
        <f t="shared" si="64"/>
        <v>2.1</v>
      </c>
      <c r="Q176" s="123">
        <f t="shared" si="64"/>
        <v>2.1</v>
      </c>
      <c r="R176" s="123">
        <f t="shared" si="64"/>
        <v>2.1</v>
      </c>
      <c r="S176" s="123">
        <f t="shared" si="65"/>
        <v>2.1</v>
      </c>
      <c r="T176" s="123">
        <f t="shared" si="65"/>
        <v>2.1</v>
      </c>
      <c r="U176" s="123">
        <f t="shared" si="65"/>
        <v>2.1</v>
      </c>
      <c r="V176" s="123">
        <f t="shared" si="65"/>
        <v>2.1</v>
      </c>
      <c r="W176" s="123">
        <f t="shared" si="65"/>
        <v>2.1</v>
      </c>
      <c r="X176" s="123">
        <f t="shared" si="65"/>
        <v>2.1</v>
      </c>
      <c r="Y176" s="123">
        <f t="shared" si="65"/>
        <v>2.1</v>
      </c>
      <c r="Z176" s="123">
        <f t="shared" si="65"/>
        <v>2.1</v>
      </c>
      <c r="AA176" s="123">
        <f t="shared" si="65"/>
        <v>2.1</v>
      </c>
      <c r="AB176" s="123">
        <f t="shared" si="65"/>
        <v>2.1</v>
      </c>
      <c r="AC176" s="123">
        <f t="shared" si="65"/>
        <v>2.1</v>
      </c>
      <c r="AD176" s="123">
        <f t="shared" si="65"/>
        <v>2.1</v>
      </c>
      <c r="AE176" s="123">
        <f t="shared" si="65"/>
        <v>2.1</v>
      </c>
      <c r="AF176" s="123">
        <f t="shared" si="65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3"/>
        <v>0.9</v>
      </c>
      <c r="C177" s="124">
        <v>0.9</v>
      </c>
      <c r="D177" s="123">
        <f t="shared" si="64"/>
        <v>0.9</v>
      </c>
      <c r="E177" s="123">
        <f t="shared" si="64"/>
        <v>0.9</v>
      </c>
      <c r="F177" s="123">
        <f t="shared" si="64"/>
        <v>0.9</v>
      </c>
      <c r="G177" s="123">
        <f t="shared" si="64"/>
        <v>0.9</v>
      </c>
      <c r="H177" s="123">
        <f t="shared" si="64"/>
        <v>0.9</v>
      </c>
      <c r="I177" s="123">
        <f t="shared" si="64"/>
        <v>0.9</v>
      </c>
      <c r="J177" s="123">
        <f t="shared" si="64"/>
        <v>0.9</v>
      </c>
      <c r="K177" s="123">
        <f t="shared" si="64"/>
        <v>0.9</v>
      </c>
      <c r="L177" s="123">
        <f t="shared" si="64"/>
        <v>0.9</v>
      </c>
      <c r="M177" s="123">
        <f t="shared" si="64"/>
        <v>0.9</v>
      </c>
      <c r="N177" s="123">
        <f t="shared" si="64"/>
        <v>0.9</v>
      </c>
      <c r="O177" s="123">
        <f t="shared" si="64"/>
        <v>0.9</v>
      </c>
      <c r="P177" s="123">
        <f t="shared" si="64"/>
        <v>0.9</v>
      </c>
      <c r="Q177" s="123">
        <f t="shared" si="64"/>
        <v>0.9</v>
      </c>
      <c r="R177" s="123">
        <f t="shared" si="64"/>
        <v>0.9</v>
      </c>
      <c r="S177" s="123">
        <f t="shared" si="65"/>
        <v>0.9</v>
      </c>
      <c r="T177" s="123">
        <f t="shared" si="65"/>
        <v>0.9</v>
      </c>
      <c r="U177" s="123">
        <f t="shared" si="65"/>
        <v>0.9</v>
      </c>
      <c r="V177" s="123">
        <f t="shared" si="65"/>
        <v>0.9</v>
      </c>
      <c r="W177" s="123">
        <f t="shared" si="65"/>
        <v>0.9</v>
      </c>
      <c r="X177" s="123">
        <f t="shared" si="65"/>
        <v>0.9</v>
      </c>
      <c r="Y177" s="123">
        <f t="shared" si="65"/>
        <v>0.9</v>
      </c>
      <c r="Z177" s="123">
        <f t="shared" si="65"/>
        <v>0.9</v>
      </c>
      <c r="AA177" s="123">
        <f t="shared" si="65"/>
        <v>0.9</v>
      </c>
      <c r="AB177" s="123">
        <f t="shared" si="65"/>
        <v>0.9</v>
      </c>
      <c r="AC177" s="123">
        <f t="shared" si="65"/>
        <v>0.9</v>
      </c>
      <c r="AD177" s="123">
        <f t="shared" si="65"/>
        <v>0.9</v>
      </c>
      <c r="AE177" s="123">
        <f t="shared" si="65"/>
        <v>0.9</v>
      </c>
      <c r="AF177" s="123">
        <f t="shared" si="65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6">AF179</f>
        <v>0.57999999999999996</v>
      </c>
      <c r="C179" s="124">
        <v>0.57999999999999996</v>
      </c>
      <c r="D179" s="123">
        <f t="shared" ref="D179:S191" si="67">C179</f>
        <v>0.57999999999999996</v>
      </c>
      <c r="E179" s="123">
        <f t="shared" si="67"/>
        <v>0.57999999999999996</v>
      </c>
      <c r="F179" s="123">
        <f t="shared" si="67"/>
        <v>0.57999999999999996</v>
      </c>
      <c r="G179" s="123">
        <f t="shared" si="67"/>
        <v>0.57999999999999996</v>
      </c>
      <c r="H179" s="123">
        <f t="shared" si="67"/>
        <v>0.57999999999999996</v>
      </c>
      <c r="I179" s="123">
        <f t="shared" si="67"/>
        <v>0.57999999999999996</v>
      </c>
      <c r="J179" s="123">
        <f t="shared" si="67"/>
        <v>0.57999999999999996</v>
      </c>
      <c r="K179" s="123">
        <f t="shared" si="67"/>
        <v>0.57999999999999996</v>
      </c>
      <c r="L179" s="123">
        <f t="shared" si="67"/>
        <v>0.57999999999999996</v>
      </c>
      <c r="M179" s="123">
        <f t="shared" si="67"/>
        <v>0.57999999999999996</v>
      </c>
      <c r="N179" s="123">
        <f t="shared" si="67"/>
        <v>0.57999999999999996</v>
      </c>
      <c r="O179" s="123">
        <f t="shared" si="67"/>
        <v>0.57999999999999996</v>
      </c>
      <c r="P179" s="123">
        <f t="shared" si="67"/>
        <v>0.57999999999999996</v>
      </c>
      <c r="Q179" s="123">
        <f t="shared" si="67"/>
        <v>0.57999999999999996</v>
      </c>
      <c r="R179" s="123">
        <f t="shared" si="67"/>
        <v>0.57999999999999996</v>
      </c>
      <c r="S179" s="123">
        <f t="shared" si="67"/>
        <v>0.57999999999999996</v>
      </c>
      <c r="T179" s="123">
        <f t="shared" ref="S179:AF191" si="68">S179</f>
        <v>0.57999999999999996</v>
      </c>
      <c r="U179" s="123">
        <f t="shared" si="68"/>
        <v>0.57999999999999996</v>
      </c>
      <c r="V179" s="123">
        <f t="shared" si="68"/>
        <v>0.57999999999999996</v>
      </c>
      <c r="W179" s="123">
        <f t="shared" si="68"/>
        <v>0.57999999999999996</v>
      </c>
      <c r="X179" s="123">
        <f t="shared" si="68"/>
        <v>0.57999999999999996</v>
      </c>
      <c r="Y179" s="123">
        <f t="shared" si="68"/>
        <v>0.57999999999999996</v>
      </c>
      <c r="Z179" s="123">
        <f t="shared" si="68"/>
        <v>0.57999999999999996</v>
      </c>
      <c r="AA179" s="123">
        <f t="shared" si="68"/>
        <v>0.57999999999999996</v>
      </c>
      <c r="AB179" s="123">
        <f t="shared" si="68"/>
        <v>0.57999999999999996</v>
      </c>
      <c r="AC179" s="123">
        <f t="shared" si="68"/>
        <v>0.57999999999999996</v>
      </c>
      <c r="AD179" s="123">
        <f t="shared" si="68"/>
        <v>0.57999999999999996</v>
      </c>
      <c r="AE179" s="123">
        <f t="shared" si="68"/>
        <v>0.57999999999999996</v>
      </c>
      <c r="AF179" s="123">
        <f t="shared" si="68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6"/>
        <v>0.8</v>
      </c>
      <c r="C180" s="124">
        <v>0.8</v>
      </c>
      <c r="D180" s="123">
        <f t="shared" si="67"/>
        <v>0.8</v>
      </c>
      <c r="E180" s="123">
        <f t="shared" si="67"/>
        <v>0.8</v>
      </c>
      <c r="F180" s="123">
        <f t="shared" si="67"/>
        <v>0.8</v>
      </c>
      <c r="G180" s="123">
        <f t="shared" si="67"/>
        <v>0.8</v>
      </c>
      <c r="H180" s="123">
        <f t="shared" si="67"/>
        <v>0.8</v>
      </c>
      <c r="I180" s="123">
        <f t="shared" si="67"/>
        <v>0.8</v>
      </c>
      <c r="J180" s="123">
        <f t="shared" si="67"/>
        <v>0.8</v>
      </c>
      <c r="K180" s="123">
        <f t="shared" si="67"/>
        <v>0.8</v>
      </c>
      <c r="L180" s="123">
        <f t="shared" si="67"/>
        <v>0.8</v>
      </c>
      <c r="M180" s="123">
        <f t="shared" si="67"/>
        <v>0.8</v>
      </c>
      <c r="N180" s="123">
        <f t="shared" si="67"/>
        <v>0.8</v>
      </c>
      <c r="O180" s="123">
        <f t="shared" si="67"/>
        <v>0.8</v>
      </c>
      <c r="P180" s="123">
        <f t="shared" si="67"/>
        <v>0.8</v>
      </c>
      <c r="Q180" s="123">
        <f t="shared" si="67"/>
        <v>0.8</v>
      </c>
      <c r="R180" s="123">
        <f t="shared" si="67"/>
        <v>0.8</v>
      </c>
      <c r="S180" s="123">
        <f t="shared" si="67"/>
        <v>0.8</v>
      </c>
      <c r="T180" s="123">
        <f t="shared" si="68"/>
        <v>0.8</v>
      </c>
      <c r="U180" s="123">
        <f t="shared" si="68"/>
        <v>0.8</v>
      </c>
      <c r="V180" s="123">
        <f t="shared" si="68"/>
        <v>0.8</v>
      </c>
      <c r="W180" s="123">
        <f t="shared" si="68"/>
        <v>0.8</v>
      </c>
      <c r="X180" s="123">
        <f t="shared" si="68"/>
        <v>0.8</v>
      </c>
      <c r="Y180" s="123">
        <f t="shared" si="68"/>
        <v>0.8</v>
      </c>
      <c r="Z180" s="123">
        <f t="shared" si="68"/>
        <v>0.8</v>
      </c>
      <c r="AA180" s="123">
        <f t="shared" si="68"/>
        <v>0.8</v>
      </c>
      <c r="AB180" s="123">
        <f t="shared" si="68"/>
        <v>0.8</v>
      </c>
      <c r="AC180" s="123">
        <f t="shared" si="68"/>
        <v>0.8</v>
      </c>
      <c r="AD180" s="123">
        <f t="shared" si="68"/>
        <v>0.8</v>
      </c>
      <c r="AE180" s="123">
        <f t="shared" si="68"/>
        <v>0.8</v>
      </c>
      <c r="AF180" s="123">
        <f t="shared" si="68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6"/>
        <v>0</v>
      </c>
      <c r="C181" s="124">
        <v>0</v>
      </c>
      <c r="D181" s="123">
        <f t="shared" si="67"/>
        <v>0</v>
      </c>
      <c r="E181" s="123">
        <f t="shared" si="67"/>
        <v>0</v>
      </c>
      <c r="F181" s="123">
        <f t="shared" si="67"/>
        <v>0</v>
      </c>
      <c r="G181" s="123">
        <f t="shared" si="67"/>
        <v>0</v>
      </c>
      <c r="H181" s="123">
        <f t="shared" si="67"/>
        <v>0</v>
      </c>
      <c r="I181" s="123">
        <f t="shared" si="67"/>
        <v>0</v>
      </c>
      <c r="J181" s="123">
        <f t="shared" si="67"/>
        <v>0</v>
      </c>
      <c r="K181" s="123">
        <f t="shared" si="67"/>
        <v>0</v>
      </c>
      <c r="L181" s="123">
        <f t="shared" si="67"/>
        <v>0</v>
      </c>
      <c r="M181" s="123">
        <f t="shared" si="67"/>
        <v>0</v>
      </c>
      <c r="N181" s="123">
        <f t="shared" si="67"/>
        <v>0</v>
      </c>
      <c r="O181" s="123">
        <f t="shared" si="67"/>
        <v>0</v>
      </c>
      <c r="P181" s="123">
        <f t="shared" si="67"/>
        <v>0</v>
      </c>
      <c r="Q181" s="123">
        <f t="shared" si="67"/>
        <v>0</v>
      </c>
      <c r="R181" s="123">
        <f t="shared" si="67"/>
        <v>0</v>
      </c>
      <c r="S181" s="123">
        <f t="shared" si="67"/>
        <v>0</v>
      </c>
      <c r="T181" s="123">
        <f t="shared" si="68"/>
        <v>0</v>
      </c>
      <c r="U181" s="123">
        <f t="shared" si="68"/>
        <v>0</v>
      </c>
      <c r="V181" s="123">
        <f t="shared" si="68"/>
        <v>0</v>
      </c>
      <c r="W181" s="123">
        <f t="shared" si="68"/>
        <v>0</v>
      </c>
      <c r="X181" s="123">
        <f t="shared" si="68"/>
        <v>0</v>
      </c>
      <c r="Y181" s="123">
        <f t="shared" si="68"/>
        <v>0</v>
      </c>
      <c r="Z181" s="123">
        <f t="shared" si="68"/>
        <v>0</v>
      </c>
      <c r="AA181" s="123">
        <f t="shared" si="68"/>
        <v>0</v>
      </c>
      <c r="AB181" s="123">
        <f t="shared" si="68"/>
        <v>0</v>
      </c>
      <c r="AC181" s="123">
        <f t="shared" si="68"/>
        <v>0</v>
      </c>
      <c r="AD181" s="123">
        <f t="shared" si="68"/>
        <v>0</v>
      </c>
      <c r="AE181" s="123">
        <f t="shared" si="68"/>
        <v>0</v>
      </c>
      <c r="AF181" s="123">
        <f t="shared" si="68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6"/>
        <v>0.6</v>
      </c>
      <c r="C182" s="124">
        <v>0.6</v>
      </c>
      <c r="D182" s="123">
        <f t="shared" si="67"/>
        <v>0.6</v>
      </c>
      <c r="E182" s="123">
        <f t="shared" si="67"/>
        <v>0.6</v>
      </c>
      <c r="F182" s="123">
        <f t="shared" si="67"/>
        <v>0.6</v>
      </c>
      <c r="G182" s="123">
        <f t="shared" si="67"/>
        <v>0.6</v>
      </c>
      <c r="H182" s="123">
        <f t="shared" si="67"/>
        <v>0.6</v>
      </c>
      <c r="I182" s="123">
        <f t="shared" si="67"/>
        <v>0.6</v>
      </c>
      <c r="J182" s="123">
        <f t="shared" si="67"/>
        <v>0.6</v>
      </c>
      <c r="K182" s="123">
        <f t="shared" si="67"/>
        <v>0.6</v>
      </c>
      <c r="L182" s="123">
        <f t="shared" si="67"/>
        <v>0.6</v>
      </c>
      <c r="M182" s="123">
        <f t="shared" si="67"/>
        <v>0.6</v>
      </c>
      <c r="N182" s="123">
        <f t="shared" si="67"/>
        <v>0.6</v>
      </c>
      <c r="O182" s="123">
        <f t="shared" si="67"/>
        <v>0.6</v>
      </c>
      <c r="P182" s="123">
        <f t="shared" si="67"/>
        <v>0.6</v>
      </c>
      <c r="Q182" s="123">
        <f t="shared" si="67"/>
        <v>0.6</v>
      </c>
      <c r="R182" s="123">
        <f t="shared" si="67"/>
        <v>0.6</v>
      </c>
      <c r="S182" s="123">
        <f t="shared" si="67"/>
        <v>0.6</v>
      </c>
      <c r="T182" s="123">
        <f t="shared" si="68"/>
        <v>0.6</v>
      </c>
      <c r="U182" s="123">
        <f t="shared" si="68"/>
        <v>0.6</v>
      </c>
      <c r="V182" s="123">
        <f t="shared" si="68"/>
        <v>0.6</v>
      </c>
      <c r="W182" s="123">
        <f t="shared" si="68"/>
        <v>0.6</v>
      </c>
      <c r="X182" s="123">
        <f t="shared" si="68"/>
        <v>0.6</v>
      </c>
      <c r="Y182" s="123">
        <f t="shared" si="68"/>
        <v>0.6</v>
      </c>
      <c r="Z182" s="123">
        <f t="shared" si="68"/>
        <v>0.6</v>
      </c>
      <c r="AA182" s="123">
        <f t="shared" si="68"/>
        <v>0.6</v>
      </c>
      <c r="AB182" s="123">
        <f t="shared" si="68"/>
        <v>0.6</v>
      </c>
      <c r="AC182" s="123">
        <f t="shared" si="68"/>
        <v>0.6</v>
      </c>
      <c r="AD182" s="123">
        <f t="shared" si="68"/>
        <v>0.6</v>
      </c>
      <c r="AE182" s="123">
        <f t="shared" si="68"/>
        <v>0.6</v>
      </c>
      <c r="AF182" s="123">
        <f t="shared" si="68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6"/>
        <v>0.6</v>
      </c>
      <c r="C183" s="124">
        <v>0.6</v>
      </c>
      <c r="D183" s="123">
        <f t="shared" si="67"/>
        <v>0.6</v>
      </c>
      <c r="E183" s="123">
        <f t="shared" si="67"/>
        <v>0.6</v>
      </c>
      <c r="F183" s="123">
        <f t="shared" si="67"/>
        <v>0.6</v>
      </c>
      <c r="G183" s="123">
        <f t="shared" si="67"/>
        <v>0.6</v>
      </c>
      <c r="H183" s="123">
        <f t="shared" si="67"/>
        <v>0.6</v>
      </c>
      <c r="I183" s="123">
        <f t="shared" si="67"/>
        <v>0.6</v>
      </c>
      <c r="J183" s="123">
        <f t="shared" si="67"/>
        <v>0.6</v>
      </c>
      <c r="K183" s="123">
        <f t="shared" si="67"/>
        <v>0.6</v>
      </c>
      <c r="L183" s="123">
        <f t="shared" si="67"/>
        <v>0.6</v>
      </c>
      <c r="M183" s="123">
        <f t="shared" si="67"/>
        <v>0.6</v>
      </c>
      <c r="N183" s="123">
        <f t="shared" si="67"/>
        <v>0.6</v>
      </c>
      <c r="O183" s="123">
        <f t="shared" si="67"/>
        <v>0.6</v>
      </c>
      <c r="P183" s="123">
        <f t="shared" si="67"/>
        <v>0.6</v>
      </c>
      <c r="Q183" s="123">
        <f t="shared" si="67"/>
        <v>0.6</v>
      </c>
      <c r="R183" s="123">
        <f t="shared" si="67"/>
        <v>0.6</v>
      </c>
      <c r="S183" s="123">
        <f t="shared" si="67"/>
        <v>0.6</v>
      </c>
      <c r="T183" s="123">
        <f t="shared" si="68"/>
        <v>0.6</v>
      </c>
      <c r="U183" s="123">
        <f t="shared" si="68"/>
        <v>0.6</v>
      </c>
      <c r="V183" s="123">
        <f t="shared" si="68"/>
        <v>0.6</v>
      </c>
      <c r="W183" s="123">
        <f t="shared" si="68"/>
        <v>0.6</v>
      </c>
      <c r="X183" s="123">
        <f t="shared" si="68"/>
        <v>0.6</v>
      </c>
      <c r="Y183" s="123">
        <f t="shared" si="68"/>
        <v>0.6</v>
      </c>
      <c r="Z183" s="123">
        <f t="shared" si="68"/>
        <v>0.6</v>
      </c>
      <c r="AA183" s="123">
        <f t="shared" si="68"/>
        <v>0.6</v>
      </c>
      <c r="AB183" s="123">
        <f t="shared" si="68"/>
        <v>0.6</v>
      </c>
      <c r="AC183" s="123">
        <f t="shared" si="68"/>
        <v>0.6</v>
      </c>
      <c r="AD183" s="123">
        <f t="shared" si="68"/>
        <v>0.6</v>
      </c>
      <c r="AE183" s="123">
        <f t="shared" si="68"/>
        <v>0.6</v>
      </c>
      <c r="AF183" s="123">
        <f t="shared" si="68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6"/>
        <v>0.35</v>
      </c>
      <c r="C184" s="124">
        <v>0.35</v>
      </c>
      <c r="D184" s="123">
        <f t="shared" si="67"/>
        <v>0.35</v>
      </c>
      <c r="E184" s="123">
        <f t="shared" si="67"/>
        <v>0.35</v>
      </c>
      <c r="F184" s="123">
        <f t="shared" si="67"/>
        <v>0.35</v>
      </c>
      <c r="G184" s="123">
        <f t="shared" si="67"/>
        <v>0.35</v>
      </c>
      <c r="H184" s="123">
        <f t="shared" si="67"/>
        <v>0.35</v>
      </c>
      <c r="I184" s="123">
        <f t="shared" si="67"/>
        <v>0.35</v>
      </c>
      <c r="J184" s="123">
        <f t="shared" si="67"/>
        <v>0.35</v>
      </c>
      <c r="K184" s="123">
        <f t="shared" si="67"/>
        <v>0.35</v>
      </c>
      <c r="L184" s="123">
        <f t="shared" si="67"/>
        <v>0.35</v>
      </c>
      <c r="M184" s="123">
        <f t="shared" si="67"/>
        <v>0.35</v>
      </c>
      <c r="N184" s="123">
        <f t="shared" si="67"/>
        <v>0.35</v>
      </c>
      <c r="O184" s="123">
        <f t="shared" si="67"/>
        <v>0.35</v>
      </c>
      <c r="P184" s="123">
        <f t="shared" si="67"/>
        <v>0.35</v>
      </c>
      <c r="Q184" s="123">
        <f t="shared" si="67"/>
        <v>0.35</v>
      </c>
      <c r="R184" s="123">
        <f t="shared" si="67"/>
        <v>0.35</v>
      </c>
      <c r="S184" s="123">
        <f t="shared" si="67"/>
        <v>0.35</v>
      </c>
      <c r="T184" s="123">
        <f t="shared" si="68"/>
        <v>0.35</v>
      </c>
      <c r="U184" s="123">
        <f t="shared" si="68"/>
        <v>0.35</v>
      </c>
      <c r="V184" s="123">
        <f t="shared" si="68"/>
        <v>0.35</v>
      </c>
      <c r="W184" s="123">
        <f t="shared" si="68"/>
        <v>0.35</v>
      </c>
      <c r="X184" s="123">
        <f t="shared" si="68"/>
        <v>0.35</v>
      </c>
      <c r="Y184" s="123">
        <f t="shared" si="68"/>
        <v>0.35</v>
      </c>
      <c r="Z184" s="123">
        <f t="shared" si="68"/>
        <v>0.35</v>
      </c>
      <c r="AA184" s="123">
        <f t="shared" si="68"/>
        <v>0.35</v>
      </c>
      <c r="AB184" s="123">
        <f t="shared" si="68"/>
        <v>0.35</v>
      </c>
      <c r="AC184" s="123">
        <f t="shared" si="68"/>
        <v>0.35</v>
      </c>
      <c r="AD184" s="123">
        <f t="shared" si="68"/>
        <v>0.35</v>
      </c>
      <c r="AE184" s="123">
        <f t="shared" si="68"/>
        <v>0.35</v>
      </c>
      <c r="AF184" s="123">
        <f t="shared" si="68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6"/>
        <v>0.28999999999999998</v>
      </c>
      <c r="C185" s="124">
        <v>0.28999999999999998</v>
      </c>
      <c r="D185" s="123">
        <f t="shared" si="67"/>
        <v>0.28999999999999998</v>
      </c>
      <c r="E185" s="123">
        <f t="shared" si="67"/>
        <v>0.28999999999999998</v>
      </c>
      <c r="F185" s="123">
        <f t="shared" si="67"/>
        <v>0.28999999999999998</v>
      </c>
      <c r="G185" s="123">
        <f t="shared" si="67"/>
        <v>0.28999999999999998</v>
      </c>
      <c r="H185" s="123">
        <f t="shared" si="67"/>
        <v>0.28999999999999998</v>
      </c>
      <c r="I185" s="123">
        <f t="shared" si="67"/>
        <v>0.28999999999999998</v>
      </c>
      <c r="J185" s="123">
        <f t="shared" si="67"/>
        <v>0.28999999999999998</v>
      </c>
      <c r="K185" s="123">
        <f t="shared" si="67"/>
        <v>0.28999999999999998</v>
      </c>
      <c r="L185" s="123">
        <f t="shared" si="67"/>
        <v>0.28999999999999998</v>
      </c>
      <c r="M185" s="123">
        <f t="shared" si="67"/>
        <v>0.28999999999999998</v>
      </c>
      <c r="N185" s="123">
        <f t="shared" si="67"/>
        <v>0.28999999999999998</v>
      </c>
      <c r="O185" s="123">
        <f t="shared" si="67"/>
        <v>0.28999999999999998</v>
      </c>
      <c r="P185" s="123">
        <f t="shared" si="67"/>
        <v>0.28999999999999998</v>
      </c>
      <c r="Q185" s="123">
        <f t="shared" si="67"/>
        <v>0.28999999999999998</v>
      </c>
      <c r="R185" s="123">
        <f t="shared" si="67"/>
        <v>0.28999999999999998</v>
      </c>
      <c r="S185" s="123">
        <f t="shared" si="67"/>
        <v>0.28999999999999998</v>
      </c>
      <c r="T185" s="123">
        <f t="shared" si="68"/>
        <v>0.28999999999999998</v>
      </c>
      <c r="U185" s="123">
        <f t="shared" si="68"/>
        <v>0.28999999999999998</v>
      </c>
      <c r="V185" s="123">
        <f t="shared" si="68"/>
        <v>0.28999999999999998</v>
      </c>
      <c r="W185" s="123">
        <f t="shared" si="68"/>
        <v>0.28999999999999998</v>
      </c>
      <c r="X185" s="123">
        <f t="shared" si="68"/>
        <v>0.28999999999999998</v>
      </c>
      <c r="Y185" s="123">
        <f t="shared" si="68"/>
        <v>0.28999999999999998</v>
      </c>
      <c r="Z185" s="123">
        <f t="shared" si="68"/>
        <v>0.28999999999999998</v>
      </c>
      <c r="AA185" s="123">
        <f t="shared" si="68"/>
        <v>0.28999999999999998</v>
      </c>
      <c r="AB185" s="123">
        <f t="shared" si="68"/>
        <v>0.28999999999999998</v>
      </c>
      <c r="AC185" s="123">
        <f t="shared" si="68"/>
        <v>0.28999999999999998</v>
      </c>
      <c r="AD185" s="123">
        <f t="shared" si="68"/>
        <v>0.28999999999999998</v>
      </c>
      <c r="AE185" s="123">
        <f t="shared" si="68"/>
        <v>0.28999999999999998</v>
      </c>
      <c r="AF185" s="123">
        <f t="shared" si="68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6"/>
        <v>0.06</v>
      </c>
      <c r="C186" s="124">
        <v>0.06</v>
      </c>
      <c r="D186" s="123">
        <f t="shared" si="67"/>
        <v>0.06</v>
      </c>
      <c r="E186" s="123">
        <f t="shared" si="67"/>
        <v>0.06</v>
      </c>
      <c r="F186" s="123">
        <f t="shared" si="67"/>
        <v>0.06</v>
      </c>
      <c r="G186" s="123">
        <f t="shared" si="67"/>
        <v>0.06</v>
      </c>
      <c r="H186" s="123">
        <f t="shared" si="67"/>
        <v>0.06</v>
      </c>
      <c r="I186" s="123">
        <f t="shared" si="67"/>
        <v>0.06</v>
      </c>
      <c r="J186" s="123">
        <f t="shared" si="67"/>
        <v>0.06</v>
      </c>
      <c r="K186" s="123">
        <f t="shared" si="67"/>
        <v>0.06</v>
      </c>
      <c r="L186" s="123">
        <f t="shared" si="67"/>
        <v>0.06</v>
      </c>
      <c r="M186" s="123">
        <f t="shared" si="67"/>
        <v>0.06</v>
      </c>
      <c r="N186" s="123">
        <f t="shared" si="67"/>
        <v>0.06</v>
      </c>
      <c r="O186" s="123">
        <f t="shared" si="67"/>
        <v>0.06</v>
      </c>
      <c r="P186" s="123">
        <f t="shared" si="67"/>
        <v>0.06</v>
      </c>
      <c r="Q186" s="123">
        <f t="shared" si="67"/>
        <v>0.06</v>
      </c>
      <c r="R186" s="123">
        <f t="shared" si="67"/>
        <v>0.06</v>
      </c>
      <c r="S186" s="123">
        <f t="shared" si="67"/>
        <v>0.06</v>
      </c>
      <c r="T186" s="123">
        <f t="shared" si="68"/>
        <v>0.06</v>
      </c>
      <c r="U186" s="123">
        <f t="shared" si="68"/>
        <v>0.06</v>
      </c>
      <c r="V186" s="123">
        <f t="shared" si="68"/>
        <v>0.06</v>
      </c>
      <c r="W186" s="123">
        <f t="shared" si="68"/>
        <v>0.06</v>
      </c>
      <c r="X186" s="123">
        <f t="shared" si="68"/>
        <v>0.06</v>
      </c>
      <c r="Y186" s="123">
        <f t="shared" si="68"/>
        <v>0.06</v>
      </c>
      <c r="Z186" s="123">
        <f t="shared" si="68"/>
        <v>0.06</v>
      </c>
      <c r="AA186" s="123">
        <f t="shared" si="68"/>
        <v>0.06</v>
      </c>
      <c r="AB186" s="123">
        <f t="shared" si="68"/>
        <v>0.06</v>
      </c>
      <c r="AC186" s="123">
        <f t="shared" si="68"/>
        <v>0.06</v>
      </c>
      <c r="AD186" s="123">
        <f t="shared" si="68"/>
        <v>0.06</v>
      </c>
      <c r="AE186" s="123">
        <f t="shared" si="68"/>
        <v>0.06</v>
      </c>
      <c r="AF186" s="123">
        <f t="shared" si="68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6"/>
        <v>0.11</v>
      </c>
      <c r="C187" s="124">
        <v>0.11</v>
      </c>
      <c r="D187" s="123">
        <f t="shared" si="67"/>
        <v>0.11</v>
      </c>
      <c r="E187" s="123">
        <f t="shared" si="67"/>
        <v>0.11</v>
      </c>
      <c r="F187" s="123">
        <f t="shared" si="67"/>
        <v>0.11</v>
      </c>
      <c r="G187" s="123">
        <f t="shared" si="67"/>
        <v>0.11</v>
      </c>
      <c r="H187" s="123">
        <f t="shared" si="67"/>
        <v>0.11</v>
      </c>
      <c r="I187" s="123">
        <f t="shared" si="67"/>
        <v>0.11</v>
      </c>
      <c r="J187" s="123">
        <f t="shared" si="67"/>
        <v>0.11</v>
      </c>
      <c r="K187" s="123">
        <f t="shared" si="67"/>
        <v>0.11</v>
      </c>
      <c r="L187" s="123">
        <f t="shared" si="67"/>
        <v>0.11</v>
      </c>
      <c r="M187" s="123">
        <f t="shared" si="67"/>
        <v>0.11</v>
      </c>
      <c r="N187" s="123">
        <f t="shared" si="67"/>
        <v>0.11</v>
      </c>
      <c r="O187" s="123">
        <f t="shared" si="67"/>
        <v>0.11</v>
      </c>
      <c r="P187" s="123">
        <f t="shared" si="67"/>
        <v>0.11</v>
      </c>
      <c r="Q187" s="123">
        <f t="shared" si="67"/>
        <v>0.11</v>
      </c>
      <c r="R187" s="123">
        <f t="shared" si="67"/>
        <v>0.11</v>
      </c>
      <c r="S187" s="123">
        <f t="shared" si="67"/>
        <v>0.11</v>
      </c>
      <c r="T187" s="123">
        <f t="shared" si="68"/>
        <v>0.11</v>
      </c>
      <c r="U187" s="123">
        <f t="shared" si="68"/>
        <v>0.11</v>
      </c>
      <c r="V187" s="123">
        <f t="shared" si="68"/>
        <v>0.11</v>
      </c>
      <c r="W187" s="123">
        <f t="shared" si="68"/>
        <v>0.11</v>
      </c>
      <c r="X187" s="123">
        <f t="shared" si="68"/>
        <v>0.11</v>
      </c>
      <c r="Y187" s="123">
        <f t="shared" si="68"/>
        <v>0.11</v>
      </c>
      <c r="Z187" s="123">
        <f t="shared" si="68"/>
        <v>0.11</v>
      </c>
      <c r="AA187" s="123">
        <f t="shared" si="68"/>
        <v>0.11</v>
      </c>
      <c r="AB187" s="123">
        <f t="shared" si="68"/>
        <v>0.11</v>
      </c>
      <c r="AC187" s="123">
        <f t="shared" si="68"/>
        <v>0.11</v>
      </c>
      <c r="AD187" s="123">
        <f t="shared" si="68"/>
        <v>0.11</v>
      </c>
      <c r="AE187" s="123">
        <f t="shared" si="68"/>
        <v>0.11</v>
      </c>
      <c r="AF187" s="123">
        <f t="shared" si="68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6"/>
        <v>0.1</v>
      </c>
      <c r="C188" s="124">
        <v>0.1</v>
      </c>
      <c r="D188" s="123">
        <f t="shared" si="67"/>
        <v>0.1</v>
      </c>
      <c r="E188" s="123">
        <f t="shared" si="67"/>
        <v>0.1</v>
      </c>
      <c r="F188" s="123">
        <f t="shared" si="67"/>
        <v>0.1</v>
      </c>
      <c r="G188" s="123">
        <f t="shared" si="67"/>
        <v>0.1</v>
      </c>
      <c r="H188" s="123">
        <f t="shared" si="67"/>
        <v>0.1</v>
      </c>
      <c r="I188" s="123">
        <f t="shared" si="67"/>
        <v>0.1</v>
      </c>
      <c r="J188" s="123">
        <f t="shared" si="67"/>
        <v>0.1</v>
      </c>
      <c r="K188" s="123">
        <f t="shared" si="67"/>
        <v>0.1</v>
      </c>
      <c r="L188" s="123">
        <f t="shared" si="67"/>
        <v>0.1</v>
      </c>
      <c r="M188" s="123">
        <f t="shared" si="67"/>
        <v>0.1</v>
      </c>
      <c r="N188" s="123">
        <f t="shared" si="67"/>
        <v>0.1</v>
      </c>
      <c r="O188" s="123">
        <f t="shared" si="67"/>
        <v>0.1</v>
      </c>
      <c r="P188" s="123">
        <f t="shared" si="67"/>
        <v>0.1</v>
      </c>
      <c r="Q188" s="123">
        <f t="shared" si="67"/>
        <v>0.1</v>
      </c>
      <c r="R188" s="123">
        <f t="shared" si="67"/>
        <v>0.1</v>
      </c>
      <c r="S188" s="123">
        <f t="shared" si="68"/>
        <v>0.1</v>
      </c>
      <c r="T188" s="123">
        <f t="shared" si="68"/>
        <v>0.1</v>
      </c>
      <c r="U188" s="123">
        <f t="shared" si="68"/>
        <v>0.1</v>
      </c>
      <c r="V188" s="123">
        <f t="shared" si="68"/>
        <v>0.1</v>
      </c>
      <c r="W188" s="123">
        <f t="shared" si="68"/>
        <v>0.1</v>
      </c>
      <c r="X188" s="123">
        <f t="shared" si="68"/>
        <v>0.1</v>
      </c>
      <c r="Y188" s="123">
        <f t="shared" si="68"/>
        <v>0.1</v>
      </c>
      <c r="Z188" s="123">
        <f t="shared" si="68"/>
        <v>0.1</v>
      </c>
      <c r="AA188" s="123">
        <f t="shared" si="68"/>
        <v>0.1</v>
      </c>
      <c r="AB188" s="123">
        <f t="shared" si="68"/>
        <v>0.1</v>
      </c>
      <c r="AC188" s="123">
        <f t="shared" si="68"/>
        <v>0.1</v>
      </c>
      <c r="AD188" s="123">
        <f t="shared" si="68"/>
        <v>0.1</v>
      </c>
      <c r="AE188" s="123">
        <f t="shared" si="68"/>
        <v>0.1</v>
      </c>
      <c r="AF188" s="123">
        <f t="shared" si="68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6"/>
        <v>0.09</v>
      </c>
      <c r="C189" s="124">
        <v>0.09</v>
      </c>
      <c r="D189" s="123">
        <f t="shared" si="67"/>
        <v>0.09</v>
      </c>
      <c r="E189" s="123">
        <f t="shared" si="67"/>
        <v>0.09</v>
      </c>
      <c r="F189" s="123">
        <f t="shared" si="67"/>
        <v>0.09</v>
      </c>
      <c r="G189" s="123">
        <f t="shared" si="67"/>
        <v>0.09</v>
      </c>
      <c r="H189" s="123">
        <f t="shared" si="67"/>
        <v>0.09</v>
      </c>
      <c r="I189" s="123">
        <f t="shared" si="67"/>
        <v>0.09</v>
      </c>
      <c r="J189" s="123">
        <f t="shared" si="67"/>
        <v>0.09</v>
      </c>
      <c r="K189" s="123">
        <f t="shared" si="67"/>
        <v>0.09</v>
      </c>
      <c r="L189" s="123">
        <f t="shared" si="67"/>
        <v>0.09</v>
      </c>
      <c r="M189" s="123">
        <f t="shared" si="67"/>
        <v>0.09</v>
      </c>
      <c r="N189" s="123">
        <f t="shared" si="67"/>
        <v>0.09</v>
      </c>
      <c r="O189" s="123">
        <f t="shared" si="67"/>
        <v>0.09</v>
      </c>
      <c r="P189" s="123">
        <f t="shared" si="67"/>
        <v>0.09</v>
      </c>
      <c r="Q189" s="123">
        <f t="shared" si="67"/>
        <v>0.09</v>
      </c>
      <c r="R189" s="123">
        <f t="shared" si="67"/>
        <v>0.09</v>
      </c>
      <c r="S189" s="123">
        <f t="shared" si="68"/>
        <v>0.09</v>
      </c>
      <c r="T189" s="123">
        <f t="shared" si="68"/>
        <v>0.09</v>
      </c>
      <c r="U189" s="123">
        <f t="shared" si="68"/>
        <v>0.09</v>
      </c>
      <c r="V189" s="123">
        <f t="shared" si="68"/>
        <v>0.09</v>
      </c>
      <c r="W189" s="123">
        <f t="shared" si="68"/>
        <v>0.09</v>
      </c>
      <c r="X189" s="123">
        <f t="shared" si="68"/>
        <v>0.09</v>
      </c>
      <c r="Y189" s="123">
        <f t="shared" si="68"/>
        <v>0.09</v>
      </c>
      <c r="Z189" s="123">
        <f t="shared" si="68"/>
        <v>0.09</v>
      </c>
      <c r="AA189" s="123">
        <f t="shared" si="68"/>
        <v>0.09</v>
      </c>
      <c r="AB189" s="123">
        <f t="shared" si="68"/>
        <v>0.09</v>
      </c>
      <c r="AC189" s="123">
        <f t="shared" si="68"/>
        <v>0.09</v>
      </c>
      <c r="AD189" s="123">
        <f t="shared" si="68"/>
        <v>0.09</v>
      </c>
      <c r="AE189" s="123">
        <f t="shared" si="68"/>
        <v>0.09</v>
      </c>
      <c r="AF189" s="123">
        <f t="shared" si="68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6"/>
        <v>0.04</v>
      </c>
      <c r="C190" s="54">
        <v>0.04</v>
      </c>
      <c r="D190" s="123">
        <f t="shared" si="67"/>
        <v>0.04</v>
      </c>
      <c r="E190" s="123">
        <f t="shared" si="67"/>
        <v>0.04</v>
      </c>
      <c r="F190" s="123">
        <f t="shared" si="67"/>
        <v>0.04</v>
      </c>
      <c r="G190" s="123">
        <f t="shared" si="67"/>
        <v>0.04</v>
      </c>
      <c r="H190" s="123">
        <f t="shared" si="67"/>
        <v>0.04</v>
      </c>
      <c r="I190" s="123">
        <f t="shared" si="67"/>
        <v>0.04</v>
      </c>
      <c r="J190" s="123">
        <f t="shared" si="67"/>
        <v>0.04</v>
      </c>
      <c r="K190" s="123">
        <f t="shared" si="67"/>
        <v>0.04</v>
      </c>
      <c r="L190" s="123">
        <f t="shared" si="67"/>
        <v>0.04</v>
      </c>
      <c r="M190" s="123">
        <f t="shared" si="67"/>
        <v>0.04</v>
      </c>
      <c r="N190" s="123">
        <f t="shared" si="67"/>
        <v>0.04</v>
      </c>
      <c r="O190" s="123">
        <f t="shared" si="67"/>
        <v>0.04</v>
      </c>
      <c r="P190" s="123">
        <f t="shared" si="67"/>
        <v>0.04</v>
      </c>
      <c r="Q190" s="123">
        <f t="shared" si="67"/>
        <v>0.04</v>
      </c>
      <c r="R190" s="123">
        <f t="shared" si="67"/>
        <v>0.04</v>
      </c>
      <c r="S190" s="123">
        <f t="shared" si="68"/>
        <v>0.04</v>
      </c>
      <c r="T190" s="123">
        <f t="shared" si="68"/>
        <v>0.04</v>
      </c>
      <c r="U190" s="123">
        <f t="shared" si="68"/>
        <v>0.04</v>
      </c>
      <c r="V190" s="123">
        <f t="shared" si="68"/>
        <v>0.04</v>
      </c>
      <c r="W190" s="123">
        <f t="shared" si="68"/>
        <v>0.04</v>
      </c>
      <c r="X190" s="123">
        <f t="shared" si="68"/>
        <v>0.04</v>
      </c>
      <c r="Y190" s="123">
        <f t="shared" si="68"/>
        <v>0.04</v>
      </c>
      <c r="Z190" s="123">
        <f t="shared" si="68"/>
        <v>0.04</v>
      </c>
      <c r="AA190" s="123">
        <f t="shared" si="68"/>
        <v>0.04</v>
      </c>
      <c r="AB190" s="123">
        <f t="shared" si="68"/>
        <v>0.04</v>
      </c>
      <c r="AC190" s="123">
        <f t="shared" si="68"/>
        <v>0.04</v>
      </c>
      <c r="AD190" s="123">
        <f t="shared" si="68"/>
        <v>0.04</v>
      </c>
      <c r="AE190" s="123">
        <f t="shared" si="68"/>
        <v>0.04</v>
      </c>
      <c r="AF190" s="123">
        <f t="shared" si="68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6"/>
        <v>2.3E-2</v>
      </c>
      <c r="C191" s="54">
        <v>2.3E-2</v>
      </c>
      <c r="D191" s="123">
        <f>C191</f>
        <v>2.3E-2</v>
      </c>
      <c r="E191" s="123">
        <f t="shared" si="67"/>
        <v>2.3E-2</v>
      </c>
      <c r="F191" s="123">
        <f t="shared" si="67"/>
        <v>2.3E-2</v>
      </c>
      <c r="G191" s="123">
        <f t="shared" si="67"/>
        <v>2.3E-2</v>
      </c>
      <c r="H191" s="123">
        <f t="shared" si="67"/>
        <v>2.3E-2</v>
      </c>
      <c r="I191" s="123">
        <f t="shared" si="67"/>
        <v>2.3E-2</v>
      </c>
      <c r="J191" s="123">
        <f t="shared" si="67"/>
        <v>2.3E-2</v>
      </c>
      <c r="K191" s="123">
        <f t="shared" si="67"/>
        <v>2.3E-2</v>
      </c>
      <c r="L191" s="123">
        <f t="shared" si="67"/>
        <v>2.3E-2</v>
      </c>
      <c r="M191" s="123">
        <f t="shared" si="67"/>
        <v>2.3E-2</v>
      </c>
      <c r="N191" s="123">
        <f t="shared" si="67"/>
        <v>2.3E-2</v>
      </c>
      <c r="O191" s="123">
        <f t="shared" si="67"/>
        <v>2.3E-2</v>
      </c>
      <c r="P191" s="123">
        <f t="shared" si="67"/>
        <v>2.3E-2</v>
      </c>
      <c r="Q191" s="123">
        <f t="shared" si="67"/>
        <v>2.3E-2</v>
      </c>
      <c r="R191" s="123">
        <f t="shared" si="67"/>
        <v>2.3E-2</v>
      </c>
      <c r="S191" s="123">
        <f t="shared" si="68"/>
        <v>2.3E-2</v>
      </c>
      <c r="T191" s="123">
        <f t="shared" si="68"/>
        <v>2.3E-2</v>
      </c>
      <c r="U191" s="123">
        <f t="shared" si="68"/>
        <v>2.3E-2</v>
      </c>
      <c r="V191" s="123">
        <f t="shared" si="68"/>
        <v>2.3E-2</v>
      </c>
      <c r="W191" s="123">
        <f t="shared" si="68"/>
        <v>2.3E-2</v>
      </c>
      <c r="X191" s="123">
        <f t="shared" si="68"/>
        <v>2.3E-2</v>
      </c>
      <c r="Y191" s="123">
        <f t="shared" si="68"/>
        <v>2.3E-2</v>
      </c>
      <c r="Z191" s="123">
        <f t="shared" si="68"/>
        <v>2.3E-2</v>
      </c>
      <c r="AA191" s="123">
        <f t="shared" si="68"/>
        <v>2.3E-2</v>
      </c>
      <c r="AB191" s="123">
        <f t="shared" si="68"/>
        <v>2.3E-2</v>
      </c>
      <c r="AC191" s="123">
        <f t="shared" si="68"/>
        <v>2.3E-2</v>
      </c>
      <c r="AD191" s="123">
        <f t="shared" si="68"/>
        <v>2.3E-2</v>
      </c>
      <c r="AE191" s="123">
        <f t="shared" si="68"/>
        <v>2.3E-2</v>
      </c>
      <c r="AF191" s="123">
        <f t="shared" si="68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69">SUM(C102:C191)</f>
        <v>194.70600000000002</v>
      </c>
      <c r="D192" s="128">
        <f t="shared" si="69"/>
        <v>194.70600000000002</v>
      </c>
      <c r="E192" s="128">
        <f t="shared" si="69"/>
        <v>194.70600000000002</v>
      </c>
      <c r="F192" s="128">
        <f t="shared" si="69"/>
        <v>194.70600000000002</v>
      </c>
      <c r="G192" s="128">
        <f t="shared" si="69"/>
        <v>194.70600000000002</v>
      </c>
      <c r="H192" s="128">
        <f t="shared" si="69"/>
        <v>194.70600000000002</v>
      </c>
      <c r="I192" s="128">
        <f t="shared" si="69"/>
        <v>189.70600000000005</v>
      </c>
      <c r="J192" s="128">
        <f t="shared" si="69"/>
        <v>187.10600000000005</v>
      </c>
      <c r="K192" s="128">
        <f t="shared" si="69"/>
        <v>187.10600000000005</v>
      </c>
      <c r="L192" s="128">
        <f t="shared" si="69"/>
        <v>187.10600000000005</v>
      </c>
      <c r="M192" s="128">
        <f t="shared" si="69"/>
        <v>187.10600000000005</v>
      </c>
      <c r="N192" s="128">
        <f t="shared" si="69"/>
        <v>187.10600000000005</v>
      </c>
      <c r="O192" s="128">
        <f t="shared" si="69"/>
        <v>187.10600000000005</v>
      </c>
      <c r="P192" s="128">
        <f t="shared" si="69"/>
        <v>187.10600000000005</v>
      </c>
      <c r="Q192" s="128">
        <f t="shared" si="69"/>
        <v>187.10600000000005</v>
      </c>
      <c r="R192" s="128">
        <f t="shared" si="69"/>
        <v>187.10600000000005</v>
      </c>
      <c r="S192" s="128">
        <f t="shared" si="69"/>
        <v>187.10600000000005</v>
      </c>
      <c r="T192" s="128">
        <f t="shared" si="69"/>
        <v>187.10600000000005</v>
      </c>
      <c r="U192" s="128">
        <f t="shared" si="69"/>
        <v>187.10600000000005</v>
      </c>
      <c r="V192" s="128">
        <f t="shared" si="69"/>
        <v>187.10600000000005</v>
      </c>
      <c r="W192" s="128">
        <f t="shared" si="69"/>
        <v>187.10600000000005</v>
      </c>
      <c r="X192" s="128">
        <f t="shared" si="69"/>
        <v>187.10600000000005</v>
      </c>
      <c r="Y192" s="128">
        <f t="shared" si="69"/>
        <v>187.10600000000005</v>
      </c>
      <c r="Z192" s="128">
        <f t="shared" si="69"/>
        <v>187.10600000000005</v>
      </c>
      <c r="AA192" s="128">
        <f t="shared" si="69"/>
        <v>187.10600000000005</v>
      </c>
      <c r="AB192" s="128">
        <f t="shared" si="69"/>
        <v>187.10600000000005</v>
      </c>
      <c r="AC192" s="128">
        <f t="shared" si="69"/>
        <v>187.10600000000005</v>
      </c>
      <c r="AD192" s="128">
        <f t="shared" si="69"/>
        <v>187.10600000000005</v>
      </c>
      <c r="AE192" s="128">
        <f t="shared" si="69"/>
        <v>187.10600000000005</v>
      </c>
      <c r="AF192" s="128">
        <f t="shared" si="69"/>
        <v>187.10600000000005</v>
      </c>
      <c r="AG192" s="129">
        <f t="shared" si="69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70">AF194</f>
        <v>0.3</v>
      </c>
      <c r="C194" s="130">
        <v>0.3</v>
      </c>
      <c r="D194" s="130">
        <f t="shared" ref="D194:S199" si="71">C194</f>
        <v>0.3</v>
      </c>
      <c r="E194" s="130">
        <f t="shared" si="71"/>
        <v>0.3</v>
      </c>
      <c r="F194" s="130">
        <f t="shared" si="71"/>
        <v>0.3</v>
      </c>
      <c r="G194" s="130">
        <f t="shared" si="71"/>
        <v>0.3</v>
      </c>
      <c r="H194" s="130">
        <f t="shared" si="71"/>
        <v>0.3</v>
      </c>
      <c r="I194" s="130">
        <f t="shared" si="71"/>
        <v>0.3</v>
      </c>
      <c r="J194" s="130">
        <f t="shared" si="71"/>
        <v>0.3</v>
      </c>
      <c r="K194" s="130">
        <f t="shared" si="71"/>
        <v>0.3</v>
      </c>
      <c r="L194" s="130">
        <f t="shared" si="71"/>
        <v>0.3</v>
      </c>
      <c r="M194" s="130">
        <f t="shared" si="71"/>
        <v>0.3</v>
      </c>
      <c r="N194" s="130">
        <f t="shared" si="71"/>
        <v>0.3</v>
      </c>
      <c r="O194" s="130">
        <f t="shared" si="71"/>
        <v>0.3</v>
      </c>
      <c r="P194" s="130">
        <f t="shared" si="71"/>
        <v>0.3</v>
      </c>
      <c r="Q194" s="130">
        <f t="shared" si="71"/>
        <v>0.3</v>
      </c>
      <c r="R194" s="130">
        <f t="shared" si="71"/>
        <v>0.3</v>
      </c>
      <c r="S194" s="130">
        <f t="shared" si="71"/>
        <v>0.3</v>
      </c>
      <c r="T194" s="130">
        <f t="shared" ref="T194:AF199" si="72">S194</f>
        <v>0.3</v>
      </c>
      <c r="U194" s="130">
        <f t="shared" si="72"/>
        <v>0.3</v>
      </c>
      <c r="V194" s="130">
        <f t="shared" si="72"/>
        <v>0.3</v>
      </c>
      <c r="W194" s="130">
        <f t="shared" si="72"/>
        <v>0.3</v>
      </c>
      <c r="X194" s="130">
        <f t="shared" si="72"/>
        <v>0.3</v>
      </c>
      <c r="Y194" s="130">
        <f t="shared" si="72"/>
        <v>0.3</v>
      </c>
      <c r="Z194" s="130">
        <f t="shared" si="72"/>
        <v>0.3</v>
      </c>
      <c r="AA194" s="130">
        <f t="shared" si="72"/>
        <v>0.3</v>
      </c>
      <c r="AB194" s="130">
        <f t="shared" si="72"/>
        <v>0.3</v>
      </c>
      <c r="AC194" s="130">
        <f t="shared" si="72"/>
        <v>0.3</v>
      </c>
      <c r="AD194" s="130">
        <f t="shared" si="72"/>
        <v>0.3</v>
      </c>
      <c r="AE194" s="130">
        <f t="shared" si="72"/>
        <v>0.3</v>
      </c>
      <c r="AF194" s="130">
        <f t="shared" si="72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70"/>
        <v>0.4</v>
      </c>
      <c r="C195" s="123">
        <v>0.4</v>
      </c>
      <c r="D195" s="123">
        <f t="shared" si="71"/>
        <v>0.4</v>
      </c>
      <c r="E195" s="123">
        <f t="shared" si="71"/>
        <v>0.4</v>
      </c>
      <c r="F195" s="123">
        <f t="shared" si="71"/>
        <v>0.4</v>
      </c>
      <c r="G195" s="123">
        <f t="shared" si="71"/>
        <v>0.4</v>
      </c>
      <c r="H195" s="123">
        <f t="shared" si="71"/>
        <v>0.4</v>
      </c>
      <c r="I195" s="123">
        <f t="shared" si="71"/>
        <v>0.4</v>
      </c>
      <c r="J195" s="123">
        <f t="shared" si="71"/>
        <v>0.4</v>
      </c>
      <c r="K195" s="123">
        <f t="shared" si="71"/>
        <v>0.4</v>
      </c>
      <c r="L195" s="123">
        <f t="shared" si="71"/>
        <v>0.4</v>
      </c>
      <c r="M195" s="123">
        <f t="shared" si="71"/>
        <v>0.4</v>
      </c>
      <c r="N195" s="123">
        <f t="shared" si="71"/>
        <v>0.4</v>
      </c>
      <c r="O195" s="123">
        <f t="shared" si="71"/>
        <v>0.4</v>
      </c>
      <c r="P195" s="123">
        <f t="shared" si="71"/>
        <v>0.4</v>
      </c>
      <c r="Q195" s="123">
        <f t="shared" si="71"/>
        <v>0.4</v>
      </c>
      <c r="R195" s="123">
        <f t="shared" si="71"/>
        <v>0.4</v>
      </c>
      <c r="S195" s="123">
        <f t="shared" si="71"/>
        <v>0.4</v>
      </c>
      <c r="T195" s="123">
        <f t="shared" si="72"/>
        <v>0.4</v>
      </c>
      <c r="U195" s="123">
        <f t="shared" si="72"/>
        <v>0.4</v>
      </c>
      <c r="V195" s="123">
        <f t="shared" si="72"/>
        <v>0.4</v>
      </c>
      <c r="W195" s="123">
        <f>V195</f>
        <v>0.4</v>
      </c>
      <c r="X195" s="123">
        <f>W195</f>
        <v>0.4</v>
      </c>
      <c r="Y195" s="123">
        <f t="shared" si="72"/>
        <v>0.4</v>
      </c>
      <c r="Z195" s="123">
        <f t="shared" si="72"/>
        <v>0.4</v>
      </c>
      <c r="AA195" s="123">
        <f t="shared" si="72"/>
        <v>0.4</v>
      </c>
      <c r="AB195" s="123">
        <f t="shared" si="72"/>
        <v>0.4</v>
      </c>
      <c r="AC195" s="123">
        <f t="shared" si="72"/>
        <v>0.4</v>
      </c>
      <c r="AD195" s="123">
        <f t="shared" si="72"/>
        <v>0.4</v>
      </c>
      <c r="AE195" s="123">
        <f t="shared" si="72"/>
        <v>0.4</v>
      </c>
      <c r="AF195" s="123">
        <f t="shared" si="72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70"/>
        <v>1.5</v>
      </c>
      <c r="C196" s="123">
        <v>1.5</v>
      </c>
      <c r="D196" s="123">
        <f t="shared" si="71"/>
        <v>1.5</v>
      </c>
      <c r="E196" s="123">
        <f t="shared" si="71"/>
        <v>1.5</v>
      </c>
      <c r="F196" s="123">
        <f t="shared" si="71"/>
        <v>1.5</v>
      </c>
      <c r="G196" s="123">
        <f t="shared" si="71"/>
        <v>1.5</v>
      </c>
      <c r="H196" s="123">
        <f t="shared" si="71"/>
        <v>1.5</v>
      </c>
      <c r="I196" s="123">
        <f t="shared" si="71"/>
        <v>1.5</v>
      </c>
      <c r="J196" s="123">
        <f t="shared" si="71"/>
        <v>1.5</v>
      </c>
      <c r="K196" s="123">
        <f t="shared" si="71"/>
        <v>1.5</v>
      </c>
      <c r="L196" s="123">
        <f t="shared" si="71"/>
        <v>1.5</v>
      </c>
      <c r="M196" s="123">
        <f t="shared" si="71"/>
        <v>1.5</v>
      </c>
      <c r="N196" s="123">
        <f t="shared" si="71"/>
        <v>1.5</v>
      </c>
      <c r="O196" s="123">
        <f t="shared" si="71"/>
        <v>1.5</v>
      </c>
      <c r="P196" s="123">
        <f t="shared" si="71"/>
        <v>1.5</v>
      </c>
      <c r="Q196" s="123">
        <f t="shared" si="71"/>
        <v>1.5</v>
      </c>
      <c r="R196" s="123">
        <f t="shared" si="71"/>
        <v>1.5</v>
      </c>
      <c r="S196" s="123">
        <f t="shared" si="71"/>
        <v>1.5</v>
      </c>
      <c r="T196" s="123">
        <f t="shared" si="72"/>
        <v>1.5</v>
      </c>
      <c r="U196" s="123">
        <f t="shared" si="72"/>
        <v>1.5</v>
      </c>
      <c r="V196" s="123">
        <f t="shared" si="72"/>
        <v>1.5</v>
      </c>
      <c r="W196" s="123">
        <f t="shared" si="72"/>
        <v>1.5</v>
      </c>
      <c r="X196" s="123">
        <f t="shared" si="72"/>
        <v>1.5</v>
      </c>
      <c r="Y196" s="123">
        <f t="shared" si="72"/>
        <v>1.5</v>
      </c>
      <c r="Z196" s="123">
        <f t="shared" si="72"/>
        <v>1.5</v>
      </c>
      <c r="AA196" s="123">
        <f t="shared" si="72"/>
        <v>1.5</v>
      </c>
      <c r="AB196" s="123">
        <f t="shared" si="72"/>
        <v>1.5</v>
      </c>
      <c r="AC196" s="123">
        <f t="shared" si="72"/>
        <v>1.5</v>
      </c>
      <c r="AD196" s="123">
        <f t="shared" si="72"/>
        <v>1.5</v>
      </c>
      <c r="AE196" s="123">
        <f t="shared" si="72"/>
        <v>1.5</v>
      </c>
      <c r="AF196" s="123">
        <f t="shared" si="72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70"/>
        <v>0.3</v>
      </c>
      <c r="C197" s="123">
        <v>0.3</v>
      </c>
      <c r="D197" s="123">
        <f t="shared" si="71"/>
        <v>0.3</v>
      </c>
      <c r="E197" s="123">
        <f t="shared" si="71"/>
        <v>0.3</v>
      </c>
      <c r="F197" s="123">
        <f t="shared" si="71"/>
        <v>0.3</v>
      </c>
      <c r="G197" s="123">
        <f t="shared" si="71"/>
        <v>0.3</v>
      </c>
      <c r="H197" s="123">
        <f t="shared" si="71"/>
        <v>0.3</v>
      </c>
      <c r="I197" s="123">
        <f t="shared" si="71"/>
        <v>0.3</v>
      </c>
      <c r="J197" s="123">
        <f t="shared" si="71"/>
        <v>0.3</v>
      </c>
      <c r="K197" s="123">
        <f t="shared" si="71"/>
        <v>0.3</v>
      </c>
      <c r="L197" s="123">
        <f t="shared" si="71"/>
        <v>0.3</v>
      </c>
      <c r="M197" s="123">
        <f t="shared" si="71"/>
        <v>0.3</v>
      </c>
      <c r="N197" s="123">
        <f t="shared" si="71"/>
        <v>0.3</v>
      </c>
      <c r="O197" s="123">
        <f t="shared" si="71"/>
        <v>0.3</v>
      </c>
      <c r="P197" s="123">
        <f t="shared" si="71"/>
        <v>0.3</v>
      </c>
      <c r="Q197" s="123">
        <f t="shared" si="71"/>
        <v>0.3</v>
      </c>
      <c r="R197" s="123">
        <f t="shared" si="71"/>
        <v>0.3</v>
      </c>
      <c r="S197" s="123">
        <f t="shared" si="71"/>
        <v>0.3</v>
      </c>
      <c r="T197" s="123">
        <f t="shared" si="72"/>
        <v>0.3</v>
      </c>
      <c r="U197" s="123">
        <f t="shared" si="72"/>
        <v>0.3</v>
      </c>
      <c r="V197" s="123">
        <f t="shared" si="72"/>
        <v>0.3</v>
      </c>
      <c r="W197" s="123">
        <f t="shared" si="72"/>
        <v>0.3</v>
      </c>
      <c r="X197" s="123">
        <f t="shared" si="72"/>
        <v>0.3</v>
      </c>
      <c r="Y197" s="123">
        <f t="shared" si="72"/>
        <v>0.3</v>
      </c>
      <c r="Z197" s="123">
        <f t="shared" si="72"/>
        <v>0.3</v>
      </c>
      <c r="AA197" s="123">
        <f t="shared" si="72"/>
        <v>0.3</v>
      </c>
      <c r="AB197" s="123">
        <f t="shared" si="72"/>
        <v>0.3</v>
      </c>
      <c r="AC197" s="123">
        <f t="shared" si="72"/>
        <v>0.3</v>
      </c>
      <c r="AD197" s="123">
        <f t="shared" si="72"/>
        <v>0.3</v>
      </c>
      <c r="AE197" s="123">
        <f t="shared" si="72"/>
        <v>0.3</v>
      </c>
      <c r="AF197" s="123">
        <f t="shared" si="72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70"/>
        <v>0.4</v>
      </c>
      <c r="C198" s="123">
        <v>0.4</v>
      </c>
      <c r="D198" s="123">
        <f t="shared" si="71"/>
        <v>0.4</v>
      </c>
      <c r="E198" s="123">
        <f t="shared" si="71"/>
        <v>0.4</v>
      </c>
      <c r="F198" s="123">
        <f t="shared" si="71"/>
        <v>0.4</v>
      </c>
      <c r="G198" s="123">
        <f t="shared" si="71"/>
        <v>0.4</v>
      </c>
      <c r="H198" s="123">
        <f t="shared" si="71"/>
        <v>0.4</v>
      </c>
      <c r="I198" s="123">
        <f t="shared" si="71"/>
        <v>0.4</v>
      </c>
      <c r="J198" s="123">
        <f t="shared" si="71"/>
        <v>0.4</v>
      </c>
      <c r="K198" s="123">
        <f t="shared" si="71"/>
        <v>0.4</v>
      </c>
      <c r="L198" s="123">
        <f t="shared" si="71"/>
        <v>0.4</v>
      </c>
      <c r="M198" s="123">
        <f t="shared" si="71"/>
        <v>0.4</v>
      </c>
      <c r="N198" s="123">
        <f t="shared" si="71"/>
        <v>0.4</v>
      </c>
      <c r="O198" s="123">
        <f t="shared" si="71"/>
        <v>0.4</v>
      </c>
      <c r="P198" s="123">
        <f t="shared" si="71"/>
        <v>0.4</v>
      </c>
      <c r="Q198" s="123">
        <f t="shared" si="71"/>
        <v>0.4</v>
      </c>
      <c r="R198" s="123">
        <f t="shared" si="71"/>
        <v>0.4</v>
      </c>
      <c r="S198" s="123">
        <f t="shared" si="71"/>
        <v>0.4</v>
      </c>
      <c r="T198" s="123">
        <f t="shared" si="72"/>
        <v>0.4</v>
      </c>
      <c r="U198" s="123">
        <f t="shared" si="72"/>
        <v>0.4</v>
      </c>
      <c r="V198" s="123">
        <f t="shared" si="72"/>
        <v>0.4</v>
      </c>
      <c r="W198" s="123">
        <f t="shared" si="72"/>
        <v>0.4</v>
      </c>
      <c r="X198" s="123">
        <f t="shared" si="72"/>
        <v>0.4</v>
      </c>
      <c r="Y198" s="123">
        <f t="shared" si="72"/>
        <v>0.4</v>
      </c>
      <c r="Z198" s="123">
        <f t="shared" si="72"/>
        <v>0.4</v>
      </c>
      <c r="AA198" s="123">
        <f t="shared" si="72"/>
        <v>0.4</v>
      </c>
      <c r="AB198" s="123">
        <f t="shared" si="72"/>
        <v>0.4</v>
      </c>
      <c r="AC198" s="123">
        <f t="shared" si="72"/>
        <v>0.4</v>
      </c>
      <c r="AD198" s="123">
        <f t="shared" si="72"/>
        <v>0.4</v>
      </c>
      <c r="AE198" s="123">
        <f t="shared" si="72"/>
        <v>0.4</v>
      </c>
      <c r="AF198" s="123">
        <f t="shared" si="72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70"/>
        <v>0.64</v>
      </c>
      <c r="C199" s="133">
        <v>0.64</v>
      </c>
      <c r="D199" s="133">
        <f t="shared" si="71"/>
        <v>0.64</v>
      </c>
      <c r="E199" s="133">
        <f t="shared" si="71"/>
        <v>0.64</v>
      </c>
      <c r="F199" s="133">
        <f t="shared" si="71"/>
        <v>0.64</v>
      </c>
      <c r="G199" s="133">
        <f t="shared" si="71"/>
        <v>0.64</v>
      </c>
      <c r="H199" s="133">
        <f t="shared" si="71"/>
        <v>0.64</v>
      </c>
      <c r="I199" s="133">
        <f t="shared" si="71"/>
        <v>0.64</v>
      </c>
      <c r="J199" s="133">
        <f t="shared" si="71"/>
        <v>0.64</v>
      </c>
      <c r="K199" s="133">
        <f t="shared" si="71"/>
        <v>0.64</v>
      </c>
      <c r="L199" s="133">
        <f t="shared" si="71"/>
        <v>0.64</v>
      </c>
      <c r="M199" s="133">
        <f t="shared" si="71"/>
        <v>0.64</v>
      </c>
      <c r="N199" s="133">
        <f t="shared" si="71"/>
        <v>0.64</v>
      </c>
      <c r="O199" s="133">
        <f t="shared" si="71"/>
        <v>0.64</v>
      </c>
      <c r="P199" s="133">
        <f t="shared" si="71"/>
        <v>0.64</v>
      </c>
      <c r="Q199" s="133">
        <f t="shared" si="71"/>
        <v>0.64</v>
      </c>
      <c r="R199" s="133">
        <f t="shared" si="71"/>
        <v>0.64</v>
      </c>
      <c r="S199" s="133">
        <f t="shared" si="71"/>
        <v>0.64</v>
      </c>
      <c r="T199" s="133">
        <f t="shared" si="72"/>
        <v>0.64</v>
      </c>
      <c r="U199" s="133">
        <f t="shared" si="72"/>
        <v>0.64</v>
      </c>
      <c r="V199" s="133">
        <f t="shared" si="72"/>
        <v>0.64</v>
      </c>
      <c r="W199" s="133">
        <f t="shared" si="72"/>
        <v>0.64</v>
      </c>
      <c r="X199" s="133">
        <f t="shared" si="72"/>
        <v>0.64</v>
      </c>
      <c r="Y199" s="133">
        <f t="shared" si="72"/>
        <v>0.64</v>
      </c>
      <c r="Z199" s="133">
        <f t="shared" si="72"/>
        <v>0.64</v>
      </c>
      <c r="AA199" s="133">
        <f t="shared" si="72"/>
        <v>0.64</v>
      </c>
      <c r="AB199" s="133">
        <f t="shared" si="72"/>
        <v>0.64</v>
      </c>
      <c r="AC199" s="133">
        <f t="shared" si="72"/>
        <v>0.64</v>
      </c>
      <c r="AD199" s="133">
        <f t="shared" si="72"/>
        <v>0.64</v>
      </c>
      <c r="AE199" s="133">
        <f t="shared" si="72"/>
        <v>0.64</v>
      </c>
      <c r="AF199" s="133">
        <f t="shared" si="72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3">SUM(D194:D199)</f>
        <v>3.54</v>
      </c>
      <c r="E200" s="136">
        <f t="shared" si="73"/>
        <v>3.54</v>
      </c>
      <c r="F200" s="136">
        <f t="shared" si="73"/>
        <v>3.54</v>
      </c>
      <c r="G200" s="136">
        <f t="shared" si="73"/>
        <v>3.54</v>
      </c>
      <c r="H200" s="136">
        <f t="shared" si="73"/>
        <v>3.54</v>
      </c>
      <c r="I200" s="136">
        <f t="shared" si="73"/>
        <v>3.54</v>
      </c>
      <c r="J200" s="136">
        <f t="shared" si="73"/>
        <v>3.54</v>
      </c>
      <c r="K200" s="136">
        <f t="shared" si="73"/>
        <v>3.54</v>
      </c>
      <c r="L200" s="136">
        <f t="shared" si="73"/>
        <v>3.54</v>
      </c>
      <c r="M200" s="136">
        <f>SUM(M194:M199)</f>
        <v>3.54</v>
      </c>
      <c r="N200" s="136">
        <f t="shared" ref="N200:S200" si="74">SUM(N194:N199)</f>
        <v>3.54</v>
      </c>
      <c r="O200" s="136">
        <f t="shared" si="74"/>
        <v>3.54</v>
      </c>
      <c r="P200" s="136">
        <f t="shared" si="74"/>
        <v>3.54</v>
      </c>
      <c r="Q200" s="136">
        <f t="shared" si="74"/>
        <v>3.54</v>
      </c>
      <c r="R200" s="136">
        <f t="shared" si="74"/>
        <v>3.54</v>
      </c>
      <c r="S200" s="136">
        <f t="shared" si="74"/>
        <v>3.54</v>
      </c>
      <c r="T200" s="136">
        <f>SUM(T194:T199)</f>
        <v>3.54</v>
      </c>
      <c r="U200" s="136">
        <f t="shared" ref="U200:AG200" si="75">SUM(U194:U199)</f>
        <v>3.54</v>
      </c>
      <c r="V200" s="136">
        <f t="shared" si="75"/>
        <v>3.54</v>
      </c>
      <c r="W200" s="136">
        <f t="shared" si="75"/>
        <v>3.54</v>
      </c>
      <c r="X200" s="136">
        <f t="shared" si="75"/>
        <v>3.54</v>
      </c>
      <c r="Y200" s="136">
        <f t="shared" si="75"/>
        <v>3.54</v>
      </c>
      <c r="Z200" s="136">
        <f t="shared" si="75"/>
        <v>3.54</v>
      </c>
      <c r="AA200" s="136">
        <f t="shared" si="75"/>
        <v>3.54</v>
      </c>
      <c r="AB200" s="136">
        <f t="shared" si="75"/>
        <v>3.54</v>
      </c>
      <c r="AC200" s="136">
        <f t="shared" si="75"/>
        <v>3.54</v>
      </c>
      <c r="AD200" s="136">
        <f t="shared" si="75"/>
        <v>3.54</v>
      </c>
      <c r="AE200" s="136">
        <f t="shared" si="75"/>
        <v>3.54</v>
      </c>
      <c r="AF200" s="136">
        <f t="shared" si="75"/>
        <v>3.54</v>
      </c>
      <c r="AG200" s="137">
        <f t="shared" si="75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1704.74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11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2079/02/11)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2079/02/11)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6">B75</f>
        <v>1726.5399999999997</v>
      </c>
      <c r="U214" s="161">
        <f t="shared" si="76"/>
        <v>1646.54</v>
      </c>
      <c r="V214" s="161">
        <f t="shared" si="76"/>
        <v>1691.94</v>
      </c>
      <c r="W214" s="161">
        <f t="shared" si="76"/>
        <v>1647.44</v>
      </c>
      <c r="X214" s="161">
        <f t="shared" si="76"/>
        <v>1693.8400000000001</v>
      </c>
      <c r="Y214" s="161">
        <f t="shared" si="76"/>
        <v>3.54</v>
      </c>
      <c r="Z214" s="161">
        <f t="shared" si="76"/>
        <v>1600.8400000000001</v>
      </c>
      <c r="AA214" s="161">
        <f t="shared" si="76"/>
        <v>1622.8400000000001</v>
      </c>
      <c r="AB214" s="161">
        <f t="shared" si="76"/>
        <v>1669.1399999999999</v>
      </c>
      <c r="AC214" s="161">
        <f t="shared" si="76"/>
        <v>1659.34</v>
      </c>
      <c r="AD214" s="161">
        <f t="shared" si="76"/>
        <v>1696.44</v>
      </c>
      <c r="AE214" s="161">
        <f t="shared" si="76"/>
        <v>1704.74</v>
      </c>
      <c r="AF214" s="161">
        <f t="shared" si="76"/>
        <v>1667.74</v>
      </c>
      <c r="AG214" s="161">
        <f t="shared" si="76"/>
        <v>1671.94</v>
      </c>
      <c r="AH214" s="161">
        <f t="shared" si="76"/>
        <v>1663.5400000000002</v>
      </c>
      <c r="AI214" s="161">
        <f t="shared" si="76"/>
        <v>1670.94</v>
      </c>
      <c r="AJ214" s="161">
        <f t="shared" si="76"/>
        <v>1708.94</v>
      </c>
      <c r="AK214" s="161">
        <f t="shared" si="76"/>
        <v>1714.54</v>
      </c>
      <c r="AL214" s="161">
        <f t="shared" si="76"/>
        <v>1713.04</v>
      </c>
      <c r="AM214" s="161">
        <f t="shared" si="76"/>
        <v>1695.8400000000001</v>
      </c>
      <c r="AN214" s="161">
        <f t="shared" si="76"/>
        <v>1700.44</v>
      </c>
      <c r="AO214" s="161">
        <f t="shared" si="76"/>
        <v>1700.44</v>
      </c>
      <c r="AP214" s="161">
        <f t="shared" si="76"/>
        <v>1689.44</v>
      </c>
      <c r="AQ214" s="161">
        <f t="shared" si="76"/>
        <v>1680.8400000000001</v>
      </c>
      <c r="AR214" s="161">
        <f t="shared" si="76"/>
        <v>1672.5400000000002</v>
      </c>
      <c r="AS214" s="161">
        <f t="shared" si="76"/>
        <v>1714.8400000000001</v>
      </c>
      <c r="AT214" s="161">
        <f t="shared" si="76"/>
        <v>1732.64</v>
      </c>
      <c r="AU214" s="161">
        <f t="shared" si="76"/>
        <v>1735.44</v>
      </c>
      <c r="AV214" s="161">
        <f t="shared" si="76"/>
        <v>1723.94</v>
      </c>
      <c r="AW214" s="161">
        <f t="shared" si="76"/>
        <v>1700.7400000000002</v>
      </c>
      <c r="AX214" s="161">
        <f t="shared" si="76"/>
        <v>3.54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7">C199</f>
        <v>0.64</v>
      </c>
      <c r="C235" s="164">
        <f t="shared" si="77"/>
        <v>0.64</v>
      </c>
      <c r="D235" s="164">
        <f t="shared" si="77"/>
        <v>0.64</v>
      </c>
      <c r="E235" s="164">
        <f t="shared" si="77"/>
        <v>0.64</v>
      </c>
      <c r="F235" s="164">
        <f t="shared" si="77"/>
        <v>0.64</v>
      </c>
      <c r="G235" s="164">
        <f t="shared" si="77"/>
        <v>0.64</v>
      </c>
      <c r="H235" s="164">
        <f t="shared" si="77"/>
        <v>0.64</v>
      </c>
      <c r="I235" s="164">
        <f t="shared" si="77"/>
        <v>0.64</v>
      </c>
      <c r="J235" s="164">
        <f t="shared" si="77"/>
        <v>0.64</v>
      </c>
      <c r="K235" s="164">
        <f t="shared" si="77"/>
        <v>0.64</v>
      </c>
      <c r="L235" s="164">
        <f t="shared" si="77"/>
        <v>0.64</v>
      </c>
      <c r="M235" s="164">
        <f t="shared" si="77"/>
        <v>0.64</v>
      </c>
      <c r="N235" s="164">
        <f t="shared" si="77"/>
        <v>0.64</v>
      </c>
      <c r="O235" s="164">
        <f t="shared" si="77"/>
        <v>0.64</v>
      </c>
      <c r="P235" s="164">
        <f t="shared" si="77"/>
        <v>0.64</v>
      </c>
      <c r="Q235" s="164">
        <f t="shared" si="77"/>
        <v>0.64</v>
      </c>
      <c r="R235" s="164">
        <f t="shared" si="77"/>
        <v>0.64</v>
      </c>
      <c r="S235" s="164">
        <f t="shared" si="77"/>
        <v>0.64</v>
      </c>
      <c r="T235" s="164">
        <f t="shared" si="77"/>
        <v>0.64</v>
      </c>
      <c r="U235" s="164">
        <f t="shared" si="77"/>
        <v>0.64</v>
      </c>
      <c r="V235" s="164">
        <f t="shared" si="77"/>
        <v>0.64</v>
      </c>
      <c r="W235" s="164">
        <f t="shared" si="77"/>
        <v>0.64</v>
      </c>
      <c r="X235" s="164">
        <f t="shared" si="77"/>
        <v>0.64</v>
      </c>
      <c r="Y235" s="164">
        <f t="shared" si="77"/>
        <v>0.64</v>
      </c>
      <c r="Z235" s="164">
        <f t="shared" si="77"/>
        <v>0.64</v>
      </c>
      <c r="AA235" s="164">
        <f t="shared" si="77"/>
        <v>0.64</v>
      </c>
      <c r="AB235" s="164">
        <f t="shared" si="77"/>
        <v>0.64</v>
      </c>
      <c r="AC235" s="164">
        <f t="shared" si="77"/>
        <v>0.64</v>
      </c>
      <c r="AD235" s="164">
        <f t="shared" si="77"/>
        <v>0.64</v>
      </c>
      <c r="AE235" s="164">
        <f t="shared" si="77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78">IF(C203&lt;100,"",C203-520)</f>
        <v/>
      </c>
      <c r="D236" s="107" t="str">
        <f t="shared" si="78"/>
        <v/>
      </c>
      <c r="E236" s="107" t="str">
        <f t="shared" si="78"/>
        <v/>
      </c>
      <c r="F236" s="107" t="str">
        <f t="shared" si="78"/>
        <v/>
      </c>
      <c r="G236" s="107" t="str">
        <f t="shared" si="78"/>
        <v/>
      </c>
      <c r="H236" s="107" t="str">
        <f t="shared" si="78"/>
        <v/>
      </c>
      <c r="I236" s="107" t="str">
        <f t="shared" si="78"/>
        <v/>
      </c>
      <c r="J236" s="107" t="str">
        <f t="shared" si="78"/>
        <v/>
      </c>
      <c r="K236" s="107" t="str">
        <f t="shared" si="78"/>
        <v/>
      </c>
      <c r="L236" s="107" t="str">
        <f t="shared" si="78"/>
        <v/>
      </c>
      <c r="M236" s="107" t="str">
        <f t="shared" si="78"/>
        <v/>
      </c>
      <c r="N236" s="107" t="str">
        <f t="shared" si="78"/>
        <v/>
      </c>
      <c r="O236" s="107" t="str">
        <f t="shared" si="78"/>
        <v/>
      </c>
      <c r="P236" s="107" t="str">
        <f t="shared" si="78"/>
        <v/>
      </c>
      <c r="Q236" s="107" t="str">
        <f t="shared" si="78"/>
        <v/>
      </c>
      <c r="R236" s="107" t="str">
        <f t="shared" si="78"/>
        <v/>
      </c>
      <c r="S236" s="107" t="str">
        <f t="shared" si="78"/>
        <v/>
      </c>
      <c r="T236" s="107" t="str">
        <f t="shared" si="78"/>
        <v/>
      </c>
      <c r="U236" s="107" t="str">
        <f t="shared" si="78"/>
        <v/>
      </c>
      <c r="V236" s="107" t="str">
        <f t="shared" si="78"/>
        <v/>
      </c>
      <c r="W236" s="107" t="str">
        <f t="shared" si="78"/>
        <v/>
      </c>
      <c r="X236" s="107" t="str">
        <f t="shared" si="78"/>
        <v/>
      </c>
      <c r="Y236" s="107" t="str">
        <f t="shared" si="78"/>
        <v/>
      </c>
      <c r="Z236" s="107" t="str">
        <f t="shared" si="78"/>
        <v/>
      </c>
      <c r="AA236" s="107" t="str">
        <f t="shared" si="78"/>
        <v/>
      </c>
      <c r="AB236" s="107" t="str">
        <f t="shared" si="78"/>
        <v/>
      </c>
      <c r="AC236" s="107" t="str">
        <f t="shared" si="78"/>
        <v/>
      </c>
      <c r="AD236" s="107" t="str">
        <f t="shared" si="78"/>
        <v/>
      </c>
      <c r="AE236" s="107" t="str">
        <f t="shared" si="78"/>
        <v/>
      </c>
      <c r="AF236" s="107" t="str">
        <f t="shared" si="78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79">IF(B204&lt;100,"",B204-620)</f>
        <v/>
      </c>
      <c r="C237" s="107" t="str">
        <f t="shared" si="79"/>
        <v/>
      </c>
      <c r="D237" s="107" t="str">
        <f t="shared" si="79"/>
        <v/>
      </c>
      <c r="E237" s="107" t="str">
        <f t="shared" si="79"/>
        <v/>
      </c>
      <c r="F237" s="107" t="str">
        <f t="shared" si="79"/>
        <v/>
      </c>
      <c r="G237" s="107" t="str">
        <f t="shared" si="79"/>
        <v/>
      </c>
      <c r="H237" s="107" t="str">
        <f t="shared" si="79"/>
        <v/>
      </c>
      <c r="I237" s="107" t="str">
        <f t="shared" si="79"/>
        <v/>
      </c>
      <c r="J237" s="107" t="str">
        <f t="shared" si="79"/>
        <v/>
      </c>
      <c r="K237" s="107" t="str">
        <f t="shared" si="79"/>
        <v/>
      </c>
      <c r="L237" s="107" t="str">
        <f t="shared" si="79"/>
        <v/>
      </c>
      <c r="M237" s="107" t="str">
        <f t="shared" si="79"/>
        <v/>
      </c>
      <c r="N237" s="107" t="str">
        <f t="shared" si="79"/>
        <v/>
      </c>
      <c r="O237" s="107" t="str">
        <f t="shared" si="79"/>
        <v/>
      </c>
      <c r="P237" s="107" t="str">
        <f t="shared" si="79"/>
        <v/>
      </c>
      <c r="Q237" s="107" t="str">
        <f t="shared" si="79"/>
        <v/>
      </c>
      <c r="R237" s="107" t="str">
        <f t="shared" si="79"/>
        <v/>
      </c>
      <c r="S237" s="107" t="str">
        <f t="shared" si="79"/>
        <v/>
      </c>
      <c r="T237" s="107" t="str">
        <f t="shared" si="79"/>
        <v/>
      </c>
      <c r="U237" s="107" t="str">
        <f t="shared" si="79"/>
        <v/>
      </c>
      <c r="V237" s="107" t="str">
        <f t="shared" si="79"/>
        <v/>
      </c>
      <c r="W237" s="107" t="str">
        <f t="shared" si="79"/>
        <v/>
      </c>
      <c r="X237" s="107" t="str">
        <f t="shared" si="79"/>
        <v/>
      </c>
      <c r="Y237" s="107" t="str">
        <f t="shared" si="79"/>
        <v/>
      </c>
      <c r="Z237" s="107" t="str">
        <f t="shared" si="79"/>
        <v/>
      </c>
      <c r="AA237" s="107" t="str">
        <f t="shared" si="79"/>
        <v/>
      </c>
      <c r="AB237" s="107" t="str">
        <f t="shared" si="79"/>
        <v/>
      </c>
      <c r="AC237" s="107" t="str">
        <f t="shared" si="79"/>
        <v/>
      </c>
      <c r="AD237" s="107" t="str">
        <f t="shared" si="79"/>
        <v/>
      </c>
      <c r="AE237" s="107" t="str">
        <f t="shared" si="79"/>
        <v/>
      </c>
      <c r="AF237" s="107" t="str">
        <f t="shared" si="79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80">IF(B205&lt;100,"",B205-330)</f>
        <v/>
      </c>
      <c r="C238" s="107" t="str">
        <f t="shared" si="80"/>
        <v/>
      </c>
      <c r="D238" s="107" t="str">
        <f t="shared" si="80"/>
        <v/>
      </c>
      <c r="E238" s="107" t="str">
        <f t="shared" si="80"/>
        <v/>
      </c>
      <c r="F238" s="107" t="str">
        <f t="shared" si="80"/>
        <v/>
      </c>
      <c r="G238" s="107" t="str">
        <f t="shared" si="80"/>
        <v/>
      </c>
      <c r="H238" s="107" t="str">
        <f t="shared" si="80"/>
        <v/>
      </c>
      <c r="I238" s="107" t="str">
        <f t="shared" si="80"/>
        <v/>
      </c>
      <c r="J238" s="107" t="str">
        <f t="shared" si="80"/>
        <v/>
      </c>
      <c r="K238" s="107" t="str">
        <f t="shared" si="80"/>
        <v/>
      </c>
      <c r="L238" s="107" t="str">
        <f t="shared" si="80"/>
        <v/>
      </c>
      <c r="M238" s="107" t="str">
        <f t="shared" si="80"/>
        <v/>
      </c>
      <c r="N238" s="107" t="str">
        <f t="shared" si="80"/>
        <v/>
      </c>
      <c r="O238" s="107" t="str">
        <f t="shared" si="80"/>
        <v/>
      </c>
      <c r="P238" s="107" t="str">
        <f t="shared" si="80"/>
        <v/>
      </c>
      <c r="Q238" s="107" t="str">
        <f t="shared" si="80"/>
        <v/>
      </c>
      <c r="R238" s="107" t="str">
        <f t="shared" si="80"/>
        <v/>
      </c>
      <c r="S238" s="107" t="str">
        <f t="shared" si="80"/>
        <v/>
      </c>
      <c r="T238" s="107" t="str">
        <f t="shared" si="80"/>
        <v/>
      </c>
      <c r="U238" s="107" t="str">
        <f t="shared" si="80"/>
        <v/>
      </c>
      <c r="V238" s="107" t="str">
        <f t="shared" si="80"/>
        <v/>
      </c>
      <c r="W238" s="107" t="str">
        <f t="shared" si="80"/>
        <v/>
      </c>
      <c r="X238" s="107" t="str">
        <f t="shared" si="80"/>
        <v/>
      </c>
      <c r="Y238" s="107" t="str">
        <f t="shared" si="80"/>
        <v/>
      </c>
      <c r="Z238" s="107" t="str">
        <f t="shared" si="80"/>
        <v/>
      </c>
      <c r="AA238" s="107" t="str">
        <f t="shared" si="80"/>
        <v/>
      </c>
      <c r="AB238" s="107" t="str">
        <f t="shared" si="80"/>
        <v/>
      </c>
      <c r="AC238" s="107" t="str">
        <f t="shared" si="80"/>
        <v/>
      </c>
      <c r="AD238" s="107" t="str">
        <f t="shared" si="80"/>
        <v/>
      </c>
      <c r="AE238" s="107" t="str">
        <f t="shared" si="80"/>
        <v/>
      </c>
      <c r="AF238" s="107" t="str">
        <f t="shared" si="80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1">IF(C206&lt;100,"",C206-1500)</f>
        <v/>
      </c>
      <c r="D239" s="107" t="str">
        <f t="shared" si="81"/>
        <v/>
      </c>
      <c r="E239" s="107" t="str">
        <f t="shared" si="81"/>
        <v/>
      </c>
      <c r="F239" s="107" t="str">
        <f t="shared" si="81"/>
        <v/>
      </c>
      <c r="G239" s="107" t="str">
        <f t="shared" si="81"/>
        <v/>
      </c>
      <c r="H239" s="107" t="str">
        <f t="shared" si="81"/>
        <v/>
      </c>
      <c r="I239" s="107" t="str">
        <f t="shared" si="81"/>
        <v/>
      </c>
      <c r="J239" s="107" t="str">
        <f t="shared" si="81"/>
        <v/>
      </c>
      <c r="K239" s="107" t="str">
        <f t="shared" si="81"/>
        <v/>
      </c>
      <c r="L239" s="107" t="str">
        <f t="shared" si="81"/>
        <v/>
      </c>
      <c r="M239" s="107" t="str">
        <f t="shared" si="81"/>
        <v/>
      </c>
      <c r="N239" s="107" t="str">
        <f t="shared" si="81"/>
        <v/>
      </c>
      <c r="O239" s="107" t="str">
        <f t="shared" si="81"/>
        <v/>
      </c>
      <c r="P239" s="107" t="str">
        <f t="shared" si="81"/>
        <v/>
      </c>
      <c r="Q239" s="107" t="str">
        <f t="shared" si="81"/>
        <v/>
      </c>
      <c r="R239" s="107" t="str">
        <f t="shared" si="81"/>
        <v/>
      </c>
      <c r="S239" s="107" t="str">
        <f t="shared" si="81"/>
        <v/>
      </c>
      <c r="T239" s="107" t="str">
        <f t="shared" si="81"/>
        <v/>
      </c>
      <c r="U239" s="107" t="str">
        <f t="shared" si="81"/>
        <v/>
      </c>
      <c r="V239" s="107" t="str">
        <f t="shared" si="81"/>
        <v/>
      </c>
      <c r="W239" s="107" t="str">
        <f t="shared" si="81"/>
        <v/>
      </c>
      <c r="X239" s="107" t="str">
        <f t="shared" si="81"/>
        <v/>
      </c>
      <c r="Y239" s="107" t="str">
        <f t="shared" si="81"/>
        <v/>
      </c>
      <c r="Z239" s="107" t="str">
        <f t="shared" si="81"/>
        <v/>
      </c>
      <c r="AA239" s="107" t="str">
        <f t="shared" si="81"/>
        <v/>
      </c>
      <c r="AB239" s="107" t="str">
        <f t="shared" si="81"/>
        <v/>
      </c>
      <c r="AC239" s="107" t="str">
        <f t="shared" si="81"/>
        <v/>
      </c>
      <c r="AD239" s="107" t="str">
        <f t="shared" si="81"/>
        <v/>
      </c>
      <c r="AE239" s="107" t="str">
        <f t="shared" si="81"/>
        <v/>
      </c>
      <c r="AF239" s="107" t="str">
        <f t="shared" si="81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2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AF11 C94:AF100">
    <cfRule type="expression" dxfId="4738" priority="319">
      <formula>B$9&gt;=20/24</formula>
    </cfRule>
    <cfRule type="expression" dxfId="4737" priority="320">
      <formula>AND(B$9&gt;=14/24,B$9&lt;20/24)</formula>
    </cfRule>
    <cfRule type="expression" dxfId="4736" priority="321">
      <formula>AND(B$9&gt;=8/24,B$9&lt;14/24)</formula>
    </cfRule>
    <cfRule type="expression" dxfId="4735" priority="322">
      <formula>B$9&lt;8/24</formula>
    </cfRule>
  </conditionalFormatting>
  <conditionalFormatting sqref="AL4:AL6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4734" priority="314">
      <formula>AB$9&gt;=20/24</formula>
    </cfRule>
    <cfRule type="expression" dxfId="4733" priority="315">
      <formula>AND(AB$9&gt;=14/24,AB$9&lt;20/24)</formula>
    </cfRule>
    <cfRule type="expression" dxfId="4732" priority="316">
      <formula>AND(AB$9&gt;=8/24,AB$9&lt;14/24)</formula>
    </cfRule>
    <cfRule type="expression" dxfId="4731" priority="317">
      <formula>AB$9&lt;8/24</formula>
    </cfRule>
  </conditionalFormatting>
  <conditionalFormatting sqref="AG51 AF11 AB37:AF37">
    <cfRule type="expression" dxfId="4730" priority="313">
      <formula>AB11&gt;$AG11</formula>
    </cfRule>
  </conditionalFormatting>
  <conditionalFormatting sqref="A101:A157 A84:A97 A11:A14 A16:A32 A45:A72 A80:A82 A74:A78 A35:A43 A170:A200">
    <cfRule type="expression" dxfId="4729" priority="312">
      <formula>$AH11=0</formula>
    </cfRule>
  </conditionalFormatting>
  <conditionalFormatting sqref="A98">
    <cfRule type="expression" dxfId="4728" priority="311">
      <formula>$AH98=0</formula>
    </cfRule>
  </conditionalFormatting>
  <conditionalFormatting sqref="AL32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727" priority="309">
      <formula>$AH34=0</formula>
    </cfRule>
  </conditionalFormatting>
  <conditionalFormatting sqref="A83">
    <cfRule type="expression" dxfId="4726" priority="308">
      <formula>$AH83=0</formula>
    </cfRule>
  </conditionalFormatting>
  <conditionalFormatting sqref="A15">
    <cfRule type="expression" dxfId="4725" priority="307">
      <formula>$AH15=0</formula>
    </cfRule>
  </conditionalFormatting>
  <conditionalFormatting sqref="A164:A169">
    <cfRule type="expression" dxfId="4724" priority="306">
      <formula>$AH164=0</formula>
    </cfRule>
  </conditionalFormatting>
  <conditionalFormatting sqref="A158:A163">
    <cfRule type="expression" dxfId="4723" priority="305">
      <formula>$AH158=0</formula>
    </cfRule>
  </conditionalFormatting>
  <conditionalFormatting sqref="A44">
    <cfRule type="expression" dxfId="4722" priority="304">
      <formula>$AH44=0</formula>
    </cfRule>
  </conditionalFormatting>
  <conditionalFormatting sqref="A79">
    <cfRule type="expression" dxfId="4721" priority="303">
      <formula>$AH79=0</formula>
    </cfRule>
  </conditionalFormatting>
  <conditionalFormatting sqref="A73">
    <cfRule type="expression" dxfId="4720" priority="302">
      <formula>$AH73=0</formula>
    </cfRule>
  </conditionalFormatting>
  <conditionalFormatting sqref="AL34:AL35 AL7:AL31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719" priority="298">
      <formula>C$9&gt;=20/24</formula>
    </cfRule>
    <cfRule type="expression" dxfId="4718" priority="299">
      <formula>AND(C$9&gt;=14/24,C$9&lt;20/24)</formula>
    </cfRule>
    <cfRule type="expression" dxfId="4717" priority="300">
      <formula>AND(C$9&gt;=8/24,C$9&lt;14/24)</formula>
    </cfRule>
    <cfRule type="expression" dxfId="4716" priority="301">
      <formula>C$9&lt;8/24</formula>
    </cfRule>
  </conditionalFormatting>
  <conditionalFormatting sqref="AL33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15" priority="326">
      <formula>C$9&gt;=20/24</formula>
    </cfRule>
    <cfRule type="expression" dxfId="4714" priority="327">
      <formula>AND(C$9&gt;=14/24,C$9&lt;20/24)</formula>
    </cfRule>
    <cfRule type="expression" dxfId="4713" priority="328">
      <formula>AND(C$9&gt;=8/24,C$9&lt;14/24)</formula>
    </cfRule>
    <cfRule type="expression" dxfId="4712" priority="329">
      <formula>C$9&lt;8/24</formula>
    </cfRule>
  </conditionalFormatting>
  <conditionalFormatting sqref="A201">
    <cfRule type="expression" dxfId="4711" priority="330">
      <formula>$AH201=0</formula>
    </cfRule>
  </conditionalFormatting>
  <conditionalFormatting sqref="AG213">
    <cfRule type="expression" dxfId="4710" priority="331">
      <formula>B$9&gt;=20/24</formula>
    </cfRule>
    <cfRule type="expression" dxfId="4709" priority="332">
      <formula>AND(B$9&gt;=14/24,B$9&lt;20/24)</formula>
    </cfRule>
    <cfRule type="expression" dxfId="4708" priority="333">
      <formula>AND(B$9&gt;=8/24,B$9&lt;14/24)</formula>
    </cfRule>
    <cfRule type="expression" dxfId="4707" priority="334">
      <formula>B$9&lt;8/24</formula>
    </cfRule>
  </conditionalFormatting>
  <conditionalFormatting sqref="S8">
    <cfRule type="expression" dxfId="4706" priority="293">
      <formula>U$9&gt;=20/24</formula>
    </cfRule>
    <cfRule type="expression" dxfId="4705" priority="294">
      <formula>AND(U$9&gt;=14/24,U$9&lt;20/24)</formula>
    </cfRule>
    <cfRule type="expression" dxfId="4704" priority="295">
      <formula>AND(U$9&gt;=8/24,U$9&lt;14/24)</formula>
    </cfRule>
    <cfRule type="expression" dxfId="4703" priority="296">
      <formula>U$9&lt;8/24</formula>
    </cfRule>
  </conditionalFormatting>
  <conditionalFormatting sqref="AB8">
    <cfRule type="expression" dxfId="4702" priority="289">
      <formula>AD$9&gt;=20/24</formula>
    </cfRule>
    <cfRule type="expression" dxfId="4701" priority="290">
      <formula>AND(AD$9&gt;=14/24,AD$9&lt;20/24)</formula>
    </cfRule>
    <cfRule type="expression" dxfId="4700" priority="291">
      <formula>AND(AD$9&gt;=8/24,AD$9&lt;14/24)</formula>
    </cfRule>
    <cfRule type="expression" dxfId="4699" priority="292">
      <formula>AD$9&lt;8/24</formula>
    </cfRule>
  </conditionalFormatting>
  <conditionalFormatting sqref="AH213:AX213">
    <cfRule type="expression" dxfId="4698" priority="335">
      <formula>AG$9&gt;=20/24</formula>
    </cfRule>
    <cfRule type="expression" dxfId="4697" priority="336">
      <formula>AND(AG$9&gt;=14/24,AG$9&lt;20/24)</formula>
    </cfRule>
    <cfRule type="expression" dxfId="4696" priority="337">
      <formula>AND(AG$9&gt;=8/24,AG$9&lt;14/24)</formula>
    </cfRule>
    <cfRule type="expression" dxfId="4695" priority="338">
      <formula>AG$9&lt;8/24</formula>
    </cfRule>
  </conditionalFormatting>
  <conditionalFormatting sqref="T213">
    <cfRule type="expression" dxfId="4694" priority="339">
      <formula>AX$9&gt;=20/24</formula>
    </cfRule>
    <cfRule type="expression" dxfId="4693" priority="340">
      <formula>AND(AX$9&gt;=14/24,AX$9&lt;20/24)</formula>
    </cfRule>
    <cfRule type="expression" dxfId="4692" priority="341">
      <formula>AND(AX$9&gt;=8/24,AX$9&lt;14/24)</formula>
    </cfRule>
    <cfRule type="expression" dxfId="4691" priority="342">
      <formula>AX$9&lt;8/24</formula>
    </cfRule>
  </conditionalFormatting>
  <conditionalFormatting sqref="A99">
    <cfRule type="expression" dxfId="4690" priority="288">
      <formula>$AH99=0</formula>
    </cfRule>
  </conditionalFormatting>
  <conditionalFormatting sqref="AF36 F40:L41 G11:AE11 T40:AF41 C57:AF57">
    <cfRule type="expression" dxfId="4689" priority="284">
      <formula>C$9&gt;=20/24</formula>
    </cfRule>
    <cfRule type="expression" dxfId="4688" priority="285">
      <formula>AND(C$9&gt;=14/24,C$9&lt;20/24)</formula>
    </cfRule>
    <cfRule type="expression" dxfId="4687" priority="286">
      <formula>AND(C$9&gt;=8/24,C$9&lt;14/24)</formula>
    </cfRule>
    <cfRule type="expression" dxfId="4686" priority="287">
      <formula>C$9&lt;8/24</formula>
    </cfRule>
  </conditionalFormatting>
  <conditionalFormatting sqref="F39:L39 T39:AF39">
    <cfRule type="expression" dxfId="4685" priority="280">
      <formula>F$9&gt;=20/24</formula>
    </cfRule>
    <cfRule type="expression" dxfId="4684" priority="281">
      <formula>AND(F$9&gt;=14/24,F$9&lt;20/24)</formula>
    </cfRule>
    <cfRule type="expression" dxfId="4683" priority="282">
      <formula>AND(F$9&gt;=8/24,F$9&lt;14/24)</formula>
    </cfRule>
    <cfRule type="expression" dxfId="4682" priority="283">
      <formula>F$9&lt;8/24</formula>
    </cfRule>
  </conditionalFormatting>
  <conditionalFormatting sqref="AF36 F39:L41 G11:AE11 T39:AF41">
    <cfRule type="expression" dxfId="4681" priority="279">
      <formula>F11&gt;$AG11</formula>
    </cfRule>
  </conditionalFormatting>
  <conditionalFormatting sqref="C81:AF81 C58:V59 C69:AF72 C67 AF16 AF18:AF21 C60:R63 E67:R67 S60:V67 C85:AF91 F36:AE36 G12:AF14 C53:AF56 W58:AF67">
    <cfRule type="expression" dxfId="4680" priority="275">
      <formula>C$9&gt;=20/24</formula>
    </cfRule>
    <cfRule type="expression" dxfId="4679" priority="276">
      <formula>AND(C$9&gt;=14/24,C$9&lt;20/24)</formula>
    </cfRule>
    <cfRule type="expression" dxfId="4678" priority="277">
      <formula>AND(C$9&gt;=8/24,C$9&lt;14/24)</formula>
    </cfRule>
    <cfRule type="expression" dxfId="4677" priority="278">
      <formula>C$9&lt;8/24</formula>
    </cfRule>
  </conditionalFormatting>
  <conditionalFormatting sqref="AF42:AF43 AF18:AF21 C51:AF51 F42:L44 AF12:AF16 M44 F36:AA37 G12:AE15 AB36:AE36 C53:AF56">
    <cfRule type="expression" dxfId="4676" priority="266">
      <formula>C12&gt;$AG12</formula>
    </cfRule>
  </conditionalFormatting>
  <conditionalFormatting sqref="G15:AF15">
    <cfRule type="expression" dxfId="4675" priority="258">
      <formula>G$9&gt;=20/24</formula>
    </cfRule>
    <cfRule type="expression" dxfId="4674" priority="259">
      <formula>AND(G$9&gt;=14/24,G$9&lt;20/24)</formula>
    </cfRule>
    <cfRule type="expression" dxfId="4673" priority="260">
      <formula>AND(G$9&gt;=8/24,G$9&lt;14/24)</formula>
    </cfRule>
    <cfRule type="expression" dxfId="4672" priority="261">
      <formula>G$9&lt;8/24</formula>
    </cfRule>
  </conditionalFormatting>
  <conditionalFormatting sqref="AF44:AF50 AA42:AE43">
    <cfRule type="expression" dxfId="4671" priority="245">
      <formula>AA$9&gt;=20/24</formula>
    </cfRule>
    <cfRule type="expression" dxfId="4670" priority="246">
      <formula>AND(AA$9&gt;=14/24,AA$9&lt;20/24)</formula>
    </cfRule>
    <cfRule type="expression" dxfId="4669" priority="247">
      <formula>AND(AA$9&gt;=8/24,AA$9&lt;14/24)</formula>
    </cfRule>
    <cfRule type="expression" dxfId="4668" priority="248">
      <formula>AA$9&lt;8/24</formula>
    </cfRule>
  </conditionalFormatting>
  <conditionalFormatting sqref="AF44:AF50 AA42:AE43">
    <cfRule type="expression" dxfId="4667" priority="244">
      <formula>AA42&gt;$AG42</formula>
    </cfRule>
  </conditionalFormatting>
  <conditionalFormatting sqref="M39:R43 N44:R44 P46 N45:P45 R45:R47 Q45:Q46 S39:S47 T42:Z50 AA44:AE50">
    <cfRule type="expression" dxfId="4666" priority="240">
      <formula>M$9&gt;=20/24</formula>
    </cfRule>
    <cfRule type="expression" dxfId="4665" priority="241">
      <formula>AND(M$9&gt;=14/24,M$9&lt;20/24)</formula>
    </cfRule>
    <cfRule type="expression" dxfId="4664" priority="242">
      <formula>AND(M$9&gt;=8/24,M$9&lt;14/24)</formula>
    </cfRule>
    <cfRule type="expression" dxfId="4663" priority="243">
      <formula>M$9&lt;8/24</formula>
    </cfRule>
  </conditionalFormatting>
  <conditionalFormatting sqref="M39:R43 N44:R44 P46 N45:P45 R45:R47 Q45:Q46 S39:S47 T42:Z50 AA44:AE50">
    <cfRule type="expression" dxfId="4662" priority="239">
      <formula>M39&gt;$AG39</formula>
    </cfRule>
  </conditionalFormatting>
  <conditionalFormatting sqref="AF17 G16:AE31">
    <cfRule type="expression" dxfId="4661" priority="231">
      <formula>G$9&gt;=20/24</formula>
    </cfRule>
    <cfRule type="expression" dxfId="4660" priority="232">
      <formula>AND(G$9&gt;=14/24,G$9&lt;20/24)</formula>
    </cfRule>
    <cfRule type="expression" dxfId="4659" priority="233">
      <formula>AND(G$9&gt;=8/24,G$9&lt;14/24)</formula>
    </cfRule>
    <cfRule type="expression" dxfId="4658" priority="234">
      <formula>G$9&lt;8/24</formula>
    </cfRule>
  </conditionalFormatting>
  <conditionalFormatting sqref="G32:AE32">
    <cfRule type="expression" dxfId="4657" priority="227">
      <formula>G$9&gt;=20/24</formula>
    </cfRule>
    <cfRule type="expression" dxfId="4656" priority="228">
      <formula>AND(G$9&gt;=14/24,G$9&lt;20/24)</formula>
    </cfRule>
    <cfRule type="expression" dxfId="4655" priority="229">
      <formula>AND(G$9&gt;=8/24,G$9&lt;14/24)</formula>
    </cfRule>
    <cfRule type="expression" dxfId="4654" priority="230">
      <formula>G$9&lt;8/24</formula>
    </cfRule>
  </conditionalFormatting>
  <conditionalFormatting sqref="F35:AE35">
    <cfRule type="expression" dxfId="4653" priority="223">
      <formula>F$9&gt;=20/24</formula>
    </cfRule>
    <cfRule type="expression" dxfId="4652" priority="224">
      <formula>AND(F$9&gt;=14/24,F$9&lt;20/24)</formula>
    </cfRule>
    <cfRule type="expression" dxfId="4651" priority="225">
      <formula>AND(F$9&gt;=8/24,F$9&lt;14/24)</formula>
    </cfRule>
    <cfRule type="expression" dxfId="4650" priority="226">
      <formula>F$9&lt;8/24</formula>
    </cfRule>
  </conditionalFormatting>
  <conditionalFormatting sqref="AF17 F34:AE35 G16:AE32">
    <cfRule type="expression" dxfId="4649" priority="222">
      <formula>F16&gt;$AG16</formula>
    </cfRule>
  </conditionalFormatting>
  <conditionalFormatting sqref="F34:AE34">
    <cfRule type="expression" dxfId="4648" priority="218">
      <formula>F$9&gt;=20/24</formula>
    </cfRule>
    <cfRule type="expression" dxfId="4647" priority="219">
      <formula>AND(F$9&gt;=14/24,F$9&lt;20/24)</formula>
    </cfRule>
    <cfRule type="expression" dxfId="4646" priority="220">
      <formula>AND(F$9&gt;=8/24,F$9&lt;14/24)</formula>
    </cfRule>
    <cfRule type="expression" dxfId="4645" priority="221">
      <formula>F$9&lt;8/24</formula>
    </cfRule>
  </conditionalFormatting>
  <conditionalFormatting sqref="G33:AE33">
    <cfRule type="expression" dxfId="4644" priority="210">
      <formula>G$9&gt;=20/24</formula>
    </cfRule>
    <cfRule type="expression" dxfId="4643" priority="211">
      <formula>AND(G$9&gt;=14/24,G$9&lt;20/24)</formula>
    </cfRule>
    <cfRule type="expression" dxfId="4642" priority="212">
      <formula>AND(G$9&gt;=8/24,G$9&lt;14/24)</formula>
    </cfRule>
    <cfRule type="expression" dxfId="4641" priority="213">
      <formula>G$9&lt;8/24</formula>
    </cfRule>
  </conditionalFormatting>
  <conditionalFormatting sqref="G33:AE33">
    <cfRule type="expression" dxfId="4640" priority="209">
      <formula>G33&gt;$AG33</formula>
    </cfRule>
  </conditionalFormatting>
  <conditionalFormatting sqref="D40:E41">
    <cfRule type="expression" dxfId="4639" priority="205">
      <formula>D$9&gt;=20/24</formula>
    </cfRule>
    <cfRule type="expression" dxfId="4638" priority="206">
      <formula>AND(D$9&gt;=14/24,D$9&lt;20/24)</formula>
    </cfRule>
    <cfRule type="expression" dxfId="4637" priority="207">
      <formula>AND(D$9&gt;=8/24,D$9&lt;14/24)</formula>
    </cfRule>
    <cfRule type="expression" dxfId="4636" priority="208">
      <formula>D$9&lt;8/24</formula>
    </cfRule>
  </conditionalFormatting>
  <conditionalFormatting sqref="D39:E39">
    <cfRule type="expression" dxfId="4635" priority="201">
      <formula>D$9&gt;=20/24</formula>
    </cfRule>
    <cfRule type="expression" dxfId="4634" priority="202">
      <formula>AND(D$9&gt;=14/24,D$9&lt;20/24)</formula>
    </cfRule>
    <cfRule type="expression" dxfId="4633" priority="203">
      <formula>AND(D$9&gt;=8/24,D$9&lt;14/24)</formula>
    </cfRule>
    <cfRule type="expression" dxfId="4632" priority="204">
      <formula>D$9&lt;8/24</formula>
    </cfRule>
  </conditionalFormatting>
  <conditionalFormatting sqref="D39:E41">
    <cfRule type="expression" dxfId="4631" priority="200">
      <formula>D39&gt;$AG39</formula>
    </cfRule>
  </conditionalFormatting>
  <conditionalFormatting sqref="C64:L64 C65:C66 E65:L66 D65:D67 M64:R66">
    <cfRule type="expression" dxfId="4630" priority="196">
      <formula>C$9&gt;=20/24</formula>
    </cfRule>
    <cfRule type="expression" dxfId="4629" priority="197">
      <formula>AND(C$9&gt;=14/24,C$9&lt;20/24)</formula>
    </cfRule>
    <cfRule type="expression" dxfId="4628" priority="198">
      <formula>AND(C$9&gt;=8/24,C$9&lt;14/24)</formula>
    </cfRule>
    <cfRule type="expression" dxfId="4627" priority="199">
      <formula>C$9&lt;8/24</formula>
    </cfRule>
  </conditionalFormatting>
  <conditionalFormatting sqref="D42:E43">
    <cfRule type="expression" dxfId="4626" priority="195">
      <formula>D42&gt;$AG42</formula>
    </cfRule>
  </conditionalFormatting>
  <conditionalFormatting sqref="D44:E50 F45:M50 N46:O50 P47:Q50 R48:S50">
    <cfRule type="expression" dxfId="4625" priority="191">
      <formula>D$9&gt;=20/24</formula>
    </cfRule>
    <cfRule type="expression" dxfId="4624" priority="192">
      <formula>AND(D$9&gt;=14/24,D$9&lt;20/24)</formula>
    </cfRule>
    <cfRule type="expression" dxfId="4623" priority="193">
      <formula>AND(D$9&gt;=8/24,D$9&lt;14/24)</formula>
    </cfRule>
    <cfRule type="expression" dxfId="4622" priority="194">
      <formula>D$9&lt;8/24</formula>
    </cfRule>
  </conditionalFormatting>
  <conditionalFormatting sqref="D44:E50 F45:M50 N46:O50 P47:Q50 R48:S50">
    <cfRule type="expression" dxfId="4621" priority="190">
      <formula>D44&gt;$AG44</formula>
    </cfRule>
  </conditionalFormatting>
  <conditionalFormatting sqref="C74:AF74 C82:AF82">
    <cfRule type="expression" dxfId="4620" priority="177">
      <formula>C$9&gt;=20/24</formula>
    </cfRule>
    <cfRule type="expression" dxfId="4619" priority="178">
      <formula>AND(C$9&gt;=14/24,C$9&lt;20/24)</formula>
    </cfRule>
    <cfRule type="expression" dxfId="4618" priority="179">
      <formula>AND(C$9&gt;=8/24,C$9&lt;14/24)</formula>
    </cfRule>
    <cfRule type="expression" dxfId="4617" priority="180">
      <formula>C$9&lt;8/24</formula>
    </cfRule>
  </conditionalFormatting>
  <conditionalFormatting sqref="C75:AF75 C73:AF73 C83:AF83">
    <cfRule type="expression" dxfId="4616" priority="155">
      <formula>C$9&gt;=20/24</formula>
    </cfRule>
    <cfRule type="expression" dxfId="4615" priority="156">
      <formula>AND(C$9&gt;=14/24,C$9&lt;20/24)</formula>
    </cfRule>
    <cfRule type="expression" dxfId="4614" priority="157">
      <formula>AND(C$9&gt;=8/24,C$9&lt;14/24)</formula>
    </cfRule>
    <cfRule type="expression" dxfId="4613" priority="158">
      <formula>C$9&lt;8/24</formula>
    </cfRule>
  </conditionalFormatting>
  <conditionalFormatting sqref="C38:AF38 C52:AF52">
    <cfRule type="expression" dxfId="4612" priority="146">
      <formula>C38&gt;$AG38</formula>
    </cfRule>
  </conditionalFormatting>
  <conditionalFormatting sqref="B68">
    <cfRule type="expression" dxfId="4611" priority="25">
      <formula>B$9&gt;=20/24</formula>
    </cfRule>
    <cfRule type="expression" dxfId="4610" priority="26">
      <formula>AND(B$9&gt;=14/24,B$9&lt;20/24)</formula>
    </cfRule>
    <cfRule type="expression" dxfId="4609" priority="27">
      <formula>AND(B$9&gt;=8/24,B$9&lt;14/24)</formula>
    </cfRule>
    <cfRule type="expression" dxfId="4608" priority="28">
      <formula>B$9&lt;8/24</formula>
    </cfRule>
  </conditionalFormatting>
  <conditionalFormatting sqref="AF23:AF25">
    <cfRule type="expression" dxfId="4607" priority="11">
      <formula>AF$9&gt;=20/24</formula>
    </cfRule>
    <cfRule type="expression" dxfId="4606" priority="12">
      <formula>AND(AF$9&gt;=14/24,AF$9&lt;20/24)</formula>
    </cfRule>
    <cfRule type="expression" dxfId="4605" priority="13">
      <formula>AND(AF$9&gt;=8/24,AF$9&lt;14/24)</formula>
    </cfRule>
    <cfRule type="expression" dxfId="4604" priority="14">
      <formula>AF$9&lt;8/24</formula>
    </cfRule>
  </conditionalFormatting>
  <conditionalFormatting sqref="AF23:AF26">
    <cfRule type="expression" dxfId="4603" priority="10">
      <formula>AF23&gt;$AG23</formula>
    </cfRule>
  </conditionalFormatting>
  <conditionalFormatting sqref="A33">
    <cfRule type="expression" dxfId="4602" priority="118">
      <formula>$AH33=0</formula>
    </cfRule>
  </conditionalFormatting>
  <conditionalFormatting sqref="C68:AF68">
    <cfRule type="expression" dxfId="4601" priority="114">
      <formula>C$9&gt;=20/24</formula>
    </cfRule>
    <cfRule type="expression" dxfId="4600" priority="115">
      <formula>AND(C$9&gt;=14/24,C$9&lt;20/24)</formula>
    </cfRule>
    <cfRule type="expression" dxfId="4599" priority="116">
      <formula>AND(C$9&gt;=8/24,C$9&lt;14/24)</formula>
    </cfRule>
    <cfRule type="expression" dxfId="4598" priority="117">
      <formula>C$9&lt;8/24</formula>
    </cfRule>
  </conditionalFormatting>
  <conditionalFormatting sqref="C76:AF80">
    <cfRule type="expression" dxfId="4597" priority="110">
      <formula>C$9&gt;=20/24</formula>
    </cfRule>
    <cfRule type="expression" dxfId="4596" priority="111">
      <formula>AND(C$9&gt;=14/24,C$9&lt;20/24)</formula>
    </cfRule>
    <cfRule type="expression" dxfId="4595" priority="112">
      <formula>AND(C$9&gt;=8/24,C$9&lt;14/24)</formula>
    </cfRule>
    <cfRule type="expression" dxfId="4594" priority="113">
      <formula>C$9&lt;8/24</formula>
    </cfRule>
  </conditionalFormatting>
  <conditionalFormatting sqref="AF27:AF35">
    <cfRule type="expression" dxfId="4593" priority="1">
      <formula>AF27&gt;$AG27</formula>
    </cfRule>
  </conditionalFormatting>
  <conditionalFormatting sqref="B94:B100 B11:F11">
    <cfRule type="expression" dxfId="4592" priority="106">
      <formula>B$9&gt;=20/24</formula>
    </cfRule>
    <cfRule type="expression" dxfId="4591" priority="107">
      <formula>AND(B$9&gt;=14/24,B$9&lt;20/24)</formula>
    </cfRule>
    <cfRule type="expression" dxfId="4590" priority="108">
      <formula>AND(B$9&gt;=8/24,B$9&lt;14/24)</formula>
    </cfRule>
    <cfRule type="expression" dxfId="4589" priority="109">
      <formula>B$9&lt;8/24</formula>
    </cfRule>
  </conditionalFormatting>
  <conditionalFormatting sqref="B37:E37">
    <cfRule type="expression" dxfId="4588" priority="102">
      <formula>B$9&gt;=20/24</formula>
    </cfRule>
    <cfRule type="expression" dxfId="4587" priority="103">
      <formula>AND(B$9&gt;=14/24,B$9&lt;20/24)</formula>
    </cfRule>
    <cfRule type="expression" dxfId="4586" priority="104">
      <formula>AND(B$9&gt;=8/24,B$9&lt;14/24)</formula>
    </cfRule>
    <cfRule type="expression" dxfId="4585" priority="105">
      <formula>B$9&lt;8/24</formula>
    </cfRule>
  </conditionalFormatting>
  <conditionalFormatting sqref="B37:E37 B11:F11">
    <cfRule type="expression" dxfId="4584" priority="101">
      <formula>B11&gt;$AG11</formula>
    </cfRule>
  </conditionalFormatting>
  <conditionalFormatting sqref="B84">
    <cfRule type="expression" dxfId="4583" priority="97">
      <formula>B$9&gt;=20/24</formula>
    </cfRule>
    <cfRule type="expression" dxfId="4582" priority="98">
      <formula>AND(B$9&gt;=14/24,B$9&lt;20/24)</formula>
    </cfRule>
    <cfRule type="expression" dxfId="4581" priority="99">
      <formula>AND(B$9&gt;=8/24,B$9&lt;14/24)</formula>
    </cfRule>
    <cfRule type="expression" dxfId="4580" priority="100">
      <formula>B$9&lt;8/24</formula>
    </cfRule>
  </conditionalFormatting>
  <conditionalFormatting sqref="B57 B40:C41">
    <cfRule type="expression" dxfId="4579" priority="93">
      <formula>B$9&gt;=20/24</formula>
    </cfRule>
    <cfRule type="expression" dxfId="4578" priority="94">
      <formula>AND(B$9&gt;=14/24,B$9&lt;20/24)</formula>
    </cfRule>
    <cfRule type="expression" dxfId="4577" priority="95">
      <formula>AND(B$9&gt;=8/24,B$9&lt;14/24)</formula>
    </cfRule>
    <cfRule type="expression" dxfId="4576" priority="96">
      <formula>B$9&lt;8/24</formula>
    </cfRule>
  </conditionalFormatting>
  <conditionalFormatting sqref="B39:C39">
    <cfRule type="expression" dxfId="4575" priority="89">
      <formula>B$9&gt;=20/24</formula>
    </cfRule>
    <cfRule type="expression" dxfId="4574" priority="90">
      <formula>AND(B$9&gt;=14/24,B$9&lt;20/24)</formula>
    </cfRule>
    <cfRule type="expression" dxfId="4573" priority="91">
      <formula>AND(B$9&gt;=8/24,B$9&lt;14/24)</formula>
    </cfRule>
    <cfRule type="expression" dxfId="4572" priority="92">
      <formula>B$9&lt;8/24</formula>
    </cfRule>
  </conditionalFormatting>
  <conditionalFormatting sqref="B39:C41">
    <cfRule type="expression" dxfId="4571" priority="88">
      <formula>B39&gt;$AG39</formula>
    </cfRule>
  </conditionalFormatting>
  <conditionalFormatting sqref="B81 B69:B72 B85:B91 B53:B56 B58:B67 B16:F16 B12:F14">
    <cfRule type="expression" dxfId="4570" priority="84">
      <formula>B$9&gt;=20/24</formula>
    </cfRule>
    <cfRule type="expression" dxfId="4569" priority="85">
      <formula>AND(B$9&gt;=14/24,B$9&lt;20/24)</formula>
    </cfRule>
    <cfRule type="expression" dxfId="4568" priority="86">
      <formula>AND(B$9&gt;=8/24,B$9&lt;14/24)</formula>
    </cfRule>
    <cfRule type="expression" dxfId="4567" priority="87">
      <formula>B$9&lt;8/24</formula>
    </cfRule>
  </conditionalFormatting>
  <conditionalFormatting sqref="B51 B53:B56 B42:C43 B12:F16">
    <cfRule type="expression" dxfId="4566" priority="83">
      <formula>B12&gt;$AG12</formula>
    </cfRule>
  </conditionalFormatting>
  <conditionalFormatting sqref="B15:F15">
    <cfRule type="expression" dxfId="4565" priority="79">
      <formula>B$9&gt;=20/24</formula>
    </cfRule>
    <cfRule type="expression" dxfId="4564" priority="80">
      <formula>AND(B$9&gt;=14/24,B$9&lt;20/24)</formula>
    </cfRule>
    <cfRule type="expression" dxfId="4563" priority="81">
      <formula>AND(B$9&gt;=8/24,B$9&lt;14/24)</formula>
    </cfRule>
    <cfRule type="expression" dxfId="4562" priority="82">
      <formula>B$9&lt;8/24</formula>
    </cfRule>
  </conditionalFormatting>
  <conditionalFormatting sqref="B44:C50">
    <cfRule type="expression" dxfId="4561" priority="75">
      <formula>B$9&gt;=20/24</formula>
    </cfRule>
    <cfRule type="expression" dxfId="4560" priority="76">
      <formula>AND(B$9&gt;=14/24,B$9&lt;20/24)</formula>
    </cfRule>
    <cfRule type="expression" dxfId="4559" priority="77">
      <formula>AND(B$9&gt;=8/24,B$9&lt;14/24)</formula>
    </cfRule>
    <cfRule type="expression" dxfId="4558" priority="78">
      <formula>B$9&lt;8/24</formula>
    </cfRule>
  </conditionalFormatting>
  <conditionalFormatting sqref="B44:C50">
    <cfRule type="expression" dxfId="4557" priority="74">
      <formula>B44&gt;$AG44</formula>
    </cfRule>
  </conditionalFormatting>
  <conditionalFormatting sqref="B17:F20 F34:F36">
    <cfRule type="expression" dxfId="4556" priority="70">
      <formula>B$9&gt;=20/24</formula>
    </cfRule>
    <cfRule type="expression" dxfId="4555" priority="71">
      <formula>AND(B$9&gt;=14/24,B$9&lt;20/24)</formula>
    </cfRule>
    <cfRule type="expression" dxfId="4554" priority="72">
      <formula>AND(B$9&gt;=8/24,B$9&lt;14/24)</formula>
    </cfRule>
    <cfRule type="expression" dxfId="4553" priority="73">
      <formula>B$9&lt;8/24</formula>
    </cfRule>
  </conditionalFormatting>
  <conditionalFormatting sqref="B17:F20">
    <cfRule type="expression" dxfId="4552" priority="69">
      <formula>B17&gt;$AG17</formula>
    </cfRule>
  </conditionalFormatting>
  <conditionalFormatting sqref="B74 B82">
    <cfRule type="expression" dxfId="4551" priority="65">
      <formula>B$9&gt;=20/24</formula>
    </cfRule>
    <cfRule type="expression" dxfId="4550" priority="66">
      <formula>AND(B$9&gt;=14/24,B$9&lt;20/24)</formula>
    </cfRule>
    <cfRule type="expression" dxfId="4549" priority="67">
      <formula>AND(B$9&gt;=8/24,B$9&lt;14/24)</formula>
    </cfRule>
    <cfRule type="expression" dxfId="4548" priority="68">
      <formula>B$9&lt;8/24</formula>
    </cfRule>
  </conditionalFormatting>
  <conditionalFormatting sqref="B36:E36">
    <cfRule type="expression" dxfId="4547" priority="61">
      <formula>B$9&gt;=20/24</formula>
    </cfRule>
    <cfRule type="expression" dxfId="4546" priority="62">
      <formula>AND(B$9&gt;=14/24,B$9&lt;20/24)</formula>
    </cfRule>
    <cfRule type="expression" dxfId="4545" priority="63">
      <formula>AND(B$9&gt;=8/24,B$9&lt;14/24)</formula>
    </cfRule>
    <cfRule type="expression" dxfId="4544" priority="64">
      <formula>B$9&lt;8/24</formula>
    </cfRule>
  </conditionalFormatting>
  <conditionalFormatting sqref="B36:E36">
    <cfRule type="expression" dxfId="4543" priority="60">
      <formula>B36&gt;$AG36</formula>
    </cfRule>
  </conditionalFormatting>
  <conditionalFormatting sqref="B75 B73 B83 B21:F22 B28:F31 B24:F26">
    <cfRule type="expression" dxfId="4542" priority="56">
      <formula>B$9&gt;=20/24</formula>
    </cfRule>
    <cfRule type="expression" dxfId="4541" priority="57">
      <formula>AND(B$9&gt;=14/24,B$9&lt;20/24)</formula>
    </cfRule>
    <cfRule type="expression" dxfId="4540" priority="58">
      <formula>AND(B$9&gt;=8/24,B$9&lt;14/24)</formula>
    </cfRule>
    <cfRule type="expression" dxfId="4539" priority="59">
      <formula>B$9&lt;8/24</formula>
    </cfRule>
  </conditionalFormatting>
  <conditionalFormatting sqref="B32:F32">
    <cfRule type="expression" dxfId="4538" priority="52">
      <formula>B$9&gt;=20/24</formula>
    </cfRule>
    <cfRule type="expression" dxfId="4537" priority="53">
      <formula>AND(B$9&gt;=14/24,B$9&lt;20/24)</formula>
    </cfRule>
    <cfRule type="expression" dxfId="4536" priority="54">
      <formula>AND(B$9&gt;=8/24,B$9&lt;14/24)</formula>
    </cfRule>
    <cfRule type="expression" dxfId="4535" priority="55">
      <formula>B$9&lt;8/24</formula>
    </cfRule>
  </conditionalFormatting>
  <conditionalFormatting sqref="B35:E35">
    <cfRule type="expression" dxfId="4534" priority="48">
      <formula>B$9&gt;=20/24</formula>
    </cfRule>
    <cfRule type="expression" dxfId="4533" priority="49">
      <formula>AND(B$9&gt;=14/24,B$9&lt;20/24)</formula>
    </cfRule>
    <cfRule type="expression" dxfId="4532" priority="50">
      <formula>AND(B$9&gt;=8/24,B$9&lt;14/24)</formula>
    </cfRule>
    <cfRule type="expression" dxfId="4531" priority="51">
      <formula>B$9&lt;8/24</formula>
    </cfRule>
  </conditionalFormatting>
  <conditionalFormatting sqref="B38 B52 B34:E35 B21:F22 B24:F32">
    <cfRule type="expression" dxfId="4530" priority="47">
      <formula>B21&gt;$AG21</formula>
    </cfRule>
  </conditionalFormatting>
  <conditionalFormatting sqref="B34:E34">
    <cfRule type="expression" dxfId="4529" priority="43">
      <formula>B$9&gt;=20/24</formula>
    </cfRule>
    <cfRule type="expression" dxfId="4528" priority="44">
      <formula>AND(B$9&gt;=14/24,B$9&lt;20/24)</formula>
    </cfRule>
    <cfRule type="expression" dxfId="4527" priority="45">
      <formula>AND(B$9&gt;=8/24,B$9&lt;14/24)</formula>
    </cfRule>
    <cfRule type="expression" dxfId="4526" priority="46">
      <formula>B$9&lt;8/24</formula>
    </cfRule>
  </conditionalFormatting>
  <conditionalFormatting sqref="B33:F33">
    <cfRule type="expression" dxfId="4525" priority="39">
      <formula>B$9&gt;=20/24</formula>
    </cfRule>
    <cfRule type="expression" dxfId="4524" priority="40">
      <formula>AND(B$9&gt;=14/24,B$9&lt;20/24)</formula>
    </cfRule>
    <cfRule type="expression" dxfId="4523" priority="41">
      <formula>AND(B$9&gt;=8/24,B$9&lt;14/24)</formula>
    </cfRule>
    <cfRule type="expression" dxfId="4522" priority="42">
      <formula>B$9&lt;8/24</formula>
    </cfRule>
  </conditionalFormatting>
  <conditionalFormatting sqref="B33:F33">
    <cfRule type="expression" dxfId="4521" priority="38">
      <formula>B33&gt;$AG33</formula>
    </cfRule>
  </conditionalFormatting>
  <conditionalFormatting sqref="B27:F27">
    <cfRule type="expression" dxfId="4520" priority="34">
      <formula>B$9&gt;=20/24</formula>
    </cfRule>
    <cfRule type="expression" dxfId="4519" priority="35">
      <formula>AND(B$9&gt;=14/24,B$9&lt;20/24)</formula>
    </cfRule>
    <cfRule type="expression" dxfId="4518" priority="36">
      <formula>AND(B$9&gt;=8/24,B$9&lt;14/24)</formula>
    </cfRule>
    <cfRule type="expression" dxfId="4517" priority="37">
      <formula>B$9&lt;8/24</formula>
    </cfRule>
  </conditionalFormatting>
  <conditionalFormatting sqref="B23:F23">
    <cfRule type="expression" dxfId="4516" priority="30">
      <formula>B$9&gt;=20/24</formula>
    </cfRule>
    <cfRule type="expression" dxfId="4515" priority="31">
      <formula>AND(B$9&gt;=14/24,B$9&lt;20/24)</formula>
    </cfRule>
    <cfRule type="expression" dxfId="4514" priority="32">
      <formula>AND(B$9&gt;=8/24,B$9&lt;14/24)</formula>
    </cfRule>
    <cfRule type="expression" dxfId="4513" priority="33">
      <formula>B$9&lt;8/24</formula>
    </cfRule>
  </conditionalFormatting>
  <conditionalFormatting sqref="B23:F23">
    <cfRule type="expression" dxfId="4512" priority="29">
      <formula>B23&gt;$AG23</formula>
    </cfRule>
  </conditionalFormatting>
  <conditionalFormatting sqref="B76:B80">
    <cfRule type="expression" dxfId="4511" priority="21">
      <formula>B$9&gt;=20/24</formula>
    </cfRule>
    <cfRule type="expression" dxfId="4510" priority="22">
      <formula>AND(B$9&gt;=14/24,B$9&lt;20/24)</formula>
    </cfRule>
    <cfRule type="expression" dxfId="4509" priority="23">
      <formula>AND(B$9&gt;=8/24,B$9&lt;14/24)</formula>
    </cfRule>
    <cfRule type="expression" dxfId="4508" priority="24">
      <formula>B$9&lt;8/24</formula>
    </cfRule>
  </conditionalFormatting>
  <conditionalFormatting sqref="A100">
    <cfRule type="expression" dxfId="4507" priority="20">
      <formula>$AH100=0</formula>
    </cfRule>
  </conditionalFormatting>
  <conditionalFormatting sqref="AF22">
    <cfRule type="expression" dxfId="4506" priority="16">
      <formula>AF$9&gt;=20/24</formula>
    </cfRule>
    <cfRule type="expression" dxfId="4505" priority="17">
      <formula>AND(AF$9&gt;=14/24,AF$9&lt;20/24)</formula>
    </cfRule>
    <cfRule type="expression" dxfId="4504" priority="18">
      <formula>AND(AF$9&gt;=8/24,AF$9&lt;14/24)</formula>
    </cfRule>
    <cfRule type="expression" dxfId="4503" priority="19">
      <formula>AF$9&lt;8/24</formula>
    </cfRule>
  </conditionalFormatting>
  <conditionalFormatting sqref="AF22">
    <cfRule type="expression" dxfId="4502" priority="15">
      <formula>AF22&gt;$AG22</formula>
    </cfRule>
  </conditionalFormatting>
  <conditionalFormatting sqref="AF26">
    <cfRule type="expression" dxfId="4501" priority="6">
      <formula>AF$9&gt;=20/24</formula>
    </cfRule>
    <cfRule type="expression" dxfId="4500" priority="7">
      <formula>AND(AF$9&gt;=14/24,AF$9&lt;20/24)</formula>
    </cfRule>
    <cfRule type="expression" dxfId="4499" priority="8">
      <formula>AND(AF$9&gt;=8/24,AF$9&lt;14/24)</formula>
    </cfRule>
    <cfRule type="expression" dxfId="4498" priority="9">
      <formula>AF$9&lt;8/24</formula>
    </cfRule>
  </conditionalFormatting>
  <conditionalFormatting sqref="AF27:AF35">
    <cfRule type="expression" dxfId="4497" priority="2">
      <formula>AF$9&gt;=20/24</formula>
    </cfRule>
    <cfRule type="expression" dxfId="4496" priority="3">
      <formula>AND(AF$9&gt;=14/24,AF$9&lt;20/24)</formula>
    </cfRule>
    <cfRule type="expression" dxfId="4495" priority="4">
      <formula>AND(AF$9&gt;=8/24,AF$9&lt;14/24)</formula>
    </cfRule>
    <cfRule type="expression" dxfId="4494" priority="5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1" activePane="bottomRight" state="frozen"/>
      <selection activeCell="AF88" sqref="AF88"/>
      <selection pane="topRight" activeCell="AF88" sqref="AF88"/>
      <selection pane="bottomLeft" activeCell="AF88" sqref="AF88"/>
      <selection pane="bottomRight" activeCell="S26" sqref="S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2079/02/12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75.67</v>
      </c>
      <c r="C5" s="32">
        <f t="shared" si="0"/>
        <v>72</v>
      </c>
      <c r="D5" s="32">
        <f t="shared" si="0"/>
        <v>63.55</v>
      </c>
      <c r="E5" s="32">
        <f t="shared" si="0"/>
        <v>62.5</v>
      </c>
      <c r="F5" s="32">
        <f t="shared" si="0"/>
        <v>59</v>
      </c>
      <c r="G5" s="32">
        <f t="shared" si="0"/>
        <v>77.5</v>
      </c>
      <c r="H5" s="32">
        <f t="shared" si="0"/>
        <v>77.8</v>
      </c>
      <c r="I5" s="32">
        <f t="shared" si="0"/>
        <v>72</v>
      </c>
      <c r="J5" s="32">
        <f t="shared" si="0"/>
        <v>80.8</v>
      </c>
      <c r="K5" s="32">
        <f t="shared" si="0"/>
        <v>76.099999999999994</v>
      </c>
      <c r="L5" s="32">
        <f t="shared" si="0"/>
        <v>70.2</v>
      </c>
      <c r="M5" s="32">
        <f t="shared" si="0"/>
        <v>92.2</v>
      </c>
      <c r="N5" s="32">
        <f t="shared" si="0"/>
        <v>101.5</v>
      </c>
      <c r="O5" s="32">
        <f t="shared" si="0"/>
        <v>68.099999999999994</v>
      </c>
      <c r="P5" s="32">
        <f t="shared" si="0"/>
        <v>110.69999999999999</v>
      </c>
      <c r="Q5" s="32">
        <f t="shared" si="0"/>
        <v>110.8</v>
      </c>
      <c r="R5" s="32">
        <f t="shared" si="0"/>
        <v>106</v>
      </c>
      <c r="S5" s="32">
        <f t="shared" si="0"/>
        <v>108.9</v>
      </c>
      <c r="T5" s="32">
        <f t="shared" si="0"/>
        <v>112.3</v>
      </c>
      <c r="U5" s="32">
        <f t="shared" si="0"/>
        <v>107.7</v>
      </c>
      <c r="V5" s="32">
        <f t="shared" si="0"/>
        <v>103</v>
      </c>
      <c r="W5" s="32">
        <f t="shared" si="0"/>
        <v>97.8</v>
      </c>
      <c r="X5" s="32">
        <f t="shared" si="0"/>
        <v>97.8</v>
      </c>
      <c r="Y5" s="32">
        <f t="shared" si="0"/>
        <v>80</v>
      </c>
      <c r="Z5" s="32">
        <f t="shared" si="0"/>
        <v>80</v>
      </c>
      <c r="AA5" s="32">
        <f t="shared" si="0"/>
        <v>96.3</v>
      </c>
      <c r="AB5" s="32">
        <f t="shared" si="0"/>
        <v>94.2</v>
      </c>
      <c r="AC5" s="32">
        <f t="shared" si="0"/>
        <v>96</v>
      </c>
      <c r="AD5" s="32">
        <f t="shared" si="0"/>
        <v>95</v>
      </c>
      <c r="AE5" s="32">
        <f t="shared" si="0"/>
        <v>99</v>
      </c>
      <c r="AF5" s="32">
        <f>B68</f>
        <v>79.8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1680MW at 5:30hr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Load=1397</v>
      </c>
      <c r="B7" s="37">
        <f>B75</f>
        <v>1635.24</v>
      </c>
      <c r="C7" s="37">
        <f t="shared" ref="C7:AF7" si="1">C75</f>
        <v>1695.91</v>
      </c>
      <c r="D7" s="37">
        <f t="shared" si="1"/>
        <v>1633.8400000000001</v>
      </c>
      <c r="E7" s="37">
        <f t="shared" si="1"/>
        <v>1639.49</v>
      </c>
      <c r="F7" s="37">
        <f t="shared" si="1"/>
        <v>1573.44</v>
      </c>
      <c r="G7" s="37">
        <f t="shared" si="1"/>
        <v>1653.9400000000003</v>
      </c>
      <c r="H7" s="37">
        <f t="shared" si="1"/>
        <v>1680.14</v>
      </c>
      <c r="I7" s="37">
        <f t="shared" si="1"/>
        <v>1641.94</v>
      </c>
      <c r="J7" s="37">
        <f t="shared" si="1"/>
        <v>1621.44</v>
      </c>
      <c r="K7" s="37">
        <f t="shared" si="1"/>
        <v>1583.8400000000001</v>
      </c>
      <c r="L7" s="37">
        <f t="shared" si="1"/>
        <v>1589.04</v>
      </c>
      <c r="M7" s="37">
        <f t="shared" si="1"/>
        <v>1609.44</v>
      </c>
      <c r="N7" s="37">
        <f t="shared" si="1"/>
        <v>1626.0400000000002</v>
      </c>
      <c r="O7" s="37">
        <f t="shared" si="1"/>
        <v>1397.04</v>
      </c>
      <c r="P7" s="37">
        <f t="shared" si="1"/>
        <v>1458.04</v>
      </c>
      <c r="Q7" s="37">
        <f t="shared" si="1"/>
        <v>1495.64</v>
      </c>
      <c r="R7" s="37">
        <f t="shared" si="1"/>
        <v>1456.64</v>
      </c>
      <c r="S7" s="37">
        <f t="shared" si="1"/>
        <v>1609.54</v>
      </c>
      <c r="T7" s="37">
        <f t="shared" si="1"/>
        <v>1707.2400000000002</v>
      </c>
      <c r="U7" s="37">
        <f t="shared" si="1"/>
        <v>1722.54</v>
      </c>
      <c r="V7" s="37">
        <f t="shared" si="1"/>
        <v>1717.94</v>
      </c>
      <c r="W7" s="37">
        <f t="shared" si="1"/>
        <v>1706.24</v>
      </c>
      <c r="X7" s="37">
        <f t="shared" si="1"/>
        <v>1701.14</v>
      </c>
      <c r="Y7" s="37">
        <f t="shared" si="1"/>
        <v>1701.14</v>
      </c>
      <c r="Z7" s="37">
        <f t="shared" si="1"/>
        <v>1683.3400000000001</v>
      </c>
      <c r="AA7" s="37">
        <f t="shared" si="1"/>
        <v>1676.1400000000003</v>
      </c>
      <c r="AB7" s="37">
        <f t="shared" si="1"/>
        <v>1700.84</v>
      </c>
      <c r="AC7" s="37">
        <f t="shared" si="1"/>
        <v>1699.24</v>
      </c>
      <c r="AD7" s="37">
        <f t="shared" si="1"/>
        <v>1710.8400000000001</v>
      </c>
      <c r="AE7" s="37">
        <f t="shared" si="1"/>
        <v>1694.8400000000001</v>
      </c>
      <c r="AF7" s="37">
        <f t="shared" si="1"/>
        <v>1711.44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49">
        <v>456</v>
      </c>
      <c r="G11" s="49">
        <v>456</v>
      </c>
      <c r="H11" s="49">
        <v>456</v>
      </c>
      <c r="I11" s="49">
        <v>456</v>
      </c>
      <c r="J11" s="49">
        <v>456</v>
      </c>
      <c r="K11" s="49">
        <v>456</v>
      </c>
      <c r="L11" s="49">
        <v>456</v>
      </c>
      <c r="M11" s="51">
        <v>456</v>
      </c>
      <c r="N11" s="51">
        <v>456</v>
      </c>
      <c r="O11" s="51">
        <v>228</v>
      </c>
      <c r="P11" s="51">
        <v>228</v>
      </c>
      <c r="Q11" s="51">
        <v>228</v>
      </c>
      <c r="R11" s="51">
        <v>228</v>
      </c>
      <c r="S11" s="51">
        <v>380</v>
      </c>
      <c r="T11" s="53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228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53.7</v>
      </c>
      <c r="C13" s="51">
        <v>53.7</v>
      </c>
      <c r="D13" s="51">
        <v>53.7</v>
      </c>
      <c r="E13" s="51">
        <v>53.7</v>
      </c>
      <c r="F13" s="51">
        <v>53.7</v>
      </c>
      <c r="G13" s="51">
        <v>53.7</v>
      </c>
      <c r="H13" s="51">
        <v>53.7</v>
      </c>
      <c r="I13" s="51">
        <v>53.7</v>
      </c>
      <c r="J13" s="51">
        <v>53.7</v>
      </c>
      <c r="K13" s="51">
        <v>53.7</v>
      </c>
      <c r="L13" s="51">
        <v>53.7</v>
      </c>
      <c r="M13" s="51">
        <v>53.5</v>
      </c>
      <c r="N13" s="51">
        <v>53.5</v>
      </c>
      <c r="O13" s="51">
        <v>53.5</v>
      </c>
      <c r="P13" s="51">
        <v>53.5</v>
      </c>
      <c r="Q13" s="51">
        <v>53.5</v>
      </c>
      <c r="R13" s="51">
        <v>53.4</v>
      </c>
      <c r="S13" s="51">
        <v>53.4</v>
      </c>
      <c r="T13" s="51">
        <v>53.4</v>
      </c>
      <c r="U13" s="51">
        <v>53.4</v>
      </c>
      <c r="V13" s="51">
        <v>53.4</v>
      </c>
      <c r="W13" s="51">
        <v>53.4</v>
      </c>
      <c r="X13" s="51">
        <v>53.4</v>
      </c>
      <c r="Y13" s="51">
        <v>53.4</v>
      </c>
      <c r="Z13" s="51">
        <v>53.4</v>
      </c>
      <c r="AA13" s="51">
        <v>53.4</v>
      </c>
      <c r="AB13" s="51">
        <v>53.4</v>
      </c>
      <c r="AC13" s="51">
        <v>53.4</v>
      </c>
      <c r="AD13" s="51">
        <v>53.4</v>
      </c>
      <c r="AE13" s="51">
        <v>53.4</v>
      </c>
      <c r="AF13" s="51">
        <v>53.4</v>
      </c>
      <c r="AG13" s="59">
        <v>52.4</v>
      </c>
      <c r="AH13" s="55">
        <f t="shared" si="2"/>
        <v>53.7</v>
      </c>
      <c r="AI13" s="56">
        <f t="shared" si="3"/>
        <v>53.4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50.4</v>
      </c>
      <c r="C14" s="51">
        <v>50.4</v>
      </c>
      <c r="D14" s="51">
        <v>50.4</v>
      </c>
      <c r="E14" s="51">
        <v>50.4</v>
      </c>
      <c r="F14" s="51">
        <v>0</v>
      </c>
      <c r="G14" s="51">
        <v>50.1</v>
      </c>
      <c r="H14" s="51">
        <v>50.1</v>
      </c>
      <c r="I14" s="51">
        <v>50.1</v>
      </c>
      <c r="J14" s="51">
        <v>50.1</v>
      </c>
      <c r="K14" s="51">
        <v>50.1</v>
      </c>
      <c r="L14" s="51">
        <v>50.1</v>
      </c>
      <c r="M14" s="51">
        <v>50.2</v>
      </c>
      <c r="N14" s="51">
        <v>50.2</v>
      </c>
      <c r="O14" s="51">
        <v>50.2</v>
      </c>
      <c r="P14" s="51">
        <v>50.2</v>
      </c>
      <c r="Q14" s="51">
        <v>50.2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50.3</v>
      </c>
      <c r="AC14" s="51">
        <v>50.3</v>
      </c>
      <c r="AD14" s="51">
        <v>50.3</v>
      </c>
      <c r="AE14" s="51">
        <v>50.3</v>
      </c>
      <c r="AF14" s="51">
        <v>50.3</v>
      </c>
      <c r="AG14" s="59">
        <v>50</v>
      </c>
      <c r="AH14" s="55">
        <f t="shared" si="2"/>
        <v>50.4</v>
      </c>
      <c r="AI14" s="56">
        <f t="shared" si="3"/>
        <v>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45.2</v>
      </c>
      <c r="C15" s="51">
        <v>45.2</v>
      </c>
      <c r="D15" s="51">
        <v>0</v>
      </c>
      <c r="E15" s="51">
        <v>0</v>
      </c>
      <c r="F15" s="51">
        <v>0</v>
      </c>
      <c r="G15" s="51">
        <v>43.1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45.8</v>
      </c>
      <c r="P15" s="51">
        <v>45.8</v>
      </c>
      <c r="Q15" s="51">
        <v>45.3</v>
      </c>
      <c r="R15" s="51">
        <v>45.7</v>
      </c>
      <c r="S15" s="51">
        <v>45.7</v>
      </c>
      <c r="T15" s="51">
        <v>45.7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60">
        <v>45</v>
      </c>
      <c r="AH15" s="55">
        <f t="shared" si="2"/>
        <v>45.8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28</v>
      </c>
      <c r="D16" s="51">
        <v>30</v>
      </c>
      <c r="E16" s="51">
        <v>40</v>
      </c>
      <c r="F16" s="51">
        <v>40</v>
      </c>
      <c r="G16" s="51">
        <v>40</v>
      </c>
      <c r="H16" s="51">
        <v>40</v>
      </c>
      <c r="I16" s="51">
        <v>40</v>
      </c>
      <c r="J16" s="51">
        <v>28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24</v>
      </c>
      <c r="S16" s="51">
        <v>24</v>
      </c>
      <c r="T16" s="51">
        <v>24</v>
      </c>
      <c r="U16" s="51">
        <v>24</v>
      </c>
      <c r="V16" s="51">
        <v>24</v>
      </c>
      <c r="W16" s="51">
        <v>24</v>
      </c>
      <c r="X16" s="51">
        <v>24</v>
      </c>
      <c r="Y16" s="51">
        <v>24</v>
      </c>
      <c r="Z16" s="51">
        <v>24</v>
      </c>
      <c r="AA16" s="51">
        <v>24</v>
      </c>
      <c r="AB16" s="51">
        <v>24</v>
      </c>
      <c r="AC16" s="51">
        <v>24</v>
      </c>
      <c r="AD16" s="51">
        <v>24</v>
      </c>
      <c r="AE16" s="51">
        <v>28</v>
      </c>
      <c r="AF16" s="51">
        <v>28</v>
      </c>
      <c r="AG16" s="59">
        <v>45</v>
      </c>
      <c r="AH16" s="55">
        <f t="shared" si="2"/>
        <v>40</v>
      </c>
      <c r="AI16" s="56">
        <f t="shared" si="3"/>
        <v>24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23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23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</v>
      </c>
      <c r="C19" s="51">
        <v>26</v>
      </c>
      <c r="D19" s="51">
        <v>26</v>
      </c>
      <c r="E19" s="51">
        <v>26</v>
      </c>
      <c r="F19" s="51">
        <v>26</v>
      </c>
      <c r="G19" s="51">
        <v>26</v>
      </c>
      <c r="H19" s="51">
        <v>26</v>
      </c>
      <c r="I19" s="51">
        <v>0</v>
      </c>
      <c r="J19" s="51">
        <v>0</v>
      </c>
      <c r="K19" s="51">
        <v>0</v>
      </c>
      <c r="L19" s="51">
        <v>0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19</v>
      </c>
      <c r="AB19" s="51">
        <v>19</v>
      </c>
      <c r="AC19" s="51">
        <v>19</v>
      </c>
      <c r="AD19" s="51">
        <v>19</v>
      </c>
      <c r="AE19" s="51">
        <v>0</v>
      </c>
      <c r="AF19" s="51">
        <v>25</v>
      </c>
      <c r="AG19" s="59">
        <v>30</v>
      </c>
      <c r="AH19" s="55">
        <f t="shared" si="2"/>
        <v>26.2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5</v>
      </c>
      <c r="C20" s="51">
        <v>5</v>
      </c>
      <c r="D20" s="51">
        <v>5</v>
      </c>
      <c r="E20" s="51">
        <v>5</v>
      </c>
      <c r="F20" s="51">
        <v>5</v>
      </c>
      <c r="G20" s="51">
        <v>5</v>
      </c>
      <c r="H20" s="51">
        <v>5</v>
      </c>
      <c r="I20" s="51">
        <v>5</v>
      </c>
      <c r="J20" s="51">
        <v>5</v>
      </c>
      <c r="K20" s="51">
        <v>5</v>
      </c>
      <c r="L20" s="51">
        <v>5</v>
      </c>
      <c r="M20" s="51">
        <v>5</v>
      </c>
      <c r="N20" s="51">
        <v>5</v>
      </c>
      <c r="O20" s="51">
        <v>5</v>
      </c>
      <c r="P20" s="51">
        <v>5</v>
      </c>
      <c r="Q20" s="51">
        <v>5</v>
      </c>
      <c r="R20" s="51">
        <v>5</v>
      </c>
      <c r="S20" s="51">
        <v>5</v>
      </c>
      <c r="T20" s="51">
        <v>5</v>
      </c>
      <c r="U20" s="51">
        <v>5</v>
      </c>
      <c r="V20" s="51">
        <v>5</v>
      </c>
      <c r="W20" s="51">
        <v>5</v>
      </c>
      <c r="X20" s="51">
        <v>5</v>
      </c>
      <c r="Y20" s="51">
        <v>5</v>
      </c>
      <c r="Z20" s="51">
        <v>5</v>
      </c>
      <c r="AA20" s="51">
        <v>5</v>
      </c>
      <c r="AB20" s="51">
        <v>5</v>
      </c>
      <c r="AC20" s="51">
        <v>5</v>
      </c>
      <c r="AD20" s="51">
        <v>5</v>
      </c>
      <c r="AE20" s="51">
        <v>5</v>
      </c>
      <c r="AF20" s="51">
        <v>5</v>
      </c>
      <c r="AG20" s="59">
        <v>27</v>
      </c>
      <c r="AH20" s="55">
        <f t="shared" si="2"/>
        <v>5</v>
      </c>
      <c r="AI20" s="56">
        <f t="shared" si="3"/>
        <v>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25.2</v>
      </c>
      <c r="C22" s="51">
        <v>25.2</v>
      </c>
      <c r="D22" s="51">
        <v>25.2</v>
      </c>
      <c r="E22" s="51">
        <v>25.2</v>
      </c>
      <c r="F22" s="51">
        <v>25.2</v>
      </c>
      <c r="G22" s="51">
        <v>25.2</v>
      </c>
      <c r="H22" s="51">
        <v>25.2</v>
      </c>
      <c r="I22" s="51">
        <v>25.2</v>
      </c>
      <c r="J22" s="51">
        <v>25.2</v>
      </c>
      <c r="K22" s="51">
        <v>25.2</v>
      </c>
      <c r="L22" s="51">
        <v>25.2</v>
      </c>
      <c r="M22" s="51">
        <v>24.4</v>
      </c>
      <c r="N22" s="51">
        <v>24.4</v>
      </c>
      <c r="O22" s="51">
        <v>24.4</v>
      </c>
      <c r="P22" s="51">
        <v>18.7</v>
      </c>
      <c r="Q22" s="51">
        <v>18.7</v>
      </c>
      <c r="R22" s="51">
        <v>18.7</v>
      </c>
      <c r="S22" s="51">
        <v>18.7</v>
      </c>
      <c r="T22" s="51">
        <v>18.7</v>
      </c>
      <c r="U22" s="51">
        <v>18.7</v>
      </c>
      <c r="V22" s="51">
        <v>18.7</v>
      </c>
      <c r="W22" s="51">
        <v>18.7</v>
      </c>
      <c r="X22" s="51">
        <v>18.7</v>
      </c>
      <c r="Y22" s="51">
        <v>18.7</v>
      </c>
      <c r="Z22" s="51">
        <v>18.7</v>
      </c>
      <c r="AA22" s="51">
        <v>18.7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25.2</v>
      </c>
      <c r="AI22" s="56">
        <f t="shared" si="3"/>
        <v>18.7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0</v>
      </c>
      <c r="C24" s="51">
        <v>0</v>
      </c>
      <c r="D24" s="51">
        <v>0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9">
        <v>24.2</v>
      </c>
      <c r="AH25" s="55">
        <f t="shared" si="2"/>
        <v>20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4.5</v>
      </c>
      <c r="O26" s="51">
        <v>10</v>
      </c>
      <c r="P26" s="51">
        <v>10</v>
      </c>
      <c r="Q26" s="51">
        <v>10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>
        <v>14.9</v>
      </c>
      <c r="E27" s="51">
        <v>14.9</v>
      </c>
      <c r="F27" s="51">
        <v>14.9</v>
      </c>
      <c r="G27" s="51">
        <v>14.9</v>
      </c>
      <c r="H27" s="51">
        <v>14.9</v>
      </c>
      <c r="I27" s="51">
        <v>14.9</v>
      </c>
      <c r="J27" s="51">
        <v>14.9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14.9</v>
      </c>
      <c r="R27" s="51">
        <v>14.9</v>
      </c>
      <c r="S27" s="51">
        <v>14.9</v>
      </c>
      <c r="T27" s="51">
        <v>14.9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>
        <v>14.9</v>
      </c>
      <c r="AG27" s="59">
        <v>23.5</v>
      </c>
      <c r="AH27" s="55">
        <f t="shared" si="2"/>
        <v>14.9</v>
      </c>
      <c r="AI27" s="56">
        <f t="shared" si="3"/>
        <v>14.9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9">
        <v>22.2</v>
      </c>
      <c r="AH28" s="55">
        <f t="shared" si="2"/>
        <v>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10</v>
      </c>
      <c r="C30" s="51">
        <v>10</v>
      </c>
      <c r="D30" s="51">
        <v>10</v>
      </c>
      <c r="E30" s="51">
        <v>10</v>
      </c>
      <c r="F30" s="51">
        <v>10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9">
        <v>22.1</v>
      </c>
      <c r="AH30" s="55">
        <f t="shared" si="2"/>
        <v>10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8</v>
      </c>
      <c r="C32" s="51">
        <v>8</v>
      </c>
      <c r="D32" s="51">
        <v>8</v>
      </c>
      <c r="E32" s="51">
        <v>8</v>
      </c>
      <c r="F32" s="51">
        <v>8</v>
      </c>
      <c r="G32" s="51">
        <v>8</v>
      </c>
      <c r="H32" s="51">
        <v>8</v>
      </c>
      <c r="I32" s="51">
        <v>8</v>
      </c>
      <c r="J32" s="51">
        <v>8</v>
      </c>
      <c r="K32" s="51">
        <v>8</v>
      </c>
      <c r="L32" s="51">
        <v>8</v>
      </c>
      <c r="M32" s="51">
        <v>8</v>
      </c>
      <c r="N32" s="51">
        <v>8</v>
      </c>
      <c r="O32" s="51">
        <v>8</v>
      </c>
      <c r="P32" s="51">
        <v>8</v>
      </c>
      <c r="Q32" s="51">
        <v>8</v>
      </c>
      <c r="R32" s="51">
        <v>8</v>
      </c>
      <c r="S32" s="51">
        <v>8</v>
      </c>
      <c r="T32" s="51">
        <v>8</v>
      </c>
      <c r="U32" s="51">
        <v>8</v>
      </c>
      <c r="V32" s="51">
        <v>8</v>
      </c>
      <c r="W32" s="51">
        <v>8</v>
      </c>
      <c r="X32" s="51">
        <v>8</v>
      </c>
      <c r="Y32" s="51">
        <v>8</v>
      </c>
      <c r="Z32" s="51">
        <v>8</v>
      </c>
      <c r="AA32" s="51">
        <v>8</v>
      </c>
      <c r="AB32" s="51">
        <v>8</v>
      </c>
      <c r="AC32" s="51">
        <v>8</v>
      </c>
      <c r="AD32" s="51">
        <v>8</v>
      </c>
      <c r="AE32" s="51">
        <v>8</v>
      </c>
      <c r="AF32" s="51">
        <v>8</v>
      </c>
      <c r="AG32" s="64">
        <v>22</v>
      </c>
      <c r="AH32" s="55">
        <f t="shared" si="2"/>
        <v>8</v>
      </c>
      <c r="AI32" s="56">
        <f t="shared" si="3"/>
        <v>8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8.4</v>
      </c>
      <c r="C34" s="51">
        <v>8.4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4">
        <v>20</v>
      </c>
      <c r="AH34" s="55">
        <f t="shared" si="2"/>
        <v>9</v>
      </c>
      <c r="AI34" s="56">
        <f t="shared" si="3"/>
        <v>8.4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137.1</v>
      </c>
      <c r="C37" s="68">
        <v>137.1</v>
      </c>
      <c r="D37" s="68">
        <v>137.1</v>
      </c>
      <c r="E37" s="66">
        <f>43.7+97.8</f>
        <v>141.5</v>
      </c>
      <c r="F37" s="66">
        <f>43.7+98.1</f>
        <v>141.80000000000001</v>
      </c>
      <c r="G37" s="66">
        <f>43.5+97.9</f>
        <v>141.4</v>
      </c>
      <c r="H37" s="66">
        <f>43.1+97</f>
        <v>140.1</v>
      </c>
      <c r="I37" s="66">
        <f>43+96.7</f>
        <v>139.69999999999999</v>
      </c>
      <c r="J37" s="66">
        <f>43+96.2</f>
        <v>139.19999999999999</v>
      </c>
      <c r="K37" s="66">
        <f>41+88.9</f>
        <v>129.9</v>
      </c>
      <c r="L37" s="66">
        <f>41.4+90.8</f>
        <v>132.19999999999999</v>
      </c>
      <c r="M37" s="66">
        <f>94.6+42.3</f>
        <v>136.89999999999998</v>
      </c>
      <c r="N37" s="66">
        <f>93.3+42.1</f>
        <v>135.4</v>
      </c>
      <c r="O37" s="66">
        <f>91.1+41.3</f>
        <v>132.39999999999998</v>
      </c>
      <c r="P37" s="66">
        <f>89.7+41.2</f>
        <v>130.9</v>
      </c>
      <c r="Q37" s="66">
        <f>93.6+42.4</f>
        <v>136</v>
      </c>
      <c r="R37" s="66">
        <f>94.4+42.7</f>
        <v>137.10000000000002</v>
      </c>
      <c r="S37" s="66">
        <f>94.4+42.7</f>
        <v>137.10000000000002</v>
      </c>
      <c r="T37" s="66">
        <f>40+85</f>
        <v>125</v>
      </c>
      <c r="U37" s="66">
        <f>40+85</f>
        <v>125</v>
      </c>
      <c r="V37" s="66">
        <v>126</v>
      </c>
      <c r="W37" s="66">
        <v>126</v>
      </c>
      <c r="X37" s="66">
        <v>126</v>
      </c>
      <c r="Y37" s="66">
        <v>126</v>
      </c>
      <c r="Z37" s="66">
        <v>126</v>
      </c>
      <c r="AA37" s="66">
        <v>126</v>
      </c>
      <c r="AB37" s="66">
        <f>40.4+88.1</f>
        <v>128.5</v>
      </c>
      <c r="AC37" s="66">
        <f>40.4+88.1</f>
        <v>128.5</v>
      </c>
      <c r="AD37" s="66">
        <v>136</v>
      </c>
      <c r="AE37" s="66">
        <f t="shared" ref="AE37" si="4">40.4+88.3</f>
        <v>128.69999999999999</v>
      </c>
      <c r="AF37" s="66">
        <v>137</v>
      </c>
      <c r="AG37" s="64">
        <v>240</v>
      </c>
      <c r="AH37" s="55">
        <f t="shared" si="2"/>
        <v>141.80000000000001</v>
      </c>
      <c r="AI37" s="56">
        <f t="shared" si="3"/>
        <v>125</v>
      </c>
      <c r="AK37" s="57"/>
    </row>
    <row r="38" spans="1:88" ht="15.75" thickBot="1" x14ac:dyDescent="0.3">
      <c r="A38" s="69" t="s">
        <v>46</v>
      </c>
      <c r="B38" s="70">
        <f>SUM(B11:B36)</f>
        <v>1205</v>
      </c>
      <c r="C38" s="70">
        <f t="shared" ref="C38:AF38" si="5">SUM(C11:C36)</f>
        <v>1195</v>
      </c>
      <c r="D38" s="70">
        <f t="shared" si="5"/>
        <v>1152.4000000000001</v>
      </c>
      <c r="E38" s="70">
        <f t="shared" si="5"/>
        <v>1184.4000000000001</v>
      </c>
      <c r="F38" s="70">
        <f t="shared" si="5"/>
        <v>1134</v>
      </c>
      <c r="G38" s="70">
        <f t="shared" si="5"/>
        <v>1217.2000000000003</v>
      </c>
      <c r="H38" s="70">
        <f t="shared" si="5"/>
        <v>1219.9000000000001</v>
      </c>
      <c r="I38" s="70">
        <f t="shared" si="5"/>
        <v>1193.9000000000001</v>
      </c>
      <c r="J38" s="70">
        <f t="shared" si="5"/>
        <v>1181.9000000000001</v>
      </c>
      <c r="K38" s="70">
        <f t="shared" si="5"/>
        <v>1193.9000000000001</v>
      </c>
      <c r="L38" s="70">
        <f t="shared" si="5"/>
        <v>1193.9000000000001</v>
      </c>
      <c r="M38" s="70">
        <f t="shared" si="5"/>
        <v>1219.2</v>
      </c>
      <c r="N38" s="70">
        <f t="shared" si="5"/>
        <v>1213.7</v>
      </c>
      <c r="O38" s="70">
        <f t="shared" si="5"/>
        <v>991.2</v>
      </c>
      <c r="P38" s="70">
        <f t="shared" si="5"/>
        <v>985.50000000000011</v>
      </c>
      <c r="Q38" s="70">
        <f t="shared" si="5"/>
        <v>985.00000000000011</v>
      </c>
      <c r="R38" s="70">
        <f t="shared" si="5"/>
        <v>959.5</v>
      </c>
      <c r="S38" s="70">
        <f t="shared" si="5"/>
        <v>1111.5</v>
      </c>
      <c r="T38" s="70">
        <f t="shared" si="5"/>
        <v>1187.5</v>
      </c>
      <c r="U38" s="70">
        <f t="shared" si="5"/>
        <v>1187.5</v>
      </c>
      <c r="V38" s="70">
        <f t="shared" si="5"/>
        <v>1187.5</v>
      </c>
      <c r="W38" s="70">
        <f t="shared" si="5"/>
        <v>1187.5</v>
      </c>
      <c r="X38" s="70">
        <f t="shared" si="5"/>
        <v>1187.5</v>
      </c>
      <c r="Y38" s="70">
        <f t="shared" si="5"/>
        <v>1187.5</v>
      </c>
      <c r="Z38" s="70">
        <f t="shared" si="5"/>
        <v>1187.5</v>
      </c>
      <c r="AA38" s="70">
        <f t="shared" si="5"/>
        <v>1180.3000000000002</v>
      </c>
      <c r="AB38" s="70">
        <f t="shared" si="5"/>
        <v>1193.5</v>
      </c>
      <c r="AC38" s="70">
        <f t="shared" si="5"/>
        <v>1193.5</v>
      </c>
      <c r="AD38" s="70">
        <f t="shared" si="5"/>
        <v>1193.5</v>
      </c>
      <c r="AE38" s="70">
        <f t="shared" si="5"/>
        <v>1178.5</v>
      </c>
      <c r="AF38" s="70">
        <f t="shared" si="5"/>
        <v>1203.5</v>
      </c>
      <c r="AG38" s="64">
        <f>SUM(AG11:AG37)</f>
        <v>1492.8299999999997</v>
      </c>
      <c r="AH38" s="55">
        <f t="shared" si="2"/>
        <v>1219.9000000000001</v>
      </c>
      <c r="AI38" s="56">
        <f t="shared" si="3"/>
        <v>959.5</v>
      </c>
      <c r="AK38" s="57"/>
    </row>
    <row r="39" spans="1:88" x14ac:dyDescent="0.25">
      <c r="A39" s="58" t="s">
        <v>47</v>
      </c>
      <c r="B39" s="51">
        <v>142</v>
      </c>
      <c r="C39" s="51">
        <v>142</v>
      </c>
      <c r="D39" s="51">
        <v>142</v>
      </c>
      <c r="E39" s="51">
        <v>144.69999999999999</v>
      </c>
      <c r="F39" s="51">
        <v>145.69999999999999</v>
      </c>
      <c r="G39" s="51">
        <v>146.5</v>
      </c>
      <c r="H39" s="51">
        <v>146.5</v>
      </c>
      <c r="I39" s="51">
        <v>145</v>
      </c>
      <c r="J39" s="51">
        <v>144.9</v>
      </c>
      <c r="K39" s="51">
        <v>144.80000000000001</v>
      </c>
      <c r="L39" s="51">
        <v>144</v>
      </c>
      <c r="M39" s="51">
        <v>120.9</v>
      </c>
      <c r="N39" s="51">
        <v>49.4</v>
      </c>
      <c r="O39" s="51">
        <v>0</v>
      </c>
      <c r="P39" s="51">
        <v>139.19999999999999</v>
      </c>
      <c r="Q39" s="51">
        <v>137.69999999999999</v>
      </c>
      <c r="R39" s="51">
        <v>139.1</v>
      </c>
      <c r="S39" s="51">
        <v>138</v>
      </c>
      <c r="T39" s="51">
        <v>141</v>
      </c>
      <c r="U39" s="51">
        <v>141.9</v>
      </c>
      <c r="V39" s="51">
        <v>141.9</v>
      </c>
      <c r="W39" s="51">
        <v>141.9</v>
      </c>
      <c r="X39" s="51">
        <v>142</v>
      </c>
      <c r="Y39" s="51">
        <v>142</v>
      </c>
      <c r="Z39" s="51">
        <v>142</v>
      </c>
      <c r="AA39" s="51">
        <v>142</v>
      </c>
      <c r="AB39" s="51">
        <v>142.30000000000001</v>
      </c>
      <c r="AC39" s="51">
        <v>141.9</v>
      </c>
      <c r="AD39" s="51">
        <v>141</v>
      </c>
      <c r="AE39" s="51">
        <v>141</v>
      </c>
      <c r="AF39" s="51">
        <v>142.9</v>
      </c>
      <c r="AG39" s="60">
        <v>144</v>
      </c>
      <c r="AH39" s="55">
        <f t="shared" si="2"/>
        <v>146.5</v>
      </c>
      <c r="AI39" s="56">
        <f t="shared" si="3"/>
        <v>0</v>
      </c>
      <c r="AK39" s="57"/>
    </row>
    <row r="40" spans="1:88" x14ac:dyDescent="0.25">
      <c r="A40" s="63" t="s">
        <v>48</v>
      </c>
      <c r="B40" s="49">
        <v>73.7</v>
      </c>
      <c r="C40" s="49">
        <v>70</v>
      </c>
      <c r="D40" s="49">
        <v>70</v>
      </c>
      <c r="E40" s="49">
        <v>70.8</v>
      </c>
      <c r="F40" s="49">
        <v>70</v>
      </c>
      <c r="G40" s="49">
        <v>70</v>
      </c>
      <c r="H40" s="49">
        <v>70</v>
      </c>
      <c r="I40" s="49">
        <v>70.2</v>
      </c>
      <c r="J40" s="49">
        <v>70.5</v>
      </c>
      <c r="K40" s="49">
        <v>72</v>
      </c>
      <c r="L40" s="49">
        <v>73.2</v>
      </c>
      <c r="M40" s="51">
        <v>71.8</v>
      </c>
      <c r="N40" s="51">
        <v>72.099999999999994</v>
      </c>
      <c r="O40" s="51">
        <v>70.599999999999994</v>
      </c>
      <c r="P40" s="51">
        <v>73.5</v>
      </c>
      <c r="Q40" s="51">
        <v>70.8</v>
      </c>
      <c r="R40" s="51">
        <v>55.2</v>
      </c>
      <c r="S40" s="49">
        <v>70</v>
      </c>
      <c r="T40" s="49">
        <v>70</v>
      </c>
      <c r="U40" s="49">
        <v>70</v>
      </c>
      <c r="V40" s="49">
        <v>70</v>
      </c>
      <c r="W40" s="49">
        <v>70</v>
      </c>
      <c r="X40" s="49">
        <v>70</v>
      </c>
      <c r="Y40" s="49">
        <v>70</v>
      </c>
      <c r="Z40" s="49">
        <v>70</v>
      </c>
      <c r="AA40" s="49">
        <v>70</v>
      </c>
      <c r="AB40" s="49">
        <v>70.5</v>
      </c>
      <c r="AC40" s="49">
        <v>71.3</v>
      </c>
      <c r="AD40" s="49">
        <v>70</v>
      </c>
      <c r="AE40" s="49">
        <v>70</v>
      </c>
      <c r="AF40" s="49">
        <v>70</v>
      </c>
      <c r="AG40" s="64">
        <v>70</v>
      </c>
      <c r="AH40" s="55">
        <f t="shared" si="2"/>
        <v>73.7</v>
      </c>
      <c r="AI40" s="56">
        <f t="shared" si="3"/>
        <v>55.2</v>
      </c>
      <c r="AK40" s="57"/>
    </row>
    <row r="41" spans="1:88" x14ac:dyDescent="0.25">
      <c r="A41" s="63" t="s">
        <v>49</v>
      </c>
      <c r="B41" s="49">
        <v>45.1</v>
      </c>
      <c r="C41" s="49">
        <v>63.6</v>
      </c>
      <c r="D41" s="49">
        <v>63.6</v>
      </c>
      <c r="E41" s="49">
        <v>64</v>
      </c>
      <c r="F41" s="49">
        <v>62.3</v>
      </c>
      <c r="G41" s="49">
        <v>62.3</v>
      </c>
      <c r="H41" s="49">
        <v>62.3</v>
      </c>
      <c r="I41" s="49">
        <v>61.8</v>
      </c>
      <c r="J41" s="49">
        <v>61.4</v>
      </c>
      <c r="K41" s="49">
        <v>61.8</v>
      </c>
      <c r="L41" s="49">
        <v>62.2</v>
      </c>
      <c r="M41" s="51">
        <v>61.7</v>
      </c>
      <c r="N41" s="51">
        <v>60.9</v>
      </c>
      <c r="O41" s="51">
        <v>61</v>
      </c>
      <c r="P41" s="51">
        <v>61</v>
      </c>
      <c r="Q41" s="51">
        <v>61.4</v>
      </c>
      <c r="R41" s="51">
        <v>62</v>
      </c>
      <c r="S41" s="49">
        <v>62</v>
      </c>
      <c r="T41" s="49">
        <v>63</v>
      </c>
      <c r="U41" s="49">
        <v>63</v>
      </c>
      <c r="V41" s="49">
        <v>63</v>
      </c>
      <c r="W41" s="49">
        <v>63</v>
      </c>
      <c r="X41" s="49">
        <v>63</v>
      </c>
      <c r="Y41" s="49">
        <v>63</v>
      </c>
      <c r="Z41" s="49">
        <v>63</v>
      </c>
      <c r="AA41" s="49">
        <v>63</v>
      </c>
      <c r="AB41" s="49">
        <v>63.3</v>
      </c>
      <c r="AC41" s="49">
        <v>63.2</v>
      </c>
      <c r="AD41" s="49">
        <v>62.8</v>
      </c>
      <c r="AE41" s="49">
        <v>62.8</v>
      </c>
      <c r="AF41" s="49">
        <v>62.5</v>
      </c>
      <c r="AG41" s="64">
        <v>69</v>
      </c>
      <c r="AH41" s="55">
        <f t="shared" si="2"/>
        <v>64</v>
      </c>
      <c r="AI41" s="56">
        <f t="shared" si="3"/>
        <v>45.1</v>
      </c>
      <c r="AK41" s="57"/>
    </row>
    <row r="42" spans="1:88" x14ac:dyDescent="0.25">
      <c r="A42" s="63" t="s">
        <v>50</v>
      </c>
      <c r="B42" s="66">
        <v>0</v>
      </c>
      <c r="C42" s="66">
        <v>60</v>
      </c>
      <c r="D42" s="66">
        <v>60</v>
      </c>
      <c r="E42" s="66">
        <v>60.2</v>
      </c>
      <c r="F42" s="66">
        <v>60</v>
      </c>
      <c r="G42" s="66">
        <v>60</v>
      </c>
      <c r="H42" s="66">
        <v>60</v>
      </c>
      <c r="I42" s="66">
        <v>59.7</v>
      </c>
      <c r="J42" s="66">
        <v>60.2</v>
      </c>
      <c r="K42" s="66">
        <v>0</v>
      </c>
      <c r="L42" s="66">
        <v>0</v>
      </c>
      <c r="M42" s="51">
        <v>0</v>
      </c>
      <c r="N42" s="51">
        <v>60.9</v>
      </c>
      <c r="O42" s="51">
        <v>60.9</v>
      </c>
      <c r="P42" s="51">
        <v>60.9</v>
      </c>
      <c r="Q42" s="51">
        <v>60.2</v>
      </c>
      <c r="R42" s="51">
        <v>60.2</v>
      </c>
      <c r="S42" s="51">
        <v>60.2</v>
      </c>
      <c r="T42" s="51">
        <v>60</v>
      </c>
      <c r="U42" s="51">
        <v>60</v>
      </c>
      <c r="V42" s="51">
        <v>60</v>
      </c>
      <c r="W42" s="51">
        <v>60</v>
      </c>
      <c r="X42" s="51">
        <v>60</v>
      </c>
      <c r="Y42" s="51">
        <v>60</v>
      </c>
      <c r="Z42" s="51">
        <v>60</v>
      </c>
      <c r="AA42" s="51">
        <v>60</v>
      </c>
      <c r="AB42" s="66">
        <v>60.2</v>
      </c>
      <c r="AC42" s="66">
        <v>60.4</v>
      </c>
      <c r="AD42" s="66">
        <v>60.4</v>
      </c>
      <c r="AE42" s="66">
        <v>60.4</v>
      </c>
      <c r="AF42" s="66">
        <v>60.2</v>
      </c>
      <c r="AG42" s="64">
        <v>60</v>
      </c>
      <c r="AH42" s="55">
        <f t="shared" si="2"/>
        <v>60.9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29.7</v>
      </c>
      <c r="C43" s="66">
        <v>29.7</v>
      </c>
      <c r="D43" s="66">
        <v>29.7</v>
      </c>
      <c r="E43" s="66">
        <v>28</v>
      </c>
      <c r="F43" s="66">
        <v>29.4</v>
      </c>
      <c r="G43" s="66">
        <v>29.4</v>
      </c>
      <c r="H43" s="66">
        <v>29.4</v>
      </c>
      <c r="I43" s="66">
        <v>19</v>
      </c>
      <c r="J43" s="66">
        <v>16</v>
      </c>
      <c r="K43" s="66">
        <v>16</v>
      </c>
      <c r="L43" s="66">
        <v>16</v>
      </c>
      <c r="M43" s="166">
        <v>28.8</v>
      </c>
      <c r="N43" s="166">
        <v>30</v>
      </c>
      <c r="O43" s="166">
        <v>30</v>
      </c>
      <c r="P43" s="51">
        <v>30</v>
      </c>
      <c r="Q43" s="51">
        <v>30</v>
      </c>
      <c r="R43" s="51">
        <v>30</v>
      </c>
      <c r="S43" s="51">
        <v>0</v>
      </c>
      <c r="T43" s="51">
        <v>15</v>
      </c>
      <c r="U43" s="51">
        <v>26</v>
      </c>
      <c r="V43" s="51">
        <v>26</v>
      </c>
      <c r="W43" s="51">
        <v>29</v>
      </c>
      <c r="X43" s="51">
        <v>29</v>
      </c>
      <c r="Y43" s="51">
        <v>29</v>
      </c>
      <c r="Z43" s="51">
        <v>29</v>
      </c>
      <c r="AA43" s="51">
        <v>29</v>
      </c>
      <c r="AB43" s="66">
        <v>29.5</v>
      </c>
      <c r="AC43" s="66">
        <v>29.5</v>
      </c>
      <c r="AD43" s="66">
        <v>29.5</v>
      </c>
      <c r="AE43" s="66">
        <v>29.5</v>
      </c>
      <c r="AF43" s="66">
        <v>29.5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167">
        <v>4</v>
      </c>
      <c r="N44" s="167">
        <v>4</v>
      </c>
      <c r="O44" s="167">
        <v>4</v>
      </c>
      <c r="P44" s="51">
        <v>7</v>
      </c>
      <c r="Q44" s="51">
        <v>7</v>
      </c>
      <c r="R44" s="51">
        <v>7</v>
      </c>
      <c r="S44" s="51">
        <v>7</v>
      </c>
      <c r="T44" s="51">
        <v>7</v>
      </c>
      <c r="U44" s="51">
        <v>7</v>
      </c>
      <c r="V44" s="51">
        <v>7</v>
      </c>
      <c r="W44" s="51">
        <v>7</v>
      </c>
      <c r="X44" s="51">
        <v>7</v>
      </c>
      <c r="Y44" s="51">
        <v>7</v>
      </c>
      <c r="Z44" s="51">
        <v>7</v>
      </c>
      <c r="AA44" s="51">
        <v>7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7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20.3</v>
      </c>
      <c r="C45" s="49">
        <v>20.3</v>
      </c>
      <c r="D45" s="49">
        <v>20.3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  <c r="M45" s="167">
        <v>0</v>
      </c>
      <c r="N45" s="167">
        <v>0</v>
      </c>
      <c r="O45" s="167">
        <v>0</v>
      </c>
      <c r="P45" s="167">
        <v>0</v>
      </c>
      <c r="Q45" s="167">
        <v>0</v>
      </c>
      <c r="R45" s="167">
        <v>0</v>
      </c>
      <c r="S45" s="167">
        <v>12</v>
      </c>
      <c r="T45" s="167">
        <v>12</v>
      </c>
      <c r="U45" s="167">
        <v>12</v>
      </c>
      <c r="V45" s="167">
        <v>12</v>
      </c>
      <c r="W45" s="167">
        <v>12</v>
      </c>
      <c r="X45" s="167">
        <v>12</v>
      </c>
      <c r="Y45" s="167">
        <v>12</v>
      </c>
      <c r="Z45" s="167">
        <v>12</v>
      </c>
      <c r="AA45" s="167">
        <v>12</v>
      </c>
      <c r="AB45" s="49">
        <v>12</v>
      </c>
      <c r="AC45" s="49">
        <v>12</v>
      </c>
      <c r="AD45" s="49">
        <v>15.7</v>
      </c>
      <c r="AE45" s="49">
        <v>15.7</v>
      </c>
      <c r="AF45" s="49">
        <v>15.5</v>
      </c>
      <c r="AG45" s="64">
        <v>24</v>
      </c>
      <c r="AH45" s="55">
        <f t="shared" si="2"/>
        <v>20.3</v>
      </c>
      <c r="AI45" s="56">
        <f t="shared" si="3"/>
        <v>0</v>
      </c>
      <c r="AK45" s="57"/>
    </row>
    <row r="46" spans="1:88" x14ac:dyDescent="0.25">
      <c r="A46" s="63" t="s">
        <v>54</v>
      </c>
      <c r="B46" s="49">
        <v>0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167">
        <v>0</v>
      </c>
      <c r="N46" s="167">
        <v>0</v>
      </c>
      <c r="O46" s="167">
        <v>0</v>
      </c>
      <c r="P46" s="167">
        <v>0</v>
      </c>
      <c r="Q46" s="167">
        <v>0</v>
      </c>
      <c r="R46" s="167">
        <v>0</v>
      </c>
      <c r="S46" s="167">
        <v>0</v>
      </c>
      <c r="T46" s="167">
        <v>0</v>
      </c>
      <c r="U46" s="167">
        <v>0</v>
      </c>
      <c r="V46" s="167">
        <v>0</v>
      </c>
      <c r="W46" s="167">
        <v>0</v>
      </c>
      <c r="X46" s="167">
        <v>0</v>
      </c>
      <c r="Y46" s="167">
        <v>0</v>
      </c>
      <c r="Z46" s="167">
        <v>0</v>
      </c>
      <c r="AA46" s="167">
        <v>0</v>
      </c>
      <c r="AB46" s="49">
        <v>0</v>
      </c>
      <c r="AC46" s="49">
        <v>0</v>
      </c>
      <c r="AD46" s="49">
        <v>0</v>
      </c>
      <c r="AE46" s="49">
        <v>0</v>
      </c>
      <c r="AF46" s="49">
        <v>0</v>
      </c>
      <c r="AG46" s="64">
        <v>15</v>
      </c>
      <c r="AH46" s="55">
        <f t="shared" si="2"/>
        <v>0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9.3000000000000007</v>
      </c>
      <c r="C47" s="49">
        <v>9.3000000000000007</v>
      </c>
      <c r="D47" s="49">
        <v>9.3000000000000007</v>
      </c>
      <c r="E47" s="49">
        <v>9.3000000000000007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167">
        <v>9.1999999999999993</v>
      </c>
      <c r="N47" s="167">
        <v>9.1999999999999993</v>
      </c>
      <c r="O47" s="167">
        <v>9.1999999999999993</v>
      </c>
      <c r="P47" s="167">
        <v>9.1999999999999993</v>
      </c>
      <c r="Q47" s="167">
        <v>9.1999999999999993</v>
      </c>
      <c r="R47" s="167">
        <v>9.1999999999999993</v>
      </c>
      <c r="S47" s="167">
        <v>9.1999999999999993</v>
      </c>
      <c r="T47" s="167">
        <v>9.1999999999999993</v>
      </c>
      <c r="U47" s="167">
        <v>9.1999999999999993</v>
      </c>
      <c r="V47" s="167">
        <v>9.1999999999999993</v>
      </c>
      <c r="W47" s="167">
        <v>9.1999999999999993</v>
      </c>
      <c r="X47" s="167">
        <v>9.1999999999999993</v>
      </c>
      <c r="Y47" s="167">
        <v>9.1999999999999993</v>
      </c>
      <c r="Z47" s="167">
        <v>9.1999999999999993</v>
      </c>
      <c r="AA47" s="167">
        <v>9.1999999999999993</v>
      </c>
      <c r="AB47" s="49">
        <v>9.1999999999999993</v>
      </c>
      <c r="AC47" s="49">
        <v>9.1999999999999993</v>
      </c>
      <c r="AD47" s="49">
        <v>9.3000000000000007</v>
      </c>
      <c r="AE47" s="49">
        <v>9.3000000000000007</v>
      </c>
      <c r="AF47" s="49">
        <v>9.3000000000000007</v>
      </c>
      <c r="AG47" s="64">
        <v>14.1</v>
      </c>
      <c r="AH47" s="55">
        <f t="shared" si="2"/>
        <v>9.3000000000000007</v>
      </c>
      <c r="AI47" s="56">
        <f t="shared" si="3"/>
        <v>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13.8</v>
      </c>
      <c r="C48" s="49">
        <v>13.8</v>
      </c>
      <c r="D48" s="49">
        <v>5</v>
      </c>
      <c r="E48" s="49">
        <v>5</v>
      </c>
      <c r="F48" s="49">
        <v>0</v>
      </c>
      <c r="G48" s="49">
        <v>0</v>
      </c>
      <c r="H48" s="49">
        <v>5</v>
      </c>
      <c r="I48" s="49">
        <v>5</v>
      </c>
      <c r="J48" s="49">
        <v>5</v>
      </c>
      <c r="K48" s="49">
        <v>5</v>
      </c>
      <c r="L48" s="49">
        <v>5</v>
      </c>
      <c r="M48" s="49">
        <v>5</v>
      </c>
      <c r="N48" s="49">
        <v>5</v>
      </c>
      <c r="O48" s="49">
        <v>5</v>
      </c>
      <c r="P48" s="49">
        <v>5</v>
      </c>
      <c r="Q48" s="49">
        <v>5</v>
      </c>
      <c r="R48" s="49">
        <v>5</v>
      </c>
      <c r="S48" s="49">
        <v>5</v>
      </c>
      <c r="T48" s="49">
        <v>5</v>
      </c>
      <c r="U48" s="49">
        <v>5</v>
      </c>
      <c r="V48" s="49">
        <v>5</v>
      </c>
      <c r="W48" s="49">
        <v>5</v>
      </c>
      <c r="X48" s="49">
        <v>5</v>
      </c>
      <c r="Y48" s="49">
        <v>5</v>
      </c>
      <c r="Z48" s="49">
        <v>5</v>
      </c>
      <c r="AA48" s="49">
        <v>5</v>
      </c>
      <c r="AB48" s="49">
        <v>5</v>
      </c>
      <c r="AC48" s="49">
        <v>5</v>
      </c>
      <c r="AD48" s="49">
        <v>13.6</v>
      </c>
      <c r="AE48" s="49">
        <v>13.6</v>
      </c>
      <c r="AF48" s="49">
        <v>0</v>
      </c>
      <c r="AG48" s="64">
        <v>14</v>
      </c>
      <c r="AH48" s="55">
        <f t="shared" si="2"/>
        <v>13.8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7</v>
      </c>
      <c r="C49" s="49">
        <v>7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9.1</v>
      </c>
      <c r="M49" s="49">
        <v>9.1</v>
      </c>
      <c r="N49" s="49">
        <v>9.1</v>
      </c>
      <c r="O49" s="49">
        <v>9.1</v>
      </c>
      <c r="P49" s="49">
        <v>9.1</v>
      </c>
      <c r="Q49" s="49">
        <v>9.1</v>
      </c>
      <c r="R49" s="49">
        <v>9.1</v>
      </c>
      <c r="S49" s="49">
        <v>9.1</v>
      </c>
      <c r="T49" s="49">
        <v>9.1</v>
      </c>
      <c r="U49" s="49">
        <v>9.1</v>
      </c>
      <c r="V49" s="49">
        <v>9.1</v>
      </c>
      <c r="W49" s="49">
        <v>9.1</v>
      </c>
      <c r="X49" s="49">
        <v>9.1</v>
      </c>
      <c r="Y49" s="49">
        <v>9.1</v>
      </c>
      <c r="Z49" s="49">
        <v>9.1</v>
      </c>
      <c r="AA49" s="49">
        <v>9.1</v>
      </c>
      <c r="AB49" s="49">
        <v>9.5</v>
      </c>
      <c r="AC49" s="49">
        <v>9.5</v>
      </c>
      <c r="AD49" s="49">
        <v>9.5</v>
      </c>
      <c r="AE49" s="49">
        <v>9.5</v>
      </c>
      <c r="AF49" s="49">
        <v>9.5</v>
      </c>
      <c r="AG49" s="64">
        <v>10.050000000000001</v>
      </c>
      <c r="AH49" s="55">
        <f t="shared" si="2"/>
        <v>9.5</v>
      </c>
      <c r="AI49" s="56">
        <f t="shared" si="3"/>
        <v>0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49">
        <v>6</v>
      </c>
      <c r="O50" s="49">
        <v>6</v>
      </c>
      <c r="P50" s="49">
        <v>6</v>
      </c>
      <c r="Q50" s="49">
        <v>6</v>
      </c>
      <c r="R50" s="49">
        <v>6</v>
      </c>
      <c r="S50" s="49">
        <v>6</v>
      </c>
      <c r="T50" s="49">
        <v>6</v>
      </c>
      <c r="U50" s="49">
        <v>6</v>
      </c>
      <c r="V50" s="49">
        <v>6</v>
      </c>
      <c r="W50" s="49">
        <v>6</v>
      </c>
      <c r="X50" s="49">
        <v>6</v>
      </c>
      <c r="Y50" s="49">
        <v>6</v>
      </c>
      <c r="Z50" s="49">
        <v>6</v>
      </c>
      <c r="AA50" s="49">
        <v>6</v>
      </c>
      <c r="AB50" s="49">
        <v>6</v>
      </c>
      <c r="AC50" s="49">
        <v>6</v>
      </c>
      <c r="AD50" s="49">
        <v>6</v>
      </c>
      <c r="AE50" s="49">
        <v>6</v>
      </c>
      <c r="AF50" s="49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350.44000000000005</v>
      </c>
      <c r="C52" s="70">
        <f t="shared" ref="C52:AF52" si="7">SUM(C39:C51)</f>
        <v>425.24000000000007</v>
      </c>
      <c r="D52" s="70">
        <f t="shared" si="7"/>
        <v>409.44000000000005</v>
      </c>
      <c r="E52" s="70">
        <f t="shared" si="7"/>
        <v>391.54</v>
      </c>
      <c r="F52" s="70">
        <f t="shared" si="7"/>
        <v>376.94</v>
      </c>
      <c r="G52" s="70">
        <f t="shared" si="7"/>
        <v>377.74</v>
      </c>
      <c r="H52" s="70">
        <f t="shared" si="7"/>
        <v>382.74</v>
      </c>
      <c r="I52" s="70">
        <f t="shared" si="7"/>
        <v>370.24</v>
      </c>
      <c r="J52" s="70">
        <f t="shared" si="7"/>
        <v>367.54</v>
      </c>
      <c r="K52" s="70">
        <f t="shared" si="7"/>
        <v>309.14000000000004</v>
      </c>
      <c r="L52" s="70">
        <f t="shared" si="7"/>
        <v>319.04000000000002</v>
      </c>
      <c r="M52" s="70">
        <f t="shared" si="7"/>
        <v>320.04000000000002</v>
      </c>
      <c r="N52" s="70">
        <f t="shared" si="7"/>
        <v>310.14000000000004</v>
      </c>
      <c r="O52" s="70">
        <f t="shared" si="7"/>
        <v>259.33999999999997</v>
      </c>
      <c r="P52" s="70">
        <f t="shared" si="7"/>
        <v>404.44</v>
      </c>
      <c r="Q52" s="70">
        <f t="shared" si="7"/>
        <v>399.94</v>
      </c>
      <c r="R52" s="70">
        <f t="shared" si="7"/>
        <v>386.34000000000003</v>
      </c>
      <c r="S52" s="70">
        <f t="shared" si="7"/>
        <v>382.04</v>
      </c>
      <c r="T52" s="70">
        <f t="shared" si="7"/>
        <v>400.84000000000003</v>
      </c>
      <c r="U52" s="70">
        <f t="shared" si="7"/>
        <v>412.74</v>
      </c>
      <c r="V52" s="70">
        <f t="shared" si="7"/>
        <v>412.74</v>
      </c>
      <c r="W52" s="70">
        <f t="shared" si="7"/>
        <v>415.74</v>
      </c>
      <c r="X52" s="70">
        <f t="shared" si="7"/>
        <v>415.84000000000003</v>
      </c>
      <c r="Y52" s="70">
        <f t="shared" si="7"/>
        <v>415.84000000000003</v>
      </c>
      <c r="Z52" s="70">
        <f t="shared" si="7"/>
        <v>415.84000000000003</v>
      </c>
      <c r="AA52" s="70">
        <f t="shared" si="7"/>
        <v>415.84000000000003</v>
      </c>
      <c r="AB52" s="70">
        <f t="shared" si="7"/>
        <v>411.04</v>
      </c>
      <c r="AC52" s="70">
        <f t="shared" si="7"/>
        <v>411.53999999999996</v>
      </c>
      <c r="AD52" s="70">
        <f t="shared" si="7"/>
        <v>421.34000000000003</v>
      </c>
      <c r="AE52" s="70">
        <f t="shared" si="7"/>
        <v>421.34000000000003</v>
      </c>
      <c r="AF52" s="70">
        <f t="shared" si="7"/>
        <v>408.94</v>
      </c>
      <c r="AG52" s="74">
        <f>SUM(AG39:AG51)</f>
        <v>489.91</v>
      </c>
      <c r="AH52" s="55">
        <f t="shared" si="2"/>
        <v>425.24000000000007</v>
      </c>
      <c r="AI52" s="56">
        <f t="shared" si="3"/>
        <v>259.33999999999997</v>
      </c>
      <c r="AK52" s="57"/>
    </row>
    <row r="53" spans="1:37" x14ac:dyDescent="0.25">
      <c r="A53" s="58" t="s">
        <v>61</v>
      </c>
      <c r="B53" s="51">
        <v>58.7</v>
      </c>
      <c r="C53" s="51">
        <v>29.7</v>
      </c>
      <c r="D53" s="51">
        <v>30.1</v>
      </c>
      <c r="E53" s="51">
        <v>49.2</v>
      </c>
      <c r="F53" s="51">
        <v>59.3</v>
      </c>
      <c r="G53" s="51">
        <v>34</v>
      </c>
      <c r="H53" s="51">
        <v>34</v>
      </c>
      <c r="I53" s="51">
        <v>13.9</v>
      </c>
      <c r="J53" s="51">
        <v>0</v>
      </c>
      <c r="K53" s="51">
        <v>29.7</v>
      </c>
      <c r="L53" s="51">
        <v>34</v>
      </c>
      <c r="M53" s="51">
        <v>37.200000000000003</v>
      </c>
      <c r="N53" s="51">
        <v>21</v>
      </c>
      <c r="O53" s="51">
        <v>10.5</v>
      </c>
      <c r="P53" s="51">
        <v>10.1</v>
      </c>
      <c r="Q53" s="51">
        <v>20.399999999999999</v>
      </c>
      <c r="R53" s="51">
        <v>10.199999999999999</v>
      </c>
      <c r="S53" s="51">
        <v>30</v>
      </c>
      <c r="T53" s="51">
        <v>44</v>
      </c>
      <c r="U53" s="51">
        <v>10</v>
      </c>
      <c r="V53" s="51">
        <v>20</v>
      </c>
      <c r="W53" s="51">
        <v>10</v>
      </c>
      <c r="X53" s="51">
        <v>10</v>
      </c>
      <c r="Y53" s="51">
        <v>10</v>
      </c>
      <c r="Z53" s="51">
        <v>25</v>
      </c>
      <c r="AA53" s="51">
        <v>50</v>
      </c>
      <c r="AB53" s="51">
        <v>30.3</v>
      </c>
      <c r="AC53" s="51">
        <v>30.3</v>
      </c>
      <c r="AD53" s="51">
        <v>59</v>
      </c>
      <c r="AE53" s="51">
        <v>40</v>
      </c>
      <c r="AF53" s="51">
        <v>14</v>
      </c>
      <c r="AG53" s="60">
        <v>60</v>
      </c>
      <c r="AH53" s="55">
        <f t="shared" si="2"/>
        <v>59.3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26.5</v>
      </c>
      <c r="C54" s="49">
        <v>12.4</v>
      </c>
      <c r="D54" s="49">
        <v>9.6999999999999993</v>
      </c>
      <c r="E54" s="49">
        <v>23.1</v>
      </c>
      <c r="F54" s="49">
        <v>30.1</v>
      </c>
      <c r="G54" s="49">
        <v>16.100000000000001</v>
      </c>
      <c r="H54" s="49">
        <v>15</v>
      </c>
      <c r="I54" s="49">
        <v>5.7</v>
      </c>
      <c r="J54" s="49">
        <v>0</v>
      </c>
      <c r="K54" s="49">
        <v>16</v>
      </c>
      <c r="L54" s="49">
        <v>19.5</v>
      </c>
      <c r="M54" s="49">
        <v>30.2</v>
      </c>
      <c r="N54" s="49">
        <v>10</v>
      </c>
      <c r="O54" s="49">
        <v>5.5</v>
      </c>
      <c r="P54" s="49">
        <v>4.5</v>
      </c>
      <c r="Q54" s="49">
        <v>7</v>
      </c>
      <c r="R54" s="49">
        <v>4.7</v>
      </c>
      <c r="S54" s="49">
        <v>21</v>
      </c>
      <c r="T54" s="49">
        <v>20</v>
      </c>
      <c r="U54" s="49">
        <v>4</v>
      </c>
      <c r="V54" s="49">
        <v>10.199999999999999</v>
      </c>
      <c r="W54" s="49">
        <v>1</v>
      </c>
      <c r="X54" s="49">
        <v>4.4000000000000004</v>
      </c>
      <c r="Y54" s="49">
        <v>4.4000000000000004</v>
      </c>
      <c r="Z54" s="49">
        <v>5.3</v>
      </c>
      <c r="AA54" s="49">
        <v>24</v>
      </c>
      <c r="AB54" s="49">
        <v>13.1</v>
      </c>
      <c r="AC54" s="49">
        <v>12.3</v>
      </c>
      <c r="AD54" s="49">
        <v>29</v>
      </c>
      <c r="AE54" s="49">
        <v>20</v>
      </c>
      <c r="AF54" s="49">
        <v>8.6</v>
      </c>
      <c r="AG54" s="64">
        <v>32</v>
      </c>
      <c r="AH54" s="55">
        <f t="shared" si="2"/>
        <v>30.2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9.6999999999999993</v>
      </c>
      <c r="C55" s="75">
        <v>4.5</v>
      </c>
      <c r="D55" s="75">
        <v>3.6</v>
      </c>
      <c r="E55" s="75">
        <v>8.4</v>
      </c>
      <c r="F55" s="75">
        <v>11</v>
      </c>
      <c r="G55" s="75">
        <v>5.9</v>
      </c>
      <c r="H55" s="75">
        <v>5.5</v>
      </c>
      <c r="I55" s="75">
        <v>2.1</v>
      </c>
      <c r="J55" s="75">
        <v>0</v>
      </c>
      <c r="K55" s="75">
        <v>5.8</v>
      </c>
      <c r="L55" s="75">
        <v>7.1</v>
      </c>
      <c r="M55" s="75">
        <v>11</v>
      </c>
      <c r="N55" s="75">
        <v>3.6</v>
      </c>
      <c r="O55" s="75">
        <v>2</v>
      </c>
      <c r="P55" s="75">
        <v>1.6</v>
      </c>
      <c r="Q55" s="75">
        <v>2.6</v>
      </c>
      <c r="R55" s="75">
        <v>1.7</v>
      </c>
      <c r="S55" s="75">
        <v>7.6</v>
      </c>
      <c r="T55" s="75">
        <v>7</v>
      </c>
      <c r="U55" s="75">
        <v>1.5</v>
      </c>
      <c r="V55" s="75">
        <v>3.7</v>
      </c>
      <c r="W55" s="75">
        <v>3.7</v>
      </c>
      <c r="X55" s="75">
        <v>2</v>
      </c>
      <c r="Y55" s="75">
        <v>2</v>
      </c>
      <c r="Z55" s="75">
        <v>2</v>
      </c>
      <c r="AA55" s="75">
        <v>9</v>
      </c>
      <c r="AB55" s="75">
        <v>4.8</v>
      </c>
      <c r="AC55" s="75">
        <v>4.5</v>
      </c>
      <c r="AD55" s="75">
        <v>10.6</v>
      </c>
      <c r="AE55" s="75">
        <v>7</v>
      </c>
      <c r="AF55" s="75">
        <v>3</v>
      </c>
      <c r="AG55" s="76">
        <v>14</v>
      </c>
      <c r="AH55" s="55">
        <f t="shared" si="2"/>
        <v>11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8">SUM(B53:B55)</f>
        <v>94.9</v>
      </c>
      <c r="C56" s="70">
        <f t="shared" si="8"/>
        <v>46.6</v>
      </c>
      <c r="D56" s="70">
        <f t="shared" si="8"/>
        <v>43.4</v>
      </c>
      <c r="E56" s="70">
        <f t="shared" si="8"/>
        <v>80.700000000000017</v>
      </c>
      <c r="F56" s="70">
        <f t="shared" si="8"/>
        <v>100.4</v>
      </c>
      <c r="G56" s="70">
        <f t="shared" si="8"/>
        <v>56</v>
      </c>
      <c r="H56" s="70">
        <f t="shared" si="8"/>
        <v>54.5</v>
      </c>
      <c r="I56" s="70">
        <f t="shared" si="8"/>
        <v>21.700000000000003</v>
      </c>
      <c r="J56" s="70">
        <f t="shared" si="8"/>
        <v>0</v>
      </c>
      <c r="K56" s="70">
        <f t="shared" si="8"/>
        <v>51.5</v>
      </c>
      <c r="L56" s="70">
        <f t="shared" si="8"/>
        <v>60.6</v>
      </c>
      <c r="M56" s="70">
        <f t="shared" si="8"/>
        <v>78.400000000000006</v>
      </c>
      <c r="N56" s="70">
        <f t="shared" si="8"/>
        <v>34.6</v>
      </c>
      <c r="O56" s="70">
        <f t="shared" si="8"/>
        <v>18</v>
      </c>
      <c r="P56" s="70">
        <f t="shared" si="8"/>
        <v>16.2</v>
      </c>
      <c r="Q56" s="70">
        <f t="shared" si="8"/>
        <v>30</v>
      </c>
      <c r="R56" s="70">
        <f t="shared" si="8"/>
        <v>16.599999999999998</v>
      </c>
      <c r="S56" s="70">
        <f t="shared" si="8"/>
        <v>58.6</v>
      </c>
      <c r="T56" s="70">
        <f t="shared" si="8"/>
        <v>71</v>
      </c>
      <c r="U56" s="70">
        <f t="shared" si="8"/>
        <v>15.5</v>
      </c>
      <c r="V56" s="70">
        <f t="shared" si="8"/>
        <v>33.9</v>
      </c>
      <c r="W56" s="70">
        <f t="shared" si="8"/>
        <v>14.7</v>
      </c>
      <c r="X56" s="70">
        <f t="shared" si="8"/>
        <v>16.399999999999999</v>
      </c>
      <c r="Y56" s="70">
        <f t="shared" si="8"/>
        <v>16.399999999999999</v>
      </c>
      <c r="Z56" s="70">
        <f t="shared" si="8"/>
        <v>32.299999999999997</v>
      </c>
      <c r="AA56" s="70">
        <f t="shared" si="8"/>
        <v>83</v>
      </c>
      <c r="AB56" s="70">
        <f t="shared" si="8"/>
        <v>48.199999999999996</v>
      </c>
      <c r="AC56" s="70">
        <f t="shared" si="8"/>
        <v>47.1</v>
      </c>
      <c r="AD56" s="70">
        <f t="shared" si="8"/>
        <v>98.6</v>
      </c>
      <c r="AE56" s="70">
        <f t="shared" si="8"/>
        <v>67</v>
      </c>
      <c r="AF56" s="70">
        <f t="shared" si="8"/>
        <v>25.6</v>
      </c>
      <c r="AG56" s="74">
        <f>SUM(AG53:AG55)</f>
        <v>106</v>
      </c>
      <c r="AH56" s="55">
        <f t="shared" si="2"/>
        <v>100.4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60.8</v>
      </c>
      <c r="C57" s="51">
        <v>56.67</v>
      </c>
      <c r="D57" s="51">
        <v>53</v>
      </c>
      <c r="E57" s="51">
        <v>59.55</v>
      </c>
      <c r="F57" s="51">
        <v>43.5</v>
      </c>
      <c r="G57" s="51">
        <v>40</v>
      </c>
      <c r="H57" s="51">
        <v>58.5</v>
      </c>
      <c r="I57" s="51">
        <v>58.8</v>
      </c>
      <c r="J57" s="51">
        <v>53</v>
      </c>
      <c r="K57" s="51">
        <v>61.8</v>
      </c>
      <c r="L57" s="51">
        <v>57.1</v>
      </c>
      <c r="M57" s="51">
        <v>51.2</v>
      </c>
      <c r="N57" s="51">
        <v>68.2</v>
      </c>
      <c r="O57" s="51">
        <v>76.5</v>
      </c>
      <c r="P57" s="51">
        <v>64.099999999999994</v>
      </c>
      <c r="Q57" s="51">
        <v>72.8</v>
      </c>
      <c r="R57" s="51">
        <v>73.8</v>
      </c>
      <c r="S57" s="51">
        <v>70</v>
      </c>
      <c r="T57" s="51">
        <v>71</v>
      </c>
      <c r="U57" s="51">
        <v>72</v>
      </c>
      <c r="V57" s="51">
        <v>65</v>
      </c>
      <c r="W57" s="51">
        <v>62</v>
      </c>
      <c r="X57" s="51">
        <v>58</v>
      </c>
      <c r="Y57" s="51">
        <v>58</v>
      </c>
      <c r="Z57" s="51">
        <v>58</v>
      </c>
      <c r="AA57" s="51">
        <v>58</v>
      </c>
      <c r="AB57" s="51">
        <v>74.3</v>
      </c>
      <c r="AC57" s="51">
        <v>74.2</v>
      </c>
      <c r="AD57" s="51">
        <v>76</v>
      </c>
      <c r="AE57" s="51">
        <v>75</v>
      </c>
      <c r="AF57" s="51">
        <v>62</v>
      </c>
      <c r="AG57" s="60"/>
      <c r="AH57" s="55">
        <f t="shared" si="2"/>
        <v>76.5</v>
      </c>
      <c r="AI57" s="56">
        <f t="shared" si="3"/>
        <v>40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-348</v>
      </c>
      <c r="C59" s="49">
        <v>-360</v>
      </c>
      <c r="D59" s="49">
        <v>-359</v>
      </c>
      <c r="E59" s="49">
        <v>-373.6</v>
      </c>
      <c r="F59" s="49">
        <v>-371.4</v>
      </c>
      <c r="G59" s="49">
        <v>-420</v>
      </c>
      <c r="H59" s="49">
        <f>-423.9</f>
        <v>-423.9</v>
      </c>
      <c r="I59" s="49">
        <v>-382</v>
      </c>
      <c r="J59" s="49">
        <v>-343</v>
      </c>
      <c r="K59" s="49">
        <v>-271.10000000000002</v>
      </c>
      <c r="L59" s="49">
        <v>-277.89999999999998</v>
      </c>
      <c r="M59" s="49">
        <v>-298.89999999999998</v>
      </c>
      <c r="N59" s="49">
        <v>-298</v>
      </c>
      <c r="O59" s="49">
        <v>-15</v>
      </c>
      <c r="P59" s="49">
        <v>-40.200000000000003</v>
      </c>
      <c r="Q59" s="49">
        <v>-46</v>
      </c>
      <c r="R59" s="49">
        <v>-13.9</v>
      </c>
      <c r="S59" s="49">
        <v>-130</v>
      </c>
      <c r="T59" s="49">
        <v>-293</v>
      </c>
      <c r="U59" s="49">
        <v>-295</v>
      </c>
      <c r="V59" s="49">
        <v>-290</v>
      </c>
      <c r="W59" s="49">
        <v>-334</v>
      </c>
      <c r="X59" s="49">
        <v>-307</v>
      </c>
      <c r="Y59" s="49">
        <v>-307</v>
      </c>
      <c r="Z59" s="49">
        <v>-250</v>
      </c>
      <c r="AA59" s="49">
        <v>-173</v>
      </c>
      <c r="AB59" s="49">
        <v>-145</v>
      </c>
      <c r="AC59" s="49">
        <v>-176.4</v>
      </c>
      <c r="AD59" s="49">
        <v>-242</v>
      </c>
      <c r="AE59" s="49">
        <v>-278</v>
      </c>
      <c r="AF59" s="49">
        <v>-280</v>
      </c>
      <c r="AG59" s="77"/>
      <c r="AH59" s="55">
        <f t="shared" si="2"/>
        <v>-13.9</v>
      </c>
      <c r="AI59" s="56">
        <f t="shared" si="3"/>
        <v>-423.9</v>
      </c>
      <c r="AK59" s="57"/>
    </row>
    <row r="60" spans="1:37" x14ac:dyDescent="0.25">
      <c r="A60" s="63" t="s">
        <v>68</v>
      </c>
      <c r="B60" s="78">
        <v>15</v>
      </c>
      <c r="C60" s="78">
        <v>15</v>
      </c>
      <c r="D60" s="78">
        <v>15</v>
      </c>
      <c r="E60" s="78">
        <v>0</v>
      </c>
      <c r="F60" s="78">
        <v>15</v>
      </c>
      <c r="G60" s="78">
        <v>15</v>
      </c>
      <c r="H60" s="78">
        <v>15</v>
      </c>
      <c r="I60" s="78">
        <v>15</v>
      </c>
      <c r="J60" s="78">
        <v>15</v>
      </c>
      <c r="K60" s="78">
        <v>15</v>
      </c>
      <c r="L60" s="78">
        <v>15</v>
      </c>
      <c r="M60" s="78">
        <v>15</v>
      </c>
      <c r="N60" s="78">
        <v>20</v>
      </c>
      <c r="O60" s="78">
        <v>17</v>
      </c>
      <c r="P60" s="78">
        <v>0</v>
      </c>
      <c r="Q60" s="78">
        <v>33.9</v>
      </c>
      <c r="R60" s="78">
        <v>33</v>
      </c>
      <c r="S60" s="78">
        <v>32</v>
      </c>
      <c r="T60" s="78">
        <v>33.9</v>
      </c>
      <c r="U60" s="78">
        <v>36.299999999999997</v>
      </c>
      <c r="V60" s="78">
        <v>34.700000000000003</v>
      </c>
      <c r="W60" s="78">
        <v>33</v>
      </c>
      <c r="X60" s="78">
        <v>31.8</v>
      </c>
      <c r="Y60" s="78">
        <v>31.8</v>
      </c>
      <c r="Z60" s="78">
        <v>14</v>
      </c>
      <c r="AA60" s="78">
        <v>14</v>
      </c>
      <c r="AB60" s="78">
        <v>14</v>
      </c>
      <c r="AC60" s="78">
        <v>12</v>
      </c>
      <c r="AD60" s="78">
        <v>12</v>
      </c>
      <c r="AE60" s="78">
        <v>12</v>
      </c>
      <c r="AF60" s="78">
        <v>29</v>
      </c>
      <c r="AG60" s="77"/>
      <c r="AH60" s="55">
        <f t="shared" si="2"/>
        <v>36.299999999999997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4</v>
      </c>
      <c r="C62" s="79">
        <v>4</v>
      </c>
      <c r="D62" s="79">
        <v>4</v>
      </c>
      <c r="E62" s="79">
        <v>4</v>
      </c>
      <c r="F62" s="79">
        <v>4</v>
      </c>
      <c r="G62" s="79">
        <v>4</v>
      </c>
      <c r="H62" s="79">
        <v>4</v>
      </c>
      <c r="I62" s="79">
        <v>4</v>
      </c>
      <c r="J62" s="79">
        <v>4</v>
      </c>
      <c r="K62" s="79">
        <v>4</v>
      </c>
      <c r="L62" s="79">
        <v>4</v>
      </c>
      <c r="M62" s="79">
        <v>4</v>
      </c>
      <c r="N62" s="79">
        <v>4</v>
      </c>
      <c r="O62" s="79">
        <v>8</v>
      </c>
      <c r="P62" s="79">
        <v>4</v>
      </c>
      <c r="Q62" s="79">
        <v>4</v>
      </c>
      <c r="R62" s="79">
        <v>4</v>
      </c>
      <c r="S62" s="79">
        <v>4</v>
      </c>
      <c r="T62" s="79">
        <v>4</v>
      </c>
      <c r="U62" s="79">
        <v>4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5">
        <f t="shared" si="2"/>
        <v>8</v>
      </c>
      <c r="AI62" s="56">
        <f t="shared" si="3"/>
        <v>4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79.8</v>
      </c>
      <c r="C68" s="70">
        <f t="shared" ref="C68:AF68" si="9">SUMIF(C57:C67,"&gt;0")</f>
        <v>75.67</v>
      </c>
      <c r="D68" s="70">
        <f t="shared" si="9"/>
        <v>72</v>
      </c>
      <c r="E68" s="70">
        <f t="shared" si="9"/>
        <v>63.55</v>
      </c>
      <c r="F68" s="70">
        <f t="shared" si="9"/>
        <v>62.5</v>
      </c>
      <c r="G68" s="70">
        <f t="shared" si="9"/>
        <v>59</v>
      </c>
      <c r="H68" s="70">
        <f t="shared" si="9"/>
        <v>77.5</v>
      </c>
      <c r="I68" s="70">
        <f t="shared" si="9"/>
        <v>77.8</v>
      </c>
      <c r="J68" s="70">
        <f t="shared" si="9"/>
        <v>72</v>
      </c>
      <c r="K68" s="70">
        <f t="shared" si="9"/>
        <v>80.8</v>
      </c>
      <c r="L68" s="70">
        <f t="shared" si="9"/>
        <v>76.099999999999994</v>
      </c>
      <c r="M68" s="70">
        <f t="shared" si="9"/>
        <v>70.2</v>
      </c>
      <c r="N68" s="70">
        <f t="shared" si="9"/>
        <v>92.2</v>
      </c>
      <c r="O68" s="70">
        <f t="shared" si="9"/>
        <v>101.5</v>
      </c>
      <c r="P68" s="70">
        <f t="shared" si="9"/>
        <v>68.099999999999994</v>
      </c>
      <c r="Q68" s="70">
        <f t="shared" si="9"/>
        <v>110.69999999999999</v>
      </c>
      <c r="R68" s="70">
        <f t="shared" si="9"/>
        <v>110.8</v>
      </c>
      <c r="S68" s="70">
        <f t="shared" si="9"/>
        <v>106</v>
      </c>
      <c r="T68" s="70">
        <f t="shared" si="9"/>
        <v>108.9</v>
      </c>
      <c r="U68" s="70">
        <f t="shared" si="9"/>
        <v>112.3</v>
      </c>
      <c r="V68" s="70">
        <f t="shared" si="9"/>
        <v>107.7</v>
      </c>
      <c r="W68" s="70">
        <f t="shared" si="9"/>
        <v>103</v>
      </c>
      <c r="X68" s="70">
        <f t="shared" si="9"/>
        <v>97.8</v>
      </c>
      <c r="Y68" s="70">
        <f t="shared" si="9"/>
        <v>97.8</v>
      </c>
      <c r="Z68" s="70">
        <f t="shared" si="9"/>
        <v>80</v>
      </c>
      <c r="AA68" s="70">
        <f t="shared" si="9"/>
        <v>80</v>
      </c>
      <c r="AB68" s="70">
        <f t="shared" si="9"/>
        <v>96.3</v>
      </c>
      <c r="AC68" s="70">
        <f t="shared" si="9"/>
        <v>94.2</v>
      </c>
      <c r="AD68" s="70">
        <f t="shared" si="9"/>
        <v>96</v>
      </c>
      <c r="AE68" s="70">
        <f t="shared" si="9"/>
        <v>95</v>
      </c>
      <c r="AF68" s="70">
        <f t="shared" si="9"/>
        <v>99</v>
      </c>
      <c r="AG68" s="74">
        <f>SUM(AG57:AG67)</f>
        <v>0</v>
      </c>
      <c r="AH68" s="55">
        <f t="shared" si="2"/>
        <v>112.3</v>
      </c>
      <c r="AI68" s="56">
        <f t="shared" si="3"/>
        <v>59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1635.24</v>
      </c>
      <c r="C73" s="84">
        <f t="shared" ref="C73:AF73" si="10">C38+C52+C68+C72</f>
        <v>1695.91</v>
      </c>
      <c r="D73" s="84">
        <f t="shared" si="10"/>
        <v>1633.8400000000001</v>
      </c>
      <c r="E73" s="84">
        <f t="shared" si="10"/>
        <v>1639.49</v>
      </c>
      <c r="F73" s="84">
        <f t="shared" si="10"/>
        <v>1573.44</v>
      </c>
      <c r="G73" s="84">
        <f t="shared" si="10"/>
        <v>1653.9400000000003</v>
      </c>
      <c r="H73" s="84">
        <f t="shared" si="10"/>
        <v>1680.14</v>
      </c>
      <c r="I73" s="84">
        <f t="shared" si="10"/>
        <v>1641.94</v>
      </c>
      <c r="J73" s="84">
        <f t="shared" si="10"/>
        <v>1621.44</v>
      </c>
      <c r="K73" s="84">
        <f t="shared" si="10"/>
        <v>1583.8400000000001</v>
      </c>
      <c r="L73" s="84">
        <f t="shared" si="10"/>
        <v>1589.04</v>
      </c>
      <c r="M73" s="84">
        <f t="shared" si="10"/>
        <v>1609.44</v>
      </c>
      <c r="N73" s="84">
        <f t="shared" si="10"/>
        <v>1616.0400000000002</v>
      </c>
      <c r="O73" s="84">
        <f t="shared" si="10"/>
        <v>1352.04</v>
      </c>
      <c r="P73" s="84">
        <f t="shared" si="10"/>
        <v>1458.04</v>
      </c>
      <c r="Q73" s="84">
        <f t="shared" si="10"/>
        <v>1495.64</v>
      </c>
      <c r="R73" s="84">
        <f t="shared" si="10"/>
        <v>1456.64</v>
      </c>
      <c r="S73" s="84">
        <f t="shared" si="10"/>
        <v>1599.54</v>
      </c>
      <c r="T73" s="84">
        <f t="shared" si="10"/>
        <v>1697.2400000000002</v>
      </c>
      <c r="U73" s="84">
        <f t="shared" si="10"/>
        <v>1712.54</v>
      </c>
      <c r="V73" s="84">
        <f t="shared" si="10"/>
        <v>1707.94</v>
      </c>
      <c r="W73" s="84">
        <f t="shared" si="10"/>
        <v>1706.24</v>
      </c>
      <c r="X73" s="84">
        <f t="shared" si="10"/>
        <v>1701.14</v>
      </c>
      <c r="Y73" s="84">
        <f t="shared" si="10"/>
        <v>1701.14</v>
      </c>
      <c r="Z73" s="84">
        <f t="shared" si="10"/>
        <v>1683.3400000000001</v>
      </c>
      <c r="AA73" s="84">
        <f t="shared" si="10"/>
        <v>1676.1400000000003</v>
      </c>
      <c r="AB73" s="84">
        <f t="shared" si="10"/>
        <v>1700.84</v>
      </c>
      <c r="AC73" s="84">
        <f t="shared" si="10"/>
        <v>1699.24</v>
      </c>
      <c r="AD73" s="84">
        <f t="shared" si="10"/>
        <v>1710.8400000000001</v>
      </c>
      <c r="AE73" s="84">
        <f t="shared" si="10"/>
        <v>1694.8400000000001</v>
      </c>
      <c r="AF73" s="84">
        <f t="shared" si="10"/>
        <v>1711.44</v>
      </c>
      <c r="AG73" s="84">
        <f t="shared" ref="AG73" si="11">AG68+AG56+AG52+AG38+AG72</f>
        <v>2144.14</v>
      </c>
      <c r="AH73" s="55">
        <f t="shared" si="2"/>
        <v>1712.54</v>
      </c>
      <c r="AI73" s="56">
        <f t="shared" si="3"/>
        <v>1352.04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>
        <v>10</v>
      </c>
      <c r="O74" s="86">
        <v>45</v>
      </c>
      <c r="P74" s="86"/>
      <c r="Q74" s="86"/>
      <c r="R74" s="86"/>
      <c r="S74" s="86">
        <v>10</v>
      </c>
      <c r="T74" s="86">
        <v>10</v>
      </c>
      <c r="U74" s="86">
        <v>10</v>
      </c>
      <c r="V74" s="86">
        <v>10</v>
      </c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45</v>
      </c>
      <c r="AI74" s="56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1635.24</v>
      </c>
      <c r="C75" s="84">
        <f t="shared" ref="C75:AF75" si="12">C73+C74</f>
        <v>1695.91</v>
      </c>
      <c r="D75" s="84">
        <f t="shared" si="12"/>
        <v>1633.8400000000001</v>
      </c>
      <c r="E75" s="84">
        <f t="shared" si="12"/>
        <v>1639.49</v>
      </c>
      <c r="F75" s="84">
        <f t="shared" si="12"/>
        <v>1573.44</v>
      </c>
      <c r="G75" s="84">
        <f t="shared" si="12"/>
        <v>1653.9400000000003</v>
      </c>
      <c r="H75" s="84">
        <f t="shared" si="12"/>
        <v>1680.14</v>
      </c>
      <c r="I75" s="84">
        <f t="shared" si="12"/>
        <v>1641.94</v>
      </c>
      <c r="J75" s="84">
        <f t="shared" si="12"/>
        <v>1621.44</v>
      </c>
      <c r="K75" s="84">
        <f t="shared" si="12"/>
        <v>1583.8400000000001</v>
      </c>
      <c r="L75" s="84">
        <f t="shared" si="12"/>
        <v>1589.04</v>
      </c>
      <c r="M75" s="84">
        <f t="shared" si="12"/>
        <v>1609.44</v>
      </c>
      <c r="N75" s="84">
        <f t="shared" si="12"/>
        <v>1626.0400000000002</v>
      </c>
      <c r="O75" s="84">
        <f t="shared" si="12"/>
        <v>1397.04</v>
      </c>
      <c r="P75" s="84">
        <f t="shared" si="12"/>
        <v>1458.04</v>
      </c>
      <c r="Q75" s="84">
        <f t="shared" si="12"/>
        <v>1495.64</v>
      </c>
      <c r="R75" s="84">
        <f t="shared" si="12"/>
        <v>1456.64</v>
      </c>
      <c r="S75" s="84">
        <f t="shared" si="12"/>
        <v>1609.54</v>
      </c>
      <c r="T75" s="84">
        <f t="shared" si="12"/>
        <v>1707.2400000000002</v>
      </c>
      <c r="U75" s="84">
        <f t="shared" si="12"/>
        <v>1722.54</v>
      </c>
      <c r="V75" s="84">
        <f t="shared" si="12"/>
        <v>1717.94</v>
      </c>
      <c r="W75" s="84">
        <f t="shared" si="12"/>
        <v>1706.24</v>
      </c>
      <c r="X75" s="84">
        <f t="shared" si="12"/>
        <v>1701.14</v>
      </c>
      <c r="Y75" s="84">
        <f t="shared" si="12"/>
        <v>1701.14</v>
      </c>
      <c r="Z75" s="84">
        <f t="shared" si="12"/>
        <v>1683.3400000000001</v>
      </c>
      <c r="AA75" s="84">
        <f t="shared" si="12"/>
        <v>1676.1400000000003</v>
      </c>
      <c r="AB75" s="84">
        <f t="shared" si="12"/>
        <v>1700.84</v>
      </c>
      <c r="AC75" s="84">
        <f t="shared" si="12"/>
        <v>1699.24</v>
      </c>
      <c r="AD75" s="84">
        <f t="shared" si="12"/>
        <v>1710.8400000000001</v>
      </c>
      <c r="AE75" s="84">
        <f t="shared" si="12"/>
        <v>1694.8400000000001</v>
      </c>
      <c r="AF75" s="84">
        <f t="shared" si="12"/>
        <v>1711.44</v>
      </c>
      <c r="AG75" s="74">
        <f>AG72+AG68+AG56+AG52+AG38+AG74</f>
        <v>2144.14</v>
      </c>
      <c r="AH75" s="55">
        <f t="shared" si="2"/>
        <v>1722.54</v>
      </c>
      <c r="AI75" s="56">
        <f t="shared" si="3"/>
        <v>1397.04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3">IF(C60&lt;0,C60*-1,0)</f>
        <v>0</v>
      </c>
      <c r="D76" s="78">
        <f t="shared" si="13"/>
        <v>0</v>
      </c>
      <c r="E76" s="78">
        <f t="shared" si="13"/>
        <v>0</v>
      </c>
      <c r="F76" s="78">
        <f t="shared" si="13"/>
        <v>0</v>
      </c>
      <c r="G76" s="78">
        <f t="shared" si="13"/>
        <v>0</v>
      </c>
      <c r="H76" s="78">
        <f t="shared" si="13"/>
        <v>0</v>
      </c>
      <c r="I76" s="78">
        <f t="shared" si="13"/>
        <v>0</v>
      </c>
      <c r="J76" s="78">
        <f t="shared" si="13"/>
        <v>0</v>
      </c>
      <c r="K76" s="78">
        <f t="shared" si="13"/>
        <v>0</v>
      </c>
      <c r="L76" s="78">
        <f t="shared" si="13"/>
        <v>0</v>
      </c>
      <c r="M76" s="78">
        <f t="shared" si="13"/>
        <v>0</v>
      </c>
      <c r="N76" s="78">
        <f t="shared" si="13"/>
        <v>0</v>
      </c>
      <c r="O76" s="78">
        <f t="shared" si="13"/>
        <v>0</v>
      </c>
      <c r="P76" s="78">
        <f t="shared" si="13"/>
        <v>0</v>
      </c>
      <c r="Q76" s="78">
        <f t="shared" si="13"/>
        <v>0</v>
      </c>
      <c r="R76" s="78">
        <f t="shared" si="13"/>
        <v>0</v>
      </c>
      <c r="S76" s="78">
        <f t="shared" si="13"/>
        <v>0</v>
      </c>
      <c r="T76" s="78">
        <f t="shared" si="13"/>
        <v>0</v>
      </c>
      <c r="U76" s="78">
        <f t="shared" si="13"/>
        <v>0</v>
      </c>
      <c r="V76" s="78">
        <f t="shared" si="13"/>
        <v>0</v>
      </c>
      <c r="W76" s="78">
        <f t="shared" si="13"/>
        <v>0</v>
      </c>
      <c r="X76" s="78">
        <f t="shared" si="13"/>
        <v>0</v>
      </c>
      <c r="Y76" s="78">
        <f t="shared" si="13"/>
        <v>0</v>
      </c>
      <c r="Z76" s="78">
        <f t="shared" si="13"/>
        <v>0</v>
      </c>
      <c r="AA76" s="78">
        <f t="shared" si="13"/>
        <v>0</v>
      </c>
      <c r="AB76" s="78">
        <f t="shared" si="13"/>
        <v>0</v>
      </c>
      <c r="AC76" s="78">
        <f t="shared" si="13"/>
        <v>0</v>
      </c>
      <c r="AD76" s="78">
        <f t="shared" si="13"/>
        <v>0</v>
      </c>
      <c r="AE76" s="78">
        <f t="shared" si="13"/>
        <v>0</v>
      </c>
      <c r="AF76" s="78">
        <f t="shared" si="13"/>
        <v>0</v>
      </c>
      <c r="AG76" s="60"/>
      <c r="AH76" s="55">
        <f t="shared" ref="AH76:AH91" si="14">MAX(B76:AF76)</f>
        <v>0</v>
      </c>
      <c r="AI76" s="56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6">IF(C58&lt;0,C58*-1,0)</f>
        <v>0</v>
      </c>
      <c r="D77" s="78">
        <f t="shared" si="16"/>
        <v>0</v>
      </c>
      <c r="E77" s="78">
        <f t="shared" si="16"/>
        <v>0</v>
      </c>
      <c r="F77" s="78">
        <f t="shared" si="16"/>
        <v>0</v>
      </c>
      <c r="G77" s="78">
        <f t="shared" si="16"/>
        <v>0</v>
      </c>
      <c r="H77" s="78">
        <f t="shared" si="16"/>
        <v>0</v>
      </c>
      <c r="I77" s="78">
        <f t="shared" si="16"/>
        <v>0</v>
      </c>
      <c r="J77" s="78">
        <f t="shared" si="16"/>
        <v>0</v>
      </c>
      <c r="K77" s="78">
        <f t="shared" si="16"/>
        <v>0</v>
      </c>
      <c r="L77" s="78">
        <f t="shared" si="16"/>
        <v>0</v>
      </c>
      <c r="M77" s="78">
        <f t="shared" si="16"/>
        <v>0</v>
      </c>
      <c r="N77" s="78">
        <f t="shared" si="16"/>
        <v>0</v>
      </c>
      <c r="O77" s="78">
        <f t="shared" si="16"/>
        <v>0</v>
      </c>
      <c r="P77" s="78">
        <f t="shared" si="16"/>
        <v>0</v>
      </c>
      <c r="Q77" s="78">
        <f t="shared" si="16"/>
        <v>0</v>
      </c>
      <c r="R77" s="78">
        <f t="shared" si="16"/>
        <v>0</v>
      </c>
      <c r="S77" s="78">
        <f t="shared" si="16"/>
        <v>0</v>
      </c>
      <c r="T77" s="78">
        <f t="shared" si="16"/>
        <v>0</v>
      </c>
      <c r="U77" s="78">
        <f t="shared" si="16"/>
        <v>0</v>
      </c>
      <c r="V77" s="78">
        <f t="shared" si="16"/>
        <v>0</v>
      </c>
      <c r="W77" s="78">
        <f t="shared" si="16"/>
        <v>0</v>
      </c>
      <c r="X77" s="78">
        <f t="shared" si="16"/>
        <v>0</v>
      </c>
      <c r="Y77" s="78">
        <f t="shared" si="16"/>
        <v>0</v>
      </c>
      <c r="Z77" s="78">
        <f t="shared" si="16"/>
        <v>0</v>
      </c>
      <c r="AA77" s="78">
        <f t="shared" si="16"/>
        <v>0</v>
      </c>
      <c r="AB77" s="78">
        <f t="shared" si="16"/>
        <v>0</v>
      </c>
      <c r="AC77" s="78">
        <f t="shared" si="16"/>
        <v>0</v>
      </c>
      <c r="AD77" s="78">
        <f t="shared" si="16"/>
        <v>0</v>
      </c>
      <c r="AE77" s="78">
        <f t="shared" si="16"/>
        <v>0</v>
      </c>
      <c r="AF77" s="78">
        <f t="shared" si="16"/>
        <v>0</v>
      </c>
      <c r="AG77" s="64"/>
      <c r="AH77" s="55">
        <f t="shared" si="14"/>
        <v>0</v>
      </c>
      <c r="AI77" s="56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7">IF(C61&lt;0,C61*-1,0)</f>
        <v>0</v>
      </c>
      <c r="D78" s="78">
        <f t="shared" si="17"/>
        <v>0</v>
      </c>
      <c r="E78" s="78">
        <f t="shared" si="17"/>
        <v>0</v>
      </c>
      <c r="F78" s="78">
        <f t="shared" si="17"/>
        <v>0</v>
      </c>
      <c r="G78" s="78">
        <f t="shared" si="17"/>
        <v>0</v>
      </c>
      <c r="H78" s="78">
        <f t="shared" si="17"/>
        <v>0</v>
      </c>
      <c r="I78" s="78">
        <f t="shared" si="17"/>
        <v>0</v>
      </c>
      <c r="J78" s="78">
        <f t="shared" si="17"/>
        <v>0</v>
      </c>
      <c r="K78" s="78">
        <f t="shared" si="17"/>
        <v>0</v>
      </c>
      <c r="L78" s="78">
        <f t="shared" si="17"/>
        <v>0</v>
      </c>
      <c r="M78" s="78">
        <f t="shared" si="17"/>
        <v>0</v>
      </c>
      <c r="N78" s="78">
        <f t="shared" si="17"/>
        <v>0</v>
      </c>
      <c r="O78" s="78">
        <f t="shared" si="17"/>
        <v>0</v>
      </c>
      <c r="P78" s="78">
        <f t="shared" si="17"/>
        <v>0</v>
      </c>
      <c r="Q78" s="78">
        <f t="shared" si="17"/>
        <v>0</v>
      </c>
      <c r="R78" s="78">
        <f t="shared" si="17"/>
        <v>0</v>
      </c>
      <c r="S78" s="78">
        <f t="shared" si="17"/>
        <v>0</v>
      </c>
      <c r="T78" s="78">
        <f t="shared" si="17"/>
        <v>0</v>
      </c>
      <c r="U78" s="78">
        <f t="shared" si="17"/>
        <v>0</v>
      </c>
      <c r="V78" s="78">
        <f t="shared" si="17"/>
        <v>0</v>
      </c>
      <c r="W78" s="78">
        <f t="shared" si="17"/>
        <v>0</v>
      </c>
      <c r="X78" s="78">
        <f t="shared" si="17"/>
        <v>0</v>
      </c>
      <c r="Y78" s="78">
        <f t="shared" si="17"/>
        <v>0</v>
      </c>
      <c r="Z78" s="78">
        <f t="shared" si="17"/>
        <v>0</v>
      </c>
      <c r="AA78" s="78">
        <f t="shared" si="17"/>
        <v>0</v>
      </c>
      <c r="AB78" s="78">
        <f t="shared" si="17"/>
        <v>0</v>
      </c>
      <c r="AC78" s="78">
        <f t="shared" si="17"/>
        <v>0</v>
      </c>
      <c r="AD78" s="78">
        <f t="shared" si="17"/>
        <v>0</v>
      </c>
      <c r="AE78" s="78">
        <f t="shared" si="17"/>
        <v>0</v>
      </c>
      <c r="AF78" s="78">
        <f t="shared" si="17"/>
        <v>0</v>
      </c>
      <c r="AG78" s="87"/>
      <c r="AH78" s="55">
        <f t="shared" si="14"/>
        <v>0</v>
      </c>
      <c r="AI78" s="56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348</v>
      </c>
      <c r="C79" s="78">
        <f t="shared" ref="C79:AF79" si="18">IF(C59&lt;0,C59*-1,0)</f>
        <v>360</v>
      </c>
      <c r="D79" s="78">
        <f t="shared" si="18"/>
        <v>359</v>
      </c>
      <c r="E79" s="78">
        <f t="shared" si="18"/>
        <v>373.6</v>
      </c>
      <c r="F79" s="78">
        <f t="shared" si="18"/>
        <v>371.4</v>
      </c>
      <c r="G79" s="78">
        <f t="shared" si="18"/>
        <v>420</v>
      </c>
      <c r="H79" s="78">
        <f t="shared" si="18"/>
        <v>423.9</v>
      </c>
      <c r="I79" s="78">
        <f t="shared" si="18"/>
        <v>382</v>
      </c>
      <c r="J79" s="78">
        <f t="shared" si="18"/>
        <v>343</v>
      </c>
      <c r="K79" s="78">
        <f t="shared" si="18"/>
        <v>271.10000000000002</v>
      </c>
      <c r="L79" s="78">
        <f t="shared" si="18"/>
        <v>277.89999999999998</v>
      </c>
      <c r="M79" s="78">
        <f t="shared" si="18"/>
        <v>298.89999999999998</v>
      </c>
      <c r="N79" s="78">
        <f t="shared" si="18"/>
        <v>298</v>
      </c>
      <c r="O79" s="78">
        <f t="shared" si="18"/>
        <v>15</v>
      </c>
      <c r="P79" s="78">
        <f t="shared" si="18"/>
        <v>40.200000000000003</v>
      </c>
      <c r="Q79" s="78">
        <f t="shared" si="18"/>
        <v>46</v>
      </c>
      <c r="R79" s="78">
        <f t="shared" si="18"/>
        <v>13.9</v>
      </c>
      <c r="S79" s="78">
        <f t="shared" si="18"/>
        <v>130</v>
      </c>
      <c r="T79" s="78">
        <f t="shared" si="18"/>
        <v>293</v>
      </c>
      <c r="U79" s="78">
        <f t="shared" si="18"/>
        <v>295</v>
      </c>
      <c r="V79" s="78">
        <f t="shared" si="18"/>
        <v>290</v>
      </c>
      <c r="W79" s="78">
        <f t="shared" si="18"/>
        <v>334</v>
      </c>
      <c r="X79" s="78">
        <f t="shared" si="18"/>
        <v>307</v>
      </c>
      <c r="Y79" s="78">
        <f t="shared" si="18"/>
        <v>307</v>
      </c>
      <c r="Z79" s="78">
        <f t="shared" si="18"/>
        <v>250</v>
      </c>
      <c r="AA79" s="78">
        <f t="shared" si="18"/>
        <v>173</v>
      </c>
      <c r="AB79" s="78">
        <f t="shared" si="18"/>
        <v>145</v>
      </c>
      <c r="AC79" s="78">
        <f t="shared" si="18"/>
        <v>176.4</v>
      </c>
      <c r="AD79" s="78">
        <f t="shared" si="18"/>
        <v>242</v>
      </c>
      <c r="AE79" s="78">
        <f t="shared" si="18"/>
        <v>278</v>
      </c>
      <c r="AF79" s="78">
        <f t="shared" si="18"/>
        <v>280</v>
      </c>
      <c r="AG79" s="87"/>
      <c r="AH79" s="55">
        <f t="shared" si="14"/>
        <v>423.9</v>
      </c>
      <c r="AI79" s="56">
        <f t="shared" si="15"/>
        <v>13.9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19">IF(C57&lt;0,C57*-1,0)</f>
        <v>0</v>
      </c>
      <c r="D80" s="78">
        <f t="shared" si="19"/>
        <v>0</v>
      </c>
      <c r="E80" s="78">
        <f t="shared" si="19"/>
        <v>0</v>
      </c>
      <c r="F80" s="78">
        <f t="shared" si="19"/>
        <v>0</v>
      </c>
      <c r="G80" s="78">
        <f t="shared" si="19"/>
        <v>0</v>
      </c>
      <c r="H80" s="78">
        <f t="shared" si="19"/>
        <v>0</v>
      </c>
      <c r="I80" s="78">
        <f t="shared" si="19"/>
        <v>0</v>
      </c>
      <c r="J80" s="78">
        <f t="shared" si="19"/>
        <v>0</v>
      </c>
      <c r="K80" s="78">
        <f t="shared" si="19"/>
        <v>0</v>
      </c>
      <c r="L80" s="78">
        <f t="shared" si="19"/>
        <v>0</v>
      </c>
      <c r="M80" s="78">
        <f t="shared" si="19"/>
        <v>0</v>
      </c>
      <c r="N80" s="78">
        <f t="shared" si="19"/>
        <v>0</v>
      </c>
      <c r="O80" s="78">
        <f t="shared" si="19"/>
        <v>0</v>
      </c>
      <c r="P80" s="78">
        <f t="shared" si="19"/>
        <v>0</v>
      </c>
      <c r="Q80" s="78">
        <f t="shared" si="19"/>
        <v>0</v>
      </c>
      <c r="R80" s="78">
        <f t="shared" si="19"/>
        <v>0</v>
      </c>
      <c r="S80" s="78">
        <f t="shared" si="19"/>
        <v>0</v>
      </c>
      <c r="T80" s="78">
        <f t="shared" si="19"/>
        <v>0</v>
      </c>
      <c r="U80" s="78">
        <f t="shared" si="19"/>
        <v>0</v>
      </c>
      <c r="V80" s="78">
        <f t="shared" si="19"/>
        <v>0</v>
      </c>
      <c r="W80" s="78">
        <f t="shared" si="19"/>
        <v>0</v>
      </c>
      <c r="X80" s="78">
        <f t="shared" si="19"/>
        <v>0</v>
      </c>
      <c r="Y80" s="78">
        <f t="shared" si="19"/>
        <v>0</v>
      </c>
      <c r="Z80" s="78">
        <f t="shared" si="19"/>
        <v>0</v>
      </c>
      <c r="AA80" s="78">
        <f t="shared" si="19"/>
        <v>0</v>
      </c>
      <c r="AB80" s="78">
        <f t="shared" si="19"/>
        <v>0</v>
      </c>
      <c r="AC80" s="78">
        <f t="shared" si="19"/>
        <v>0</v>
      </c>
      <c r="AD80" s="78">
        <f t="shared" si="19"/>
        <v>0</v>
      </c>
      <c r="AE80" s="78">
        <f t="shared" si="19"/>
        <v>0</v>
      </c>
      <c r="AF80" s="78">
        <f t="shared" si="19"/>
        <v>0</v>
      </c>
      <c r="AG80" s="87"/>
      <c r="AH80" s="55">
        <f t="shared" si="14"/>
        <v>0</v>
      </c>
      <c r="AI80" s="56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4"/>
        <v>0</v>
      </c>
      <c r="AI81" s="56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348</v>
      </c>
      <c r="C82" s="70">
        <f t="shared" ref="C82:AG82" si="20">SUM(C76:C81)</f>
        <v>360</v>
      </c>
      <c r="D82" s="70">
        <f t="shared" si="20"/>
        <v>359</v>
      </c>
      <c r="E82" s="70">
        <f t="shared" si="20"/>
        <v>373.6</v>
      </c>
      <c r="F82" s="70">
        <f t="shared" si="20"/>
        <v>371.4</v>
      </c>
      <c r="G82" s="70">
        <f t="shared" si="20"/>
        <v>420</v>
      </c>
      <c r="H82" s="70">
        <f t="shared" si="20"/>
        <v>423.9</v>
      </c>
      <c r="I82" s="70">
        <f t="shared" si="20"/>
        <v>382</v>
      </c>
      <c r="J82" s="70">
        <f t="shared" si="20"/>
        <v>343</v>
      </c>
      <c r="K82" s="70">
        <f t="shared" si="20"/>
        <v>271.10000000000002</v>
      </c>
      <c r="L82" s="70">
        <f t="shared" si="20"/>
        <v>277.89999999999998</v>
      </c>
      <c r="M82" s="70">
        <f t="shared" si="20"/>
        <v>298.89999999999998</v>
      </c>
      <c r="N82" s="70">
        <f t="shared" si="20"/>
        <v>298</v>
      </c>
      <c r="O82" s="70">
        <f t="shared" si="20"/>
        <v>15</v>
      </c>
      <c r="P82" s="70">
        <f t="shared" si="20"/>
        <v>40.200000000000003</v>
      </c>
      <c r="Q82" s="70">
        <f t="shared" si="20"/>
        <v>46</v>
      </c>
      <c r="R82" s="70">
        <f t="shared" si="20"/>
        <v>13.9</v>
      </c>
      <c r="S82" s="70">
        <f t="shared" si="20"/>
        <v>130</v>
      </c>
      <c r="T82" s="70">
        <f t="shared" si="20"/>
        <v>293</v>
      </c>
      <c r="U82" s="70">
        <f t="shared" si="20"/>
        <v>295</v>
      </c>
      <c r="V82" s="70">
        <f t="shared" si="20"/>
        <v>290</v>
      </c>
      <c r="W82" s="70">
        <f t="shared" si="20"/>
        <v>334</v>
      </c>
      <c r="X82" s="70">
        <f t="shared" si="20"/>
        <v>307</v>
      </c>
      <c r="Y82" s="70">
        <f t="shared" si="20"/>
        <v>307</v>
      </c>
      <c r="Z82" s="70">
        <f t="shared" si="20"/>
        <v>250</v>
      </c>
      <c r="AA82" s="70">
        <f t="shared" si="20"/>
        <v>173</v>
      </c>
      <c r="AB82" s="70">
        <f t="shared" si="20"/>
        <v>145</v>
      </c>
      <c r="AC82" s="70">
        <f t="shared" si="20"/>
        <v>176.4</v>
      </c>
      <c r="AD82" s="70">
        <f t="shared" si="20"/>
        <v>242</v>
      </c>
      <c r="AE82" s="70">
        <f t="shared" si="20"/>
        <v>278</v>
      </c>
      <c r="AF82" s="70">
        <f t="shared" si="20"/>
        <v>280</v>
      </c>
      <c r="AG82" s="74">
        <f t="shared" si="20"/>
        <v>0</v>
      </c>
      <c r="AH82" s="55">
        <f t="shared" si="14"/>
        <v>423.9</v>
      </c>
      <c r="AI82" s="56">
        <f t="shared" si="15"/>
        <v>13.9</v>
      </c>
      <c r="AK82" s="57"/>
    </row>
    <row r="83" spans="1:88" s="1" customFormat="1" ht="15.75" thickBot="1" x14ac:dyDescent="0.3">
      <c r="A83" s="69" t="s">
        <v>88</v>
      </c>
      <c r="B83" s="70">
        <f>B68-B82</f>
        <v>-268.2</v>
      </c>
      <c r="C83" s="70">
        <f t="shared" ref="C83:AF83" si="21">C68-C82</f>
        <v>-284.33</v>
      </c>
      <c r="D83" s="70">
        <f t="shared" si="21"/>
        <v>-287</v>
      </c>
      <c r="E83" s="70">
        <f t="shared" si="21"/>
        <v>-310.05</v>
      </c>
      <c r="F83" s="70">
        <f t="shared" si="21"/>
        <v>-308.89999999999998</v>
      </c>
      <c r="G83" s="70">
        <f t="shared" si="21"/>
        <v>-361</v>
      </c>
      <c r="H83" s="70">
        <f t="shared" si="21"/>
        <v>-346.4</v>
      </c>
      <c r="I83" s="70">
        <f t="shared" si="21"/>
        <v>-304.2</v>
      </c>
      <c r="J83" s="70">
        <f t="shared" si="21"/>
        <v>-271</v>
      </c>
      <c r="K83" s="70">
        <f t="shared" si="21"/>
        <v>-190.3</v>
      </c>
      <c r="L83" s="70">
        <f t="shared" si="21"/>
        <v>-201.79999999999998</v>
      </c>
      <c r="M83" s="70">
        <f t="shared" si="21"/>
        <v>-228.7</v>
      </c>
      <c r="N83" s="70">
        <f t="shared" si="21"/>
        <v>-205.8</v>
      </c>
      <c r="O83" s="70">
        <f t="shared" si="21"/>
        <v>86.5</v>
      </c>
      <c r="P83" s="70">
        <f t="shared" si="21"/>
        <v>27.899999999999991</v>
      </c>
      <c r="Q83" s="70">
        <f t="shared" si="21"/>
        <v>64.699999999999989</v>
      </c>
      <c r="R83" s="70">
        <f t="shared" si="21"/>
        <v>96.899999999999991</v>
      </c>
      <c r="S83" s="70">
        <f t="shared" si="21"/>
        <v>-24</v>
      </c>
      <c r="T83" s="70">
        <f t="shared" si="21"/>
        <v>-184.1</v>
      </c>
      <c r="U83" s="70">
        <f t="shared" si="21"/>
        <v>-182.7</v>
      </c>
      <c r="V83" s="70">
        <f t="shared" si="21"/>
        <v>-182.3</v>
      </c>
      <c r="W83" s="70">
        <f t="shared" si="21"/>
        <v>-231</v>
      </c>
      <c r="X83" s="70">
        <f t="shared" si="21"/>
        <v>-209.2</v>
      </c>
      <c r="Y83" s="70">
        <f t="shared" si="21"/>
        <v>-209.2</v>
      </c>
      <c r="Z83" s="70">
        <f t="shared" si="21"/>
        <v>-170</v>
      </c>
      <c r="AA83" s="70">
        <f t="shared" si="21"/>
        <v>-93</v>
      </c>
      <c r="AB83" s="70">
        <v>50.03</v>
      </c>
      <c r="AC83" s="70">
        <f t="shared" si="21"/>
        <v>-82.2</v>
      </c>
      <c r="AD83" s="70">
        <f t="shared" si="21"/>
        <v>-146</v>
      </c>
      <c r="AE83" s="70">
        <f t="shared" si="21"/>
        <v>-183</v>
      </c>
      <c r="AF83" s="70">
        <f t="shared" si="21"/>
        <v>-181</v>
      </c>
      <c r="AG83" s="74">
        <f t="shared" ref="AG83" si="22">SUM(AG70:AG82)</f>
        <v>4360.08</v>
      </c>
      <c r="AH83" s="55">
        <f t="shared" si="14"/>
        <v>96.899999999999991</v>
      </c>
      <c r="AI83" s="56">
        <f t="shared" si="15"/>
        <v>-361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49.863999999999997</v>
      </c>
      <c r="C84" s="90">
        <v>49.981999999999999</v>
      </c>
      <c r="D84" s="90">
        <v>49.939</v>
      </c>
      <c r="E84" s="90">
        <v>49.941000000000003</v>
      </c>
      <c r="F84" s="90">
        <v>49.941000000000003</v>
      </c>
      <c r="G84" s="90">
        <v>49.970999999999997</v>
      </c>
      <c r="H84" s="90">
        <v>50.037999999999997</v>
      </c>
      <c r="I84" s="90">
        <v>50.023000000000003</v>
      </c>
      <c r="J84" s="90">
        <v>50.034999999999997</v>
      </c>
      <c r="K84" s="90">
        <v>50.023000000000003</v>
      </c>
      <c r="L84" s="90">
        <v>49.91</v>
      </c>
      <c r="M84" s="90">
        <v>50.051000000000002</v>
      </c>
      <c r="N84" s="90">
        <v>50.04</v>
      </c>
      <c r="O84" s="90">
        <v>50.024000000000001</v>
      </c>
      <c r="P84" s="90">
        <v>49.93</v>
      </c>
      <c r="Q84" s="90">
        <v>49.999000000000002</v>
      </c>
      <c r="R84" s="90">
        <v>50.003999999999998</v>
      </c>
      <c r="S84" s="90">
        <v>50.003999999999998</v>
      </c>
      <c r="T84" s="90">
        <v>50.003999999999998</v>
      </c>
      <c r="U84" s="90">
        <v>50.055999999999997</v>
      </c>
      <c r="V84" s="90">
        <v>50.024000000000001</v>
      </c>
      <c r="W84" s="90">
        <v>50.024000000000001</v>
      </c>
      <c r="X84" s="90">
        <v>49.957000000000001</v>
      </c>
      <c r="Y84" s="90">
        <v>49.957000000000001</v>
      </c>
      <c r="Z84" s="90">
        <v>49.957000000000001</v>
      </c>
      <c r="AA84" s="90">
        <v>49.892000000000003</v>
      </c>
      <c r="AB84" s="90">
        <v>50.03</v>
      </c>
      <c r="AC84" s="90">
        <v>49.95</v>
      </c>
      <c r="AD84" s="90">
        <v>49.908999999999999</v>
      </c>
      <c r="AE84" s="90">
        <v>49.908999999999999</v>
      </c>
      <c r="AF84" s="90">
        <v>49.984999999999999</v>
      </c>
      <c r="AG84" s="91"/>
      <c r="AH84" s="55">
        <f t="shared" si="14"/>
        <v>50.055999999999997</v>
      </c>
      <c r="AI84" s="56">
        <f t="shared" si="15"/>
        <v>49.863999999999997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125.5</v>
      </c>
      <c r="C85" s="49">
        <v>126</v>
      </c>
      <c r="D85" s="49">
        <v>126.5</v>
      </c>
      <c r="E85" s="49">
        <v>127.2</v>
      </c>
      <c r="F85" s="49">
        <v>127.2</v>
      </c>
      <c r="G85" s="49">
        <v>125.6</v>
      </c>
      <c r="H85" s="49">
        <v>125.8</v>
      </c>
      <c r="I85" s="49">
        <v>124.9</v>
      </c>
      <c r="J85" s="49">
        <v>124.3</v>
      </c>
      <c r="K85" s="49">
        <v>123.2</v>
      </c>
      <c r="L85" s="49">
        <v>124.2</v>
      </c>
      <c r="M85" s="49">
        <v>124.3</v>
      </c>
      <c r="N85" s="49">
        <v>124.9</v>
      </c>
      <c r="O85" s="49">
        <v>123.4</v>
      </c>
      <c r="P85" s="49">
        <v>122</v>
      </c>
      <c r="Q85" s="49">
        <v>121.8</v>
      </c>
      <c r="R85" s="49">
        <v>122.6</v>
      </c>
      <c r="S85" s="49">
        <v>122.6</v>
      </c>
      <c r="T85" s="49">
        <v>122.6</v>
      </c>
      <c r="U85" s="49">
        <v>122.5</v>
      </c>
      <c r="V85" s="49">
        <v>122</v>
      </c>
      <c r="W85" s="49">
        <v>122</v>
      </c>
      <c r="X85" s="49">
        <v>123</v>
      </c>
      <c r="Y85" s="49">
        <v>123</v>
      </c>
      <c r="Z85" s="49">
        <v>123</v>
      </c>
      <c r="AA85" s="49">
        <v>126</v>
      </c>
      <c r="AB85" s="49">
        <v>125</v>
      </c>
      <c r="AC85" s="49">
        <v>125.3</v>
      </c>
      <c r="AD85" s="49">
        <v>125</v>
      </c>
      <c r="AE85" s="49">
        <v>125</v>
      </c>
      <c r="AF85" s="49">
        <v>125</v>
      </c>
      <c r="AG85" s="93"/>
      <c r="AH85" s="55">
        <f t="shared" si="14"/>
        <v>127.2</v>
      </c>
      <c r="AI85" s="56">
        <f t="shared" si="15"/>
        <v>121.8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129.69999999999999</v>
      </c>
      <c r="C86" s="49">
        <v>131</v>
      </c>
      <c r="D86" s="49">
        <v>131.19999999999999</v>
      </c>
      <c r="E86" s="49">
        <v>131.5</v>
      </c>
      <c r="F86" s="49">
        <v>131.5</v>
      </c>
      <c r="G86" s="49">
        <v>130.9</v>
      </c>
      <c r="H86" s="49">
        <v>130.19999999999999</v>
      </c>
      <c r="I86" s="49">
        <v>129.4</v>
      </c>
      <c r="J86" s="49">
        <v>128.5</v>
      </c>
      <c r="K86" s="49">
        <v>127.6</v>
      </c>
      <c r="L86" s="49">
        <v>127.7</v>
      </c>
      <c r="M86" s="49">
        <v>127.7</v>
      </c>
      <c r="N86" s="49">
        <v>129</v>
      </c>
      <c r="O86" s="49">
        <v>127.3</v>
      </c>
      <c r="P86" s="49">
        <v>126.2</v>
      </c>
      <c r="Q86" s="49">
        <v>126.3</v>
      </c>
      <c r="R86" s="49">
        <v>126.2</v>
      </c>
      <c r="S86" s="49">
        <v>126.2</v>
      </c>
      <c r="T86" s="49">
        <v>126.2</v>
      </c>
      <c r="U86" s="49">
        <v>126.6</v>
      </c>
      <c r="V86" s="49">
        <v>126.7</v>
      </c>
      <c r="W86" s="49">
        <v>126.7</v>
      </c>
      <c r="X86" s="49">
        <v>128</v>
      </c>
      <c r="Y86" s="49">
        <v>128</v>
      </c>
      <c r="Z86" s="49">
        <v>128</v>
      </c>
      <c r="AA86" s="49">
        <v>130</v>
      </c>
      <c r="AB86" s="49">
        <v>129.30000000000001</v>
      </c>
      <c r="AC86" s="49">
        <v>129.69999999999999</v>
      </c>
      <c r="AD86" s="49">
        <v>129</v>
      </c>
      <c r="AE86" s="49">
        <v>129</v>
      </c>
      <c r="AF86" s="49">
        <v>129</v>
      </c>
      <c r="AG86" s="93"/>
      <c r="AH86" s="55">
        <f t="shared" si="14"/>
        <v>131.5</v>
      </c>
      <c r="AI86" s="56">
        <f t="shared" si="15"/>
        <v>126.2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127.5</v>
      </c>
      <c r="C87" s="49">
        <v>126.5</v>
      </c>
      <c r="D87" s="49">
        <v>127.6</v>
      </c>
      <c r="E87" s="49">
        <v>128.30000000000001</v>
      </c>
      <c r="F87" s="49">
        <v>128.30000000000001</v>
      </c>
      <c r="G87" s="49">
        <v>128.1</v>
      </c>
      <c r="H87" s="49">
        <v>127.5</v>
      </c>
      <c r="I87" s="49">
        <v>125.8</v>
      </c>
      <c r="J87" s="49">
        <v>128.69999999999999</v>
      </c>
      <c r="K87" s="49">
        <v>127.3</v>
      </c>
      <c r="L87" s="49">
        <v>126</v>
      </c>
      <c r="M87" s="49">
        <v>127.2</v>
      </c>
      <c r="N87" s="49">
        <v>127.6</v>
      </c>
      <c r="O87" s="49">
        <v>127.6</v>
      </c>
      <c r="P87" s="49">
        <v>128.6</v>
      </c>
      <c r="Q87" s="49">
        <v>127.5</v>
      </c>
      <c r="R87" s="49">
        <v>127.5</v>
      </c>
      <c r="S87" s="49">
        <v>127.5</v>
      </c>
      <c r="T87" s="49">
        <v>127.5</v>
      </c>
      <c r="U87" s="49">
        <v>126</v>
      </c>
      <c r="V87" s="49">
        <v>127.4</v>
      </c>
      <c r="W87" s="49">
        <v>127.4</v>
      </c>
      <c r="X87" s="49">
        <v>127</v>
      </c>
      <c r="Y87" s="49">
        <v>127</v>
      </c>
      <c r="Z87" s="49">
        <v>127</v>
      </c>
      <c r="AA87" s="49">
        <v>127</v>
      </c>
      <c r="AB87" s="49">
        <v>126.5</v>
      </c>
      <c r="AC87" s="49">
        <v>125.3</v>
      </c>
      <c r="AD87" s="49">
        <v>127.5</v>
      </c>
      <c r="AE87" s="49">
        <v>127.5</v>
      </c>
      <c r="AF87" s="49">
        <v>127.5</v>
      </c>
      <c r="AG87" s="93"/>
      <c r="AH87" s="55">
        <f t="shared" si="14"/>
        <v>128.69999999999999</v>
      </c>
      <c r="AI87" s="56">
        <f t="shared" si="15"/>
        <v>125.3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4"/>
        <v>0</v>
      </c>
      <c r="AI88" s="56">
        <f t="shared" si="15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132.1</v>
      </c>
      <c r="C89" s="95">
        <v>130.5</v>
      </c>
      <c r="D89" s="95">
        <v>129.1</v>
      </c>
      <c r="E89" s="95">
        <v>130.5</v>
      </c>
      <c r="F89" s="95">
        <v>130.5</v>
      </c>
      <c r="G89" s="95">
        <v>132.5</v>
      </c>
      <c r="H89" s="95">
        <v>131.6</v>
      </c>
      <c r="I89" s="95">
        <v>129.6</v>
      </c>
      <c r="J89" s="95">
        <v>128.80000000000001</v>
      </c>
      <c r="K89" s="95">
        <v>128.19999999999999</v>
      </c>
      <c r="L89" s="95">
        <v>129.6</v>
      </c>
      <c r="M89" s="95">
        <v>131.69999999999999</v>
      </c>
      <c r="N89" s="95">
        <v>129.4</v>
      </c>
      <c r="O89" s="95">
        <v>129.19999999999999</v>
      </c>
      <c r="P89" s="95">
        <v>131.5</v>
      </c>
      <c r="Q89" s="95">
        <v>131.30000000000001</v>
      </c>
      <c r="R89" s="95">
        <v>132.69999999999999</v>
      </c>
      <c r="S89" s="95">
        <v>132.69999999999999</v>
      </c>
      <c r="T89" s="95">
        <v>132.69999999999999</v>
      </c>
      <c r="U89" s="95">
        <v>131</v>
      </c>
      <c r="V89" s="95">
        <v>133.1</v>
      </c>
      <c r="W89" s="95">
        <v>133.1</v>
      </c>
      <c r="X89" s="95">
        <v>130</v>
      </c>
      <c r="Y89" s="95">
        <v>130</v>
      </c>
      <c r="Z89" s="95">
        <v>130</v>
      </c>
      <c r="AA89" s="95">
        <v>134</v>
      </c>
      <c r="AB89" s="95">
        <v>131.80000000000001</v>
      </c>
      <c r="AC89" s="95">
        <v>131.30000000000001</v>
      </c>
      <c r="AD89" s="95">
        <v>130</v>
      </c>
      <c r="AE89" s="95">
        <v>130</v>
      </c>
      <c r="AF89" s="95">
        <v>130</v>
      </c>
      <c r="AG89" s="96"/>
      <c r="AH89" s="55">
        <f t="shared" si="14"/>
        <v>134</v>
      </c>
      <c r="AI89" s="56">
        <f t="shared" si="15"/>
        <v>128.19999999999999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125.3</v>
      </c>
      <c r="C90" s="49">
        <v>126.6</v>
      </c>
      <c r="D90" s="49">
        <v>124.1</v>
      </c>
      <c r="E90" s="49">
        <v>127.3</v>
      </c>
      <c r="F90" s="49">
        <v>127.3</v>
      </c>
      <c r="G90" s="49">
        <v>132.6</v>
      </c>
      <c r="H90" s="49">
        <v>131.19999999999999</v>
      </c>
      <c r="I90" s="49">
        <v>129.5</v>
      </c>
      <c r="J90" s="49">
        <v>126.6</v>
      </c>
      <c r="K90" s="49">
        <v>126.9</v>
      </c>
      <c r="L90" s="49">
        <v>127.9</v>
      </c>
      <c r="M90" s="49">
        <v>122.9</v>
      </c>
      <c r="N90" s="49">
        <v>123</v>
      </c>
      <c r="O90" s="49">
        <v>133.30000000000001</v>
      </c>
      <c r="P90" s="49">
        <v>124.5</v>
      </c>
      <c r="Q90" s="49">
        <v>122.3</v>
      </c>
      <c r="R90" s="49">
        <v>123.2</v>
      </c>
      <c r="S90" s="49">
        <v>123.2</v>
      </c>
      <c r="T90" s="49">
        <v>123.2</v>
      </c>
      <c r="U90" s="49">
        <v>125</v>
      </c>
      <c r="V90" s="49">
        <v>128.69999999999999</v>
      </c>
      <c r="W90" s="49">
        <v>128.69999999999999</v>
      </c>
      <c r="X90" s="49">
        <v>130</v>
      </c>
      <c r="Y90" s="49">
        <v>130</v>
      </c>
      <c r="Z90" s="49">
        <v>130</v>
      </c>
      <c r="AA90" s="49">
        <v>129</v>
      </c>
      <c r="AB90" s="49">
        <v>125.8</v>
      </c>
      <c r="AC90" s="49">
        <v>125.9</v>
      </c>
      <c r="AD90" s="49">
        <v>126</v>
      </c>
      <c r="AE90" s="49">
        <v>126</v>
      </c>
      <c r="AF90" s="49">
        <v>126</v>
      </c>
      <c r="AG90" s="93"/>
      <c r="AH90" s="55">
        <f t="shared" si="14"/>
        <v>133.30000000000001</v>
      </c>
      <c r="AI90" s="56">
        <f t="shared" si="15"/>
        <v>122.3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65.599999999999994</v>
      </c>
      <c r="C91" s="97">
        <v>66.3</v>
      </c>
      <c r="D91" s="97">
        <v>66.3</v>
      </c>
      <c r="E91" s="97">
        <v>66.5</v>
      </c>
      <c r="F91" s="97">
        <v>66.5</v>
      </c>
      <c r="G91" s="97">
        <v>66</v>
      </c>
      <c r="H91" s="97">
        <v>65.8</v>
      </c>
      <c r="I91" s="97">
        <v>65.2</v>
      </c>
      <c r="J91" s="97">
        <v>64.8</v>
      </c>
      <c r="K91" s="97">
        <v>64.8</v>
      </c>
      <c r="L91" s="97">
        <v>64.8</v>
      </c>
      <c r="M91" s="97">
        <v>64.7</v>
      </c>
      <c r="N91" s="97">
        <v>65.400000000000006</v>
      </c>
      <c r="O91" s="97">
        <v>64.2</v>
      </c>
      <c r="P91" s="97">
        <v>63.4</v>
      </c>
      <c r="Q91" s="97">
        <v>63.4</v>
      </c>
      <c r="R91" s="97">
        <v>63.6</v>
      </c>
      <c r="S91" s="97">
        <v>63.6</v>
      </c>
      <c r="T91" s="97">
        <v>63.6</v>
      </c>
      <c r="U91" s="97">
        <v>63.7</v>
      </c>
      <c r="V91" s="97">
        <v>63.9</v>
      </c>
      <c r="W91" s="97">
        <v>63.9</v>
      </c>
      <c r="X91" s="97">
        <v>64.7</v>
      </c>
      <c r="Y91" s="97">
        <v>64.7</v>
      </c>
      <c r="Z91" s="97">
        <v>64.7</v>
      </c>
      <c r="AA91" s="97">
        <v>65</v>
      </c>
      <c r="AB91" s="97">
        <v>65.3</v>
      </c>
      <c r="AC91" s="97">
        <v>65.400000000000006</v>
      </c>
      <c r="AD91" s="97">
        <v>65</v>
      </c>
      <c r="AE91" s="97">
        <v>65</v>
      </c>
      <c r="AF91" s="97">
        <v>65</v>
      </c>
      <c r="AG91" s="98"/>
      <c r="AH91" s="55">
        <f t="shared" si="14"/>
        <v>66.5</v>
      </c>
      <c r="AI91" s="56">
        <f t="shared" si="15"/>
        <v>63.4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3">SUM(B15,B18,B21:B22,B42,B44:B45,B47,B49,B94:B97,B103,B109,B115,B124,B126,B138,B145,B148:B149,B156,B158,B160,B164:B166,B168:B170,B175,B181:B182,B184:B186,B194,B199)</f>
        <v>158.84</v>
      </c>
      <c r="C93" s="103">
        <f t="shared" si="23"/>
        <v>165.84</v>
      </c>
      <c r="D93" s="103">
        <f t="shared" si="23"/>
        <v>167.54</v>
      </c>
      <c r="E93" s="103">
        <f t="shared" si="23"/>
        <v>156.04</v>
      </c>
      <c r="F93" s="103">
        <f t="shared" si="23"/>
        <v>147.53999999999996</v>
      </c>
      <c r="G93" s="103">
        <f t="shared" si="23"/>
        <v>156.54</v>
      </c>
      <c r="H93" s="103">
        <f t="shared" si="23"/>
        <v>160.23999999999998</v>
      </c>
      <c r="I93" s="103">
        <f t="shared" si="23"/>
        <v>183.53999999999996</v>
      </c>
      <c r="J93" s="103">
        <f t="shared" si="23"/>
        <v>220.53999999999996</v>
      </c>
      <c r="K93" s="103">
        <f t="shared" si="23"/>
        <v>233.93999999999997</v>
      </c>
      <c r="L93" s="103">
        <f t="shared" si="23"/>
        <v>249.53999999999996</v>
      </c>
      <c r="M93" s="103">
        <f t="shared" si="23"/>
        <v>258.04000000000002</v>
      </c>
      <c r="N93" s="103">
        <f t="shared" si="23"/>
        <v>346.54</v>
      </c>
      <c r="O93" s="103">
        <f t="shared" si="23"/>
        <v>344.64</v>
      </c>
      <c r="P93" s="103">
        <f t="shared" si="23"/>
        <v>276.74</v>
      </c>
      <c r="Q93" s="103">
        <f t="shared" si="23"/>
        <v>327.64</v>
      </c>
      <c r="R93" s="103">
        <f t="shared" si="23"/>
        <v>351.84000000000003</v>
      </c>
      <c r="S93" s="103">
        <f t="shared" si="23"/>
        <v>363.84000000000003</v>
      </c>
      <c r="T93" s="103">
        <f t="shared" si="23"/>
        <v>272.54000000000002</v>
      </c>
      <c r="U93" s="103">
        <f t="shared" si="23"/>
        <v>262.54000000000002</v>
      </c>
      <c r="V93" s="103">
        <f t="shared" si="23"/>
        <v>272.74</v>
      </c>
      <c r="W93" s="103">
        <f>SUM(W15,W18,W21:W22,W42,W44:W45,W47,W49,W94:W97,W103,W109,W115,W124,W126,W138,W145,W148:W149,W156,W158,W160,W164:W166,W168:W170,W175,W181:W182,W184:W186,W194,W199)</f>
        <v>232.93999999999997</v>
      </c>
      <c r="X93" s="103">
        <f>SUM(X15,X18,X21:X22,X42,X44:X45,X47,X49,X94:X97,X103,X109,X115,X124,X126,X138,X145,X148:X149,X156,X158,X160,X164:X166,X168:X170,X175,X181:X182,X184:X186,X194,X199)</f>
        <v>255.53999999999996</v>
      </c>
      <c r="Y93" s="103">
        <f t="shared" si="23"/>
        <v>358.54</v>
      </c>
      <c r="Z93" s="103">
        <f t="shared" si="23"/>
        <v>288.54000000000002</v>
      </c>
      <c r="AA93" s="103">
        <f t="shared" si="23"/>
        <v>376.54</v>
      </c>
      <c r="AB93" s="103">
        <f t="shared" si="23"/>
        <v>287.34000000000003</v>
      </c>
      <c r="AC93" s="103">
        <f t="shared" si="23"/>
        <v>274.94</v>
      </c>
      <c r="AD93" s="103">
        <f t="shared" si="23"/>
        <v>252.64</v>
      </c>
      <c r="AE93" s="103">
        <f t="shared" si="23"/>
        <v>190.73999999999995</v>
      </c>
      <c r="AF93" s="103">
        <f t="shared" si="23"/>
        <v>147.14000000000001</v>
      </c>
      <c r="AG93" s="104"/>
      <c r="AH93" s="55">
        <f>MAX(C93:AF93)</f>
        <v>376.54</v>
      </c>
      <c r="AI93" s="56">
        <f>MIN(C93:AF93)</f>
        <v>147.14000000000001</v>
      </c>
    </row>
    <row r="94" spans="1:88" x14ac:dyDescent="0.25">
      <c r="A94" s="105" t="s">
        <v>98</v>
      </c>
      <c r="B94" s="106">
        <v>12.8</v>
      </c>
      <c r="C94" s="106">
        <v>11.1</v>
      </c>
      <c r="D94" s="106">
        <v>21.8</v>
      </c>
      <c r="E94" s="106">
        <v>28.6</v>
      </c>
      <c r="F94" s="106">
        <v>29.6</v>
      </c>
      <c r="G94" s="106">
        <v>21.9</v>
      </c>
      <c r="H94" s="106">
        <v>22.9</v>
      </c>
      <c r="I94" s="106">
        <v>28.7</v>
      </c>
      <c r="J94" s="106">
        <v>21.4</v>
      </c>
      <c r="K94" s="106">
        <v>26.6</v>
      </c>
      <c r="L94" s="106">
        <v>21.2</v>
      </c>
      <c r="M94" s="106">
        <v>21.1</v>
      </c>
      <c r="N94" s="106">
        <v>13.5</v>
      </c>
      <c r="O94" s="106">
        <v>13.1</v>
      </c>
      <c r="P94" s="106">
        <v>16.2</v>
      </c>
      <c r="Q94" s="106">
        <v>16</v>
      </c>
      <c r="R94" s="106">
        <v>17.399999999999999</v>
      </c>
      <c r="S94" s="106">
        <v>17.399999999999999</v>
      </c>
      <c r="T94" s="106">
        <v>17</v>
      </c>
      <c r="U94" s="106">
        <v>20</v>
      </c>
      <c r="V94" s="106">
        <f>22.3+35.2</f>
        <v>57.5</v>
      </c>
      <c r="W94" s="106">
        <v>25.4</v>
      </c>
      <c r="X94" s="106">
        <v>27</v>
      </c>
      <c r="Y94" s="106">
        <v>19</v>
      </c>
      <c r="Z94" s="106">
        <v>19</v>
      </c>
      <c r="AA94" s="106">
        <v>15</v>
      </c>
      <c r="AB94" s="106">
        <v>15.1</v>
      </c>
      <c r="AC94" s="106">
        <v>17.100000000000001</v>
      </c>
      <c r="AD94" s="106">
        <v>12</v>
      </c>
      <c r="AE94" s="106">
        <v>13</v>
      </c>
      <c r="AF94" s="106">
        <v>9.9</v>
      </c>
      <c r="AG94" s="107">
        <v>75</v>
      </c>
      <c r="AH94" s="55">
        <f t="shared" ref="AH94:AH100" si="24">IF(ABS(MAX(C94:AF94))&gt;ABS(MIN(C94:AF94)),MAX(C94:AF94),MIN(C94:AF94))</f>
        <v>57.5</v>
      </c>
      <c r="AI94" s="108">
        <f t="shared" ref="AI94:AI100" si="25">INDEX($C$9:$AF$9,1,MATCH(AH94,C94:AF94,0))</f>
        <v>0.70833333333333304</v>
      </c>
    </row>
    <row r="95" spans="1:88" x14ac:dyDescent="0.25">
      <c r="A95" s="109" t="s">
        <v>99</v>
      </c>
      <c r="B95" s="110">
        <f>-27.6-45.2</f>
        <v>-72.800000000000011</v>
      </c>
      <c r="C95" s="110">
        <f>-47.1-62</f>
        <v>-109.1</v>
      </c>
      <c r="D95" s="110">
        <f>-30-39.7</f>
        <v>-69.7</v>
      </c>
      <c r="E95" s="110">
        <f>-31.9-43.6</f>
        <v>-75.5</v>
      </c>
      <c r="F95" s="110">
        <f>-31.9-43.6</f>
        <v>-75.5</v>
      </c>
      <c r="G95" s="110">
        <f>-41.2-53.2</f>
        <v>-94.4</v>
      </c>
      <c r="H95" s="110">
        <f>-41.2-53.2</f>
        <v>-94.4</v>
      </c>
      <c r="I95" s="110">
        <f>-31-37.6</f>
        <v>-68.599999999999994</v>
      </c>
      <c r="J95" s="110">
        <f>-35.2-43.1</f>
        <v>-78.300000000000011</v>
      </c>
      <c r="K95" s="110">
        <f>-20.7-29.9</f>
        <v>-50.599999999999994</v>
      </c>
      <c r="L95" s="110">
        <f>-17.9-28.1</f>
        <v>-46</v>
      </c>
      <c r="M95" s="110">
        <f>-16-30.1</f>
        <v>-46.1</v>
      </c>
      <c r="N95" s="110"/>
      <c r="O95" s="110"/>
      <c r="P95" s="110">
        <f>-27.9-36</f>
        <v>-63.9</v>
      </c>
      <c r="Q95" s="110"/>
      <c r="R95" s="110">
        <v>20.2</v>
      </c>
      <c r="S95" s="110">
        <v>20.2</v>
      </c>
      <c r="T95" s="110">
        <v>-65</v>
      </c>
      <c r="U95" s="110">
        <v>-72</v>
      </c>
      <c r="V95" s="110">
        <v>-100.5</v>
      </c>
      <c r="W95" s="110">
        <v>-98</v>
      </c>
      <c r="X95" s="110">
        <v>-83</v>
      </c>
      <c r="Y95" s="110"/>
      <c r="Z95" s="110">
        <v>-70</v>
      </c>
      <c r="AA95" s="110"/>
      <c r="AB95" s="110">
        <f>-29.3-40.7</f>
        <v>-70</v>
      </c>
      <c r="AC95" s="110">
        <f>-42-33.1</f>
        <v>-75.099999999999994</v>
      </c>
      <c r="AD95" s="110">
        <v>-85</v>
      </c>
      <c r="AE95" s="110">
        <v>-112</v>
      </c>
      <c r="AF95" s="110">
        <v>-110</v>
      </c>
      <c r="AG95" s="107">
        <v>240</v>
      </c>
      <c r="AH95" s="55">
        <f t="shared" si="24"/>
        <v>-112</v>
      </c>
      <c r="AI95" s="108">
        <f t="shared" si="25"/>
        <v>0.91666666666666696</v>
      </c>
    </row>
    <row r="96" spans="1:88" x14ac:dyDescent="0.25">
      <c r="A96" s="109" t="s">
        <v>100</v>
      </c>
      <c r="B96" s="110">
        <v>35</v>
      </c>
      <c r="C96" s="110">
        <v>18</v>
      </c>
      <c r="D96" s="110">
        <v>21.8</v>
      </c>
      <c r="E96" s="110">
        <v>29.4</v>
      </c>
      <c r="F96" s="110">
        <v>29.4</v>
      </c>
      <c r="G96" s="110">
        <v>21.9</v>
      </c>
      <c r="H96" s="110">
        <v>21.9</v>
      </c>
      <c r="I96" s="110">
        <v>13.9</v>
      </c>
      <c r="J96" s="110">
        <v>6.7</v>
      </c>
      <c r="K96" s="110">
        <v>34.6</v>
      </c>
      <c r="L96" s="110">
        <v>34.700000000000003</v>
      </c>
      <c r="M96" s="110">
        <v>37.4</v>
      </c>
      <c r="N96" s="110">
        <v>21</v>
      </c>
      <c r="O96" s="110">
        <v>18.899999999999999</v>
      </c>
      <c r="P96" s="110">
        <v>17.899999999999999</v>
      </c>
      <c r="Q96" s="110">
        <v>14.9</v>
      </c>
      <c r="R96" s="110">
        <v>12</v>
      </c>
      <c r="S96" s="110">
        <v>12</v>
      </c>
      <c r="T96" s="110">
        <v>27</v>
      </c>
      <c r="U96" s="110">
        <v>14</v>
      </c>
      <c r="V96" s="110">
        <v>18.7</v>
      </c>
      <c r="W96" s="110">
        <v>11</v>
      </c>
      <c r="X96" s="110">
        <v>10</v>
      </c>
      <c r="Y96" s="110">
        <v>24</v>
      </c>
      <c r="Z96" s="110">
        <v>24</v>
      </c>
      <c r="AA96" s="110">
        <v>41</v>
      </c>
      <c r="AB96" s="110">
        <v>29.9</v>
      </c>
      <c r="AC96" s="110">
        <v>23.3</v>
      </c>
      <c r="AD96" s="110">
        <v>37.200000000000003</v>
      </c>
      <c r="AE96" s="110">
        <v>21.6</v>
      </c>
      <c r="AF96" s="110">
        <v>6.2</v>
      </c>
      <c r="AG96" s="107">
        <v>60</v>
      </c>
      <c r="AH96" s="55">
        <f t="shared" si="24"/>
        <v>41</v>
      </c>
      <c r="AI96" s="108">
        <f t="shared" si="25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60.7</v>
      </c>
      <c r="K97" s="112">
        <v>73.5</v>
      </c>
      <c r="L97" s="112">
        <v>80.7</v>
      </c>
      <c r="M97" s="112">
        <v>74.3</v>
      </c>
      <c r="N97" s="112">
        <v>79.8</v>
      </c>
      <c r="O97" s="112">
        <v>80.400000000000006</v>
      </c>
      <c r="P97" s="112">
        <v>77</v>
      </c>
      <c r="Q97" s="112">
        <v>68.400000000000006</v>
      </c>
      <c r="R97" s="112">
        <v>73.5</v>
      </c>
      <c r="S97" s="112">
        <v>73.5</v>
      </c>
      <c r="T97" s="112">
        <v>53</v>
      </c>
      <c r="U97" s="112">
        <v>60</v>
      </c>
      <c r="V97" s="112">
        <v>56.5</v>
      </c>
      <c r="W97" s="112">
        <v>54</v>
      </c>
      <c r="X97" s="112">
        <v>61</v>
      </c>
      <c r="Y97" s="112">
        <v>75</v>
      </c>
      <c r="Z97" s="112">
        <v>75</v>
      </c>
      <c r="AA97" s="112">
        <v>80</v>
      </c>
      <c r="AB97" s="112">
        <v>74.900000000000006</v>
      </c>
      <c r="AC97" s="112">
        <v>72</v>
      </c>
      <c r="AD97" s="112">
        <v>47</v>
      </c>
      <c r="AE97" s="112">
        <v>26.7</v>
      </c>
      <c r="AF97" s="112">
        <v>0</v>
      </c>
      <c r="AG97" s="113">
        <v>120</v>
      </c>
      <c r="AH97" s="55">
        <f t="shared" si="24"/>
        <v>80.7</v>
      </c>
      <c r="AI97" s="108">
        <f t="shared" si="25"/>
        <v>0.3125</v>
      </c>
    </row>
    <row r="98" spans="1:37" x14ac:dyDescent="0.25">
      <c r="A98" s="111" t="s">
        <v>102</v>
      </c>
      <c r="B98" s="112">
        <v>49</v>
      </c>
      <c r="C98" s="112">
        <v>52</v>
      </c>
      <c r="D98" s="112">
        <v>72.599999999999994</v>
      </c>
      <c r="E98" s="112">
        <v>52.7</v>
      </c>
      <c r="F98" s="112">
        <v>52.7</v>
      </c>
      <c r="G98" s="112">
        <v>43.9</v>
      </c>
      <c r="H98" s="112">
        <v>43.9</v>
      </c>
      <c r="I98" s="112">
        <v>63.8</v>
      </c>
      <c r="J98" s="112">
        <v>53.8</v>
      </c>
      <c r="K98" s="112">
        <v>56.7</v>
      </c>
      <c r="L98" s="112">
        <v>69.599999999999994</v>
      </c>
      <c r="M98" s="112">
        <v>64.400000000000006</v>
      </c>
      <c r="N98" s="112">
        <v>69.2</v>
      </c>
      <c r="O98" s="112">
        <v>85.7</v>
      </c>
      <c r="P98" s="112">
        <v>83.7</v>
      </c>
      <c r="Q98" s="112">
        <v>84.9</v>
      </c>
      <c r="R98" s="112">
        <v>84.8</v>
      </c>
      <c r="S98" s="112">
        <v>84.8</v>
      </c>
      <c r="T98" s="112">
        <v>44</v>
      </c>
      <c r="U98" s="112">
        <v>49</v>
      </c>
      <c r="V98" s="112">
        <v>54.5</v>
      </c>
      <c r="W98" s="112">
        <v>53</v>
      </c>
      <c r="X98" s="112">
        <v>55</v>
      </c>
      <c r="Y98" s="112">
        <v>63</v>
      </c>
      <c r="Z98" s="112">
        <v>63</v>
      </c>
      <c r="AA98" s="112">
        <v>74</v>
      </c>
      <c r="AB98" s="112">
        <v>76.099999999999994</v>
      </c>
      <c r="AC98" s="112">
        <v>75.599999999999994</v>
      </c>
      <c r="AD98" s="112">
        <v>44.8</v>
      </c>
      <c r="AE98" s="112">
        <v>34.799999999999997</v>
      </c>
      <c r="AF98" s="112">
        <v>64.5</v>
      </c>
      <c r="AG98" s="113"/>
      <c r="AH98" s="55">
        <f t="shared" si="24"/>
        <v>85.7</v>
      </c>
      <c r="AI98" s="108">
        <f t="shared" si="25"/>
        <v>0.41666666666666702</v>
      </c>
    </row>
    <row r="99" spans="1:37" x14ac:dyDescent="0.25">
      <c r="A99" s="111" t="s">
        <v>103</v>
      </c>
      <c r="B99" s="112">
        <v>61.8</v>
      </c>
      <c r="C99" s="112">
        <v>62</v>
      </c>
      <c r="D99" s="112">
        <v>60.3</v>
      </c>
      <c r="E99" s="112">
        <v>52.3</v>
      </c>
      <c r="F99" s="112">
        <v>52.3</v>
      </c>
      <c r="G99" s="112">
        <v>64.400000000000006</v>
      </c>
      <c r="H99" s="112">
        <v>64.400000000000006</v>
      </c>
      <c r="I99" s="112">
        <v>42.8</v>
      </c>
      <c r="J99" s="112">
        <v>57.8</v>
      </c>
      <c r="K99" s="112">
        <v>32</v>
      </c>
      <c r="L99" s="112">
        <v>48.9</v>
      </c>
      <c r="M99" s="112">
        <v>37.9</v>
      </c>
      <c r="N99" s="112">
        <v>75</v>
      </c>
      <c r="O99" s="112">
        <v>76</v>
      </c>
      <c r="P99" s="112">
        <v>56.2</v>
      </c>
      <c r="Q99" s="112">
        <v>67</v>
      </c>
      <c r="R99" s="112"/>
      <c r="S99" s="112"/>
      <c r="T99" s="112">
        <v>20</v>
      </c>
      <c r="U99" s="112">
        <v>16</v>
      </c>
      <c r="V99" s="112">
        <v>20.2</v>
      </c>
      <c r="W99" s="112">
        <v>20</v>
      </c>
      <c r="X99" s="112">
        <v>20</v>
      </c>
      <c r="Y99" s="112">
        <v>56</v>
      </c>
      <c r="Z99" s="112">
        <v>56</v>
      </c>
      <c r="AA99" s="112">
        <v>77</v>
      </c>
      <c r="AB99" s="112">
        <v>73.7</v>
      </c>
      <c r="AC99" s="112">
        <v>72.5</v>
      </c>
      <c r="AD99" s="112">
        <v>76.2</v>
      </c>
      <c r="AE99" s="112">
        <v>82</v>
      </c>
      <c r="AF99" s="112">
        <v>80.900000000000006</v>
      </c>
      <c r="AG99" s="114"/>
      <c r="AH99" s="55">
        <f t="shared" si="24"/>
        <v>82</v>
      </c>
      <c r="AI99" s="108">
        <f t="shared" si="25"/>
        <v>0.91666666666666696</v>
      </c>
    </row>
    <row r="100" spans="1:37" ht="15.75" thickBot="1" x14ac:dyDescent="0.3">
      <c r="A100" s="115" t="s">
        <v>104</v>
      </c>
      <c r="B100" s="95">
        <v>27</v>
      </c>
      <c r="C100" s="95">
        <v>16</v>
      </c>
      <c r="D100" s="95">
        <v>18.600000000000001</v>
      </c>
      <c r="E100" s="95">
        <v>15.6</v>
      </c>
      <c r="F100" s="95">
        <v>15.6</v>
      </c>
      <c r="G100" s="95">
        <v>2.7</v>
      </c>
      <c r="H100" s="95">
        <v>2.7</v>
      </c>
      <c r="I100" s="95">
        <v>7</v>
      </c>
      <c r="J100" s="95">
        <v>5.4</v>
      </c>
      <c r="K100" s="95">
        <v>18.100000000000001</v>
      </c>
      <c r="L100" s="95">
        <v>27.9</v>
      </c>
      <c r="M100" s="95">
        <v>15.1</v>
      </c>
      <c r="N100" s="95">
        <v>17.100000000000001</v>
      </c>
      <c r="O100" s="95">
        <v>20.2</v>
      </c>
      <c r="P100" s="95">
        <v>25.4</v>
      </c>
      <c r="Q100" s="95">
        <v>28.5</v>
      </c>
      <c r="R100" s="95">
        <v>30.5</v>
      </c>
      <c r="S100" s="95">
        <v>30.5</v>
      </c>
      <c r="T100" s="95">
        <v>49</v>
      </c>
      <c r="U100" s="95">
        <v>42</v>
      </c>
      <c r="V100" s="95">
        <v>40</v>
      </c>
      <c r="W100" s="95">
        <v>30</v>
      </c>
      <c r="X100" s="95">
        <v>32</v>
      </c>
      <c r="Y100" s="95">
        <v>44</v>
      </c>
      <c r="Z100" s="95">
        <v>44</v>
      </c>
      <c r="AA100" s="95">
        <v>61</v>
      </c>
      <c r="AB100" s="95">
        <v>54.4</v>
      </c>
      <c r="AC100" s="95">
        <v>61.2</v>
      </c>
      <c r="AD100" s="95">
        <v>57.1</v>
      </c>
      <c r="AE100" s="95">
        <v>57</v>
      </c>
      <c r="AF100" s="95">
        <v>45.5</v>
      </c>
      <c r="AG100" s="114"/>
      <c r="AH100" s="55">
        <f t="shared" si="24"/>
        <v>61.2</v>
      </c>
      <c r="AI100" s="108">
        <f t="shared" si="25"/>
        <v>0.85416666666666663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6">AF102</f>
        <v>9.9</v>
      </c>
      <c r="C102" s="54">
        <v>9.9</v>
      </c>
      <c r="D102" s="121">
        <f t="shared" ref="D102:S107" si="27">C102</f>
        <v>9.9</v>
      </c>
      <c r="E102" s="121">
        <f t="shared" si="27"/>
        <v>9.9</v>
      </c>
      <c r="F102" s="121">
        <f t="shared" si="27"/>
        <v>9.9</v>
      </c>
      <c r="G102" s="121">
        <f t="shared" si="27"/>
        <v>9.9</v>
      </c>
      <c r="H102" s="121">
        <f t="shared" si="27"/>
        <v>9.9</v>
      </c>
      <c r="I102" s="121">
        <f t="shared" si="27"/>
        <v>9.9</v>
      </c>
      <c r="J102" s="121">
        <f t="shared" si="27"/>
        <v>9.9</v>
      </c>
      <c r="K102" s="121">
        <f t="shared" si="27"/>
        <v>9.9</v>
      </c>
      <c r="L102" s="121">
        <f t="shared" si="27"/>
        <v>9.9</v>
      </c>
      <c r="M102" s="121">
        <f t="shared" si="27"/>
        <v>9.9</v>
      </c>
      <c r="N102" s="121">
        <f t="shared" si="27"/>
        <v>9.9</v>
      </c>
      <c r="O102" s="121">
        <f t="shared" si="27"/>
        <v>9.9</v>
      </c>
      <c r="P102" s="121">
        <f t="shared" si="27"/>
        <v>9.9</v>
      </c>
      <c r="Q102" s="121">
        <f t="shared" si="27"/>
        <v>9.9</v>
      </c>
      <c r="R102" s="121">
        <f t="shared" si="27"/>
        <v>9.9</v>
      </c>
      <c r="S102" s="121">
        <f t="shared" si="27"/>
        <v>9.9</v>
      </c>
      <c r="T102" s="121">
        <f t="shared" ref="T102:AF107" si="28">S102</f>
        <v>9.9</v>
      </c>
      <c r="U102" s="121">
        <f t="shared" si="28"/>
        <v>9.9</v>
      </c>
      <c r="V102" s="121">
        <f t="shared" si="28"/>
        <v>9.9</v>
      </c>
      <c r="W102" s="121">
        <f t="shared" si="28"/>
        <v>9.9</v>
      </c>
      <c r="X102" s="121">
        <f t="shared" si="28"/>
        <v>9.9</v>
      </c>
      <c r="Y102" s="121">
        <f t="shared" si="28"/>
        <v>9.9</v>
      </c>
      <c r="Z102" s="121">
        <f t="shared" si="28"/>
        <v>9.9</v>
      </c>
      <c r="AA102" s="121">
        <f t="shared" si="28"/>
        <v>9.9</v>
      </c>
      <c r="AB102" s="121">
        <f t="shared" si="28"/>
        <v>9.9</v>
      </c>
      <c r="AC102" s="121">
        <f t="shared" si="28"/>
        <v>9.9</v>
      </c>
      <c r="AD102" s="121">
        <f t="shared" si="28"/>
        <v>9.9</v>
      </c>
      <c r="AE102" s="121">
        <f t="shared" si="28"/>
        <v>9.9</v>
      </c>
      <c r="AF102" s="121">
        <f t="shared" si="28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6"/>
        <v>9.6</v>
      </c>
      <c r="C103" s="124">
        <v>9.6</v>
      </c>
      <c r="D103" s="123">
        <f t="shared" si="27"/>
        <v>9.6</v>
      </c>
      <c r="E103" s="123">
        <f t="shared" si="27"/>
        <v>9.6</v>
      </c>
      <c r="F103" s="123">
        <f t="shared" si="27"/>
        <v>9.6</v>
      </c>
      <c r="G103" s="123">
        <f t="shared" si="27"/>
        <v>9.6</v>
      </c>
      <c r="H103" s="123">
        <f t="shared" si="27"/>
        <v>9.6</v>
      </c>
      <c r="I103" s="123">
        <f t="shared" si="27"/>
        <v>9.6</v>
      </c>
      <c r="J103" s="123">
        <f t="shared" si="27"/>
        <v>9.6</v>
      </c>
      <c r="K103" s="123">
        <f t="shared" si="27"/>
        <v>9.6</v>
      </c>
      <c r="L103" s="123">
        <f t="shared" si="27"/>
        <v>9.6</v>
      </c>
      <c r="M103" s="123">
        <f t="shared" si="27"/>
        <v>9.6</v>
      </c>
      <c r="N103" s="123">
        <f t="shared" si="27"/>
        <v>9.6</v>
      </c>
      <c r="O103" s="123">
        <f t="shared" si="27"/>
        <v>9.6</v>
      </c>
      <c r="P103" s="123">
        <f t="shared" si="27"/>
        <v>9.6</v>
      </c>
      <c r="Q103" s="123">
        <f t="shared" si="27"/>
        <v>9.6</v>
      </c>
      <c r="R103" s="123">
        <f t="shared" si="27"/>
        <v>9.6</v>
      </c>
      <c r="S103" s="123">
        <f t="shared" si="27"/>
        <v>9.6</v>
      </c>
      <c r="T103" s="123">
        <f t="shared" si="28"/>
        <v>9.6</v>
      </c>
      <c r="U103" s="123">
        <f t="shared" si="28"/>
        <v>9.6</v>
      </c>
      <c r="V103" s="123">
        <f t="shared" si="28"/>
        <v>9.6</v>
      </c>
      <c r="W103" s="123">
        <f t="shared" si="28"/>
        <v>9.6</v>
      </c>
      <c r="X103" s="123">
        <f t="shared" si="28"/>
        <v>9.6</v>
      </c>
      <c r="Y103" s="123">
        <f t="shared" si="28"/>
        <v>9.6</v>
      </c>
      <c r="Z103" s="123">
        <f t="shared" si="28"/>
        <v>9.6</v>
      </c>
      <c r="AA103" s="123">
        <f t="shared" si="28"/>
        <v>9.6</v>
      </c>
      <c r="AB103" s="123">
        <f t="shared" si="28"/>
        <v>9.6</v>
      </c>
      <c r="AC103" s="123">
        <f t="shared" si="28"/>
        <v>9.6</v>
      </c>
      <c r="AD103" s="123">
        <f t="shared" si="28"/>
        <v>9.6</v>
      </c>
      <c r="AE103" s="123">
        <f t="shared" si="28"/>
        <v>9.6</v>
      </c>
      <c r="AF103" s="123">
        <f t="shared" si="28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6"/>
        <v>9.98</v>
      </c>
      <c r="C104" s="124">
        <v>9.98</v>
      </c>
      <c r="D104" s="123">
        <f t="shared" si="27"/>
        <v>9.98</v>
      </c>
      <c r="E104" s="123">
        <f t="shared" si="27"/>
        <v>9.98</v>
      </c>
      <c r="F104" s="123">
        <f t="shared" si="27"/>
        <v>9.98</v>
      </c>
      <c r="G104" s="123">
        <f t="shared" si="27"/>
        <v>9.98</v>
      </c>
      <c r="H104" s="123">
        <f t="shared" si="27"/>
        <v>9.98</v>
      </c>
      <c r="I104" s="123">
        <f t="shared" si="27"/>
        <v>9.98</v>
      </c>
      <c r="J104" s="123">
        <f t="shared" si="27"/>
        <v>9.98</v>
      </c>
      <c r="K104" s="123">
        <f t="shared" si="27"/>
        <v>9.98</v>
      </c>
      <c r="L104" s="123">
        <f t="shared" si="27"/>
        <v>9.98</v>
      </c>
      <c r="M104" s="123">
        <f t="shared" si="27"/>
        <v>9.98</v>
      </c>
      <c r="N104" s="123">
        <f t="shared" si="27"/>
        <v>9.98</v>
      </c>
      <c r="O104" s="123">
        <f t="shared" si="27"/>
        <v>9.98</v>
      </c>
      <c r="P104" s="123">
        <f t="shared" si="27"/>
        <v>9.98</v>
      </c>
      <c r="Q104" s="123">
        <f t="shared" si="27"/>
        <v>9.98</v>
      </c>
      <c r="R104" s="123">
        <f t="shared" si="27"/>
        <v>9.98</v>
      </c>
      <c r="S104" s="123">
        <f t="shared" si="27"/>
        <v>9.98</v>
      </c>
      <c r="T104" s="123">
        <f t="shared" si="28"/>
        <v>9.98</v>
      </c>
      <c r="U104" s="123">
        <f t="shared" si="28"/>
        <v>9.98</v>
      </c>
      <c r="V104" s="123">
        <f t="shared" si="28"/>
        <v>9.98</v>
      </c>
      <c r="W104" s="123">
        <f t="shared" si="28"/>
        <v>9.98</v>
      </c>
      <c r="X104" s="123">
        <f t="shared" si="28"/>
        <v>9.98</v>
      </c>
      <c r="Y104" s="123">
        <f t="shared" si="28"/>
        <v>9.98</v>
      </c>
      <c r="Z104" s="123">
        <f t="shared" si="28"/>
        <v>9.98</v>
      </c>
      <c r="AA104" s="123">
        <f t="shared" si="28"/>
        <v>9.98</v>
      </c>
      <c r="AB104" s="123">
        <f t="shared" si="28"/>
        <v>9.98</v>
      </c>
      <c r="AC104" s="123">
        <f t="shared" si="28"/>
        <v>9.98</v>
      </c>
      <c r="AD104" s="123">
        <f t="shared" si="28"/>
        <v>9.98</v>
      </c>
      <c r="AE104" s="123">
        <f t="shared" si="28"/>
        <v>9.98</v>
      </c>
      <c r="AF104" s="123">
        <f t="shared" si="28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6"/>
        <v>9.1</v>
      </c>
      <c r="C105" s="124">
        <v>9.1</v>
      </c>
      <c r="D105" s="123">
        <f t="shared" si="27"/>
        <v>9.1</v>
      </c>
      <c r="E105" s="123">
        <f t="shared" si="27"/>
        <v>9.1</v>
      </c>
      <c r="F105" s="123">
        <f t="shared" si="27"/>
        <v>9.1</v>
      </c>
      <c r="G105" s="123">
        <f t="shared" si="27"/>
        <v>9.1</v>
      </c>
      <c r="H105" s="123">
        <f t="shared" si="27"/>
        <v>9.1</v>
      </c>
      <c r="I105" s="123">
        <f t="shared" si="27"/>
        <v>9.1</v>
      </c>
      <c r="J105" s="123">
        <f t="shared" si="27"/>
        <v>9.1</v>
      </c>
      <c r="K105" s="123">
        <f t="shared" si="27"/>
        <v>9.1</v>
      </c>
      <c r="L105" s="123">
        <f t="shared" si="27"/>
        <v>9.1</v>
      </c>
      <c r="M105" s="123">
        <f t="shared" si="27"/>
        <v>9.1</v>
      </c>
      <c r="N105" s="123">
        <f t="shared" si="27"/>
        <v>9.1</v>
      </c>
      <c r="O105" s="123">
        <f t="shared" si="27"/>
        <v>9.1</v>
      </c>
      <c r="P105" s="123">
        <f t="shared" si="27"/>
        <v>9.1</v>
      </c>
      <c r="Q105" s="123">
        <f t="shared" si="27"/>
        <v>9.1</v>
      </c>
      <c r="R105" s="123">
        <f t="shared" si="27"/>
        <v>9.1</v>
      </c>
      <c r="S105" s="123">
        <f t="shared" si="27"/>
        <v>9.1</v>
      </c>
      <c r="T105" s="123">
        <f t="shared" si="28"/>
        <v>9.1</v>
      </c>
      <c r="U105" s="123">
        <f t="shared" si="28"/>
        <v>9.1</v>
      </c>
      <c r="V105" s="123">
        <f t="shared" si="28"/>
        <v>9.1</v>
      </c>
      <c r="W105" s="123">
        <f t="shared" si="28"/>
        <v>9.1</v>
      </c>
      <c r="X105" s="123">
        <f t="shared" si="28"/>
        <v>9.1</v>
      </c>
      <c r="Y105" s="123">
        <f t="shared" si="28"/>
        <v>9.1</v>
      </c>
      <c r="Z105" s="123">
        <f t="shared" si="28"/>
        <v>9.1</v>
      </c>
      <c r="AA105" s="123">
        <f t="shared" si="28"/>
        <v>9.1</v>
      </c>
      <c r="AB105" s="123">
        <f t="shared" si="28"/>
        <v>9.1</v>
      </c>
      <c r="AC105" s="123">
        <f t="shared" si="28"/>
        <v>9.1</v>
      </c>
      <c r="AD105" s="123">
        <f t="shared" si="28"/>
        <v>9.1</v>
      </c>
      <c r="AE105" s="123">
        <f t="shared" si="28"/>
        <v>9.1</v>
      </c>
      <c r="AF105" s="123">
        <f t="shared" si="28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6"/>
        <v>9.18</v>
      </c>
      <c r="C106" s="124">
        <v>9.18</v>
      </c>
      <c r="D106" s="123">
        <f t="shared" si="27"/>
        <v>9.18</v>
      </c>
      <c r="E106" s="123">
        <f t="shared" si="27"/>
        <v>9.18</v>
      </c>
      <c r="F106" s="123">
        <f t="shared" si="27"/>
        <v>9.18</v>
      </c>
      <c r="G106" s="123">
        <f t="shared" si="27"/>
        <v>9.18</v>
      </c>
      <c r="H106" s="123">
        <f t="shared" si="27"/>
        <v>9.18</v>
      </c>
      <c r="I106" s="123">
        <f t="shared" si="27"/>
        <v>9.18</v>
      </c>
      <c r="J106" s="123">
        <f t="shared" si="27"/>
        <v>9.18</v>
      </c>
      <c r="K106" s="123">
        <f t="shared" si="27"/>
        <v>9.18</v>
      </c>
      <c r="L106" s="123">
        <f t="shared" si="27"/>
        <v>9.18</v>
      </c>
      <c r="M106" s="123">
        <f t="shared" si="27"/>
        <v>9.18</v>
      </c>
      <c r="N106" s="123">
        <f t="shared" si="27"/>
        <v>9.18</v>
      </c>
      <c r="O106" s="123">
        <f t="shared" si="27"/>
        <v>9.18</v>
      </c>
      <c r="P106" s="123">
        <f t="shared" si="27"/>
        <v>9.18</v>
      </c>
      <c r="Q106" s="123">
        <f t="shared" si="27"/>
        <v>9.18</v>
      </c>
      <c r="R106" s="123">
        <f t="shared" si="27"/>
        <v>9.18</v>
      </c>
      <c r="S106" s="123">
        <f t="shared" si="27"/>
        <v>9.18</v>
      </c>
      <c r="T106" s="123">
        <f t="shared" si="28"/>
        <v>9.18</v>
      </c>
      <c r="U106" s="123">
        <f t="shared" si="28"/>
        <v>9.18</v>
      </c>
      <c r="V106" s="123">
        <f t="shared" si="28"/>
        <v>9.18</v>
      </c>
      <c r="W106" s="123">
        <f t="shared" si="28"/>
        <v>9.18</v>
      </c>
      <c r="X106" s="123">
        <f t="shared" si="28"/>
        <v>9.18</v>
      </c>
      <c r="Y106" s="123">
        <f t="shared" si="28"/>
        <v>9.18</v>
      </c>
      <c r="Z106" s="123">
        <f t="shared" si="28"/>
        <v>9.18</v>
      </c>
      <c r="AA106" s="123">
        <f t="shared" si="28"/>
        <v>9.18</v>
      </c>
      <c r="AB106" s="123">
        <f t="shared" si="28"/>
        <v>9.18</v>
      </c>
      <c r="AC106" s="123">
        <f t="shared" si="28"/>
        <v>9.18</v>
      </c>
      <c r="AD106" s="123">
        <f t="shared" si="28"/>
        <v>9.18</v>
      </c>
      <c r="AE106" s="123">
        <f t="shared" si="28"/>
        <v>9.18</v>
      </c>
      <c r="AF106" s="123">
        <f t="shared" si="28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6"/>
        <v>7</v>
      </c>
      <c r="C107" s="124">
        <v>7</v>
      </c>
      <c r="D107" s="123">
        <f t="shared" si="27"/>
        <v>7</v>
      </c>
      <c r="E107" s="123">
        <f t="shared" si="27"/>
        <v>7</v>
      </c>
      <c r="F107" s="123">
        <f t="shared" si="27"/>
        <v>7</v>
      </c>
      <c r="G107" s="123">
        <f t="shared" si="27"/>
        <v>7</v>
      </c>
      <c r="H107" s="123">
        <f t="shared" si="27"/>
        <v>7</v>
      </c>
      <c r="I107" s="123">
        <f t="shared" si="27"/>
        <v>7</v>
      </c>
      <c r="J107" s="123">
        <f t="shared" si="27"/>
        <v>7</v>
      </c>
      <c r="K107" s="123">
        <f t="shared" si="27"/>
        <v>7</v>
      </c>
      <c r="L107" s="123">
        <f t="shared" si="27"/>
        <v>7</v>
      </c>
      <c r="M107" s="123">
        <f t="shared" si="27"/>
        <v>7</v>
      </c>
      <c r="N107" s="123">
        <f t="shared" si="27"/>
        <v>7</v>
      </c>
      <c r="O107" s="123">
        <f t="shared" si="27"/>
        <v>7</v>
      </c>
      <c r="P107" s="123">
        <f t="shared" si="27"/>
        <v>7</v>
      </c>
      <c r="Q107" s="123">
        <f t="shared" si="27"/>
        <v>7</v>
      </c>
      <c r="R107" s="123">
        <f t="shared" si="27"/>
        <v>7</v>
      </c>
      <c r="S107" s="123">
        <f t="shared" si="27"/>
        <v>7</v>
      </c>
      <c r="T107" s="123">
        <f t="shared" si="28"/>
        <v>7</v>
      </c>
      <c r="U107" s="123">
        <f t="shared" si="28"/>
        <v>7</v>
      </c>
      <c r="V107" s="123">
        <f t="shared" si="28"/>
        <v>7</v>
      </c>
      <c r="W107" s="123">
        <f t="shared" si="28"/>
        <v>7</v>
      </c>
      <c r="X107" s="123">
        <f t="shared" si="28"/>
        <v>7</v>
      </c>
      <c r="Y107" s="123">
        <f t="shared" si="28"/>
        <v>7</v>
      </c>
      <c r="Z107" s="123">
        <f t="shared" si="28"/>
        <v>7</v>
      </c>
      <c r="AA107" s="123">
        <f t="shared" si="28"/>
        <v>7</v>
      </c>
      <c r="AB107" s="123">
        <f t="shared" si="28"/>
        <v>7</v>
      </c>
      <c r="AC107" s="123">
        <f t="shared" si="28"/>
        <v>7</v>
      </c>
      <c r="AD107" s="123">
        <f t="shared" si="28"/>
        <v>7</v>
      </c>
      <c r="AE107" s="123">
        <f t="shared" si="28"/>
        <v>7</v>
      </c>
      <c r="AF107" s="123">
        <f t="shared" si="28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29">C109</f>
        <v>2.25</v>
      </c>
      <c r="E109" s="123">
        <f t="shared" si="29"/>
        <v>2.25</v>
      </c>
      <c r="F109" s="123">
        <f t="shared" si="29"/>
        <v>2.25</v>
      </c>
      <c r="G109" s="123">
        <f t="shared" si="29"/>
        <v>2.25</v>
      </c>
      <c r="H109" s="123">
        <f t="shared" si="29"/>
        <v>2.25</v>
      </c>
      <c r="I109" s="123">
        <f t="shared" si="29"/>
        <v>2.25</v>
      </c>
      <c r="J109" s="123">
        <f t="shared" si="29"/>
        <v>2.25</v>
      </c>
      <c r="K109" s="123">
        <f t="shared" si="29"/>
        <v>2.25</v>
      </c>
      <c r="L109" s="123">
        <f t="shared" si="29"/>
        <v>2.25</v>
      </c>
      <c r="M109" s="123">
        <f t="shared" si="29"/>
        <v>2.25</v>
      </c>
      <c r="N109" s="123">
        <f t="shared" si="29"/>
        <v>2.25</v>
      </c>
      <c r="O109" s="123">
        <f t="shared" si="29"/>
        <v>2.25</v>
      </c>
      <c r="P109" s="123">
        <f t="shared" si="29"/>
        <v>2.25</v>
      </c>
      <c r="Q109" s="123">
        <f t="shared" si="29"/>
        <v>2.25</v>
      </c>
      <c r="R109" s="123">
        <f t="shared" si="29"/>
        <v>2.25</v>
      </c>
      <c r="S109" s="123">
        <f t="shared" si="29"/>
        <v>2.25</v>
      </c>
      <c r="T109" s="123">
        <f t="shared" ref="T109:AF110" si="30">S109</f>
        <v>2.25</v>
      </c>
      <c r="U109" s="123">
        <f t="shared" si="30"/>
        <v>2.25</v>
      </c>
      <c r="V109" s="123">
        <f t="shared" si="30"/>
        <v>2.25</v>
      </c>
      <c r="W109" s="123">
        <f t="shared" si="30"/>
        <v>2.25</v>
      </c>
      <c r="X109" s="123">
        <f t="shared" si="30"/>
        <v>2.25</v>
      </c>
      <c r="Y109" s="123">
        <f t="shared" si="30"/>
        <v>2.25</v>
      </c>
      <c r="Z109" s="123">
        <f t="shared" si="30"/>
        <v>2.25</v>
      </c>
      <c r="AA109" s="123">
        <f t="shared" si="30"/>
        <v>2.25</v>
      </c>
      <c r="AB109" s="123">
        <f t="shared" si="30"/>
        <v>2.25</v>
      </c>
      <c r="AC109" s="123">
        <f t="shared" si="30"/>
        <v>2.25</v>
      </c>
      <c r="AD109" s="123">
        <f t="shared" si="30"/>
        <v>2.25</v>
      </c>
      <c r="AE109" s="123">
        <f t="shared" si="30"/>
        <v>2.25</v>
      </c>
      <c r="AF109" s="123">
        <f t="shared" si="30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29"/>
        <v>1.64</v>
      </c>
      <c r="E110" s="123">
        <f t="shared" si="29"/>
        <v>1.64</v>
      </c>
      <c r="F110" s="123">
        <f t="shared" si="29"/>
        <v>1.64</v>
      </c>
      <c r="G110" s="123">
        <f t="shared" si="29"/>
        <v>1.64</v>
      </c>
      <c r="H110" s="123">
        <f t="shared" si="29"/>
        <v>1.64</v>
      </c>
      <c r="I110" s="123">
        <f t="shared" si="29"/>
        <v>1.64</v>
      </c>
      <c r="J110" s="123">
        <f t="shared" si="29"/>
        <v>1.64</v>
      </c>
      <c r="K110" s="123">
        <f t="shared" si="29"/>
        <v>1.64</v>
      </c>
      <c r="L110" s="123">
        <f t="shared" si="29"/>
        <v>1.64</v>
      </c>
      <c r="M110" s="123">
        <f t="shared" si="29"/>
        <v>1.64</v>
      </c>
      <c r="N110" s="123">
        <f t="shared" si="29"/>
        <v>1.64</v>
      </c>
      <c r="O110" s="123">
        <f t="shared" si="29"/>
        <v>1.64</v>
      </c>
      <c r="P110" s="123">
        <f t="shared" si="29"/>
        <v>1.64</v>
      </c>
      <c r="Q110" s="123">
        <f t="shared" si="29"/>
        <v>1.64</v>
      </c>
      <c r="R110" s="123">
        <f t="shared" si="29"/>
        <v>1.64</v>
      </c>
      <c r="S110" s="123">
        <f t="shared" si="29"/>
        <v>1.64</v>
      </c>
      <c r="T110" s="123">
        <f t="shared" si="30"/>
        <v>1.64</v>
      </c>
      <c r="U110" s="123">
        <f t="shared" si="30"/>
        <v>1.64</v>
      </c>
      <c r="V110" s="123">
        <f t="shared" si="30"/>
        <v>1.64</v>
      </c>
      <c r="W110" s="123">
        <f t="shared" si="30"/>
        <v>1.64</v>
      </c>
      <c r="X110" s="123">
        <f t="shared" si="30"/>
        <v>1.64</v>
      </c>
      <c r="Y110" s="123">
        <f t="shared" si="30"/>
        <v>1.64</v>
      </c>
      <c r="Z110" s="123">
        <f t="shared" si="30"/>
        <v>1.64</v>
      </c>
      <c r="AA110" s="123">
        <f t="shared" si="30"/>
        <v>1.64</v>
      </c>
      <c r="AB110" s="123">
        <f t="shared" si="30"/>
        <v>1.64</v>
      </c>
      <c r="AC110" s="123">
        <f t="shared" si="30"/>
        <v>1.64</v>
      </c>
      <c r="AD110" s="123">
        <f t="shared" si="30"/>
        <v>1.64</v>
      </c>
      <c r="AE110" s="123">
        <f t="shared" si="30"/>
        <v>1.64</v>
      </c>
      <c r="AF110" s="123">
        <f t="shared" si="30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1">AF112</f>
        <v>1.62</v>
      </c>
      <c r="C112" s="124">
        <v>1.62</v>
      </c>
      <c r="D112" s="123">
        <f t="shared" ref="D112:S119" si="32">C112</f>
        <v>1.62</v>
      </c>
      <c r="E112" s="123">
        <f t="shared" si="32"/>
        <v>1.62</v>
      </c>
      <c r="F112" s="123">
        <f t="shared" si="32"/>
        <v>1.62</v>
      </c>
      <c r="G112" s="123">
        <f t="shared" si="32"/>
        <v>1.62</v>
      </c>
      <c r="H112" s="123">
        <f t="shared" si="32"/>
        <v>1.62</v>
      </c>
      <c r="I112" s="123">
        <f t="shared" si="32"/>
        <v>1.62</v>
      </c>
      <c r="J112" s="123">
        <f t="shared" si="32"/>
        <v>1.62</v>
      </c>
      <c r="K112" s="123">
        <f t="shared" si="32"/>
        <v>1.62</v>
      </c>
      <c r="L112" s="123">
        <f t="shared" si="32"/>
        <v>1.62</v>
      </c>
      <c r="M112" s="123">
        <f t="shared" si="32"/>
        <v>1.62</v>
      </c>
      <c r="N112" s="123">
        <f t="shared" si="32"/>
        <v>1.62</v>
      </c>
      <c r="O112" s="123">
        <f t="shared" si="32"/>
        <v>1.62</v>
      </c>
      <c r="P112" s="123">
        <f t="shared" si="32"/>
        <v>1.62</v>
      </c>
      <c r="Q112" s="123">
        <f t="shared" si="32"/>
        <v>1.62</v>
      </c>
      <c r="R112" s="123">
        <f t="shared" si="32"/>
        <v>1.62</v>
      </c>
      <c r="S112" s="123">
        <f t="shared" si="32"/>
        <v>1.62</v>
      </c>
      <c r="T112" s="123">
        <f t="shared" ref="T112:AF127" si="33">S112</f>
        <v>1.62</v>
      </c>
      <c r="U112" s="123">
        <f t="shared" si="33"/>
        <v>1.62</v>
      </c>
      <c r="V112" s="123">
        <f t="shared" si="33"/>
        <v>1.62</v>
      </c>
      <c r="W112" s="123">
        <f t="shared" si="33"/>
        <v>1.62</v>
      </c>
      <c r="X112" s="123">
        <f t="shared" si="33"/>
        <v>1.62</v>
      </c>
      <c r="Y112" s="123">
        <f t="shared" si="33"/>
        <v>1.62</v>
      </c>
      <c r="Z112" s="123">
        <f t="shared" si="33"/>
        <v>1.62</v>
      </c>
      <c r="AA112" s="123">
        <f t="shared" si="33"/>
        <v>1.62</v>
      </c>
      <c r="AB112" s="123">
        <f t="shared" si="33"/>
        <v>1.62</v>
      </c>
      <c r="AC112" s="123">
        <f t="shared" si="33"/>
        <v>1.62</v>
      </c>
      <c r="AD112" s="123">
        <f t="shared" si="33"/>
        <v>1.62</v>
      </c>
      <c r="AE112" s="123">
        <f t="shared" si="33"/>
        <v>1.62</v>
      </c>
      <c r="AF112" s="123">
        <f t="shared" si="33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1"/>
        <v>8.36</v>
      </c>
      <c r="C113" s="124">
        <v>8.36</v>
      </c>
      <c r="D113" s="123">
        <f t="shared" si="32"/>
        <v>8.36</v>
      </c>
      <c r="E113" s="123">
        <f t="shared" si="32"/>
        <v>8.36</v>
      </c>
      <c r="F113" s="123">
        <f t="shared" si="32"/>
        <v>8.36</v>
      </c>
      <c r="G113" s="123">
        <f t="shared" si="32"/>
        <v>8.36</v>
      </c>
      <c r="H113" s="123">
        <f t="shared" si="32"/>
        <v>8.36</v>
      </c>
      <c r="I113" s="123">
        <f t="shared" si="32"/>
        <v>8.36</v>
      </c>
      <c r="J113" s="123">
        <f t="shared" si="32"/>
        <v>8.36</v>
      </c>
      <c r="K113" s="123">
        <f t="shared" si="32"/>
        <v>8.36</v>
      </c>
      <c r="L113" s="123">
        <f t="shared" si="32"/>
        <v>8.36</v>
      </c>
      <c r="M113" s="123">
        <f t="shared" si="32"/>
        <v>8.36</v>
      </c>
      <c r="N113" s="123">
        <f t="shared" si="32"/>
        <v>8.36</v>
      </c>
      <c r="O113" s="123">
        <f t="shared" si="32"/>
        <v>8.36</v>
      </c>
      <c r="P113" s="123">
        <f t="shared" si="32"/>
        <v>8.36</v>
      </c>
      <c r="Q113" s="123">
        <f t="shared" si="32"/>
        <v>8.36</v>
      </c>
      <c r="R113" s="123">
        <f t="shared" si="32"/>
        <v>8.36</v>
      </c>
      <c r="S113" s="123">
        <f t="shared" si="32"/>
        <v>8.36</v>
      </c>
      <c r="T113" s="123">
        <f t="shared" si="33"/>
        <v>8.36</v>
      </c>
      <c r="U113" s="123">
        <f t="shared" si="33"/>
        <v>8.36</v>
      </c>
      <c r="V113" s="123">
        <f t="shared" si="33"/>
        <v>8.36</v>
      </c>
      <c r="W113" s="123">
        <f t="shared" si="33"/>
        <v>8.36</v>
      </c>
      <c r="X113" s="123">
        <f t="shared" si="33"/>
        <v>8.36</v>
      </c>
      <c r="Y113" s="123">
        <f t="shared" si="33"/>
        <v>8.36</v>
      </c>
      <c r="Z113" s="123">
        <f t="shared" si="33"/>
        <v>8.36</v>
      </c>
      <c r="AA113" s="123">
        <f t="shared" si="33"/>
        <v>8.36</v>
      </c>
      <c r="AB113" s="123">
        <f t="shared" si="33"/>
        <v>8.36</v>
      </c>
      <c r="AC113" s="123">
        <f t="shared" si="33"/>
        <v>8.36</v>
      </c>
      <c r="AD113" s="123">
        <f t="shared" si="33"/>
        <v>8.36</v>
      </c>
      <c r="AE113" s="123">
        <f t="shared" si="33"/>
        <v>8.36</v>
      </c>
      <c r="AF113" s="123">
        <f t="shared" si="33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1"/>
        <v>5.4</v>
      </c>
      <c r="C114" s="124">
        <v>8</v>
      </c>
      <c r="D114" s="123">
        <f t="shared" si="32"/>
        <v>8</v>
      </c>
      <c r="E114" s="123">
        <f t="shared" si="32"/>
        <v>8</v>
      </c>
      <c r="F114" s="123">
        <f t="shared" si="32"/>
        <v>8</v>
      </c>
      <c r="G114" s="123">
        <f t="shared" si="32"/>
        <v>8</v>
      </c>
      <c r="H114" s="123">
        <f t="shared" si="32"/>
        <v>8</v>
      </c>
      <c r="I114" s="123">
        <f t="shared" si="32"/>
        <v>8</v>
      </c>
      <c r="J114" s="123">
        <v>5.4</v>
      </c>
      <c r="K114" s="123">
        <f t="shared" si="32"/>
        <v>5.4</v>
      </c>
      <c r="L114" s="123">
        <f t="shared" si="32"/>
        <v>5.4</v>
      </c>
      <c r="M114" s="123">
        <f t="shared" si="32"/>
        <v>5.4</v>
      </c>
      <c r="N114" s="123">
        <f t="shared" si="32"/>
        <v>5.4</v>
      </c>
      <c r="O114" s="123">
        <f t="shared" si="32"/>
        <v>5.4</v>
      </c>
      <c r="P114" s="123">
        <f t="shared" si="32"/>
        <v>5.4</v>
      </c>
      <c r="Q114" s="123">
        <f t="shared" si="32"/>
        <v>5.4</v>
      </c>
      <c r="R114" s="123">
        <f t="shared" si="32"/>
        <v>5.4</v>
      </c>
      <c r="S114" s="123">
        <f t="shared" si="32"/>
        <v>5.4</v>
      </c>
      <c r="T114" s="123">
        <f t="shared" si="33"/>
        <v>5.4</v>
      </c>
      <c r="U114" s="123">
        <f t="shared" si="33"/>
        <v>5.4</v>
      </c>
      <c r="V114" s="123">
        <f t="shared" si="33"/>
        <v>5.4</v>
      </c>
      <c r="W114" s="123">
        <f t="shared" si="33"/>
        <v>5.4</v>
      </c>
      <c r="X114" s="123">
        <f t="shared" si="33"/>
        <v>5.4</v>
      </c>
      <c r="Y114" s="123">
        <f t="shared" si="33"/>
        <v>5.4</v>
      </c>
      <c r="Z114" s="123">
        <f t="shared" si="33"/>
        <v>5.4</v>
      </c>
      <c r="AA114" s="123">
        <f t="shared" si="33"/>
        <v>5.4</v>
      </c>
      <c r="AB114" s="123">
        <f t="shared" si="33"/>
        <v>5.4</v>
      </c>
      <c r="AC114" s="123">
        <f t="shared" si="33"/>
        <v>5.4</v>
      </c>
      <c r="AD114" s="123">
        <f t="shared" si="33"/>
        <v>5.4</v>
      </c>
      <c r="AE114" s="123">
        <f t="shared" si="33"/>
        <v>5.4</v>
      </c>
      <c r="AF114" s="123">
        <f t="shared" si="33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1"/>
        <v>6.57</v>
      </c>
      <c r="C115" s="124">
        <v>6.57</v>
      </c>
      <c r="D115" s="123">
        <f t="shared" si="32"/>
        <v>6.57</v>
      </c>
      <c r="E115" s="123">
        <f t="shared" si="32"/>
        <v>6.57</v>
      </c>
      <c r="F115" s="123">
        <f t="shared" si="32"/>
        <v>6.57</v>
      </c>
      <c r="G115" s="123">
        <f t="shared" si="32"/>
        <v>6.57</v>
      </c>
      <c r="H115" s="123">
        <f t="shared" si="32"/>
        <v>6.57</v>
      </c>
      <c r="I115" s="123">
        <f t="shared" si="32"/>
        <v>6.57</v>
      </c>
      <c r="J115" s="123">
        <f t="shared" si="32"/>
        <v>6.57</v>
      </c>
      <c r="K115" s="123">
        <f t="shared" si="32"/>
        <v>6.57</v>
      </c>
      <c r="L115" s="123">
        <f t="shared" si="32"/>
        <v>6.57</v>
      </c>
      <c r="M115" s="123">
        <f t="shared" si="32"/>
        <v>6.57</v>
      </c>
      <c r="N115" s="123">
        <f t="shared" si="32"/>
        <v>6.57</v>
      </c>
      <c r="O115" s="123">
        <f t="shared" si="32"/>
        <v>6.57</v>
      </c>
      <c r="P115" s="123">
        <f t="shared" si="32"/>
        <v>6.57</v>
      </c>
      <c r="Q115" s="123">
        <f t="shared" si="32"/>
        <v>6.57</v>
      </c>
      <c r="R115" s="123">
        <f t="shared" si="32"/>
        <v>6.57</v>
      </c>
      <c r="S115" s="123">
        <f t="shared" si="32"/>
        <v>6.57</v>
      </c>
      <c r="T115" s="123">
        <f t="shared" si="33"/>
        <v>6.57</v>
      </c>
      <c r="U115" s="123">
        <f t="shared" si="33"/>
        <v>6.57</v>
      </c>
      <c r="V115" s="123">
        <f t="shared" si="33"/>
        <v>6.57</v>
      </c>
      <c r="W115" s="123">
        <f t="shared" si="33"/>
        <v>6.57</v>
      </c>
      <c r="X115" s="123">
        <f t="shared" si="33"/>
        <v>6.57</v>
      </c>
      <c r="Y115" s="123">
        <f t="shared" si="33"/>
        <v>6.57</v>
      </c>
      <c r="Z115" s="123">
        <f t="shared" si="33"/>
        <v>6.57</v>
      </c>
      <c r="AA115" s="123">
        <f t="shared" si="33"/>
        <v>6.57</v>
      </c>
      <c r="AB115" s="123">
        <f t="shared" si="33"/>
        <v>6.57</v>
      </c>
      <c r="AC115" s="123">
        <f t="shared" si="33"/>
        <v>6.57</v>
      </c>
      <c r="AD115" s="123">
        <f t="shared" si="33"/>
        <v>6.57</v>
      </c>
      <c r="AE115" s="123">
        <f t="shared" si="33"/>
        <v>6.57</v>
      </c>
      <c r="AF115" s="123">
        <f t="shared" si="33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1"/>
        <v>3.43</v>
      </c>
      <c r="C116" s="124">
        <v>3.43</v>
      </c>
      <c r="D116" s="123">
        <f t="shared" si="32"/>
        <v>3.43</v>
      </c>
      <c r="E116" s="123">
        <f t="shared" si="32"/>
        <v>3.43</v>
      </c>
      <c r="F116" s="123">
        <f t="shared" si="32"/>
        <v>3.43</v>
      </c>
      <c r="G116" s="123">
        <f t="shared" si="32"/>
        <v>3.43</v>
      </c>
      <c r="H116" s="123">
        <f t="shared" si="32"/>
        <v>3.43</v>
      </c>
      <c r="I116" s="123">
        <f t="shared" si="32"/>
        <v>3.43</v>
      </c>
      <c r="J116" s="123">
        <f t="shared" si="32"/>
        <v>3.43</v>
      </c>
      <c r="K116" s="123">
        <f t="shared" si="32"/>
        <v>3.43</v>
      </c>
      <c r="L116" s="123">
        <f t="shared" si="32"/>
        <v>3.43</v>
      </c>
      <c r="M116" s="123">
        <f t="shared" si="32"/>
        <v>3.43</v>
      </c>
      <c r="N116" s="123">
        <f t="shared" si="32"/>
        <v>3.43</v>
      </c>
      <c r="O116" s="123">
        <f t="shared" si="32"/>
        <v>3.43</v>
      </c>
      <c r="P116" s="123">
        <f t="shared" si="32"/>
        <v>3.43</v>
      </c>
      <c r="Q116" s="123">
        <f t="shared" si="32"/>
        <v>3.43</v>
      </c>
      <c r="R116" s="123">
        <f t="shared" si="32"/>
        <v>3.43</v>
      </c>
      <c r="S116" s="123">
        <f t="shared" si="32"/>
        <v>3.43</v>
      </c>
      <c r="T116" s="123">
        <f t="shared" si="33"/>
        <v>3.43</v>
      </c>
      <c r="U116" s="123">
        <f t="shared" si="33"/>
        <v>3.43</v>
      </c>
      <c r="V116" s="123">
        <f t="shared" si="33"/>
        <v>3.43</v>
      </c>
      <c r="W116" s="123">
        <f t="shared" si="33"/>
        <v>3.43</v>
      </c>
      <c r="X116" s="123">
        <f t="shared" si="33"/>
        <v>3.43</v>
      </c>
      <c r="Y116" s="123">
        <f t="shared" si="33"/>
        <v>3.43</v>
      </c>
      <c r="Z116" s="123">
        <f t="shared" si="33"/>
        <v>3.43</v>
      </c>
      <c r="AA116" s="123">
        <f t="shared" si="33"/>
        <v>3.43</v>
      </c>
      <c r="AB116" s="123">
        <f t="shared" si="33"/>
        <v>3.43</v>
      </c>
      <c r="AC116" s="123">
        <f t="shared" si="33"/>
        <v>3.43</v>
      </c>
      <c r="AD116" s="123">
        <f t="shared" si="33"/>
        <v>3.43</v>
      </c>
      <c r="AE116" s="123">
        <f t="shared" si="33"/>
        <v>3.43</v>
      </c>
      <c r="AF116" s="123">
        <f t="shared" si="33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1"/>
        <v>2.96</v>
      </c>
      <c r="C117" s="124">
        <v>2.96</v>
      </c>
      <c r="D117" s="123">
        <f t="shared" si="32"/>
        <v>2.96</v>
      </c>
      <c r="E117" s="123">
        <f t="shared" si="32"/>
        <v>2.96</v>
      </c>
      <c r="F117" s="123">
        <f t="shared" si="32"/>
        <v>2.96</v>
      </c>
      <c r="G117" s="123">
        <f t="shared" si="32"/>
        <v>2.96</v>
      </c>
      <c r="H117" s="123">
        <f t="shared" si="32"/>
        <v>2.96</v>
      </c>
      <c r="I117" s="123">
        <f t="shared" si="32"/>
        <v>2.96</v>
      </c>
      <c r="J117" s="123">
        <f t="shared" si="32"/>
        <v>2.96</v>
      </c>
      <c r="K117" s="123">
        <f t="shared" si="32"/>
        <v>2.96</v>
      </c>
      <c r="L117" s="123">
        <f t="shared" si="32"/>
        <v>2.96</v>
      </c>
      <c r="M117" s="123">
        <f t="shared" si="32"/>
        <v>2.96</v>
      </c>
      <c r="N117" s="123">
        <f t="shared" si="32"/>
        <v>2.96</v>
      </c>
      <c r="O117" s="123">
        <f t="shared" si="32"/>
        <v>2.96</v>
      </c>
      <c r="P117" s="123">
        <f t="shared" si="32"/>
        <v>2.96</v>
      </c>
      <c r="Q117" s="123">
        <f t="shared" si="32"/>
        <v>2.96</v>
      </c>
      <c r="R117" s="123">
        <f t="shared" si="32"/>
        <v>2.96</v>
      </c>
      <c r="S117" s="123">
        <f t="shared" si="32"/>
        <v>2.96</v>
      </c>
      <c r="T117" s="123">
        <f t="shared" si="33"/>
        <v>2.96</v>
      </c>
      <c r="U117" s="123">
        <f t="shared" si="33"/>
        <v>2.96</v>
      </c>
      <c r="V117" s="123">
        <f t="shared" si="33"/>
        <v>2.96</v>
      </c>
      <c r="W117" s="123">
        <f t="shared" si="33"/>
        <v>2.96</v>
      </c>
      <c r="X117" s="123">
        <f t="shared" si="33"/>
        <v>2.96</v>
      </c>
      <c r="Y117" s="123">
        <f t="shared" si="33"/>
        <v>2.96</v>
      </c>
      <c r="Z117" s="123">
        <f t="shared" si="33"/>
        <v>2.96</v>
      </c>
      <c r="AA117" s="123">
        <f t="shared" si="33"/>
        <v>2.96</v>
      </c>
      <c r="AB117" s="123">
        <f t="shared" si="33"/>
        <v>2.96</v>
      </c>
      <c r="AC117" s="123">
        <f t="shared" si="33"/>
        <v>2.96</v>
      </c>
      <c r="AD117" s="123">
        <f t="shared" si="33"/>
        <v>2.96</v>
      </c>
      <c r="AE117" s="123">
        <f t="shared" si="33"/>
        <v>2.96</v>
      </c>
      <c r="AF117" s="123">
        <f t="shared" si="33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1"/>
        <v>8</v>
      </c>
      <c r="C118" s="124">
        <v>8</v>
      </c>
      <c r="D118" s="123">
        <f t="shared" si="32"/>
        <v>8</v>
      </c>
      <c r="E118" s="123">
        <f t="shared" si="32"/>
        <v>8</v>
      </c>
      <c r="F118" s="123">
        <f t="shared" si="32"/>
        <v>8</v>
      </c>
      <c r="G118" s="123">
        <f t="shared" si="32"/>
        <v>8</v>
      </c>
      <c r="H118" s="123">
        <f t="shared" si="32"/>
        <v>8</v>
      </c>
      <c r="I118" s="123">
        <f t="shared" si="32"/>
        <v>8</v>
      </c>
      <c r="J118" s="123">
        <f t="shared" si="32"/>
        <v>8</v>
      </c>
      <c r="K118" s="123">
        <f t="shared" si="32"/>
        <v>8</v>
      </c>
      <c r="L118" s="123">
        <f t="shared" si="32"/>
        <v>8</v>
      </c>
      <c r="M118" s="123">
        <f t="shared" si="32"/>
        <v>8</v>
      </c>
      <c r="N118" s="123">
        <f t="shared" si="32"/>
        <v>8</v>
      </c>
      <c r="O118" s="123">
        <f t="shared" si="32"/>
        <v>8</v>
      </c>
      <c r="P118" s="123">
        <f t="shared" si="32"/>
        <v>8</v>
      </c>
      <c r="Q118" s="123">
        <f t="shared" si="32"/>
        <v>8</v>
      </c>
      <c r="R118" s="123">
        <f t="shared" si="32"/>
        <v>8</v>
      </c>
      <c r="S118" s="123">
        <f t="shared" si="32"/>
        <v>8</v>
      </c>
      <c r="T118" s="123">
        <f t="shared" si="33"/>
        <v>8</v>
      </c>
      <c r="U118" s="123">
        <f t="shared" si="33"/>
        <v>8</v>
      </c>
      <c r="V118" s="123">
        <f t="shared" si="33"/>
        <v>8</v>
      </c>
      <c r="W118" s="123">
        <f t="shared" si="33"/>
        <v>8</v>
      </c>
      <c r="X118" s="123">
        <f t="shared" si="33"/>
        <v>8</v>
      </c>
      <c r="Y118" s="123">
        <f t="shared" si="33"/>
        <v>8</v>
      </c>
      <c r="Z118" s="123">
        <f t="shared" si="33"/>
        <v>8</v>
      </c>
      <c r="AA118" s="123">
        <f t="shared" si="33"/>
        <v>8</v>
      </c>
      <c r="AB118" s="123">
        <f t="shared" si="33"/>
        <v>8</v>
      </c>
      <c r="AC118" s="123">
        <f t="shared" si="33"/>
        <v>8</v>
      </c>
      <c r="AD118" s="123">
        <f t="shared" si="33"/>
        <v>8</v>
      </c>
      <c r="AE118" s="123">
        <f t="shared" si="33"/>
        <v>8</v>
      </c>
      <c r="AF118" s="123">
        <f t="shared" si="33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1"/>
        <v>7</v>
      </c>
      <c r="C119" s="124">
        <v>7</v>
      </c>
      <c r="D119" s="123">
        <f>C119</f>
        <v>7</v>
      </c>
      <c r="E119" s="123">
        <f t="shared" si="32"/>
        <v>7</v>
      </c>
      <c r="F119" s="123">
        <f t="shared" si="32"/>
        <v>7</v>
      </c>
      <c r="G119" s="123">
        <f t="shared" si="32"/>
        <v>7</v>
      </c>
      <c r="H119" s="123">
        <f t="shared" si="32"/>
        <v>7</v>
      </c>
      <c r="I119" s="123">
        <f t="shared" si="32"/>
        <v>7</v>
      </c>
      <c r="J119" s="123">
        <f t="shared" si="32"/>
        <v>7</v>
      </c>
      <c r="K119" s="123">
        <f t="shared" si="32"/>
        <v>7</v>
      </c>
      <c r="L119" s="123">
        <f t="shared" si="32"/>
        <v>7</v>
      </c>
      <c r="M119" s="123">
        <f t="shared" si="32"/>
        <v>7</v>
      </c>
      <c r="N119" s="123">
        <f t="shared" si="32"/>
        <v>7</v>
      </c>
      <c r="O119" s="123">
        <f t="shared" si="32"/>
        <v>7</v>
      </c>
      <c r="P119" s="123">
        <f t="shared" si="32"/>
        <v>7</v>
      </c>
      <c r="Q119" s="123">
        <f t="shared" si="32"/>
        <v>7</v>
      </c>
      <c r="R119" s="123">
        <f t="shared" si="32"/>
        <v>7</v>
      </c>
      <c r="S119" s="123">
        <f t="shared" si="32"/>
        <v>7</v>
      </c>
      <c r="T119" s="123">
        <f t="shared" si="33"/>
        <v>7</v>
      </c>
      <c r="U119" s="123">
        <f t="shared" si="33"/>
        <v>7</v>
      </c>
      <c r="V119" s="123">
        <f t="shared" si="33"/>
        <v>7</v>
      </c>
      <c r="W119" s="123">
        <f t="shared" si="33"/>
        <v>7</v>
      </c>
      <c r="X119" s="123">
        <f t="shared" si="33"/>
        <v>7</v>
      </c>
      <c r="Y119" s="123">
        <f t="shared" si="33"/>
        <v>7</v>
      </c>
      <c r="Z119" s="123">
        <f t="shared" si="33"/>
        <v>7</v>
      </c>
      <c r="AA119" s="123">
        <f t="shared" si="33"/>
        <v>7</v>
      </c>
      <c r="AB119" s="123">
        <f t="shared" si="33"/>
        <v>7</v>
      </c>
      <c r="AC119" s="123">
        <f t="shared" si="33"/>
        <v>7</v>
      </c>
      <c r="AD119" s="123">
        <f t="shared" si="33"/>
        <v>7</v>
      </c>
      <c r="AE119" s="123">
        <f t="shared" si="33"/>
        <v>7</v>
      </c>
      <c r="AF119" s="123">
        <f t="shared" si="33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1"/>
        <v>3.47</v>
      </c>
      <c r="C120" s="124">
        <v>3.47</v>
      </c>
      <c r="D120" s="123">
        <f t="shared" ref="D120:S129" si="34">C120</f>
        <v>3.47</v>
      </c>
      <c r="E120" s="123">
        <f t="shared" si="34"/>
        <v>3.47</v>
      </c>
      <c r="F120" s="123">
        <f t="shared" si="34"/>
        <v>3.47</v>
      </c>
      <c r="G120" s="123">
        <f t="shared" si="34"/>
        <v>3.47</v>
      </c>
      <c r="H120" s="123">
        <f t="shared" si="34"/>
        <v>3.47</v>
      </c>
      <c r="I120" s="123">
        <f t="shared" si="34"/>
        <v>3.47</v>
      </c>
      <c r="J120" s="123">
        <f t="shared" si="34"/>
        <v>3.47</v>
      </c>
      <c r="K120" s="123">
        <f t="shared" si="34"/>
        <v>3.47</v>
      </c>
      <c r="L120" s="123">
        <f t="shared" si="34"/>
        <v>3.47</v>
      </c>
      <c r="M120" s="123">
        <f t="shared" si="34"/>
        <v>3.47</v>
      </c>
      <c r="N120" s="123">
        <f t="shared" si="34"/>
        <v>3.47</v>
      </c>
      <c r="O120" s="123">
        <f t="shared" si="34"/>
        <v>3.47</v>
      </c>
      <c r="P120" s="123">
        <f t="shared" si="34"/>
        <v>3.47</v>
      </c>
      <c r="Q120" s="123">
        <f t="shared" si="34"/>
        <v>3.47</v>
      </c>
      <c r="R120" s="123">
        <f t="shared" si="34"/>
        <v>3.47</v>
      </c>
      <c r="S120" s="123">
        <f t="shared" si="34"/>
        <v>3.47</v>
      </c>
      <c r="T120" s="123">
        <f t="shared" si="33"/>
        <v>3.47</v>
      </c>
      <c r="U120" s="123">
        <f t="shared" si="33"/>
        <v>3.47</v>
      </c>
      <c r="V120" s="123">
        <f t="shared" si="33"/>
        <v>3.47</v>
      </c>
      <c r="W120" s="123">
        <f t="shared" si="33"/>
        <v>3.47</v>
      </c>
      <c r="X120" s="123">
        <f t="shared" si="33"/>
        <v>3.47</v>
      </c>
      <c r="Y120" s="123">
        <f t="shared" si="33"/>
        <v>3.47</v>
      </c>
      <c r="Z120" s="123">
        <f t="shared" si="33"/>
        <v>3.47</v>
      </c>
      <c r="AA120" s="123">
        <f t="shared" si="33"/>
        <v>3.47</v>
      </c>
      <c r="AB120" s="123">
        <f t="shared" si="33"/>
        <v>3.47</v>
      </c>
      <c r="AC120" s="123">
        <f t="shared" si="33"/>
        <v>3.47</v>
      </c>
      <c r="AD120" s="123">
        <f t="shared" si="33"/>
        <v>3.47</v>
      </c>
      <c r="AE120" s="123">
        <f t="shared" si="33"/>
        <v>3.47</v>
      </c>
      <c r="AF120" s="123">
        <f t="shared" si="33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1"/>
        <v>2.1</v>
      </c>
      <c r="C121" s="124">
        <v>2.1</v>
      </c>
      <c r="D121" s="123">
        <f t="shared" si="34"/>
        <v>2.1</v>
      </c>
      <c r="E121" s="123">
        <f t="shared" si="34"/>
        <v>2.1</v>
      </c>
      <c r="F121" s="123">
        <f t="shared" si="34"/>
        <v>2.1</v>
      </c>
      <c r="G121" s="123">
        <f t="shared" si="34"/>
        <v>2.1</v>
      </c>
      <c r="H121" s="123">
        <f t="shared" si="34"/>
        <v>2.1</v>
      </c>
      <c r="I121" s="123">
        <f t="shared" si="34"/>
        <v>2.1</v>
      </c>
      <c r="J121" s="123">
        <f t="shared" si="34"/>
        <v>2.1</v>
      </c>
      <c r="K121" s="123">
        <f t="shared" si="34"/>
        <v>2.1</v>
      </c>
      <c r="L121" s="123">
        <f t="shared" si="34"/>
        <v>2.1</v>
      </c>
      <c r="M121" s="123">
        <f t="shared" si="34"/>
        <v>2.1</v>
      </c>
      <c r="N121" s="123">
        <f t="shared" si="34"/>
        <v>2.1</v>
      </c>
      <c r="O121" s="123">
        <f t="shared" si="34"/>
        <v>2.1</v>
      </c>
      <c r="P121" s="123">
        <f t="shared" si="34"/>
        <v>2.1</v>
      </c>
      <c r="Q121" s="123">
        <f t="shared" si="34"/>
        <v>2.1</v>
      </c>
      <c r="R121" s="123">
        <f t="shared" si="34"/>
        <v>2.1</v>
      </c>
      <c r="S121" s="123">
        <f t="shared" si="34"/>
        <v>2.1</v>
      </c>
      <c r="T121" s="123">
        <f t="shared" si="33"/>
        <v>2.1</v>
      </c>
      <c r="U121" s="123">
        <f t="shared" si="33"/>
        <v>2.1</v>
      </c>
      <c r="V121" s="123">
        <f t="shared" si="33"/>
        <v>2.1</v>
      </c>
      <c r="W121" s="123">
        <f t="shared" si="33"/>
        <v>2.1</v>
      </c>
      <c r="X121" s="123">
        <f t="shared" si="33"/>
        <v>2.1</v>
      </c>
      <c r="Y121" s="123">
        <f t="shared" si="33"/>
        <v>2.1</v>
      </c>
      <c r="Z121" s="123">
        <f t="shared" si="33"/>
        <v>2.1</v>
      </c>
      <c r="AA121" s="123">
        <f t="shared" si="33"/>
        <v>2.1</v>
      </c>
      <c r="AB121" s="123">
        <f t="shared" si="33"/>
        <v>2.1</v>
      </c>
      <c r="AC121" s="123">
        <f t="shared" si="33"/>
        <v>2.1</v>
      </c>
      <c r="AD121" s="123">
        <f t="shared" si="33"/>
        <v>2.1</v>
      </c>
      <c r="AE121" s="123">
        <f t="shared" si="33"/>
        <v>2.1</v>
      </c>
      <c r="AF121" s="123">
        <f t="shared" si="33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1"/>
        <v>9.3000000000000007</v>
      </c>
      <c r="C122" s="124">
        <v>9.3000000000000007</v>
      </c>
      <c r="D122" s="123">
        <f t="shared" si="34"/>
        <v>9.3000000000000007</v>
      </c>
      <c r="E122" s="123">
        <f t="shared" si="34"/>
        <v>9.3000000000000007</v>
      </c>
      <c r="F122" s="123">
        <f t="shared" si="34"/>
        <v>9.3000000000000007</v>
      </c>
      <c r="G122" s="123">
        <f t="shared" si="34"/>
        <v>9.3000000000000007</v>
      </c>
      <c r="H122" s="123">
        <f t="shared" si="34"/>
        <v>9.3000000000000007</v>
      </c>
      <c r="I122" s="123">
        <f t="shared" si="34"/>
        <v>9.3000000000000007</v>
      </c>
      <c r="J122" s="123">
        <f t="shared" si="34"/>
        <v>9.3000000000000007</v>
      </c>
      <c r="K122" s="123">
        <f t="shared" si="34"/>
        <v>9.3000000000000007</v>
      </c>
      <c r="L122" s="123">
        <f t="shared" si="34"/>
        <v>9.3000000000000007</v>
      </c>
      <c r="M122" s="123">
        <f t="shared" si="34"/>
        <v>9.3000000000000007</v>
      </c>
      <c r="N122" s="123">
        <f t="shared" si="34"/>
        <v>9.3000000000000007</v>
      </c>
      <c r="O122" s="123">
        <f t="shared" si="34"/>
        <v>9.3000000000000007</v>
      </c>
      <c r="P122" s="123">
        <f t="shared" si="34"/>
        <v>9.3000000000000007</v>
      </c>
      <c r="Q122" s="123">
        <f t="shared" si="34"/>
        <v>9.3000000000000007</v>
      </c>
      <c r="R122" s="123">
        <f t="shared" si="34"/>
        <v>9.3000000000000007</v>
      </c>
      <c r="S122" s="123">
        <f t="shared" si="34"/>
        <v>9.3000000000000007</v>
      </c>
      <c r="T122" s="123">
        <f t="shared" si="33"/>
        <v>9.3000000000000007</v>
      </c>
      <c r="U122" s="123">
        <f t="shared" si="33"/>
        <v>9.3000000000000007</v>
      </c>
      <c r="V122" s="123">
        <f t="shared" si="33"/>
        <v>9.3000000000000007</v>
      </c>
      <c r="W122" s="123">
        <f t="shared" si="33"/>
        <v>9.3000000000000007</v>
      </c>
      <c r="X122" s="123">
        <f t="shared" si="33"/>
        <v>9.3000000000000007</v>
      </c>
      <c r="Y122" s="123">
        <f t="shared" si="33"/>
        <v>9.3000000000000007</v>
      </c>
      <c r="Z122" s="123">
        <f t="shared" si="33"/>
        <v>9.3000000000000007</v>
      </c>
      <c r="AA122" s="123">
        <f t="shared" si="33"/>
        <v>9.3000000000000007</v>
      </c>
      <c r="AB122" s="123">
        <f t="shared" si="33"/>
        <v>9.3000000000000007</v>
      </c>
      <c r="AC122" s="123">
        <f t="shared" si="33"/>
        <v>9.3000000000000007</v>
      </c>
      <c r="AD122" s="123">
        <f t="shared" si="33"/>
        <v>9.3000000000000007</v>
      </c>
      <c r="AE122" s="123">
        <f t="shared" si="33"/>
        <v>9.3000000000000007</v>
      </c>
      <c r="AF122" s="123">
        <f t="shared" si="33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1"/>
        <v>0</v>
      </c>
      <c r="C123" s="124">
        <v>0</v>
      </c>
      <c r="D123" s="123">
        <f t="shared" si="34"/>
        <v>0</v>
      </c>
      <c r="E123" s="123">
        <f t="shared" si="34"/>
        <v>0</v>
      </c>
      <c r="F123" s="123">
        <f t="shared" si="34"/>
        <v>0</v>
      </c>
      <c r="G123" s="123">
        <f t="shared" si="34"/>
        <v>0</v>
      </c>
      <c r="H123" s="123">
        <f t="shared" si="34"/>
        <v>0</v>
      </c>
      <c r="I123" s="123">
        <f t="shared" si="34"/>
        <v>0</v>
      </c>
      <c r="J123" s="123">
        <f t="shared" si="34"/>
        <v>0</v>
      </c>
      <c r="K123" s="123">
        <f t="shared" si="34"/>
        <v>0</v>
      </c>
      <c r="L123" s="123">
        <f t="shared" si="34"/>
        <v>0</v>
      </c>
      <c r="M123" s="123">
        <f t="shared" si="34"/>
        <v>0</v>
      </c>
      <c r="N123" s="123">
        <f t="shared" si="34"/>
        <v>0</v>
      </c>
      <c r="O123" s="123">
        <f t="shared" si="34"/>
        <v>0</v>
      </c>
      <c r="P123" s="123">
        <f t="shared" si="34"/>
        <v>0</v>
      </c>
      <c r="Q123" s="123">
        <f t="shared" si="34"/>
        <v>0</v>
      </c>
      <c r="R123" s="123">
        <f t="shared" si="34"/>
        <v>0</v>
      </c>
      <c r="S123" s="123">
        <f t="shared" si="34"/>
        <v>0</v>
      </c>
      <c r="T123" s="123">
        <f t="shared" si="33"/>
        <v>0</v>
      </c>
      <c r="U123" s="123">
        <f t="shared" si="33"/>
        <v>0</v>
      </c>
      <c r="V123" s="123">
        <f t="shared" si="33"/>
        <v>0</v>
      </c>
      <c r="W123" s="123">
        <f t="shared" si="33"/>
        <v>0</v>
      </c>
      <c r="X123" s="123">
        <f t="shared" si="33"/>
        <v>0</v>
      </c>
      <c r="Y123" s="123">
        <f t="shared" si="33"/>
        <v>0</v>
      </c>
      <c r="Z123" s="123">
        <f t="shared" si="33"/>
        <v>0</v>
      </c>
      <c r="AA123" s="123">
        <f t="shared" si="33"/>
        <v>0</v>
      </c>
      <c r="AB123" s="123">
        <f t="shared" si="33"/>
        <v>0</v>
      </c>
      <c r="AC123" s="123">
        <f t="shared" si="33"/>
        <v>0</v>
      </c>
      <c r="AD123" s="123">
        <f t="shared" si="33"/>
        <v>0</v>
      </c>
      <c r="AE123" s="123">
        <f t="shared" si="33"/>
        <v>0</v>
      </c>
      <c r="AF123" s="123">
        <f t="shared" si="33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1"/>
        <v>;/</v>
      </c>
      <c r="C125" s="124">
        <v>5</v>
      </c>
      <c r="D125" s="123">
        <f t="shared" si="34"/>
        <v>5</v>
      </c>
      <c r="E125" s="123">
        <f t="shared" si="34"/>
        <v>5</v>
      </c>
      <c r="F125" s="123">
        <f t="shared" si="34"/>
        <v>5</v>
      </c>
      <c r="G125" s="123">
        <f t="shared" si="34"/>
        <v>5</v>
      </c>
      <c r="H125" s="123">
        <f t="shared" si="34"/>
        <v>5</v>
      </c>
      <c r="I125" s="123" t="s">
        <v>130</v>
      </c>
      <c r="J125" s="123" t="str">
        <f t="shared" si="34"/>
        <v>;/</v>
      </c>
      <c r="K125" s="123" t="str">
        <f t="shared" si="34"/>
        <v>;/</v>
      </c>
      <c r="L125" s="123" t="str">
        <f t="shared" si="34"/>
        <v>;/</v>
      </c>
      <c r="M125" s="123" t="str">
        <f t="shared" si="34"/>
        <v>;/</v>
      </c>
      <c r="N125" s="123" t="str">
        <f t="shared" si="34"/>
        <v>;/</v>
      </c>
      <c r="O125" s="123" t="str">
        <f t="shared" si="34"/>
        <v>;/</v>
      </c>
      <c r="P125" s="123" t="str">
        <f t="shared" si="34"/>
        <v>;/</v>
      </c>
      <c r="Q125" s="123" t="str">
        <f t="shared" si="34"/>
        <v>;/</v>
      </c>
      <c r="R125" s="123" t="str">
        <f t="shared" si="34"/>
        <v>;/</v>
      </c>
      <c r="S125" s="123" t="str">
        <f t="shared" si="34"/>
        <v>;/</v>
      </c>
      <c r="T125" s="123" t="str">
        <f t="shared" si="33"/>
        <v>;/</v>
      </c>
      <c r="U125" s="123" t="str">
        <f t="shared" si="33"/>
        <v>;/</v>
      </c>
      <c r="V125" s="123" t="str">
        <f t="shared" si="33"/>
        <v>;/</v>
      </c>
      <c r="W125" s="123" t="str">
        <f t="shared" si="33"/>
        <v>;/</v>
      </c>
      <c r="X125" s="123" t="str">
        <f t="shared" si="33"/>
        <v>;/</v>
      </c>
      <c r="Y125" s="123" t="str">
        <f t="shared" si="33"/>
        <v>;/</v>
      </c>
      <c r="Z125" s="123" t="str">
        <f t="shared" si="33"/>
        <v>;/</v>
      </c>
      <c r="AA125" s="123" t="str">
        <f t="shared" si="33"/>
        <v>;/</v>
      </c>
      <c r="AB125" s="123" t="str">
        <f t="shared" si="33"/>
        <v>;/</v>
      </c>
      <c r="AC125" s="123" t="str">
        <f t="shared" si="33"/>
        <v>;/</v>
      </c>
      <c r="AD125" s="123" t="str">
        <f t="shared" si="33"/>
        <v>;/</v>
      </c>
      <c r="AE125" s="123" t="str">
        <f t="shared" si="33"/>
        <v>;/</v>
      </c>
      <c r="AF125" s="123" t="str">
        <f t="shared" si="33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1"/>
        <v>1</v>
      </c>
      <c r="C126" s="124">
        <v>1</v>
      </c>
      <c r="D126" s="123">
        <f t="shared" si="34"/>
        <v>1</v>
      </c>
      <c r="E126" s="123">
        <f t="shared" si="34"/>
        <v>1</v>
      </c>
      <c r="F126" s="123">
        <f t="shared" si="34"/>
        <v>1</v>
      </c>
      <c r="G126" s="123">
        <f t="shared" si="34"/>
        <v>1</v>
      </c>
      <c r="H126" s="123">
        <f t="shared" si="34"/>
        <v>1</v>
      </c>
      <c r="I126" s="123">
        <f t="shared" si="34"/>
        <v>1</v>
      </c>
      <c r="J126" s="123">
        <f t="shared" si="34"/>
        <v>1</v>
      </c>
      <c r="K126" s="123">
        <f t="shared" si="34"/>
        <v>1</v>
      </c>
      <c r="L126" s="123">
        <f t="shared" si="34"/>
        <v>1</v>
      </c>
      <c r="M126" s="123">
        <f t="shared" si="34"/>
        <v>1</v>
      </c>
      <c r="N126" s="123">
        <f t="shared" si="34"/>
        <v>1</v>
      </c>
      <c r="O126" s="123">
        <f t="shared" si="34"/>
        <v>1</v>
      </c>
      <c r="P126" s="123">
        <f t="shared" si="34"/>
        <v>1</v>
      </c>
      <c r="Q126" s="123">
        <f t="shared" si="34"/>
        <v>1</v>
      </c>
      <c r="R126" s="123">
        <f t="shared" si="34"/>
        <v>1</v>
      </c>
      <c r="S126" s="123">
        <f t="shared" si="34"/>
        <v>1</v>
      </c>
      <c r="T126" s="123">
        <f t="shared" si="33"/>
        <v>1</v>
      </c>
      <c r="U126" s="123">
        <f t="shared" si="33"/>
        <v>1</v>
      </c>
      <c r="V126" s="123">
        <f t="shared" si="33"/>
        <v>1</v>
      </c>
      <c r="W126" s="123">
        <f t="shared" si="33"/>
        <v>1</v>
      </c>
      <c r="X126" s="123">
        <f t="shared" si="33"/>
        <v>1</v>
      </c>
      <c r="Y126" s="123">
        <f t="shared" si="33"/>
        <v>1</v>
      </c>
      <c r="Z126" s="123">
        <f t="shared" si="33"/>
        <v>1</v>
      </c>
      <c r="AA126" s="123">
        <f t="shared" si="33"/>
        <v>1</v>
      </c>
      <c r="AB126" s="123">
        <f t="shared" si="33"/>
        <v>1</v>
      </c>
      <c r="AC126" s="123">
        <f t="shared" si="33"/>
        <v>1</v>
      </c>
      <c r="AD126" s="123">
        <f t="shared" si="33"/>
        <v>1</v>
      </c>
      <c r="AE126" s="123">
        <f t="shared" si="33"/>
        <v>1</v>
      </c>
      <c r="AF126" s="123">
        <f t="shared" si="33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1"/>
        <v>1.58</v>
      </c>
      <c r="C127" s="124">
        <v>1.58</v>
      </c>
      <c r="D127" s="123">
        <f t="shared" si="34"/>
        <v>1.58</v>
      </c>
      <c r="E127" s="123">
        <f t="shared" si="34"/>
        <v>1.58</v>
      </c>
      <c r="F127" s="123">
        <f t="shared" si="34"/>
        <v>1.58</v>
      </c>
      <c r="G127" s="123">
        <f t="shared" si="34"/>
        <v>1.58</v>
      </c>
      <c r="H127" s="123">
        <f t="shared" si="34"/>
        <v>1.58</v>
      </c>
      <c r="I127" s="123">
        <f t="shared" si="34"/>
        <v>1.58</v>
      </c>
      <c r="J127" s="123">
        <f t="shared" si="34"/>
        <v>1.58</v>
      </c>
      <c r="K127" s="123">
        <f t="shared" si="34"/>
        <v>1.58</v>
      </c>
      <c r="L127" s="123">
        <f t="shared" si="34"/>
        <v>1.58</v>
      </c>
      <c r="M127" s="123">
        <f t="shared" si="34"/>
        <v>1.58</v>
      </c>
      <c r="N127" s="123">
        <f t="shared" si="34"/>
        <v>1.58</v>
      </c>
      <c r="O127" s="123">
        <f t="shared" si="34"/>
        <v>1.58</v>
      </c>
      <c r="P127" s="123">
        <f t="shared" si="34"/>
        <v>1.58</v>
      </c>
      <c r="Q127" s="123">
        <f t="shared" si="34"/>
        <v>1.58</v>
      </c>
      <c r="R127" s="123">
        <f t="shared" si="34"/>
        <v>1.58</v>
      </c>
      <c r="S127" s="123">
        <f t="shared" si="34"/>
        <v>1.58</v>
      </c>
      <c r="T127" s="123">
        <f t="shared" si="33"/>
        <v>1.58</v>
      </c>
      <c r="U127" s="123">
        <f t="shared" si="33"/>
        <v>1.58</v>
      </c>
      <c r="V127" s="123">
        <f t="shared" si="33"/>
        <v>1.58</v>
      </c>
      <c r="W127" s="123">
        <f t="shared" si="33"/>
        <v>1.58</v>
      </c>
      <c r="X127" s="123">
        <f t="shared" si="33"/>
        <v>1.58</v>
      </c>
      <c r="Y127" s="123">
        <f t="shared" si="33"/>
        <v>1.58</v>
      </c>
      <c r="Z127" s="123">
        <f t="shared" si="33"/>
        <v>1.58</v>
      </c>
      <c r="AA127" s="123">
        <f t="shared" si="33"/>
        <v>1.58</v>
      </c>
      <c r="AB127" s="123">
        <f t="shared" si="33"/>
        <v>1.58</v>
      </c>
      <c r="AC127" s="123">
        <f t="shared" si="33"/>
        <v>1.58</v>
      </c>
      <c r="AD127" s="123">
        <f t="shared" si="33"/>
        <v>1.58</v>
      </c>
      <c r="AE127" s="123">
        <f t="shared" si="33"/>
        <v>1.58</v>
      </c>
      <c r="AF127" s="123">
        <f t="shared" si="33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1"/>
        <v>1.46</v>
      </c>
      <c r="C128" s="124">
        <v>1.46</v>
      </c>
      <c r="D128" s="123">
        <f t="shared" si="34"/>
        <v>1.46</v>
      </c>
      <c r="E128" s="123">
        <f t="shared" si="34"/>
        <v>1.46</v>
      </c>
      <c r="F128" s="123">
        <f t="shared" si="34"/>
        <v>1.46</v>
      </c>
      <c r="G128" s="123">
        <f t="shared" si="34"/>
        <v>1.46</v>
      </c>
      <c r="H128" s="123">
        <f t="shared" si="34"/>
        <v>1.46</v>
      </c>
      <c r="I128" s="123">
        <f t="shared" si="34"/>
        <v>1.46</v>
      </c>
      <c r="J128" s="123">
        <f t="shared" si="34"/>
        <v>1.46</v>
      </c>
      <c r="K128" s="123">
        <f t="shared" si="34"/>
        <v>1.46</v>
      </c>
      <c r="L128" s="123">
        <f t="shared" si="34"/>
        <v>1.46</v>
      </c>
      <c r="M128" s="123">
        <f t="shared" si="34"/>
        <v>1.46</v>
      </c>
      <c r="N128" s="123">
        <f t="shared" si="34"/>
        <v>1.46</v>
      </c>
      <c r="O128" s="123">
        <f t="shared" si="34"/>
        <v>1.46</v>
      </c>
      <c r="P128" s="123">
        <f t="shared" si="34"/>
        <v>1.46</v>
      </c>
      <c r="Q128" s="123">
        <f t="shared" si="34"/>
        <v>1.46</v>
      </c>
      <c r="R128" s="123">
        <f t="shared" si="34"/>
        <v>1.46</v>
      </c>
      <c r="S128" s="123">
        <f t="shared" si="34"/>
        <v>1.46</v>
      </c>
      <c r="T128" s="123">
        <f t="shared" ref="T128:AF129" si="35">S128</f>
        <v>1.46</v>
      </c>
      <c r="U128" s="123">
        <f t="shared" si="35"/>
        <v>1.46</v>
      </c>
      <c r="V128" s="123">
        <f t="shared" si="35"/>
        <v>1.46</v>
      </c>
      <c r="W128" s="123">
        <f t="shared" si="35"/>
        <v>1.46</v>
      </c>
      <c r="X128" s="123">
        <f t="shared" si="35"/>
        <v>1.46</v>
      </c>
      <c r="Y128" s="123">
        <f t="shared" si="35"/>
        <v>1.46</v>
      </c>
      <c r="Z128" s="123">
        <f t="shared" si="35"/>
        <v>1.46</v>
      </c>
      <c r="AA128" s="123">
        <f t="shared" si="35"/>
        <v>1.46</v>
      </c>
      <c r="AB128" s="123">
        <f t="shared" si="35"/>
        <v>1.46</v>
      </c>
      <c r="AC128" s="123">
        <f t="shared" si="35"/>
        <v>1.46</v>
      </c>
      <c r="AD128" s="123">
        <f t="shared" si="35"/>
        <v>1.46</v>
      </c>
      <c r="AE128" s="123">
        <f t="shared" si="35"/>
        <v>1.46</v>
      </c>
      <c r="AF128" s="123">
        <f t="shared" si="35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1"/>
        <v>1.48</v>
      </c>
      <c r="C129" s="124">
        <v>1.48</v>
      </c>
      <c r="D129" s="123">
        <f t="shared" si="34"/>
        <v>1.48</v>
      </c>
      <c r="E129" s="123">
        <f t="shared" si="34"/>
        <v>1.48</v>
      </c>
      <c r="F129" s="123">
        <f t="shared" si="34"/>
        <v>1.48</v>
      </c>
      <c r="G129" s="123">
        <f t="shared" si="34"/>
        <v>1.48</v>
      </c>
      <c r="H129" s="123">
        <f t="shared" si="34"/>
        <v>1.48</v>
      </c>
      <c r="I129" s="123">
        <f t="shared" si="34"/>
        <v>1.48</v>
      </c>
      <c r="J129" s="123">
        <f t="shared" si="34"/>
        <v>1.48</v>
      </c>
      <c r="K129" s="123">
        <f t="shared" si="34"/>
        <v>1.48</v>
      </c>
      <c r="L129" s="123">
        <f t="shared" si="34"/>
        <v>1.48</v>
      </c>
      <c r="M129" s="123">
        <f t="shared" si="34"/>
        <v>1.48</v>
      </c>
      <c r="N129" s="123">
        <f t="shared" si="34"/>
        <v>1.48</v>
      </c>
      <c r="O129" s="123">
        <f t="shared" si="34"/>
        <v>1.48</v>
      </c>
      <c r="P129" s="123">
        <f t="shared" si="34"/>
        <v>1.48</v>
      </c>
      <c r="Q129" s="123">
        <f t="shared" si="34"/>
        <v>1.48</v>
      </c>
      <c r="R129" s="123">
        <f t="shared" si="34"/>
        <v>1.48</v>
      </c>
      <c r="S129" s="123">
        <f t="shared" si="34"/>
        <v>1.48</v>
      </c>
      <c r="T129" s="123">
        <f t="shared" si="35"/>
        <v>1.48</v>
      </c>
      <c r="U129" s="123">
        <f t="shared" si="35"/>
        <v>1.48</v>
      </c>
      <c r="V129" s="123">
        <f t="shared" si="35"/>
        <v>1.48</v>
      </c>
      <c r="W129" s="123">
        <f t="shared" si="35"/>
        <v>1.48</v>
      </c>
      <c r="X129" s="123">
        <f t="shared" si="35"/>
        <v>1.48</v>
      </c>
      <c r="Y129" s="123">
        <f t="shared" si="35"/>
        <v>1.48</v>
      </c>
      <c r="Z129" s="123">
        <f t="shared" si="35"/>
        <v>1.48</v>
      </c>
      <c r="AA129" s="123">
        <f t="shared" si="35"/>
        <v>1.48</v>
      </c>
      <c r="AB129" s="123">
        <f t="shared" si="35"/>
        <v>1.48</v>
      </c>
      <c r="AC129" s="123">
        <f t="shared" si="35"/>
        <v>1.48</v>
      </c>
      <c r="AD129" s="123">
        <f t="shared" si="35"/>
        <v>1.48</v>
      </c>
      <c r="AE129" s="123">
        <f t="shared" si="35"/>
        <v>1.48</v>
      </c>
      <c r="AF129" s="123">
        <f t="shared" si="35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6">AF131</f>
        <v>2.2000000000000002</v>
      </c>
      <c r="C131" s="124">
        <v>2.2000000000000002</v>
      </c>
      <c r="D131" s="123">
        <f t="shared" ref="D131:S138" si="37">C131</f>
        <v>2.2000000000000002</v>
      </c>
      <c r="E131" s="123">
        <f t="shared" si="37"/>
        <v>2.2000000000000002</v>
      </c>
      <c r="F131" s="123">
        <f t="shared" si="37"/>
        <v>2.2000000000000002</v>
      </c>
      <c r="G131" s="123">
        <f t="shared" si="37"/>
        <v>2.2000000000000002</v>
      </c>
      <c r="H131" s="123">
        <f t="shared" si="37"/>
        <v>2.2000000000000002</v>
      </c>
      <c r="I131" s="123">
        <f t="shared" si="37"/>
        <v>2.2000000000000002</v>
      </c>
      <c r="J131" s="123">
        <f t="shared" si="37"/>
        <v>2.2000000000000002</v>
      </c>
      <c r="K131" s="123">
        <f t="shared" si="37"/>
        <v>2.2000000000000002</v>
      </c>
      <c r="L131" s="123">
        <f t="shared" si="37"/>
        <v>2.2000000000000002</v>
      </c>
      <c r="M131" s="123">
        <f t="shared" si="37"/>
        <v>2.2000000000000002</v>
      </c>
      <c r="N131" s="123">
        <f t="shared" si="37"/>
        <v>2.2000000000000002</v>
      </c>
      <c r="O131" s="123">
        <f t="shared" si="37"/>
        <v>2.2000000000000002</v>
      </c>
      <c r="P131" s="123">
        <f t="shared" si="37"/>
        <v>2.2000000000000002</v>
      </c>
      <c r="Q131" s="123">
        <f t="shared" si="37"/>
        <v>2.2000000000000002</v>
      </c>
      <c r="R131" s="123">
        <f t="shared" si="37"/>
        <v>2.2000000000000002</v>
      </c>
      <c r="S131" s="123">
        <f t="shared" si="37"/>
        <v>2.2000000000000002</v>
      </c>
      <c r="T131" s="123">
        <f t="shared" ref="T131:AF138" si="38">S131</f>
        <v>2.2000000000000002</v>
      </c>
      <c r="U131" s="123">
        <f t="shared" si="38"/>
        <v>2.2000000000000002</v>
      </c>
      <c r="V131" s="123">
        <f t="shared" si="38"/>
        <v>2.2000000000000002</v>
      </c>
      <c r="W131" s="123">
        <f t="shared" si="38"/>
        <v>2.2000000000000002</v>
      </c>
      <c r="X131" s="123">
        <f t="shared" si="38"/>
        <v>2.2000000000000002</v>
      </c>
      <c r="Y131" s="123">
        <f t="shared" si="38"/>
        <v>2.2000000000000002</v>
      </c>
      <c r="Z131" s="123">
        <f t="shared" si="38"/>
        <v>2.2000000000000002</v>
      </c>
      <c r="AA131" s="123">
        <f t="shared" si="38"/>
        <v>2.2000000000000002</v>
      </c>
      <c r="AB131" s="123">
        <f t="shared" si="38"/>
        <v>2.2000000000000002</v>
      </c>
      <c r="AC131" s="123">
        <f t="shared" si="38"/>
        <v>2.2000000000000002</v>
      </c>
      <c r="AD131" s="123">
        <f t="shared" si="38"/>
        <v>2.2000000000000002</v>
      </c>
      <c r="AE131" s="123">
        <f t="shared" si="38"/>
        <v>2.2000000000000002</v>
      </c>
      <c r="AF131" s="123">
        <f t="shared" si="38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6"/>
        <v>2</v>
      </c>
      <c r="C132" s="124">
        <v>2</v>
      </c>
      <c r="D132" s="123">
        <f t="shared" si="37"/>
        <v>2</v>
      </c>
      <c r="E132" s="123">
        <f t="shared" si="37"/>
        <v>2</v>
      </c>
      <c r="F132" s="123">
        <f t="shared" si="37"/>
        <v>2</v>
      </c>
      <c r="G132" s="123">
        <f t="shared" si="37"/>
        <v>2</v>
      </c>
      <c r="H132" s="123">
        <f t="shared" si="37"/>
        <v>2</v>
      </c>
      <c r="I132" s="123">
        <f t="shared" si="37"/>
        <v>2</v>
      </c>
      <c r="J132" s="123">
        <f t="shared" si="37"/>
        <v>2</v>
      </c>
      <c r="K132" s="123">
        <f t="shared" si="37"/>
        <v>2</v>
      </c>
      <c r="L132" s="123">
        <f t="shared" si="37"/>
        <v>2</v>
      </c>
      <c r="M132" s="123">
        <f t="shared" si="37"/>
        <v>2</v>
      </c>
      <c r="N132" s="123">
        <f t="shared" si="37"/>
        <v>2</v>
      </c>
      <c r="O132" s="123">
        <f t="shared" si="37"/>
        <v>2</v>
      </c>
      <c r="P132" s="123">
        <f t="shared" si="37"/>
        <v>2</v>
      </c>
      <c r="Q132" s="123">
        <f t="shared" si="37"/>
        <v>2</v>
      </c>
      <c r="R132" s="123">
        <f t="shared" si="37"/>
        <v>2</v>
      </c>
      <c r="S132" s="123">
        <f t="shared" si="37"/>
        <v>2</v>
      </c>
      <c r="T132" s="123">
        <f t="shared" si="38"/>
        <v>2</v>
      </c>
      <c r="U132" s="123">
        <f t="shared" si="38"/>
        <v>2</v>
      </c>
      <c r="V132" s="123">
        <f t="shared" si="38"/>
        <v>2</v>
      </c>
      <c r="W132" s="123">
        <f t="shared" si="38"/>
        <v>2</v>
      </c>
      <c r="X132" s="123">
        <f t="shared" si="38"/>
        <v>2</v>
      </c>
      <c r="Y132" s="123">
        <f t="shared" si="38"/>
        <v>2</v>
      </c>
      <c r="Z132" s="123">
        <f t="shared" si="38"/>
        <v>2</v>
      </c>
      <c r="AA132" s="123">
        <f t="shared" si="38"/>
        <v>2</v>
      </c>
      <c r="AB132" s="123">
        <f t="shared" si="38"/>
        <v>2</v>
      </c>
      <c r="AC132" s="123">
        <f t="shared" si="38"/>
        <v>2</v>
      </c>
      <c r="AD132" s="123">
        <f t="shared" si="38"/>
        <v>2</v>
      </c>
      <c r="AE132" s="123">
        <f t="shared" si="38"/>
        <v>2</v>
      </c>
      <c r="AF132" s="123">
        <f t="shared" si="38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6"/>
        <v>1.25</v>
      </c>
      <c r="C133" s="124">
        <v>1.25</v>
      </c>
      <c r="D133" s="123">
        <f t="shared" si="37"/>
        <v>1.25</v>
      </c>
      <c r="E133" s="123">
        <f t="shared" si="37"/>
        <v>1.25</v>
      </c>
      <c r="F133" s="123">
        <f t="shared" si="37"/>
        <v>1.25</v>
      </c>
      <c r="G133" s="123">
        <f t="shared" si="37"/>
        <v>1.25</v>
      </c>
      <c r="H133" s="123">
        <f t="shared" si="37"/>
        <v>1.25</v>
      </c>
      <c r="I133" s="123">
        <f t="shared" si="37"/>
        <v>1.25</v>
      </c>
      <c r="J133" s="123">
        <f t="shared" si="37"/>
        <v>1.25</v>
      </c>
      <c r="K133" s="123">
        <f t="shared" si="37"/>
        <v>1.25</v>
      </c>
      <c r="L133" s="123">
        <f t="shared" si="37"/>
        <v>1.25</v>
      </c>
      <c r="M133" s="123">
        <f t="shared" si="37"/>
        <v>1.25</v>
      </c>
      <c r="N133" s="123">
        <f t="shared" si="37"/>
        <v>1.25</v>
      </c>
      <c r="O133" s="123">
        <f t="shared" si="37"/>
        <v>1.25</v>
      </c>
      <c r="P133" s="123">
        <f t="shared" si="37"/>
        <v>1.25</v>
      </c>
      <c r="Q133" s="123">
        <f t="shared" si="37"/>
        <v>1.25</v>
      </c>
      <c r="R133" s="123">
        <f t="shared" si="37"/>
        <v>1.25</v>
      </c>
      <c r="S133" s="123">
        <f t="shared" si="37"/>
        <v>1.25</v>
      </c>
      <c r="T133" s="123">
        <f t="shared" si="38"/>
        <v>1.25</v>
      </c>
      <c r="U133" s="123">
        <f t="shared" si="38"/>
        <v>1.25</v>
      </c>
      <c r="V133" s="123">
        <f t="shared" si="38"/>
        <v>1.25</v>
      </c>
      <c r="W133" s="123">
        <f t="shared" si="38"/>
        <v>1.25</v>
      </c>
      <c r="X133" s="123">
        <f t="shared" si="38"/>
        <v>1.25</v>
      </c>
      <c r="Y133" s="123">
        <f t="shared" si="38"/>
        <v>1.25</v>
      </c>
      <c r="Z133" s="123">
        <f t="shared" si="38"/>
        <v>1.25</v>
      </c>
      <c r="AA133" s="123">
        <f t="shared" si="38"/>
        <v>1.25</v>
      </c>
      <c r="AB133" s="123">
        <f t="shared" si="38"/>
        <v>1.25</v>
      </c>
      <c r="AC133" s="123">
        <f t="shared" si="38"/>
        <v>1.25</v>
      </c>
      <c r="AD133" s="123">
        <f t="shared" si="38"/>
        <v>1.25</v>
      </c>
      <c r="AE133" s="123">
        <f t="shared" si="38"/>
        <v>1.25</v>
      </c>
      <c r="AF133" s="123">
        <f t="shared" si="38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6"/>
        <v>1.1499999999999999</v>
      </c>
      <c r="C134" s="124">
        <v>1.1499999999999999</v>
      </c>
      <c r="D134" s="123">
        <f t="shared" si="37"/>
        <v>1.1499999999999999</v>
      </c>
      <c r="E134" s="123">
        <f t="shared" si="37"/>
        <v>1.1499999999999999</v>
      </c>
      <c r="F134" s="123">
        <f t="shared" si="37"/>
        <v>1.1499999999999999</v>
      </c>
      <c r="G134" s="123">
        <f t="shared" si="37"/>
        <v>1.1499999999999999</v>
      </c>
      <c r="H134" s="123">
        <f t="shared" si="37"/>
        <v>1.1499999999999999</v>
      </c>
      <c r="I134" s="123">
        <f t="shared" si="37"/>
        <v>1.1499999999999999</v>
      </c>
      <c r="J134" s="123">
        <f t="shared" si="37"/>
        <v>1.1499999999999999</v>
      </c>
      <c r="K134" s="123">
        <f t="shared" si="37"/>
        <v>1.1499999999999999</v>
      </c>
      <c r="L134" s="123">
        <f t="shared" si="37"/>
        <v>1.1499999999999999</v>
      </c>
      <c r="M134" s="123">
        <f t="shared" si="37"/>
        <v>1.1499999999999999</v>
      </c>
      <c r="N134" s="123">
        <f t="shared" si="37"/>
        <v>1.1499999999999999</v>
      </c>
      <c r="O134" s="123">
        <f t="shared" si="37"/>
        <v>1.1499999999999999</v>
      </c>
      <c r="P134" s="123">
        <f t="shared" si="37"/>
        <v>1.1499999999999999</v>
      </c>
      <c r="Q134" s="123">
        <f t="shared" si="37"/>
        <v>1.1499999999999999</v>
      </c>
      <c r="R134" s="123">
        <f t="shared" si="37"/>
        <v>1.1499999999999999</v>
      </c>
      <c r="S134" s="123">
        <f t="shared" si="37"/>
        <v>1.1499999999999999</v>
      </c>
      <c r="T134" s="123">
        <f t="shared" si="38"/>
        <v>1.1499999999999999</v>
      </c>
      <c r="U134" s="123">
        <f t="shared" si="38"/>
        <v>1.1499999999999999</v>
      </c>
      <c r="V134" s="123">
        <f t="shared" si="38"/>
        <v>1.1499999999999999</v>
      </c>
      <c r="W134" s="123">
        <f t="shared" si="38"/>
        <v>1.1499999999999999</v>
      </c>
      <c r="X134" s="123">
        <f t="shared" si="38"/>
        <v>1.1499999999999999</v>
      </c>
      <c r="Y134" s="123">
        <f t="shared" si="38"/>
        <v>1.1499999999999999</v>
      </c>
      <c r="Z134" s="123">
        <f t="shared" si="38"/>
        <v>1.1499999999999999</v>
      </c>
      <c r="AA134" s="123">
        <f t="shared" si="38"/>
        <v>1.1499999999999999</v>
      </c>
      <c r="AB134" s="123">
        <f t="shared" si="38"/>
        <v>1.1499999999999999</v>
      </c>
      <c r="AC134" s="123">
        <f t="shared" si="38"/>
        <v>1.1499999999999999</v>
      </c>
      <c r="AD134" s="123">
        <f t="shared" si="38"/>
        <v>1.1499999999999999</v>
      </c>
      <c r="AE134" s="123">
        <f t="shared" si="38"/>
        <v>1.1499999999999999</v>
      </c>
      <c r="AF134" s="123">
        <f t="shared" si="38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6"/>
        <v>2.133</v>
      </c>
      <c r="C135" s="124">
        <v>2.133</v>
      </c>
      <c r="D135" s="123">
        <f t="shared" si="37"/>
        <v>2.133</v>
      </c>
      <c r="E135" s="123">
        <f t="shared" si="37"/>
        <v>2.133</v>
      </c>
      <c r="F135" s="123">
        <f t="shared" si="37"/>
        <v>2.133</v>
      </c>
      <c r="G135" s="123">
        <f t="shared" si="37"/>
        <v>2.133</v>
      </c>
      <c r="H135" s="123">
        <f t="shared" si="37"/>
        <v>2.133</v>
      </c>
      <c r="I135" s="123">
        <f t="shared" si="37"/>
        <v>2.133</v>
      </c>
      <c r="J135" s="123">
        <f t="shared" si="37"/>
        <v>2.133</v>
      </c>
      <c r="K135" s="123">
        <f t="shared" si="37"/>
        <v>2.133</v>
      </c>
      <c r="L135" s="123">
        <f t="shared" si="37"/>
        <v>2.133</v>
      </c>
      <c r="M135" s="123">
        <f t="shared" si="37"/>
        <v>2.133</v>
      </c>
      <c r="N135" s="123">
        <f t="shared" si="37"/>
        <v>2.133</v>
      </c>
      <c r="O135" s="123">
        <f t="shared" si="37"/>
        <v>2.133</v>
      </c>
      <c r="P135" s="123">
        <f t="shared" si="37"/>
        <v>2.133</v>
      </c>
      <c r="Q135" s="123">
        <f t="shared" si="37"/>
        <v>2.133</v>
      </c>
      <c r="R135" s="123">
        <f t="shared" si="37"/>
        <v>2.133</v>
      </c>
      <c r="S135" s="123">
        <f t="shared" si="37"/>
        <v>2.133</v>
      </c>
      <c r="T135" s="123">
        <f t="shared" si="38"/>
        <v>2.133</v>
      </c>
      <c r="U135" s="123">
        <f t="shared" si="38"/>
        <v>2.133</v>
      </c>
      <c r="V135" s="123">
        <f t="shared" si="38"/>
        <v>2.133</v>
      </c>
      <c r="W135" s="123">
        <f t="shared" si="38"/>
        <v>2.133</v>
      </c>
      <c r="X135" s="123">
        <f t="shared" si="38"/>
        <v>2.133</v>
      </c>
      <c r="Y135" s="123">
        <f t="shared" si="38"/>
        <v>2.133</v>
      </c>
      <c r="Z135" s="123">
        <f t="shared" si="38"/>
        <v>2.133</v>
      </c>
      <c r="AA135" s="123">
        <f t="shared" si="38"/>
        <v>2.133</v>
      </c>
      <c r="AB135" s="123">
        <f t="shared" si="38"/>
        <v>2.133</v>
      </c>
      <c r="AC135" s="123">
        <f t="shared" si="38"/>
        <v>2.133</v>
      </c>
      <c r="AD135" s="123">
        <f t="shared" si="38"/>
        <v>2.133</v>
      </c>
      <c r="AE135" s="123">
        <f t="shared" si="38"/>
        <v>2.133</v>
      </c>
      <c r="AF135" s="123">
        <f t="shared" si="38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6"/>
        <v>2.09</v>
      </c>
      <c r="C136" s="124">
        <v>2.09</v>
      </c>
      <c r="D136" s="123">
        <f t="shared" si="37"/>
        <v>2.09</v>
      </c>
      <c r="E136" s="123">
        <f t="shared" si="37"/>
        <v>2.09</v>
      </c>
      <c r="F136" s="123">
        <f t="shared" si="37"/>
        <v>2.09</v>
      </c>
      <c r="G136" s="123">
        <f t="shared" si="37"/>
        <v>2.09</v>
      </c>
      <c r="H136" s="123">
        <f t="shared" si="37"/>
        <v>2.09</v>
      </c>
      <c r="I136" s="123">
        <f t="shared" si="37"/>
        <v>2.09</v>
      </c>
      <c r="J136" s="123">
        <f t="shared" si="37"/>
        <v>2.09</v>
      </c>
      <c r="K136" s="123">
        <f t="shared" si="37"/>
        <v>2.09</v>
      </c>
      <c r="L136" s="123">
        <f t="shared" si="37"/>
        <v>2.09</v>
      </c>
      <c r="M136" s="123">
        <f t="shared" si="37"/>
        <v>2.09</v>
      </c>
      <c r="N136" s="123">
        <f t="shared" si="37"/>
        <v>2.09</v>
      </c>
      <c r="O136" s="123">
        <f t="shared" si="37"/>
        <v>2.09</v>
      </c>
      <c r="P136" s="123">
        <f t="shared" si="37"/>
        <v>2.09</v>
      </c>
      <c r="Q136" s="123">
        <f t="shared" si="37"/>
        <v>2.09</v>
      </c>
      <c r="R136" s="123">
        <f t="shared" si="37"/>
        <v>2.09</v>
      </c>
      <c r="S136" s="123">
        <f t="shared" si="37"/>
        <v>2.09</v>
      </c>
      <c r="T136" s="123">
        <f t="shared" si="38"/>
        <v>2.09</v>
      </c>
      <c r="U136" s="123">
        <f t="shared" si="38"/>
        <v>2.09</v>
      </c>
      <c r="V136" s="123">
        <f t="shared" si="38"/>
        <v>2.09</v>
      </c>
      <c r="W136" s="123">
        <f t="shared" si="38"/>
        <v>2.09</v>
      </c>
      <c r="X136" s="123">
        <f t="shared" si="38"/>
        <v>2.09</v>
      </c>
      <c r="Y136" s="123">
        <f t="shared" si="38"/>
        <v>2.09</v>
      </c>
      <c r="Z136" s="123">
        <f t="shared" si="38"/>
        <v>2.09</v>
      </c>
      <c r="AA136" s="123">
        <f t="shared" si="38"/>
        <v>2.09</v>
      </c>
      <c r="AB136" s="123">
        <f t="shared" si="38"/>
        <v>2.09</v>
      </c>
      <c r="AC136" s="123">
        <f t="shared" si="38"/>
        <v>2.09</v>
      </c>
      <c r="AD136" s="123">
        <f t="shared" si="38"/>
        <v>2.09</v>
      </c>
      <c r="AE136" s="123">
        <f t="shared" si="38"/>
        <v>2.09</v>
      </c>
      <c r="AF136" s="123">
        <f t="shared" si="38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6"/>
        <v>1.1399999999999999</v>
      </c>
      <c r="C137" s="124">
        <v>1.1399999999999999</v>
      </c>
      <c r="D137" s="123">
        <f t="shared" si="37"/>
        <v>1.1399999999999999</v>
      </c>
      <c r="E137" s="123">
        <f t="shared" si="37"/>
        <v>1.1399999999999999</v>
      </c>
      <c r="F137" s="123">
        <f t="shared" si="37"/>
        <v>1.1399999999999999</v>
      </c>
      <c r="G137" s="123">
        <f t="shared" si="37"/>
        <v>1.1399999999999999</v>
      </c>
      <c r="H137" s="123">
        <f t="shared" si="37"/>
        <v>1.1399999999999999</v>
      </c>
      <c r="I137" s="123">
        <f t="shared" si="37"/>
        <v>1.1399999999999999</v>
      </c>
      <c r="J137" s="123">
        <f t="shared" si="37"/>
        <v>1.1399999999999999</v>
      </c>
      <c r="K137" s="123">
        <f t="shared" si="37"/>
        <v>1.1399999999999999</v>
      </c>
      <c r="L137" s="123">
        <f t="shared" si="37"/>
        <v>1.1399999999999999</v>
      </c>
      <c r="M137" s="123">
        <f t="shared" si="37"/>
        <v>1.1399999999999999</v>
      </c>
      <c r="N137" s="123">
        <f t="shared" si="37"/>
        <v>1.1399999999999999</v>
      </c>
      <c r="O137" s="123">
        <f t="shared" si="37"/>
        <v>1.1399999999999999</v>
      </c>
      <c r="P137" s="123">
        <f t="shared" si="37"/>
        <v>1.1399999999999999</v>
      </c>
      <c r="Q137" s="123">
        <f t="shared" si="37"/>
        <v>1.1399999999999999</v>
      </c>
      <c r="R137" s="123">
        <f t="shared" si="37"/>
        <v>1.1399999999999999</v>
      </c>
      <c r="S137" s="123">
        <f t="shared" si="37"/>
        <v>1.1399999999999999</v>
      </c>
      <c r="T137" s="123">
        <f t="shared" si="38"/>
        <v>1.1399999999999999</v>
      </c>
      <c r="U137" s="123">
        <f t="shared" si="38"/>
        <v>1.1399999999999999</v>
      </c>
      <c r="V137" s="123">
        <f t="shared" si="38"/>
        <v>1.1399999999999999</v>
      </c>
      <c r="W137" s="123">
        <f t="shared" si="38"/>
        <v>1.1399999999999999</v>
      </c>
      <c r="X137" s="123">
        <f t="shared" si="38"/>
        <v>1.1399999999999999</v>
      </c>
      <c r="Y137" s="123">
        <f t="shared" si="38"/>
        <v>1.1399999999999999</v>
      </c>
      <c r="Z137" s="123">
        <f t="shared" si="38"/>
        <v>1.1399999999999999</v>
      </c>
      <c r="AA137" s="123">
        <f t="shared" si="38"/>
        <v>1.1399999999999999</v>
      </c>
      <c r="AB137" s="123">
        <f t="shared" si="38"/>
        <v>1.1399999999999999</v>
      </c>
      <c r="AC137" s="123">
        <f t="shared" si="38"/>
        <v>1.1399999999999999</v>
      </c>
      <c r="AD137" s="123">
        <f t="shared" si="38"/>
        <v>1.1399999999999999</v>
      </c>
      <c r="AE137" s="123">
        <f t="shared" si="38"/>
        <v>1.1399999999999999</v>
      </c>
      <c r="AF137" s="123">
        <f t="shared" si="38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6"/>
        <v>0.82</v>
      </c>
      <c r="C138" s="124">
        <v>0.82</v>
      </c>
      <c r="D138" s="123">
        <f t="shared" si="37"/>
        <v>0.82</v>
      </c>
      <c r="E138" s="123">
        <f t="shared" si="37"/>
        <v>0.82</v>
      </c>
      <c r="F138" s="123">
        <f t="shared" si="37"/>
        <v>0.82</v>
      </c>
      <c r="G138" s="123">
        <f t="shared" si="37"/>
        <v>0.82</v>
      </c>
      <c r="H138" s="123">
        <f t="shared" si="37"/>
        <v>0.82</v>
      </c>
      <c r="I138" s="123">
        <f t="shared" si="37"/>
        <v>0.82</v>
      </c>
      <c r="J138" s="123">
        <f t="shared" si="37"/>
        <v>0.82</v>
      </c>
      <c r="K138" s="123">
        <f t="shared" si="37"/>
        <v>0.82</v>
      </c>
      <c r="L138" s="123">
        <f t="shared" si="37"/>
        <v>0.82</v>
      </c>
      <c r="M138" s="123">
        <f t="shared" si="37"/>
        <v>0.82</v>
      </c>
      <c r="N138" s="123">
        <f t="shared" si="37"/>
        <v>0.82</v>
      </c>
      <c r="O138" s="123">
        <f t="shared" si="37"/>
        <v>0.82</v>
      </c>
      <c r="P138" s="123">
        <f t="shared" si="37"/>
        <v>0.82</v>
      </c>
      <c r="Q138" s="123">
        <f t="shared" si="37"/>
        <v>0.82</v>
      </c>
      <c r="R138" s="123">
        <f t="shared" si="37"/>
        <v>0.82</v>
      </c>
      <c r="S138" s="123">
        <f t="shared" si="37"/>
        <v>0.82</v>
      </c>
      <c r="T138" s="123">
        <f t="shared" si="38"/>
        <v>0.82</v>
      </c>
      <c r="U138" s="123">
        <f t="shared" si="38"/>
        <v>0.82</v>
      </c>
      <c r="V138" s="123">
        <f t="shared" si="38"/>
        <v>0.82</v>
      </c>
      <c r="W138" s="123">
        <f t="shared" si="38"/>
        <v>0.82</v>
      </c>
      <c r="X138" s="123">
        <f t="shared" si="38"/>
        <v>0.82</v>
      </c>
      <c r="Y138" s="123">
        <f t="shared" si="38"/>
        <v>0.82</v>
      </c>
      <c r="Z138" s="123">
        <f t="shared" si="38"/>
        <v>0.82</v>
      </c>
      <c r="AA138" s="123">
        <f t="shared" si="38"/>
        <v>0.82</v>
      </c>
      <c r="AB138" s="123">
        <f t="shared" si="38"/>
        <v>0.82</v>
      </c>
      <c r="AC138" s="123">
        <f t="shared" si="38"/>
        <v>0.82</v>
      </c>
      <c r="AD138" s="123">
        <f t="shared" si="38"/>
        <v>0.82</v>
      </c>
      <c r="AE138" s="123">
        <f t="shared" si="38"/>
        <v>0.82</v>
      </c>
      <c r="AF138" s="123">
        <f t="shared" si="38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39">AF140</f>
        <v>2</v>
      </c>
      <c r="C140" s="124">
        <v>2</v>
      </c>
      <c r="D140" s="123">
        <f t="shared" ref="D140:S146" si="40">C140</f>
        <v>2</v>
      </c>
      <c r="E140" s="123">
        <f t="shared" si="40"/>
        <v>2</v>
      </c>
      <c r="F140" s="123">
        <f t="shared" si="40"/>
        <v>2</v>
      </c>
      <c r="G140" s="123">
        <f t="shared" si="40"/>
        <v>2</v>
      </c>
      <c r="H140" s="123">
        <f t="shared" si="40"/>
        <v>2</v>
      </c>
      <c r="I140" s="123">
        <f t="shared" si="40"/>
        <v>2</v>
      </c>
      <c r="J140" s="123">
        <f t="shared" si="40"/>
        <v>2</v>
      </c>
      <c r="K140" s="123">
        <f t="shared" si="40"/>
        <v>2</v>
      </c>
      <c r="L140" s="123">
        <f t="shared" si="40"/>
        <v>2</v>
      </c>
      <c r="M140" s="123">
        <f t="shared" si="40"/>
        <v>2</v>
      </c>
      <c r="N140" s="123">
        <f t="shared" si="40"/>
        <v>2</v>
      </c>
      <c r="O140" s="123">
        <f t="shared" si="40"/>
        <v>2</v>
      </c>
      <c r="P140" s="123">
        <f t="shared" si="40"/>
        <v>2</v>
      </c>
      <c r="Q140" s="123">
        <f t="shared" si="40"/>
        <v>2</v>
      </c>
      <c r="R140" s="123">
        <f t="shared" si="40"/>
        <v>2</v>
      </c>
      <c r="S140" s="123">
        <f t="shared" si="40"/>
        <v>2</v>
      </c>
      <c r="T140" s="123">
        <f t="shared" ref="T140:AF146" si="41">S140</f>
        <v>2</v>
      </c>
      <c r="U140" s="123">
        <f t="shared" si="41"/>
        <v>2</v>
      </c>
      <c r="V140" s="123">
        <f t="shared" si="41"/>
        <v>2</v>
      </c>
      <c r="W140" s="123">
        <f t="shared" si="41"/>
        <v>2</v>
      </c>
      <c r="X140" s="123">
        <f t="shared" si="41"/>
        <v>2</v>
      </c>
      <c r="Y140" s="123">
        <f t="shared" si="41"/>
        <v>2</v>
      </c>
      <c r="Z140" s="123">
        <f t="shared" si="41"/>
        <v>2</v>
      </c>
      <c r="AA140" s="123">
        <f t="shared" si="41"/>
        <v>2</v>
      </c>
      <c r="AB140" s="123">
        <f t="shared" si="41"/>
        <v>2</v>
      </c>
      <c r="AC140" s="123">
        <f t="shared" si="41"/>
        <v>2</v>
      </c>
      <c r="AD140" s="123">
        <f t="shared" si="41"/>
        <v>2</v>
      </c>
      <c r="AE140" s="123">
        <f t="shared" si="41"/>
        <v>2</v>
      </c>
      <c r="AF140" s="123">
        <f t="shared" si="41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39"/>
        <v>5.61</v>
      </c>
      <c r="C141" s="124">
        <v>5.61</v>
      </c>
      <c r="D141" s="123">
        <f t="shared" si="40"/>
        <v>5.61</v>
      </c>
      <c r="E141" s="123">
        <f t="shared" si="40"/>
        <v>5.61</v>
      </c>
      <c r="F141" s="123">
        <f t="shared" si="40"/>
        <v>5.61</v>
      </c>
      <c r="G141" s="123">
        <f t="shared" si="40"/>
        <v>5.61</v>
      </c>
      <c r="H141" s="123">
        <f t="shared" si="40"/>
        <v>5.61</v>
      </c>
      <c r="I141" s="123">
        <f t="shared" si="40"/>
        <v>5.61</v>
      </c>
      <c r="J141" s="123">
        <f t="shared" si="40"/>
        <v>5.61</v>
      </c>
      <c r="K141" s="123">
        <f t="shared" si="40"/>
        <v>5.61</v>
      </c>
      <c r="L141" s="123">
        <f t="shared" si="40"/>
        <v>5.61</v>
      </c>
      <c r="M141" s="123">
        <f t="shared" si="40"/>
        <v>5.61</v>
      </c>
      <c r="N141" s="123">
        <f t="shared" si="40"/>
        <v>5.61</v>
      </c>
      <c r="O141" s="123">
        <f t="shared" si="40"/>
        <v>5.61</v>
      </c>
      <c r="P141" s="123">
        <f t="shared" si="40"/>
        <v>5.61</v>
      </c>
      <c r="Q141" s="123">
        <f t="shared" si="40"/>
        <v>5.61</v>
      </c>
      <c r="R141" s="123">
        <f t="shared" si="40"/>
        <v>5.61</v>
      </c>
      <c r="S141" s="123">
        <f t="shared" si="40"/>
        <v>5.61</v>
      </c>
      <c r="T141" s="123">
        <f t="shared" si="41"/>
        <v>5.61</v>
      </c>
      <c r="U141" s="123">
        <f t="shared" si="41"/>
        <v>5.61</v>
      </c>
      <c r="V141" s="123">
        <f t="shared" si="41"/>
        <v>5.61</v>
      </c>
      <c r="W141" s="123">
        <f t="shared" si="41"/>
        <v>5.61</v>
      </c>
      <c r="X141" s="123">
        <f t="shared" si="41"/>
        <v>5.61</v>
      </c>
      <c r="Y141" s="123">
        <f t="shared" si="41"/>
        <v>5.61</v>
      </c>
      <c r="Z141" s="123">
        <f t="shared" si="41"/>
        <v>5.61</v>
      </c>
      <c r="AA141" s="123">
        <f t="shared" si="41"/>
        <v>5.61</v>
      </c>
      <c r="AB141" s="123">
        <f t="shared" si="41"/>
        <v>5.61</v>
      </c>
      <c r="AC141" s="123">
        <f t="shared" si="41"/>
        <v>5.61</v>
      </c>
      <c r="AD141" s="123">
        <f t="shared" si="41"/>
        <v>5.61</v>
      </c>
      <c r="AE141" s="123">
        <f t="shared" si="41"/>
        <v>5.61</v>
      </c>
      <c r="AF141" s="123">
        <f t="shared" si="41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39"/>
        <v>1.25</v>
      </c>
      <c r="C142" s="124">
        <v>1.25</v>
      </c>
      <c r="D142" s="123">
        <f t="shared" si="40"/>
        <v>1.25</v>
      </c>
      <c r="E142" s="123">
        <f t="shared" si="40"/>
        <v>1.25</v>
      </c>
      <c r="F142" s="123">
        <f t="shared" si="40"/>
        <v>1.25</v>
      </c>
      <c r="G142" s="123">
        <f t="shared" si="40"/>
        <v>1.25</v>
      </c>
      <c r="H142" s="123">
        <f t="shared" si="40"/>
        <v>1.25</v>
      </c>
      <c r="I142" s="123">
        <f t="shared" si="40"/>
        <v>1.25</v>
      </c>
      <c r="J142" s="123">
        <f t="shared" si="40"/>
        <v>1.25</v>
      </c>
      <c r="K142" s="123">
        <f t="shared" si="40"/>
        <v>1.25</v>
      </c>
      <c r="L142" s="123">
        <f t="shared" si="40"/>
        <v>1.25</v>
      </c>
      <c r="M142" s="123">
        <f t="shared" si="40"/>
        <v>1.25</v>
      </c>
      <c r="N142" s="123">
        <f t="shared" si="40"/>
        <v>1.25</v>
      </c>
      <c r="O142" s="123">
        <f t="shared" si="40"/>
        <v>1.25</v>
      </c>
      <c r="P142" s="123">
        <f t="shared" si="40"/>
        <v>1.25</v>
      </c>
      <c r="Q142" s="123">
        <f t="shared" si="40"/>
        <v>1.25</v>
      </c>
      <c r="R142" s="123">
        <f t="shared" si="40"/>
        <v>1.25</v>
      </c>
      <c r="S142" s="123">
        <f t="shared" si="40"/>
        <v>1.25</v>
      </c>
      <c r="T142" s="123">
        <f t="shared" si="41"/>
        <v>1.25</v>
      </c>
      <c r="U142" s="123">
        <f t="shared" si="41"/>
        <v>1.25</v>
      </c>
      <c r="V142" s="123">
        <f t="shared" si="41"/>
        <v>1.25</v>
      </c>
      <c r="W142" s="123">
        <f t="shared" si="41"/>
        <v>1.25</v>
      </c>
      <c r="X142" s="123">
        <f t="shared" si="41"/>
        <v>1.25</v>
      </c>
      <c r="Y142" s="123">
        <f t="shared" si="41"/>
        <v>1.25</v>
      </c>
      <c r="Z142" s="123">
        <f t="shared" si="41"/>
        <v>1.25</v>
      </c>
      <c r="AA142" s="123">
        <f t="shared" si="41"/>
        <v>1.25</v>
      </c>
      <c r="AB142" s="123">
        <f t="shared" si="41"/>
        <v>1.25</v>
      </c>
      <c r="AC142" s="123">
        <f t="shared" si="41"/>
        <v>1.25</v>
      </c>
      <c r="AD142" s="123">
        <f t="shared" si="41"/>
        <v>1.25</v>
      </c>
      <c r="AE142" s="123">
        <f t="shared" si="41"/>
        <v>1.25</v>
      </c>
      <c r="AF142" s="123">
        <f t="shared" si="41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39"/>
        <v>1.46</v>
      </c>
      <c r="C144" s="124">
        <v>1.46</v>
      </c>
      <c r="D144" s="123">
        <f t="shared" si="40"/>
        <v>1.46</v>
      </c>
      <c r="E144" s="123">
        <f t="shared" si="40"/>
        <v>1.46</v>
      </c>
      <c r="F144" s="123">
        <f t="shared" si="40"/>
        <v>1.46</v>
      </c>
      <c r="G144" s="123">
        <f t="shared" si="40"/>
        <v>1.46</v>
      </c>
      <c r="H144" s="123">
        <f t="shared" si="40"/>
        <v>1.46</v>
      </c>
      <c r="I144" s="123">
        <f t="shared" si="40"/>
        <v>1.46</v>
      </c>
      <c r="J144" s="123">
        <f t="shared" si="40"/>
        <v>1.46</v>
      </c>
      <c r="K144" s="123">
        <f t="shared" si="40"/>
        <v>1.46</v>
      </c>
      <c r="L144" s="123">
        <f t="shared" si="40"/>
        <v>1.46</v>
      </c>
      <c r="M144" s="123">
        <f t="shared" si="40"/>
        <v>1.46</v>
      </c>
      <c r="N144" s="123">
        <f t="shared" si="40"/>
        <v>1.46</v>
      </c>
      <c r="O144" s="123">
        <f t="shared" si="40"/>
        <v>1.46</v>
      </c>
      <c r="P144" s="123">
        <f t="shared" si="40"/>
        <v>1.46</v>
      </c>
      <c r="Q144" s="123">
        <f t="shared" si="40"/>
        <v>1.46</v>
      </c>
      <c r="R144" s="123">
        <f t="shared" si="40"/>
        <v>1.46</v>
      </c>
      <c r="S144" s="123">
        <f t="shared" si="40"/>
        <v>1.46</v>
      </c>
      <c r="T144" s="123">
        <f t="shared" si="41"/>
        <v>1.46</v>
      </c>
      <c r="U144" s="123">
        <f t="shared" si="41"/>
        <v>1.46</v>
      </c>
      <c r="V144" s="123">
        <f t="shared" si="41"/>
        <v>1.46</v>
      </c>
      <c r="W144" s="123">
        <f t="shared" si="41"/>
        <v>1.46</v>
      </c>
      <c r="X144" s="123">
        <f t="shared" si="41"/>
        <v>1.46</v>
      </c>
      <c r="Y144" s="123">
        <f t="shared" si="41"/>
        <v>1.46</v>
      </c>
      <c r="Z144" s="123">
        <f t="shared" si="41"/>
        <v>1.46</v>
      </c>
      <c r="AA144" s="123">
        <f t="shared" si="41"/>
        <v>1.46</v>
      </c>
      <c r="AB144" s="123">
        <f t="shared" si="41"/>
        <v>1.46</v>
      </c>
      <c r="AC144" s="123">
        <f t="shared" si="41"/>
        <v>1.46</v>
      </c>
      <c r="AD144" s="123">
        <f t="shared" si="41"/>
        <v>1.46</v>
      </c>
      <c r="AE144" s="123">
        <f t="shared" si="41"/>
        <v>1.46</v>
      </c>
      <c r="AF144" s="123">
        <f t="shared" si="41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39"/>
        <v>3</v>
      </c>
      <c r="C145" s="124">
        <v>3</v>
      </c>
      <c r="D145" s="123">
        <f t="shared" si="40"/>
        <v>3</v>
      </c>
      <c r="E145" s="123">
        <f t="shared" si="40"/>
        <v>3</v>
      </c>
      <c r="F145" s="123">
        <f t="shared" si="40"/>
        <v>3</v>
      </c>
      <c r="G145" s="123">
        <f t="shared" si="40"/>
        <v>3</v>
      </c>
      <c r="H145" s="123">
        <f t="shared" si="40"/>
        <v>3</v>
      </c>
      <c r="I145" s="123">
        <f t="shared" si="40"/>
        <v>3</v>
      </c>
      <c r="J145" s="123">
        <f t="shared" si="40"/>
        <v>3</v>
      </c>
      <c r="K145" s="123">
        <f t="shared" si="40"/>
        <v>3</v>
      </c>
      <c r="L145" s="123">
        <f t="shared" si="40"/>
        <v>3</v>
      </c>
      <c r="M145" s="123">
        <f t="shared" si="40"/>
        <v>3</v>
      </c>
      <c r="N145" s="123">
        <f t="shared" si="40"/>
        <v>3</v>
      </c>
      <c r="O145" s="123">
        <f t="shared" si="40"/>
        <v>3</v>
      </c>
      <c r="P145" s="123">
        <f t="shared" si="40"/>
        <v>3</v>
      </c>
      <c r="Q145" s="123">
        <f t="shared" si="40"/>
        <v>3</v>
      </c>
      <c r="R145" s="123">
        <f t="shared" si="40"/>
        <v>3</v>
      </c>
      <c r="S145" s="123">
        <f t="shared" si="40"/>
        <v>3</v>
      </c>
      <c r="T145" s="123">
        <f t="shared" si="41"/>
        <v>3</v>
      </c>
      <c r="U145" s="123">
        <f t="shared" si="41"/>
        <v>3</v>
      </c>
      <c r="V145" s="123">
        <f t="shared" si="41"/>
        <v>3</v>
      </c>
      <c r="W145" s="123">
        <f t="shared" si="41"/>
        <v>3</v>
      </c>
      <c r="X145" s="123">
        <f t="shared" si="41"/>
        <v>3</v>
      </c>
      <c r="Y145" s="123">
        <f t="shared" si="41"/>
        <v>3</v>
      </c>
      <c r="Z145" s="123">
        <f t="shared" si="41"/>
        <v>3</v>
      </c>
      <c r="AA145" s="123">
        <f t="shared" si="41"/>
        <v>3</v>
      </c>
      <c r="AB145" s="123">
        <f t="shared" si="41"/>
        <v>3</v>
      </c>
      <c r="AC145" s="123">
        <f t="shared" si="41"/>
        <v>3</v>
      </c>
      <c r="AD145" s="123">
        <f t="shared" si="41"/>
        <v>3</v>
      </c>
      <c r="AE145" s="123">
        <f t="shared" si="41"/>
        <v>3</v>
      </c>
      <c r="AF145" s="123">
        <f t="shared" si="41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39"/>
        <v>3.3</v>
      </c>
      <c r="C146" s="124">
        <v>3.3</v>
      </c>
      <c r="D146" s="123">
        <f t="shared" si="40"/>
        <v>3.3</v>
      </c>
      <c r="E146" s="123">
        <f t="shared" si="40"/>
        <v>3.3</v>
      </c>
      <c r="F146" s="123">
        <f t="shared" si="40"/>
        <v>3.3</v>
      </c>
      <c r="G146" s="123">
        <f t="shared" si="40"/>
        <v>3.3</v>
      </c>
      <c r="H146" s="123">
        <f t="shared" si="40"/>
        <v>3.3</v>
      </c>
      <c r="I146" s="123">
        <f t="shared" si="40"/>
        <v>3.3</v>
      </c>
      <c r="J146" s="123">
        <f t="shared" si="40"/>
        <v>3.3</v>
      </c>
      <c r="K146" s="123">
        <f t="shared" si="40"/>
        <v>3.3</v>
      </c>
      <c r="L146" s="123">
        <f t="shared" si="40"/>
        <v>3.3</v>
      </c>
      <c r="M146" s="123">
        <f t="shared" si="40"/>
        <v>3.3</v>
      </c>
      <c r="N146" s="123">
        <f t="shared" si="40"/>
        <v>3.3</v>
      </c>
      <c r="O146" s="123">
        <f t="shared" si="40"/>
        <v>3.3</v>
      </c>
      <c r="P146" s="123">
        <f t="shared" si="40"/>
        <v>3.3</v>
      </c>
      <c r="Q146" s="123">
        <f t="shared" si="40"/>
        <v>3.3</v>
      </c>
      <c r="R146" s="123">
        <f t="shared" si="40"/>
        <v>3.3</v>
      </c>
      <c r="S146" s="123">
        <f t="shared" si="40"/>
        <v>3.3</v>
      </c>
      <c r="T146" s="123">
        <f t="shared" si="41"/>
        <v>3.3</v>
      </c>
      <c r="U146" s="123">
        <f t="shared" si="41"/>
        <v>3.3</v>
      </c>
      <c r="V146" s="123">
        <f t="shared" si="41"/>
        <v>3.3</v>
      </c>
      <c r="W146" s="123">
        <f t="shared" si="41"/>
        <v>3.3</v>
      </c>
      <c r="X146" s="123">
        <f t="shared" si="41"/>
        <v>3.3</v>
      </c>
      <c r="Y146" s="123">
        <f t="shared" si="41"/>
        <v>3.3</v>
      </c>
      <c r="Z146" s="123">
        <f t="shared" si="41"/>
        <v>3.3</v>
      </c>
      <c r="AA146" s="123">
        <f t="shared" si="41"/>
        <v>3.3</v>
      </c>
      <c r="AB146" s="123">
        <f t="shared" si="41"/>
        <v>3.3</v>
      </c>
      <c r="AC146" s="123">
        <f t="shared" si="41"/>
        <v>3.3</v>
      </c>
      <c r="AD146" s="123">
        <f t="shared" si="41"/>
        <v>3.3</v>
      </c>
      <c r="AE146" s="123">
        <f t="shared" si="41"/>
        <v>3.3</v>
      </c>
      <c r="AF146" s="123">
        <f t="shared" si="41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2">C148</f>
        <v>1.76</v>
      </c>
      <c r="E148" s="123">
        <f t="shared" si="42"/>
        <v>1.76</v>
      </c>
      <c r="F148" s="123">
        <f t="shared" si="42"/>
        <v>1.76</v>
      </c>
      <c r="G148" s="123">
        <f t="shared" si="42"/>
        <v>1.76</v>
      </c>
      <c r="H148" s="123">
        <f t="shared" si="42"/>
        <v>1.76</v>
      </c>
      <c r="I148" s="123">
        <f t="shared" si="42"/>
        <v>1.76</v>
      </c>
      <c r="J148" s="123">
        <f t="shared" si="42"/>
        <v>1.76</v>
      </c>
      <c r="K148" s="123">
        <f t="shared" si="42"/>
        <v>1.76</v>
      </c>
      <c r="L148" s="123">
        <f t="shared" si="42"/>
        <v>1.76</v>
      </c>
      <c r="M148" s="123">
        <f t="shared" si="42"/>
        <v>1.76</v>
      </c>
      <c r="N148" s="123">
        <f t="shared" si="42"/>
        <v>1.76</v>
      </c>
      <c r="O148" s="123">
        <f t="shared" si="42"/>
        <v>1.76</v>
      </c>
      <c r="P148" s="123">
        <f t="shared" si="42"/>
        <v>1.76</v>
      </c>
      <c r="Q148" s="123">
        <f t="shared" si="42"/>
        <v>1.76</v>
      </c>
      <c r="R148" s="123">
        <f t="shared" si="42"/>
        <v>1.76</v>
      </c>
      <c r="S148" s="123">
        <f t="shared" si="42"/>
        <v>1.76</v>
      </c>
      <c r="T148" s="123">
        <f t="shared" ref="T148:AF149" si="43">S148</f>
        <v>1.76</v>
      </c>
      <c r="U148" s="123">
        <f t="shared" si="43"/>
        <v>1.76</v>
      </c>
      <c r="V148" s="123">
        <f t="shared" si="43"/>
        <v>1.76</v>
      </c>
      <c r="W148" s="123">
        <f t="shared" si="43"/>
        <v>1.76</v>
      </c>
      <c r="X148" s="123">
        <f t="shared" si="43"/>
        <v>1.76</v>
      </c>
      <c r="Y148" s="123">
        <f t="shared" si="43"/>
        <v>1.76</v>
      </c>
      <c r="Z148" s="123">
        <f t="shared" si="43"/>
        <v>1.76</v>
      </c>
      <c r="AA148" s="123">
        <f t="shared" si="43"/>
        <v>1.76</v>
      </c>
      <c r="AB148" s="123">
        <f t="shared" si="43"/>
        <v>1.76</v>
      </c>
      <c r="AC148" s="123">
        <f t="shared" si="43"/>
        <v>1.76</v>
      </c>
      <c r="AD148" s="123">
        <f t="shared" si="43"/>
        <v>1.76</v>
      </c>
      <c r="AE148" s="123">
        <f t="shared" si="43"/>
        <v>1.76</v>
      </c>
      <c r="AF148" s="123">
        <f t="shared" si="43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2"/>
        <v>0</v>
      </c>
      <c r="E149" s="123">
        <f t="shared" si="42"/>
        <v>0</v>
      </c>
      <c r="F149" s="123">
        <f t="shared" si="42"/>
        <v>0</v>
      </c>
      <c r="G149" s="123">
        <f t="shared" si="42"/>
        <v>0</v>
      </c>
      <c r="H149" s="123">
        <f t="shared" si="42"/>
        <v>0</v>
      </c>
      <c r="I149" s="123">
        <f t="shared" si="42"/>
        <v>0</v>
      </c>
      <c r="J149" s="123">
        <f t="shared" si="42"/>
        <v>0</v>
      </c>
      <c r="K149" s="123">
        <f t="shared" si="42"/>
        <v>0</v>
      </c>
      <c r="L149" s="123">
        <f t="shared" si="42"/>
        <v>0</v>
      </c>
      <c r="M149" s="123">
        <f t="shared" si="42"/>
        <v>0</v>
      </c>
      <c r="N149" s="123">
        <f t="shared" si="42"/>
        <v>0</v>
      </c>
      <c r="O149" s="123">
        <f t="shared" si="42"/>
        <v>0</v>
      </c>
      <c r="P149" s="123">
        <f t="shared" si="42"/>
        <v>0</v>
      </c>
      <c r="Q149" s="123">
        <f t="shared" si="42"/>
        <v>0</v>
      </c>
      <c r="R149" s="123">
        <f t="shared" si="42"/>
        <v>0</v>
      </c>
      <c r="S149" s="123">
        <f t="shared" si="42"/>
        <v>0</v>
      </c>
      <c r="T149" s="123">
        <f t="shared" si="43"/>
        <v>0</v>
      </c>
      <c r="U149" s="123">
        <f t="shared" si="43"/>
        <v>0</v>
      </c>
      <c r="V149" s="123">
        <f t="shared" si="43"/>
        <v>0</v>
      </c>
      <c r="W149" s="123">
        <f t="shared" si="43"/>
        <v>0</v>
      </c>
      <c r="X149" s="123">
        <f t="shared" si="43"/>
        <v>0</v>
      </c>
      <c r="Y149" s="123">
        <f t="shared" si="43"/>
        <v>0</v>
      </c>
      <c r="Z149" s="123">
        <f t="shared" si="43"/>
        <v>0</v>
      </c>
      <c r="AA149" s="123">
        <f t="shared" si="43"/>
        <v>0</v>
      </c>
      <c r="AB149" s="123">
        <f t="shared" si="43"/>
        <v>0</v>
      </c>
      <c r="AC149" s="123">
        <f t="shared" si="43"/>
        <v>0</v>
      </c>
      <c r="AD149" s="123">
        <f t="shared" si="43"/>
        <v>0</v>
      </c>
      <c r="AE149" s="123">
        <f t="shared" si="43"/>
        <v>0</v>
      </c>
      <c r="AF149" s="123">
        <f t="shared" si="43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4">C151</f>
        <v>0.1</v>
      </c>
      <c r="E151" s="123">
        <f t="shared" si="44"/>
        <v>0.1</v>
      </c>
      <c r="F151" s="123">
        <f t="shared" si="44"/>
        <v>0.1</v>
      </c>
      <c r="G151" s="123">
        <f t="shared" si="44"/>
        <v>0.1</v>
      </c>
      <c r="H151" s="123">
        <f t="shared" si="44"/>
        <v>0.1</v>
      </c>
      <c r="I151" s="123">
        <f t="shared" si="44"/>
        <v>0.1</v>
      </c>
      <c r="J151" s="123">
        <f t="shared" si="44"/>
        <v>0.1</v>
      </c>
      <c r="K151" s="123">
        <f t="shared" si="44"/>
        <v>0.1</v>
      </c>
      <c r="L151" s="123">
        <f t="shared" si="44"/>
        <v>0.1</v>
      </c>
      <c r="M151" s="123">
        <f t="shared" si="44"/>
        <v>0.1</v>
      </c>
      <c r="N151" s="123">
        <f t="shared" si="44"/>
        <v>0.1</v>
      </c>
      <c r="O151" s="123">
        <f t="shared" si="44"/>
        <v>0.1</v>
      </c>
      <c r="P151" s="123">
        <f t="shared" si="44"/>
        <v>0.1</v>
      </c>
      <c r="Q151" s="123">
        <f t="shared" si="44"/>
        <v>0.1</v>
      </c>
      <c r="R151" s="123">
        <f t="shared" si="44"/>
        <v>0.1</v>
      </c>
      <c r="S151" s="123">
        <f t="shared" si="44"/>
        <v>0.1</v>
      </c>
      <c r="T151" s="123">
        <f t="shared" ref="T151:AF154" si="45">S151</f>
        <v>0.1</v>
      </c>
      <c r="U151" s="123">
        <f t="shared" si="45"/>
        <v>0.1</v>
      </c>
      <c r="V151" s="123">
        <f t="shared" si="45"/>
        <v>0.1</v>
      </c>
      <c r="W151" s="123">
        <f t="shared" si="45"/>
        <v>0.1</v>
      </c>
      <c r="X151" s="123">
        <f t="shared" si="45"/>
        <v>0.1</v>
      </c>
      <c r="Y151" s="123">
        <f t="shared" si="45"/>
        <v>0.1</v>
      </c>
      <c r="Z151" s="123">
        <f t="shared" si="45"/>
        <v>0.1</v>
      </c>
      <c r="AA151" s="123">
        <f t="shared" si="45"/>
        <v>0.1</v>
      </c>
      <c r="AB151" s="123">
        <f t="shared" si="45"/>
        <v>0.1</v>
      </c>
      <c r="AC151" s="123">
        <f t="shared" si="45"/>
        <v>0.1</v>
      </c>
      <c r="AD151" s="123">
        <f t="shared" si="45"/>
        <v>0.1</v>
      </c>
      <c r="AE151" s="123">
        <f t="shared" si="45"/>
        <v>0.1</v>
      </c>
      <c r="AF151" s="123">
        <f t="shared" si="45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4"/>
        <v>2.0499999999999998</v>
      </c>
      <c r="E152" s="123">
        <f t="shared" si="44"/>
        <v>2.0499999999999998</v>
      </c>
      <c r="F152" s="123">
        <f t="shared" si="44"/>
        <v>2.0499999999999998</v>
      </c>
      <c r="G152" s="123">
        <f t="shared" si="44"/>
        <v>2.0499999999999998</v>
      </c>
      <c r="H152" s="123">
        <f t="shared" si="44"/>
        <v>2.0499999999999998</v>
      </c>
      <c r="I152" s="123">
        <f t="shared" si="44"/>
        <v>2.0499999999999998</v>
      </c>
      <c r="J152" s="123">
        <f t="shared" si="44"/>
        <v>2.0499999999999998</v>
      </c>
      <c r="K152" s="123">
        <f t="shared" si="44"/>
        <v>2.0499999999999998</v>
      </c>
      <c r="L152" s="123">
        <f t="shared" si="44"/>
        <v>2.0499999999999998</v>
      </c>
      <c r="M152" s="123">
        <f t="shared" si="44"/>
        <v>2.0499999999999998</v>
      </c>
      <c r="N152" s="123">
        <f t="shared" si="44"/>
        <v>2.0499999999999998</v>
      </c>
      <c r="O152" s="123">
        <f t="shared" si="44"/>
        <v>2.0499999999999998</v>
      </c>
      <c r="P152" s="123">
        <f t="shared" si="44"/>
        <v>2.0499999999999998</v>
      </c>
      <c r="Q152" s="123">
        <f t="shared" si="44"/>
        <v>2.0499999999999998</v>
      </c>
      <c r="R152" s="123">
        <f t="shared" si="44"/>
        <v>2.0499999999999998</v>
      </c>
      <c r="S152" s="123">
        <f t="shared" si="44"/>
        <v>2.0499999999999998</v>
      </c>
      <c r="T152" s="123">
        <f t="shared" si="45"/>
        <v>2.0499999999999998</v>
      </c>
      <c r="U152" s="123">
        <f t="shared" si="45"/>
        <v>2.0499999999999998</v>
      </c>
      <c r="V152" s="123">
        <f t="shared" si="45"/>
        <v>2.0499999999999998</v>
      </c>
      <c r="W152" s="123">
        <f t="shared" si="45"/>
        <v>2.0499999999999998</v>
      </c>
      <c r="X152" s="123">
        <f t="shared" si="45"/>
        <v>2.0499999999999998</v>
      </c>
      <c r="Y152" s="123">
        <f t="shared" si="45"/>
        <v>2.0499999999999998</v>
      </c>
      <c r="Z152" s="123">
        <f t="shared" si="45"/>
        <v>2.0499999999999998</v>
      </c>
      <c r="AA152" s="123">
        <f t="shared" si="45"/>
        <v>2.0499999999999998</v>
      </c>
      <c r="AB152" s="123">
        <f t="shared" si="45"/>
        <v>2.0499999999999998</v>
      </c>
      <c r="AC152" s="123">
        <f t="shared" si="45"/>
        <v>2.0499999999999998</v>
      </c>
      <c r="AD152" s="123">
        <f t="shared" si="45"/>
        <v>2.0499999999999998</v>
      </c>
      <c r="AE152" s="123">
        <f t="shared" si="45"/>
        <v>2.0499999999999998</v>
      </c>
      <c r="AF152" s="123">
        <f t="shared" si="45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4"/>
        <v>2.7</v>
      </c>
      <c r="E153" s="123">
        <f t="shared" si="44"/>
        <v>2.7</v>
      </c>
      <c r="F153" s="123">
        <f t="shared" si="44"/>
        <v>2.7</v>
      </c>
      <c r="G153" s="123">
        <f t="shared" si="44"/>
        <v>2.7</v>
      </c>
      <c r="H153" s="123">
        <f t="shared" si="44"/>
        <v>2.7</v>
      </c>
      <c r="I153" s="123">
        <f t="shared" si="44"/>
        <v>2.7</v>
      </c>
      <c r="J153" s="123">
        <f t="shared" si="44"/>
        <v>2.7</v>
      </c>
      <c r="K153" s="123">
        <f t="shared" si="44"/>
        <v>2.7</v>
      </c>
      <c r="L153" s="123">
        <f t="shared" si="44"/>
        <v>2.7</v>
      </c>
      <c r="M153" s="123">
        <f t="shared" si="44"/>
        <v>2.7</v>
      </c>
      <c r="N153" s="123">
        <f t="shared" si="44"/>
        <v>2.7</v>
      </c>
      <c r="O153" s="123">
        <f t="shared" si="44"/>
        <v>2.7</v>
      </c>
      <c r="P153" s="123">
        <f t="shared" si="44"/>
        <v>2.7</v>
      </c>
      <c r="Q153" s="123">
        <f t="shared" si="44"/>
        <v>2.7</v>
      </c>
      <c r="R153" s="123">
        <f t="shared" si="44"/>
        <v>2.7</v>
      </c>
      <c r="S153" s="123">
        <f t="shared" si="44"/>
        <v>2.7</v>
      </c>
      <c r="T153" s="123">
        <f t="shared" si="45"/>
        <v>2.7</v>
      </c>
      <c r="U153" s="123">
        <f t="shared" si="45"/>
        <v>2.7</v>
      </c>
      <c r="V153" s="123">
        <f t="shared" si="45"/>
        <v>2.7</v>
      </c>
      <c r="W153" s="123">
        <f t="shared" si="45"/>
        <v>2.7</v>
      </c>
      <c r="X153" s="123">
        <f t="shared" si="45"/>
        <v>2.7</v>
      </c>
      <c r="Y153" s="123">
        <f t="shared" si="45"/>
        <v>2.7</v>
      </c>
      <c r="Z153" s="123">
        <f t="shared" si="45"/>
        <v>2.7</v>
      </c>
      <c r="AA153" s="123">
        <f t="shared" si="45"/>
        <v>2.7</v>
      </c>
      <c r="AB153" s="123">
        <f t="shared" si="45"/>
        <v>2.7</v>
      </c>
      <c r="AC153" s="123">
        <f t="shared" si="45"/>
        <v>2.7</v>
      </c>
      <c r="AD153" s="123">
        <f t="shared" si="45"/>
        <v>2.7</v>
      </c>
      <c r="AE153" s="123">
        <f t="shared" si="45"/>
        <v>2.7</v>
      </c>
      <c r="AF153" s="123">
        <f t="shared" si="45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4"/>
        <v>2.15</v>
      </c>
      <c r="E154" s="123">
        <f t="shared" si="44"/>
        <v>2.15</v>
      </c>
      <c r="F154" s="123">
        <f t="shared" si="44"/>
        <v>2.15</v>
      </c>
      <c r="G154" s="123">
        <f t="shared" si="44"/>
        <v>2.15</v>
      </c>
      <c r="H154" s="123">
        <f t="shared" si="44"/>
        <v>2.15</v>
      </c>
      <c r="I154" s="123">
        <f t="shared" si="44"/>
        <v>2.15</v>
      </c>
      <c r="J154" s="123">
        <f t="shared" si="44"/>
        <v>2.15</v>
      </c>
      <c r="K154" s="123">
        <f t="shared" si="44"/>
        <v>2.15</v>
      </c>
      <c r="L154" s="123">
        <f t="shared" si="44"/>
        <v>2.15</v>
      </c>
      <c r="M154" s="123">
        <f t="shared" si="44"/>
        <v>2.15</v>
      </c>
      <c r="N154" s="123">
        <f t="shared" si="44"/>
        <v>2.15</v>
      </c>
      <c r="O154" s="123">
        <f t="shared" si="44"/>
        <v>2.15</v>
      </c>
      <c r="P154" s="123">
        <f t="shared" si="44"/>
        <v>2.15</v>
      </c>
      <c r="Q154" s="123">
        <f t="shared" si="44"/>
        <v>2.15</v>
      </c>
      <c r="R154" s="123">
        <f t="shared" si="44"/>
        <v>2.15</v>
      </c>
      <c r="S154" s="123">
        <f t="shared" si="44"/>
        <v>2.15</v>
      </c>
      <c r="T154" s="123">
        <f t="shared" si="45"/>
        <v>2.15</v>
      </c>
      <c r="U154" s="123">
        <f t="shared" si="45"/>
        <v>2.15</v>
      </c>
      <c r="V154" s="123">
        <f t="shared" si="45"/>
        <v>2.15</v>
      </c>
      <c r="W154" s="123">
        <f t="shared" si="45"/>
        <v>2.15</v>
      </c>
      <c r="X154" s="123">
        <f t="shared" si="45"/>
        <v>2.15</v>
      </c>
      <c r="Y154" s="123">
        <f t="shared" si="45"/>
        <v>2.15</v>
      </c>
      <c r="Z154" s="123">
        <f t="shared" si="45"/>
        <v>2.15</v>
      </c>
      <c r="AA154" s="123">
        <f t="shared" si="45"/>
        <v>2.15</v>
      </c>
      <c r="AB154" s="123">
        <f t="shared" si="45"/>
        <v>2.15</v>
      </c>
      <c r="AC154" s="123">
        <f t="shared" si="45"/>
        <v>2.15</v>
      </c>
      <c r="AD154" s="123">
        <f t="shared" si="45"/>
        <v>2.15</v>
      </c>
      <c r="AE154" s="123">
        <f t="shared" si="45"/>
        <v>2.15</v>
      </c>
      <c r="AF154" s="123">
        <f t="shared" si="45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6">AF156</f>
        <v>0.9</v>
      </c>
      <c r="C156" s="124">
        <v>0.9</v>
      </c>
      <c r="D156" s="123">
        <f t="shared" ref="D156:S168" si="47">C156</f>
        <v>0.9</v>
      </c>
      <c r="E156" s="123">
        <f t="shared" si="47"/>
        <v>0.9</v>
      </c>
      <c r="F156" s="123">
        <f t="shared" si="47"/>
        <v>0.9</v>
      </c>
      <c r="G156" s="123">
        <f t="shared" si="47"/>
        <v>0.9</v>
      </c>
      <c r="H156" s="123">
        <f t="shared" si="47"/>
        <v>0.9</v>
      </c>
      <c r="I156" s="123">
        <f t="shared" si="47"/>
        <v>0.9</v>
      </c>
      <c r="J156" s="123">
        <f t="shared" si="47"/>
        <v>0.9</v>
      </c>
      <c r="K156" s="123">
        <f t="shared" si="47"/>
        <v>0.9</v>
      </c>
      <c r="L156" s="123">
        <f t="shared" si="47"/>
        <v>0.9</v>
      </c>
      <c r="M156" s="123">
        <f t="shared" si="47"/>
        <v>0.9</v>
      </c>
      <c r="N156" s="123">
        <f t="shared" si="47"/>
        <v>0.9</v>
      </c>
      <c r="O156" s="123">
        <f t="shared" si="47"/>
        <v>0.9</v>
      </c>
      <c r="P156" s="123">
        <f t="shared" si="47"/>
        <v>0.9</v>
      </c>
      <c r="Q156" s="123">
        <f t="shared" si="47"/>
        <v>0.9</v>
      </c>
      <c r="R156" s="123">
        <f t="shared" si="47"/>
        <v>0.9</v>
      </c>
      <c r="S156" s="123">
        <f t="shared" si="47"/>
        <v>0.9</v>
      </c>
      <c r="T156" s="123">
        <f t="shared" ref="S156:AF168" si="48">S156</f>
        <v>0.9</v>
      </c>
      <c r="U156" s="123">
        <f t="shared" si="48"/>
        <v>0.9</v>
      </c>
      <c r="V156" s="123">
        <f t="shared" si="48"/>
        <v>0.9</v>
      </c>
      <c r="W156" s="123">
        <f t="shared" si="48"/>
        <v>0.9</v>
      </c>
      <c r="X156" s="123">
        <f t="shared" si="48"/>
        <v>0.9</v>
      </c>
      <c r="Y156" s="123">
        <f t="shared" si="48"/>
        <v>0.9</v>
      </c>
      <c r="Z156" s="123">
        <f t="shared" si="48"/>
        <v>0.9</v>
      </c>
      <c r="AA156" s="123">
        <f t="shared" si="48"/>
        <v>0.9</v>
      </c>
      <c r="AB156" s="123">
        <f t="shared" si="48"/>
        <v>0.9</v>
      </c>
      <c r="AC156" s="123">
        <f t="shared" si="48"/>
        <v>0.9</v>
      </c>
      <c r="AD156" s="123">
        <f t="shared" si="48"/>
        <v>0.9</v>
      </c>
      <c r="AE156" s="123">
        <f t="shared" si="48"/>
        <v>0.9</v>
      </c>
      <c r="AF156" s="123">
        <f t="shared" si="48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6"/>
        <v>1.08</v>
      </c>
      <c r="C157" s="124">
        <v>1.08</v>
      </c>
      <c r="D157" s="123">
        <f t="shared" si="47"/>
        <v>1.08</v>
      </c>
      <c r="E157" s="123">
        <f t="shared" si="47"/>
        <v>1.08</v>
      </c>
      <c r="F157" s="123">
        <f t="shared" si="47"/>
        <v>1.08</v>
      </c>
      <c r="G157" s="123">
        <f t="shared" si="47"/>
        <v>1.08</v>
      </c>
      <c r="H157" s="123">
        <f t="shared" si="47"/>
        <v>1.08</v>
      </c>
      <c r="I157" s="123">
        <f t="shared" si="47"/>
        <v>1.08</v>
      </c>
      <c r="J157" s="123">
        <f t="shared" si="47"/>
        <v>1.08</v>
      </c>
      <c r="K157" s="123">
        <f t="shared" si="47"/>
        <v>1.08</v>
      </c>
      <c r="L157" s="123">
        <f t="shared" si="47"/>
        <v>1.08</v>
      </c>
      <c r="M157" s="123">
        <f t="shared" si="47"/>
        <v>1.08</v>
      </c>
      <c r="N157" s="123">
        <f t="shared" si="47"/>
        <v>1.08</v>
      </c>
      <c r="O157" s="123">
        <f t="shared" si="47"/>
        <v>1.08</v>
      </c>
      <c r="P157" s="123">
        <f t="shared" si="47"/>
        <v>1.08</v>
      </c>
      <c r="Q157" s="123">
        <f t="shared" si="47"/>
        <v>1.08</v>
      </c>
      <c r="R157" s="123">
        <f t="shared" si="47"/>
        <v>1.08</v>
      </c>
      <c r="S157" s="123">
        <f t="shared" si="47"/>
        <v>1.08</v>
      </c>
      <c r="T157" s="123">
        <f t="shared" si="48"/>
        <v>1.08</v>
      </c>
      <c r="U157" s="123">
        <f t="shared" si="48"/>
        <v>1.08</v>
      </c>
      <c r="V157" s="123">
        <f t="shared" si="48"/>
        <v>1.08</v>
      </c>
      <c r="W157" s="123">
        <f t="shared" si="48"/>
        <v>1.08</v>
      </c>
      <c r="X157" s="123">
        <f t="shared" si="48"/>
        <v>1.08</v>
      </c>
      <c r="Y157" s="123">
        <f t="shared" si="48"/>
        <v>1.08</v>
      </c>
      <c r="Z157" s="123">
        <f t="shared" si="48"/>
        <v>1.08</v>
      </c>
      <c r="AA157" s="123">
        <f t="shared" si="48"/>
        <v>1.08</v>
      </c>
      <c r="AB157" s="123">
        <f t="shared" si="48"/>
        <v>1.08</v>
      </c>
      <c r="AC157" s="123">
        <f t="shared" si="48"/>
        <v>1.08</v>
      </c>
      <c r="AD157" s="123">
        <f t="shared" si="48"/>
        <v>1.08</v>
      </c>
      <c r="AE157" s="123">
        <f t="shared" si="48"/>
        <v>1.08</v>
      </c>
      <c r="AF157" s="123">
        <f t="shared" si="48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6"/>
        <v>2.37</v>
      </c>
      <c r="C158" s="124">
        <v>2.37</v>
      </c>
      <c r="D158" s="123">
        <f t="shared" si="47"/>
        <v>2.37</v>
      </c>
      <c r="E158" s="123">
        <f t="shared" si="47"/>
        <v>2.37</v>
      </c>
      <c r="F158" s="123">
        <f t="shared" si="47"/>
        <v>2.37</v>
      </c>
      <c r="G158" s="123">
        <f t="shared" si="47"/>
        <v>2.37</v>
      </c>
      <c r="H158" s="123">
        <f t="shared" si="47"/>
        <v>2.37</v>
      </c>
      <c r="I158" s="123">
        <f t="shared" si="47"/>
        <v>2.37</v>
      </c>
      <c r="J158" s="123">
        <f t="shared" si="47"/>
        <v>2.37</v>
      </c>
      <c r="K158" s="123">
        <f t="shared" si="47"/>
        <v>2.37</v>
      </c>
      <c r="L158" s="123">
        <f t="shared" si="47"/>
        <v>2.37</v>
      </c>
      <c r="M158" s="123">
        <f t="shared" si="47"/>
        <v>2.37</v>
      </c>
      <c r="N158" s="123">
        <f t="shared" si="47"/>
        <v>2.37</v>
      </c>
      <c r="O158" s="123">
        <f t="shared" si="47"/>
        <v>2.37</v>
      </c>
      <c r="P158" s="123">
        <f t="shared" si="47"/>
        <v>2.37</v>
      </c>
      <c r="Q158" s="123">
        <f t="shared" si="47"/>
        <v>2.37</v>
      </c>
      <c r="R158" s="123">
        <f t="shared" si="47"/>
        <v>2.37</v>
      </c>
      <c r="S158" s="123">
        <f t="shared" si="47"/>
        <v>2.37</v>
      </c>
      <c r="T158" s="123">
        <f t="shared" si="48"/>
        <v>2.37</v>
      </c>
      <c r="U158" s="123">
        <f t="shared" si="48"/>
        <v>2.37</v>
      </c>
      <c r="V158" s="123">
        <f t="shared" si="48"/>
        <v>2.37</v>
      </c>
      <c r="W158" s="123">
        <f t="shared" si="48"/>
        <v>2.37</v>
      </c>
      <c r="X158" s="123">
        <f t="shared" si="48"/>
        <v>2.37</v>
      </c>
      <c r="Y158" s="123">
        <f t="shared" si="48"/>
        <v>2.37</v>
      </c>
      <c r="Z158" s="123">
        <f t="shared" si="48"/>
        <v>2.37</v>
      </c>
      <c r="AA158" s="123">
        <f t="shared" si="48"/>
        <v>2.37</v>
      </c>
      <c r="AB158" s="123">
        <f t="shared" si="48"/>
        <v>2.37</v>
      </c>
      <c r="AC158" s="123">
        <f t="shared" si="48"/>
        <v>2.37</v>
      </c>
      <c r="AD158" s="123">
        <f t="shared" si="48"/>
        <v>2.37</v>
      </c>
      <c r="AE158" s="123">
        <f t="shared" si="48"/>
        <v>2.37</v>
      </c>
      <c r="AF158" s="123">
        <f t="shared" si="48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6"/>
        <v>1.81</v>
      </c>
      <c r="C159" s="124">
        <v>1.81</v>
      </c>
      <c r="D159" s="123">
        <f t="shared" si="47"/>
        <v>1.81</v>
      </c>
      <c r="E159" s="123">
        <f t="shared" si="47"/>
        <v>1.81</v>
      </c>
      <c r="F159" s="123">
        <f t="shared" si="47"/>
        <v>1.81</v>
      </c>
      <c r="G159" s="123">
        <f t="shared" si="47"/>
        <v>1.81</v>
      </c>
      <c r="H159" s="123">
        <f t="shared" si="47"/>
        <v>1.81</v>
      </c>
      <c r="I159" s="123">
        <f t="shared" si="47"/>
        <v>1.81</v>
      </c>
      <c r="J159" s="123">
        <f t="shared" si="47"/>
        <v>1.81</v>
      </c>
      <c r="K159" s="123">
        <f t="shared" si="47"/>
        <v>1.81</v>
      </c>
      <c r="L159" s="123">
        <f t="shared" si="47"/>
        <v>1.81</v>
      </c>
      <c r="M159" s="123">
        <f t="shared" si="47"/>
        <v>1.81</v>
      </c>
      <c r="N159" s="123">
        <f t="shared" si="47"/>
        <v>1.81</v>
      </c>
      <c r="O159" s="123">
        <f t="shared" si="47"/>
        <v>1.81</v>
      </c>
      <c r="P159" s="123">
        <f t="shared" si="47"/>
        <v>1.81</v>
      </c>
      <c r="Q159" s="123">
        <f t="shared" si="47"/>
        <v>1.81</v>
      </c>
      <c r="R159" s="123">
        <f t="shared" si="47"/>
        <v>1.81</v>
      </c>
      <c r="S159" s="123">
        <f t="shared" si="47"/>
        <v>1.81</v>
      </c>
      <c r="T159" s="123">
        <f t="shared" si="48"/>
        <v>1.81</v>
      </c>
      <c r="U159" s="123">
        <f t="shared" si="48"/>
        <v>1.81</v>
      </c>
      <c r="V159" s="123">
        <f t="shared" si="48"/>
        <v>1.81</v>
      </c>
      <c r="W159" s="123">
        <f t="shared" si="48"/>
        <v>1.81</v>
      </c>
      <c r="X159" s="123">
        <f t="shared" si="48"/>
        <v>1.81</v>
      </c>
      <c r="Y159" s="123">
        <f t="shared" si="48"/>
        <v>1.81</v>
      </c>
      <c r="Z159" s="123">
        <f t="shared" si="48"/>
        <v>1.81</v>
      </c>
      <c r="AA159" s="123">
        <f t="shared" si="48"/>
        <v>1.81</v>
      </c>
      <c r="AB159" s="123">
        <f t="shared" si="48"/>
        <v>1.81</v>
      </c>
      <c r="AC159" s="123">
        <f t="shared" si="48"/>
        <v>1.81</v>
      </c>
      <c r="AD159" s="123">
        <f t="shared" si="48"/>
        <v>1.81</v>
      </c>
      <c r="AE159" s="123">
        <f t="shared" si="48"/>
        <v>1.81</v>
      </c>
      <c r="AF159" s="123">
        <f t="shared" si="48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6"/>
        <v>1.0900000000000001</v>
      </c>
      <c r="C160" s="124">
        <v>1.0900000000000001</v>
      </c>
      <c r="D160" s="123">
        <f t="shared" si="47"/>
        <v>1.0900000000000001</v>
      </c>
      <c r="E160" s="123">
        <f t="shared" si="47"/>
        <v>1.0900000000000001</v>
      </c>
      <c r="F160" s="123">
        <f t="shared" si="47"/>
        <v>1.0900000000000001</v>
      </c>
      <c r="G160" s="123">
        <f t="shared" si="47"/>
        <v>1.0900000000000001</v>
      </c>
      <c r="H160" s="123">
        <f t="shared" si="47"/>
        <v>1.0900000000000001</v>
      </c>
      <c r="I160" s="123">
        <f t="shared" si="47"/>
        <v>1.0900000000000001</v>
      </c>
      <c r="J160" s="123">
        <f t="shared" si="47"/>
        <v>1.0900000000000001</v>
      </c>
      <c r="K160" s="123">
        <f t="shared" si="47"/>
        <v>1.0900000000000001</v>
      </c>
      <c r="L160" s="123">
        <f t="shared" si="47"/>
        <v>1.0900000000000001</v>
      </c>
      <c r="M160" s="123">
        <f t="shared" si="47"/>
        <v>1.0900000000000001</v>
      </c>
      <c r="N160" s="123">
        <f t="shared" si="47"/>
        <v>1.0900000000000001</v>
      </c>
      <c r="O160" s="123">
        <f t="shared" si="47"/>
        <v>1.0900000000000001</v>
      </c>
      <c r="P160" s="123">
        <f t="shared" si="47"/>
        <v>1.0900000000000001</v>
      </c>
      <c r="Q160" s="123">
        <f t="shared" si="47"/>
        <v>1.0900000000000001</v>
      </c>
      <c r="R160" s="123">
        <f t="shared" si="47"/>
        <v>1.0900000000000001</v>
      </c>
      <c r="S160" s="123">
        <f t="shared" si="47"/>
        <v>1.0900000000000001</v>
      </c>
      <c r="T160" s="123">
        <f t="shared" si="48"/>
        <v>1.0900000000000001</v>
      </c>
      <c r="U160" s="123">
        <f t="shared" si="48"/>
        <v>1.0900000000000001</v>
      </c>
      <c r="V160" s="123">
        <f t="shared" si="48"/>
        <v>1.0900000000000001</v>
      </c>
      <c r="W160" s="123">
        <f t="shared" si="48"/>
        <v>1.0900000000000001</v>
      </c>
      <c r="X160" s="123">
        <f t="shared" si="48"/>
        <v>1.0900000000000001</v>
      </c>
      <c r="Y160" s="123">
        <f t="shared" si="48"/>
        <v>1.0900000000000001</v>
      </c>
      <c r="Z160" s="123">
        <f t="shared" si="48"/>
        <v>1.0900000000000001</v>
      </c>
      <c r="AA160" s="123">
        <f t="shared" si="48"/>
        <v>1.0900000000000001</v>
      </c>
      <c r="AB160" s="123">
        <f t="shared" si="48"/>
        <v>1.0900000000000001</v>
      </c>
      <c r="AC160" s="123">
        <f t="shared" si="48"/>
        <v>1.0900000000000001</v>
      </c>
      <c r="AD160" s="123">
        <f t="shared" si="48"/>
        <v>1.0900000000000001</v>
      </c>
      <c r="AE160" s="123">
        <f t="shared" si="48"/>
        <v>1.0900000000000001</v>
      </c>
      <c r="AF160" s="123">
        <f t="shared" si="48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6"/>
        <v>1.58</v>
      </c>
      <c r="C161" s="124">
        <v>1.58</v>
      </c>
      <c r="D161" s="123">
        <f t="shared" si="47"/>
        <v>1.58</v>
      </c>
      <c r="E161" s="123">
        <f t="shared" si="47"/>
        <v>1.58</v>
      </c>
      <c r="F161" s="123">
        <f t="shared" si="47"/>
        <v>1.58</v>
      </c>
      <c r="G161" s="123">
        <f t="shared" si="47"/>
        <v>1.58</v>
      </c>
      <c r="H161" s="123">
        <f t="shared" si="47"/>
        <v>1.58</v>
      </c>
      <c r="I161" s="123">
        <f t="shared" si="47"/>
        <v>1.58</v>
      </c>
      <c r="J161" s="123">
        <f t="shared" si="47"/>
        <v>1.58</v>
      </c>
      <c r="K161" s="123">
        <f t="shared" si="47"/>
        <v>1.58</v>
      </c>
      <c r="L161" s="123">
        <f t="shared" si="47"/>
        <v>1.58</v>
      </c>
      <c r="M161" s="123">
        <f t="shared" si="47"/>
        <v>1.58</v>
      </c>
      <c r="N161" s="123">
        <f t="shared" si="47"/>
        <v>1.58</v>
      </c>
      <c r="O161" s="123">
        <f t="shared" si="47"/>
        <v>1.58</v>
      </c>
      <c r="P161" s="123">
        <f t="shared" si="47"/>
        <v>1.58</v>
      </c>
      <c r="Q161" s="123">
        <f t="shared" si="47"/>
        <v>1.58</v>
      </c>
      <c r="R161" s="123">
        <f t="shared" si="47"/>
        <v>1.58</v>
      </c>
      <c r="S161" s="123">
        <f t="shared" si="47"/>
        <v>1.58</v>
      </c>
      <c r="T161" s="123">
        <f t="shared" si="48"/>
        <v>1.58</v>
      </c>
      <c r="U161" s="123">
        <f t="shared" si="48"/>
        <v>1.58</v>
      </c>
      <c r="V161" s="123">
        <f t="shared" si="48"/>
        <v>1.58</v>
      </c>
      <c r="W161" s="123">
        <f t="shared" si="48"/>
        <v>1.58</v>
      </c>
      <c r="X161" s="123">
        <f t="shared" si="48"/>
        <v>1.58</v>
      </c>
      <c r="Y161" s="123">
        <f t="shared" si="48"/>
        <v>1.58</v>
      </c>
      <c r="Z161" s="123">
        <f t="shared" si="48"/>
        <v>1.58</v>
      </c>
      <c r="AA161" s="123">
        <f t="shared" si="48"/>
        <v>1.58</v>
      </c>
      <c r="AB161" s="123">
        <f t="shared" si="48"/>
        <v>1.58</v>
      </c>
      <c r="AC161" s="123">
        <f t="shared" si="48"/>
        <v>1.58</v>
      </c>
      <c r="AD161" s="123">
        <f t="shared" si="48"/>
        <v>1.58</v>
      </c>
      <c r="AE161" s="123">
        <f t="shared" si="48"/>
        <v>1.58</v>
      </c>
      <c r="AF161" s="123">
        <f t="shared" si="48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6"/>
        <v>2</v>
      </c>
      <c r="C162" s="124">
        <v>2</v>
      </c>
      <c r="D162" s="123">
        <f t="shared" si="47"/>
        <v>2</v>
      </c>
      <c r="E162" s="123">
        <f t="shared" si="47"/>
        <v>2</v>
      </c>
      <c r="F162" s="123">
        <f t="shared" si="47"/>
        <v>2</v>
      </c>
      <c r="G162" s="123">
        <f t="shared" si="47"/>
        <v>2</v>
      </c>
      <c r="H162" s="123">
        <f t="shared" si="47"/>
        <v>2</v>
      </c>
      <c r="I162" s="123">
        <f t="shared" si="47"/>
        <v>2</v>
      </c>
      <c r="J162" s="123">
        <f t="shared" si="47"/>
        <v>2</v>
      </c>
      <c r="K162" s="123">
        <f t="shared" si="47"/>
        <v>2</v>
      </c>
      <c r="L162" s="123">
        <f t="shared" si="47"/>
        <v>2</v>
      </c>
      <c r="M162" s="123">
        <f t="shared" si="47"/>
        <v>2</v>
      </c>
      <c r="N162" s="123">
        <f t="shared" si="47"/>
        <v>2</v>
      </c>
      <c r="O162" s="123">
        <f t="shared" si="47"/>
        <v>2</v>
      </c>
      <c r="P162" s="123">
        <f t="shared" si="47"/>
        <v>2</v>
      </c>
      <c r="Q162" s="123">
        <f t="shared" si="47"/>
        <v>2</v>
      </c>
      <c r="R162" s="123">
        <f t="shared" si="47"/>
        <v>2</v>
      </c>
      <c r="S162" s="123">
        <f t="shared" si="47"/>
        <v>2</v>
      </c>
      <c r="T162" s="123">
        <f t="shared" si="48"/>
        <v>2</v>
      </c>
      <c r="U162" s="123">
        <f t="shared" si="48"/>
        <v>2</v>
      </c>
      <c r="V162" s="123">
        <f t="shared" si="48"/>
        <v>2</v>
      </c>
      <c r="W162" s="123">
        <f t="shared" si="48"/>
        <v>2</v>
      </c>
      <c r="X162" s="123">
        <f t="shared" si="48"/>
        <v>2</v>
      </c>
      <c r="Y162" s="123">
        <f t="shared" si="48"/>
        <v>2</v>
      </c>
      <c r="Z162" s="123">
        <f t="shared" si="48"/>
        <v>2</v>
      </c>
      <c r="AA162" s="123">
        <f t="shared" si="48"/>
        <v>2</v>
      </c>
      <c r="AB162" s="123">
        <f t="shared" si="48"/>
        <v>2</v>
      </c>
      <c r="AC162" s="123">
        <f t="shared" si="48"/>
        <v>2</v>
      </c>
      <c r="AD162" s="123">
        <f t="shared" si="48"/>
        <v>2</v>
      </c>
      <c r="AE162" s="123">
        <f t="shared" si="48"/>
        <v>2</v>
      </c>
      <c r="AF162" s="123">
        <f t="shared" si="48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6"/>
        <v>0.47</v>
      </c>
      <c r="C163" s="124">
        <v>0.47</v>
      </c>
      <c r="D163" s="123">
        <f t="shared" si="47"/>
        <v>0.47</v>
      </c>
      <c r="E163" s="123">
        <f t="shared" si="47"/>
        <v>0.47</v>
      </c>
      <c r="F163" s="123">
        <f t="shared" si="47"/>
        <v>0.47</v>
      </c>
      <c r="G163" s="123">
        <f t="shared" si="47"/>
        <v>0.47</v>
      </c>
      <c r="H163" s="123">
        <f t="shared" si="47"/>
        <v>0.47</v>
      </c>
      <c r="I163" s="123">
        <f t="shared" si="47"/>
        <v>0.47</v>
      </c>
      <c r="J163" s="123">
        <f t="shared" si="47"/>
        <v>0.47</v>
      </c>
      <c r="K163" s="123">
        <f t="shared" si="47"/>
        <v>0.47</v>
      </c>
      <c r="L163" s="123">
        <f t="shared" si="47"/>
        <v>0.47</v>
      </c>
      <c r="M163" s="123">
        <f t="shared" si="47"/>
        <v>0.47</v>
      </c>
      <c r="N163" s="123">
        <f t="shared" si="47"/>
        <v>0.47</v>
      </c>
      <c r="O163" s="123">
        <f t="shared" si="47"/>
        <v>0.47</v>
      </c>
      <c r="P163" s="123">
        <f t="shared" si="47"/>
        <v>0.47</v>
      </c>
      <c r="Q163" s="123">
        <f t="shared" si="47"/>
        <v>0.47</v>
      </c>
      <c r="R163" s="123">
        <f t="shared" si="47"/>
        <v>0.47</v>
      </c>
      <c r="S163" s="123">
        <f t="shared" si="47"/>
        <v>0.47</v>
      </c>
      <c r="T163" s="123">
        <f t="shared" si="48"/>
        <v>0.47</v>
      </c>
      <c r="U163" s="123">
        <f t="shared" si="48"/>
        <v>0.47</v>
      </c>
      <c r="V163" s="123">
        <f t="shared" si="48"/>
        <v>0.47</v>
      </c>
      <c r="W163" s="123">
        <f t="shared" si="48"/>
        <v>0.47</v>
      </c>
      <c r="X163" s="123">
        <f t="shared" si="48"/>
        <v>0.47</v>
      </c>
      <c r="Y163" s="123">
        <f t="shared" si="48"/>
        <v>0.47</v>
      </c>
      <c r="Z163" s="123">
        <f t="shared" si="48"/>
        <v>0.47</v>
      </c>
      <c r="AA163" s="123">
        <f t="shared" si="48"/>
        <v>0.47</v>
      </c>
      <c r="AB163" s="123">
        <f t="shared" si="48"/>
        <v>0.47</v>
      </c>
      <c r="AC163" s="123">
        <f t="shared" si="48"/>
        <v>0.47</v>
      </c>
      <c r="AD163" s="123">
        <f t="shared" si="48"/>
        <v>0.47</v>
      </c>
      <c r="AE163" s="123">
        <f t="shared" si="48"/>
        <v>0.47</v>
      </c>
      <c r="AF163" s="123">
        <f t="shared" si="48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6"/>
        <v>0</v>
      </c>
      <c r="C164" s="124">
        <v>0</v>
      </c>
      <c r="D164" s="123">
        <f t="shared" si="47"/>
        <v>0</v>
      </c>
      <c r="E164" s="123">
        <f t="shared" si="47"/>
        <v>0</v>
      </c>
      <c r="F164" s="123">
        <f t="shared" si="47"/>
        <v>0</v>
      </c>
      <c r="G164" s="123">
        <f t="shared" si="47"/>
        <v>0</v>
      </c>
      <c r="H164" s="123">
        <f t="shared" si="47"/>
        <v>0</v>
      </c>
      <c r="I164" s="123">
        <f t="shared" si="47"/>
        <v>0</v>
      </c>
      <c r="J164" s="123">
        <f t="shared" si="47"/>
        <v>0</v>
      </c>
      <c r="K164" s="123">
        <f t="shared" si="47"/>
        <v>0</v>
      </c>
      <c r="L164" s="123">
        <f t="shared" si="47"/>
        <v>0</v>
      </c>
      <c r="M164" s="123">
        <f t="shared" si="47"/>
        <v>0</v>
      </c>
      <c r="N164" s="123">
        <f t="shared" si="47"/>
        <v>0</v>
      </c>
      <c r="O164" s="123">
        <f t="shared" si="47"/>
        <v>0</v>
      </c>
      <c r="P164" s="123">
        <f t="shared" si="47"/>
        <v>0</v>
      </c>
      <c r="Q164" s="123">
        <f t="shared" si="47"/>
        <v>0</v>
      </c>
      <c r="R164" s="123">
        <f t="shared" si="47"/>
        <v>0</v>
      </c>
      <c r="S164" s="123">
        <f t="shared" si="47"/>
        <v>0</v>
      </c>
      <c r="T164" s="123">
        <f t="shared" si="48"/>
        <v>0</v>
      </c>
      <c r="U164" s="123">
        <f t="shared" si="48"/>
        <v>0</v>
      </c>
      <c r="V164" s="123">
        <f t="shared" si="48"/>
        <v>0</v>
      </c>
      <c r="W164" s="123">
        <f t="shared" si="48"/>
        <v>0</v>
      </c>
      <c r="X164" s="123">
        <f t="shared" si="48"/>
        <v>0</v>
      </c>
      <c r="Y164" s="123">
        <f t="shared" si="48"/>
        <v>0</v>
      </c>
      <c r="Z164" s="123">
        <f t="shared" si="48"/>
        <v>0</v>
      </c>
      <c r="AA164" s="123">
        <f t="shared" si="48"/>
        <v>0</v>
      </c>
      <c r="AB164" s="123">
        <f t="shared" si="48"/>
        <v>0</v>
      </c>
      <c r="AC164" s="123">
        <f t="shared" si="48"/>
        <v>0</v>
      </c>
      <c r="AD164" s="123">
        <f t="shared" si="48"/>
        <v>0</v>
      </c>
      <c r="AE164" s="123">
        <f t="shared" si="48"/>
        <v>0</v>
      </c>
      <c r="AF164" s="123">
        <f t="shared" si="48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8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6"/>
        <v>0.8</v>
      </c>
      <c r="C166" s="124">
        <v>0.8</v>
      </c>
      <c r="D166" s="123">
        <f t="shared" si="47"/>
        <v>0.8</v>
      </c>
      <c r="E166" s="123">
        <f t="shared" si="47"/>
        <v>0.8</v>
      </c>
      <c r="F166" s="123">
        <f t="shared" si="47"/>
        <v>0.8</v>
      </c>
      <c r="G166" s="123">
        <f t="shared" si="47"/>
        <v>0.8</v>
      </c>
      <c r="H166" s="123">
        <f t="shared" si="47"/>
        <v>0.8</v>
      </c>
      <c r="I166" s="123">
        <f t="shared" si="47"/>
        <v>0.8</v>
      </c>
      <c r="J166" s="123">
        <f t="shared" si="47"/>
        <v>0.8</v>
      </c>
      <c r="K166" s="123">
        <f t="shared" si="47"/>
        <v>0.8</v>
      </c>
      <c r="L166" s="123">
        <f t="shared" si="47"/>
        <v>0.8</v>
      </c>
      <c r="M166" s="123">
        <f t="shared" si="47"/>
        <v>0.8</v>
      </c>
      <c r="N166" s="123">
        <f t="shared" si="47"/>
        <v>0.8</v>
      </c>
      <c r="O166" s="123">
        <f t="shared" si="47"/>
        <v>0.8</v>
      </c>
      <c r="P166" s="123">
        <f t="shared" si="47"/>
        <v>0.8</v>
      </c>
      <c r="Q166" s="123">
        <f t="shared" si="47"/>
        <v>0.8</v>
      </c>
      <c r="R166" s="123">
        <f t="shared" si="47"/>
        <v>0.8</v>
      </c>
      <c r="S166" s="123">
        <f t="shared" si="48"/>
        <v>0.8</v>
      </c>
      <c r="T166" s="123">
        <f t="shared" si="48"/>
        <v>0.8</v>
      </c>
      <c r="U166" s="123">
        <f t="shared" si="48"/>
        <v>0.8</v>
      </c>
      <c r="V166" s="123">
        <f t="shared" si="48"/>
        <v>0.8</v>
      </c>
      <c r="W166" s="123">
        <f t="shared" si="48"/>
        <v>0.8</v>
      </c>
      <c r="X166" s="123">
        <f t="shared" si="48"/>
        <v>0.8</v>
      </c>
      <c r="Y166" s="123">
        <f t="shared" si="48"/>
        <v>0.8</v>
      </c>
      <c r="Z166" s="123">
        <f t="shared" si="48"/>
        <v>0.8</v>
      </c>
      <c r="AA166" s="123">
        <f t="shared" si="48"/>
        <v>0.8</v>
      </c>
      <c r="AB166" s="123">
        <f t="shared" si="48"/>
        <v>0.8</v>
      </c>
      <c r="AC166" s="123">
        <f t="shared" si="48"/>
        <v>0.8</v>
      </c>
      <c r="AD166" s="123">
        <f t="shared" si="48"/>
        <v>0.8</v>
      </c>
      <c r="AE166" s="123">
        <f t="shared" si="48"/>
        <v>0.8</v>
      </c>
      <c r="AF166" s="123">
        <f t="shared" si="48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6"/>
        <v>1.5</v>
      </c>
      <c r="C167" s="124">
        <v>1.5</v>
      </c>
      <c r="D167" s="123">
        <f t="shared" si="47"/>
        <v>1.5</v>
      </c>
      <c r="E167" s="123">
        <f t="shared" si="47"/>
        <v>1.5</v>
      </c>
      <c r="F167" s="123">
        <f t="shared" si="47"/>
        <v>1.5</v>
      </c>
      <c r="G167" s="123">
        <f t="shared" si="47"/>
        <v>1.5</v>
      </c>
      <c r="H167" s="123">
        <f t="shared" si="47"/>
        <v>1.5</v>
      </c>
      <c r="I167" s="123">
        <f t="shared" si="47"/>
        <v>1.5</v>
      </c>
      <c r="J167" s="123">
        <f t="shared" si="47"/>
        <v>1.5</v>
      </c>
      <c r="K167" s="123">
        <f t="shared" si="47"/>
        <v>1.5</v>
      </c>
      <c r="L167" s="123">
        <f t="shared" si="47"/>
        <v>1.5</v>
      </c>
      <c r="M167" s="123">
        <f t="shared" si="47"/>
        <v>1.5</v>
      </c>
      <c r="N167" s="123">
        <f t="shared" si="47"/>
        <v>1.5</v>
      </c>
      <c r="O167" s="123">
        <f t="shared" si="47"/>
        <v>1.5</v>
      </c>
      <c r="P167" s="123">
        <f t="shared" si="47"/>
        <v>1.5</v>
      </c>
      <c r="Q167" s="123">
        <f t="shared" si="47"/>
        <v>1.5</v>
      </c>
      <c r="R167" s="123">
        <f t="shared" si="47"/>
        <v>1.5</v>
      </c>
      <c r="S167" s="123">
        <f t="shared" si="48"/>
        <v>1.5</v>
      </c>
      <c r="T167" s="123">
        <f t="shared" si="48"/>
        <v>1.5</v>
      </c>
      <c r="U167" s="123">
        <f t="shared" si="48"/>
        <v>1.5</v>
      </c>
      <c r="V167" s="123">
        <f t="shared" si="48"/>
        <v>1.5</v>
      </c>
      <c r="W167" s="123">
        <f t="shared" si="48"/>
        <v>1.5</v>
      </c>
      <c r="X167" s="123">
        <f t="shared" si="48"/>
        <v>1.5</v>
      </c>
      <c r="Y167" s="123">
        <f t="shared" si="48"/>
        <v>1.5</v>
      </c>
      <c r="Z167" s="123">
        <f t="shared" si="48"/>
        <v>1.5</v>
      </c>
      <c r="AA167" s="123">
        <f t="shared" si="48"/>
        <v>1.5</v>
      </c>
      <c r="AB167" s="123">
        <f t="shared" si="48"/>
        <v>1.5</v>
      </c>
      <c r="AC167" s="123">
        <f t="shared" si="48"/>
        <v>1.5</v>
      </c>
      <c r="AD167" s="123">
        <f t="shared" si="48"/>
        <v>1.5</v>
      </c>
      <c r="AE167" s="123">
        <f t="shared" si="48"/>
        <v>1.5</v>
      </c>
      <c r="AF167" s="123">
        <f t="shared" si="48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6"/>
        <v>1</v>
      </c>
      <c r="C168" s="124">
        <v>1</v>
      </c>
      <c r="D168" s="123">
        <f t="shared" si="47"/>
        <v>1</v>
      </c>
      <c r="E168" s="123">
        <f t="shared" si="47"/>
        <v>1</v>
      </c>
      <c r="F168" s="123">
        <f t="shared" si="47"/>
        <v>1</v>
      </c>
      <c r="G168" s="123">
        <f t="shared" si="47"/>
        <v>1</v>
      </c>
      <c r="H168" s="123">
        <f t="shared" si="47"/>
        <v>1</v>
      </c>
      <c r="I168" s="123">
        <f t="shared" si="47"/>
        <v>1</v>
      </c>
      <c r="J168" s="123">
        <f t="shared" si="47"/>
        <v>1</v>
      </c>
      <c r="K168" s="123">
        <f t="shared" si="47"/>
        <v>1</v>
      </c>
      <c r="L168" s="123">
        <f t="shared" si="47"/>
        <v>1</v>
      </c>
      <c r="M168" s="123">
        <f t="shared" si="47"/>
        <v>1</v>
      </c>
      <c r="N168" s="123">
        <f t="shared" si="47"/>
        <v>1</v>
      </c>
      <c r="O168" s="123">
        <f t="shared" si="47"/>
        <v>1</v>
      </c>
      <c r="P168" s="123">
        <f t="shared" si="47"/>
        <v>1</v>
      </c>
      <c r="Q168" s="123">
        <f t="shared" si="47"/>
        <v>1</v>
      </c>
      <c r="R168" s="123">
        <f t="shared" si="47"/>
        <v>1</v>
      </c>
      <c r="S168" s="123">
        <f t="shared" si="48"/>
        <v>1</v>
      </c>
      <c r="T168" s="123">
        <f t="shared" si="48"/>
        <v>1</v>
      </c>
      <c r="U168" s="123">
        <f t="shared" si="48"/>
        <v>1</v>
      </c>
      <c r="V168" s="123">
        <f t="shared" si="48"/>
        <v>1</v>
      </c>
      <c r="W168" s="123">
        <f t="shared" si="48"/>
        <v>1</v>
      </c>
      <c r="X168" s="123">
        <f t="shared" si="48"/>
        <v>1</v>
      </c>
      <c r="Y168" s="123">
        <f t="shared" si="48"/>
        <v>1</v>
      </c>
      <c r="Z168" s="123">
        <f t="shared" si="48"/>
        <v>1</v>
      </c>
      <c r="AA168" s="123">
        <f t="shared" si="48"/>
        <v>1</v>
      </c>
      <c r="AB168" s="123">
        <f t="shared" si="48"/>
        <v>1</v>
      </c>
      <c r="AC168" s="123">
        <f t="shared" si="48"/>
        <v>1</v>
      </c>
      <c r="AD168" s="123">
        <f t="shared" si="48"/>
        <v>1</v>
      </c>
      <c r="AE168" s="123">
        <f t="shared" si="48"/>
        <v>1</v>
      </c>
      <c r="AF168" s="123">
        <f t="shared" si="48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49">AF170</f>
        <v>1</v>
      </c>
      <c r="C170" s="124">
        <v>1</v>
      </c>
      <c r="D170" s="123">
        <f t="shared" ref="D170:S177" si="50">C170</f>
        <v>1</v>
      </c>
      <c r="E170" s="123">
        <f t="shared" si="50"/>
        <v>1</v>
      </c>
      <c r="F170" s="123">
        <f t="shared" si="50"/>
        <v>1</v>
      </c>
      <c r="G170" s="123">
        <f t="shared" si="50"/>
        <v>1</v>
      </c>
      <c r="H170" s="123">
        <f t="shared" si="50"/>
        <v>1</v>
      </c>
      <c r="I170" s="123">
        <f t="shared" si="50"/>
        <v>1</v>
      </c>
      <c r="J170" s="123">
        <f t="shared" si="50"/>
        <v>1</v>
      </c>
      <c r="K170" s="123">
        <f t="shared" si="50"/>
        <v>1</v>
      </c>
      <c r="L170" s="123">
        <f t="shared" si="50"/>
        <v>1</v>
      </c>
      <c r="M170" s="123">
        <f t="shared" si="50"/>
        <v>1</v>
      </c>
      <c r="N170" s="123">
        <f t="shared" si="50"/>
        <v>1</v>
      </c>
      <c r="O170" s="123">
        <f t="shared" si="50"/>
        <v>1</v>
      </c>
      <c r="P170" s="123">
        <f t="shared" si="50"/>
        <v>1</v>
      </c>
      <c r="Q170" s="123">
        <f t="shared" si="50"/>
        <v>1</v>
      </c>
      <c r="R170" s="123">
        <f t="shared" si="50"/>
        <v>1</v>
      </c>
      <c r="S170" s="123">
        <f t="shared" si="50"/>
        <v>1</v>
      </c>
      <c r="T170" s="123">
        <f t="shared" ref="S170:AF177" si="51">S170</f>
        <v>1</v>
      </c>
      <c r="U170" s="123">
        <f t="shared" si="51"/>
        <v>1</v>
      </c>
      <c r="V170" s="123">
        <f t="shared" si="51"/>
        <v>1</v>
      </c>
      <c r="W170" s="123">
        <f t="shared" si="51"/>
        <v>1</v>
      </c>
      <c r="X170" s="123">
        <f t="shared" si="51"/>
        <v>1</v>
      </c>
      <c r="Y170" s="123">
        <f t="shared" si="51"/>
        <v>1</v>
      </c>
      <c r="Z170" s="123">
        <f t="shared" si="51"/>
        <v>1</v>
      </c>
      <c r="AA170" s="123">
        <f t="shared" si="51"/>
        <v>1</v>
      </c>
      <c r="AB170" s="123">
        <f t="shared" si="51"/>
        <v>1</v>
      </c>
      <c r="AC170" s="123">
        <f t="shared" si="51"/>
        <v>1</v>
      </c>
      <c r="AD170" s="123">
        <f t="shared" si="51"/>
        <v>1</v>
      </c>
      <c r="AE170" s="123">
        <f t="shared" si="51"/>
        <v>1</v>
      </c>
      <c r="AF170" s="123">
        <f t="shared" si="51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49"/>
        <v>0.42</v>
      </c>
      <c r="C171" s="124">
        <v>0.42</v>
      </c>
      <c r="D171" s="123">
        <f t="shared" si="50"/>
        <v>0.42</v>
      </c>
      <c r="E171" s="123">
        <f t="shared" si="50"/>
        <v>0.42</v>
      </c>
      <c r="F171" s="123">
        <f t="shared" si="50"/>
        <v>0.42</v>
      </c>
      <c r="G171" s="123">
        <f t="shared" si="50"/>
        <v>0.42</v>
      </c>
      <c r="H171" s="123">
        <f t="shared" si="50"/>
        <v>0.42</v>
      </c>
      <c r="I171" s="123">
        <f t="shared" si="50"/>
        <v>0.42</v>
      </c>
      <c r="J171" s="123">
        <f t="shared" si="50"/>
        <v>0.42</v>
      </c>
      <c r="K171" s="123">
        <f t="shared" si="50"/>
        <v>0.42</v>
      </c>
      <c r="L171" s="123">
        <f t="shared" si="50"/>
        <v>0.42</v>
      </c>
      <c r="M171" s="123">
        <f t="shared" si="50"/>
        <v>0.42</v>
      </c>
      <c r="N171" s="123">
        <f t="shared" si="50"/>
        <v>0.42</v>
      </c>
      <c r="O171" s="123">
        <f t="shared" si="50"/>
        <v>0.42</v>
      </c>
      <c r="P171" s="123">
        <f t="shared" si="50"/>
        <v>0.42</v>
      </c>
      <c r="Q171" s="123">
        <f t="shared" si="50"/>
        <v>0.42</v>
      </c>
      <c r="R171" s="123">
        <f t="shared" si="50"/>
        <v>0.42</v>
      </c>
      <c r="S171" s="123">
        <f t="shared" si="51"/>
        <v>0.42</v>
      </c>
      <c r="T171" s="123">
        <f t="shared" si="51"/>
        <v>0.42</v>
      </c>
      <c r="U171" s="123">
        <f t="shared" si="51"/>
        <v>0.42</v>
      </c>
      <c r="V171" s="123">
        <f t="shared" si="51"/>
        <v>0.42</v>
      </c>
      <c r="W171" s="123">
        <f t="shared" si="51"/>
        <v>0.42</v>
      </c>
      <c r="X171" s="123">
        <f t="shared" si="51"/>
        <v>0.42</v>
      </c>
      <c r="Y171" s="123">
        <f t="shared" si="51"/>
        <v>0.42</v>
      </c>
      <c r="Z171" s="123">
        <f t="shared" si="51"/>
        <v>0.42</v>
      </c>
      <c r="AA171" s="123">
        <f t="shared" si="51"/>
        <v>0.42</v>
      </c>
      <c r="AB171" s="123">
        <f t="shared" si="51"/>
        <v>0.42</v>
      </c>
      <c r="AC171" s="123">
        <f t="shared" si="51"/>
        <v>0.42</v>
      </c>
      <c r="AD171" s="123">
        <f t="shared" si="51"/>
        <v>0.42</v>
      </c>
      <c r="AE171" s="123">
        <f t="shared" si="51"/>
        <v>0.42</v>
      </c>
      <c r="AF171" s="123">
        <f t="shared" si="51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49"/>
        <v>0.46</v>
      </c>
      <c r="C172" s="124">
        <v>0.46</v>
      </c>
      <c r="D172" s="123">
        <f t="shared" si="50"/>
        <v>0.46</v>
      </c>
      <c r="E172" s="123">
        <f t="shared" si="50"/>
        <v>0.46</v>
      </c>
      <c r="F172" s="123">
        <f t="shared" si="50"/>
        <v>0.46</v>
      </c>
      <c r="G172" s="123">
        <f t="shared" si="50"/>
        <v>0.46</v>
      </c>
      <c r="H172" s="123">
        <f t="shared" si="50"/>
        <v>0.46</v>
      </c>
      <c r="I172" s="123">
        <f t="shared" si="50"/>
        <v>0.46</v>
      </c>
      <c r="J172" s="123">
        <f t="shared" si="50"/>
        <v>0.46</v>
      </c>
      <c r="K172" s="123">
        <f t="shared" si="50"/>
        <v>0.46</v>
      </c>
      <c r="L172" s="123">
        <f t="shared" si="50"/>
        <v>0.46</v>
      </c>
      <c r="M172" s="123">
        <f t="shared" si="50"/>
        <v>0.46</v>
      </c>
      <c r="N172" s="123">
        <f t="shared" si="50"/>
        <v>0.46</v>
      </c>
      <c r="O172" s="123">
        <f t="shared" si="50"/>
        <v>0.46</v>
      </c>
      <c r="P172" s="123">
        <f t="shared" si="50"/>
        <v>0.46</v>
      </c>
      <c r="Q172" s="123">
        <f t="shared" si="50"/>
        <v>0.46</v>
      </c>
      <c r="R172" s="123">
        <f t="shared" si="50"/>
        <v>0.46</v>
      </c>
      <c r="S172" s="123">
        <f t="shared" si="51"/>
        <v>0.46</v>
      </c>
      <c r="T172" s="123">
        <f t="shared" si="51"/>
        <v>0.46</v>
      </c>
      <c r="U172" s="123">
        <f t="shared" si="51"/>
        <v>0.46</v>
      </c>
      <c r="V172" s="123">
        <f t="shared" si="51"/>
        <v>0.46</v>
      </c>
      <c r="W172" s="123">
        <f t="shared" si="51"/>
        <v>0.46</v>
      </c>
      <c r="X172" s="123">
        <f t="shared" si="51"/>
        <v>0.46</v>
      </c>
      <c r="Y172" s="123">
        <f t="shared" si="51"/>
        <v>0.46</v>
      </c>
      <c r="Z172" s="123">
        <f t="shared" si="51"/>
        <v>0.46</v>
      </c>
      <c r="AA172" s="123">
        <f t="shared" si="51"/>
        <v>0.46</v>
      </c>
      <c r="AB172" s="123">
        <f t="shared" si="51"/>
        <v>0.46</v>
      </c>
      <c r="AC172" s="123">
        <f t="shared" si="51"/>
        <v>0.46</v>
      </c>
      <c r="AD172" s="123">
        <f t="shared" si="51"/>
        <v>0.46</v>
      </c>
      <c r="AE172" s="123">
        <f t="shared" si="51"/>
        <v>0.46</v>
      </c>
      <c r="AF172" s="123">
        <f t="shared" si="51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49"/>
        <v>0.85</v>
      </c>
      <c r="C173" s="124">
        <v>0.85</v>
      </c>
      <c r="D173" s="123">
        <f t="shared" si="50"/>
        <v>0.85</v>
      </c>
      <c r="E173" s="123">
        <f t="shared" si="50"/>
        <v>0.85</v>
      </c>
      <c r="F173" s="123">
        <f t="shared" si="50"/>
        <v>0.85</v>
      </c>
      <c r="G173" s="123">
        <f t="shared" si="50"/>
        <v>0.85</v>
      </c>
      <c r="H173" s="123">
        <f t="shared" si="50"/>
        <v>0.85</v>
      </c>
      <c r="I173" s="123">
        <f t="shared" si="50"/>
        <v>0.85</v>
      </c>
      <c r="J173" s="123">
        <f t="shared" si="50"/>
        <v>0.85</v>
      </c>
      <c r="K173" s="123">
        <f t="shared" si="50"/>
        <v>0.85</v>
      </c>
      <c r="L173" s="123">
        <f t="shared" si="50"/>
        <v>0.85</v>
      </c>
      <c r="M173" s="123">
        <f t="shared" si="50"/>
        <v>0.85</v>
      </c>
      <c r="N173" s="123">
        <f t="shared" si="50"/>
        <v>0.85</v>
      </c>
      <c r="O173" s="123">
        <f t="shared" si="50"/>
        <v>0.85</v>
      </c>
      <c r="P173" s="123">
        <f t="shared" si="50"/>
        <v>0.85</v>
      </c>
      <c r="Q173" s="123">
        <f t="shared" si="50"/>
        <v>0.85</v>
      </c>
      <c r="R173" s="123">
        <f t="shared" si="50"/>
        <v>0.85</v>
      </c>
      <c r="S173" s="123">
        <f t="shared" si="51"/>
        <v>0.85</v>
      </c>
      <c r="T173" s="123">
        <f t="shared" si="51"/>
        <v>0.85</v>
      </c>
      <c r="U173" s="123">
        <f t="shared" si="51"/>
        <v>0.85</v>
      </c>
      <c r="V173" s="123">
        <f t="shared" si="51"/>
        <v>0.85</v>
      </c>
      <c r="W173" s="123">
        <f t="shared" si="51"/>
        <v>0.85</v>
      </c>
      <c r="X173" s="123">
        <f t="shared" si="51"/>
        <v>0.85</v>
      </c>
      <c r="Y173" s="123">
        <f t="shared" si="51"/>
        <v>0.85</v>
      </c>
      <c r="Z173" s="123">
        <f t="shared" si="51"/>
        <v>0.85</v>
      </c>
      <c r="AA173" s="123">
        <f t="shared" si="51"/>
        <v>0.85</v>
      </c>
      <c r="AB173" s="123">
        <f t="shared" si="51"/>
        <v>0.85</v>
      </c>
      <c r="AC173" s="123">
        <f t="shared" si="51"/>
        <v>0.85</v>
      </c>
      <c r="AD173" s="123">
        <f t="shared" si="51"/>
        <v>0.85</v>
      </c>
      <c r="AE173" s="123">
        <f t="shared" si="51"/>
        <v>0.85</v>
      </c>
      <c r="AF173" s="123">
        <f t="shared" si="51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49"/>
        <v>0.9</v>
      </c>
      <c r="C174" s="124">
        <v>0.9</v>
      </c>
      <c r="D174" s="123">
        <f t="shared" si="50"/>
        <v>0.9</v>
      </c>
      <c r="E174" s="123">
        <f t="shared" si="50"/>
        <v>0.9</v>
      </c>
      <c r="F174" s="123">
        <f t="shared" si="50"/>
        <v>0.9</v>
      </c>
      <c r="G174" s="123">
        <f t="shared" si="50"/>
        <v>0.9</v>
      </c>
      <c r="H174" s="123">
        <f t="shared" si="50"/>
        <v>0.9</v>
      </c>
      <c r="I174" s="123">
        <f t="shared" si="50"/>
        <v>0.9</v>
      </c>
      <c r="J174" s="123">
        <f t="shared" si="50"/>
        <v>0.9</v>
      </c>
      <c r="K174" s="123">
        <f t="shared" si="50"/>
        <v>0.9</v>
      </c>
      <c r="L174" s="123">
        <f t="shared" si="50"/>
        <v>0.9</v>
      </c>
      <c r="M174" s="123">
        <f t="shared" si="50"/>
        <v>0.9</v>
      </c>
      <c r="N174" s="123">
        <f t="shared" si="50"/>
        <v>0.9</v>
      </c>
      <c r="O174" s="123">
        <f t="shared" si="50"/>
        <v>0.9</v>
      </c>
      <c r="P174" s="123">
        <f t="shared" si="50"/>
        <v>0.9</v>
      </c>
      <c r="Q174" s="123">
        <f t="shared" si="50"/>
        <v>0.9</v>
      </c>
      <c r="R174" s="123">
        <f t="shared" si="50"/>
        <v>0.9</v>
      </c>
      <c r="S174" s="123">
        <f t="shared" si="51"/>
        <v>0.9</v>
      </c>
      <c r="T174" s="123">
        <f t="shared" si="51"/>
        <v>0.9</v>
      </c>
      <c r="U174" s="123">
        <f t="shared" si="51"/>
        <v>0.9</v>
      </c>
      <c r="V174" s="123">
        <f t="shared" si="51"/>
        <v>0.9</v>
      </c>
      <c r="W174" s="123">
        <f t="shared" si="51"/>
        <v>0.9</v>
      </c>
      <c r="X174" s="123">
        <f t="shared" si="51"/>
        <v>0.9</v>
      </c>
      <c r="Y174" s="123">
        <f t="shared" si="51"/>
        <v>0.9</v>
      </c>
      <c r="Z174" s="123">
        <f t="shared" si="51"/>
        <v>0.9</v>
      </c>
      <c r="AA174" s="123">
        <f t="shared" si="51"/>
        <v>0.9</v>
      </c>
      <c r="AB174" s="123">
        <f t="shared" si="51"/>
        <v>0.9</v>
      </c>
      <c r="AC174" s="123">
        <f t="shared" si="51"/>
        <v>0.9</v>
      </c>
      <c r="AD174" s="123">
        <f t="shared" si="51"/>
        <v>0.9</v>
      </c>
      <c r="AE174" s="123">
        <f t="shared" si="51"/>
        <v>0.9</v>
      </c>
      <c r="AF174" s="123">
        <f t="shared" si="51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49"/>
        <v>0.44</v>
      </c>
      <c r="C175" s="124">
        <v>0.44</v>
      </c>
      <c r="D175" s="123">
        <f t="shared" si="50"/>
        <v>0.44</v>
      </c>
      <c r="E175" s="123">
        <f t="shared" si="50"/>
        <v>0.44</v>
      </c>
      <c r="F175" s="123">
        <f t="shared" si="50"/>
        <v>0.44</v>
      </c>
      <c r="G175" s="123">
        <f t="shared" si="50"/>
        <v>0.44</v>
      </c>
      <c r="H175" s="123">
        <f t="shared" si="50"/>
        <v>0.44</v>
      </c>
      <c r="I175" s="123">
        <f t="shared" si="50"/>
        <v>0.44</v>
      </c>
      <c r="J175" s="123">
        <f t="shared" si="50"/>
        <v>0.44</v>
      </c>
      <c r="K175" s="123">
        <f t="shared" si="50"/>
        <v>0.44</v>
      </c>
      <c r="L175" s="123">
        <f t="shared" si="50"/>
        <v>0.44</v>
      </c>
      <c r="M175" s="123">
        <f t="shared" si="50"/>
        <v>0.44</v>
      </c>
      <c r="N175" s="123">
        <f t="shared" si="50"/>
        <v>0.44</v>
      </c>
      <c r="O175" s="123">
        <f t="shared" si="50"/>
        <v>0.44</v>
      </c>
      <c r="P175" s="123">
        <f t="shared" si="50"/>
        <v>0.44</v>
      </c>
      <c r="Q175" s="123">
        <f t="shared" si="50"/>
        <v>0.44</v>
      </c>
      <c r="R175" s="123">
        <f t="shared" si="50"/>
        <v>0.44</v>
      </c>
      <c r="S175" s="123">
        <f t="shared" si="51"/>
        <v>0.44</v>
      </c>
      <c r="T175" s="123">
        <f t="shared" si="51"/>
        <v>0.44</v>
      </c>
      <c r="U175" s="123">
        <f t="shared" si="51"/>
        <v>0.44</v>
      </c>
      <c r="V175" s="123">
        <f t="shared" si="51"/>
        <v>0.44</v>
      </c>
      <c r="W175" s="123">
        <f t="shared" si="51"/>
        <v>0.44</v>
      </c>
      <c r="X175" s="123">
        <f t="shared" si="51"/>
        <v>0.44</v>
      </c>
      <c r="Y175" s="123">
        <f t="shared" si="51"/>
        <v>0.44</v>
      </c>
      <c r="Z175" s="123">
        <f t="shared" si="51"/>
        <v>0.44</v>
      </c>
      <c r="AA175" s="123">
        <f t="shared" si="51"/>
        <v>0.44</v>
      </c>
      <c r="AB175" s="123">
        <f t="shared" si="51"/>
        <v>0.44</v>
      </c>
      <c r="AC175" s="123">
        <f t="shared" si="51"/>
        <v>0.44</v>
      </c>
      <c r="AD175" s="123">
        <f t="shared" si="51"/>
        <v>0.44</v>
      </c>
      <c r="AE175" s="123">
        <f t="shared" si="51"/>
        <v>0.44</v>
      </c>
      <c r="AF175" s="123">
        <f t="shared" si="51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49"/>
        <v>2.1</v>
      </c>
      <c r="C176" s="124">
        <v>2.1</v>
      </c>
      <c r="D176" s="123">
        <f t="shared" si="50"/>
        <v>2.1</v>
      </c>
      <c r="E176" s="123">
        <f t="shared" si="50"/>
        <v>2.1</v>
      </c>
      <c r="F176" s="123">
        <f t="shared" si="50"/>
        <v>2.1</v>
      </c>
      <c r="G176" s="123">
        <f t="shared" si="50"/>
        <v>2.1</v>
      </c>
      <c r="H176" s="123">
        <f t="shared" si="50"/>
        <v>2.1</v>
      </c>
      <c r="I176" s="123">
        <f t="shared" si="50"/>
        <v>2.1</v>
      </c>
      <c r="J176" s="123">
        <f t="shared" si="50"/>
        <v>2.1</v>
      </c>
      <c r="K176" s="123">
        <f t="shared" si="50"/>
        <v>2.1</v>
      </c>
      <c r="L176" s="123">
        <f t="shared" si="50"/>
        <v>2.1</v>
      </c>
      <c r="M176" s="123">
        <f t="shared" si="50"/>
        <v>2.1</v>
      </c>
      <c r="N176" s="123">
        <f t="shared" si="50"/>
        <v>2.1</v>
      </c>
      <c r="O176" s="123">
        <f t="shared" si="50"/>
        <v>2.1</v>
      </c>
      <c r="P176" s="123">
        <f t="shared" si="50"/>
        <v>2.1</v>
      </c>
      <c r="Q176" s="123">
        <f t="shared" si="50"/>
        <v>2.1</v>
      </c>
      <c r="R176" s="123">
        <f t="shared" si="50"/>
        <v>2.1</v>
      </c>
      <c r="S176" s="123">
        <f t="shared" si="51"/>
        <v>2.1</v>
      </c>
      <c r="T176" s="123">
        <f t="shared" si="51"/>
        <v>2.1</v>
      </c>
      <c r="U176" s="123">
        <f t="shared" si="51"/>
        <v>2.1</v>
      </c>
      <c r="V176" s="123">
        <f t="shared" si="51"/>
        <v>2.1</v>
      </c>
      <c r="W176" s="123">
        <f t="shared" si="51"/>
        <v>2.1</v>
      </c>
      <c r="X176" s="123">
        <f t="shared" si="51"/>
        <v>2.1</v>
      </c>
      <c r="Y176" s="123">
        <f t="shared" si="51"/>
        <v>2.1</v>
      </c>
      <c r="Z176" s="123">
        <f t="shared" si="51"/>
        <v>2.1</v>
      </c>
      <c r="AA176" s="123">
        <f t="shared" si="51"/>
        <v>2.1</v>
      </c>
      <c r="AB176" s="123">
        <f t="shared" si="51"/>
        <v>2.1</v>
      </c>
      <c r="AC176" s="123">
        <f t="shared" si="51"/>
        <v>2.1</v>
      </c>
      <c r="AD176" s="123">
        <f t="shared" si="51"/>
        <v>2.1</v>
      </c>
      <c r="AE176" s="123">
        <f t="shared" si="51"/>
        <v>2.1</v>
      </c>
      <c r="AF176" s="123">
        <f t="shared" si="51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49"/>
        <v>0.9</v>
      </c>
      <c r="C177" s="124">
        <v>0.9</v>
      </c>
      <c r="D177" s="123">
        <f t="shared" si="50"/>
        <v>0.9</v>
      </c>
      <c r="E177" s="123">
        <f t="shared" si="50"/>
        <v>0.9</v>
      </c>
      <c r="F177" s="123">
        <f t="shared" si="50"/>
        <v>0.9</v>
      </c>
      <c r="G177" s="123">
        <f t="shared" si="50"/>
        <v>0.9</v>
      </c>
      <c r="H177" s="123">
        <f t="shared" si="50"/>
        <v>0.9</v>
      </c>
      <c r="I177" s="123">
        <f t="shared" si="50"/>
        <v>0.9</v>
      </c>
      <c r="J177" s="123">
        <f t="shared" si="50"/>
        <v>0.9</v>
      </c>
      <c r="K177" s="123">
        <f t="shared" si="50"/>
        <v>0.9</v>
      </c>
      <c r="L177" s="123">
        <f t="shared" si="50"/>
        <v>0.9</v>
      </c>
      <c r="M177" s="123">
        <f t="shared" si="50"/>
        <v>0.9</v>
      </c>
      <c r="N177" s="123">
        <f t="shared" si="50"/>
        <v>0.9</v>
      </c>
      <c r="O177" s="123">
        <f t="shared" si="50"/>
        <v>0.9</v>
      </c>
      <c r="P177" s="123">
        <f t="shared" si="50"/>
        <v>0.9</v>
      </c>
      <c r="Q177" s="123">
        <f t="shared" si="50"/>
        <v>0.9</v>
      </c>
      <c r="R177" s="123">
        <f t="shared" si="50"/>
        <v>0.9</v>
      </c>
      <c r="S177" s="123">
        <f t="shared" si="51"/>
        <v>0.9</v>
      </c>
      <c r="T177" s="123">
        <f t="shared" si="51"/>
        <v>0.9</v>
      </c>
      <c r="U177" s="123">
        <f t="shared" si="51"/>
        <v>0.9</v>
      </c>
      <c r="V177" s="123">
        <f t="shared" si="51"/>
        <v>0.9</v>
      </c>
      <c r="W177" s="123">
        <f t="shared" si="51"/>
        <v>0.9</v>
      </c>
      <c r="X177" s="123">
        <f t="shared" si="51"/>
        <v>0.9</v>
      </c>
      <c r="Y177" s="123">
        <f t="shared" si="51"/>
        <v>0.9</v>
      </c>
      <c r="Z177" s="123">
        <f t="shared" si="51"/>
        <v>0.9</v>
      </c>
      <c r="AA177" s="123">
        <f t="shared" si="51"/>
        <v>0.9</v>
      </c>
      <c r="AB177" s="123">
        <f t="shared" si="51"/>
        <v>0.9</v>
      </c>
      <c r="AC177" s="123">
        <f t="shared" si="51"/>
        <v>0.9</v>
      </c>
      <c r="AD177" s="123">
        <f t="shared" si="51"/>
        <v>0.9</v>
      </c>
      <c r="AE177" s="123">
        <f t="shared" si="51"/>
        <v>0.9</v>
      </c>
      <c r="AF177" s="123">
        <f t="shared" si="51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2">AF179</f>
        <v>0.57999999999999996</v>
      </c>
      <c r="C179" s="124">
        <v>0.57999999999999996</v>
      </c>
      <c r="D179" s="123">
        <f t="shared" ref="D179:S191" si="53">C179</f>
        <v>0.57999999999999996</v>
      </c>
      <c r="E179" s="123">
        <f t="shared" si="53"/>
        <v>0.57999999999999996</v>
      </c>
      <c r="F179" s="123">
        <f t="shared" si="53"/>
        <v>0.57999999999999996</v>
      </c>
      <c r="G179" s="123">
        <f t="shared" si="53"/>
        <v>0.57999999999999996</v>
      </c>
      <c r="H179" s="123">
        <f t="shared" si="53"/>
        <v>0.57999999999999996</v>
      </c>
      <c r="I179" s="123">
        <f t="shared" si="53"/>
        <v>0.57999999999999996</v>
      </c>
      <c r="J179" s="123">
        <f t="shared" si="53"/>
        <v>0.57999999999999996</v>
      </c>
      <c r="K179" s="123">
        <f t="shared" si="53"/>
        <v>0.57999999999999996</v>
      </c>
      <c r="L179" s="123">
        <f t="shared" si="53"/>
        <v>0.57999999999999996</v>
      </c>
      <c r="M179" s="123">
        <f t="shared" si="53"/>
        <v>0.57999999999999996</v>
      </c>
      <c r="N179" s="123">
        <f t="shared" si="53"/>
        <v>0.57999999999999996</v>
      </c>
      <c r="O179" s="123">
        <f t="shared" si="53"/>
        <v>0.57999999999999996</v>
      </c>
      <c r="P179" s="123">
        <f t="shared" si="53"/>
        <v>0.57999999999999996</v>
      </c>
      <c r="Q179" s="123">
        <f t="shared" si="53"/>
        <v>0.57999999999999996</v>
      </c>
      <c r="R179" s="123">
        <f t="shared" si="53"/>
        <v>0.57999999999999996</v>
      </c>
      <c r="S179" s="123">
        <f t="shared" si="53"/>
        <v>0.57999999999999996</v>
      </c>
      <c r="T179" s="123">
        <f t="shared" ref="S179:AF191" si="54">S179</f>
        <v>0.57999999999999996</v>
      </c>
      <c r="U179" s="123">
        <f t="shared" si="54"/>
        <v>0.57999999999999996</v>
      </c>
      <c r="V179" s="123">
        <f t="shared" si="54"/>
        <v>0.57999999999999996</v>
      </c>
      <c r="W179" s="123">
        <f t="shared" si="54"/>
        <v>0.57999999999999996</v>
      </c>
      <c r="X179" s="123">
        <f t="shared" si="54"/>
        <v>0.57999999999999996</v>
      </c>
      <c r="Y179" s="123">
        <f t="shared" si="54"/>
        <v>0.57999999999999996</v>
      </c>
      <c r="Z179" s="123">
        <f t="shared" si="54"/>
        <v>0.57999999999999996</v>
      </c>
      <c r="AA179" s="123">
        <f t="shared" si="54"/>
        <v>0.57999999999999996</v>
      </c>
      <c r="AB179" s="123">
        <f t="shared" si="54"/>
        <v>0.57999999999999996</v>
      </c>
      <c r="AC179" s="123">
        <f t="shared" si="54"/>
        <v>0.57999999999999996</v>
      </c>
      <c r="AD179" s="123">
        <f t="shared" si="54"/>
        <v>0.57999999999999996</v>
      </c>
      <c r="AE179" s="123">
        <f t="shared" si="54"/>
        <v>0.57999999999999996</v>
      </c>
      <c r="AF179" s="123">
        <f t="shared" si="54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2"/>
        <v>0.8</v>
      </c>
      <c r="C180" s="124">
        <v>0.8</v>
      </c>
      <c r="D180" s="123">
        <f t="shared" si="53"/>
        <v>0.8</v>
      </c>
      <c r="E180" s="123">
        <f t="shared" si="53"/>
        <v>0.8</v>
      </c>
      <c r="F180" s="123">
        <f t="shared" si="53"/>
        <v>0.8</v>
      </c>
      <c r="G180" s="123">
        <f t="shared" si="53"/>
        <v>0.8</v>
      </c>
      <c r="H180" s="123">
        <f t="shared" si="53"/>
        <v>0.8</v>
      </c>
      <c r="I180" s="123">
        <f t="shared" si="53"/>
        <v>0.8</v>
      </c>
      <c r="J180" s="123">
        <f t="shared" si="53"/>
        <v>0.8</v>
      </c>
      <c r="K180" s="123">
        <f t="shared" si="53"/>
        <v>0.8</v>
      </c>
      <c r="L180" s="123">
        <f t="shared" si="53"/>
        <v>0.8</v>
      </c>
      <c r="M180" s="123">
        <f t="shared" si="53"/>
        <v>0.8</v>
      </c>
      <c r="N180" s="123">
        <f t="shared" si="53"/>
        <v>0.8</v>
      </c>
      <c r="O180" s="123">
        <f t="shared" si="53"/>
        <v>0.8</v>
      </c>
      <c r="P180" s="123">
        <f t="shared" si="53"/>
        <v>0.8</v>
      </c>
      <c r="Q180" s="123">
        <f t="shared" si="53"/>
        <v>0.8</v>
      </c>
      <c r="R180" s="123">
        <f t="shared" si="53"/>
        <v>0.8</v>
      </c>
      <c r="S180" s="123">
        <f t="shared" si="53"/>
        <v>0.8</v>
      </c>
      <c r="T180" s="123">
        <f t="shared" si="54"/>
        <v>0.8</v>
      </c>
      <c r="U180" s="123">
        <f t="shared" si="54"/>
        <v>0.8</v>
      </c>
      <c r="V180" s="123">
        <f t="shared" si="54"/>
        <v>0.8</v>
      </c>
      <c r="W180" s="123">
        <f t="shared" si="54"/>
        <v>0.8</v>
      </c>
      <c r="X180" s="123">
        <f t="shared" si="54"/>
        <v>0.8</v>
      </c>
      <c r="Y180" s="123">
        <f t="shared" si="54"/>
        <v>0.8</v>
      </c>
      <c r="Z180" s="123">
        <f t="shared" si="54"/>
        <v>0.8</v>
      </c>
      <c r="AA180" s="123">
        <f t="shared" si="54"/>
        <v>0.8</v>
      </c>
      <c r="AB180" s="123">
        <f t="shared" si="54"/>
        <v>0.8</v>
      </c>
      <c r="AC180" s="123">
        <f t="shared" si="54"/>
        <v>0.8</v>
      </c>
      <c r="AD180" s="123">
        <f t="shared" si="54"/>
        <v>0.8</v>
      </c>
      <c r="AE180" s="123">
        <f t="shared" si="54"/>
        <v>0.8</v>
      </c>
      <c r="AF180" s="123">
        <f t="shared" si="54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2"/>
        <v>0</v>
      </c>
      <c r="C181" s="124">
        <v>0</v>
      </c>
      <c r="D181" s="123">
        <f t="shared" si="53"/>
        <v>0</v>
      </c>
      <c r="E181" s="123">
        <f t="shared" si="53"/>
        <v>0</v>
      </c>
      <c r="F181" s="123">
        <f t="shared" si="53"/>
        <v>0</v>
      </c>
      <c r="G181" s="123">
        <f t="shared" si="53"/>
        <v>0</v>
      </c>
      <c r="H181" s="123">
        <f t="shared" si="53"/>
        <v>0</v>
      </c>
      <c r="I181" s="123">
        <f t="shared" si="53"/>
        <v>0</v>
      </c>
      <c r="J181" s="123">
        <f t="shared" si="53"/>
        <v>0</v>
      </c>
      <c r="K181" s="123">
        <f t="shared" si="53"/>
        <v>0</v>
      </c>
      <c r="L181" s="123">
        <f t="shared" si="53"/>
        <v>0</v>
      </c>
      <c r="M181" s="123">
        <f t="shared" si="53"/>
        <v>0</v>
      </c>
      <c r="N181" s="123">
        <f t="shared" si="53"/>
        <v>0</v>
      </c>
      <c r="O181" s="123">
        <f t="shared" si="53"/>
        <v>0</v>
      </c>
      <c r="P181" s="123">
        <f t="shared" si="53"/>
        <v>0</v>
      </c>
      <c r="Q181" s="123">
        <f t="shared" si="53"/>
        <v>0</v>
      </c>
      <c r="R181" s="123">
        <f t="shared" si="53"/>
        <v>0</v>
      </c>
      <c r="S181" s="123">
        <f t="shared" si="53"/>
        <v>0</v>
      </c>
      <c r="T181" s="123">
        <f t="shared" si="54"/>
        <v>0</v>
      </c>
      <c r="U181" s="123">
        <f t="shared" si="54"/>
        <v>0</v>
      </c>
      <c r="V181" s="123">
        <f t="shared" si="54"/>
        <v>0</v>
      </c>
      <c r="W181" s="123">
        <f t="shared" si="54"/>
        <v>0</v>
      </c>
      <c r="X181" s="123">
        <f t="shared" si="54"/>
        <v>0</v>
      </c>
      <c r="Y181" s="123">
        <f t="shared" si="54"/>
        <v>0</v>
      </c>
      <c r="Z181" s="123">
        <f t="shared" si="54"/>
        <v>0</v>
      </c>
      <c r="AA181" s="123">
        <f t="shared" si="54"/>
        <v>0</v>
      </c>
      <c r="AB181" s="123">
        <f t="shared" si="54"/>
        <v>0</v>
      </c>
      <c r="AC181" s="123">
        <f t="shared" si="54"/>
        <v>0</v>
      </c>
      <c r="AD181" s="123">
        <f t="shared" si="54"/>
        <v>0</v>
      </c>
      <c r="AE181" s="123">
        <f t="shared" si="54"/>
        <v>0</v>
      </c>
      <c r="AF181" s="123">
        <f t="shared" si="54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2"/>
        <v>0.6</v>
      </c>
      <c r="C182" s="124">
        <v>0.6</v>
      </c>
      <c r="D182" s="123">
        <f t="shared" si="53"/>
        <v>0.6</v>
      </c>
      <c r="E182" s="123">
        <f t="shared" si="53"/>
        <v>0.6</v>
      </c>
      <c r="F182" s="123">
        <f t="shared" si="53"/>
        <v>0.6</v>
      </c>
      <c r="G182" s="123">
        <f t="shared" si="53"/>
        <v>0.6</v>
      </c>
      <c r="H182" s="123">
        <f t="shared" si="53"/>
        <v>0.6</v>
      </c>
      <c r="I182" s="123">
        <f t="shared" si="53"/>
        <v>0.6</v>
      </c>
      <c r="J182" s="123">
        <f t="shared" si="53"/>
        <v>0.6</v>
      </c>
      <c r="K182" s="123">
        <f t="shared" si="53"/>
        <v>0.6</v>
      </c>
      <c r="L182" s="123">
        <f t="shared" si="53"/>
        <v>0.6</v>
      </c>
      <c r="M182" s="123">
        <f t="shared" si="53"/>
        <v>0.6</v>
      </c>
      <c r="N182" s="123">
        <f t="shared" si="53"/>
        <v>0.6</v>
      </c>
      <c r="O182" s="123">
        <f t="shared" si="53"/>
        <v>0.6</v>
      </c>
      <c r="P182" s="123">
        <f t="shared" si="53"/>
        <v>0.6</v>
      </c>
      <c r="Q182" s="123">
        <f t="shared" si="53"/>
        <v>0.6</v>
      </c>
      <c r="R182" s="123">
        <f t="shared" si="53"/>
        <v>0.6</v>
      </c>
      <c r="S182" s="123">
        <f t="shared" si="53"/>
        <v>0.6</v>
      </c>
      <c r="T182" s="123">
        <f t="shared" si="54"/>
        <v>0.6</v>
      </c>
      <c r="U182" s="123">
        <f t="shared" si="54"/>
        <v>0.6</v>
      </c>
      <c r="V182" s="123">
        <f t="shared" si="54"/>
        <v>0.6</v>
      </c>
      <c r="W182" s="123">
        <f t="shared" si="54"/>
        <v>0.6</v>
      </c>
      <c r="X182" s="123">
        <f t="shared" si="54"/>
        <v>0.6</v>
      </c>
      <c r="Y182" s="123">
        <f t="shared" si="54"/>
        <v>0.6</v>
      </c>
      <c r="Z182" s="123">
        <f t="shared" si="54"/>
        <v>0.6</v>
      </c>
      <c r="AA182" s="123">
        <f t="shared" si="54"/>
        <v>0.6</v>
      </c>
      <c r="AB182" s="123">
        <f t="shared" si="54"/>
        <v>0.6</v>
      </c>
      <c r="AC182" s="123">
        <f t="shared" si="54"/>
        <v>0.6</v>
      </c>
      <c r="AD182" s="123">
        <f t="shared" si="54"/>
        <v>0.6</v>
      </c>
      <c r="AE182" s="123">
        <f t="shared" si="54"/>
        <v>0.6</v>
      </c>
      <c r="AF182" s="123">
        <f t="shared" si="54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2"/>
        <v>0.35</v>
      </c>
      <c r="C184" s="124">
        <v>0.35</v>
      </c>
      <c r="D184" s="123">
        <f t="shared" si="53"/>
        <v>0.35</v>
      </c>
      <c r="E184" s="123">
        <f t="shared" si="53"/>
        <v>0.35</v>
      </c>
      <c r="F184" s="123">
        <f t="shared" si="53"/>
        <v>0.35</v>
      </c>
      <c r="G184" s="123">
        <f t="shared" si="53"/>
        <v>0.35</v>
      </c>
      <c r="H184" s="123">
        <f t="shared" si="53"/>
        <v>0.35</v>
      </c>
      <c r="I184" s="123">
        <f t="shared" si="53"/>
        <v>0.35</v>
      </c>
      <c r="J184" s="123">
        <f t="shared" si="53"/>
        <v>0.35</v>
      </c>
      <c r="K184" s="123">
        <f t="shared" si="53"/>
        <v>0.35</v>
      </c>
      <c r="L184" s="123">
        <f t="shared" si="53"/>
        <v>0.35</v>
      </c>
      <c r="M184" s="123">
        <f t="shared" si="53"/>
        <v>0.35</v>
      </c>
      <c r="N184" s="123">
        <f t="shared" si="53"/>
        <v>0.35</v>
      </c>
      <c r="O184" s="123">
        <f t="shared" si="53"/>
        <v>0.35</v>
      </c>
      <c r="P184" s="123">
        <f t="shared" si="53"/>
        <v>0.35</v>
      </c>
      <c r="Q184" s="123">
        <f t="shared" si="53"/>
        <v>0.35</v>
      </c>
      <c r="R184" s="123">
        <f t="shared" si="53"/>
        <v>0.35</v>
      </c>
      <c r="S184" s="123">
        <f t="shared" si="53"/>
        <v>0.35</v>
      </c>
      <c r="T184" s="123">
        <f t="shared" si="54"/>
        <v>0.35</v>
      </c>
      <c r="U184" s="123">
        <f t="shared" si="54"/>
        <v>0.35</v>
      </c>
      <c r="V184" s="123">
        <f t="shared" si="54"/>
        <v>0.35</v>
      </c>
      <c r="W184" s="123">
        <f t="shared" si="54"/>
        <v>0.35</v>
      </c>
      <c r="X184" s="123">
        <f t="shared" si="54"/>
        <v>0.35</v>
      </c>
      <c r="Y184" s="123">
        <f t="shared" si="54"/>
        <v>0.35</v>
      </c>
      <c r="Z184" s="123">
        <f t="shared" si="54"/>
        <v>0.35</v>
      </c>
      <c r="AA184" s="123">
        <f t="shared" si="54"/>
        <v>0.35</v>
      </c>
      <c r="AB184" s="123">
        <f t="shared" si="54"/>
        <v>0.35</v>
      </c>
      <c r="AC184" s="123">
        <f t="shared" si="54"/>
        <v>0.35</v>
      </c>
      <c r="AD184" s="123">
        <f t="shared" si="54"/>
        <v>0.35</v>
      </c>
      <c r="AE184" s="123">
        <f t="shared" si="54"/>
        <v>0.35</v>
      </c>
      <c r="AF184" s="123">
        <f t="shared" si="54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2"/>
        <v>0.28999999999999998</v>
      </c>
      <c r="C185" s="124">
        <v>0.28999999999999998</v>
      </c>
      <c r="D185" s="123">
        <f t="shared" si="53"/>
        <v>0.28999999999999998</v>
      </c>
      <c r="E185" s="123">
        <f t="shared" si="53"/>
        <v>0.28999999999999998</v>
      </c>
      <c r="F185" s="123">
        <f t="shared" si="53"/>
        <v>0.28999999999999998</v>
      </c>
      <c r="G185" s="123">
        <f t="shared" si="53"/>
        <v>0.28999999999999998</v>
      </c>
      <c r="H185" s="123">
        <f t="shared" si="53"/>
        <v>0.28999999999999998</v>
      </c>
      <c r="I185" s="123">
        <f t="shared" si="53"/>
        <v>0.28999999999999998</v>
      </c>
      <c r="J185" s="123">
        <f t="shared" si="53"/>
        <v>0.28999999999999998</v>
      </c>
      <c r="K185" s="123">
        <f t="shared" si="53"/>
        <v>0.28999999999999998</v>
      </c>
      <c r="L185" s="123">
        <f t="shared" si="53"/>
        <v>0.28999999999999998</v>
      </c>
      <c r="M185" s="123">
        <f t="shared" si="53"/>
        <v>0.28999999999999998</v>
      </c>
      <c r="N185" s="123">
        <f t="shared" si="53"/>
        <v>0.28999999999999998</v>
      </c>
      <c r="O185" s="123">
        <f t="shared" si="53"/>
        <v>0.28999999999999998</v>
      </c>
      <c r="P185" s="123">
        <f t="shared" si="53"/>
        <v>0.28999999999999998</v>
      </c>
      <c r="Q185" s="123">
        <f t="shared" si="53"/>
        <v>0.28999999999999998</v>
      </c>
      <c r="R185" s="123">
        <f t="shared" si="53"/>
        <v>0.28999999999999998</v>
      </c>
      <c r="S185" s="123">
        <f t="shared" si="53"/>
        <v>0.28999999999999998</v>
      </c>
      <c r="T185" s="123">
        <f t="shared" si="54"/>
        <v>0.28999999999999998</v>
      </c>
      <c r="U185" s="123">
        <f t="shared" si="54"/>
        <v>0.28999999999999998</v>
      </c>
      <c r="V185" s="123">
        <f t="shared" si="54"/>
        <v>0.28999999999999998</v>
      </c>
      <c r="W185" s="123">
        <f t="shared" si="54"/>
        <v>0.28999999999999998</v>
      </c>
      <c r="X185" s="123">
        <f t="shared" si="54"/>
        <v>0.28999999999999998</v>
      </c>
      <c r="Y185" s="123">
        <f t="shared" si="54"/>
        <v>0.28999999999999998</v>
      </c>
      <c r="Z185" s="123">
        <f t="shared" si="54"/>
        <v>0.28999999999999998</v>
      </c>
      <c r="AA185" s="123">
        <f t="shared" si="54"/>
        <v>0.28999999999999998</v>
      </c>
      <c r="AB185" s="123">
        <f t="shared" si="54"/>
        <v>0.28999999999999998</v>
      </c>
      <c r="AC185" s="123">
        <f t="shared" si="54"/>
        <v>0.28999999999999998</v>
      </c>
      <c r="AD185" s="123">
        <f t="shared" si="54"/>
        <v>0.28999999999999998</v>
      </c>
      <c r="AE185" s="123">
        <f t="shared" si="54"/>
        <v>0.28999999999999998</v>
      </c>
      <c r="AF185" s="123">
        <f t="shared" si="54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2"/>
        <v>0.06</v>
      </c>
      <c r="C186" s="124">
        <v>0.06</v>
      </c>
      <c r="D186" s="123">
        <f t="shared" si="53"/>
        <v>0.06</v>
      </c>
      <c r="E186" s="123">
        <f t="shared" si="53"/>
        <v>0.06</v>
      </c>
      <c r="F186" s="123">
        <f t="shared" si="53"/>
        <v>0.06</v>
      </c>
      <c r="G186" s="123">
        <f t="shared" si="53"/>
        <v>0.06</v>
      </c>
      <c r="H186" s="123">
        <f t="shared" si="53"/>
        <v>0.06</v>
      </c>
      <c r="I186" s="123">
        <f t="shared" si="53"/>
        <v>0.06</v>
      </c>
      <c r="J186" s="123">
        <f t="shared" si="53"/>
        <v>0.06</v>
      </c>
      <c r="K186" s="123">
        <f t="shared" si="53"/>
        <v>0.06</v>
      </c>
      <c r="L186" s="123">
        <f t="shared" si="53"/>
        <v>0.06</v>
      </c>
      <c r="M186" s="123">
        <f t="shared" si="53"/>
        <v>0.06</v>
      </c>
      <c r="N186" s="123">
        <f t="shared" si="53"/>
        <v>0.06</v>
      </c>
      <c r="O186" s="123">
        <f t="shared" si="53"/>
        <v>0.06</v>
      </c>
      <c r="P186" s="123">
        <f t="shared" si="53"/>
        <v>0.06</v>
      </c>
      <c r="Q186" s="123">
        <f t="shared" si="53"/>
        <v>0.06</v>
      </c>
      <c r="R186" s="123">
        <f t="shared" si="53"/>
        <v>0.06</v>
      </c>
      <c r="S186" s="123">
        <f t="shared" si="53"/>
        <v>0.06</v>
      </c>
      <c r="T186" s="123">
        <f t="shared" si="54"/>
        <v>0.06</v>
      </c>
      <c r="U186" s="123">
        <f t="shared" si="54"/>
        <v>0.06</v>
      </c>
      <c r="V186" s="123">
        <f t="shared" si="54"/>
        <v>0.06</v>
      </c>
      <c r="W186" s="123">
        <f t="shared" si="54"/>
        <v>0.06</v>
      </c>
      <c r="X186" s="123">
        <f t="shared" si="54"/>
        <v>0.06</v>
      </c>
      <c r="Y186" s="123">
        <f t="shared" si="54"/>
        <v>0.06</v>
      </c>
      <c r="Z186" s="123">
        <f t="shared" si="54"/>
        <v>0.06</v>
      </c>
      <c r="AA186" s="123">
        <f t="shared" si="54"/>
        <v>0.06</v>
      </c>
      <c r="AB186" s="123">
        <f t="shared" si="54"/>
        <v>0.06</v>
      </c>
      <c r="AC186" s="123">
        <f t="shared" si="54"/>
        <v>0.06</v>
      </c>
      <c r="AD186" s="123">
        <f t="shared" si="54"/>
        <v>0.06</v>
      </c>
      <c r="AE186" s="123">
        <f t="shared" si="54"/>
        <v>0.06</v>
      </c>
      <c r="AF186" s="123">
        <f t="shared" si="54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2"/>
        <v>0.11</v>
      </c>
      <c r="C187" s="124">
        <v>0.11</v>
      </c>
      <c r="D187" s="123">
        <f t="shared" si="53"/>
        <v>0.11</v>
      </c>
      <c r="E187" s="123">
        <f t="shared" si="53"/>
        <v>0.11</v>
      </c>
      <c r="F187" s="123">
        <f t="shared" si="53"/>
        <v>0.11</v>
      </c>
      <c r="G187" s="123">
        <f t="shared" si="53"/>
        <v>0.11</v>
      </c>
      <c r="H187" s="123">
        <f t="shared" si="53"/>
        <v>0.11</v>
      </c>
      <c r="I187" s="123">
        <f t="shared" si="53"/>
        <v>0.11</v>
      </c>
      <c r="J187" s="123">
        <f t="shared" si="53"/>
        <v>0.11</v>
      </c>
      <c r="K187" s="123">
        <f t="shared" si="53"/>
        <v>0.11</v>
      </c>
      <c r="L187" s="123">
        <f t="shared" si="53"/>
        <v>0.11</v>
      </c>
      <c r="M187" s="123">
        <f t="shared" si="53"/>
        <v>0.11</v>
      </c>
      <c r="N187" s="123">
        <f t="shared" si="53"/>
        <v>0.11</v>
      </c>
      <c r="O187" s="123">
        <f t="shared" si="53"/>
        <v>0.11</v>
      </c>
      <c r="P187" s="123">
        <f t="shared" si="53"/>
        <v>0.11</v>
      </c>
      <c r="Q187" s="123">
        <f t="shared" si="53"/>
        <v>0.11</v>
      </c>
      <c r="R187" s="123">
        <f t="shared" si="53"/>
        <v>0.11</v>
      </c>
      <c r="S187" s="123">
        <f t="shared" si="53"/>
        <v>0.11</v>
      </c>
      <c r="T187" s="123">
        <f t="shared" si="54"/>
        <v>0.11</v>
      </c>
      <c r="U187" s="123">
        <f t="shared" si="54"/>
        <v>0.11</v>
      </c>
      <c r="V187" s="123">
        <f t="shared" si="54"/>
        <v>0.11</v>
      </c>
      <c r="W187" s="123">
        <f t="shared" si="54"/>
        <v>0.11</v>
      </c>
      <c r="X187" s="123">
        <f t="shared" si="54"/>
        <v>0.11</v>
      </c>
      <c r="Y187" s="123">
        <f t="shared" si="54"/>
        <v>0.11</v>
      </c>
      <c r="Z187" s="123">
        <f t="shared" si="54"/>
        <v>0.11</v>
      </c>
      <c r="AA187" s="123">
        <f t="shared" si="54"/>
        <v>0.11</v>
      </c>
      <c r="AB187" s="123">
        <f t="shared" si="54"/>
        <v>0.11</v>
      </c>
      <c r="AC187" s="123">
        <f t="shared" si="54"/>
        <v>0.11</v>
      </c>
      <c r="AD187" s="123">
        <f t="shared" si="54"/>
        <v>0.11</v>
      </c>
      <c r="AE187" s="123">
        <f t="shared" si="54"/>
        <v>0.11</v>
      </c>
      <c r="AF187" s="123">
        <f t="shared" si="54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2"/>
        <v>0.1</v>
      </c>
      <c r="C188" s="124">
        <v>0.1</v>
      </c>
      <c r="D188" s="123">
        <f t="shared" si="53"/>
        <v>0.1</v>
      </c>
      <c r="E188" s="123">
        <f t="shared" si="53"/>
        <v>0.1</v>
      </c>
      <c r="F188" s="123">
        <f t="shared" si="53"/>
        <v>0.1</v>
      </c>
      <c r="G188" s="123">
        <f t="shared" si="53"/>
        <v>0.1</v>
      </c>
      <c r="H188" s="123">
        <f t="shared" si="53"/>
        <v>0.1</v>
      </c>
      <c r="I188" s="123">
        <f t="shared" si="53"/>
        <v>0.1</v>
      </c>
      <c r="J188" s="123">
        <f t="shared" si="53"/>
        <v>0.1</v>
      </c>
      <c r="K188" s="123">
        <f t="shared" si="53"/>
        <v>0.1</v>
      </c>
      <c r="L188" s="123">
        <f t="shared" si="53"/>
        <v>0.1</v>
      </c>
      <c r="M188" s="123">
        <f t="shared" si="53"/>
        <v>0.1</v>
      </c>
      <c r="N188" s="123">
        <f t="shared" si="53"/>
        <v>0.1</v>
      </c>
      <c r="O188" s="123">
        <f t="shared" si="53"/>
        <v>0.1</v>
      </c>
      <c r="P188" s="123">
        <f t="shared" si="53"/>
        <v>0.1</v>
      </c>
      <c r="Q188" s="123">
        <f t="shared" si="53"/>
        <v>0.1</v>
      </c>
      <c r="R188" s="123">
        <f t="shared" si="53"/>
        <v>0.1</v>
      </c>
      <c r="S188" s="123">
        <f t="shared" si="54"/>
        <v>0.1</v>
      </c>
      <c r="T188" s="123">
        <f t="shared" si="54"/>
        <v>0.1</v>
      </c>
      <c r="U188" s="123">
        <f t="shared" si="54"/>
        <v>0.1</v>
      </c>
      <c r="V188" s="123">
        <f t="shared" si="54"/>
        <v>0.1</v>
      </c>
      <c r="W188" s="123">
        <f t="shared" si="54"/>
        <v>0.1</v>
      </c>
      <c r="X188" s="123">
        <f t="shared" si="54"/>
        <v>0.1</v>
      </c>
      <c r="Y188" s="123">
        <f t="shared" si="54"/>
        <v>0.1</v>
      </c>
      <c r="Z188" s="123">
        <f t="shared" si="54"/>
        <v>0.1</v>
      </c>
      <c r="AA188" s="123">
        <f t="shared" si="54"/>
        <v>0.1</v>
      </c>
      <c r="AB188" s="123">
        <f t="shared" si="54"/>
        <v>0.1</v>
      </c>
      <c r="AC188" s="123">
        <f t="shared" si="54"/>
        <v>0.1</v>
      </c>
      <c r="AD188" s="123">
        <f t="shared" si="54"/>
        <v>0.1</v>
      </c>
      <c r="AE188" s="123">
        <f t="shared" si="54"/>
        <v>0.1</v>
      </c>
      <c r="AF188" s="123">
        <f t="shared" si="54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2"/>
        <v>0.09</v>
      </c>
      <c r="C189" s="124">
        <v>0.09</v>
      </c>
      <c r="D189" s="123">
        <f t="shared" si="53"/>
        <v>0.09</v>
      </c>
      <c r="E189" s="123">
        <f t="shared" si="53"/>
        <v>0.09</v>
      </c>
      <c r="F189" s="123">
        <f t="shared" si="53"/>
        <v>0.09</v>
      </c>
      <c r="G189" s="123">
        <f t="shared" si="53"/>
        <v>0.09</v>
      </c>
      <c r="H189" s="123">
        <f t="shared" si="53"/>
        <v>0.09</v>
      </c>
      <c r="I189" s="123">
        <f t="shared" si="53"/>
        <v>0.09</v>
      </c>
      <c r="J189" s="123">
        <f t="shared" si="53"/>
        <v>0.09</v>
      </c>
      <c r="K189" s="123">
        <f t="shared" si="53"/>
        <v>0.09</v>
      </c>
      <c r="L189" s="123">
        <f t="shared" si="53"/>
        <v>0.09</v>
      </c>
      <c r="M189" s="123">
        <f t="shared" si="53"/>
        <v>0.09</v>
      </c>
      <c r="N189" s="123">
        <f t="shared" si="53"/>
        <v>0.09</v>
      </c>
      <c r="O189" s="123">
        <f t="shared" si="53"/>
        <v>0.09</v>
      </c>
      <c r="P189" s="123">
        <f t="shared" si="53"/>
        <v>0.09</v>
      </c>
      <c r="Q189" s="123">
        <f t="shared" si="53"/>
        <v>0.09</v>
      </c>
      <c r="R189" s="123">
        <f t="shared" si="53"/>
        <v>0.09</v>
      </c>
      <c r="S189" s="123">
        <f t="shared" si="54"/>
        <v>0.09</v>
      </c>
      <c r="T189" s="123">
        <f t="shared" si="54"/>
        <v>0.09</v>
      </c>
      <c r="U189" s="123">
        <f t="shared" si="54"/>
        <v>0.09</v>
      </c>
      <c r="V189" s="123">
        <f t="shared" si="54"/>
        <v>0.09</v>
      </c>
      <c r="W189" s="123">
        <f t="shared" si="54"/>
        <v>0.09</v>
      </c>
      <c r="X189" s="123">
        <f t="shared" si="54"/>
        <v>0.09</v>
      </c>
      <c r="Y189" s="123">
        <f t="shared" si="54"/>
        <v>0.09</v>
      </c>
      <c r="Z189" s="123">
        <f t="shared" si="54"/>
        <v>0.09</v>
      </c>
      <c r="AA189" s="123">
        <f t="shared" si="54"/>
        <v>0.09</v>
      </c>
      <c r="AB189" s="123">
        <f t="shared" si="54"/>
        <v>0.09</v>
      </c>
      <c r="AC189" s="123">
        <f t="shared" si="54"/>
        <v>0.09</v>
      </c>
      <c r="AD189" s="123">
        <f t="shared" si="54"/>
        <v>0.09</v>
      </c>
      <c r="AE189" s="123">
        <f t="shared" si="54"/>
        <v>0.09</v>
      </c>
      <c r="AF189" s="123">
        <f t="shared" si="54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2"/>
        <v>0.04</v>
      </c>
      <c r="C190" s="54">
        <v>0.04</v>
      </c>
      <c r="D190" s="123">
        <f t="shared" si="53"/>
        <v>0.04</v>
      </c>
      <c r="E190" s="123">
        <f t="shared" si="53"/>
        <v>0.04</v>
      </c>
      <c r="F190" s="123">
        <f t="shared" si="53"/>
        <v>0.04</v>
      </c>
      <c r="G190" s="123">
        <f t="shared" si="53"/>
        <v>0.04</v>
      </c>
      <c r="H190" s="123">
        <f t="shared" si="53"/>
        <v>0.04</v>
      </c>
      <c r="I190" s="123">
        <f t="shared" si="53"/>
        <v>0.04</v>
      </c>
      <c r="J190" s="123">
        <f t="shared" si="53"/>
        <v>0.04</v>
      </c>
      <c r="K190" s="123">
        <f t="shared" si="53"/>
        <v>0.04</v>
      </c>
      <c r="L190" s="123">
        <f t="shared" si="53"/>
        <v>0.04</v>
      </c>
      <c r="M190" s="123">
        <f t="shared" si="53"/>
        <v>0.04</v>
      </c>
      <c r="N190" s="123">
        <f t="shared" si="53"/>
        <v>0.04</v>
      </c>
      <c r="O190" s="123">
        <f t="shared" si="53"/>
        <v>0.04</v>
      </c>
      <c r="P190" s="123">
        <f t="shared" si="53"/>
        <v>0.04</v>
      </c>
      <c r="Q190" s="123">
        <f t="shared" si="53"/>
        <v>0.04</v>
      </c>
      <c r="R190" s="123">
        <f t="shared" si="53"/>
        <v>0.04</v>
      </c>
      <c r="S190" s="123">
        <f t="shared" si="54"/>
        <v>0.04</v>
      </c>
      <c r="T190" s="123">
        <f t="shared" si="54"/>
        <v>0.04</v>
      </c>
      <c r="U190" s="123">
        <f t="shared" si="54"/>
        <v>0.04</v>
      </c>
      <c r="V190" s="123">
        <f t="shared" si="54"/>
        <v>0.04</v>
      </c>
      <c r="W190" s="123">
        <f t="shared" si="54"/>
        <v>0.04</v>
      </c>
      <c r="X190" s="123">
        <f t="shared" si="54"/>
        <v>0.04</v>
      </c>
      <c r="Y190" s="123">
        <f t="shared" si="54"/>
        <v>0.04</v>
      </c>
      <c r="Z190" s="123">
        <f t="shared" si="54"/>
        <v>0.04</v>
      </c>
      <c r="AA190" s="123">
        <f t="shared" si="54"/>
        <v>0.04</v>
      </c>
      <c r="AB190" s="123">
        <f t="shared" si="54"/>
        <v>0.04</v>
      </c>
      <c r="AC190" s="123">
        <f t="shared" si="54"/>
        <v>0.04</v>
      </c>
      <c r="AD190" s="123">
        <f t="shared" si="54"/>
        <v>0.04</v>
      </c>
      <c r="AE190" s="123">
        <f t="shared" si="54"/>
        <v>0.04</v>
      </c>
      <c r="AF190" s="123">
        <f t="shared" si="54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2"/>
        <v>2.3E-2</v>
      </c>
      <c r="C191" s="54">
        <v>2.3E-2</v>
      </c>
      <c r="D191" s="123">
        <f>C191</f>
        <v>2.3E-2</v>
      </c>
      <c r="E191" s="123">
        <f t="shared" si="53"/>
        <v>2.3E-2</v>
      </c>
      <c r="F191" s="123">
        <f t="shared" si="53"/>
        <v>2.3E-2</v>
      </c>
      <c r="G191" s="123">
        <f t="shared" si="53"/>
        <v>2.3E-2</v>
      </c>
      <c r="H191" s="123">
        <f t="shared" si="53"/>
        <v>2.3E-2</v>
      </c>
      <c r="I191" s="123">
        <f t="shared" si="53"/>
        <v>2.3E-2</v>
      </c>
      <c r="J191" s="123">
        <f t="shared" si="53"/>
        <v>2.3E-2</v>
      </c>
      <c r="K191" s="123">
        <f t="shared" si="53"/>
        <v>2.3E-2</v>
      </c>
      <c r="L191" s="123">
        <f t="shared" si="53"/>
        <v>2.3E-2</v>
      </c>
      <c r="M191" s="123">
        <f t="shared" si="53"/>
        <v>2.3E-2</v>
      </c>
      <c r="N191" s="123">
        <f t="shared" si="53"/>
        <v>2.3E-2</v>
      </c>
      <c r="O191" s="123">
        <f t="shared" si="53"/>
        <v>2.3E-2</v>
      </c>
      <c r="P191" s="123">
        <f t="shared" si="53"/>
        <v>2.3E-2</v>
      </c>
      <c r="Q191" s="123">
        <f t="shared" si="53"/>
        <v>2.3E-2</v>
      </c>
      <c r="R191" s="123">
        <f t="shared" si="53"/>
        <v>2.3E-2</v>
      </c>
      <c r="S191" s="123">
        <f t="shared" si="54"/>
        <v>2.3E-2</v>
      </c>
      <c r="T191" s="123">
        <f t="shared" si="54"/>
        <v>2.3E-2</v>
      </c>
      <c r="U191" s="123">
        <f t="shared" si="54"/>
        <v>2.3E-2</v>
      </c>
      <c r="V191" s="123">
        <f t="shared" si="54"/>
        <v>2.3E-2</v>
      </c>
      <c r="W191" s="123">
        <f t="shared" si="54"/>
        <v>2.3E-2</v>
      </c>
      <c r="X191" s="123">
        <f t="shared" si="54"/>
        <v>2.3E-2</v>
      </c>
      <c r="Y191" s="123">
        <f t="shared" si="54"/>
        <v>2.3E-2</v>
      </c>
      <c r="Z191" s="123">
        <f t="shared" si="54"/>
        <v>2.3E-2</v>
      </c>
      <c r="AA191" s="123">
        <f t="shared" si="54"/>
        <v>2.3E-2</v>
      </c>
      <c r="AB191" s="123">
        <f t="shared" si="54"/>
        <v>2.3E-2</v>
      </c>
      <c r="AC191" s="123">
        <f t="shared" si="54"/>
        <v>2.3E-2</v>
      </c>
      <c r="AD191" s="123">
        <f t="shared" si="54"/>
        <v>2.3E-2</v>
      </c>
      <c r="AE191" s="123">
        <f t="shared" si="54"/>
        <v>2.3E-2</v>
      </c>
      <c r="AF191" s="123">
        <f t="shared" si="54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5">SUM(C102:C191)</f>
        <v>194.70600000000002</v>
      </c>
      <c r="D192" s="128">
        <f t="shared" si="55"/>
        <v>194.70600000000002</v>
      </c>
      <c r="E192" s="128">
        <f t="shared" si="55"/>
        <v>194.70600000000002</v>
      </c>
      <c r="F192" s="128">
        <f t="shared" si="55"/>
        <v>194.70600000000002</v>
      </c>
      <c r="G192" s="128">
        <f t="shared" si="55"/>
        <v>194.70600000000002</v>
      </c>
      <c r="H192" s="128">
        <f t="shared" si="55"/>
        <v>194.70600000000002</v>
      </c>
      <c r="I192" s="128">
        <f t="shared" si="55"/>
        <v>189.70600000000005</v>
      </c>
      <c r="J192" s="128">
        <f t="shared" si="55"/>
        <v>187.10600000000005</v>
      </c>
      <c r="K192" s="128">
        <f t="shared" si="55"/>
        <v>187.10600000000005</v>
      </c>
      <c r="L192" s="128">
        <f t="shared" si="55"/>
        <v>187.10600000000005</v>
      </c>
      <c r="M192" s="128">
        <f t="shared" si="55"/>
        <v>187.10600000000005</v>
      </c>
      <c r="N192" s="128">
        <f t="shared" si="55"/>
        <v>187.10600000000005</v>
      </c>
      <c r="O192" s="128">
        <f t="shared" si="55"/>
        <v>187.10600000000005</v>
      </c>
      <c r="P192" s="128">
        <f t="shared" si="55"/>
        <v>187.10600000000005</v>
      </c>
      <c r="Q192" s="128">
        <f t="shared" si="55"/>
        <v>187.10600000000005</v>
      </c>
      <c r="R192" s="128">
        <f t="shared" si="55"/>
        <v>187.10600000000005</v>
      </c>
      <c r="S192" s="128">
        <f t="shared" si="55"/>
        <v>187.10600000000005</v>
      </c>
      <c r="T192" s="128">
        <f t="shared" si="55"/>
        <v>187.10600000000005</v>
      </c>
      <c r="U192" s="128">
        <f t="shared" si="55"/>
        <v>187.10600000000005</v>
      </c>
      <c r="V192" s="128">
        <f t="shared" si="55"/>
        <v>187.10600000000005</v>
      </c>
      <c r="W192" s="128">
        <f t="shared" si="55"/>
        <v>187.10600000000005</v>
      </c>
      <c r="X192" s="128">
        <f t="shared" si="55"/>
        <v>187.10600000000005</v>
      </c>
      <c r="Y192" s="128">
        <f t="shared" si="55"/>
        <v>187.10600000000005</v>
      </c>
      <c r="Z192" s="128">
        <f t="shared" si="55"/>
        <v>187.10600000000005</v>
      </c>
      <c r="AA192" s="128">
        <f t="shared" si="55"/>
        <v>187.10600000000005</v>
      </c>
      <c r="AB192" s="128">
        <f t="shared" si="55"/>
        <v>187.10600000000005</v>
      </c>
      <c r="AC192" s="128">
        <f t="shared" si="55"/>
        <v>187.10600000000005</v>
      </c>
      <c r="AD192" s="128">
        <f t="shared" si="55"/>
        <v>187.10600000000005</v>
      </c>
      <c r="AE192" s="128">
        <f t="shared" si="55"/>
        <v>187.10600000000005</v>
      </c>
      <c r="AF192" s="128">
        <f t="shared" si="55"/>
        <v>187.10600000000005</v>
      </c>
      <c r="AG192" s="129">
        <f t="shared" si="55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6">AF194</f>
        <v>0.3</v>
      </c>
      <c r="C194" s="130">
        <v>0.3</v>
      </c>
      <c r="D194" s="130">
        <f t="shared" ref="D194:S199" si="57">C194</f>
        <v>0.3</v>
      </c>
      <c r="E194" s="130">
        <f t="shared" si="57"/>
        <v>0.3</v>
      </c>
      <c r="F194" s="130">
        <f t="shared" si="57"/>
        <v>0.3</v>
      </c>
      <c r="G194" s="130">
        <f t="shared" si="57"/>
        <v>0.3</v>
      </c>
      <c r="H194" s="130">
        <f t="shared" si="57"/>
        <v>0.3</v>
      </c>
      <c r="I194" s="130">
        <f t="shared" si="57"/>
        <v>0.3</v>
      </c>
      <c r="J194" s="130">
        <f t="shared" si="57"/>
        <v>0.3</v>
      </c>
      <c r="K194" s="130">
        <f t="shared" si="57"/>
        <v>0.3</v>
      </c>
      <c r="L194" s="130">
        <f t="shared" si="57"/>
        <v>0.3</v>
      </c>
      <c r="M194" s="130">
        <f t="shared" si="57"/>
        <v>0.3</v>
      </c>
      <c r="N194" s="130">
        <f t="shared" si="57"/>
        <v>0.3</v>
      </c>
      <c r="O194" s="130">
        <f t="shared" si="57"/>
        <v>0.3</v>
      </c>
      <c r="P194" s="130">
        <f t="shared" si="57"/>
        <v>0.3</v>
      </c>
      <c r="Q194" s="130">
        <f t="shared" si="57"/>
        <v>0.3</v>
      </c>
      <c r="R194" s="130">
        <f t="shared" si="57"/>
        <v>0.3</v>
      </c>
      <c r="S194" s="130">
        <f t="shared" si="57"/>
        <v>0.3</v>
      </c>
      <c r="T194" s="130">
        <f t="shared" ref="T194:AF199" si="58">S194</f>
        <v>0.3</v>
      </c>
      <c r="U194" s="130">
        <f t="shared" si="58"/>
        <v>0.3</v>
      </c>
      <c r="V194" s="130">
        <f t="shared" si="58"/>
        <v>0.3</v>
      </c>
      <c r="W194" s="130">
        <f t="shared" si="58"/>
        <v>0.3</v>
      </c>
      <c r="X194" s="130">
        <f t="shared" si="58"/>
        <v>0.3</v>
      </c>
      <c r="Y194" s="130">
        <f t="shared" si="58"/>
        <v>0.3</v>
      </c>
      <c r="Z194" s="130">
        <f t="shared" si="58"/>
        <v>0.3</v>
      </c>
      <c r="AA194" s="130">
        <f t="shared" si="58"/>
        <v>0.3</v>
      </c>
      <c r="AB194" s="130">
        <f t="shared" si="58"/>
        <v>0.3</v>
      </c>
      <c r="AC194" s="130">
        <f t="shared" si="58"/>
        <v>0.3</v>
      </c>
      <c r="AD194" s="130">
        <f t="shared" si="58"/>
        <v>0.3</v>
      </c>
      <c r="AE194" s="130">
        <f t="shared" si="58"/>
        <v>0.3</v>
      </c>
      <c r="AF194" s="130">
        <f t="shared" si="58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6"/>
        <v>0.4</v>
      </c>
      <c r="C195" s="123">
        <v>0.4</v>
      </c>
      <c r="D195" s="123">
        <f t="shared" si="57"/>
        <v>0.4</v>
      </c>
      <c r="E195" s="123">
        <f t="shared" si="57"/>
        <v>0.4</v>
      </c>
      <c r="F195" s="123">
        <f t="shared" si="57"/>
        <v>0.4</v>
      </c>
      <c r="G195" s="123">
        <f t="shared" si="57"/>
        <v>0.4</v>
      </c>
      <c r="H195" s="123">
        <f t="shared" si="57"/>
        <v>0.4</v>
      </c>
      <c r="I195" s="123">
        <f t="shared" si="57"/>
        <v>0.4</v>
      </c>
      <c r="J195" s="123">
        <f t="shared" si="57"/>
        <v>0.4</v>
      </c>
      <c r="K195" s="123">
        <f t="shared" si="57"/>
        <v>0.4</v>
      </c>
      <c r="L195" s="123">
        <f t="shared" si="57"/>
        <v>0.4</v>
      </c>
      <c r="M195" s="123">
        <f t="shared" si="57"/>
        <v>0.4</v>
      </c>
      <c r="N195" s="123">
        <f t="shared" si="57"/>
        <v>0.4</v>
      </c>
      <c r="O195" s="123">
        <f t="shared" si="57"/>
        <v>0.4</v>
      </c>
      <c r="P195" s="123">
        <f t="shared" si="57"/>
        <v>0.4</v>
      </c>
      <c r="Q195" s="123">
        <f t="shared" si="57"/>
        <v>0.4</v>
      </c>
      <c r="R195" s="123">
        <f t="shared" si="57"/>
        <v>0.4</v>
      </c>
      <c r="S195" s="123">
        <f t="shared" si="57"/>
        <v>0.4</v>
      </c>
      <c r="T195" s="123">
        <f t="shared" si="58"/>
        <v>0.4</v>
      </c>
      <c r="U195" s="123">
        <f t="shared" si="58"/>
        <v>0.4</v>
      </c>
      <c r="V195" s="123">
        <f t="shared" si="58"/>
        <v>0.4</v>
      </c>
      <c r="W195" s="123">
        <f>V195</f>
        <v>0.4</v>
      </c>
      <c r="X195" s="123">
        <f>W195</f>
        <v>0.4</v>
      </c>
      <c r="Y195" s="123">
        <f t="shared" si="58"/>
        <v>0.4</v>
      </c>
      <c r="Z195" s="123">
        <f t="shared" si="58"/>
        <v>0.4</v>
      </c>
      <c r="AA195" s="123">
        <f t="shared" si="58"/>
        <v>0.4</v>
      </c>
      <c r="AB195" s="123">
        <f t="shared" si="58"/>
        <v>0.4</v>
      </c>
      <c r="AC195" s="123">
        <f t="shared" si="58"/>
        <v>0.4</v>
      </c>
      <c r="AD195" s="123">
        <f t="shared" si="58"/>
        <v>0.4</v>
      </c>
      <c r="AE195" s="123">
        <f t="shared" si="58"/>
        <v>0.4</v>
      </c>
      <c r="AF195" s="123">
        <f t="shared" si="58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6"/>
        <v>1.5</v>
      </c>
      <c r="C196" s="123">
        <v>1.5</v>
      </c>
      <c r="D196" s="123">
        <f t="shared" si="57"/>
        <v>1.5</v>
      </c>
      <c r="E196" s="123">
        <f t="shared" si="57"/>
        <v>1.5</v>
      </c>
      <c r="F196" s="123">
        <f t="shared" si="57"/>
        <v>1.5</v>
      </c>
      <c r="G196" s="123">
        <f t="shared" si="57"/>
        <v>1.5</v>
      </c>
      <c r="H196" s="123">
        <f t="shared" si="57"/>
        <v>1.5</v>
      </c>
      <c r="I196" s="123">
        <f t="shared" si="57"/>
        <v>1.5</v>
      </c>
      <c r="J196" s="123">
        <f t="shared" si="57"/>
        <v>1.5</v>
      </c>
      <c r="K196" s="123">
        <f t="shared" si="57"/>
        <v>1.5</v>
      </c>
      <c r="L196" s="123">
        <f t="shared" si="57"/>
        <v>1.5</v>
      </c>
      <c r="M196" s="123">
        <f t="shared" si="57"/>
        <v>1.5</v>
      </c>
      <c r="N196" s="123">
        <f t="shared" si="57"/>
        <v>1.5</v>
      </c>
      <c r="O196" s="123">
        <f t="shared" si="57"/>
        <v>1.5</v>
      </c>
      <c r="P196" s="123">
        <f t="shared" si="57"/>
        <v>1.5</v>
      </c>
      <c r="Q196" s="123">
        <f t="shared" si="57"/>
        <v>1.5</v>
      </c>
      <c r="R196" s="123">
        <f t="shared" si="57"/>
        <v>1.5</v>
      </c>
      <c r="S196" s="123">
        <f t="shared" si="57"/>
        <v>1.5</v>
      </c>
      <c r="T196" s="123">
        <f t="shared" si="58"/>
        <v>1.5</v>
      </c>
      <c r="U196" s="123">
        <f t="shared" si="58"/>
        <v>1.5</v>
      </c>
      <c r="V196" s="123">
        <f t="shared" si="58"/>
        <v>1.5</v>
      </c>
      <c r="W196" s="123">
        <f t="shared" si="58"/>
        <v>1.5</v>
      </c>
      <c r="X196" s="123">
        <f t="shared" si="58"/>
        <v>1.5</v>
      </c>
      <c r="Y196" s="123">
        <f t="shared" si="58"/>
        <v>1.5</v>
      </c>
      <c r="Z196" s="123">
        <f t="shared" si="58"/>
        <v>1.5</v>
      </c>
      <c r="AA196" s="123">
        <f t="shared" si="58"/>
        <v>1.5</v>
      </c>
      <c r="AB196" s="123">
        <f t="shared" si="58"/>
        <v>1.5</v>
      </c>
      <c r="AC196" s="123">
        <f t="shared" si="58"/>
        <v>1.5</v>
      </c>
      <c r="AD196" s="123">
        <f t="shared" si="58"/>
        <v>1.5</v>
      </c>
      <c r="AE196" s="123">
        <f t="shared" si="58"/>
        <v>1.5</v>
      </c>
      <c r="AF196" s="123">
        <f t="shared" si="58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6"/>
        <v>0.3</v>
      </c>
      <c r="C197" s="123">
        <v>0.3</v>
      </c>
      <c r="D197" s="123">
        <f t="shared" si="57"/>
        <v>0.3</v>
      </c>
      <c r="E197" s="123">
        <f t="shared" si="57"/>
        <v>0.3</v>
      </c>
      <c r="F197" s="123">
        <f t="shared" si="57"/>
        <v>0.3</v>
      </c>
      <c r="G197" s="123">
        <f t="shared" si="57"/>
        <v>0.3</v>
      </c>
      <c r="H197" s="123">
        <f t="shared" si="57"/>
        <v>0.3</v>
      </c>
      <c r="I197" s="123">
        <f t="shared" si="57"/>
        <v>0.3</v>
      </c>
      <c r="J197" s="123">
        <f t="shared" si="57"/>
        <v>0.3</v>
      </c>
      <c r="K197" s="123">
        <f t="shared" si="57"/>
        <v>0.3</v>
      </c>
      <c r="L197" s="123">
        <f t="shared" si="57"/>
        <v>0.3</v>
      </c>
      <c r="M197" s="123">
        <f t="shared" si="57"/>
        <v>0.3</v>
      </c>
      <c r="N197" s="123">
        <f t="shared" si="57"/>
        <v>0.3</v>
      </c>
      <c r="O197" s="123">
        <f t="shared" si="57"/>
        <v>0.3</v>
      </c>
      <c r="P197" s="123">
        <f t="shared" si="57"/>
        <v>0.3</v>
      </c>
      <c r="Q197" s="123">
        <f t="shared" si="57"/>
        <v>0.3</v>
      </c>
      <c r="R197" s="123">
        <f t="shared" si="57"/>
        <v>0.3</v>
      </c>
      <c r="S197" s="123">
        <f t="shared" si="57"/>
        <v>0.3</v>
      </c>
      <c r="T197" s="123">
        <f t="shared" si="58"/>
        <v>0.3</v>
      </c>
      <c r="U197" s="123">
        <f t="shared" si="58"/>
        <v>0.3</v>
      </c>
      <c r="V197" s="123">
        <f t="shared" si="58"/>
        <v>0.3</v>
      </c>
      <c r="W197" s="123">
        <f t="shared" si="58"/>
        <v>0.3</v>
      </c>
      <c r="X197" s="123">
        <f t="shared" si="58"/>
        <v>0.3</v>
      </c>
      <c r="Y197" s="123">
        <f t="shared" si="58"/>
        <v>0.3</v>
      </c>
      <c r="Z197" s="123">
        <f t="shared" si="58"/>
        <v>0.3</v>
      </c>
      <c r="AA197" s="123">
        <f t="shared" si="58"/>
        <v>0.3</v>
      </c>
      <c r="AB197" s="123">
        <f t="shared" si="58"/>
        <v>0.3</v>
      </c>
      <c r="AC197" s="123">
        <f t="shared" si="58"/>
        <v>0.3</v>
      </c>
      <c r="AD197" s="123">
        <f t="shared" si="58"/>
        <v>0.3</v>
      </c>
      <c r="AE197" s="123">
        <f t="shared" si="58"/>
        <v>0.3</v>
      </c>
      <c r="AF197" s="123">
        <f t="shared" si="58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6"/>
        <v>0.4</v>
      </c>
      <c r="C198" s="123">
        <v>0.4</v>
      </c>
      <c r="D198" s="123">
        <f t="shared" si="57"/>
        <v>0.4</v>
      </c>
      <c r="E198" s="123">
        <f t="shared" si="57"/>
        <v>0.4</v>
      </c>
      <c r="F198" s="123">
        <f t="shared" si="57"/>
        <v>0.4</v>
      </c>
      <c r="G198" s="123">
        <f t="shared" si="57"/>
        <v>0.4</v>
      </c>
      <c r="H198" s="123">
        <f t="shared" si="57"/>
        <v>0.4</v>
      </c>
      <c r="I198" s="123">
        <f t="shared" si="57"/>
        <v>0.4</v>
      </c>
      <c r="J198" s="123">
        <f t="shared" si="57"/>
        <v>0.4</v>
      </c>
      <c r="K198" s="123">
        <f t="shared" si="57"/>
        <v>0.4</v>
      </c>
      <c r="L198" s="123">
        <f t="shared" si="57"/>
        <v>0.4</v>
      </c>
      <c r="M198" s="123">
        <f t="shared" si="57"/>
        <v>0.4</v>
      </c>
      <c r="N198" s="123">
        <f t="shared" si="57"/>
        <v>0.4</v>
      </c>
      <c r="O198" s="123">
        <f t="shared" si="57"/>
        <v>0.4</v>
      </c>
      <c r="P198" s="123">
        <f t="shared" si="57"/>
        <v>0.4</v>
      </c>
      <c r="Q198" s="123">
        <f t="shared" si="57"/>
        <v>0.4</v>
      </c>
      <c r="R198" s="123">
        <f t="shared" si="57"/>
        <v>0.4</v>
      </c>
      <c r="S198" s="123">
        <f t="shared" si="57"/>
        <v>0.4</v>
      </c>
      <c r="T198" s="123">
        <f t="shared" si="58"/>
        <v>0.4</v>
      </c>
      <c r="U198" s="123">
        <f t="shared" si="58"/>
        <v>0.4</v>
      </c>
      <c r="V198" s="123">
        <f t="shared" si="58"/>
        <v>0.4</v>
      </c>
      <c r="W198" s="123">
        <f t="shared" si="58"/>
        <v>0.4</v>
      </c>
      <c r="X198" s="123">
        <f t="shared" si="58"/>
        <v>0.4</v>
      </c>
      <c r="Y198" s="123">
        <f t="shared" si="58"/>
        <v>0.4</v>
      </c>
      <c r="Z198" s="123">
        <f t="shared" si="58"/>
        <v>0.4</v>
      </c>
      <c r="AA198" s="123">
        <f t="shared" si="58"/>
        <v>0.4</v>
      </c>
      <c r="AB198" s="123">
        <f t="shared" si="58"/>
        <v>0.4</v>
      </c>
      <c r="AC198" s="123">
        <f t="shared" si="58"/>
        <v>0.4</v>
      </c>
      <c r="AD198" s="123">
        <f t="shared" si="58"/>
        <v>0.4</v>
      </c>
      <c r="AE198" s="123">
        <f t="shared" si="58"/>
        <v>0.4</v>
      </c>
      <c r="AF198" s="123">
        <f t="shared" si="58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6"/>
        <v>0.64</v>
      </c>
      <c r="C199" s="133">
        <v>0.64</v>
      </c>
      <c r="D199" s="133">
        <f t="shared" si="57"/>
        <v>0.64</v>
      </c>
      <c r="E199" s="133">
        <f t="shared" si="57"/>
        <v>0.64</v>
      </c>
      <c r="F199" s="133">
        <f t="shared" si="57"/>
        <v>0.64</v>
      </c>
      <c r="G199" s="133">
        <f t="shared" si="57"/>
        <v>0.64</v>
      </c>
      <c r="H199" s="133">
        <f t="shared" si="57"/>
        <v>0.64</v>
      </c>
      <c r="I199" s="133">
        <f t="shared" si="57"/>
        <v>0.64</v>
      </c>
      <c r="J199" s="133">
        <f t="shared" si="57"/>
        <v>0.64</v>
      </c>
      <c r="K199" s="133">
        <f t="shared" si="57"/>
        <v>0.64</v>
      </c>
      <c r="L199" s="133">
        <f t="shared" si="57"/>
        <v>0.64</v>
      </c>
      <c r="M199" s="133">
        <f t="shared" si="57"/>
        <v>0.64</v>
      </c>
      <c r="N199" s="133">
        <f t="shared" si="57"/>
        <v>0.64</v>
      </c>
      <c r="O199" s="133">
        <f t="shared" si="57"/>
        <v>0.64</v>
      </c>
      <c r="P199" s="133">
        <f t="shared" si="57"/>
        <v>0.64</v>
      </c>
      <c r="Q199" s="133">
        <f t="shared" si="57"/>
        <v>0.64</v>
      </c>
      <c r="R199" s="133">
        <f t="shared" si="57"/>
        <v>0.64</v>
      </c>
      <c r="S199" s="133">
        <f t="shared" si="57"/>
        <v>0.64</v>
      </c>
      <c r="T199" s="133">
        <f t="shared" si="58"/>
        <v>0.64</v>
      </c>
      <c r="U199" s="133">
        <f t="shared" si="58"/>
        <v>0.64</v>
      </c>
      <c r="V199" s="133">
        <f t="shared" si="58"/>
        <v>0.64</v>
      </c>
      <c r="W199" s="133">
        <f t="shared" si="58"/>
        <v>0.64</v>
      </c>
      <c r="X199" s="133">
        <f t="shared" si="58"/>
        <v>0.64</v>
      </c>
      <c r="Y199" s="133">
        <f t="shared" si="58"/>
        <v>0.64</v>
      </c>
      <c r="Z199" s="133">
        <f t="shared" si="58"/>
        <v>0.64</v>
      </c>
      <c r="AA199" s="133">
        <f t="shared" si="58"/>
        <v>0.64</v>
      </c>
      <c r="AB199" s="133">
        <f t="shared" si="58"/>
        <v>0.64</v>
      </c>
      <c r="AC199" s="133">
        <f t="shared" si="58"/>
        <v>0.64</v>
      </c>
      <c r="AD199" s="133">
        <f t="shared" si="58"/>
        <v>0.64</v>
      </c>
      <c r="AE199" s="133">
        <f t="shared" si="58"/>
        <v>0.64</v>
      </c>
      <c r="AF199" s="133">
        <f t="shared" si="58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9">SUM(D194:D199)</f>
        <v>3.54</v>
      </c>
      <c r="E200" s="136">
        <f t="shared" si="59"/>
        <v>3.54</v>
      </c>
      <c r="F200" s="136">
        <f t="shared" si="59"/>
        <v>3.54</v>
      </c>
      <c r="G200" s="136">
        <f t="shared" si="59"/>
        <v>3.54</v>
      </c>
      <c r="H200" s="136">
        <f t="shared" si="59"/>
        <v>3.54</v>
      </c>
      <c r="I200" s="136">
        <f t="shared" si="59"/>
        <v>3.54</v>
      </c>
      <c r="J200" s="136">
        <f t="shared" si="59"/>
        <v>3.54</v>
      </c>
      <c r="K200" s="136">
        <f t="shared" si="59"/>
        <v>3.54</v>
      </c>
      <c r="L200" s="136">
        <f t="shared" si="59"/>
        <v>3.54</v>
      </c>
      <c r="M200" s="136">
        <f>SUM(M194:M199)</f>
        <v>3.54</v>
      </c>
      <c r="N200" s="136">
        <f t="shared" ref="N200:S200" si="60">SUM(N194:N199)</f>
        <v>3.54</v>
      </c>
      <c r="O200" s="136">
        <f t="shared" si="60"/>
        <v>3.54</v>
      </c>
      <c r="P200" s="136">
        <f t="shared" si="60"/>
        <v>3.54</v>
      </c>
      <c r="Q200" s="136">
        <f t="shared" si="60"/>
        <v>3.54</v>
      </c>
      <c r="R200" s="136">
        <f t="shared" si="60"/>
        <v>3.54</v>
      </c>
      <c r="S200" s="136">
        <f t="shared" si="60"/>
        <v>3.54</v>
      </c>
      <c r="T200" s="136">
        <f>SUM(T194:T199)</f>
        <v>3.54</v>
      </c>
      <c r="U200" s="136">
        <f t="shared" ref="U200:AG200" si="61">SUM(U194:U199)</f>
        <v>3.54</v>
      </c>
      <c r="V200" s="136">
        <f t="shared" si="61"/>
        <v>3.54</v>
      </c>
      <c r="W200" s="136">
        <f t="shared" si="61"/>
        <v>3.54</v>
      </c>
      <c r="X200" s="136">
        <f t="shared" si="61"/>
        <v>3.54</v>
      </c>
      <c r="Y200" s="136">
        <f t="shared" si="61"/>
        <v>3.54</v>
      </c>
      <c r="Z200" s="136">
        <f t="shared" si="61"/>
        <v>3.54</v>
      </c>
      <c r="AA200" s="136">
        <f t="shared" si="61"/>
        <v>3.54</v>
      </c>
      <c r="AB200" s="136">
        <f t="shared" si="61"/>
        <v>3.54</v>
      </c>
      <c r="AC200" s="136">
        <f t="shared" si="61"/>
        <v>3.54</v>
      </c>
      <c r="AD200" s="136">
        <f t="shared" si="61"/>
        <v>3.54</v>
      </c>
      <c r="AE200" s="136">
        <f t="shared" si="61"/>
        <v>3.54</v>
      </c>
      <c r="AF200" s="136">
        <f t="shared" si="61"/>
        <v>3.54</v>
      </c>
      <c r="AG200" s="137">
        <f t="shared" si="61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1680.14</v>
      </c>
      <c r="C209" s="151">
        <f>INDEX(G9:N9,1,MATCH(MAX(G75:N75),G75:N75,0))</f>
        <v>0.22916666666666666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12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2079/02/12)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2079/02/12)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2">B75</f>
        <v>1635.24</v>
      </c>
      <c r="U214" s="161">
        <f t="shared" si="62"/>
        <v>1695.91</v>
      </c>
      <c r="V214" s="161">
        <f t="shared" si="62"/>
        <v>1633.8400000000001</v>
      </c>
      <c r="W214" s="161">
        <f t="shared" si="62"/>
        <v>1639.49</v>
      </c>
      <c r="X214" s="161">
        <f t="shared" si="62"/>
        <v>1573.44</v>
      </c>
      <c r="Y214" s="161">
        <f t="shared" si="62"/>
        <v>1653.9400000000003</v>
      </c>
      <c r="Z214" s="161">
        <f t="shared" si="62"/>
        <v>1680.14</v>
      </c>
      <c r="AA214" s="161">
        <f t="shared" si="62"/>
        <v>1641.94</v>
      </c>
      <c r="AB214" s="161">
        <f t="shared" si="62"/>
        <v>1621.44</v>
      </c>
      <c r="AC214" s="161">
        <f t="shared" si="62"/>
        <v>1583.8400000000001</v>
      </c>
      <c r="AD214" s="161">
        <f t="shared" si="62"/>
        <v>1589.04</v>
      </c>
      <c r="AE214" s="161">
        <f t="shared" si="62"/>
        <v>1609.44</v>
      </c>
      <c r="AF214" s="161">
        <f t="shared" si="62"/>
        <v>1626.0400000000002</v>
      </c>
      <c r="AG214" s="161">
        <f t="shared" si="62"/>
        <v>1397.04</v>
      </c>
      <c r="AH214" s="161">
        <f t="shared" si="62"/>
        <v>1458.04</v>
      </c>
      <c r="AI214" s="161">
        <f t="shared" si="62"/>
        <v>1495.64</v>
      </c>
      <c r="AJ214" s="161">
        <f t="shared" si="62"/>
        <v>1456.64</v>
      </c>
      <c r="AK214" s="161">
        <f t="shared" si="62"/>
        <v>1609.54</v>
      </c>
      <c r="AL214" s="161">
        <f t="shared" si="62"/>
        <v>1707.2400000000002</v>
      </c>
      <c r="AM214" s="161">
        <f t="shared" si="62"/>
        <v>1722.54</v>
      </c>
      <c r="AN214" s="161">
        <f t="shared" si="62"/>
        <v>1717.94</v>
      </c>
      <c r="AO214" s="161">
        <f t="shared" si="62"/>
        <v>1706.24</v>
      </c>
      <c r="AP214" s="161">
        <f t="shared" si="62"/>
        <v>1701.14</v>
      </c>
      <c r="AQ214" s="161">
        <f t="shared" si="62"/>
        <v>1701.14</v>
      </c>
      <c r="AR214" s="161">
        <f t="shared" si="62"/>
        <v>1683.3400000000001</v>
      </c>
      <c r="AS214" s="161">
        <f t="shared" si="62"/>
        <v>1676.1400000000003</v>
      </c>
      <c r="AT214" s="161">
        <f t="shared" si="62"/>
        <v>1700.84</v>
      </c>
      <c r="AU214" s="161">
        <f t="shared" si="62"/>
        <v>1699.24</v>
      </c>
      <c r="AV214" s="161">
        <f t="shared" si="62"/>
        <v>1710.8400000000001</v>
      </c>
      <c r="AW214" s="161">
        <f t="shared" si="62"/>
        <v>1694.8400000000001</v>
      </c>
      <c r="AX214" s="161">
        <f t="shared" si="62"/>
        <v>1711.44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3">C199</f>
        <v>0.64</v>
      </c>
      <c r="C235" s="164">
        <f t="shared" si="63"/>
        <v>0.64</v>
      </c>
      <c r="D235" s="164">
        <f t="shared" si="63"/>
        <v>0.64</v>
      </c>
      <c r="E235" s="164">
        <f t="shared" si="63"/>
        <v>0.64</v>
      </c>
      <c r="F235" s="164">
        <f t="shared" si="63"/>
        <v>0.64</v>
      </c>
      <c r="G235" s="164">
        <f t="shared" si="63"/>
        <v>0.64</v>
      </c>
      <c r="H235" s="164">
        <f t="shared" si="63"/>
        <v>0.64</v>
      </c>
      <c r="I235" s="164">
        <f t="shared" si="63"/>
        <v>0.64</v>
      </c>
      <c r="J235" s="164">
        <f t="shared" si="63"/>
        <v>0.64</v>
      </c>
      <c r="K235" s="164">
        <f t="shared" si="63"/>
        <v>0.64</v>
      </c>
      <c r="L235" s="164">
        <f t="shared" si="63"/>
        <v>0.64</v>
      </c>
      <c r="M235" s="164">
        <f t="shared" si="63"/>
        <v>0.64</v>
      </c>
      <c r="N235" s="164">
        <f t="shared" si="63"/>
        <v>0.64</v>
      </c>
      <c r="O235" s="164">
        <f t="shared" si="63"/>
        <v>0.64</v>
      </c>
      <c r="P235" s="164">
        <f t="shared" si="63"/>
        <v>0.64</v>
      </c>
      <c r="Q235" s="164">
        <f t="shared" si="63"/>
        <v>0.64</v>
      </c>
      <c r="R235" s="164">
        <f t="shared" si="63"/>
        <v>0.64</v>
      </c>
      <c r="S235" s="164">
        <f t="shared" si="63"/>
        <v>0.64</v>
      </c>
      <c r="T235" s="164">
        <f t="shared" si="63"/>
        <v>0.64</v>
      </c>
      <c r="U235" s="164">
        <f t="shared" si="63"/>
        <v>0.64</v>
      </c>
      <c r="V235" s="164">
        <f t="shared" si="63"/>
        <v>0.64</v>
      </c>
      <c r="W235" s="164">
        <f t="shared" si="63"/>
        <v>0.64</v>
      </c>
      <c r="X235" s="164">
        <f t="shared" si="63"/>
        <v>0.64</v>
      </c>
      <c r="Y235" s="164">
        <f t="shared" si="63"/>
        <v>0.64</v>
      </c>
      <c r="Z235" s="164">
        <f t="shared" si="63"/>
        <v>0.64</v>
      </c>
      <c r="AA235" s="164">
        <f t="shared" si="63"/>
        <v>0.64</v>
      </c>
      <c r="AB235" s="164">
        <f t="shared" si="63"/>
        <v>0.64</v>
      </c>
      <c r="AC235" s="164">
        <f t="shared" si="63"/>
        <v>0.64</v>
      </c>
      <c r="AD235" s="164">
        <f t="shared" si="63"/>
        <v>0.64</v>
      </c>
      <c r="AE235" s="164">
        <f t="shared" si="63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4">IF(C203&lt;100,"",C203-520)</f>
        <v/>
      </c>
      <c r="D236" s="107" t="str">
        <f t="shared" si="64"/>
        <v/>
      </c>
      <c r="E236" s="107" t="str">
        <f t="shared" si="64"/>
        <v/>
      </c>
      <c r="F236" s="107" t="str">
        <f t="shared" si="64"/>
        <v/>
      </c>
      <c r="G236" s="107" t="str">
        <f t="shared" si="64"/>
        <v/>
      </c>
      <c r="H236" s="107" t="str">
        <f t="shared" si="64"/>
        <v/>
      </c>
      <c r="I236" s="107" t="str">
        <f t="shared" si="64"/>
        <v/>
      </c>
      <c r="J236" s="107" t="str">
        <f t="shared" si="64"/>
        <v/>
      </c>
      <c r="K236" s="107" t="str">
        <f t="shared" si="64"/>
        <v/>
      </c>
      <c r="L236" s="107" t="str">
        <f t="shared" si="64"/>
        <v/>
      </c>
      <c r="M236" s="107" t="str">
        <f t="shared" si="64"/>
        <v/>
      </c>
      <c r="N236" s="107" t="str">
        <f t="shared" si="64"/>
        <v/>
      </c>
      <c r="O236" s="107" t="str">
        <f t="shared" si="64"/>
        <v/>
      </c>
      <c r="P236" s="107" t="str">
        <f t="shared" si="64"/>
        <v/>
      </c>
      <c r="Q236" s="107" t="str">
        <f t="shared" si="64"/>
        <v/>
      </c>
      <c r="R236" s="107" t="str">
        <f t="shared" si="64"/>
        <v/>
      </c>
      <c r="S236" s="107" t="str">
        <f t="shared" si="64"/>
        <v/>
      </c>
      <c r="T236" s="107" t="str">
        <f t="shared" si="64"/>
        <v/>
      </c>
      <c r="U236" s="107" t="str">
        <f t="shared" si="64"/>
        <v/>
      </c>
      <c r="V236" s="107" t="str">
        <f t="shared" si="64"/>
        <v/>
      </c>
      <c r="W236" s="107" t="str">
        <f t="shared" si="64"/>
        <v/>
      </c>
      <c r="X236" s="107" t="str">
        <f t="shared" si="64"/>
        <v/>
      </c>
      <c r="Y236" s="107" t="str">
        <f t="shared" si="64"/>
        <v/>
      </c>
      <c r="Z236" s="107" t="str">
        <f t="shared" si="64"/>
        <v/>
      </c>
      <c r="AA236" s="107" t="str">
        <f t="shared" si="64"/>
        <v/>
      </c>
      <c r="AB236" s="107" t="str">
        <f t="shared" si="64"/>
        <v/>
      </c>
      <c r="AC236" s="107" t="str">
        <f t="shared" si="64"/>
        <v/>
      </c>
      <c r="AD236" s="107" t="str">
        <f t="shared" si="64"/>
        <v/>
      </c>
      <c r="AE236" s="107" t="str">
        <f t="shared" si="64"/>
        <v/>
      </c>
      <c r="AF236" s="107" t="str">
        <f t="shared" si="64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5">IF(B204&lt;100,"",B204-620)</f>
        <v/>
      </c>
      <c r="C237" s="107" t="str">
        <f t="shared" si="65"/>
        <v/>
      </c>
      <c r="D237" s="107" t="str">
        <f t="shared" si="65"/>
        <v/>
      </c>
      <c r="E237" s="107" t="str">
        <f t="shared" si="65"/>
        <v/>
      </c>
      <c r="F237" s="107" t="str">
        <f t="shared" si="65"/>
        <v/>
      </c>
      <c r="G237" s="107" t="str">
        <f t="shared" si="65"/>
        <v/>
      </c>
      <c r="H237" s="107" t="str">
        <f t="shared" si="65"/>
        <v/>
      </c>
      <c r="I237" s="107" t="str">
        <f t="shared" si="65"/>
        <v/>
      </c>
      <c r="J237" s="107" t="str">
        <f t="shared" si="65"/>
        <v/>
      </c>
      <c r="K237" s="107" t="str">
        <f t="shared" si="65"/>
        <v/>
      </c>
      <c r="L237" s="107" t="str">
        <f t="shared" si="65"/>
        <v/>
      </c>
      <c r="M237" s="107" t="str">
        <f t="shared" si="65"/>
        <v/>
      </c>
      <c r="N237" s="107" t="str">
        <f t="shared" si="65"/>
        <v/>
      </c>
      <c r="O237" s="107" t="str">
        <f t="shared" si="65"/>
        <v/>
      </c>
      <c r="P237" s="107" t="str">
        <f t="shared" si="65"/>
        <v/>
      </c>
      <c r="Q237" s="107" t="str">
        <f t="shared" si="65"/>
        <v/>
      </c>
      <c r="R237" s="107" t="str">
        <f t="shared" si="65"/>
        <v/>
      </c>
      <c r="S237" s="107" t="str">
        <f t="shared" si="65"/>
        <v/>
      </c>
      <c r="T237" s="107" t="str">
        <f t="shared" si="65"/>
        <v/>
      </c>
      <c r="U237" s="107" t="str">
        <f t="shared" si="65"/>
        <v/>
      </c>
      <c r="V237" s="107" t="str">
        <f t="shared" si="65"/>
        <v/>
      </c>
      <c r="W237" s="107" t="str">
        <f t="shared" si="65"/>
        <v/>
      </c>
      <c r="X237" s="107" t="str">
        <f t="shared" si="65"/>
        <v/>
      </c>
      <c r="Y237" s="107" t="str">
        <f t="shared" si="65"/>
        <v/>
      </c>
      <c r="Z237" s="107" t="str">
        <f t="shared" si="65"/>
        <v/>
      </c>
      <c r="AA237" s="107" t="str">
        <f t="shared" si="65"/>
        <v/>
      </c>
      <c r="AB237" s="107" t="str">
        <f t="shared" si="65"/>
        <v/>
      </c>
      <c r="AC237" s="107" t="str">
        <f t="shared" si="65"/>
        <v/>
      </c>
      <c r="AD237" s="107" t="str">
        <f t="shared" si="65"/>
        <v/>
      </c>
      <c r="AE237" s="107" t="str">
        <f t="shared" si="65"/>
        <v/>
      </c>
      <c r="AF237" s="107" t="str">
        <f t="shared" si="65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6">IF(B205&lt;100,"",B205-330)</f>
        <v/>
      </c>
      <c r="C238" s="107" t="str">
        <f t="shared" si="66"/>
        <v/>
      </c>
      <c r="D238" s="107" t="str">
        <f t="shared" si="66"/>
        <v/>
      </c>
      <c r="E238" s="107" t="str">
        <f t="shared" si="66"/>
        <v/>
      </c>
      <c r="F238" s="107" t="str">
        <f t="shared" si="66"/>
        <v/>
      </c>
      <c r="G238" s="107" t="str">
        <f t="shared" si="66"/>
        <v/>
      </c>
      <c r="H238" s="107" t="str">
        <f t="shared" si="66"/>
        <v/>
      </c>
      <c r="I238" s="107" t="str">
        <f t="shared" si="66"/>
        <v/>
      </c>
      <c r="J238" s="107" t="str">
        <f t="shared" si="66"/>
        <v/>
      </c>
      <c r="K238" s="107" t="str">
        <f t="shared" si="66"/>
        <v/>
      </c>
      <c r="L238" s="107" t="str">
        <f t="shared" si="66"/>
        <v/>
      </c>
      <c r="M238" s="107" t="str">
        <f t="shared" si="66"/>
        <v/>
      </c>
      <c r="N238" s="107" t="str">
        <f t="shared" si="66"/>
        <v/>
      </c>
      <c r="O238" s="107" t="str">
        <f t="shared" si="66"/>
        <v/>
      </c>
      <c r="P238" s="107" t="str">
        <f t="shared" si="66"/>
        <v/>
      </c>
      <c r="Q238" s="107" t="str">
        <f t="shared" si="66"/>
        <v/>
      </c>
      <c r="R238" s="107" t="str">
        <f t="shared" si="66"/>
        <v/>
      </c>
      <c r="S238" s="107" t="str">
        <f t="shared" si="66"/>
        <v/>
      </c>
      <c r="T238" s="107" t="str">
        <f t="shared" si="66"/>
        <v/>
      </c>
      <c r="U238" s="107" t="str">
        <f t="shared" si="66"/>
        <v/>
      </c>
      <c r="V238" s="107" t="str">
        <f t="shared" si="66"/>
        <v/>
      </c>
      <c r="W238" s="107" t="str">
        <f t="shared" si="66"/>
        <v/>
      </c>
      <c r="X238" s="107" t="str">
        <f t="shared" si="66"/>
        <v/>
      </c>
      <c r="Y238" s="107" t="str">
        <f t="shared" si="66"/>
        <v/>
      </c>
      <c r="Z238" s="107" t="str">
        <f t="shared" si="66"/>
        <v/>
      </c>
      <c r="AA238" s="107" t="str">
        <f t="shared" si="66"/>
        <v/>
      </c>
      <c r="AB238" s="107" t="str">
        <f t="shared" si="66"/>
        <v/>
      </c>
      <c r="AC238" s="107" t="str">
        <f t="shared" si="66"/>
        <v/>
      </c>
      <c r="AD238" s="107" t="str">
        <f t="shared" si="66"/>
        <v/>
      </c>
      <c r="AE238" s="107" t="str">
        <f t="shared" si="66"/>
        <v/>
      </c>
      <c r="AF238" s="107" t="str">
        <f t="shared" si="66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7">IF(C206&lt;100,"",C206-1500)</f>
        <v/>
      </c>
      <c r="D239" s="107" t="str">
        <f t="shared" si="67"/>
        <v/>
      </c>
      <c r="E239" s="107" t="str">
        <f t="shared" si="67"/>
        <v/>
      </c>
      <c r="F239" s="107" t="str">
        <f t="shared" si="67"/>
        <v/>
      </c>
      <c r="G239" s="107" t="str">
        <f t="shared" si="67"/>
        <v/>
      </c>
      <c r="H239" s="107" t="str">
        <f t="shared" si="67"/>
        <v/>
      </c>
      <c r="I239" s="107" t="str">
        <f t="shared" si="67"/>
        <v/>
      </c>
      <c r="J239" s="107" t="str">
        <f t="shared" si="67"/>
        <v/>
      </c>
      <c r="K239" s="107" t="str">
        <f t="shared" si="67"/>
        <v/>
      </c>
      <c r="L239" s="107" t="str">
        <f t="shared" si="67"/>
        <v/>
      </c>
      <c r="M239" s="107" t="str">
        <f t="shared" si="67"/>
        <v/>
      </c>
      <c r="N239" s="107" t="str">
        <f t="shared" si="67"/>
        <v/>
      </c>
      <c r="O239" s="107" t="str">
        <f t="shared" si="67"/>
        <v/>
      </c>
      <c r="P239" s="107" t="str">
        <f t="shared" si="67"/>
        <v/>
      </c>
      <c r="Q239" s="107" t="str">
        <f t="shared" si="67"/>
        <v/>
      </c>
      <c r="R239" s="107" t="str">
        <f t="shared" si="67"/>
        <v/>
      </c>
      <c r="S239" s="107" t="str">
        <f t="shared" si="67"/>
        <v/>
      </c>
      <c r="T239" s="107" t="str">
        <f t="shared" si="67"/>
        <v/>
      </c>
      <c r="U239" s="107" t="str">
        <f t="shared" si="67"/>
        <v/>
      </c>
      <c r="V239" s="107" t="str">
        <f t="shared" si="67"/>
        <v/>
      </c>
      <c r="W239" s="107" t="str">
        <f t="shared" si="67"/>
        <v/>
      </c>
      <c r="X239" s="107" t="str">
        <f t="shared" si="67"/>
        <v/>
      </c>
      <c r="Y239" s="107" t="str">
        <f t="shared" si="67"/>
        <v/>
      </c>
      <c r="Z239" s="107" t="str">
        <f t="shared" si="67"/>
        <v/>
      </c>
      <c r="AA239" s="107" t="str">
        <f t="shared" si="67"/>
        <v/>
      </c>
      <c r="AB239" s="107" t="str">
        <f t="shared" si="67"/>
        <v/>
      </c>
      <c r="AC239" s="107" t="str">
        <f t="shared" si="67"/>
        <v/>
      </c>
      <c r="AD239" s="107" t="str">
        <f t="shared" si="67"/>
        <v/>
      </c>
      <c r="AE239" s="107" t="str">
        <f t="shared" si="67"/>
        <v/>
      </c>
      <c r="AF239" s="107" t="str">
        <f t="shared" si="67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T11:AF11 C94:AF100">
    <cfRule type="expression" dxfId="4493" priority="210">
      <formula>B$9&gt;=20/24</formula>
    </cfRule>
    <cfRule type="expression" dxfId="4492" priority="211">
      <formula>AND(B$9&gt;=14/24,B$9&lt;20/24)</formula>
    </cfRule>
    <cfRule type="expression" dxfId="4491" priority="212">
      <formula>AND(B$9&gt;=8/24,B$9&lt;14/24)</formula>
    </cfRule>
    <cfRule type="expression" dxfId="4490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G51 M11:AF11">
    <cfRule type="expression" dxfId="4489" priority="204">
      <formula>M11&gt;$AG11</formula>
    </cfRule>
  </conditionalFormatting>
  <conditionalFormatting sqref="A101:A157 A84:A97 A11:A14 A16:A32 A45:A72 A80:A82 A74:A78 A35:A43 A170:A200">
    <cfRule type="expression" dxfId="4488" priority="203">
      <formula>$AH11=0</formula>
    </cfRule>
  </conditionalFormatting>
  <conditionalFormatting sqref="A98">
    <cfRule type="expression" dxfId="4487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486" priority="200">
      <formula>$AH34=0</formula>
    </cfRule>
  </conditionalFormatting>
  <conditionalFormatting sqref="A83">
    <cfRule type="expression" dxfId="4485" priority="199">
      <formula>$AH83=0</formula>
    </cfRule>
  </conditionalFormatting>
  <conditionalFormatting sqref="A15">
    <cfRule type="expression" dxfId="4484" priority="198">
      <formula>$AH15=0</formula>
    </cfRule>
  </conditionalFormatting>
  <conditionalFormatting sqref="A164:A169">
    <cfRule type="expression" dxfId="4483" priority="197">
      <formula>$AH164=0</formula>
    </cfRule>
  </conditionalFormatting>
  <conditionalFormatting sqref="A158:A163">
    <cfRule type="expression" dxfId="4482" priority="196">
      <formula>$AH158=0</formula>
    </cfRule>
  </conditionalFormatting>
  <conditionalFormatting sqref="A44">
    <cfRule type="expression" dxfId="4481" priority="195">
      <formula>$AH44=0</formula>
    </cfRule>
  </conditionalFormatting>
  <conditionalFormatting sqref="A79">
    <cfRule type="expression" dxfId="4480" priority="194">
      <formula>$AH79=0</formula>
    </cfRule>
  </conditionalFormatting>
  <conditionalFormatting sqref="A73">
    <cfRule type="expression" dxfId="4479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478" priority="189">
      <formula>C$9&gt;=20/24</formula>
    </cfRule>
    <cfRule type="expression" dxfId="4477" priority="190">
      <formula>AND(C$9&gt;=14/24,C$9&lt;20/24)</formula>
    </cfRule>
    <cfRule type="expression" dxfId="4476" priority="191">
      <formula>AND(C$9&gt;=8/24,C$9&lt;14/24)</formula>
    </cfRule>
    <cfRule type="expression" dxfId="4475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474" priority="217">
      <formula>C$9&gt;=20/24</formula>
    </cfRule>
    <cfRule type="expression" dxfId="4473" priority="218">
      <formula>AND(C$9&gt;=14/24,C$9&lt;20/24)</formula>
    </cfRule>
    <cfRule type="expression" dxfId="4472" priority="219">
      <formula>AND(C$9&gt;=8/24,C$9&lt;14/24)</formula>
    </cfRule>
    <cfRule type="expression" dxfId="4471" priority="220">
      <formula>C$9&lt;8/24</formula>
    </cfRule>
  </conditionalFormatting>
  <conditionalFormatting sqref="A201">
    <cfRule type="expression" dxfId="4470" priority="221">
      <formula>$AH201=0</formula>
    </cfRule>
  </conditionalFormatting>
  <conditionalFormatting sqref="AG213">
    <cfRule type="expression" dxfId="4469" priority="222">
      <formula>B$9&gt;=20/24</formula>
    </cfRule>
    <cfRule type="expression" dxfId="4468" priority="223">
      <formula>AND(B$9&gt;=14/24,B$9&lt;20/24)</formula>
    </cfRule>
    <cfRule type="expression" dxfId="4467" priority="224">
      <formula>AND(B$9&gt;=8/24,B$9&lt;14/24)</formula>
    </cfRule>
    <cfRule type="expression" dxfId="4466" priority="225">
      <formula>B$9&lt;8/24</formula>
    </cfRule>
  </conditionalFormatting>
  <conditionalFormatting sqref="S8">
    <cfRule type="expression" dxfId="4465" priority="184">
      <formula>U$9&gt;=20/24</formula>
    </cfRule>
    <cfRule type="expression" dxfId="4464" priority="185">
      <formula>AND(U$9&gt;=14/24,U$9&lt;20/24)</formula>
    </cfRule>
    <cfRule type="expression" dxfId="4463" priority="186">
      <formula>AND(U$9&gt;=8/24,U$9&lt;14/24)</formula>
    </cfRule>
    <cfRule type="expression" dxfId="4462" priority="187">
      <formula>U$9&lt;8/24</formula>
    </cfRule>
  </conditionalFormatting>
  <conditionalFormatting sqref="AB8">
    <cfRule type="expression" dxfId="4461" priority="180">
      <formula>AD$9&gt;=20/24</formula>
    </cfRule>
    <cfRule type="expression" dxfId="4460" priority="181">
      <formula>AND(AD$9&gt;=14/24,AD$9&lt;20/24)</formula>
    </cfRule>
    <cfRule type="expression" dxfId="4459" priority="182">
      <formula>AND(AD$9&gt;=8/24,AD$9&lt;14/24)</formula>
    </cfRule>
    <cfRule type="expression" dxfId="4458" priority="183">
      <formula>AD$9&lt;8/24</formula>
    </cfRule>
  </conditionalFormatting>
  <conditionalFormatting sqref="AH213:AX213">
    <cfRule type="expression" dxfId="4457" priority="226">
      <formula>AG$9&gt;=20/24</formula>
    </cfRule>
    <cfRule type="expression" dxfId="4456" priority="227">
      <formula>AND(AG$9&gt;=14/24,AG$9&lt;20/24)</formula>
    </cfRule>
    <cfRule type="expression" dxfId="4455" priority="228">
      <formula>AND(AG$9&gt;=8/24,AG$9&lt;14/24)</formula>
    </cfRule>
    <cfRule type="expression" dxfId="4454" priority="229">
      <formula>AG$9&lt;8/24</formula>
    </cfRule>
  </conditionalFormatting>
  <conditionalFormatting sqref="T213">
    <cfRule type="expression" dxfId="4453" priority="230">
      <formula>AX$9&gt;=20/24</formula>
    </cfRule>
    <cfRule type="expression" dxfId="4452" priority="231">
      <formula>AND(AX$9&gt;=14/24,AX$9&lt;20/24)</formula>
    </cfRule>
    <cfRule type="expression" dxfId="4451" priority="232">
      <formula>AND(AX$9&gt;=8/24,AX$9&lt;14/24)</formula>
    </cfRule>
    <cfRule type="expression" dxfId="4450" priority="233">
      <formula>AX$9&lt;8/24</formula>
    </cfRule>
  </conditionalFormatting>
  <conditionalFormatting sqref="A99:A100">
    <cfRule type="expression" dxfId="4449" priority="179">
      <formula>$AH99=0</formula>
    </cfRule>
  </conditionalFormatting>
  <conditionalFormatting sqref="E40:L41 C57:AF57 S40:AF41">
    <cfRule type="expression" dxfId="4448" priority="175">
      <formula>C$9&gt;=20/24</formula>
    </cfRule>
    <cfRule type="expression" dxfId="4447" priority="176">
      <formula>AND(C$9&gt;=14/24,C$9&lt;20/24)</formula>
    </cfRule>
    <cfRule type="expression" dxfId="4446" priority="177">
      <formula>AND(C$9&gt;=8/24,C$9&lt;14/24)</formula>
    </cfRule>
    <cfRule type="expression" dxfId="4445" priority="178">
      <formula>C$9&lt;8/24</formula>
    </cfRule>
  </conditionalFormatting>
  <conditionalFormatting sqref="E39:L39 S39:W39 AB39:AF39">
    <cfRule type="expression" dxfId="4444" priority="171">
      <formula>E$9&gt;=20/24</formula>
    </cfRule>
    <cfRule type="expression" dxfId="4443" priority="172">
      <formula>AND(E$9&gt;=14/24,E$9&lt;20/24)</formula>
    </cfRule>
    <cfRule type="expression" dxfId="4442" priority="173">
      <formula>AND(E$9&gt;=8/24,E$9&lt;14/24)</formula>
    </cfRule>
    <cfRule type="expression" dxfId="4441" priority="174">
      <formula>E$9&lt;8/24</formula>
    </cfRule>
  </conditionalFormatting>
  <conditionalFormatting sqref="E39:L41 S39:W41 X40:AA41 AB39:AF41">
    <cfRule type="expression" dxfId="4440" priority="170">
      <formula>E39&gt;$AG39</formula>
    </cfRule>
  </conditionalFormatting>
  <conditionalFormatting sqref="C81:AF81 C69:AF72 G60:L60 E60:F62 G61:H62 I61:L63 I67:U67 M60:U63 C53:AF56 C58:Z59 V60:AA67 AA58:AF67 C85:AF91 M11:S11">
    <cfRule type="expression" dxfId="4439" priority="166">
      <formula>C$9&gt;=20/24</formula>
    </cfRule>
    <cfRule type="expression" dxfId="4438" priority="167">
      <formula>AND(C$9&gt;=14/24,C$9&lt;20/24)</formula>
    </cfRule>
    <cfRule type="expression" dxfId="4437" priority="168">
      <formula>AND(C$9&gt;=8/24,C$9&lt;14/24)</formula>
    </cfRule>
    <cfRule type="expression" dxfId="4436" priority="169">
      <formula>C$9&lt;8/24</formula>
    </cfRule>
  </conditionalFormatting>
  <conditionalFormatting sqref="C51:AF51 E42:K42 F44:J44 E43:J43 K43:K44 L42:L44 M44:O44 C53:AF56 E37:AF37 AB42:AF43 M11:S11">
    <cfRule type="expression" dxfId="4435" priority="157">
      <formula>C11&gt;$AG11</formula>
    </cfRule>
  </conditionalFormatting>
  <conditionalFormatting sqref="S11">
    <cfRule type="expression" dxfId="4434" priority="140">
      <formula>S$9&gt;=20/24</formula>
    </cfRule>
    <cfRule type="expression" dxfId="4433" priority="141">
      <formula>AND(S$9&gt;=14/24,S$9&lt;20/24)</formula>
    </cfRule>
    <cfRule type="expression" dxfId="4432" priority="142">
      <formula>AND(S$9&gt;=8/24,S$9&lt;14/24)</formula>
    </cfRule>
    <cfRule type="expression" dxfId="4431" priority="143">
      <formula>S$9&lt;8/24</formula>
    </cfRule>
  </conditionalFormatting>
  <conditionalFormatting sqref="AB44:AF50">
    <cfRule type="expression" dxfId="4430" priority="136">
      <formula>AB$9&gt;=20/24</formula>
    </cfRule>
    <cfRule type="expression" dxfId="4429" priority="137">
      <formula>AND(AB$9&gt;=14/24,AB$9&lt;20/24)</formula>
    </cfRule>
    <cfRule type="expression" dxfId="4428" priority="138">
      <formula>AND(AB$9&gt;=8/24,AB$9&lt;14/24)</formula>
    </cfRule>
    <cfRule type="expression" dxfId="4427" priority="139">
      <formula>AB$9&lt;8/24</formula>
    </cfRule>
  </conditionalFormatting>
  <conditionalFormatting sqref="AB44:AF50">
    <cfRule type="expression" dxfId="4426" priority="135">
      <formula>AB44&gt;$AG44</formula>
    </cfRule>
  </conditionalFormatting>
  <conditionalFormatting sqref="M39:R42 M43:O43 P43:R44 S42:AA44">
    <cfRule type="expression" dxfId="4425" priority="131">
      <formula>M$9&gt;=20/24</formula>
    </cfRule>
    <cfRule type="expression" dxfId="4424" priority="132">
      <formula>AND(M$9&gt;=14/24,M$9&lt;20/24)</formula>
    </cfRule>
    <cfRule type="expression" dxfId="4423" priority="133">
      <formula>AND(M$9&gt;=8/24,M$9&lt;14/24)</formula>
    </cfRule>
    <cfRule type="expression" dxfId="4422" priority="134">
      <formula>M$9&lt;8/24</formula>
    </cfRule>
  </conditionalFormatting>
  <conditionalFormatting sqref="M39:R42 M43:O43 P43:R44 S42:AA44">
    <cfRule type="expression" dxfId="4421" priority="130">
      <formula>M39&gt;$AG39</formula>
    </cfRule>
  </conditionalFormatting>
  <conditionalFormatting sqref="K16:AF17">
    <cfRule type="expression" dxfId="4420" priority="122">
      <formula>K$9&gt;=20/24</formula>
    </cfRule>
    <cfRule type="expression" dxfId="4419" priority="123">
      <formula>AND(K$9&gt;=14/24,K$9&lt;20/24)</formula>
    </cfRule>
    <cfRule type="expression" dxfId="4418" priority="124">
      <formula>AND(K$9&gt;=8/24,K$9&lt;14/24)</formula>
    </cfRule>
    <cfRule type="expression" dxfId="4417" priority="125">
      <formula>K$9&lt;8/24</formula>
    </cfRule>
  </conditionalFormatting>
  <conditionalFormatting sqref="K16:AF17">
    <cfRule type="expression" dxfId="4416" priority="113">
      <formula>K16&gt;$AG16</formula>
    </cfRule>
  </conditionalFormatting>
  <conditionalFormatting sqref="I64:U66">
    <cfRule type="expression" dxfId="4415" priority="87">
      <formula>I$9&gt;=20/24</formula>
    </cfRule>
    <cfRule type="expression" dxfId="4414" priority="88">
      <formula>AND(I$9&gt;=14/24,I$9&lt;20/24)</formula>
    </cfRule>
    <cfRule type="expression" dxfId="4413" priority="89">
      <formula>AND(I$9&gt;=8/24,I$9&lt;14/24)</formula>
    </cfRule>
    <cfRule type="expression" dxfId="4412" priority="90">
      <formula>I$9&lt;8/24</formula>
    </cfRule>
  </conditionalFormatting>
  <conditionalFormatting sqref="F45:I45 L49 J45:L48 M45:AA49">
    <cfRule type="expression" dxfId="4411" priority="82">
      <formula>F$9&gt;=20/24</formula>
    </cfRule>
    <cfRule type="expression" dxfId="4410" priority="83">
      <formula>AND(F$9&gt;=14/24,F$9&lt;20/24)</formula>
    </cfRule>
    <cfRule type="expression" dxfId="4409" priority="84">
      <formula>AND(F$9&gt;=8/24,F$9&lt;14/24)</formula>
    </cfRule>
    <cfRule type="expression" dxfId="4408" priority="85">
      <formula>F$9&lt;8/24</formula>
    </cfRule>
  </conditionalFormatting>
  <conditionalFormatting sqref="F45:I45 L49 J45:L48 M45:AA49">
    <cfRule type="expression" dxfId="4407" priority="81">
      <formula>F45&gt;$AG45</formula>
    </cfRule>
  </conditionalFormatting>
  <conditionalFormatting sqref="X39:AA39">
    <cfRule type="expression" dxfId="4406" priority="73">
      <formula>X$9&gt;=20/24</formula>
    </cfRule>
    <cfRule type="expression" dxfId="4405" priority="74">
      <formula>AND(X$9&gt;=14/24,X$9&lt;20/24)</formula>
    </cfRule>
    <cfRule type="expression" dxfId="4404" priority="75">
      <formula>AND(X$9&gt;=8/24,X$9&lt;14/24)</formula>
    </cfRule>
    <cfRule type="expression" dxfId="4403" priority="76">
      <formula>X$9&lt;8/24</formula>
    </cfRule>
  </conditionalFormatting>
  <conditionalFormatting sqref="X39:AA39">
    <cfRule type="expression" dxfId="4402" priority="72">
      <formula>X39&gt;$AG39</formula>
    </cfRule>
  </conditionalFormatting>
  <conditionalFormatting sqref="B94:B100 B74:AF74 B82:AF82 B11:L11">
    <cfRule type="expression" dxfId="4401" priority="68">
      <formula>B$9&gt;=20/24</formula>
    </cfRule>
    <cfRule type="expression" dxfId="4400" priority="69">
      <formula>AND(B$9&gt;=14/24,B$9&lt;20/24)</formula>
    </cfRule>
    <cfRule type="expression" dxfId="4399" priority="70">
      <formula>AND(B$9&gt;=8/24,B$9&lt;14/24)</formula>
    </cfRule>
    <cfRule type="expression" dxfId="4398" priority="71">
      <formula>B$9&lt;8/24</formula>
    </cfRule>
  </conditionalFormatting>
  <conditionalFormatting sqref="B37:D37">
    <cfRule type="expression" dxfId="4397" priority="64">
      <formula>B$9&gt;=20/24</formula>
    </cfRule>
    <cfRule type="expression" dxfId="4396" priority="65">
      <formula>AND(B$9&gt;=14/24,B$9&lt;20/24)</formula>
    </cfRule>
    <cfRule type="expression" dxfId="4395" priority="66">
      <formula>AND(B$9&gt;=8/24,B$9&lt;14/24)</formula>
    </cfRule>
    <cfRule type="expression" dxfId="4394" priority="67">
      <formula>B$9&lt;8/24</formula>
    </cfRule>
  </conditionalFormatting>
  <conditionalFormatting sqref="B37:D37 B11:L11">
    <cfRule type="expression" dxfId="4393" priority="63">
      <formula>B11&gt;$AG11</formula>
    </cfRule>
  </conditionalFormatting>
  <conditionalFormatting sqref="B84">
    <cfRule type="expression" dxfId="4392" priority="59">
      <formula>B$9&gt;=20/24</formula>
    </cfRule>
    <cfRule type="expression" dxfId="4391" priority="60">
      <formula>AND(B$9&gt;=14/24,B$9&lt;20/24)</formula>
    </cfRule>
    <cfRule type="expression" dxfId="4390" priority="61">
      <formula>AND(B$9&gt;=8/24,B$9&lt;14/24)</formula>
    </cfRule>
    <cfRule type="expression" dxfId="4389" priority="62">
      <formula>B$9&lt;8/24</formula>
    </cfRule>
  </conditionalFormatting>
  <conditionalFormatting sqref="B57 B40:D41 B36:AF36">
    <cfRule type="expression" dxfId="4388" priority="55">
      <formula>B$9&gt;=20/24</formula>
    </cfRule>
    <cfRule type="expression" dxfId="4387" priority="56">
      <formula>AND(B$9&gt;=14/24,B$9&lt;20/24)</formula>
    </cfRule>
    <cfRule type="expression" dxfId="4386" priority="57">
      <formula>AND(B$9&gt;=8/24,B$9&lt;14/24)</formula>
    </cfRule>
    <cfRule type="expression" dxfId="4385" priority="58">
      <formula>B$9&lt;8/24</formula>
    </cfRule>
  </conditionalFormatting>
  <conditionalFormatting sqref="B39:D39">
    <cfRule type="expression" dxfId="4384" priority="51">
      <formula>B$9&gt;=20/24</formula>
    </cfRule>
    <cfRule type="expression" dxfId="4383" priority="52">
      <formula>AND(B$9&gt;=14/24,B$9&lt;20/24)</formula>
    </cfRule>
    <cfRule type="expression" dxfId="4382" priority="53">
      <formula>AND(B$9&gt;=8/24,B$9&lt;14/24)</formula>
    </cfRule>
    <cfRule type="expression" dxfId="4381" priority="54">
      <formula>B$9&lt;8/24</formula>
    </cfRule>
  </conditionalFormatting>
  <conditionalFormatting sqref="B39:D41 B36:AF36">
    <cfRule type="expression" dxfId="4380" priority="50">
      <formula>B36&gt;$AG36</formula>
    </cfRule>
  </conditionalFormatting>
  <conditionalFormatting sqref="B85:B91 B53:B56 B58:B59 B69:B73 B75:AF75 C73:AF73 B81 B83:AF83 B60:D67 E63:H67 B16:J16 B12:AF14 B28:AF31 B24:AF26 B18:AF22">
    <cfRule type="expression" dxfId="4379" priority="46">
      <formula>B$9&gt;=20/24</formula>
    </cfRule>
    <cfRule type="expression" dxfId="4378" priority="47">
      <formula>AND(B$9&gt;=14/24,B$9&lt;20/24)</formula>
    </cfRule>
    <cfRule type="expression" dxfId="4377" priority="48">
      <formula>AND(B$9&gt;=8/24,B$9&lt;14/24)</formula>
    </cfRule>
    <cfRule type="expression" dxfId="4376" priority="49">
      <formula>B$9&lt;8/24</formula>
    </cfRule>
  </conditionalFormatting>
  <conditionalFormatting sqref="B32:AF32">
    <cfRule type="expression" dxfId="4375" priority="42">
      <formula>B$9&gt;=20/24</formula>
    </cfRule>
    <cfRule type="expression" dxfId="4374" priority="43">
      <formula>AND(B$9&gt;=14/24,B$9&lt;20/24)</formula>
    </cfRule>
    <cfRule type="expression" dxfId="4373" priority="44">
      <formula>AND(B$9&gt;=8/24,B$9&lt;14/24)</formula>
    </cfRule>
    <cfRule type="expression" dxfId="4372" priority="45">
      <formula>B$9&lt;8/24</formula>
    </cfRule>
  </conditionalFormatting>
  <conditionalFormatting sqref="B35:AF35">
    <cfRule type="expression" dxfId="4371" priority="38">
      <formula>B$9&gt;=20/24</formula>
    </cfRule>
    <cfRule type="expression" dxfId="4370" priority="39">
      <formula>AND(B$9&gt;=14/24,B$9&lt;20/24)</formula>
    </cfRule>
    <cfRule type="expression" dxfId="4369" priority="40">
      <formula>AND(B$9&gt;=8/24,B$9&lt;14/24)</formula>
    </cfRule>
    <cfRule type="expression" dxfId="4368" priority="41">
      <formula>B$9&lt;8/24</formula>
    </cfRule>
  </conditionalFormatting>
  <conditionalFormatting sqref="B51:B56 B38:AF38 C52:AF52 B42:D43 B12:J16 K12:AF15 B34:AF35 B24:AF32 B18:AF22">
    <cfRule type="expression" dxfId="4367" priority="37">
      <formula>B12&gt;$AG12</formula>
    </cfRule>
  </conditionalFormatting>
  <conditionalFormatting sqref="B34:AF34">
    <cfRule type="expression" dxfId="4366" priority="33">
      <formula>B$9&gt;=20/24</formula>
    </cfRule>
    <cfRule type="expression" dxfId="4365" priority="34">
      <formula>AND(B$9&gt;=14/24,B$9&lt;20/24)</formula>
    </cfRule>
    <cfRule type="expression" dxfId="4364" priority="35">
      <formula>AND(B$9&gt;=8/24,B$9&lt;14/24)</formula>
    </cfRule>
    <cfRule type="expression" dxfId="4363" priority="36">
      <formula>B$9&lt;8/24</formula>
    </cfRule>
  </conditionalFormatting>
  <conditionalFormatting sqref="B15:AF15">
    <cfRule type="expression" dxfId="4362" priority="29">
      <formula>B$9&gt;=20/24</formula>
    </cfRule>
    <cfRule type="expression" dxfId="4361" priority="30">
      <formula>AND(B$9&gt;=14/24,B$9&lt;20/24)</formula>
    </cfRule>
    <cfRule type="expression" dxfId="4360" priority="31">
      <formula>AND(B$9&gt;=8/24,B$9&lt;14/24)</formula>
    </cfRule>
    <cfRule type="expression" dxfId="4359" priority="32">
      <formula>B$9&lt;8/24</formula>
    </cfRule>
  </conditionalFormatting>
  <conditionalFormatting sqref="B33:AF33">
    <cfRule type="expression" dxfId="4358" priority="25">
      <formula>B$9&gt;=20/24</formula>
    </cfRule>
    <cfRule type="expression" dxfId="4357" priority="26">
      <formula>AND(B$9&gt;=14/24,B$9&lt;20/24)</formula>
    </cfRule>
    <cfRule type="expression" dxfId="4356" priority="27">
      <formula>AND(B$9&gt;=8/24,B$9&lt;14/24)</formula>
    </cfRule>
    <cfRule type="expression" dxfId="4355" priority="28">
      <formula>B$9&lt;8/24</formula>
    </cfRule>
  </conditionalFormatting>
  <conditionalFormatting sqref="B33:AF33">
    <cfRule type="expression" dxfId="4354" priority="24">
      <formula>B33&gt;$AG33</formula>
    </cfRule>
  </conditionalFormatting>
  <conditionalFormatting sqref="B44:E50 F46:I50 J49:K50 L50:AA50">
    <cfRule type="expression" dxfId="4353" priority="20">
      <formula>B$9&gt;=20/24</formula>
    </cfRule>
    <cfRule type="expression" dxfId="4352" priority="21">
      <formula>AND(B$9&gt;=14/24,B$9&lt;20/24)</formula>
    </cfRule>
    <cfRule type="expression" dxfId="4351" priority="22">
      <formula>AND(B$9&gt;=8/24,B$9&lt;14/24)</formula>
    </cfRule>
    <cfRule type="expression" dxfId="4350" priority="23">
      <formula>B$9&lt;8/24</formula>
    </cfRule>
  </conditionalFormatting>
  <conditionalFormatting sqref="B44:E50 F46:I50 J49:K50 L50:AA50">
    <cfRule type="expression" dxfId="4349" priority="19">
      <formula>B44&gt;$AG44</formula>
    </cfRule>
  </conditionalFormatting>
  <conditionalFormatting sqref="B27:AF27">
    <cfRule type="expression" dxfId="4348" priority="15">
      <formula>B$9&gt;=20/24</formula>
    </cfRule>
    <cfRule type="expression" dxfId="4347" priority="16">
      <formula>AND(B$9&gt;=14/24,B$9&lt;20/24)</formula>
    </cfRule>
    <cfRule type="expression" dxfId="4346" priority="17">
      <formula>AND(B$9&gt;=8/24,B$9&lt;14/24)</formula>
    </cfRule>
    <cfRule type="expression" dxfId="4345" priority="18">
      <formula>B$9&lt;8/24</formula>
    </cfRule>
  </conditionalFormatting>
  <conditionalFormatting sqref="B17:J17 B23:AF23">
    <cfRule type="expression" dxfId="4344" priority="11">
      <formula>B$9&gt;=20/24</formula>
    </cfRule>
    <cfRule type="expression" dxfId="4343" priority="12">
      <formula>AND(B$9&gt;=14/24,B$9&lt;20/24)</formula>
    </cfRule>
    <cfRule type="expression" dxfId="4342" priority="13">
      <formula>AND(B$9&gt;=8/24,B$9&lt;14/24)</formula>
    </cfRule>
    <cfRule type="expression" dxfId="4341" priority="14">
      <formula>B$9&lt;8/24</formula>
    </cfRule>
  </conditionalFormatting>
  <conditionalFormatting sqref="B17:J17 B23:AF23">
    <cfRule type="expression" dxfId="4340" priority="10">
      <formula>B17&gt;$AG17</formula>
    </cfRule>
  </conditionalFormatting>
  <conditionalFormatting sqref="A33">
    <cfRule type="expression" dxfId="4339" priority="9">
      <formula>$AH33=0</formula>
    </cfRule>
  </conditionalFormatting>
  <conditionalFormatting sqref="B68:AF68">
    <cfRule type="expression" dxfId="4338" priority="5">
      <formula>B$9&gt;=20/24</formula>
    </cfRule>
    <cfRule type="expression" dxfId="4337" priority="6">
      <formula>AND(B$9&gt;=14/24,B$9&lt;20/24)</formula>
    </cfRule>
    <cfRule type="expression" dxfId="4336" priority="7">
      <formula>AND(B$9&gt;=8/24,B$9&lt;14/24)</formula>
    </cfRule>
    <cfRule type="expression" dxfId="4335" priority="8">
      <formula>B$9&lt;8/24</formula>
    </cfRule>
  </conditionalFormatting>
  <conditionalFormatting sqref="B76:AF80">
    <cfRule type="expression" dxfId="4334" priority="1">
      <formula>B$9&gt;=20/24</formula>
    </cfRule>
    <cfRule type="expression" dxfId="4333" priority="2">
      <formula>AND(B$9&gt;=14/24,B$9&lt;20/24)</formula>
    </cfRule>
    <cfRule type="expression" dxfId="4332" priority="3">
      <formula>AND(B$9&gt;=8/24,B$9&lt;14/24)</formula>
    </cfRule>
    <cfRule type="expression" dxfId="4331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100" sqref="A100:XFD10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"2079/"&amp;"03/"&amp;INT(MID(CELL("filename",D6),FIND("]",CELL("filename",D6))+1,200))</f>
        <v>2079/03/13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79</v>
      </c>
      <c r="C5" s="32">
        <f t="shared" si="0"/>
        <v>78</v>
      </c>
      <c r="D5" s="32">
        <f t="shared" si="0"/>
        <v>77</v>
      </c>
      <c r="E5" s="32">
        <f t="shared" si="0"/>
        <v>77.5</v>
      </c>
      <c r="F5" s="32">
        <f t="shared" si="0"/>
        <v>65.900000000000006</v>
      </c>
      <c r="G5" s="32">
        <f t="shared" si="0"/>
        <v>71.5</v>
      </c>
      <c r="H5" s="32">
        <f t="shared" si="0"/>
        <v>8</v>
      </c>
      <c r="I5" s="32">
        <f t="shared" si="0"/>
        <v>66</v>
      </c>
      <c r="J5" s="32">
        <f t="shared" si="0"/>
        <v>60</v>
      </c>
      <c r="K5" s="32">
        <f t="shared" si="0"/>
        <v>54.7</v>
      </c>
      <c r="L5" s="32">
        <f t="shared" si="0"/>
        <v>73</v>
      </c>
      <c r="M5" s="32">
        <f t="shared" si="0"/>
        <v>79.099999999999994</v>
      </c>
      <c r="N5" s="32">
        <f t="shared" si="0"/>
        <v>77.099999999999994</v>
      </c>
      <c r="O5" s="32">
        <f t="shared" si="0"/>
        <v>104.2</v>
      </c>
      <c r="P5" s="32">
        <f t="shared" si="0"/>
        <v>104.8</v>
      </c>
      <c r="Q5" s="32">
        <f t="shared" si="0"/>
        <v>104.2</v>
      </c>
      <c r="R5" s="32">
        <f t="shared" si="0"/>
        <v>115</v>
      </c>
      <c r="S5" s="32">
        <f t="shared" si="0"/>
        <v>113</v>
      </c>
      <c r="T5" s="32">
        <f t="shared" si="0"/>
        <v>0</v>
      </c>
      <c r="U5" s="32">
        <f t="shared" si="0"/>
        <v>101</v>
      </c>
      <c r="V5" s="32">
        <f t="shared" si="0"/>
        <v>104</v>
      </c>
      <c r="W5" s="32">
        <f t="shared" si="0"/>
        <v>106</v>
      </c>
      <c r="X5" s="32">
        <f t="shared" si="0"/>
        <v>99.7</v>
      </c>
      <c r="Y5" s="32">
        <f t="shared" si="0"/>
        <v>95</v>
      </c>
      <c r="Z5" s="32">
        <f t="shared" si="0"/>
        <v>101</v>
      </c>
      <c r="AA5" s="32">
        <f t="shared" si="0"/>
        <v>116</v>
      </c>
      <c r="AB5" s="32">
        <f t="shared" si="0"/>
        <v>116.8</v>
      </c>
      <c r="AC5" s="32">
        <f t="shared" si="0"/>
        <v>119.8</v>
      </c>
      <c r="AD5" s="32">
        <f t="shared" si="0"/>
        <v>118.5</v>
      </c>
      <c r="AE5" s="32">
        <f t="shared" si="0"/>
        <v>114.3</v>
      </c>
      <c r="AF5" s="32">
        <f>B68</f>
        <v>99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1751MW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Load=1595</v>
      </c>
      <c r="B7" s="37">
        <f>B75</f>
        <v>1711.44</v>
      </c>
      <c r="C7" s="37">
        <f t="shared" ref="C7:AF7" si="1">C75</f>
        <v>1720.6399999999999</v>
      </c>
      <c r="D7" s="37">
        <f t="shared" si="1"/>
        <v>1717.74</v>
      </c>
      <c r="E7" s="37">
        <f t="shared" si="1"/>
        <v>1716.24</v>
      </c>
      <c r="F7" s="37">
        <f t="shared" si="1"/>
        <v>1717.24</v>
      </c>
      <c r="G7" s="37">
        <f t="shared" si="1"/>
        <v>1690.8400000000001</v>
      </c>
      <c r="H7" s="37">
        <f t="shared" si="1"/>
        <v>1696.44</v>
      </c>
      <c r="I7" s="37">
        <f t="shared" si="1"/>
        <v>1642.94</v>
      </c>
      <c r="J7" s="37">
        <f t="shared" si="1"/>
        <v>1700.94</v>
      </c>
      <c r="K7" s="37">
        <f t="shared" si="1"/>
        <v>1694.94</v>
      </c>
      <c r="L7" s="37">
        <f t="shared" si="1"/>
        <v>1697.34</v>
      </c>
      <c r="M7" s="37">
        <f t="shared" si="1"/>
        <v>1751.1399999999999</v>
      </c>
      <c r="N7" s="37">
        <f t="shared" si="1"/>
        <v>1745.0400000000002</v>
      </c>
      <c r="O7" s="37">
        <f t="shared" si="1"/>
        <v>1714.0400000000002</v>
      </c>
      <c r="P7" s="37">
        <f t="shared" si="1"/>
        <v>1772.6400000000003</v>
      </c>
      <c r="Q7" s="37">
        <f t="shared" si="1"/>
        <v>1773.2400000000002</v>
      </c>
      <c r="R7" s="37">
        <f t="shared" si="1"/>
        <v>1717.2400000000002</v>
      </c>
      <c r="S7" s="37">
        <f t="shared" si="1"/>
        <v>1741.64</v>
      </c>
      <c r="T7" s="37">
        <f t="shared" si="1"/>
        <v>1708.04</v>
      </c>
      <c r="U7" s="37">
        <f t="shared" si="1"/>
        <v>1595.04</v>
      </c>
      <c r="V7" s="37">
        <f t="shared" si="1"/>
        <v>1686.8400000000001</v>
      </c>
      <c r="W7" s="37">
        <f t="shared" si="1"/>
        <v>1704.04</v>
      </c>
      <c r="X7" s="37">
        <f t="shared" si="1"/>
        <v>1696.04</v>
      </c>
      <c r="Y7" s="37">
        <f t="shared" si="1"/>
        <v>1689.74</v>
      </c>
      <c r="Z7" s="37">
        <f t="shared" si="1"/>
        <v>1685.04</v>
      </c>
      <c r="AA7" s="37">
        <f t="shared" si="1"/>
        <v>1691.04</v>
      </c>
      <c r="AB7" s="37">
        <f t="shared" si="1"/>
        <v>1730.7400000000002</v>
      </c>
      <c r="AC7" s="37">
        <f t="shared" si="1"/>
        <v>1731.14</v>
      </c>
      <c r="AD7" s="37">
        <f t="shared" si="1"/>
        <v>1734.5400000000002</v>
      </c>
      <c r="AE7" s="37">
        <f t="shared" si="1"/>
        <v>1728.8400000000001</v>
      </c>
      <c r="AF7" s="37">
        <f t="shared" si="1"/>
        <v>1728.7400000000002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49">
        <v>456</v>
      </c>
      <c r="G11" s="49">
        <v>456</v>
      </c>
      <c r="H11" s="49">
        <v>456</v>
      </c>
      <c r="I11" s="49">
        <v>456</v>
      </c>
      <c r="J11" s="49">
        <v>456</v>
      </c>
      <c r="K11" s="49">
        <v>456</v>
      </c>
      <c r="L11" s="49">
        <v>456</v>
      </c>
      <c r="M11" s="49">
        <v>456</v>
      </c>
      <c r="N11" s="49">
        <v>456</v>
      </c>
      <c r="O11" s="49">
        <v>456</v>
      </c>
      <c r="P11" s="49">
        <v>456</v>
      </c>
      <c r="Q11" s="49">
        <v>456</v>
      </c>
      <c r="R11" s="49">
        <v>456</v>
      </c>
      <c r="S11" s="49">
        <v>456</v>
      </c>
      <c r="T11" s="49">
        <v>456</v>
      </c>
      <c r="U11" s="49">
        <v>456</v>
      </c>
      <c r="V11" s="49">
        <v>456</v>
      </c>
      <c r="W11" s="49">
        <v>456</v>
      </c>
      <c r="X11" s="49">
        <v>456</v>
      </c>
      <c r="Y11" s="49">
        <v>456</v>
      </c>
      <c r="Z11" s="49">
        <v>456</v>
      </c>
      <c r="AA11" s="49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53.4</v>
      </c>
      <c r="C13" s="51">
        <v>53.4</v>
      </c>
      <c r="D13" s="51">
        <v>53.4</v>
      </c>
      <c r="E13" s="51">
        <v>53.4</v>
      </c>
      <c r="F13" s="51">
        <v>53.4</v>
      </c>
      <c r="G13" s="51">
        <v>53.4</v>
      </c>
      <c r="H13" s="51">
        <v>53.4</v>
      </c>
      <c r="I13" s="51">
        <v>53.4</v>
      </c>
      <c r="J13" s="51">
        <v>53.4</v>
      </c>
      <c r="K13" s="51">
        <v>53.4</v>
      </c>
      <c r="L13" s="51">
        <v>53.4</v>
      </c>
      <c r="M13" s="51">
        <v>53.4</v>
      </c>
      <c r="N13" s="51">
        <v>53.4</v>
      </c>
      <c r="O13" s="51">
        <v>53.4</v>
      </c>
      <c r="P13" s="51">
        <v>53.4</v>
      </c>
      <c r="Q13" s="51">
        <v>53.4</v>
      </c>
      <c r="R13" s="51">
        <v>53.4</v>
      </c>
      <c r="S13" s="51">
        <v>53.4</v>
      </c>
      <c r="T13" s="51">
        <v>53.4</v>
      </c>
      <c r="U13" s="51">
        <v>53.4</v>
      </c>
      <c r="V13" s="51">
        <v>53.4</v>
      </c>
      <c r="W13" s="51">
        <v>53.4</v>
      </c>
      <c r="X13" s="51">
        <v>53.4</v>
      </c>
      <c r="Y13" s="51">
        <v>53.4</v>
      </c>
      <c r="Z13" s="51">
        <v>53.4</v>
      </c>
      <c r="AA13" s="51">
        <v>53.4</v>
      </c>
      <c r="AB13" s="51">
        <v>53.5</v>
      </c>
      <c r="AC13" s="51">
        <v>53.5</v>
      </c>
      <c r="AD13" s="51">
        <v>53.5</v>
      </c>
      <c r="AE13" s="51">
        <v>53.5</v>
      </c>
      <c r="AF13" s="51">
        <v>53.5</v>
      </c>
      <c r="AG13" s="59">
        <v>52.4</v>
      </c>
      <c r="AH13" s="55">
        <f t="shared" si="2"/>
        <v>53.5</v>
      </c>
      <c r="AI13" s="56">
        <f t="shared" si="3"/>
        <v>53.4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50.3</v>
      </c>
      <c r="C14" s="51">
        <v>50.3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50.3</v>
      </c>
      <c r="N14" s="51">
        <v>50.2</v>
      </c>
      <c r="O14" s="51">
        <v>50.2</v>
      </c>
      <c r="P14" s="51">
        <v>50.2</v>
      </c>
      <c r="Q14" s="51">
        <v>50.2</v>
      </c>
      <c r="R14" s="51">
        <v>50.2</v>
      </c>
      <c r="S14" s="51">
        <v>50.2</v>
      </c>
      <c r="T14" s="51">
        <v>50.2</v>
      </c>
      <c r="U14" s="51">
        <v>50.2</v>
      </c>
      <c r="V14" s="51">
        <v>50.2</v>
      </c>
      <c r="W14" s="51">
        <v>50.2</v>
      </c>
      <c r="X14" s="51">
        <v>50.2</v>
      </c>
      <c r="Y14" s="51">
        <v>50.2</v>
      </c>
      <c r="Z14" s="51">
        <v>50.2</v>
      </c>
      <c r="AA14" s="51">
        <v>50.2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9">
        <v>50</v>
      </c>
      <c r="AH14" s="55">
        <f t="shared" si="2"/>
        <v>50.4</v>
      </c>
      <c r="AI14" s="56">
        <f t="shared" si="3"/>
        <v>50.2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>
        <v>45.6</v>
      </c>
      <c r="O15" s="51">
        <v>45.6</v>
      </c>
      <c r="P15" s="51">
        <v>45.6</v>
      </c>
      <c r="Q15" s="51">
        <v>45.6</v>
      </c>
      <c r="R15" s="51">
        <v>45.6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60">
        <v>45</v>
      </c>
      <c r="AH15" s="55">
        <f t="shared" si="2"/>
        <v>45.7</v>
      </c>
      <c r="AI15" s="56">
        <f t="shared" si="3"/>
        <v>45.6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40</v>
      </c>
      <c r="D16" s="51">
        <v>40</v>
      </c>
      <c r="E16" s="51">
        <v>40</v>
      </c>
      <c r="F16" s="51">
        <v>40</v>
      </c>
      <c r="G16" s="51">
        <v>40</v>
      </c>
      <c r="H16" s="51">
        <v>40</v>
      </c>
      <c r="I16" s="51">
        <v>40</v>
      </c>
      <c r="J16" s="51">
        <v>40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0</v>
      </c>
      <c r="S16" s="51">
        <v>40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25</v>
      </c>
      <c r="C19" s="51">
        <v>25</v>
      </c>
      <c r="D19" s="51">
        <v>25</v>
      </c>
      <c r="E19" s="51">
        <v>25</v>
      </c>
      <c r="F19" s="51">
        <v>25</v>
      </c>
      <c r="G19" s="51">
        <v>25</v>
      </c>
      <c r="H19" s="51">
        <v>25</v>
      </c>
      <c r="I19" s="51">
        <v>25</v>
      </c>
      <c r="J19" s="51">
        <v>25</v>
      </c>
      <c r="K19" s="51">
        <v>25</v>
      </c>
      <c r="L19" s="51">
        <v>25</v>
      </c>
      <c r="M19" s="51">
        <v>25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26.1</v>
      </c>
      <c r="AC19" s="51">
        <v>26.1</v>
      </c>
      <c r="AD19" s="51">
        <v>26.1</v>
      </c>
      <c r="AE19" s="51">
        <v>26.1</v>
      </c>
      <c r="AF19" s="51">
        <v>26.1</v>
      </c>
      <c r="AG19" s="59">
        <v>30</v>
      </c>
      <c r="AH19" s="55">
        <f t="shared" si="2"/>
        <v>26.2</v>
      </c>
      <c r="AI19" s="56">
        <f t="shared" si="3"/>
        <v>25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5</v>
      </c>
      <c r="C20" s="51">
        <v>5</v>
      </c>
      <c r="D20" s="51">
        <v>5</v>
      </c>
      <c r="E20" s="51">
        <v>5</v>
      </c>
      <c r="F20" s="51">
        <v>5</v>
      </c>
      <c r="G20" s="51">
        <v>5</v>
      </c>
      <c r="H20" s="51">
        <v>5</v>
      </c>
      <c r="I20" s="51">
        <v>5</v>
      </c>
      <c r="J20" s="51">
        <v>5</v>
      </c>
      <c r="K20" s="51">
        <v>5</v>
      </c>
      <c r="L20" s="51">
        <v>5</v>
      </c>
      <c r="M20" s="51">
        <v>5</v>
      </c>
      <c r="N20" s="51">
        <v>5</v>
      </c>
      <c r="O20" s="51">
        <v>0</v>
      </c>
      <c r="P20" s="51">
        <v>0</v>
      </c>
      <c r="Q20" s="51">
        <v>0</v>
      </c>
      <c r="R20" s="51">
        <v>0</v>
      </c>
      <c r="S20" s="51">
        <v>10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20</v>
      </c>
      <c r="AC20" s="51">
        <v>20</v>
      </c>
      <c r="AD20" s="51">
        <v>20</v>
      </c>
      <c r="AE20" s="51">
        <v>20</v>
      </c>
      <c r="AF20" s="51">
        <v>20</v>
      </c>
      <c r="AG20" s="59">
        <v>27</v>
      </c>
      <c r="AH20" s="55">
        <f t="shared" si="2"/>
        <v>20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18.600000000000001</v>
      </c>
      <c r="O24" s="51">
        <v>18.600000000000001</v>
      </c>
      <c r="P24" s="51">
        <v>18.600000000000001</v>
      </c>
      <c r="Q24" s="51">
        <v>18.600000000000001</v>
      </c>
      <c r="R24" s="51">
        <v>18.600000000000001</v>
      </c>
      <c r="S24" s="51">
        <v>0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20</v>
      </c>
      <c r="C25" s="51">
        <v>20</v>
      </c>
      <c r="D25" s="51">
        <v>20</v>
      </c>
      <c r="E25" s="51">
        <v>20</v>
      </c>
      <c r="F25" s="51">
        <v>20</v>
      </c>
      <c r="G25" s="51">
        <v>20</v>
      </c>
      <c r="H25" s="51">
        <v>20</v>
      </c>
      <c r="I25" s="51">
        <v>20</v>
      </c>
      <c r="J25" s="51">
        <v>20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>
        <v>14.9</v>
      </c>
      <c r="E27" s="51">
        <v>14.9</v>
      </c>
      <c r="F27" s="51">
        <v>14.9</v>
      </c>
      <c r="G27" s="51">
        <v>14.9</v>
      </c>
      <c r="H27" s="51">
        <v>14.9</v>
      </c>
      <c r="I27" s="51">
        <v>14.9</v>
      </c>
      <c r="J27" s="51">
        <v>14.9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14.9</v>
      </c>
      <c r="R27" s="51">
        <v>14.9</v>
      </c>
      <c r="S27" s="51">
        <v>14.9</v>
      </c>
      <c r="T27" s="51">
        <v>14.9</v>
      </c>
      <c r="U27" s="51">
        <v>14.9</v>
      </c>
      <c r="V27" s="51">
        <v>14.9</v>
      </c>
      <c r="W27" s="51">
        <v>14.9</v>
      </c>
      <c r="X27" s="51">
        <v>14.9</v>
      </c>
      <c r="Y27" s="51">
        <v>14.9</v>
      </c>
      <c r="Z27" s="51">
        <v>14.9</v>
      </c>
      <c r="AA27" s="51">
        <v>14.9</v>
      </c>
      <c r="AB27" s="51">
        <v>14.9</v>
      </c>
      <c r="AC27" s="51">
        <v>14.9</v>
      </c>
      <c r="AD27" s="51">
        <v>14.9</v>
      </c>
      <c r="AE27" s="51">
        <v>14.9</v>
      </c>
      <c r="AF27" s="51">
        <v>14.9</v>
      </c>
      <c r="AG27" s="59">
        <v>23.5</v>
      </c>
      <c r="AH27" s="55">
        <f t="shared" si="2"/>
        <v>14.9</v>
      </c>
      <c r="AI27" s="56">
        <f t="shared" si="3"/>
        <v>14.9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13.6</v>
      </c>
      <c r="N28" s="51">
        <v>13.6</v>
      </c>
      <c r="O28" s="51">
        <v>13.6</v>
      </c>
      <c r="P28" s="51">
        <v>13.6</v>
      </c>
      <c r="Q28" s="51">
        <v>13.6</v>
      </c>
      <c r="R28" s="51">
        <v>13.6</v>
      </c>
      <c r="S28" s="51">
        <v>13.6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9">
        <v>22.2</v>
      </c>
      <c r="AH28" s="55">
        <f t="shared" si="2"/>
        <v>13.6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8</v>
      </c>
      <c r="C32" s="51">
        <v>8</v>
      </c>
      <c r="D32" s="51">
        <v>8</v>
      </c>
      <c r="E32" s="51">
        <v>8</v>
      </c>
      <c r="F32" s="51">
        <v>8</v>
      </c>
      <c r="G32" s="51">
        <v>8</v>
      </c>
      <c r="H32" s="51">
        <v>8</v>
      </c>
      <c r="I32" s="51">
        <v>8</v>
      </c>
      <c r="J32" s="51">
        <v>8</v>
      </c>
      <c r="K32" s="51">
        <v>8</v>
      </c>
      <c r="L32" s="51">
        <v>8</v>
      </c>
      <c r="M32" s="51">
        <v>8</v>
      </c>
      <c r="N32" s="51">
        <v>8</v>
      </c>
      <c r="O32" s="51">
        <v>8</v>
      </c>
      <c r="P32" s="51">
        <v>8</v>
      </c>
      <c r="Q32" s="51">
        <v>8</v>
      </c>
      <c r="R32" s="51">
        <v>8</v>
      </c>
      <c r="S32" s="51">
        <v>8</v>
      </c>
      <c r="T32" s="51">
        <v>8</v>
      </c>
      <c r="U32" s="51">
        <v>8</v>
      </c>
      <c r="V32" s="51">
        <v>8</v>
      </c>
      <c r="W32" s="51">
        <v>8</v>
      </c>
      <c r="X32" s="51">
        <v>8</v>
      </c>
      <c r="Y32" s="51">
        <v>8</v>
      </c>
      <c r="Z32" s="51">
        <v>8</v>
      </c>
      <c r="AA32" s="51">
        <v>8</v>
      </c>
      <c r="AB32" s="51">
        <v>8</v>
      </c>
      <c r="AC32" s="51">
        <v>8</v>
      </c>
      <c r="AD32" s="51">
        <v>8</v>
      </c>
      <c r="AE32" s="51">
        <v>8</v>
      </c>
      <c r="AF32" s="51">
        <v>8</v>
      </c>
      <c r="AG32" s="64">
        <v>22</v>
      </c>
      <c r="AH32" s="55">
        <f t="shared" si="2"/>
        <v>8</v>
      </c>
      <c r="AI32" s="56">
        <f t="shared" si="3"/>
        <v>8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104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64">
        <v>20</v>
      </c>
      <c r="AH34" s="55">
        <f t="shared" si="2"/>
        <v>9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137</v>
      </c>
      <c r="C37" s="68">
        <v>139</v>
      </c>
      <c r="D37" s="68">
        <v>139</v>
      </c>
      <c r="E37" s="68">
        <v>139</v>
      </c>
      <c r="F37" s="68">
        <v>139</v>
      </c>
      <c r="G37" s="68">
        <v>139</v>
      </c>
      <c r="H37" s="68">
        <v>139</v>
      </c>
      <c r="I37" s="68">
        <v>139</v>
      </c>
      <c r="J37" s="68">
        <v>139</v>
      </c>
      <c r="K37" s="68">
        <v>139</v>
      </c>
      <c r="L37" s="68">
        <v>139</v>
      </c>
      <c r="M37" s="66">
        <f>38.7+91.5</f>
        <v>130.19999999999999</v>
      </c>
      <c r="N37" s="66">
        <f>89.6+38.1</f>
        <v>127.69999999999999</v>
      </c>
      <c r="O37" s="66">
        <f>38+89.4</f>
        <v>127.4</v>
      </c>
      <c r="P37" s="66">
        <f>38.7+91.3</f>
        <v>130</v>
      </c>
      <c r="Q37" s="66">
        <f>37.5+87.4</f>
        <v>124.9</v>
      </c>
      <c r="R37" s="66">
        <f>37.1+86.4</f>
        <v>123.5</v>
      </c>
      <c r="S37" s="66">
        <f>37.1+86.4</f>
        <v>123.5</v>
      </c>
      <c r="T37" s="66">
        <v>134</v>
      </c>
      <c r="U37" s="66">
        <v>134</v>
      </c>
      <c r="V37" s="66">
        <v>130</v>
      </c>
      <c r="W37" s="68">
        <v>131</v>
      </c>
      <c r="X37" s="68">
        <v>131</v>
      </c>
      <c r="Y37" s="68">
        <v>131</v>
      </c>
      <c r="Z37" s="68">
        <v>131</v>
      </c>
      <c r="AA37" s="68">
        <v>131</v>
      </c>
      <c r="AB37" s="68">
        <f>83.5+38.9</f>
        <v>122.4</v>
      </c>
      <c r="AC37" s="68">
        <f>88.5+40.6</f>
        <v>129.1</v>
      </c>
      <c r="AD37" s="68">
        <f>94.3+41.8</f>
        <v>136.1</v>
      </c>
      <c r="AE37" s="68">
        <f>96.3+42.9</f>
        <v>139.19999999999999</v>
      </c>
      <c r="AF37" s="68">
        <f>96.7+43.1</f>
        <v>139.80000000000001</v>
      </c>
      <c r="AG37" s="64">
        <v>240</v>
      </c>
      <c r="AH37" s="55">
        <f t="shared" si="2"/>
        <v>139.80000000000001</v>
      </c>
      <c r="AI37" s="56">
        <f t="shared" si="3"/>
        <v>122.4</v>
      </c>
      <c r="AK37" s="57"/>
    </row>
    <row r="38" spans="1:88" ht="15.75" thickBot="1" x14ac:dyDescent="0.3">
      <c r="A38" s="69" t="s">
        <v>46</v>
      </c>
      <c r="B38" s="70">
        <v>1203.5</v>
      </c>
      <c r="C38" s="70">
        <f t="shared" ref="C38:AF38" si="4">SUM(C11:C36)</f>
        <v>1215.5</v>
      </c>
      <c r="D38" s="70">
        <f t="shared" si="4"/>
        <v>1215.5</v>
      </c>
      <c r="E38" s="70">
        <f t="shared" si="4"/>
        <v>1215.5</v>
      </c>
      <c r="F38" s="70">
        <f t="shared" si="4"/>
        <v>1215.5</v>
      </c>
      <c r="G38" s="70">
        <f t="shared" si="4"/>
        <v>1215.5</v>
      </c>
      <c r="H38" s="70">
        <f t="shared" si="4"/>
        <v>1215.5</v>
      </c>
      <c r="I38" s="70">
        <f t="shared" si="4"/>
        <v>1215.5</v>
      </c>
      <c r="J38" s="70">
        <f t="shared" si="4"/>
        <v>1215.5</v>
      </c>
      <c r="K38" s="70">
        <f t="shared" si="4"/>
        <v>1215.5</v>
      </c>
      <c r="L38" s="70">
        <f t="shared" si="4"/>
        <v>1215.5</v>
      </c>
      <c r="M38" s="70">
        <f t="shared" si="4"/>
        <v>1241.0999999999999</v>
      </c>
      <c r="N38" s="70">
        <f t="shared" si="4"/>
        <v>1238.7000000000003</v>
      </c>
      <c r="O38" s="70">
        <f t="shared" si="4"/>
        <v>1233.7000000000003</v>
      </c>
      <c r="P38" s="70">
        <f t="shared" si="4"/>
        <v>1233.7000000000003</v>
      </c>
      <c r="Q38" s="70">
        <f t="shared" si="4"/>
        <v>1233.7000000000003</v>
      </c>
      <c r="R38" s="70">
        <f t="shared" si="4"/>
        <v>1193.7000000000003</v>
      </c>
      <c r="S38" s="70">
        <f t="shared" si="4"/>
        <v>1225.1000000000001</v>
      </c>
      <c r="T38" s="70">
        <f t="shared" si="4"/>
        <v>1164.5</v>
      </c>
      <c r="U38" s="70">
        <f t="shared" si="4"/>
        <v>1164.5</v>
      </c>
      <c r="V38" s="70">
        <f t="shared" si="4"/>
        <v>1164.5</v>
      </c>
      <c r="W38" s="70">
        <f t="shared" si="4"/>
        <v>1164.5</v>
      </c>
      <c r="X38" s="70">
        <f t="shared" si="4"/>
        <v>1164.5</v>
      </c>
      <c r="Y38" s="70">
        <f t="shared" si="4"/>
        <v>1164.5</v>
      </c>
      <c r="Z38" s="70">
        <f t="shared" si="4"/>
        <v>1164.5</v>
      </c>
      <c r="AA38" s="70">
        <f t="shared" si="4"/>
        <v>1164.5</v>
      </c>
      <c r="AB38" s="70">
        <f t="shared" si="4"/>
        <v>1186.8000000000002</v>
      </c>
      <c r="AC38" s="70">
        <f t="shared" si="4"/>
        <v>1186.8000000000002</v>
      </c>
      <c r="AD38" s="70">
        <f t="shared" si="4"/>
        <v>1186.8000000000002</v>
      </c>
      <c r="AE38" s="70">
        <f t="shared" si="4"/>
        <v>1186.8000000000002</v>
      </c>
      <c r="AF38" s="70">
        <f t="shared" si="4"/>
        <v>1186.8000000000002</v>
      </c>
      <c r="AG38" s="64">
        <f>SUM(AG11:AG37)</f>
        <v>1492.8299999999997</v>
      </c>
      <c r="AH38" s="55">
        <f t="shared" si="2"/>
        <v>1241.0999999999999</v>
      </c>
      <c r="AI38" s="56">
        <f t="shared" si="3"/>
        <v>1164.5</v>
      </c>
      <c r="AK38" s="57"/>
    </row>
    <row r="39" spans="1:88" x14ac:dyDescent="0.25">
      <c r="A39" s="58" t="s">
        <v>47</v>
      </c>
      <c r="B39" s="51">
        <v>141</v>
      </c>
      <c r="C39" s="51">
        <v>143.69999999999999</v>
      </c>
      <c r="D39" s="51">
        <v>142.5</v>
      </c>
      <c r="E39" s="51">
        <v>142</v>
      </c>
      <c r="F39" s="51">
        <v>142.5</v>
      </c>
      <c r="G39" s="51">
        <v>142.5</v>
      </c>
      <c r="H39" s="51">
        <v>142.5</v>
      </c>
      <c r="I39" s="51">
        <v>142.5</v>
      </c>
      <c r="J39" s="51">
        <v>142.5</v>
      </c>
      <c r="K39" s="51">
        <v>142.5</v>
      </c>
      <c r="L39" s="51">
        <v>142.9</v>
      </c>
      <c r="M39" s="51">
        <v>144</v>
      </c>
      <c r="N39" s="51">
        <v>143.19999999999999</v>
      </c>
      <c r="O39" s="51">
        <v>127</v>
      </c>
      <c r="P39" s="51">
        <v>143.5</v>
      </c>
      <c r="Q39" s="51">
        <v>143.5</v>
      </c>
      <c r="R39" s="51">
        <v>141.9</v>
      </c>
      <c r="S39" s="51">
        <v>142</v>
      </c>
      <c r="T39" s="51">
        <v>141</v>
      </c>
      <c r="U39" s="51">
        <v>141</v>
      </c>
      <c r="V39" s="51">
        <v>142</v>
      </c>
      <c r="W39" s="51">
        <v>142.19999999999999</v>
      </c>
      <c r="X39" s="51">
        <v>142.19999999999999</v>
      </c>
      <c r="Y39" s="51">
        <v>142.19999999999999</v>
      </c>
      <c r="Z39" s="51">
        <v>142.19999999999999</v>
      </c>
      <c r="AA39" s="51">
        <v>142.19999999999999</v>
      </c>
      <c r="AB39" s="51">
        <v>143</v>
      </c>
      <c r="AC39" s="51">
        <v>143.1</v>
      </c>
      <c r="AD39" s="51">
        <v>143.1</v>
      </c>
      <c r="AE39" s="51">
        <v>143.6</v>
      </c>
      <c r="AF39" s="51">
        <v>143.5</v>
      </c>
      <c r="AG39" s="60">
        <v>144</v>
      </c>
      <c r="AH39" s="55">
        <f t="shared" si="2"/>
        <v>144</v>
      </c>
      <c r="AI39" s="56">
        <f t="shared" si="3"/>
        <v>127</v>
      </c>
      <c r="AK39" s="57"/>
    </row>
    <row r="40" spans="1:88" x14ac:dyDescent="0.25">
      <c r="A40" s="63" t="s">
        <v>48</v>
      </c>
      <c r="B40" s="49">
        <v>70</v>
      </c>
      <c r="C40" s="49">
        <v>71.2</v>
      </c>
      <c r="D40" s="49">
        <v>70.7</v>
      </c>
      <c r="E40" s="49">
        <v>70.7</v>
      </c>
      <c r="F40" s="49">
        <v>70.7</v>
      </c>
      <c r="G40" s="49">
        <v>66.099999999999994</v>
      </c>
      <c r="H40" s="49">
        <v>66.099999999999994</v>
      </c>
      <c r="I40" s="49">
        <v>66.099999999999994</v>
      </c>
      <c r="J40" s="49">
        <v>66.099999999999994</v>
      </c>
      <c r="K40" s="49">
        <v>66.099999999999994</v>
      </c>
      <c r="L40" s="49">
        <v>73.3</v>
      </c>
      <c r="M40" s="51">
        <v>72.3</v>
      </c>
      <c r="N40" s="51">
        <v>72.8</v>
      </c>
      <c r="O40" s="51">
        <v>65.2</v>
      </c>
      <c r="P40" s="51">
        <v>73.3</v>
      </c>
      <c r="Q40" s="51">
        <v>73.3</v>
      </c>
      <c r="R40" s="51">
        <v>73.3</v>
      </c>
      <c r="S40" s="49">
        <v>70</v>
      </c>
      <c r="T40" s="49">
        <v>70</v>
      </c>
      <c r="U40" s="49">
        <v>70</v>
      </c>
      <c r="V40" s="49">
        <v>60</v>
      </c>
      <c r="W40" s="49">
        <v>71</v>
      </c>
      <c r="X40" s="49">
        <v>71</v>
      </c>
      <c r="Y40" s="49">
        <v>71</v>
      </c>
      <c r="Z40" s="49">
        <v>71</v>
      </c>
      <c r="AA40" s="49">
        <v>71</v>
      </c>
      <c r="AB40" s="49">
        <v>70.8</v>
      </c>
      <c r="AC40" s="49">
        <v>70.599999999999994</v>
      </c>
      <c r="AD40" s="49">
        <v>71.2</v>
      </c>
      <c r="AE40" s="49">
        <v>71.8</v>
      </c>
      <c r="AF40" s="49">
        <v>70.3</v>
      </c>
      <c r="AG40" s="64">
        <v>70</v>
      </c>
      <c r="AH40" s="55">
        <f t="shared" si="2"/>
        <v>73.3</v>
      </c>
      <c r="AI40" s="56">
        <f t="shared" si="3"/>
        <v>60</v>
      </c>
      <c r="AK40" s="57"/>
    </row>
    <row r="41" spans="1:88" x14ac:dyDescent="0.25">
      <c r="A41" s="63" t="s">
        <v>49</v>
      </c>
      <c r="B41" s="49">
        <v>62.5</v>
      </c>
      <c r="C41" s="49">
        <v>62.9</v>
      </c>
      <c r="D41" s="49">
        <v>62.7</v>
      </c>
      <c r="E41" s="49">
        <v>62.7</v>
      </c>
      <c r="F41" s="49">
        <v>62.7</v>
      </c>
      <c r="G41" s="49">
        <v>62.7</v>
      </c>
      <c r="H41" s="49">
        <v>62.7</v>
      </c>
      <c r="I41" s="49">
        <v>62.7</v>
      </c>
      <c r="J41" s="49">
        <v>62.7</v>
      </c>
      <c r="K41" s="49">
        <v>62.7</v>
      </c>
      <c r="L41" s="49">
        <v>62.4</v>
      </c>
      <c r="M41" s="51">
        <v>62.2</v>
      </c>
      <c r="N41" s="51">
        <v>61.9</v>
      </c>
      <c r="O41" s="51">
        <v>61.7</v>
      </c>
      <c r="P41" s="51">
        <v>62</v>
      </c>
      <c r="Q41" s="51">
        <v>62</v>
      </c>
      <c r="R41" s="51">
        <v>62</v>
      </c>
      <c r="S41" s="49">
        <v>62</v>
      </c>
      <c r="T41" s="49">
        <v>62</v>
      </c>
      <c r="U41" s="49">
        <v>62</v>
      </c>
      <c r="V41" s="49">
        <v>60</v>
      </c>
      <c r="W41" s="49">
        <v>63</v>
      </c>
      <c r="X41" s="49">
        <v>63</v>
      </c>
      <c r="Y41" s="49">
        <v>63</v>
      </c>
      <c r="Z41" s="49">
        <v>63</v>
      </c>
      <c r="AA41" s="49">
        <v>63</v>
      </c>
      <c r="AB41" s="49">
        <v>62.7</v>
      </c>
      <c r="AC41" s="49">
        <v>62.4</v>
      </c>
      <c r="AD41" s="49">
        <v>62.3</v>
      </c>
      <c r="AE41" s="49">
        <v>62.2</v>
      </c>
      <c r="AF41" s="49">
        <v>62.6</v>
      </c>
      <c r="AG41" s="64">
        <v>69</v>
      </c>
      <c r="AH41" s="55">
        <f t="shared" si="2"/>
        <v>63</v>
      </c>
      <c r="AI41" s="56">
        <f t="shared" si="3"/>
        <v>60</v>
      </c>
      <c r="AK41" s="57"/>
    </row>
    <row r="42" spans="1:88" x14ac:dyDescent="0.25">
      <c r="A42" s="63" t="s">
        <v>50</v>
      </c>
      <c r="B42" s="66">
        <v>60.2</v>
      </c>
      <c r="C42" s="66">
        <v>60.2</v>
      </c>
      <c r="D42" s="66">
        <v>60.2</v>
      </c>
      <c r="E42" s="66">
        <v>60.2</v>
      </c>
      <c r="F42" s="66">
        <v>60.2</v>
      </c>
      <c r="G42" s="66">
        <v>50</v>
      </c>
      <c r="H42" s="66">
        <v>50</v>
      </c>
      <c r="I42" s="66">
        <v>60</v>
      </c>
      <c r="J42" s="66">
        <v>60</v>
      </c>
      <c r="K42" s="66">
        <v>60</v>
      </c>
      <c r="L42" s="66">
        <v>60.4</v>
      </c>
      <c r="M42" s="51">
        <v>60.4</v>
      </c>
      <c r="N42" s="51">
        <v>60.4</v>
      </c>
      <c r="O42" s="51">
        <v>60.4</v>
      </c>
      <c r="P42" s="51">
        <v>60.4</v>
      </c>
      <c r="Q42" s="51">
        <v>60.4</v>
      </c>
      <c r="R42" s="51">
        <v>60.4</v>
      </c>
      <c r="S42" s="51">
        <v>30</v>
      </c>
      <c r="T42" s="51">
        <v>60</v>
      </c>
      <c r="U42" s="51">
        <v>60</v>
      </c>
      <c r="V42" s="49">
        <v>60</v>
      </c>
      <c r="W42" s="49">
        <v>60</v>
      </c>
      <c r="X42" s="49">
        <v>60</v>
      </c>
      <c r="Y42" s="49">
        <v>60</v>
      </c>
      <c r="Z42" s="49">
        <v>60</v>
      </c>
      <c r="AA42" s="49">
        <v>60</v>
      </c>
      <c r="AB42" s="66">
        <v>60.7</v>
      </c>
      <c r="AC42" s="66">
        <v>60.7</v>
      </c>
      <c r="AD42" s="66">
        <v>60.4</v>
      </c>
      <c r="AE42" s="66">
        <v>60.4</v>
      </c>
      <c r="AF42" s="66">
        <v>60.4</v>
      </c>
      <c r="AG42" s="64">
        <v>60</v>
      </c>
      <c r="AH42" s="55">
        <f t="shared" si="2"/>
        <v>60.7</v>
      </c>
      <c r="AI42" s="56">
        <f t="shared" si="3"/>
        <v>30</v>
      </c>
      <c r="AK42" s="57"/>
    </row>
    <row r="43" spans="1:88" x14ac:dyDescent="0.25">
      <c r="A43" s="63" t="s">
        <v>51</v>
      </c>
      <c r="B43" s="66">
        <v>29.5</v>
      </c>
      <c r="C43" s="66">
        <v>29.5</v>
      </c>
      <c r="D43" s="66">
        <v>29.5</v>
      </c>
      <c r="E43" s="66">
        <v>29.5</v>
      </c>
      <c r="F43" s="66">
        <v>29.5</v>
      </c>
      <c r="G43" s="66">
        <v>29.5</v>
      </c>
      <c r="H43" s="66">
        <v>29.5</v>
      </c>
      <c r="I43" s="66">
        <v>29.5</v>
      </c>
      <c r="J43" s="66">
        <v>29.5</v>
      </c>
      <c r="K43" s="66">
        <v>29.5</v>
      </c>
      <c r="L43" s="66">
        <v>29.5</v>
      </c>
      <c r="M43" s="66">
        <v>29.5</v>
      </c>
      <c r="N43" s="51">
        <v>29.8</v>
      </c>
      <c r="O43" s="51">
        <v>29.8</v>
      </c>
      <c r="P43" s="51">
        <v>29.7</v>
      </c>
      <c r="Q43" s="51">
        <v>29.7</v>
      </c>
      <c r="R43" s="51">
        <v>29.7</v>
      </c>
      <c r="S43" s="51">
        <v>29.7</v>
      </c>
      <c r="T43" s="51">
        <v>29.7</v>
      </c>
      <c r="U43" s="51">
        <v>29.7</v>
      </c>
      <c r="V43" s="51">
        <v>29.7</v>
      </c>
      <c r="W43" s="51">
        <v>29.7</v>
      </c>
      <c r="X43" s="51">
        <v>29.7</v>
      </c>
      <c r="Y43" s="51">
        <v>29.7</v>
      </c>
      <c r="Z43" s="51">
        <v>29.7</v>
      </c>
      <c r="AA43" s="51">
        <v>29.7</v>
      </c>
      <c r="AB43" s="66">
        <v>29.8</v>
      </c>
      <c r="AC43" s="66">
        <v>29.8</v>
      </c>
      <c r="AD43" s="66">
        <v>30</v>
      </c>
      <c r="AE43" s="66">
        <v>30</v>
      </c>
      <c r="AF43" s="66">
        <v>30</v>
      </c>
      <c r="AG43" s="64">
        <v>30</v>
      </c>
      <c r="AH43" s="55">
        <f t="shared" si="2"/>
        <v>30</v>
      </c>
      <c r="AI43" s="56">
        <f t="shared" si="3"/>
        <v>29.5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10</v>
      </c>
      <c r="N44" s="49">
        <v>10</v>
      </c>
      <c r="O44" s="49">
        <v>10</v>
      </c>
      <c r="P44" s="49">
        <v>10</v>
      </c>
      <c r="Q44" s="49">
        <v>10</v>
      </c>
      <c r="R44" s="49">
        <v>10</v>
      </c>
      <c r="S44" s="49">
        <v>10</v>
      </c>
      <c r="T44" s="49">
        <v>10</v>
      </c>
      <c r="U44" s="49">
        <v>10</v>
      </c>
      <c r="V44" s="49">
        <v>10</v>
      </c>
      <c r="W44" s="49">
        <v>10</v>
      </c>
      <c r="X44" s="49">
        <v>0</v>
      </c>
      <c r="Y44" s="49">
        <v>0</v>
      </c>
      <c r="Z44" s="49">
        <v>0</v>
      </c>
      <c r="AA44" s="49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10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15.5</v>
      </c>
      <c r="C45" s="49">
        <v>15</v>
      </c>
      <c r="D45" s="49">
        <v>15</v>
      </c>
      <c r="E45" s="49">
        <v>15</v>
      </c>
      <c r="F45" s="49">
        <v>15</v>
      </c>
      <c r="G45" s="49">
        <v>15</v>
      </c>
      <c r="H45" s="49">
        <v>15</v>
      </c>
      <c r="I45" s="49">
        <v>15</v>
      </c>
      <c r="J45" s="49">
        <v>15</v>
      </c>
      <c r="K45" s="49">
        <v>15</v>
      </c>
      <c r="L45" s="49">
        <v>15</v>
      </c>
      <c r="M45" s="49">
        <v>15</v>
      </c>
      <c r="N45" s="51">
        <v>14.8</v>
      </c>
      <c r="O45" s="51">
        <v>14.8</v>
      </c>
      <c r="P45" s="51">
        <v>14.7</v>
      </c>
      <c r="Q45" s="51">
        <v>14.7</v>
      </c>
      <c r="R45" s="51">
        <v>14.7</v>
      </c>
      <c r="S45" s="51">
        <v>14.7</v>
      </c>
      <c r="T45" s="51">
        <v>14.7</v>
      </c>
      <c r="U45" s="51">
        <v>14.7</v>
      </c>
      <c r="V45" s="51">
        <v>16.5</v>
      </c>
      <c r="W45" s="51">
        <v>16.5</v>
      </c>
      <c r="X45" s="51">
        <v>16.5</v>
      </c>
      <c r="Y45" s="51">
        <v>16.5</v>
      </c>
      <c r="Z45" s="51">
        <v>16.5</v>
      </c>
      <c r="AA45" s="51">
        <v>16.5</v>
      </c>
      <c r="AB45" s="49">
        <v>16.5</v>
      </c>
      <c r="AC45" s="49">
        <v>16.5</v>
      </c>
      <c r="AD45" s="49">
        <v>16.5</v>
      </c>
      <c r="AE45" s="49">
        <v>16.399999999999999</v>
      </c>
      <c r="AF45" s="49">
        <v>16.399999999999999</v>
      </c>
      <c r="AG45" s="64">
        <v>24</v>
      </c>
      <c r="AH45" s="55">
        <f t="shared" si="2"/>
        <v>16.5</v>
      </c>
      <c r="AI45" s="56">
        <f t="shared" si="3"/>
        <v>14.7</v>
      </c>
      <c r="AK45" s="57"/>
    </row>
    <row r="46" spans="1:88" x14ac:dyDescent="0.25">
      <c r="A46" s="63" t="s">
        <v>54</v>
      </c>
      <c r="B46" s="49">
        <v>2</v>
      </c>
      <c r="C46" s="49">
        <v>2</v>
      </c>
      <c r="D46" s="49">
        <v>2</v>
      </c>
      <c r="E46" s="49">
        <v>2</v>
      </c>
      <c r="F46" s="49">
        <v>2</v>
      </c>
      <c r="G46" s="49">
        <v>2</v>
      </c>
      <c r="H46" s="49">
        <v>2</v>
      </c>
      <c r="I46" s="49">
        <v>2</v>
      </c>
      <c r="J46" s="49">
        <v>2</v>
      </c>
      <c r="K46" s="49">
        <v>2</v>
      </c>
      <c r="L46" s="49">
        <v>2</v>
      </c>
      <c r="M46" s="49">
        <v>2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2</v>
      </c>
      <c r="T46" s="51">
        <v>2</v>
      </c>
      <c r="U46" s="51">
        <v>2</v>
      </c>
      <c r="V46" s="51">
        <v>2</v>
      </c>
      <c r="W46" s="51">
        <v>2</v>
      </c>
      <c r="X46" s="51">
        <v>2</v>
      </c>
      <c r="Y46" s="51">
        <v>2</v>
      </c>
      <c r="Z46" s="51">
        <v>2</v>
      </c>
      <c r="AA46" s="51">
        <v>2</v>
      </c>
      <c r="AB46" s="51">
        <v>2</v>
      </c>
      <c r="AC46" s="51">
        <v>2</v>
      </c>
      <c r="AD46" s="51">
        <v>2</v>
      </c>
      <c r="AE46" s="51">
        <v>2</v>
      </c>
      <c r="AF46" s="51">
        <v>2</v>
      </c>
      <c r="AG46" s="64">
        <v>15</v>
      </c>
      <c r="AH46" s="55">
        <f t="shared" si="2"/>
        <v>2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9.3000000000000007</v>
      </c>
      <c r="C47" s="49">
        <v>9.3000000000000007</v>
      </c>
      <c r="D47" s="49">
        <v>9.3000000000000007</v>
      </c>
      <c r="E47" s="49">
        <v>9.3000000000000007</v>
      </c>
      <c r="F47" s="49">
        <v>9.3000000000000007</v>
      </c>
      <c r="G47" s="49">
        <v>9.3000000000000007</v>
      </c>
      <c r="H47" s="49">
        <v>9.3000000000000007</v>
      </c>
      <c r="I47" s="49">
        <v>9.3000000000000007</v>
      </c>
      <c r="J47" s="49">
        <v>9.3000000000000007</v>
      </c>
      <c r="K47" s="49">
        <v>9.3000000000000007</v>
      </c>
      <c r="L47" s="49">
        <v>9.3000000000000007</v>
      </c>
      <c r="M47" s="49">
        <v>9.3000000000000007</v>
      </c>
      <c r="N47" s="51">
        <v>9.3000000000000007</v>
      </c>
      <c r="O47" s="51">
        <v>9.3000000000000007</v>
      </c>
      <c r="P47" s="51">
        <v>9.1999999999999993</v>
      </c>
      <c r="Q47" s="51">
        <v>9.1999999999999993</v>
      </c>
      <c r="R47" s="51">
        <v>9.1999999999999993</v>
      </c>
      <c r="S47" s="51">
        <v>9.1999999999999993</v>
      </c>
      <c r="T47" s="51">
        <v>9.1999999999999993</v>
      </c>
      <c r="U47" s="51">
        <v>9.1999999999999993</v>
      </c>
      <c r="V47" s="51">
        <v>9.1999999999999993</v>
      </c>
      <c r="W47" s="51">
        <v>9.1999999999999993</v>
      </c>
      <c r="X47" s="51">
        <v>9.1999999999999993</v>
      </c>
      <c r="Y47" s="51">
        <v>9.1999999999999993</v>
      </c>
      <c r="Z47" s="51">
        <v>9.1999999999999993</v>
      </c>
      <c r="AA47" s="51">
        <v>9.1999999999999993</v>
      </c>
      <c r="AB47" s="49">
        <v>9.3000000000000007</v>
      </c>
      <c r="AC47" s="49">
        <v>9.3000000000000007</v>
      </c>
      <c r="AD47" s="49">
        <v>9.3000000000000007</v>
      </c>
      <c r="AE47" s="49">
        <v>4</v>
      </c>
      <c r="AF47" s="49">
        <v>9.3000000000000007</v>
      </c>
      <c r="AG47" s="64">
        <v>14.1</v>
      </c>
      <c r="AH47" s="55">
        <f t="shared" si="2"/>
        <v>9.3000000000000007</v>
      </c>
      <c r="AI47" s="56">
        <f t="shared" si="3"/>
        <v>4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13.3</v>
      </c>
      <c r="C48" s="49">
        <v>13.3</v>
      </c>
      <c r="D48" s="49">
        <v>13.3</v>
      </c>
      <c r="E48" s="49">
        <v>13.3</v>
      </c>
      <c r="F48" s="49">
        <v>13.3</v>
      </c>
      <c r="G48" s="49">
        <v>13.3</v>
      </c>
      <c r="H48" s="49">
        <v>13.3</v>
      </c>
      <c r="I48" s="49">
        <v>13.3</v>
      </c>
      <c r="J48" s="49">
        <v>13.3</v>
      </c>
      <c r="K48" s="49">
        <v>13.3</v>
      </c>
      <c r="L48" s="49">
        <v>13.3</v>
      </c>
      <c r="M48" s="49">
        <v>13.3</v>
      </c>
      <c r="N48" s="51">
        <v>6.9</v>
      </c>
      <c r="O48" s="51">
        <v>6.9</v>
      </c>
      <c r="P48" s="51">
        <v>13.8</v>
      </c>
      <c r="Q48" s="51">
        <v>13.8</v>
      </c>
      <c r="R48" s="51">
        <v>0</v>
      </c>
      <c r="S48" s="51">
        <v>13.8</v>
      </c>
      <c r="T48" s="51">
        <v>13.8</v>
      </c>
      <c r="U48" s="51">
        <v>13.8</v>
      </c>
      <c r="V48" s="51">
        <v>13.8</v>
      </c>
      <c r="W48" s="51">
        <v>13.8</v>
      </c>
      <c r="X48" s="51">
        <v>13.8</v>
      </c>
      <c r="Y48" s="51">
        <v>13.8</v>
      </c>
      <c r="Z48" s="51">
        <v>13.8</v>
      </c>
      <c r="AA48" s="51">
        <v>13.8</v>
      </c>
      <c r="AB48" s="49">
        <v>14</v>
      </c>
      <c r="AC48" s="49">
        <v>14</v>
      </c>
      <c r="AD48" s="49">
        <v>14</v>
      </c>
      <c r="AE48" s="49">
        <v>14</v>
      </c>
      <c r="AF48" s="49">
        <v>14</v>
      </c>
      <c r="AG48" s="64">
        <v>14</v>
      </c>
      <c r="AH48" s="55">
        <f t="shared" si="2"/>
        <v>14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9.5</v>
      </c>
      <c r="F49" s="49">
        <v>9.5</v>
      </c>
      <c r="G49" s="49">
        <v>9.5</v>
      </c>
      <c r="H49" s="49">
        <v>9.5</v>
      </c>
      <c r="I49" s="49">
        <v>9.5</v>
      </c>
      <c r="J49" s="49">
        <v>9.5</v>
      </c>
      <c r="K49" s="49">
        <v>9.5</v>
      </c>
      <c r="L49" s="49">
        <v>9.5</v>
      </c>
      <c r="M49" s="49">
        <v>9.5</v>
      </c>
      <c r="N49" s="51">
        <v>8.6</v>
      </c>
      <c r="O49" s="51">
        <v>8.6</v>
      </c>
      <c r="P49" s="51">
        <v>8.6</v>
      </c>
      <c r="Q49" s="51">
        <v>8.6</v>
      </c>
      <c r="R49" s="51">
        <v>8.6</v>
      </c>
      <c r="S49" s="51">
        <v>8.6</v>
      </c>
      <c r="T49" s="51">
        <v>8.6</v>
      </c>
      <c r="U49" s="51">
        <v>8.6</v>
      </c>
      <c r="V49" s="51">
        <v>8.6</v>
      </c>
      <c r="W49" s="51">
        <v>8.6</v>
      </c>
      <c r="X49" s="51">
        <v>8.6</v>
      </c>
      <c r="Y49" s="51">
        <v>8.6</v>
      </c>
      <c r="Z49" s="51">
        <v>8.6</v>
      </c>
      <c r="AA49" s="51">
        <v>8.6</v>
      </c>
      <c r="AB49" s="49">
        <v>9.6</v>
      </c>
      <c r="AC49" s="49">
        <v>9.6</v>
      </c>
      <c r="AD49" s="49">
        <v>9.6</v>
      </c>
      <c r="AE49" s="49">
        <v>9.6</v>
      </c>
      <c r="AF49" s="49">
        <v>9.6</v>
      </c>
      <c r="AG49" s="64">
        <v>10.050000000000001</v>
      </c>
      <c r="AH49" s="55">
        <f t="shared" si="2"/>
        <v>9.6</v>
      </c>
      <c r="AI49" s="56">
        <f t="shared" si="3"/>
        <v>8.6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51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49">
        <v>6</v>
      </c>
      <c r="AC50" s="49">
        <v>6</v>
      </c>
      <c r="AD50" s="49">
        <v>6</v>
      </c>
      <c r="AE50" s="49">
        <v>6</v>
      </c>
      <c r="AF50" s="49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v>408.94</v>
      </c>
      <c r="C52" s="70">
        <f t="shared" ref="C52:AF52" si="6">SUM(C39:C51)</f>
        <v>426.14</v>
      </c>
      <c r="D52" s="70">
        <f t="shared" si="6"/>
        <v>424.24</v>
      </c>
      <c r="E52" s="70">
        <f t="shared" si="6"/>
        <v>423.74</v>
      </c>
      <c r="F52" s="70">
        <f t="shared" si="6"/>
        <v>424.24</v>
      </c>
      <c r="G52" s="70">
        <f t="shared" si="6"/>
        <v>409.44000000000005</v>
      </c>
      <c r="H52" s="70">
        <f t="shared" si="6"/>
        <v>409.44000000000005</v>
      </c>
      <c r="I52" s="70">
        <f t="shared" si="6"/>
        <v>419.44000000000005</v>
      </c>
      <c r="J52" s="70">
        <f t="shared" si="6"/>
        <v>419.44000000000005</v>
      </c>
      <c r="K52" s="70">
        <f t="shared" si="6"/>
        <v>419.44000000000005</v>
      </c>
      <c r="L52" s="70">
        <f t="shared" si="6"/>
        <v>427.14</v>
      </c>
      <c r="M52" s="70">
        <f t="shared" si="6"/>
        <v>437.04</v>
      </c>
      <c r="N52" s="70">
        <f t="shared" si="6"/>
        <v>427.24</v>
      </c>
      <c r="O52" s="70">
        <f t="shared" si="6"/>
        <v>403.24</v>
      </c>
      <c r="P52" s="70">
        <f t="shared" si="6"/>
        <v>434.74</v>
      </c>
      <c r="Q52" s="70">
        <f t="shared" si="6"/>
        <v>434.74</v>
      </c>
      <c r="R52" s="70">
        <f t="shared" si="6"/>
        <v>419.34</v>
      </c>
      <c r="S52" s="70">
        <f t="shared" si="6"/>
        <v>401.54</v>
      </c>
      <c r="T52" s="70">
        <f t="shared" si="6"/>
        <v>430.54</v>
      </c>
      <c r="U52" s="70">
        <f t="shared" si="6"/>
        <v>430.54</v>
      </c>
      <c r="V52" s="70">
        <f t="shared" si="6"/>
        <v>421.34000000000003</v>
      </c>
      <c r="W52" s="70">
        <f t="shared" si="6"/>
        <v>435.54</v>
      </c>
      <c r="X52" s="70">
        <f t="shared" si="6"/>
        <v>425.54</v>
      </c>
      <c r="Y52" s="70">
        <f t="shared" si="6"/>
        <v>425.54</v>
      </c>
      <c r="Z52" s="70">
        <f t="shared" si="6"/>
        <v>425.54</v>
      </c>
      <c r="AA52" s="70">
        <f t="shared" si="6"/>
        <v>425.54</v>
      </c>
      <c r="AB52" s="70">
        <f t="shared" si="6"/>
        <v>427.94000000000005</v>
      </c>
      <c r="AC52" s="70">
        <f t="shared" si="6"/>
        <v>427.54</v>
      </c>
      <c r="AD52" s="70">
        <f t="shared" si="6"/>
        <v>427.94000000000005</v>
      </c>
      <c r="AE52" s="70">
        <f t="shared" si="6"/>
        <v>423.53999999999996</v>
      </c>
      <c r="AF52" s="70">
        <f t="shared" si="6"/>
        <v>427.64000000000004</v>
      </c>
      <c r="AG52" s="74">
        <f>SUM(AG39:AG51)</f>
        <v>489.91</v>
      </c>
      <c r="AH52" s="55">
        <f t="shared" si="2"/>
        <v>437.04</v>
      </c>
      <c r="AI52" s="56">
        <f t="shared" si="3"/>
        <v>401.54</v>
      </c>
      <c r="AK52" s="57"/>
    </row>
    <row r="53" spans="1:37" x14ac:dyDescent="0.25">
      <c r="A53" s="58" t="s">
        <v>61</v>
      </c>
      <c r="B53" s="51">
        <v>20.5</v>
      </c>
      <c r="C53" s="51">
        <v>20</v>
      </c>
      <c r="D53" s="51">
        <v>29</v>
      </c>
      <c r="E53" s="51">
        <v>10</v>
      </c>
      <c r="F53" s="51">
        <v>30</v>
      </c>
      <c r="G53" s="51">
        <v>20.100000000000001</v>
      </c>
      <c r="H53" s="51">
        <v>14</v>
      </c>
      <c r="I53" s="51">
        <v>0</v>
      </c>
      <c r="J53" s="51">
        <v>0</v>
      </c>
      <c r="K53" s="51">
        <v>14</v>
      </c>
      <c r="L53" s="51">
        <v>14.1</v>
      </c>
      <c r="M53" s="51">
        <v>10</v>
      </c>
      <c r="N53" s="51">
        <v>14.7</v>
      </c>
      <c r="O53" s="51">
        <v>25.1</v>
      </c>
      <c r="P53" s="51">
        <v>14.1</v>
      </c>
      <c r="Q53" s="51">
        <v>20</v>
      </c>
      <c r="R53" s="51">
        <v>30</v>
      </c>
      <c r="S53" s="51">
        <v>60</v>
      </c>
      <c r="T53" s="51">
        <v>59.6</v>
      </c>
      <c r="U53" s="51">
        <v>59.6</v>
      </c>
      <c r="V53" s="51">
        <v>39</v>
      </c>
      <c r="W53" s="51">
        <v>14</v>
      </c>
      <c r="X53" s="51">
        <v>13.9</v>
      </c>
      <c r="Y53" s="51">
        <v>14</v>
      </c>
      <c r="Z53" s="51">
        <v>14</v>
      </c>
      <c r="AA53" s="51">
        <v>39</v>
      </c>
      <c r="AB53" s="51">
        <v>58.8</v>
      </c>
      <c r="AC53" s="51">
        <v>58.8</v>
      </c>
      <c r="AD53" s="51">
        <v>58.8</v>
      </c>
      <c r="AE53" s="51">
        <v>58.9</v>
      </c>
      <c r="AF53" s="51">
        <v>40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10</v>
      </c>
      <c r="C54" s="49">
        <v>15</v>
      </c>
      <c r="D54" s="49">
        <v>15</v>
      </c>
      <c r="E54" s="49">
        <v>4.2</v>
      </c>
      <c r="F54" s="49">
        <v>4.3</v>
      </c>
      <c r="G54" s="49">
        <v>8.9</v>
      </c>
      <c r="H54" s="49">
        <v>9</v>
      </c>
      <c r="I54" s="49">
        <v>0</v>
      </c>
      <c r="J54" s="49">
        <v>0</v>
      </c>
      <c r="K54" s="49">
        <v>5.3</v>
      </c>
      <c r="L54" s="49">
        <v>6.2</v>
      </c>
      <c r="M54" s="49">
        <v>3.2</v>
      </c>
      <c r="N54" s="49">
        <v>4.0999999999999996</v>
      </c>
      <c r="O54" s="49">
        <v>12.3</v>
      </c>
      <c r="P54" s="49">
        <v>6.6</v>
      </c>
      <c r="Q54" s="49">
        <v>10.8</v>
      </c>
      <c r="R54" s="49">
        <v>15.8</v>
      </c>
      <c r="S54" s="49">
        <v>28.6</v>
      </c>
      <c r="T54" s="49">
        <v>30.1</v>
      </c>
      <c r="U54" s="49">
        <v>30.1</v>
      </c>
      <c r="V54" s="49">
        <v>27</v>
      </c>
      <c r="W54" s="49">
        <v>7.2</v>
      </c>
      <c r="X54" s="49">
        <v>11.5</v>
      </c>
      <c r="Y54" s="49">
        <v>8</v>
      </c>
      <c r="Z54" s="49">
        <v>7</v>
      </c>
      <c r="AA54" s="49">
        <v>16.3</v>
      </c>
      <c r="AB54" s="49">
        <v>30.1</v>
      </c>
      <c r="AC54" s="49">
        <v>30.6</v>
      </c>
      <c r="AD54" s="49">
        <v>29.9</v>
      </c>
      <c r="AE54" s="49">
        <v>28.4</v>
      </c>
      <c r="AF54" s="49">
        <v>18.7</v>
      </c>
      <c r="AG54" s="64">
        <v>32</v>
      </c>
      <c r="AH54" s="55">
        <f t="shared" si="2"/>
        <v>30.6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3.8</v>
      </c>
      <c r="C55" s="75">
        <v>5.5</v>
      </c>
      <c r="D55" s="75">
        <v>5.5</v>
      </c>
      <c r="E55" s="75">
        <v>2.1</v>
      </c>
      <c r="F55" s="75">
        <v>1.6</v>
      </c>
      <c r="G55" s="75">
        <v>3.3</v>
      </c>
      <c r="H55" s="75">
        <v>3.3</v>
      </c>
      <c r="I55" s="75">
        <v>0</v>
      </c>
      <c r="J55" s="75">
        <v>0</v>
      </c>
      <c r="K55" s="75">
        <v>1.9</v>
      </c>
      <c r="L55" s="75">
        <v>2.2999999999999998</v>
      </c>
      <c r="M55" s="75">
        <v>1.2</v>
      </c>
      <c r="N55" s="75">
        <v>1.5</v>
      </c>
      <c r="O55" s="75">
        <v>4.5</v>
      </c>
      <c r="P55" s="75">
        <v>2.4</v>
      </c>
      <c r="Q55" s="75">
        <v>4</v>
      </c>
      <c r="R55" s="75">
        <v>5.8</v>
      </c>
      <c r="S55" s="75">
        <v>10.6</v>
      </c>
      <c r="T55" s="75">
        <v>11</v>
      </c>
      <c r="U55" s="75">
        <v>11</v>
      </c>
      <c r="V55" s="75">
        <v>10</v>
      </c>
      <c r="W55" s="75">
        <v>2.6</v>
      </c>
      <c r="X55" s="75">
        <v>4.2</v>
      </c>
      <c r="Y55" s="75">
        <v>2.6</v>
      </c>
      <c r="Z55" s="75">
        <v>3</v>
      </c>
      <c r="AA55" s="75">
        <v>6</v>
      </c>
      <c r="AB55" s="75">
        <v>11</v>
      </c>
      <c r="AC55" s="75">
        <v>11.2</v>
      </c>
      <c r="AD55" s="75">
        <v>10.9</v>
      </c>
      <c r="AE55" s="75">
        <v>10.4</v>
      </c>
      <c r="AF55" s="75">
        <v>6.8</v>
      </c>
      <c r="AG55" s="76">
        <v>14</v>
      </c>
      <c r="AH55" s="55">
        <f t="shared" si="2"/>
        <v>11.2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v>25.6</v>
      </c>
      <c r="C56" s="70">
        <f t="shared" ref="C56:AF56" si="7">SUM(C53:C55)</f>
        <v>40.5</v>
      </c>
      <c r="D56" s="70">
        <f t="shared" si="7"/>
        <v>49.5</v>
      </c>
      <c r="E56" s="70">
        <f t="shared" si="7"/>
        <v>16.3</v>
      </c>
      <c r="F56" s="70">
        <f t="shared" si="7"/>
        <v>35.9</v>
      </c>
      <c r="G56" s="70">
        <f t="shared" si="7"/>
        <v>32.299999999999997</v>
      </c>
      <c r="H56" s="70">
        <f t="shared" si="7"/>
        <v>26.3</v>
      </c>
      <c r="I56" s="70">
        <f t="shared" si="7"/>
        <v>0</v>
      </c>
      <c r="J56" s="70">
        <f t="shared" si="7"/>
        <v>0</v>
      </c>
      <c r="K56" s="70">
        <f t="shared" si="7"/>
        <v>21.2</v>
      </c>
      <c r="L56" s="70">
        <f t="shared" si="7"/>
        <v>22.6</v>
      </c>
      <c r="M56" s="70">
        <f t="shared" si="7"/>
        <v>14.399999999999999</v>
      </c>
      <c r="N56" s="70">
        <f t="shared" si="7"/>
        <v>20.299999999999997</v>
      </c>
      <c r="O56" s="70">
        <f t="shared" si="7"/>
        <v>41.900000000000006</v>
      </c>
      <c r="P56" s="70">
        <f t="shared" si="7"/>
        <v>23.099999999999998</v>
      </c>
      <c r="Q56" s="70">
        <f t="shared" si="7"/>
        <v>34.799999999999997</v>
      </c>
      <c r="R56" s="70">
        <f t="shared" si="7"/>
        <v>51.599999999999994</v>
      </c>
      <c r="S56" s="70">
        <f t="shared" si="7"/>
        <v>99.199999999999989</v>
      </c>
      <c r="T56" s="70">
        <f t="shared" si="7"/>
        <v>100.7</v>
      </c>
      <c r="U56" s="70">
        <f t="shared" si="7"/>
        <v>100.7</v>
      </c>
      <c r="V56" s="70">
        <f t="shared" si="7"/>
        <v>76</v>
      </c>
      <c r="W56" s="70">
        <f t="shared" si="7"/>
        <v>23.8</v>
      </c>
      <c r="X56" s="70">
        <f t="shared" si="7"/>
        <v>29.599999999999998</v>
      </c>
      <c r="Y56" s="70">
        <f t="shared" si="7"/>
        <v>24.6</v>
      </c>
      <c r="Z56" s="70">
        <f t="shared" si="7"/>
        <v>24</v>
      </c>
      <c r="AA56" s="70">
        <f t="shared" si="7"/>
        <v>61.3</v>
      </c>
      <c r="AB56" s="70">
        <f t="shared" si="7"/>
        <v>99.9</v>
      </c>
      <c r="AC56" s="70">
        <f t="shared" si="7"/>
        <v>100.60000000000001</v>
      </c>
      <c r="AD56" s="70">
        <f t="shared" si="7"/>
        <v>99.6</v>
      </c>
      <c r="AE56" s="70">
        <f t="shared" si="7"/>
        <v>97.7</v>
      </c>
      <c r="AF56" s="70">
        <f t="shared" si="7"/>
        <v>65.5</v>
      </c>
      <c r="AG56" s="74">
        <f>SUM(AG53:AG55)</f>
        <v>106</v>
      </c>
      <c r="AH56" s="55">
        <f t="shared" si="2"/>
        <v>100.7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60</v>
      </c>
      <c r="C57" s="51">
        <v>59</v>
      </c>
      <c r="D57" s="51">
        <v>58</v>
      </c>
      <c r="E57" s="51">
        <v>57</v>
      </c>
      <c r="F57" s="51">
        <v>57.5</v>
      </c>
      <c r="G57" s="51">
        <v>57.9</v>
      </c>
      <c r="H57" s="51">
        <v>63.5</v>
      </c>
      <c r="I57" s="51"/>
      <c r="J57" s="51">
        <v>58</v>
      </c>
      <c r="K57" s="51">
        <v>52</v>
      </c>
      <c r="L57" s="51">
        <v>46.7</v>
      </c>
      <c r="M57" s="51">
        <v>56</v>
      </c>
      <c r="N57" s="51">
        <v>61.1</v>
      </c>
      <c r="O57" s="51">
        <v>59.1</v>
      </c>
      <c r="P57" s="51">
        <v>67.5</v>
      </c>
      <c r="Q57" s="51">
        <v>67.5</v>
      </c>
      <c r="R57" s="51">
        <v>65.2</v>
      </c>
      <c r="S57" s="51">
        <v>75</v>
      </c>
      <c r="T57" s="51">
        <v>72</v>
      </c>
      <c r="U57" s="51"/>
      <c r="V57" s="51">
        <v>63</v>
      </c>
      <c r="W57" s="51">
        <v>66</v>
      </c>
      <c r="X57" s="51">
        <v>67</v>
      </c>
      <c r="Y57" s="51">
        <v>62.7</v>
      </c>
      <c r="Z57" s="51">
        <v>64</v>
      </c>
      <c r="AA57" s="51">
        <v>65</v>
      </c>
      <c r="AB57" s="51">
        <v>78</v>
      </c>
      <c r="AC57" s="51">
        <v>77.8</v>
      </c>
      <c r="AD57" s="51">
        <v>78.8</v>
      </c>
      <c r="AE57" s="51">
        <v>77.5</v>
      </c>
      <c r="AF57" s="51">
        <v>75.3</v>
      </c>
      <c r="AG57" s="60"/>
      <c r="AH57" s="55">
        <f t="shared" si="2"/>
        <v>78.8</v>
      </c>
      <c r="AI57" s="56">
        <f t="shared" si="3"/>
        <v>46.7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/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-352</v>
      </c>
      <c r="C59" s="49">
        <v>-375</v>
      </c>
      <c r="D59" s="49">
        <v>-368</v>
      </c>
      <c r="E59" s="49">
        <v>-368</v>
      </c>
      <c r="F59" s="49">
        <v>-373</v>
      </c>
      <c r="G59" s="49">
        <v>-416</v>
      </c>
      <c r="H59" s="49">
        <v>-430</v>
      </c>
      <c r="I59" s="49">
        <v>-379</v>
      </c>
      <c r="J59" s="49">
        <v>-290</v>
      </c>
      <c r="K59" s="49">
        <v>-310</v>
      </c>
      <c r="L59" s="49">
        <v>-305</v>
      </c>
      <c r="M59" s="49">
        <v>-315</v>
      </c>
      <c r="N59" s="49">
        <v>-310</v>
      </c>
      <c r="O59" s="49">
        <v>-265.10000000000002</v>
      </c>
      <c r="P59" s="49">
        <v>-261.10000000000002</v>
      </c>
      <c r="Q59" s="49">
        <v>-317</v>
      </c>
      <c r="R59" s="49">
        <v>-299.39999999999998</v>
      </c>
      <c r="S59" s="49">
        <v>-260</v>
      </c>
      <c r="T59" s="49">
        <v>-233</v>
      </c>
      <c r="U59" s="49"/>
      <c r="V59" s="49">
        <v>-297</v>
      </c>
      <c r="W59" s="49">
        <v>-296</v>
      </c>
      <c r="X59" s="49">
        <v>-310</v>
      </c>
      <c r="Y59" s="49">
        <v>-308</v>
      </c>
      <c r="Z59" s="49">
        <v>-305</v>
      </c>
      <c r="AA59" s="49">
        <v>-205</v>
      </c>
      <c r="AB59" s="49">
        <v>-177</v>
      </c>
      <c r="AC59" s="49">
        <v>-178.8</v>
      </c>
      <c r="AD59" s="49">
        <v>-218.9</v>
      </c>
      <c r="AE59" s="49">
        <v>-318</v>
      </c>
      <c r="AF59" s="49">
        <v>-325.5</v>
      </c>
      <c r="AG59" s="77"/>
      <c r="AH59" s="55">
        <f t="shared" si="2"/>
        <v>-177</v>
      </c>
      <c r="AI59" s="56">
        <f t="shared" si="3"/>
        <v>-430</v>
      </c>
      <c r="AK59" s="57"/>
    </row>
    <row r="60" spans="1:37" x14ac:dyDescent="0.25">
      <c r="A60" s="63" t="s">
        <v>68</v>
      </c>
      <c r="B60" s="78">
        <v>28</v>
      </c>
      <c r="C60" s="78">
        <v>12</v>
      </c>
      <c r="D60" s="78">
        <v>12</v>
      </c>
      <c r="E60" s="78">
        <v>12</v>
      </c>
      <c r="F60" s="78">
        <v>12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12</v>
      </c>
      <c r="N60" s="78">
        <v>13</v>
      </c>
      <c r="O60" s="78">
        <v>13</v>
      </c>
      <c r="P60" s="78">
        <v>30.7</v>
      </c>
      <c r="Q60" s="78">
        <v>31.3</v>
      </c>
      <c r="R60" s="78">
        <v>33</v>
      </c>
      <c r="S60" s="78">
        <v>34</v>
      </c>
      <c r="T60" s="78">
        <v>35</v>
      </c>
      <c r="U60" s="78"/>
      <c r="V60" s="78">
        <v>32</v>
      </c>
      <c r="W60" s="78">
        <v>32</v>
      </c>
      <c r="X60" s="78">
        <v>33</v>
      </c>
      <c r="Y60" s="78">
        <v>31</v>
      </c>
      <c r="Z60" s="78">
        <v>25</v>
      </c>
      <c r="AA60" s="78">
        <v>30</v>
      </c>
      <c r="AB60" s="78">
        <v>32</v>
      </c>
      <c r="AC60" s="78">
        <v>33</v>
      </c>
      <c r="AD60" s="78">
        <v>35</v>
      </c>
      <c r="AE60" s="78">
        <v>35</v>
      </c>
      <c r="AF60" s="78">
        <v>33</v>
      </c>
      <c r="AG60" s="77"/>
      <c r="AH60" s="55">
        <f t="shared" si="2"/>
        <v>35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/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5</v>
      </c>
      <c r="N62" s="79">
        <v>5</v>
      </c>
      <c r="O62" s="79">
        <v>5</v>
      </c>
      <c r="P62" s="79">
        <v>6</v>
      </c>
      <c r="Q62" s="79">
        <v>6</v>
      </c>
      <c r="R62" s="79">
        <v>6</v>
      </c>
      <c r="S62" s="79">
        <v>6</v>
      </c>
      <c r="T62" s="79">
        <v>6</v>
      </c>
      <c r="U62" s="79"/>
      <c r="V62" s="79">
        <v>6</v>
      </c>
      <c r="W62" s="79">
        <v>6</v>
      </c>
      <c r="X62" s="79">
        <v>6</v>
      </c>
      <c r="Y62" s="79">
        <v>6</v>
      </c>
      <c r="Z62" s="79">
        <v>6</v>
      </c>
      <c r="AA62" s="79">
        <v>6</v>
      </c>
      <c r="AB62" s="79">
        <v>6</v>
      </c>
      <c r="AC62" s="79">
        <v>6</v>
      </c>
      <c r="AD62" s="79">
        <v>6</v>
      </c>
      <c r="AE62" s="79">
        <v>6</v>
      </c>
      <c r="AF62" s="79">
        <v>6</v>
      </c>
      <c r="AG62" s="77"/>
      <c r="AH62" s="55">
        <f t="shared" si="2"/>
        <v>8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/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9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/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9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/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79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/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79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/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v>99</v>
      </c>
      <c r="C68" s="70">
        <f t="shared" ref="C68:AF68" si="8">SUMIF(C57:C67,"&gt;0")</f>
        <v>79</v>
      </c>
      <c r="D68" s="70">
        <f t="shared" si="8"/>
        <v>78</v>
      </c>
      <c r="E68" s="70">
        <f t="shared" si="8"/>
        <v>77</v>
      </c>
      <c r="F68" s="70">
        <f t="shared" si="8"/>
        <v>77.5</v>
      </c>
      <c r="G68" s="70">
        <f t="shared" si="8"/>
        <v>65.900000000000006</v>
      </c>
      <c r="H68" s="70">
        <f t="shared" si="8"/>
        <v>71.5</v>
      </c>
      <c r="I68" s="70">
        <f t="shared" si="8"/>
        <v>8</v>
      </c>
      <c r="J68" s="70">
        <f t="shared" si="8"/>
        <v>66</v>
      </c>
      <c r="K68" s="70">
        <f t="shared" si="8"/>
        <v>60</v>
      </c>
      <c r="L68" s="70">
        <f t="shared" si="8"/>
        <v>54.7</v>
      </c>
      <c r="M68" s="70">
        <f t="shared" si="8"/>
        <v>73</v>
      </c>
      <c r="N68" s="70">
        <f t="shared" si="8"/>
        <v>79.099999999999994</v>
      </c>
      <c r="O68" s="70">
        <f t="shared" si="8"/>
        <v>77.099999999999994</v>
      </c>
      <c r="P68" s="70">
        <f t="shared" si="8"/>
        <v>104.2</v>
      </c>
      <c r="Q68" s="70">
        <f t="shared" si="8"/>
        <v>104.8</v>
      </c>
      <c r="R68" s="70">
        <f t="shared" si="8"/>
        <v>104.2</v>
      </c>
      <c r="S68" s="70">
        <f t="shared" si="8"/>
        <v>115</v>
      </c>
      <c r="T68" s="70">
        <f t="shared" si="8"/>
        <v>113</v>
      </c>
      <c r="U68" s="70">
        <f t="shared" si="8"/>
        <v>0</v>
      </c>
      <c r="V68" s="70">
        <f t="shared" si="8"/>
        <v>101</v>
      </c>
      <c r="W68" s="70">
        <f t="shared" si="8"/>
        <v>104</v>
      </c>
      <c r="X68" s="70">
        <f t="shared" si="8"/>
        <v>106</v>
      </c>
      <c r="Y68" s="70">
        <f t="shared" si="8"/>
        <v>99.7</v>
      </c>
      <c r="Z68" s="70">
        <f t="shared" si="8"/>
        <v>95</v>
      </c>
      <c r="AA68" s="70">
        <f t="shared" si="8"/>
        <v>101</v>
      </c>
      <c r="AB68" s="70">
        <f t="shared" si="8"/>
        <v>116</v>
      </c>
      <c r="AC68" s="70">
        <f t="shared" si="8"/>
        <v>116.8</v>
      </c>
      <c r="AD68" s="70">
        <f t="shared" si="8"/>
        <v>119.8</v>
      </c>
      <c r="AE68" s="70">
        <f t="shared" si="8"/>
        <v>118.5</v>
      </c>
      <c r="AF68" s="70">
        <f t="shared" si="8"/>
        <v>114.3</v>
      </c>
      <c r="AG68" s="74">
        <f>SUM(AG57:AG67)</f>
        <v>0</v>
      </c>
      <c r="AH68" s="55">
        <f t="shared" si="2"/>
        <v>119.8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v>1711.44</v>
      </c>
      <c r="C73" s="84">
        <f t="shared" ref="C73:AF73" si="9">C38+C52+C68+C72</f>
        <v>1720.6399999999999</v>
      </c>
      <c r="D73" s="84">
        <f t="shared" si="9"/>
        <v>1717.74</v>
      </c>
      <c r="E73" s="84">
        <f t="shared" si="9"/>
        <v>1716.24</v>
      </c>
      <c r="F73" s="84">
        <f t="shared" si="9"/>
        <v>1717.24</v>
      </c>
      <c r="G73" s="84">
        <f t="shared" si="9"/>
        <v>1690.8400000000001</v>
      </c>
      <c r="H73" s="84">
        <f t="shared" si="9"/>
        <v>1696.44</v>
      </c>
      <c r="I73" s="84">
        <f t="shared" si="9"/>
        <v>1642.94</v>
      </c>
      <c r="J73" s="84">
        <f t="shared" si="9"/>
        <v>1700.94</v>
      </c>
      <c r="K73" s="84">
        <f t="shared" si="9"/>
        <v>1694.94</v>
      </c>
      <c r="L73" s="84">
        <f t="shared" si="9"/>
        <v>1697.34</v>
      </c>
      <c r="M73" s="84">
        <f t="shared" si="9"/>
        <v>1751.1399999999999</v>
      </c>
      <c r="N73" s="84">
        <f t="shared" si="9"/>
        <v>1745.0400000000002</v>
      </c>
      <c r="O73" s="84">
        <f t="shared" si="9"/>
        <v>1714.0400000000002</v>
      </c>
      <c r="P73" s="84">
        <f t="shared" si="9"/>
        <v>1772.6400000000003</v>
      </c>
      <c r="Q73" s="84">
        <f t="shared" si="9"/>
        <v>1773.2400000000002</v>
      </c>
      <c r="R73" s="84">
        <f t="shared" si="9"/>
        <v>1717.2400000000002</v>
      </c>
      <c r="S73" s="84">
        <f t="shared" si="9"/>
        <v>1741.64</v>
      </c>
      <c r="T73" s="84">
        <f t="shared" si="9"/>
        <v>1708.04</v>
      </c>
      <c r="U73" s="84">
        <f t="shared" si="9"/>
        <v>1595.04</v>
      </c>
      <c r="V73" s="84">
        <f t="shared" si="9"/>
        <v>1686.8400000000001</v>
      </c>
      <c r="W73" s="84">
        <f t="shared" si="9"/>
        <v>1704.04</v>
      </c>
      <c r="X73" s="84">
        <f t="shared" si="9"/>
        <v>1696.04</v>
      </c>
      <c r="Y73" s="84">
        <f t="shared" si="9"/>
        <v>1689.74</v>
      </c>
      <c r="Z73" s="84">
        <f t="shared" si="9"/>
        <v>1685.04</v>
      </c>
      <c r="AA73" s="84">
        <f t="shared" si="9"/>
        <v>1691.04</v>
      </c>
      <c r="AB73" s="84">
        <f t="shared" si="9"/>
        <v>1730.7400000000002</v>
      </c>
      <c r="AC73" s="84">
        <f t="shared" si="9"/>
        <v>1731.14</v>
      </c>
      <c r="AD73" s="84">
        <f t="shared" si="9"/>
        <v>1734.5400000000002</v>
      </c>
      <c r="AE73" s="84">
        <f t="shared" si="9"/>
        <v>1728.8400000000001</v>
      </c>
      <c r="AF73" s="84">
        <f t="shared" si="9"/>
        <v>1728.7400000000002</v>
      </c>
      <c r="AG73" s="84">
        <f t="shared" ref="AG73" si="10">AG68+AG56+AG52+AG38+AG72</f>
        <v>2144.14</v>
      </c>
      <c r="AH73" s="55">
        <f t="shared" si="2"/>
        <v>1773.2400000000002</v>
      </c>
      <c r="AI73" s="56">
        <f t="shared" si="3"/>
        <v>1595.04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v>1711.44</v>
      </c>
      <c r="C75" s="84">
        <f t="shared" ref="C75:AF75" si="11">C73+C74</f>
        <v>1720.6399999999999</v>
      </c>
      <c r="D75" s="84">
        <f t="shared" si="11"/>
        <v>1717.74</v>
      </c>
      <c r="E75" s="84">
        <f t="shared" si="11"/>
        <v>1716.24</v>
      </c>
      <c r="F75" s="84">
        <f t="shared" si="11"/>
        <v>1717.24</v>
      </c>
      <c r="G75" s="84">
        <f t="shared" si="11"/>
        <v>1690.8400000000001</v>
      </c>
      <c r="H75" s="84">
        <f t="shared" si="11"/>
        <v>1696.44</v>
      </c>
      <c r="I75" s="84">
        <f t="shared" si="11"/>
        <v>1642.94</v>
      </c>
      <c r="J75" s="84">
        <f t="shared" si="11"/>
        <v>1700.94</v>
      </c>
      <c r="K75" s="84">
        <f t="shared" si="11"/>
        <v>1694.94</v>
      </c>
      <c r="L75" s="84">
        <f t="shared" si="11"/>
        <v>1697.34</v>
      </c>
      <c r="M75" s="84">
        <f t="shared" si="11"/>
        <v>1751.1399999999999</v>
      </c>
      <c r="N75" s="84">
        <f t="shared" si="11"/>
        <v>1745.0400000000002</v>
      </c>
      <c r="O75" s="84">
        <f t="shared" si="11"/>
        <v>1714.0400000000002</v>
      </c>
      <c r="P75" s="84">
        <f t="shared" si="11"/>
        <v>1772.6400000000003</v>
      </c>
      <c r="Q75" s="84">
        <f t="shared" si="11"/>
        <v>1773.2400000000002</v>
      </c>
      <c r="R75" s="84">
        <f t="shared" si="11"/>
        <v>1717.2400000000002</v>
      </c>
      <c r="S75" s="84">
        <f t="shared" si="11"/>
        <v>1741.64</v>
      </c>
      <c r="T75" s="84">
        <f t="shared" si="11"/>
        <v>1708.04</v>
      </c>
      <c r="U75" s="84">
        <f t="shared" si="11"/>
        <v>1595.04</v>
      </c>
      <c r="V75" s="84">
        <f t="shared" si="11"/>
        <v>1686.8400000000001</v>
      </c>
      <c r="W75" s="84">
        <f t="shared" si="11"/>
        <v>1704.04</v>
      </c>
      <c r="X75" s="84">
        <f t="shared" si="11"/>
        <v>1696.04</v>
      </c>
      <c r="Y75" s="84">
        <f t="shared" si="11"/>
        <v>1689.74</v>
      </c>
      <c r="Z75" s="84">
        <f t="shared" si="11"/>
        <v>1685.04</v>
      </c>
      <c r="AA75" s="84">
        <f t="shared" si="11"/>
        <v>1691.04</v>
      </c>
      <c r="AB75" s="84">
        <f t="shared" si="11"/>
        <v>1730.7400000000002</v>
      </c>
      <c r="AC75" s="84">
        <f t="shared" si="11"/>
        <v>1731.14</v>
      </c>
      <c r="AD75" s="84">
        <f t="shared" si="11"/>
        <v>1734.5400000000002</v>
      </c>
      <c r="AE75" s="84">
        <f t="shared" si="11"/>
        <v>1728.8400000000001</v>
      </c>
      <c r="AF75" s="84">
        <f t="shared" si="11"/>
        <v>1728.7400000000002</v>
      </c>
      <c r="AG75" s="74">
        <f>AG72+AG68+AG56+AG52+AG38+AG74</f>
        <v>2144.14</v>
      </c>
      <c r="AH75" s="55">
        <f t="shared" si="2"/>
        <v>1773.2400000000002</v>
      </c>
      <c r="AI75" s="56">
        <f t="shared" si="3"/>
        <v>1595.04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v>0</v>
      </c>
      <c r="C76" s="78">
        <f t="shared" ref="C76:AF76" si="12">IF(C60&lt;0,C60*-1,0)</f>
        <v>0</v>
      </c>
      <c r="D76" s="78">
        <f t="shared" si="12"/>
        <v>0</v>
      </c>
      <c r="E76" s="78">
        <f t="shared" si="12"/>
        <v>0</v>
      </c>
      <c r="F76" s="78">
        <f t="shared" si="12"/>
        <v>0</v>
      </c>
      <c r="G76" s="78">
        <f t="shared" si="12"/>
        <v>0</v>
      </c>
      <c r="H76" s="78">
        <f t="shared" si="12"/>
        <v>0</v>
      </c>
      <c r="I76" s="78">
        <f t="shared" si="12"/>
        <v>0</v>
      </c>
      <c r="J76" s="78">
        <f t="shared" si="12"/>
        <v>0</v>
      </c>
      <c r="K76" s="78">
        <f t="shared" si="12"/>
        <v>0</v>
      </c>
      <c r="L76" s="78">
        <f t="shared" si="12"/>
        <v>0</v>
      </c>
      <c r="M76" s="78">
        <f t="shared" si="12"/>
        <v>0</v>
      </c>
      <c r="N76" s="78">
        <f t="shared" si="12"/>
        <v>0</v>
      </c>
      <c r="O76" s="78">
        <f t="shared" si="12"/>
        <v>0</v>
      </c>
      <c r="P76" s="78">
        <f t="shared" si="12"/>
        <v>0</v>
      </c>
      <c r="Q76" s="78">
        <f t="shared" si="12"/>
        <v>0</v>
      </c>
      <c r="R76" s="78">
        <f t="shared" si="12"/>
        <v>0</v>
      </c>
      <c r="S76" s="78">
        <f t="shared" si="12"/>
        <v>0</v>
      </c>
      <c r="T76" s="78">
        <f t="shared" si="12"/>
        <v>0</v>
      </c>
      <c r="U76" s="78">
        <f t="shared" si="12"/>
        <v>0</v>
      </c>
      <c r="V76" s="78">
        <f t="shared" si="12"/>
        <v>0</v>
      </c>
      <c r="W76" s="78">
        <f t="shared" si="12"/>
        <v>0</v>
      </c>
      <c r="X76" s="78">
        <f t="shared" si="12"/>
        <v>0</v>
      </c>
      <c r="Y76" s="78">
        <f t="shared" si="12"/>
        <v>0</v>
      </c>
      <c r="Z76" s="78">
        <f t="shared" si="12"/>
        <v>0</v>
      </c>
      <c r="AA76" s="78">
        <f t="shared" si="12"/>
        <v>0</v>
      </c>
      <c r="AB76" s="78">
        <f t="shared" si="12"/>
        <v>0</v>
      </c>
      <c r="AC76" s="78">
        <f t="shared" si="12"/>
        <v>0</v>
      </c>
      <c r="AD76" s="78">
        <f t="shared" si="12"/>
        <v>0</v>
      </c>
      <c r="AE76" s="78">
        <f t="shared" si="12"/>
        <v>0</v>
      </c>
      <c r="AF76" s="78">
        <f t="shared" si="12"/>
        <v>0</v>
      </c>
      <c r="AG76" s="60"/>
      <c r="AH76" s="55">
        <f t="shared" ref="AH76:AH91" si="13">MAX(B76:AF76)</f>
        <v>0</v>
      </c>
      <c r="AI76" s="56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v>0</v>
      </c>
      <c r="C77" s="78">
        <f t="shared" ref="C77:AF77" si="15">IF(C58&lt;0,C58*-1,0)</f>
        <v>0</v>
      </c>
      <c r="D77" s="78">
        <f t="shared" si="15"/>
        <v>0</v>
      </c>
      <c r="E77" s="78">
        <f t="shared" si="15"/>
        <v>0</v>
      </c>
      <c r="F77" s="78">
        <f t="shared" si="15"/>
        <v>0</v>
      </c>
      <c r="G77" s="78">
        <f t="shared" si="15"/>
        <v>0</v>
      </c>
      <c r="H77" s="78">
        <f t="shared" si="15"/>
        <v>0</v>
      </c>
      <c r="I77" s="78">
        <f t="shared" si="15"/>
        <v>0</v>
      </c>
      <c r="J77" s="78">
        <f t="shared" si="15"/>
        <v>0</v>
      </c>
      <c r="K77" s="78">
        <f t="shared" si="15"/>
        <v>0</v>
      </c>
      <c r="L77" s="78">
        <f t="shared" si="15"/>
        <v>0</v>
      </c>
      <c r="M77" s="78">
        <f t="shared" si="15"/>
        <v>0</v>
      </c>
      <c r="N77" s="78">
        <f t="shared" si="15"/>
        <v>0</v>
      </c>
      <c r="O77" s="78">
        <f t="shared" si="15"/>
        <v>0</v>
      </c>
      <c r="P77" s="78">
        <f t="shared" si="15"/>
        <v>0</v>
      </c>
      <c r="Q77" s="78">
        <f t="shared" si="15"/>
        <v>0</v>
      </c>
      <c r="R77" s="78">
        <f t="shared" si="15"/>
        <v>0</v>
      </c>
      <c r="S77" s="78">
        <f t="shared" si="15"/>
        <v>0</v>
      </c>
      <c r="T77" s="78">
        <f t="shared" si="15"/>
        <v>0</v>
      </c>
      <c r="U77" s="78">
        <f t="shared" si="15"/>
        <v>0</v>
      </c>
      <c r="V77" s="78">
        <f t="shared" si="15"/>
        <v>0</v>
      </c>
      <c r="W77" s="78">
        <f t="shared" si="15"/>
        <v>0</v>
      </c>
      <c r="X77" s="78">
        <f t="shared" si="15"/>
        <v>0</v>
      </c>
      <c r="Y77" s="78">
        <f t="shared" si="15"/>
        <v>0</v>
      </c>
      <c r="Z77" s="78">
        <f t="shared" si="15"/>
        <v>0</v>
      </c>
      <c r="AA77" s="78">
        <f t="shared" si="15"/>
        <v>0</v>
      </c>
      <c r="AB77" s="78">
        <f t="shared" si="15"/>
        <v>0</v>
      </c>
      <c r="AC77" s="78">
        <f t="shared" si="15"/>
        <v>0</v>
      </c>
      <c r="AD77" s="78">
        <f t="shared" si="15"/>
        <v>0</v>
      </c>
      <c r="AE77" s="78">
        <f t="shared" si="15"/>
        <v>0</v>
      </c>
      <c r="AF77" s="78">
        <f t="shared" si="15"/>
        <v>0</v>
      </c>
      <c r="AG77" s="64"/>
      <c r="AH77" s="55">
        <f t="shared" si="13"/>
        <v>0</v>
      </c>
      <c r="AI77" s="56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f t="shared" ref="C78:AF78" si="16">IF(C61&lt;0,C61*-1,0)</f>
        <v>0</v>
      </c>
      <c r="D78" s="78">
        <f t="shared" si="16"/>
        <v>0</v>
      </c>
      <c r="E78" s="78">
        <f t="shared" si="16"/>
        <v>0</v>
      </c>
      <c r="F78" s="78">
        <f t="shared" si="16"/>
        <v>0</v>
      </c>
      <c r="G78" s="78">
        <f t="shared" si="16"/>
        <v>0</v>
      </c>
      <c r="H78" s="78">
        <f t="shared" si="16"/>
        <v>0</v>
      </c>
      <c r="I78" s="78">
        <f t="shared" si="16"/>
        <v>0</v>
      </c>
      <c r="J78" s="78">
        <f t="shared" si="16"/>
        <v>0</v>
      </c>
      <c r="K78" s="78">
        <f t="shared" si="16"/>
        <v>0</v>
      </c>
      <c r="L78" s="78">
        <f t="shared" si="16"/>
        <v>0</v>
      </c>
      <c r="M78" s="78">
        <f t="shared" si="16"/>
        <v>0</v>
      </c>
      <c r="N78" s="78">
        <f t="shared" si="16"/>
        <v>0</v>
      </c>
      <c r="O78" s="78">
        <f t="shared" si="16"/>
        <v>0</v>
      </c>
      <c r="P78" s="78">
        <f t="shared" si="16"/>
        <v>0</v>
      </c>
      <c r="Q78" s="78">
        <f t="shared" si="16"/>
        <v>0</v>
      </c>
      <c r="R78" s="78">
        <f t="shared" si="16"/>
        <v>0</v>
      </c>
      <c r="S78" s="78">
        <f t="shared" si="16"/>
        <v>0</v>
      </c>
      <c r="T78" s="78">
        <f t="shared" si="16"/>
        <v>0</v>
      </c>
      <c r="U78" s="78">
        <f t="shared" si="16"/>
        <v>0</v>
      </c>
      <c r="V78" s="78">
        <f t="shared" si="16"/>
        <v>0</v>
      </c>
      <c r="W78" s="78">
        <f t="shared" si="16"/>
        <v>0</v>
      </c>
      <c r="X78" s="78">
        <f t="shared" si="16"/>
        <v>0</v>
      </c>
      <c r="Y78" s="78">
        <f t="shared" si="16"/>
        <v>0</v>
      </c>
      <c r="Z78" s="78">
        <f t="shared" si="16"/>
        <v>0</v>
      </c>
      <c r="AA78" s="78">
        <f t="shared" si="16"/>
        <v>0</v>
      </c>
      <c r="AB78" s="78">
        <f t="shared" si="16"/>
        <v>0</v>
      </c>
      <c r="AC78" s="78">
        <f t="shared" si="16"/>
        <v>0</v>
      </c>
      <c r="AD78" s="78">
        <f t="shared" si="16"/>
        <v>0</v>
      </c>
      <c r="AE78" s="78">
        <f t="shared" si="16"/>
        <v>0</v>
      </c>
      <c r="AF78" s="78">
        <f t="shared" si="16"/>
        <v>0</v>
      </c>
      <c r="AG78" s="87"/>
      <c r="AH78" s="55">
        <f t="shared" si="13"/>
        <v>0</v>
      </c>
      <c r="AI78" s="56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v>280</v>
      </c>
      <c r="C79" s="78">
        <f t="shared" ref="C79:AF79" si="17">IF(C59&lt;0,C59*-1,0)</f>
        <v>375</v>
      </c>
      <c r="D79" s="78">
        <f t="shared" si="17"/>
        <v>368</v>
      </c>
      <c r="E79" s="78">
        <f t="shared" si="17"/>
        <v>368</v>
      </c>
      <c r="F79" s="78">
        <f t="shared" si="17"/>
        <v>373</v>
      </c>
      <c r="G79" s="78">
        <f t="shared" si="17"/>
        <v>416</v>
      </c>
      <c r="H79" s="78">
        <f t="shared" si="17"/>
        <v>430</v>
      </c>
      <c r="I79" s="78">
        <f t="shared" si="17"/>
        <v>379</v>
      </c>
      <c r="J79" s="78">
        <f t="shared" si="17"/>
        <v>290</v>
      </c>
      <c r="K79" s="78">
        <f t="shared" si="17"/>
        <v>310</v>
      </c>
      <c r="L79" s="78">
        <f t="shared" si="17"/>
        <v>305</v>
      </c>
      <c r="M79" s="78">
        <f t="shared" si="17"/>
        <v>315</v>
      </c>
      <c r="N79" s="78">
        <f t="shared" si="17"/>
        <v>310</v>
      </c>
      <c r="O79" s="78">
        <f t="shared" si="17"/>
        <v>265.10000000000002</v>
      </c>
      <c r="P79" s="78">
        <f t="shared" si="17"/>
        <v>261.10000000000002</v>
      </c>
      <c r="Q79" s="78">
        <f t="shared" si="17"/>
        <v>317</v>
      </c>
      <c r="R79" s="78">
        <f t="shared" si="17"/>
        <v>299.39999999999998</v>
      </c>
      <c r="S79" s="78">
        <f t="shared" si="17"/>
        <v>260</v>
      </c>
      <c r="T79" s="78">
        <f t="shared" si="17"/>
        <v>233</v>
      </c>
      <c r="U79" s="78">
        <f t="shared" si="17"/>
        <v>0</v>
      </c>
      <c r="V79" s="78">
        <f t="shared" si="17"/>
        <v>297</v>
      </c>
      <c r="W79" s="78">
        <f t="shared" si="17"/>
        <v>296</v>
      </c>
      <c r="X79" s="78">
        <f t="shared" si="17"/>
        <v>310</v>
      </c>
      <c r="Y79" s="78">
        <f t="shared" si="17"/>
        <v>308</v>
      </c>
      <c r="Z79" s="78">
        <f t="shared" si="17"/>
        <v>305</v>
      </c>
      <c r="AA79" s="78">
        <f t="shared" si="17"/>
        <v>205</v>
      </c>
      <c r="AB79" s="78">
        <f t="shared" si="17"/>
        <v>177</v>
      </c>
      <c r="AC79" s="78">
        <f t="shared" si="17"/>
        <v>178.8</v>
      </c>
      <c r="AD79" s="78">
        <f t="shared" si="17"/>
        <v>218.9</v>
      </c>
      <c r="AE79" s="78">
        <f t="shared" si="17"/>
        <v>318</v>
      </c>
      <c r="AF79" s="78">
        <f t="shared" si="17"/>
        <v>325.5</v>
      </c>
      <c r="AG79" s="87"/>
      <c r="AH79" s="55">
        <f t="shared" si="13"/>
        <v>430</v>
      </c>
      <c r="AI79" s="56">
        <f t="shared" si="14"/>
        <v>0</v>
      </c>
      <c r="AK79">
        <f>20+15+130+10+25+1+30+20+24+8</f>
        <v>283</v>
      </c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f t="shared" ref="C80:AF80" si="18">IF(C57&lt;0,C57*-1,0)</f>
        <v>0</v>
      </c>
      <c r="D80" s="78">
        <f t="shared" si="18"/>
        <v>0</v>
      </c>
      <c r="E80" s="78">
        <f t="shared" si="18"/>
        <v>0</v>
      </c>
      <c r="F80" s="78">
        <f t="shared" si="18"/>
        <v>0</v>
      </c>
      <c r="G80" s="78">
        <f t="shared" si="18"/>
        <v>0</v>
      </c>
      <c r="H80" s="78">
        <f t="shared" si="18"/>
        <v>0</v>
      </c>
      <c r="I80" s="78">
        <f t="shared" si="18"/>
        <v>0</v>
      </c>
      <c r="J80" s="78">
        <f t="shared" si="18"/>
        <v>0</v>
      </c>
      <c r="K80" s="78">
        <f t="shared" si="18"/>
        <v>0</v>
      </c>
      <c r="L80" s="78">
        <f t="shared" si="18"/>
        <v>0</v>
      </c>
      <c r="M80" s="78">
        <f t="shared" si="18"/>
        <v>0</v>
      </c>
      <c r="N80" s="78">
        <f t="shared" si="18"/>
        <v>0</v>
      </c>
      <c r="O80" s="78">
        <f t="shared" si="18"/>
        <v>0</v>
      </c>
      <c r="P80" s="78">
        <f t="shared" si="18"/>
        <v>0</v>
      </c>
      <c r="Q80" s="78">
        <f t="shared" si="18"/>
        <v>0</v>
      </c>
      <c r="R80" s="78">
        <f t="shared" si="18"/>
        <v>0</v>
      </c>
      <c r="S80" s="78">
        <f t="shared" si="18"/>
        <v>0</v>
      </c>
      <c r="T80" s="78">
        <f t="shared" si="18"/>
        <v>0</v>
      </c>
      <c r="U80" s="78">
        <f t="shared" si="18"/>
        <v>0</v>
      </c>
      <c r="V80" s="78">
        <f t="shared" si="18"/>
        <v>0</v>
      </c>
      <c r="W80" s="78">
        <f t="shared" si="18"/>
        <v>0</v>
      </c>
      <c r="X80" s="78">
        <f t="shared" si="18"/>
        <v>0</v>
      </c>
      <c r="Y80" s="78">
        <f t="shared" si="18"/>
        <v>0</v>
      </c>
      <c r="Z80" s="78">
        <f t="shared" si="18"/>
        <v>0</v>
      </c>
      <c r="AA80" s="78">
        <f t="shared" si="18"/>
        <v>0</v>
      </c>
      <c r="AB80" s="78">
        <f t="shared" si="18"/>
        <v>0</v>
      </c>
      <c r="AC80" s="78">
        <f t="shared" si="18"/>
        <v>0</v>
      </c>
      <c r="AD80" s="78">
        <f t="shared" si="18"/>
        <v>0</v>
      </c>
      <c r="AE80" s="78">
        <f t="shared" si="18"/>
        <v>0</v>
      </c>
      <c r="AF80" s="78">
        <f t="shared" si="18"/>
        <v>0</v>
      </c>
      <c r="AG80" s="87"/>
      <c r="AH80" s="55">
        <f t="shared" si="13"/>
        <v>0</v>
      </c>
      <c r="AI80" s="56">
        <f t="shared" si="14"/>
        <v>0</v>
      </c>
      <c r="AK80">
        <f>285*(25+20+30)/60</f>
        <v>356.25</v>
      </c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3"/>
        <v>0</v>
      </c>
      <c r="AI81" s="56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v>280</v>
      </c>
      <c r="C82" s="70">
        <f t="shared" ref="C82:AG82" si="19">SUM(C76:C81)</f>
        <v>375</v>
      </c>
      <c r="D82" s="70">
        <f t="shared" si="19"/>
        <v>368</v>
      </c>
      <c r="E82" s="70">
        <f t="shared" si="19"/>
        <v>368</v>
      </c>
      <c r="F82" s="70">
        <f t="shared" si="19"/>
        <v>373</v>
      </c>
      <c r="G82" s="70">
        <f t="shared" si="19"/>
        <v>416</v>
      </c>
      <c r="H82" s="70">
        <f t="shared" si="19"/>
        <v>430</v>
      </c>
      <c r="I82" s="70">
        <f t="shared" si="19"/>
        <v>379</v>
      </c>
      <c r="J82" s="70">
        <f t="shared" si="19"/>
        <v>290</v>
      </c>
      <c r="K82" s="70">
        <f t="shared" si="19"/>
        <v>310</v>
      </c>
      <c r="L82" s="70">
        <f t="shared" si="19"/>
        <v>305</v>
      </c>
      <c r="M82" s="70">
        <f t="shared" si="19"/>
        <v>315</v>
      </c>
      <c r="N82" s="70">
        <f t="shared" si="19"/>
        <v>310</v>
      </c>
      <c r="O82" s="70">
        <f t="shared" si="19"/>
        <v>265.10000000000002</v>
      </c>
      <c r="P82" s="70">
        <f t="shared" si="19"/>
        <v>261.10000000000002</v>
      </c>
      <c r="Q82" s="70">
        <f t="shared" si="19"/>
        <v>317</v>
      </c>
      <c r="R82" s="70">
        <f t="shared" si="19"/>
        <v>299.39999999999998</v>
      </c>
      <c r="S82" s="70">
        <f t="shared" si="19"/>
        <v>260</v>
      </c>
      <c r="T82" s="70">
        <f t="shared" si="19"/>
        <v>233</v>
      </c>
      <c r="U82" s="70">
        <f t="shared" si="19"/>
        <v>0</v>
      </c>
      <c r="V82" s="70">
        <f t="shared" si="19"/>
        <v>297</v>
      </c>
      <c r="W82" s="70">
        <f t="shared" si="19"/>
        <v>296</v>
      </c>
      <c r="X82" s="70">
        <f t="shared" si="19"/>
        <v>310</v>
      </c>
      <c r="Y82" s="70">
        <f t="shared" si="19"/>
        <v>308</v>
      </c>
      <c r="Z82" s="70">
        <f t="shared" si="19"/>
        <v>305</v>
      </c>
      <c r="AA82" s="70">
        <f t="shared" si="19"/>
        <v>205</v>
      </c>
      <c r="AB82" s="70">
        <f t="shared" si="19"/>
        <v>177</v>
      </c>
      <c r="AC82" s="70">
        <f t="shared" si="19"/>
        <v>178.8</v>
      </c>
      <c r="AD82" s="70">
        <f t="shared" si="19"/>
        <v>218.9</v>
      </c>
      <c r="AE82" s="70">
        <f t="shared" si="19"/>
        <v>318</v>
      </c>
      <c r="AF82" s="70">
        <f t="shared" si="19"/>
        <v>325.5</v>
      </c>
      <c r="AG82" s="74">
        <f t="shared" si="19"/>
        <v>0</v>
      </c>
      <c r="AH82" s="55">
        <f t="shared" si="13"/>
        <v>430</v>
      </c>
      <c r="AI82" s="56">
        <f t="shared" si="14"/>
        <v>0</v>
      </c>
      <c r="AK82" s="57"/>
    </row>
    <row r="83" spans="1:88" s="1" customFormat="1" ht="15.75" thickBot="1" x14ac:dyDescent="0.3">
      <c r="A83" s="69" t="s">
        <v>88</v>
      </c>
      <c r="B83" s="70">
        <v>-181</v>
      </c>
      <c r="C83" s="70">
        <f t="shared" ref="C83:AF83" si="20">C68-C82</f>
        <v>-296</v>
      </c>
      <c r="D83" s="70">
        <f t="shared" si="20"/>
        <v>-290</v>
      </c>
      <c r="E83" s="70">
        <f t="shared" si="20"/>
        <v>-291</v>
      </c>
      <c r="F83" s="70">
        <f t="shared" si="20"/>
        <v>-295.5</v>
      </c>
      <c r="G83" s="70">
        <f t="shared" si="20"/>
        <v>-350.1</v>
      </c>
      <c r="H83" s="70">
        <f t="shared" si="20"/>
        <v>-358.5</v>
      </c>
      <c r="I83" s="70">
        <f t="shared" si="20"/>
        <v>-371</v>
      </c>
      <c r="J83" s="70">
        <f t="shared" si="20"/>
        <v>-224</v>
      </c>
      <c r="K83" s="70">
        <f t="shared" si="20"/>
        <v>-250</v>
      </c>
      <c r="L83" s="70">
        <f t="shared" si="20"/>
        <v>-250.3</v>
      </c>
      <c r="M83" s="70">
        <f t="shared" si="20"/>
        <v>-242</v>
      </c>
      <c r="N83" s="70">
        <f t="shared" si="20"/>
        <v>-230.9</v>
      </c>
      <c r="O83" s="70">
        <f t="shared" si="20"/>
        <v>-188.00000000000003</v>
      </c>
      <c r="P83" s="70">
        <f t="shared" si="20"/>
        <v>-156.90000000000003</v>
      </c>
      <c r="Q83" s="70">
        <f t="shared" si="20"/>
        <v>-212.2</v>
      </c>
      <c r="R83" s="70">
        <f t="shared" si="20"/>
        <v>-195.2</v>
      </c>
      <c r="S83" s="70">
        <f t="shared" si="20"/>
        <v>-145</v>
      </c>
      <c r="T83" s="70">
        <f t="shared" si="20"/>
        <v>-120</v>
      </c>
      <c r="U83" s="70">
        <f t="shared" si="20"/>
        <v>0</v>
      </c>
      <c r="V83" s="70">
        <f t="shared" si="20"/>
        <v>-196</v>
      </c>
      <c r="W83" s="70">
        <f t="shared" si="20"/>
        <v>-192</v>
      </c>
      <c r="X83" s="70">
        <f t="shared" si="20"/>
        <v>-204</v>
      </c>
      <c r="Y83" s="70">
        <f t="shared" si="20"/>
        <v>-208.3</v>
      </c>
      <c r="Z83" s="70">
        <f t="shared" si="20"/>
        <v>-210</v>
      </c>
      <c r="AA83" s="70">
        <f t="shared" si="20"/>
        <v>-104</v>
      </c>
      <c r="AB83" s="70">
        <f t="shared" si="20"/>
        <v>-61</v>
      </c>
      <c r="AC83" s="70">
        <f t="shared" si="20"/>
        <v>-62.000000000000014</v>
      </c>
      <c r="AD83" s="70">
        <f t="shared" si="20"/>
        <v>-99.100000000000009</v>
      </c>
      <c r="AE83" s="70">
        <f t="shared" si="20"/>
        <v>-199.5</v>
      </c>
      <c r="AF83" s="70">
        <f t="shared" si="20"/>
        <v>-211.2</v>
      </c>
      <c r="AG83" s="74">
        <f t="shared" ref="AG83" si="21">SUM(AG70:AG82)</f>
        <v>4360.08</v>
      </c>
      <c r="AH83" s="55">
        <f t="shared" si="13"/>
        <v>0</v>
      </c>
      <c r="AI83" s="56">
        <f t="shared" si="14"/>
        <v>-371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49.978999999999999</v>
      </c>
      <c r="C84" s="90">
        <v>49.948999999999998</v>
      </c>
      <c r="D84" s="90">
        <v>50.012999999999998</v>
      </c>
      <c r="E84" s="90">
        <v>50.012999999999998</v>
      </c>
      <c r="F84" s="90">
        <v>49.99</v>
      </c>
      <c r="G84" s="90">
        <v>49.93</v>
      </c>
      <c r="H84" s="90">
        <v>49.93</v>
      </c>
      <c r="I84" s="90">
        <v>50.04</v>
      </c>
      <c r="J84" s="90">
        <v>50.04</v>
      </c>
      <c r="K84" s="90">
        <v>49.88</v>
      </c>
      <c r="L84" s="90">
        <v>49.92</v>
      </c>
      <c r="M84" s="90">
        <v>49.996000000000002</v>
      </c>
      <c r="N84" s="90">
        <v>50.01</v>
      </c>
      <c r="O84" s="90">
        <v>49.923000000000002</v>
      </c>
      <c r="P84" s="90">
        <v>49.927999999999997</v>
      </c>
      <c r="Q84" s="90">
        <v>49.997999999999998</v>
      </c>
      <c r="R84" s="90">
        <v>49.884</v>
      </c>
      <c r="S84" s="90">
        <v>49.935000000000002</v>
      </c>
      <c r="T84" s="90">
        <v>49.963000000000001</v>
      </c>
      <c r="U84" s="90"/>
      <c r="V84" s="90">
        <v>49.860999999999997</v>
      </c>
      <c r="W84" s="90">
        <v>49.972999999999999</v>
      </c>
      <c r="X84" s="90">
        <v>49.789000000000001</v>
      </c>
      <c r="Y84" s="90">
        <v>49.896000000000001</v>
      </c>
      <c r="Z84" s="90">
        <v>49.823999999999998</v>
      </c>
      <c r="AA84" s="90">
        <v>49.703000000000003</v>
      </c>
      <c r="AB84" s="90">
        <v>49.752000000000002</v>
      </c>
      <c r="AC84" s="90">
        <v>49.795999999999999</v>
      </c>
      <c r="AD84" s="90">
        <v>49.781999999999996</v>
      </c>
      <c r="AE84" s="90">
        <v>49.987000000000002</v>
      </c>
      <c r="AF84" s="90">
        <v>50.015999999999998</v>
      </c>
      <c r="AG84" s="91"/>
      <c r="AH84" s="55">
        <f t="shared" si="13"/>
        <v>50.04</v>
      </c>
      <c r="AI84" s="56">
        <f t="shared" si="14"/>
        <v>49.703000000000003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</v>
      </c>
      <c r="C85" s="49">
        <v>125</v>
      </c>
      <c r="D85" s="49">
        <v>125</v>
      </c>
      <c r="E85" s="49">
        <v>125</v>
      </c>
      <c r="F85" s="49">
        <v>125.6</v>
      </c>
      <c r="G85" s="49">
        <v>126.4</v>
      </c>
      <c r="H85" s="49">
        <v>126.4</v>
      </c>
      <c r="I85" s="49">
        <v>124.4</v>
      </c>
      <c r="J85" s="49">
        <v>124.4</v>
      </c>
      <c r="K85" s="49">
        <v>123</v>
      </c>
      <c r="L85" s="49">
        <v>122.9</v>
      </c>
      <c r="M85" s="49">
        <v>123</v>
      </c>
      <c r="N85" s="49">
        <v>122.2</v>
      </c>
      <c r="O85" s="49">
        <v>120.9</v>
      </c>
      <c r="P85" s="49">
        <v>120.5</v>
      </c>
      <c r="Q85" s="49">
        <v>122.3</v>
      </c>
      <c r="R85" s="49">
        <v>122.3</v>
      </c>
      <c r="S85" s="49">
        <v>121</v>
      </c>
      <c r="T85" s="49">
        <v>121</v>
      </c>
      <c r="U85" s="49"/>
      <c r="V85" s="49">
        <v>123</v>
      </c>
      <c r="W85" s="49">
        <v>123.7</v>
      </c>
      <c r="X85" s="49">
        <v>125</v>
      </c>
      <c r="Y85" s="49">
        <v>123</v>
      </c>
      <c r="Z85" s="49">
        <v>125</v>
      </c>
      <c r="AA85" s="49">
        <v>125</v>
      </c>
      <c r="AB85" s="49">
        <v>125.1</v>
      </c>
      <c r="AC85" s="49">
        <v>125.1</v>
      </c>
      <c r="AD85" s="49">
        <v>124</v>
      </c>
      <c r="AE85" s="49">
        <v>124.8</v>
      </c>
      <c r="AF85" s="49">
        <v>125.4</v>
      </c>
      <c r="AG85" s="93"/>
      <c r="AH85" s="55">
        <f t="shared" si="13"/>
        <v>126.4</v>
      </c>
      <c r="AI85" s="56">
        <f t="shared" si="14"/>
        <v>120.5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129</v>
      </c>
      <c r="C86" s="49">
        <v>130</v>
      </c>
      <c r="D86" s="49">
        <v>130</v>
      </c>
      <c r="E86" s="49">
        <v>130</v>
      </c>
      <c r="F86" s="49">
        <v>130.69999999999999</v>
      </c>
      <c r="G86" s="49">
        <v>130.5</v>
      </c>
      <c r="H86" s="49">
        <v>130.4</v>
      </c>
      <c r="I86" s="49">
        <v>128.4</v>
      </c>
      <c r="J86" s="49">
        <v>128.4</v>
      </c>
      <c r="K86" s="49">
        <v>127</v>
      </c>
      <c r="L86" s="49">
        <v>127</v>
      </c>
      <c r="M86" s="49">
        <v>127</v>
      </c>
      <c r="N86" s="49">
        <v>126.3</v>
      </c>
      <c r="O86" s="49">
        <v>126.2</v>
      </c>
      <c r="P86" s="49">
        <v>125.4</v>
      </c>
      <c r="Q86" s="49">
        <v>126.7</v>
      </c>
      <c r="R86" s="49">
        <v>127</v>
      </c>
      <c r="S86" s="49">
        <v>126</v>
      </c>
      <c r="T86" s="49">
        <v>125</v>
      </c>
      <c r="U86" s="49"/>
      <c r="V86" s="49">
        <v>127</v>
      </c>
      <c r="W86" s="49">
        <v>127.9</v>
      </c>
      <c r="X86" s="49">
        <v>129</v>
      </c>
      <c r="Y86" s="49">
        <v>128</v>
      </c>
      <c r="Z86" s="49">
        <v>128</v>
      </c>
      <c r="AA86" s="49">
        <v>129</v>
      </c>
      <c r="AB86" s="49">
        <v>129.19999999999999</v>
      </c>
      <c r="AC86" s="49">
        <v>129.5</v>
      </c>
      <c r="AD86" s="49">
        <v>128.80000000000001</v>
      </c>
      <c r="AE86" s="49">
        <v>130</v>
      </c>
      <c r="AF86" s="49">
        <v>130.19999999999999</v>
      </c>
      <c r="AG86" s="93"/>
      <c r="AH86" s="55">
        <f t="shared" si="13"/>
        <v>130.69999999999999</v>
      </c>
      <c r="AI86" s="56">
        <f t="shared" si="14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126</v>
      </c>
      <c r="C87" s="49">
        <v>128</v>
      </c>
      <c r="D87" s="49">
        <v>128</v>
      </c>
      <c r="E87" s="49">
        <v>128</v>
      </c>
      <c r="F87" s="49">
        <v>128</v>
      </c>
      <c r="G87" s="49">
        <v>127.8</v>
      </c>
      <c r="H87" s="49">
        <v>127.9</v>
      </c>
      <c r="I87" s="49">
        <v>127.2</v>
      </c>
      <c r="J87" s="49">
        <v>127.2</v>
      </c>
      <c r="K87" s="49">
        <v>126.4</v>
      </c>
      <c r="L87" s="49">
        <v>128</v>
      </c>
      <c r="M87" s="49">
        <v>128</v>
      </c>
      <c r="N87" s="49">
        <v>128.19999999999999</v>
      </c>
      <c r="O87" s="49">
        <v>128</v>
      </c>
      <c r="P87" s="49">
        <v>125.5</v>
      </c>
      <c r="Q87" s="49">
        <v>129</v>
      </c>
      <c r="R87" s="49">
        <v>127.9</v>
      </c>
      <c r="S87" s="49">
        <v>123</v>
      </c>
      <c r="T87" s="49">
        <v>123.8</v>
      </c>
      <c r="U87" s="49"/>
      <c r="V87" s="49">
        <v>124</v>
      </c>
      <c r="W87" s="49">
        <v>128</v>
      </c>
      <c r="X87" s="49">
        <v>129</v>
      </c>
      <c r="Y87" s="49">
        <v>127</v>
      </c>
      <c r="Z87" s="49">
        <v>127</v>
      </c>
      <c r="AA87" s="49">
        <v>125</v>
      </c>
      <c r="AB87" s="49">
        <v>124.5</v>
      </c>
      <c r="AC87" s="49">
        <v>124.8</v>
      </c>
      <c r="AD87" s="49">
        <v>124.3</v>
      </c>
      <c r="AE87" s="49">
        <v>126.1</v>
      </c>
      <c r="AF87" s="49">
        <v>126.9</v>
      </c>
      <c r="AG87" s="93"/>
      <c r="AH87" s="55">
        <f t="shared" si="13"/>
        <v>129</v>
      </c>
      <c r="AI87" s="56">
        <f t="shared" si="14"/>
        <v>123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3"/>
        <v>0</v>
      </c>
      <c r="AI88" s="56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127</v>
      </c>
      <c r="C89" s="95">
        <v>132</v>
      </c>
      <c r="D89" s="95">
        <v>132</v>
      </c>
      <c r="E89" s="95">
        <v>132</v>
      </c>
      <c r="F89" s="95">
        <v>132</v>
      </c>
      <c r="G89" s="95">
        <v>132.6</v>
      </c>
      <c r="H89" s="95">
        <v>132.5</v>
      </c>
      <c r="I89" s="95">
        <v>129.5</v>
      </c>
      <c r="J89" s="95">
        <v>129.5</v>
      </c>
      <c r="K89" s="95">
        <v>132.1</v>
      </c>
      <c r="L89" s="95">
        <v>133.69999999999999</v>
      </c>
      <c r="M89" s="95">
        <v>133.69999999999999</v>
      </c>
      <c r="N89" s="95">
        <v>131.9</v>
      </c>
      <c r="O89" s="95">
        <v>130.30000000000001</v>
      </c>
      <c r="P89" s="95">
        <v>136</v>
      </c>
      <c r="Q89" s="95">
        <v>135.5</v>
      </c>
      <c r="R89" s="95">
        <v>130.9</v>
      </c>
      <c r="S89" s="95">
        <v>128</v>
      </c>
      <c r="T89" s="95">
        <v>128</v>
      </c>
      <c r="U89" s="95"/>
      <c r="V89" s="95">
        <v>130</v>
      </c>
      <c r="W89" s="95">
        <v>134.5</v>
      </c>
      <c r="X89" s="95">
        <v>134</v>
      </c>
      <c r="Y89" s="95">
        <v>133</v>
      </c>
      <c r="Z89" s="95">
        <v>132</v>
      </c>
      <c r="AA89" s="95">
        <v>132</v>
      </c>
      <c r="AB89" s="95">
        <v>131.6</v>
      </c>
      <c r="AC89" s="95">
        <v>131.6</v>
      </c>
      <c r="AD89" s="95">
        <v>129</v>
      </c>
      <c r="AE89" s="95">
        <v>130</v>
      </c>
      <c r="AF89" s="95">
        <v>134.30000000000001</v>
      </c>
      <c r="AG89" s="96"/>
      <c r="AH89" s="55">
        <f t="shared" si="13"/>
        <v>136</v>
      </c>
      <c r="AI89" s="56">
        <f t="shared" si="14"/>
        <v>127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124</v>
      </c>
      <c r="C90" s="49">
        <v>131</v>
      </c>
      <c r="D90" s="49">
        <v>131</v>
      </c>
      <c r="E90" s="49">
        <v>131</v>
      </c>
      <c r="F90" s="49">
        <v>132.1</v>
      </c>
      <c r="G90" s="49">
        <v>19.8</v>
      </c>
      <c r="H90" s="49">
        <v>128</v>
      </c>
      <c r="I90" s="49">
        <v>125.4</v>
      </c>
      <c r="J90" s="49">
        <v>125.4</v>
      </c>
      <c r="K90" s="49">
        <v>128.9</v>
      </c>
      <c r="L90" s="49">
        <v>126.7</v>
      </c>
      <c r="M90" s="49">
        <v>126.7</v>
      </c>
      <c r="N90" s="49">
        <v>121.7</v>
      </c>
      <c r="O90" s="49">
        <v>125.4</v>
      </c>
      <c r="P90" s="49">
        <v>135.1</v>
      </c>
      <c r="Q90" s="49">
        <v>140</v>
      </c>
      <c r="R90" s="49">
        <v>125.3</v>
      </c>
      <c r="S90" s="49">
        <v>120</v>
      </c>
      <c r="T90" s="49">
        <v>121</v>
      </c>
      <c r="U90" s="49"/>
      <c r="V90" s="49">
        <v>123</v>
      </c>
      <c r="W90" s="49">
        <v>122</v>
      </c>
      <c r="X90" s="49">
        <v>122</v>
      </c>
      <c r="Y90" s="49">
        <v>133</v>
      </c>
      <c r="Z90" s="49">
        <v>125</v>
      </c>
      <c r="AA90" s="49">
        <v>124</v>
      </c>
      <c r="AB90" s="49">
        <v>126</v>
      </c>
      <c r="AC90" s="49">
        <v>126.6</v>
      </c>
      <c r="AD90" s="49">
        <v>127</v>
      </c>
      <c r="AE90" s="49">
        <v>126.2</v>
      </c>
      <c r="AF90" s="49">
        <v>127.9</v>
      </c>
      <c r="AG90" s="93"/>
      <c r="AH90" s="55">
        <f t="shared" si="13"/>
        <v>140</v>
      </c>
      <c r="AI90" s="56">
        <f t="shared" si="14"/>
        <v>19.8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</v>
      </c>
      <c r="C91" s="97">
        <v>65.400000000000006</v>
      </c>
      <c r="D91" s="97">
        <v>65.400000000000006</v>
      </c>
      <c r="E91" s="97">
        <v>65.400000000000006</v>
      </c>
      <c r="F91" s="97">
        <v>65.900000000000006</v>
      </c>
      <c r="G91" s="97">
        <v>65.7</v>
      </c>
      <c r="H91" s="97">
        <v>65.599999999999994</v>
      </c>
      <c r="I91" s="97">
        <v>64.7</v>
      </c>
      <c r="J91" s="97">
        <v>64.7</v>
      </c>
      <c r="K91" s="97">
        <v>64</v>
      </c>
      <c r="L91" s="97">
        <v>64</v>
      </c>
      <c r="M91" s="97">
        <v>64</v>
      </c>
      <c r="N91" s="97">
        <v>63.9</v>
      </c>
      <c r="O91" s="97">
        <v>63.7</v>
      </c>
      <c r="P91" s="97">
        <v>63.2</v>
      </c>
      <c r="Q91" s="97">
        <v>63.7</v>
      </c>
      <c r="R91" s="97">
        <v>63.7</v>
      </c>
      <c r="S91" s="97">
        <v>63.4</v>
      </c>
      <c r="T91" s="97">
        <v>63.5</v>
      </c>
      <c r="U91" s="97"/>
      <c r="V91" s="97">
        <v>64.099999999999994</v>
      </c>
      <c r="W91" s="97">
        <v>64.5</v>
      </c>
      <c r="X91" s="97">
        <v>64.8</v>
      </c>
      <c r="Y91" s="97">
        <v>62.5</v>
      </c>
      <c r="Z91" s="97">
        <v>64.8</v>
      </c>
      <c r="AA91" s="97">
        <v>65</v>
      </c>
      <c r="AB91" s="97">
        <v>65.2</v>
      </c>
      <c r="AC91" s="97">
        <v>65.400000000000006</v>
      </c>
      <c r="AD91" s="97">
        <v>65</v>
      </c>
      <c r="AE91" s="97">
        <v>65.599999999999994</v>
      </c>
      <c r="AF91" s="97">
        <v>66</v>
      </c>
      <c r="AG91" s="98"/>
      <c r="AH91" s="55">
        <f t="shared" si="13"/>
        <v>66</v>
      </c>
      <c r="AI91" s="56">
        <f t="shared" si="14"/>
        <v>62.5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2">SUM(B15,B18,B21:B22,B42,B44:B45,B47,B49,B94:B97,B103,B109,B115,B124,B126,B138,B145,B148:B149,B156,B158,B160,B164:B166,B168:B170,B175,B181:B182,B184:B186,B194,B199)</f>
        <v>120.74000000000002</v>
      </c>
      <c r="C93" s="103">
        <f t="shared" si="22"/>
        <v>127.94000000000001</v>
      </c>
      <c r="D93" s="103">
        <f t="shared" si="22"/>
        <v>133.94</v>
      </c>
      <c r="E93" s="103">
        <f t="shared" si="22"/>
        <v>128.34</v>
      </c>
      <c r="F93" s="103">
        <f t="shared" si="22"/>
        <v>132.94</v>
      </c>
      <c r="G93" s="103">
        <f t="shared" si="22"/>
        <v>159.23999999999998</v>
      </c>
      <c r="H93" s="103">
        <f t="shared" si="22"/>
        <v>141.13999999999999</v>
      </c>
      <c r="I93" s="103">
        <f t="shared" si="22"/>
        <v>158.73999999999998</v>
      </c>
      <c r="J93" s="103">
        <f t="shared" si="22"/>
        <v>158.63999999999999</v>
      </c>
      <c r="K93" s="103">
        <f t="shared" si="22"/>
        <v>183.93999999999997</v>
      </c>
      <c r="L93" s="103">
        <f t="shared" si="22"/>
        <v>237.73999999999998</v>
      </c>
      <c r="M93" s="103">
        <f t="shared" si="22"/>
        <v>247.73999999999998</v>
      </c>
      <c r="N93" s="103">
        <f t="shared" si="22"/>
        <v>239.23999999999998</v>
      </c>
      <c r="O93" s="103">
        <f t="shared" si="22"/>
        <v>261.74</v>
      </c>
      <c r="P93" s="103">
        <f t="shared" si="22"/>
        <v>271.94</v>
      </c>
      <c r="Q93" s="103">
        <f t="shared" si="22"/>
        <v>245.93999999999994</v>
      </c>
      <c r="R93" s="103">
        <f t="shared" si="22"/>
        <v>250.23999999999995</v>
      </c>
      <c r="S93" s="103">
        <f t="shared" si="22"/>
        <v>317.34000000000003</v>
      </c>
      <c r="T93" s="103">
        <f t="shared" si="22"/>
        <v>282.94</v>
      </c>
      <c r="U93" s="103">
        <f t="shared" si="22"/>
        <v>248.93999999999994</v>
      </c>
      <c r="V93" s="103">
        <f t="shared" si="22"/>
        <v>270.74</v>
      </c>
      <c r="W93" s="103">
        <f>SUM(W15,W18,W21:W22,W42,W44:W45,W47,W49,W94:W97,W103,W109,W115,W124,W126,W138,W145,W148:W149,W156,W158,W160,W164:W166,W168:W170,W175,W181:W182,W184:W186,W194,W199)</f>
        <v>262.74</v>
      </c>
      <c r="X93" s="103">
        <f>SUM(X15,X18,X21:X22,X42,X44:X45,X47,X49,X94:X97,X103,X109,X115,X124,X126,X138,X145,X148:X149,X156,X158,X160,X164:X166,X168:X170,X175,X181:X182,X184:X186,X194,X199)</f>
        <v>251.73999999999995</v>
      </c>
      <c r="Y93" s="103">
        <f t="shared" si="22"/>
        <v>261.74</v>
      </c>
      <c r="Z93" s="103">
        <f t="shared" si="22"/>
        <v>262.24</v>
      </c>
      <c r="AA93" s="103">
        <f t="shared" si="22"/>
        <v>305.74</v>
      </c>
      <c r="AB93" s="103">
        <f t="shared" si="22"/>
        <v>299.84000000000003</v>
      </c>
      <c r="AC93" s="103">
        <f t="shared" si="22"/>
        <v>361.04</v>
      </c>
      <c r="AD93" s="103">
        <f t="shared" si="22"/>
        <v>338.44000000000005</v>
      </c>
      <c r="AE93" s="103">
        <f t="shared" si="22"/>
        <v>331.04</v>
      </c>
      <c r="AF93" s="103">
        <f t="shared" si="22"/>
        <v>272.54000000000002</v>
      </c>
      <c r="AG93" s="104"/>
      <c r="AH93" s="55">
        <f>MAX(C93:AF93)</f>
        <v>361.04</v>
      </c>
      <c r="AI93" s="56">
        <f>MIN(C93:AF93)</f>
        <v>127.94000000000001</v>
      </c>
    </row>
    <row r="94" spans="1:88" x14ac:dyDescent="0.25">
      <c r="A94" s="105" t="s">
        <v>98</v>
      </c>
      <c r="B94" s="106">
        <v>12.8</v>
      </c>
      <c r="C94" s="106">
        <v>10.199999999999999</v>
      </c>
      <c r="D94" s="106">
        <v>12.4</v>
      </c>
      <c r="E94" s="106">
        <v>6.8</v>
      </c>
      <c r="F94" s="106">
        <v>5.4</v>
      </c>
      <c r="G94" s="106">
        <v>18.100000000000001</v>
      </c>
      <c r="H94" s="106">
        <v>17.3</v>
      </c>
      <c r="I94" s="106">
        <v>12.6</v>
      </c>
      <c r="J94" s="106">
        <v>12.5</v>
      </c>
      <c r="K94" s="106">
        <v>11.1</v>
      </c>
      <c r="L94" s="106">
        <v>17.600000000000001</v>
      </c>
      <c r="M94" s="106">
        <v>17.600000000000001</v>
      </c>
      <c r="N94" s="106">
        <v>26.2</v>
      </c>
      <c r="O94" s="106">
        <v>20.2</v>
      </c>
      <c r="P94" s="106">
        <v>31.7</v>
      </c>
      <c r="Q94" s="106">
        <v>28.6</v>
      </c>
      <c r="R94" s="106">
        <v>25</v>
      </c>
      <c r="S94" s="106">
        <v>31</v>
      </c>
      <c r="T94" s="106">
        <v>12</v>
      </c>
      <c r="U94" s="106"/>
      <c r="V94" s="106">
        <v>22</v>
      </c>
      <c r="W94" s="106">
        <v>28</v>
      </c>
      <c r="X94" s="106">
        <v>29</v>
      </c>
      <c r="Y94" s="106">
        <v>31</v>
      </c>
      <c r="Z94" s="106">
        <v>35</v>
      </c>
      <c r="AA94" s="106">
        <v>24</v>
      </c>
      <c r="AB94" s="106">
        <v>12.5</v>
      </c>
      <c r="AC94" s="106">
        <v>9.5</v>
      </c>
      <c r="AD94" s="106">
        <v>9.8000000000000007</v>
      </c>
      <c r="AE94" s="106">
        <v>9.8000000000000007</v>
      </c>
      <c r="AF94" s="106">
        <v>9.4</v>
      </c>
      <c r="AG94" s="107">
        <v>75</v>
      </c>
      <c r="AH94" s="55">
        <f t="shared" ref="AH94:AH100" si="23">IF(ABS(MAX(C94:AF94))&gt;ABS(MIN(C94:AF94)),MAX(C94:AF94),MIN(C94:AF94))</f>
        <v>35</v>
      </c>
      <c r="AI94" s="108">
        <f t="shared" ref="AI94:AI100" si="24">INDEX($C$9:$AF$9,1,MATCH(AH94,C94:AF94,0))</f>
        <v>0.79166666666666663</v>
      </c>
    </row>
    <row r="95" spans="1:88" x14ac:dyDescent="0.25">
      <c r="A95" s="109" t="s">
        <v>99</v>
      </c>
      <c r="B95" s="110">
        <v>-135</v>
      </c>
      <c r="C95" s="110">
        <v>-130</v>
      </c>
      <c r="D95" s="110">
        <v>-130</v>
      </c>
      <c r="E95" s="110">
        <v>-130</v>
      </c>
      <c r="F95" s="110">
        <v>-124</v>
      </c>
      <c r="G95" s="110">
        <f>-41-53.8</f>
        <v>-94.8</v>
      </c>
      <c r="H95" s="110">
        <f>-59-52.4</f>
        <v>-111.4</v>
      </c>
      <c r="I95" s="110">
        <f>-52.8-53</f>
        <v>-105.8</v>
      </c>
      <c r="J95" s="110">
        <f t="shared" ref="J95" si="25">-52.8-53</f>
        <v>-105.8</v>
      </c>
      <c r="K95" s="110">
        <f>-34.5-44.5</f>
        <v>-79</v>
      </c>
      <c r="L95" s="110">
        <v>-32.6</v>
      </c>
      <c r="M95" s="110">
        <v>-32.6</v>
      </c>
      <c r="N95" s="110">
        <f>-42-50.3</f>
        <v>-92.3</v>
      </c>
      <c r="O95" s="110">
        <v>-82</v>
      </c>
      <c r="P95" s="110">
        <v>-85</v>
      </c>
      <c r="Q95" s="110">
        <f>-41-54</f>
        <v>-95</v>
      </c>
      <c r="R95" s="110">
        <v>-88.2</v>
      </c>
      <c r="S95" s="110"/>
      <c r="T95" s="110">
        <v>-80</v>
      </c>
      <c r="U95" s="110"/>
      <c r="V95" s="110">
        <v>-82</v>
      </c>
      <c r="W95" s="110">
        <v>-90</v>
      </c>
      <c r="X95" s="110">
        <v>-85</v>
      </c>
      <c r="Y95" s="110">
        <v>-85</v>
      </c>
      <c r="Z95" s="110">
        <v>-84</v>
      </c>
      <c r="AA95" s="110">
        <v>-66</v>
      </c>
      <c r="AB95" s="110">
        <v>-70</v>
      </c>
      <c r="AC95" s="110"/>
      <c r="AD95" s="110"/>
      <c r="AE95" s="110"/>
      <c r="AF95" s="110"/>
      <c r="AG95" s="107">
        <v>240</v>
      </c>
      <c r="AH95" s="55">
        <f t="shared" si="23"/>
        <v>-130</v>
      </c>
      <c r="AI95" s="108">
        <f t="shared" si="24"/>
        <v>4.1666666666666664E-2</v>
      </c>
    </row>
    <row r="96" spans="1:88" x14ac:dyDescent="0.25">
      <c r="A96" s="109" t="s">
        <v>100</v>
      </c>
      <c r="B96" s="110">
        <v>1.9</v>
      </c>
      <c r="C96" s="110">
        <v>7.2</v>
      </c>
      <c r="D96" s="110">
        <v>11</v>
      </c>
      <c r="E96" s="110">
        <v>11</v>
      </c>
      <c r="F96" s="110">
        <v>11</v>
      </c>
      <c r="G96" s="110">
        <v>5.6</v>
      </c>
      <c r="H96" s="110">
        <v>4.9000000000000004</v>
      </c>
      <c r="I96" s="110">
        <v>11.6</v>
      </c>
      <c r="J96" s="110">
        <v>11.6</v>
      </c>
      <c r="K96" s="110">
        <v>11.5</v>
      </c>
      <c r="L96" s="110">
        <v>12</v>
      </c>
      <c r="M96" s="110">
        <v>12</v>
      </c>
      <c r="N96" s="110">
        <v>4.7</v>
      </c>
      <c r="O96" s="110">
        <v>12.7</v>
      </c>
      <c r="P96" s="110">
        <v>6.8</v>
      </c>
      <c r="Q96" s="110">
        <v>17</v>
      </c>
      <c r="R96" s="110">
        <v>8.3000000000000007</v>
      </c>
      <c r="S96" s="110">
        <v>7.4</v>
      </c>
      <c r="T96" s="110">
        <v>38</v>
      </c>
      <c r="U96" s="110"/>
      <c r="V96" s="110">
        <v>27</v>
      </c>
      <c r="W96" s="110">
        <v>11</v>
      </c>
      <c r="X96" s="110">
        <v>11</v>
      </c>
      <c r="Y96" s="110">
        <v>14</v>
      </c>
      <c r="Z96" s="110">
        <v>12.5</v>
      </c>
      <c r="AA96" s="110">
        <v>31</v>
      </c>
      <c r="AB96" s="110">
        <v>41.2</v>
      </c>
      <c r="AC96" s="110">
        <v>38.6</v>
      </c>
      <c r="AD96" s="110">
        <v>34.1</v>
      </c>
      <c r="AE96" s="110">
        <v>32.1</v>
      </c>
      <c r="AF96" s="110">
        <v>20.9</v>
      </c>
      <c r="AG96" s="107">
        <v>60</v>
      </c>
      <c r="AH96" s="55">
        <f t="shared" si="23"/>
        <v>41.2</v>
      </c>
      <c r="AI96" s="108">
        <f t="shared" si="24"/>
        <v>0.83333333333333337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51.1</v>
      </c>
      <c r="O97" s="112">
        <v>61.3</v>
      </c>
      <c r="P97" s="112">
        <v>69.099999999999994</v>
      </c>
      <c r="Q97" s="112">
        <v>46</v>
      </c>
      <c r="R97" s="112">
        <v>55.8</v>
      </c>
      <c r="S97" s="112">
        <v>60</v>
      </c>
      <c r="T97" s="112">
        <v>64</v>
      </c>
      <c r="U97" s="112"/>
      <c r="V97" s="112">
        <v>53</v>
      </c>
      <c r="W97" s="112">
        <v>63</v>
      </c>
      <c r="X97" s="112">
        <v>56</v>
      </c>
      <c r="Y97" s="112">
        <v>61</v>
      </c>
      <c r="Z97" s="112">
        <v>58</v>
      </c>
      <c r="AA97" s="112">
        <v>76</v>
      </c>
      <c r="AB97" s="112">
        <v>73.5</v>
      </c>
      <c r="AC97" s="112">
        <v>70.3</v>
      </c>
      <c r="AD97" s="112">
        <v>52.2</v>
      </c>
      <c r="AE97" s="112">
        <v>52.2</v>
      </c>
      <c r="AF97" s="112">
        <v>0</v>
      </c>
      <c r="AG97" s="113">
        <v>120</v>
      </c>
      <c r="AH97" s="55">
        <f t="shared" si="23"/>
        <v>76</v>
      </c>
      <c r="AI97" s="108">
        <f t="shared" si="24"/>
        <v>0.8125</v>
      </c>
    </row>
    <row r="98" spans="1:37" x14ac:dyDescent="0.25">
      <c r="A98" s="111" t="s">
        <v>102</v>
      </c>
      <c r="B98" s="112">
        <v>40.700000000000003</v>
      </c>
      <c r="C98" s="112">
        <v>43.4</v>
      </c>
      <c r="D98" s="112">
        <v>35</v>
      </c>
      <c r="E98" s="112">
        <v>35</v>
      </c>
      <c r="F98" s="112">
        <v>35</v>
      </c>
      <c r="G98" s="112">
        <v>39</v>
      </c>
      <c r="H98" s="112">
        <v>46.4</v>
      </c>
      <c r="I98" s="112">
        <v>60.9</v>
      </c>
      <c r="J98" s="112">
        <v>60.9</v>
      </c>
      <c r="K98" s="112">
        <v>65.3</v>
      </c>
      <c r="L98" s="112">
        <v>4.7</v>
      </c>
      <c r="M98" s="112">
        <v>4.7</v>
      </c>
      <c r="N98" s="112">
        <v>51.3</v>
      </c>
      <c r="O98" s="112">
        <v>63.4</v>
      </c>
      <c r="P98" s="112">
        <v>59.3</v>
      </c>
      <c r="Q98" s="112">
        <v>47</v>
      </c>
      <c r="R98" s="112">
        <v>53.5</v>
      </c>
      <c r="S98" s="112">
        <v>55</v>
      </c>
      <c r="T98" s="112">
        <v>60</v>
      </c>
      <c r="U98" s="112"/>
      <c r="V98" s="112">
        <v>49</v>
      </c>
      <c r="W98" s="112">
        <v>60</v>
      </c>
      <c r="X98" s="112">
        <v>47</v>
      </c>
      <c r="Y98" s="112">
        <v>52</v>
      </c>
      <c r="Z98" s="112">
        <v>40</v>
      </c>
      <c r="AA98" s="112">
        <v>60</v>
      </c>
      <c r="AB98" s="112">
        <v>64</v>
      </c>
      <c r="AC98" s="112">
        <v>61.9</v>
      </c>
      <c r="AD98" s="112">
        <v>49.6</v>
      </c>
      <c r="AE98" s="112">
        <v>48.5</v>
      </c>
      <c r="AF98" s="112">
        <v>56.5</v>
      </c>
      <c r="AG98" s="113"/>
      <c r="AH98" s="55">
        <f t="shared" si="23"/>
        <v>65.3</v>
      </c>
      <c r="AI98" s="108">
        <f t="shared" si="24"/>
        <v>0.29166666666666669</v>
      </c>
    </row>
    <row r="99" spans="1:37" x14ac:dyDescent="0.25">
      <c r="A99" s="111" t="s">
        <v>103</v>
      </c>
      <c r="B99" s="112">
        <v>65</v>
      </c>
      <c r="C99" s="112">
        <v>73.2</v>
      </c>
      <c r="D99" s="112">
        <v>75</v>
      </c>
      <c r="E99" s="112">
        <v>75</v>
      </c>
      <c r="F99" s="112">
        <v>75</v>
      </c>
      <c r="G99" s="112">
        <v>51.2</v>
      </c>
      <c r="H99" s="112">
        <v>53.6</v>
      </c>
      <c r="I99" s="112">
        <v>69</v>
      </c>
      <c r="J99" s="112">
        <v>69</v>
      </c>
      <c r="K99" s="112">
        <v>69</v>
      </c>
      <c r="L99" s="112">
        <v>20.3</v>
      </c>
      <c r="M99" s="112">
        <v>20.3</v>
      </c>
      <c r="N99" s="112">
        <v>35.4</v>
      </c>
      <c r="O99" s="112">
        <v>19.2</v>
      </c>
      <c r="P99" s="112">
        <v>19.5</v>
      </c>
      <c r="Q99" s="112">
        <v>20</v>
      </c>
      <c r="R99" s="112">
        <v>20.6</v>
      </c>
      <c r="S99" s="112">
        <v>20</v>
      </c>
      <c r="T99" s="112">
        <v>20</v>
      </c>
      <c r="U99" s="112"/>
      <c r="V99" s="112">
        <v>20</v>
      </c>
      <c r="W99" s="112">
        <v>20</v>
      </c>
      <c r="X99" s="112">
        <v>19</v>
      </c>
      <c r="Y99" s="112">
        <v>19</v>
      </c>
      <c r="Z99" s="112">
        <v>19</v>
      </c>
      <c r="AA99" s="112">
        <v>20</v>
      </c>
      <c r="AB99" s="112">
        <v>21.4</v>
      </c>
      <c r="AC99" s="112">
        <v>21.4</v>
      </c>
      <c r="AD99" s="112">
        <v>21.4</v>
      </c>
      <c r="AE99" s="112">
        <v>21.4</v>
      </c>
      <c r="AF99" s="112">
        <v>20.100000000000001</v>
      </c>
      <c r="AG99" s="114"/>
      <c r="AH99" s="55">
        <f t="shared" si="23"/>
        <v>75</v>
      </c>
      <c r="AI99" s="108">
        <f t="shared" si="24"/>
        <v>8.3333333333333301E-2</v>
      </c>
    </row>
    <row r="100" spans="1:37" ht="15.75" thickBot="1" x14ac:dyDescent="0.3">
      <c r="A100" s="115" t="s">
        <v>104</v>
      </c>
      <c r="B100" s="95">
        <v>35.4</v>
      </c>
      <c r="C100" s="95">
        <v>24.9</v>
      </c>
      <c r="D100" s="95">
        <v>30</v>
      </c>
      <c r="E100" s="95">
        <v>30</v>
      </c>
      <c r="F100" s="95">
        <v>30</v>
      </c>
      <c r="G100" s="95">
        <v>2.8</v>
      </c>
      <c r="H100" s="95">
        <v>6</v>
      </c>
      <c r="I100" s="95">
        <v>12.5</v>
      </c>
      <c r="J100" s="95">
        <v>12.5</v>
      </c>
      <c r="K100" s="95">
        <v>12.5</v>
      </c>
      <c r="L100" s="95">
        <v>26.7</v>
      </c>
      <c r="M100" s="95">
        <v>26.7</v>
      </c>
      <c r="N100" s="95">
        <v>34.6</v>
      </c>
      <c r="O100" s="95">
        <v>37.799999999999997</v>
      </c>
      <c r="P100" s="95">
        <v>42.7</v>
      </c>
      <c r="Q100" s="95">
        <v>33</v>
      </c>
      <c r="R100" s="95">
        <v>48.1</v>
      </c>
      <c r="S100" s="95">
        <v>54</v>
      </c>
      <c r="T100" s="95">
        <v>51</v>
      </c>
      <c r="U100" s="95"/>
      <c r="V100" s="95">
        <v>36</v>
      </c>
      <c r="W100" s="95">
        <v>33</v>
      </c>
      <c r="X100" s="95">
        <v>41</v>
      </c>
      <c r="Y100" s="95">
        <v>35</v>
      </c>
      <c r="Z100" s="95">
        <v>42</v>
      </c>
      <c r="AA100" s="95">
        <v>59</v>
      </c>
      <c r="AB100" s="95">
        <v>66.5</v>
      </c>
      <c r="AC100" s="95">
        <v>69.8</v>
      </c>
      <c r="AD100" s="95">
        <v>68.099999999999994</v>
      </c>
      <c r="AE100" s="95">
        <v>65</v>
      </c>
      <c r="AF100" s="95">
        <v>53.7</v>
      </c>
      <c r="AG100" s="114"/>
      <c r="AH100" s="55">
        <f t="shared" si="23"/>
        <v>69.8</v>
      </c>
      <c r="AI100" s="108">
        <f t="shared" si="24"/>
        <v>0.85416666666666663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6">AF102</f>
        <v>9.9</v>
      </c>
      <c r="C102" s="54">
        <v>9.9</v>
      </c>
      <c r="D102" s="121">
        <f t="shared" ref="D102:S107" si="27">C102</f>
        <v>9.9</v>
      </c>
      <c r="E102" s="121">
        <f t="shared" si="27"/>
        <v>9.9</v>
      </c>
      <c r="F102" s="121">
        <f t="shared" si="27"/>
        <v>9.9</v>
      </c>
      <c r="G102" s="121">
        <f t="shared" si="27"/>
        <v>9.9</v>
      </c>
      <c r="H102" s="121">
        <f t="shared" si="27"/>
        <v>9.9</v>
      </c>
      <c r="I102" s="121">
        <f t="shared" si="27"/>
        <v>9.9</v>
      </c>
      <c r="J102" s="121">
        <f t="shared" si="27"/>
        <v>9.9</v>
      </c>
      <c r="K102" s="121">
        <f t="shared" si="27"/>
        <v>9.9</v>
      </c>
      <c r="L102" s="121">
        <f t="shared" si="27"/>
        <v>9.9</v>
      </c>
      <c r="M102" s="121">
        <f t="shared" si="27"/>
        <v>9.9</v>
      </c>
      <c r="N102" s="121">
        <f t="shared" si="27"/>
        <v>9.9</v>
      </c>
      <c r="O102" s="121">
        <f t="shared" si="27"/>
        <v>9.9</v>
      </c>
      <c r="P102" s="121">
        <f t="shared" si="27"/>
        <v>9.9</v>
      </c>
      <c r="Q102" s="121">
        <f t="shared" si="27"/>
        <v>9.9</v>
      </c>
      <c r="R102" s="121">
        <f t="shared" si="27"/>
        <v>9.9</v>
      </c>
      <c r="S102" s="121">
        <f t="shared" si="27"/>
        <v>9.9</v>
      </c>
      <c r="T102" s="121">
        <f t="shared" ref="T102:AF107" si="28">S102</f>
        <v>9.9</v>
      </c>
      <c r="U102" s="121">
        <f t="shared" si="28"/>
        <v>9.9</v>
      </c>
      <c r="V102" s="121">
        <f t="shared" si="28"/>
        <v>9.9</v>
      </c>
      <c r="W102" s="121">
        <f t="shared" si="28"/>
        <v>9.9</v>
      </c>
      <c r="X102" s="121">
        <f t="shared" si="28"/>
        <v>9.9</v>
      </c>
      <c r="Y102" s="121">
        <f t="shared" si="28"/>
        <v>9.9</v>
      </c>
      <c r="Z102" s="121">
        <f t="shared" si="28"/>
        <v>9.9</v>
      </c>
      <c r="AA102" s="121">
        <f t="shared" si="28"/>
        <v>9.9</v>
      </c>
      <c r="AB102" s="121">
        <f t="shared" si="28"/>
        <v>9.9</v>
      </c>
      <c r="AC102" s="121">
        <f t="shared" si="28"/>
        <v>9.9</v>
      </c>
      <c r="AD102" s="121">
        <f t="shared" si="28"/>
        <v>9.9</v>
      </c>
      <c r="AE102" s="121">
        <f t="shared" si="28"/>
        <v>9.9</v>
      </c>
      <c r="AF102" s="121">
        <f t="shared" si="28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6"/>
        <v>9.6</v>
      </c>
      <c r="C103" s="124">
        <v>9.6</v>
      </c>
      <c r="D103" s="123">
        <f t="shared" si="27"/>
        <v>9.6</v>
      </c>
      <c r="E103" s="123">
        <f t="shared" si="27"/>
        <v>9.6</v>
      </c>
      <c r="F103" s="123">
        <f t="shared" si="27"/>
        <v>9.6</v>
      </c>
      <c r="G103" s="123">
        <f t="shared" si="27"/>
        <v>9.6</v>
      </c>
      <c r="H103" s="123">
        <f t="shared" si="27"/>
        <v>9.6</v>
      </c>
      <c r="I103" s="123">
        <f t="shared" si="27"/>
        <v>9.6</v>
      </c>
      <c r="J103" s="123">
        <f t="shared" si="27"/>
        <v>9.6</v>
      </c>
      <c r="K103" s="123">
        <f t="shared" si="27"/>
        <v>9.6</v>
      </c>
      <c r="L103" s="123">
        <f t="shared" si="27"/>
        <v>9.6</v>
      </c>
      <c r="M103" s="123">
        <f t="shared" si="27"/>
        <v>9.6</v>
      </c>
      <c r="N103" s="123">
        <f t="shared" si="27"/>
        <v>9.6</v>
      </c>
      <c r="O103" s="123">
        <f t="shared" si="27"/>
        <v>9.6</v>
      </c>
      <c r="P103" s="123">
        <f t="shared" si="27"/>
        <v>9.6</v>
      </c>
      <c r="Q103" s="123">
        <f t="shared" si="27"/>
        <v>9.6</v>
      </c>
      <c r="R103" s="123">
        <f t="shared" si="27"/>
        <v>9.6</v>
      </c>
      <c r="S103" s="123">
        <f t="shared" si="27"/>
        <v>9.6</v>
      </c>
      <c r="T103" s="123">
        <f t="shared" si="28"/>
        <v>9.6</v>
      </c>
      <c r="U103" s="123">
        <f t="shared" si="28"/>
        <v>9.6</v>
      </c>
      <c r="V103" s="123">
        <f t="shared" si="28"/>
        <v>9.6</v>
      </c>
      <c r="W103" s="123">
        <f t="shared" si="28"/>
        <v>9.6</v>
      </c>
      <c r="X103" s="123">
        <f t="shared" si="28"/>
        <v>9.6</v>
      </c>
      <c r="Y103" s="123">
        <f t="shared" si="28"/>
        <v>9.6</v>
      </c>
      <c r="Z103" s="123">
        <f t="shared" si="28"/>
        <v>9.6</v>
      </c>
      <c r="AA103" s="123">
        <f t="shared" si="28"/>
        <v>9.6</v>
      </c>
      <c r="AB103" s="123">
        <f t="shared" si="28"/>
        <v>9.6</v>
      </c>
      <c r="AC103" s="123">
        <f t="shared" si="28"/>
        <v>9.6</v>
      </c>
      <c r="AD103" s="123">
        <f t="shared" si="28"/>
        <v>9.6</v>
      </c>
      <c r="AE103" s="123">
        <f t="shared" si="28"/>
        <v>9.6</v>
      </c>
      <c r="AF103" s="123">
        <f t="shared" si="28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6"/>
        <v>9.98</v>
      </c>
      <c r="C104" s="124">
        <v>9.98</v>
      </c>
      <c r="D104" s="123">
        <f t="shared" si="27"/>
        <v>9.98</v>
      </c>
      <c r="E104" s="123">
        <f t="shared" si="27"/>
        <v>9.98</v>
      </c>
      <c r="F104" s="123">
        <f t="shared" si="27"/>
        <v>9.98</v>
      </c>
      <c r="G104" s="123">
        <f t="shared" si="27"/>
        <v>9.98</v>
      </c>
      <c r="H104" s="123">
        <f t="shared" si="27"/>
        <v>9.98</v>
      </c>
      <c r="I104" s="123">
        <f t="shared" si="27"/>
        <v>9.98</v>
      </c>
      <c r="J104" s="123">
        <f t="shared" si="27"/>
        <v>9.98</v>
      </c>
      <c r="K104" s="123">
        <f t="shared" si="27"/>
        <v>9.98</v>
      </c>
      <c r="L104" s="123">
        <f t="shared" si="27"/>
        <v>9.98</v>
      </c>
      <c r="M104" s="123">
        <f t="shared" si="27"/>
        <v>9.98</v>
      </c>
      <c r="N104" s="123">
        <f t="shared" si="27"/>
        <v>9.98</v>
      </c>
      <c r="O104" s="123">
        <f t="shared" si="27"/>
        <v>9.98</v>
      </c>
      <c r="P104" s="123">
        <f t="shared" si="27"/>
        <v>9.98</v>
      </c>
      <c r="Q104" s="123">
        <f t="shared" si="27"/>
        <v>9.98</v>
      </c>
      <c r="R104" s="123">
        <f t="shared" si="27"/>
        <v>9.98</v>
      </c>
      <c r="S104" s="123">
        <f t="shared" si="27"/>
        <v>9.98</v>
      </c>
      <c r="T104" s="123">
        <f t="shared" si="28"/>
        <v>9.98</v>
      </c>
      <c r="U104" s="123">
        <f t="shared" si="28"/>
        <v>9.98</v>
      </c>
      <c r="V104" s="123">
        <f t="shared" si="28"/>
        <v>9.98</v>
      </c>
      <c r="W104" s="123">
        <f t="shared" si="28"/>
        <v>9.98</v>
      </c>
      <c r="X104" s="123">
        <f t="shared" si="28"/>
        <v>9.98</v>
      </c>
      <c r="Y104" s="123">
        <f t="shared" si="28"/>
        <v>9.98</v>
      </c>
      <c r="Z104" s="123">
        <f t="shared" si="28"/>
        <v>9.98</v>
      </c>
      <c r="AA104" s="123">
        <f t="shared" si="28"/>
        <v>9.98</v>
      </c>
      <c r="AB104" s="123">
        <f t="shared" si="28"/>
        <v>9.98</v>
      </c>
      <c r="AC104" s="123">
        <f t="shared" si="28"/>
        <v>9.98</v>
      </c>
      <c r="AD104" s="123">
        <f t="shared" si="28"/>
        <v>9.98</v>
      </c>
      <c r="AE104" s="123">
        <f t="shared" si="28"/>
        <v>9.98</v>
      </c>
      <c r="AF104" s="123">
        <f t="shared" si="28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6"/>
        <v>9.1</v>
      </c>
      <c r="C105" s="124">
        <v>9.1</v>
      </c>
      <c r="D105" s="123">
        <f t="shared" si="27"/>
        <v>9.1</v>
      </c>
      <c r="E105" s="123">
        <f t="shared" si="27"/>
        <v>9.1</v>
      </c>
      <c r="F105" s="123">
        <f t="shared" si="27"/>
        <v>9.1</v>
      </c>
      <c r="G105" s="123">
        <f t="shared" si="27"/>
        <v>9.1</v>
      </c>
      <c r="H105" s="123">
        <f t="shared" si="27"/>
        <v>9.1</v>
      </c>
      <c r="I105" s="123">
        <f t="shared" si="27"/>
        <v>9.1</v>
      </c>
      <c r="J105" s="123">
        <f t="shared" si="27"/>
        <v>9.1</v>
      </c>
      <c r="K105" s="123">
        <f t="shared" si="27"/>
        <v>9.1</v>
      </c>
      <c r="L105" s="123">
        <f t="shared" si="27"/>
        <v>9.1</v>
      </c>
      <c r="M105" s="123">
        <f t="shared" si="27"/>
        <v>9.1</v>
      </c>
      <c r="N105" s="123">
        <f t="shared" si="27"/>
        <v>9.1</v>
      </c>
      <c r="O105" s="123">
        <f t="shared" si="27"/>
        <v>9.1</v>
      </c>
      <c r="P105" s="123">
        <f t="shared" si="27"/>
        <v>9.1</v>
      </c>
      <c r="Q105" s="123">
        <f t="shared" si="27"/>
        <v>9.1</v>
      </c>
      <c r="R105" s="123">
        <f t="shared" si="27"/>
        <v>9.1</v>
      </c>
      <c r="S105" s="123">
        <f t="shared" si="27"/>
        <v>9.1</v>
      </c>
      <c r="T105" s="123">
        <f t="shared" si="28"/>
        <v>9.1</v>
      </c>
      <c r="U105" s="123">
        <f t="shared" si="28"/>
        <v>9.1</v>
      </c>
      <c r="V105" s="123">
        <f t="shared" si="28"/>
        <v>9.1</v>
      </c>
      <c r="W105" s="123">
        <f t="shared" si="28"/>
        <v>9.1</v>
      </c>
      <c r="X105" s="123">
        <f t="shared" si="28"/>
        <v>9.1</v>
      </c>
      <c r="Y105" s="123">
        <f t="shared" si="28"/>
        <v>9.1</v>
      </c>
      <c r="Z105" s="123">
        <f t="shared" si="28"/>
        <v>9.1</v>
      </c>
      <c r="AA105" s="123">
        <f t="shared" si="28"/>
        <v>9.1</v>
      </c>
      <c r="AB105" s="123">
        <f t="shared" si="28"/>
        <v>9.1</v>
      </c>
      <c r="AC105" s="123">
        <f t="shared" si="28"/>
        <v>9.1</v>
      </c>
      <c r="AD105" s="123">
        <f t="shared" si="28"/>
        <v>9.1</v>
      </c>
      <c r="AE105" s="123">
        <f t="shared" si="28"/>
        <v>9.1</v>
      </c>
      <c r="AF105" s="123">
        <f t="shared" si="28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6"/>
        <v>9.18</v>
      </c>
      <c r="C106" s="124">
        <v>9.18</v>
      </c>
      <c r="D106" s="123">
        <f t="shared" si="27"/>
        <v>9.18</v>
      </c>
      <c r="E106" s="123">
        <f t="shared" si="27"/>
        <v>9.18</v>
      </c>
      <c r="F106" s="123">
        <f t="shared" si="27"/>
        <v>9.18</v>
      </c>
      <c r="G106" s="123">
        <f t="shared" si="27"/>
        <v>9.18</v>
      </c>
      <c r="H106" s="123">
        <f t="shared" si="27"/>
        <v>9.18</v>
      </c>
      <c r="I106" s="123">
        <f t="shared" si="27"/>
        <v>9.18</v>
      </c>
      <c r="J106" s="123">
        <f t="shared" si="27"/>
        <v>9.18</v>
      </c>
      <c r="K106" s="123">
        <f t="shared" si="27"/>
        <v>9.18</v>
      </c>
      <c r="L106" s="123">
        <f t="shared" si="27"/>
        <v>9.18</v>
      </c>
      <c r="M106" s="123">
        <f t="shared" si="27"/>
        <v>9.18</v>
      </c>
      <c r="N106" s="123">
        <f t="shared" si="27"/>
        <v>9.18</v>
      </c>
      <c r="O106" s="123">
        <f t="shared" si="27"/>
        <v>9.18</v>
      </c>
      <c r="P106" s="123">
        <f t="shared" si="27"/>
        <v>9.18</v>
      </c>
      <c r="Q106" s="123">
        <f t="shared" si="27"/>
        <v>9.18</v>
      </c>
      <c r="R106" s="123">
        <f t="shared" si="27"/>
        <v>9.18</v>
      </c>
      <c r="S106" s="123">
        <f t="shared" si="27"/>
        <v>9.18</v>
      </c>
      <c r="T106" s="123">
        <f t="shared" si="28"/>
        <v>9.18</v>
      </c>
      <c r="U106" s="123">
        <f t="shared" si="28"/>
        <v>9.18</v>
      </c>
      <c r="V106" s="123">
        <f t="shared" si="28"/>
        <v>9.18</v>
      </c>
      <c r="W106" s="123">
        <f t="shared" si="28"/>
        <v>9.18</v>
      </c>
      <c r="X106" s="123">
        <f t="shared" si="28"/>
        <v>9.18</v>
      </c>
      <c r="Y106" s="123">
        <f t="shared" si="28"/>
        <v>9.18</v>
      </c>
      <c r="Z106" s="123">
        <f t="shared" si="28"/>
        <v>9.18</v>
      </c>
      <c r="AA106" s="123">
        <f t="shared" si="28"/>
        <v>9.18</v>
      </c>
      <c r="AB106" s="123">
        <f t="shared" si="28"/>
        <v>9.18</v>
      </c>
      <c r="AC106" s="123">
        <f t="shared" si="28"/>
        <v>9.18</v>
      </c>
      <c r="AD106" s="123">
        <f t="shared" si="28"/>
        <v>9.18</v>
      </c>
      <c r="AE106" s="123">
        <f t="shared" si="28"/>
        <v>9.18</v>
      </c>
      <c r="AF106" s="123">
        <f t="shared" si="28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6"/>
        <v>7</v>
      </c>
      <c r="C107" s="124">
        <v>7</v>
      </c>
      <c r="D107" s="123">
        <f t="shared" si="27"/>
        <v>7</v>
      </c>
      <c r="E107" s="123">
        <f t="shared" si="27"/>
        <v>7</v>
      </c>
      <c r="F107" s="123">
        <f t="shared" si="27"/>
        <v>7</v>
      </c>
      <c r="G107" s="123">
        <f t="shared" si="27"/>
        <v>7</v>
      </c>
      <c r="H107" s="123">
        <f t="shared" si="27"/>
        <v>7</v>
      </c>
      <c r="I107" s="123">
        <f t="shared" si="27"/>
        <v>7</v>
      </c>
      <c r="J107" s="123">
        <f t="shared" si="27"/>
        <v>7</v>
      </c>
      <c r="K107" s="123">
        <f t="shared" si="27"/>
        <v>7</v>
      </c>
      <c r="L107" s="123">
        <f t="shared" si="27"/>
        <v>7</v>
      </c>
      <c r="M107" s="123">
        <f t="shared" si="27"/>
        <v>7</v>
      </c>
      <c r="N107" s="123">
        <f t="shared" si="27"/>
        <v>7</v>
      </c>
      <c r="O107" s="123">
        <f t="shared" si="27"/>
        <v>7</v>
      </c>
      <c r="P107" s="123">
        <f t="shared" si="27"/>
        <v>7</v>
      </c>
      <c r="Q107" s="123">
        <f t="shared" si="27"/>
        <v>7</v>
      </c>
      <c r="R107" s="123">
        <f t="shared" si="27"/>
        <v>7</v>
      </c>
      <c r="S107" s="123">
        <f t="shared" si="27"/>
        <v>7</v>
      </c>
      <c r="T107" s="123">
        <f t="shared" si="28"/>
        <v>7</v>
      </c>
      <c r="U107" s="123">
        <f t="shared" si="28"/>
        <v>7</v>
      </c>
      <c r="V107" s="123">
        <f t="shared" si="28"/>
        <v>7</v>
      </c>
      <c r="W107" s="123">
        <f t="shared" si="28"/>
        <v>7</v>
      </c>
      <c r="X107" s="123">
        <f t="shared" si="28"/>
        <v>7</v>
      </c>
      <c r="Y107" s="123">
        <f t="shared" si="28"/>
        <v>7</v>
      </c>
      <c r="Z107" s="123">
        <f t="shared" si="28"/>
        <v>7</v>
      </c>
      <c r="AA107" s="123">
        <f t="shared" si="28"/>
        <v>7</v>
      </c>
      <c r="AB107" s="123">
        <f t="shared" si="28"/>
        <v>7</v>
      </c>
      <c r="AC107" s="123">
        <f t="shared" si="28"/>
        <v>7</v>
      </c>
      <c r="AD107" s="123">
        <f t="shared" si="28"/>
        <v>7</v>
      </c>
      <c r="AE107" s="123">
        <f t="shared" si="28"/>
        <v>7</v>
      </c>
      <c r="AF107" s="123">
        <f t="shared" si="28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29">C109</f>
        <v>2.25</v>
      </c>
      <c r="E109" s="123">
        <f t="shared" si="29"/>
        <v>2.25</v>
      </c>
      <c r="F109" s="123">
        <f t="shared" si="29"/>
        <v>2.25</v>
      </c>
      <c r="G109" s="123">
        <f t="shared" si="29"/>
        <v>2.25</v>
      </c>
      <c r="H109" s="123">
        <f t="shared" si="29"/>
        <v>2.25</v>
      </c>
      <c r="I109" s="123">
        <f t="shared" si="29"/>
        <v>2.25</v>
      </c>
      <c r="J109" s="123">
        <f t="shared" si="29"/>
        <v>2.25</v>
      </c>
      <c r="K109" s="123">
        <f t="shared" si="29"/>
        <v>2.25</v>
      </c>
      <c r="L109" s="123">
        <f t="shared" si="29"/>
        <v>2.25</v>
      </c>
      <c r="M109" s="123">
        <f t="shared" si="29"/>
        <v>2.25</v>
      </c>
      <c r="N109" s="123">
        <f t="shared" si="29"/>
        <v>2.25</v>
      </c>
      <c r="O109" s="123">
        <f t="shared" si="29"/>
        <v>2.25</v>
      </c>
      <c r="P109" s="123">
        <f t="shared" si="29"/>
        <v>2.25</v>
      </c>
      <c r="Q109" s="123">
        <f t="shared" si="29"/>
        <v>2.25</v>
      </c>
      <c r="R109" s="123">
        <f t="shared" si="29"/>
        <v>2.25</v>
      </c>
      <c r="S109" s="123">
        <f t="shared" si="29"/>
        <v>2.25</v>
      </c>
      <c r="T109" s="123">
        <f t="shared" ref="T109:AF110" si="30">S109</f>
        <v>2.25</v>
      </c>
      <c r="U109" s="123">
        <f t="shared" si="30"/>
        <v>2.25</v>
      </c>
      <c r="V109" s="123">
        <f t="shared" si="30"/>
        <v>2.25</v>
      </c>
      <c r="W109" s="123">
        <f t="shared" si="30"/>
        <v>2.25</v>
      </c>
      <c r="X109" s="123">
        <f t="shared" si="30"/>
        <v>2.25</v>
      </c>
      <c r="Y109" s="123">
        <f t="shared" si="30"/>
        <v>2.25</v>
      </c>
      <c r="Z109" s="123">
        <f t="shared" si="30"/>
        <v>2.25</v>
      </c>
      <c r="AA109" s="123">
        <f t="shared" si="30"/>
        <v>2.25</v>
      </c>
      <c r="AB109" s="123">
        <f t="shared" si="30"/>
        <v>2.25</v>
      </c>
      <c r="AC109" s="123">
        <f t="shared" si="30"/>
        <v>2.25</v>
      </c>
      <c r="AD109" s="123">
        <f t="shared" si="30"/>
        <v>2.25</v>
      </c>
      <c r="AE109" s="123">
        <f t="shared" si="30"/>
        <v>2.25</v>
      </c>
      <c r="AF109" s="123">
        <f t="shared" si="30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29"/>
        <v>1.64</v>
      </c>
      <c r="E110" s="123">
        <f t="shared" si="29"/>
        <v>1.64</v>
      </c>
      <c r="F110" s="123">
        <f t="shared" si="29"/>
        <v>1.64</v>
      </c>
      <c r="G110" s="123">
        <f t="shared" si="29"/>
        <v>1.64</v>
      </c>
      <c r="H110" s="123">
        <f t="shared" si="29"/>
        <v>1.64</v>
      </c>
      <c r="I110" s="123">
        <f t="shared" si="29"/>
        <v>1.64</v>
      </c>
      <c r="J110" s="123">
        <f t="shared" si="29"/>
        <v>1.64</v>
      </c>
      <c r="K110" s="123">
        <f t="shared" si="29"/>
        <v>1.64</v>
      </c>
      <c r="L110" s="123">
        <f t="shared" si="29"/>
        <v>1.64</v>
      </c>
      <c r="M110" s="123">
        <f t="shared" si="29"/>
        <v>1.64</v>
      </c>
      <c r="N110" s="123">
        <f t="shared" si="29"/>
        <v>1.64</v>
      </c>
      <c r="O110" s="123">
        <f t="shared" si="29"/>
        <v>1.64</v>
      </c>
      <c r="P110" s="123">
        <f t="shared" si="29"/>
        <v>1.64</v>
      </c>
      <c r="Q110" s="123">
        <f t="shared" si="29"/>
        <v>1.64</v>
      </c>
      <c r="R110" s="123">
        <f t="shared" si="29"/>
        <v>1.64</v>
      </c>
      <c r="S110" s="123">
        <f t="shared" si="29"/>
        <v>1.64</v>
      </c>
      <c r="T110" s="123">
        <f t="shared" si="30"/>
        <v>1.64</v>
      </c>
      <c r="U110" s="123">
        <f t="shared" si="30"/>
        <v>1.64</v>
      </c>
      <c r="V110" s="123">
        <f t="shared" si="30"/>
        <v>1.64</v>
      </c>
      <c r="W110" s="123">
        <f t="shared" si="30"/>
        <v>1.64</v>
      </c>
      <c r="X110" s="123">
        <f t="shared" si="30"/>
        <v>1.64</v>
      </c>
      <c r="Y110" s="123">
        <f t="shared" si="30"/>
        <v>1.64</v>
      </c>
      <c r="Z110" s="123">
        <f t="shared" si="30"/>
        <v>1.64</v>
      </c>
      <c r="AA110" s="123">
        <f t="shared" si="30"/>
        <v>1.64</v>
      </c>
      <c r="AB110" s="123">
        <f t="shared" si="30"/>
        <v>1.64</v>
      </c>
      <c r="AC110" s="123">
        <f t="shared" si="30"/>
        <v>1.64</v>
      </c>
      <c r="AD110" s="123">
        <f t="shared" si="30"/>
        <v>1.64</v>
      </c>
      <c r="AE110" s="123">
        <f t="shared" si="30"/>
        <v>1.64</v>
      </c>
      <c r="AF110" s="123">
        <f t="shared" si="30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1">AF112</f>
        <v>1.62</v>
      </c>
      <c r="C112" s="124">
        <v>1.62</v>
      </c>
      <c r="D112" s="123">
        <f t="shared" ref="D112:S119" si="32">C112</f>
        <v>1.62</v>
      </c>
      <c r="E112" s="123">
        <f t="shared" si="32"/>
        <v>1.62</v>
      </c>
      <c r="F112" s="123">
        <f t="shared" si="32"/>
        <v>1.62</v>
      </c>
      <c r="G112" s="123">
        <f t="shared" si="32"/>
        <v>1.62</v>
      </c>
      <c r="H112" s="123">
        <f t="shared" si="32"/>
        <v>1.62</v>
      </c>
      <c r="I112" s="123">
        <f t="shared" si="32"/>
        <v>1.62</v>
      </c>
      <c r="J112" s="123">
        <f t="shared" si="32"/>
        <v>1.62</v>
      </c>
      <c r="K112" s="123">
        <f t="shared" si="32"/>
        <v>1.62</v>
      </c>
      <c r="L112" s="123">
        <f t="shared" si="32"/>
        <v>1.62</v>
      </c>
      <c r="M112" s="123">
        <f t="shared" si="32"/>
        <v>1.62</v>
      </c>
      <c r="N112" s="123">
        <f t="shared" si="32"/>
        <v>1.62</v>
      </c>
      <c r="O112" s="123">
        <f t="shared" si="32"/>
        <v>1.62</v>
      </c>
      <c r="P112" s="123">
        <f t="shared" si="32"/>
        <v>1.62</v>
      </c>
      <c r="Q112" s="123">
        <f t="shared" si="32"/>
        <v>1.62</v>
      </c>
      <c r="R112" s="123">
        <f t="shared" si="32"/>
        <v>1.62</v>
      </c>
      <c r="S112" s="123">
        <f t="shared" si="32"/>
        <v>1.62</v>
      </c>
      <c r="T112" s="123">
        <f t="shared" ref="T112:AF127" si="33">S112</f>
        <v>1.62</v>
      </c>
      <c r="U112" s="123">
        <f t="shared" si="33"/>
        <v>1.62</v>
      </c>
      <c r="V112" s="123">
        <f t="shared" si="33"/>
        <v>1.62</v>
      </c>
      <c r="W112" s="123">
        <f t="shared" si="33"/>
        <v>1.62</v>
      </c>
      <c r="X112" s="123">
        <f t="shared" si="33"/>
        <v>1.62</v>
      </c>
      <c r="Y112" s="123">
        <f t="shared" si="33"/>
        <v>1.62</v>
      </c>
      <c r="Z112" s="123">
        <f t="shared" si="33"/>
        <v>1.62</v>
      </c>
      <c r="AA112" s="123">
        <f t="shared" si="33"/>
        <v>1.62</v>
      </c>
      <c r="AB112" s="123">
        <f t="shared" si="33"/>
        <v>1.62</v>
      </c>
      <c r="AC112" s="123">
        <f t="shared" si="33"/>
        <v>1.62</v>
      </c>
      <c r="AD112" s="123">
        <f t="shared" si="33"/>
        <v>1.62</v>
      </c>
      <c r="AE112" s="123">
        <f t="shared" si="33"/>
        <v>1.62</v>
      </c>
      <c r="AF112" s="123">
        <f t="shared" si="33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1"/>
        <v>8.36</v>
      </c>
      <c r="C113" s="124">
        <v>8.36</v>
      </c>
      <c r="D113" s="123">
        <f t="shared" si="32"/>
        <v>8.36</v>
      </c>
      <c r="E113" s="123">
        <f t="shared" si="32"/>
        <v>8.36</v>
      </c>
      <c r="F113" s="123">
        <f t="shared" si="32"/>
        <v>8.36</v>
      </c>
      <c r="G113" s="123">
        <f t="shared" si="32"/>
        <v>8.36</v>
      </c>
      <c r="H113" s="123">
        <f t="shared" si="32"/>
        <v>8.36</v>
      </c>
      <c r="I113" s="123">
        <f t="shared" si="32"/>
        <v>8.36</v>
      </c>
      <c r="J113" s="123">
        <f t="shared" si="32"/>
        <v>8.36</v>
      </c>
      <c r="K113" s="123">
        <f t="shared" si="32"/>
        <v>8.36</v>
      </c>
      <c r="L113" s="123">
        <f t="shared" si="32"/>
        <v>8.36</v>
      </c>
      <c r="M113" s="123">
        <f t="shared" si="32"/>
        <v>8.36</v>
      </c>
      <c r="N113" s="123">
        <f t="shared" si="32"/>
        <v>8.36</v>
      </c>
      <c r="O113" s="123">
        <f t="shared" si="32"/>
        <v>8.36</v>
      </c>
      <c r="P113" s="123">
        <f t="shared" si="32"/>
        <v>8.36</v>
      </c>
      <c r="Q113" s="123">
        <f t="shared" si="32"/>
        <v>8.36</v>
      </c>
      <c r="R113" s="123">
        <f t="shared" si="32"/>
        <v>8.36</v>
      </c>
      <c r="S113" s="123">
        <f t="shared" si="32"/>
        <v>8.36</v>
      </c>
      <c r="T113" s="123">
        <f t="shared" si="33"/>
        <v>8.36</v>
      </c>
      <c r="U113" s="123">
        <f t="shared" si="33"/>
        <v>8.36</v>
      </c>
      <c r="V113" s="123">
        <f t="shared" si="33"/>
        <v>8.36</v>
      </c>
      <c r="W113" s="123">
        <f t="shared" si="33"/>
        <v>8.36</v>
      </c>
      <c r="X113" s="123">
        <f t="shared" si="33"/>
        <v>8.36</v>
      </c>
      <c r="Y113" s="123">
        <f t="shared" si="33"/>
        <v>8.36</v>
      </c>
      <c r="Z113" s="123">
        <f t="shared" si="33"/>
        <v>8.36</v>
      </c>
      <c r="AA113" s="123">
        <f t="shared" si="33"/>
        <v>8.36</v>
      </c>
      <c r="AB113" s="123">
        <f t="shared" si="33"/>
        <v>8.36</v>
      </c>
      <c r="AC113" s="123">
        <f t="shared" si="33"/>
        <v>8.36</v>
      </c>
      <c r="AD113" s="123">
        <f t="shared" si="33"/>
        <v>8.36</v>
      </c>
      <c r="AE113" s="123">
        <f t="shared" si="33"/>
        <v>8.36</v>
      </c>
      <c r="AF113" s="123">
        <f t="shared" si="33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1"/>
        <v>5.4</v>
      </c>
      <c r="C114" s="124">
        <v>8</v>
      </c>
      <c r="D114" s="123">
        <f t="shared" si="32"/>
        <v>8</v>
      </c>
      <c r="E114" s="123">
        <f t="shared" si="32"/>
        <v>8</v>
      </c>
      <c r="F114" s="123">
        <f t="shared" si="32"/>
        <v>8</v>
      </c>
      <c r="G114" s="123">
        <f t="shared" si="32"/>
        <v>8</v>
      </c>
      <c r="H114" s="123">
        <f t="shared" si="32"/>
        <v>8</v>
      </c>
      <c r="I114" s="123">
        <f t="shared" si="32"/>
        <v>8</v>
      </c>
      <c r="J114" s="123">
        <v>5.4</v>
      </c>
      <c r="K114" s="123">
        <f t="shared" si="32"/>
        <v>5.4</v>
      </c>
      <c r="L114" s="123">
        <f t="shared" si="32"/>
        <v>5.4</v>
      </c>
      <c r="M114" s="123">
        <f t="shared" si="32"/>
        <v>5.4</v>
      </c>
      <c r="N114" s="123">
        <f t="shared" si="32"/>
        <v>5.4</v>
      </c>
      <c r="O114" s="123">
        <f t="shared" si="32"/>
        <v>5.4</v>
      </c>
      <c r="P114" s="123">
        <f t="shared" si="32"/>
        <v>5.4</v>
      </c>
      <c r="Q114" s="123">
        <f t="shared" si="32"/>
        <v>5.4</v>
      </c>
      <c r="R114" s="123">
        <f t="shared" si="32"/>
        <v>5.4</v>
      </c>
      <c r="S114" s="123">
        <f t="shared" si="32"/>
        <v>5.4</v>
      </c>
      <c r="T114" s="123">
        <f t="shared" si="33"/>
        <v>5.4</v>
      </c>
      <c r="U114" s="123">
        <f t="shared" si="33"/>
        <v>5.4</v>
      </c>
      <c r="V114" s="123">
        <f t="shared" si="33"/>
        <v>5.4</v>
      </c>
      <c r="W114" s="123">
        <f t="shared" si="33"/>
        <v>5.4</v>
      </c>
      <c r="X114" s="123">
        <f t="shared" si="33"/>
        <v>5.4</v>
      </c>
      <c r="Y114" s="123">
        <f t="shared" si="33"/>
        <v>5.4</v>
      </c>
      <c r="Z114" s="123">
        <f t="shared" si="33"/>
        <v>5.4</v>
      </c>
      <c r="AA114" s="123">
        <f t="shared" si="33"/>
        <v>5.4</v>
      </c>
      <c r="AB114" s="123">
        <f t="shared" si="33"/>
        <v>5.4</v>
      </c>
      <c r="AC114" s="123">
        <f t="shared" si="33"/>
        <v>5.4</v>
      </c>
      <c r="AD114" s="123">
        <f t="shared" si="33"/>
        <v>5.4</v>
      </c>
      <c r="AE114" s="123">
        <f t="shared" si="33"/>
        <v>5.4</v>
      </c>
      <c r="AF114" s="123">
        <f t="shared" si="33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1"/>
        <v>6.57</v>
      </c>
      <c r="C115" s="124">
        <v>6.57</v>
      </c>
      <c r="D115" s="123">
        <f t="shared" si="32"/>
        <v>6.57</v>
      </c>
      <c r="E115" s="123">
        <f t="shared" si="32"/>
        <v>6.57</v>
      </c>
      <c r="F115" s="123">
        <f t="shared" si="32"/>
        <v>6.57</v>
      </c>
      <c r="G115" s="123">
        <f t="shared" si="32"/>
        <v>6.57</v>
      </c>
      <c r="H115" s="123">
        <f t="shared" si="32"/>
        <v>6.57</v>
      </c>
      <c r="I115" s="123">
        <f t="shared" si="32"/>
        <v>6.57</v>
      </c>
      <c r="J115" s="123">
        <f t="shared" si="32"/>
        <v>6.57</v>
      </c>
      <c r="K115" s="123">
        <f t="shared" si="32"/>
        <v>6.57</v>
      </c>
      <c r="L115" s="123">
        <f t="shared" si="32"/>
        <v>6.57</v>
      </c>
      <c r="M115" s="123">
        <f t="shared" si="32"/>
        <v>6.57</v>
      </c>
      <c r="N115" s="123">
        <f t="shared" si="32"/>
        <v>6.57</v>
      </c>
      <c r="O115" s="123">
        <f t="shared" si="32"/>
        <v>6.57</v>
      </c>
      <c r="P115" s="123">
        <f t="shared" si="32"/>
        <v>6.57</v>
      </c>
      <c r="Q115" s="123">
        <f t="shared" si="32"/>
        <v>6.57</v>
      </c>
      <c r="R115" s="123">
        <f t="shared" si="32"/>
        <v>6.57</v>
      </c>
      <c r="S115" s="123">
        <f t="shared" si="32"/>
        <v>6.57</v>
      </c>
      <c r="T115" s="123">
        <f t="shared" si="33"/>
        <v>6.57</v>
      </c>
      <c r="U115" s="123">
        <f t="shared" si="33"/>
        <v>6.57</v>
      </c>
      <c r="V115" s="123">
        <f t="shared" si="33"/>
        <v>6.57</v>
      </c>
      <c r="W115" s="123">
        <f t="shared" si="33"/>
        <v>6.57</v>
      </c>
      <c r="X115" s="123">
        <f t="shared" si="33"/>
        <v>6.57</v>
      </c>
      <c r="Y115" s="123">
        <f t="shared" si="33"/>
        <v>6.57</v>
      </c>
      <c r="Z115" s="123">
        <f t="shared" si="33"/>
        <v>6.57</v>
      </c>
      <c r="AA115" s="123">
        <f t="shared" si="33"/>
        <v>6.57</v>
      </c>
      <c r="AB115" s="123">
        <f t="shared" si="33"/>
        <v>6.57</v>
      </c>
      <c r="AC115" s="123">
        <f t="shared" si="33"/>
        <v>6.57</v>
      </c>
      <c r="AD115" s="123">
        <f t="shared" si="33"/>
        <v>6.57</v>
      </c>
      <c r="AE115" s="123">
        <f t="shared" si="33"/>
        <v>6.57</v>
      </c>
      <c r="AF115" s="123">
        <f t="shared" si="33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1"/>
        <v>3.43</v>
      </c>
      <c r="C116" s="124">
        <v>3.43</v>
      </c>
      <c r="D116" s="123">
        <f t="shared" si="32"/>
        <v>3.43</v>
      </c>
      <c r="E116" s="123">
        <f t="shared" si="32"/>
        <v>3.43</v>
      </c>
      <c r="F116" s="123">
        <f t="shared" si="32"/>
        <v>3.43</v>
      </c>
      <c r="G116" s="123">
        <f t="shared" si="32"/>
        <v>3.43</v>
      </c>
      <c r="H116" s="123">
        <f t="shared" si="32"/>
        <v>3.43</v>
      </c>
      <c r="I116" s="123">
        <f t="shared" si="32"/>
        <v>3.43</v>
      </c>
      <c r="J116" s="123">
        <f t="shared" si="32"/>
        <v>3.43</v>
      </c>
      <c r="K116" s="123">
        <f t="shared" si="32"/>
        <v>3.43</v>
      </c>
      <c r="L116" s="123">
        <f t="shared" si="32"/>
        <v>3.43</v>
      </c>
      <c r="M116" s="123">
        <f t="shared" si="32"/>
        <v>3.43</v>
      </c>
      <c r="N116" s="123">
        <f t="shared" si="32"/>
        <v>3.43</v>
      </c>
      <c r="O116" s="123">
        <f t="shared" si="32"/>
        <v>3.43</v>
      </c>
      <c r="P116" s="123">
        <f t="shared" si="32"/>
        <v>3.43</v>
      </c>
      <c r="Q116" s="123">
        <f t="shared" si="32"/>
        <v>3.43</v>
      </c>
      <c r="R116" s="123">
        <f t="shared" si="32"/>
        <v>3.43</v>
      </c>
      <c r="S116" s="123">
        <f t="shared" si="32"/>
        <v>3.43</v>
      </c>
      <c r="T116" s="123">
        <f t="shared" si="33"/>
        <v>3.43</v>
      </c>
      <c r="U116" s="123">
        <f t="shared" si="33"/>
        <v>3.43</v>
      </c>
      <c r="V116" s="123">
        <f t="shared" si="33"/>
        <v>3.43</v>
      </c>
      <c r="W116" s="123">
        <f t="shared" si="33"/>
        <v>3.43</v>
      </c>
      <c r="X116" s="123">
        <f t="shared" si="33"/>
        <v>3.43</v>
      </c>
      <c r="Y116" s="123">
        <f t="shared" si="33"/>
        <v>3.43</v>
      </c>
      <c r="Z116" s="123">
        <f t="shared" si="33"/>
        <v>3.43</v>
      </c>
      <c r="AA116" s="123">
        <f t="shared" si="33"/>
        <v>3.43</v>
      </c>
      <c r="AB116" s="123">
        <f t="shared" si="33"/>
        <v>3.43</v>
      </c>
      <c r="AC116" s="123">
        <f t="shared" si="33"/>
        <v>3.43</v>
      </c>
      <c r="AD116" s="123">
        <f t="shared" si="33"/>
        <v>3.43</v>
      </c>
      <c r="AE116" s="123">
        <f t="shared" si="33"/>
        <v>3.43</v>
      </c>
      <c r="AF116" s="123">
        <f t="shared" si="33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1"/>
        <v>2.96</v>
      </c>
      <c r="C117" s="124">
        <v>2.96</v>
      </c>
      <c r="D117" s="123">
        <f t="shared" si="32"/>
        <v>2.96</v>
      </c>
      <c r="E117" s="123">
        <f t="shared" si="32"/>
        <v>2.96</v>
      </c>
      <c r="F117" s="123">
        <f t="shared" si="32"/>
        <v>2.96</v>
      </c>
      <c r="G117" s="123">
        <f t="shared" si="32"/>
        <v>2.96</v>
      </c>
      <c r="H117" s="123">
        <f t="shared" si="32"/>
        <v>2.96</v>
      </c>
      <c r="I117" s="123">
        <f t="shared" si="32"/>
        <v>2.96</v>
      </c>
      <c r="J117" s="123">
        <f t="shared" si="32"/>
        <v>2.96</v>
      </c>
      <c r="K117" s="123">
        <f t="shared" si="32"/>
        <v>2.96</v>
      </c>
      <c r="L117" s="123">
        <f t="shared" si="32"/>
        <v>2.96</v>
      </c>
      <c r="M117" s="123">
        <f t="shared" si="32"/>
        <v>2.96</v>
      </c>
      <c r="N117" s="123">
        <f t="shared" si="32"/>
        <v>2.96</v>
      </c>
      <c r="O117" s="123">
        <f t="shared" si="32"/>
        <v>2.96</v>
      </c>
      <c r="P117" s="123">
        <f t="shared" si="32"/>
        <v>2.96</v>
      </c>
      <c r="Q117" s="123">
        <f t="shared" si="32"/>
        <v>2.96</v>
      </c>
      <c r="R117" s="123">
        <f t="shared" si="32"/>
        <v>2.96</v>
      </c>
      <c r="S117" s="123">
        <f t="shared" si="32"/>
        <v>2.96</v>
      </c>
      <c r="T117" s="123">
        <f t="shared" si="33"/>
        <v>2.96</v>
      </c>
      <c r="U117" s="123">
        <f t="shared" si="33"/>
        <v>2.96</v>
      </c>
      <c r="V117" s="123">
        <f t="shared" si="33"/>
        <v>2.96</v>
      </c>
      <c r="W117" s="123">
        <f t="shared" si="33"/>
        <v>2.96</v>
      </c>
      <c r="X117" s="123">
        <f t="shared" si="33"/>
        <v>2.96</v>
      </c>
      <c r="Y117" s="123">
        <f t="shared" si="33"/>
        <v>2.96</v>
      </c>
      <c r="Z117" s="123">
        <f t="shared" si="33"/>
        <v>2.96</v>
      </c>
      <c r="AA117" s="123">
        <f t="shared" si="33"/>
        <v>2.96</v>
      </c>
      <c r="AB117" s="123">
        <f t="shared" si="33"/>
        <v>2.96</v>
      </c>
      <c r="AC117" s="123">
        <f t="shared" si="33"/>
        <v>2.96</v>
      </c>
      <c r="AD117" s="123">
        <f t="shared" si="33"/>
        <v>2.96</v>
      </c>
      <c r="AE117" s="123">
        <f t="shared" si="33"/>
        <v>2.96</v>
      </c>
      <c r="AF117" s="123">
        <f t="shared" si="33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1"/>
        <v>8</v>
      </c>
      <c r="C118" s="124">
        <v>8</v>
      </c>
      <c r="D118" s="123">
        <f t="shared" si="32"/>
        <v>8</v>
      </c>
      <c r="E118" s="123">
        <f t="shared" si="32"/>
        <v>8</v>
      </c>
      <c r="F118" s="123">
        <f t="shared" si="32"/>
        <v>8</v>
      </c>
      <c r="G118" s="123">
        <f t="shared" si="32"/>
        <v>8</v>
      </c>
      <c r="H118" s="123">
        <f t="shared" si="32"/>
        <v>8</v>
      </c>
      <c r="I118" s="123">
        <f t="shared" si="32"/>
        <v>8</v>
      </c>
      <c r="J118" s="123">
        <f t="shared" si="32"/>
        <v>8</v>
      </c>
      <c r="K118" s="123">
        <f t="shared" si="32"/>
        <v>8</v>
      </c>
      <c r="L118" s="123">
        <f t="shared" si="32"/>
        <v>8</v>
      </c>
      <c r="M118" s="123">
        <f t="shared" si="32"/>
        <v>8</v>
      </c>
      <c r="N118" s="123">
        <f t="shared" si="32"/>
        <v>8</v>
      </c>
      <c r="O118" s="123">
        <f t="shared" si="32"/>
        <v>8</v>
      </c>
      <c r="P118" s="123">
        <f t="shared" si="32"/>
        <v>8</v>
      </c>
      <c r="Q118" s="123">
        <f t="shared" si="32"/>
        <v>8</v>
      </c>
      <c r="R118" s="123">
        <f t="shared" si="32"/>
        <v>8</v>
      </c>
      <c r="S118" s="123">
        <f t="shared" si="32"/>
        <v>8</v>
      </c>
      <c r="T118" s="123">
        <f t="shared" si="33"/>
        <v>8</v>
      </c>
      <c r="U118" s="123">
        <f t="shared" si="33"/>
        <v>8</v>
      </c>
      <c r="V118" s="123">
        <f t="shared" si="33"/>
        <v>8</v>
      </c>
      <c r="W118" s="123">
        <f t="shared" si="33"/>
        <v>8</v>
      </c>
      <c r="X118" s="123">
        <f t="shared" si="33"/>
        <v>8</v>
      </c>
      <c r="Y118" s="123">
        <f t="shared" si="33"/>
        <v>8</v>
      </c>
      <c r="Z118" s="123">
        <f t="shared" si="33"/>
        <v>8</v>
      </c>
      <c r="AA118" s="123">
        <f t="shared" si="33"/>
        <v>8</v>
      </c>
      <c r="AB118" s="123">
        <f t="shared" si="33"/>
        <v>8</v>
      </c>
      <c r="AC118" s="123">
        <f t="shared" si="33"/>
        <v>8</v>
      </c>
      <c r="AD118" s="123">
        <f t="shared" si="33"/>
        <v>8</v>
      </c>
      <c r="AE118" s="123">
        <f t="shared" si="33"/>
        <v>8</v>
      </c>
      <c r="AF118" s="123">
        <f t="shared" si="33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1"/>
        <v>7</v>
      </c>
      <c r="C119" s="124">
        <v>7</v>
      </c>
      <c r="D119" s="123">
        <f>C119</f>
        <v>7</v>
      </c>
      <c r="E119" s="123">
        <f t="shared" si="32"/>
        <v>7</v>
      </c>
      <c r="F119" s="123">
        <f t="shared" si="32"/>
        <v>7</v>
      </c>
      <c r="G119" s="123">
        <f t="shared" si="32"/>
        <v>7</v>
      </c>
      <c r="H119" s="123">
        <f t="shared" si="32"/>
        <v>7</v>
      </c>
      <c r="I119" s="123">
        <f t="shared" si="32"/>
        <v>7</v>
      </c>
      <c r="J119" s="123">
        <f t="shared" si="32"/>
        <v>7</v>
      </c>
      <c r="K119" s="123">
        <f t="shared" si="32"/>
        <v>7</v>
      </c>
      <c r="L119" s="123">
        <f t="shared" si="32"/>
        <v>7</v>
      </c>
      <c r="M119" s="123">
        <f t="shared" si="32"/>
        <v>7</v>
      </c>
      <c r="N119" s="123">
        <f t="shared" si="32"/>
        <v>7</v>
      </c>
      <c r="O119" s="123">
        <f t="shared" si="32"/>
        <v>7</v>
      </c>
      <c r="P119" s="123">
        <f t="shared" si="32"/>
        <v>7</v>
      </c>
      <c r="Q119" s="123">
        <f t="shared" si="32"/>
        <v>7</v>
      </c>
      <c r="R119" s="123">
        <f t="shared" si="32"/>
        <v>7</v>
      </c>
      <c r="S119" s="123">
        <f t="shared" si="32"/>
        <v>7</v>
      </c>
      <c r="T119" s="123">
        <f t="shared" si="33"/>
        <v>7</v>
      </c>
      <c r="U119" s="123">
        <f t="shared" si="33"/>
        <v>7</v>
      </c>
      <c r="V119" s="123">
        <f t="shared" si="33"/>
        <v>7</v>
      </c>
      <c r="W119" s="123">
        <f t="shared" si="33"/>
        <v>7</v>
      </c>
      <c r="X119" s="123">
        <f t="shared" si="33"/>
        <v>7</v>
      </c>
      <c r="Y119" s="123">
        <f t="shared" si="33"/>
        <v>7</v>
      </c>
      <c r="Z119" s="123">
        <f t="shared" si="33"/>
        <v>7</v>
      </c>
      <c r="AA119" s="123">
        <f t="shared" si="33"/>
        <v>7</v>
      </c>
      <c r="AB119" s="123">
        <f t="shared" si="33"/>
        <v>7</v>
      </c>
      <c r="AC119" s="123">
        <f t="shared" si="33"/>
        <v>7</v>
      </c>
      <c r="AD119" s="123">
        <f t="shared" si="33"/>
        <v>7</v>
      </c>
      <c r="AE119" s="123">
        <f t="shared" si="33"/>
        <v>7</v>
      </c>
      <c r="AF119" s="123">
        <f t="shared" si="33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1"/>
        <v>3.47</v>
      </c>
      <c r="C120" s="124">
        <v>3.47</v>
      </c>
      <c r="D120" s="123">
        <f t="shared" ref="D120:S129" si="34">C120</f>
        <v>3.47</v>
      </c>
      <c r="E120" s="123">
        <f t="shared" si="34"/>
        <v>3.47</v>
      </c>
      <c r="F120" s="123">
        <f t="shared" si="34"/>
        <v>3.47</v>
      </c>
      <c r="G120" s="123">
        <f t="shared" si="34"/>
        <v>3.47</v>
      </c>
      <c r="H120" s="123">
        <f t="shared" si="34"/>
        <v>3.47</v>
      </c>
      <c r="I120" s="123">
        <f t="shared" si="34"/>
        <v>3.47</v>
      </c>
      <c r="J120" s="123">
        <f t="shared" si="34"/>
        <v>3.47</v>
      </c>
      <c r="K120" s="123">
        <f t="shared" si="34"/>
        <v>3.47</v>
      </c>
      <c r="L120" s="123">
        <f t="shared" si="34"/>
        <v>3.47</v>
      </c>
      <c r="M120" s="123">
        <f t="shared" si="34"/>
        <v>3.47</v>
      </c>
      <c r="N120" s="123">
        <f t="shared" si="34"/>
        <v>3.47</v>
      </c>
      <c r="O120" s="123">
        <f t="shared" si="34"/>
        <v>3.47</v>
      </c>
      <c r="P120" s="123">
        <f t="shared" si="34"/>
        <v>3.47</v>
      </c>
      <c r="Q120" s="123">
        <f t="shared" si="34"/>
        <v>3.47</v>
      </c>
      <c r="R120" s="123">
        <f t="shared" si="34"/>
        <v>3.47</v>
      </c>
      <c r="S120" s="123">
        <f t="shared" si="34"/>
        <v>3.47</v>
      </c>
      <c r="T120" s="123">
        <f t="shared" si="33"/>
        <v>3.47</v>
      </c>
      <c r="U120" s="123">
        <f t="shared" si="33"/>
        <v>3.47</v>
      </c>
      <c r="V120" s="123">
        <f t="shared" si="33"/>
        <v>3.47</v>
      </c>
      <c r="W120" s="123">
        <f t="shared" si="33"/>
        <v>3.47</v>
      </c>
      <c r="X120" s="123">
        <f t="shared" si="33"/>
        <v>3.47</v>
      </c>
      <c r="Y120" s="123">
        <f t="shared" si="33"/>
        <v>3.47</v>
      </c>
      <c r="Z120" s="123">
        <f t="shared" si="33"/>
        <v>3.47</v>
      </c>
      <c r="AA120" s="123">
        <f t="shared" si="33"/>
        <v>3.47</v>
      </c>
      <c r="AB120" s="123">
        <f t="shared" si="33"/>
        <v>3.47</v>
      </c>
      <c r="AC120" s="123">
        <f t="shared" si="33"/>
        <v>3.47</v>
      </c>
      <c r="AD120" s="123">
        <f t="shared" si="33"/>
        <v>3.47</v>
      </c>
      <c r="AE120" s="123">
        <f t="shared" si="33"/>
        <v>3.47</v>
      </c>
      <c r="AF120" s="123">
        <f t="shared" si="33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1"/>
        <v>2.1</v>
      </c>
      <c r="C121" s="124">
        <v>2.1</v>
      </c>
      <c r="D121" s="123">
        <f t="shared" si="34"/>
        <v>2.1</v>
      </c>
      <c r="E121" s="123">
        <f t="shared" si="34"/>
        <v>2.1</v>
      </c>
      <c r="F121" s="123">
        <f t="shared" si="34"/>
        <v>2.1</v>
      </c>
      <c r="G121" s="123">
        <f t="shared" si="34"/>
        <v>2.1</v>
      </c>
      <c r="H121" s="123">
        <f t="shared" si="34"/>
        <v>2.1</v>
      </c>
      <c r="I121" s="123">
        <f t="shared" si="34"/>
        <v>2.1</v>
      </c>
      <c r="J121" s="123">
        <f t="shared" si="34"/>
        <v>2.1</v>
      </c>
      <c r="K121" s="123">
        <f t="shared" si="34"/>
        <v>2.1</v>
      </c>
      <c r="L121" s="123">
        <f t="shared" si="34"/>
        <v>2.1</v>
      </c>
      <c r="M121" s="123">
        <f t="shared" si="34"/>
        <v>2.1</v>
      </c>
      <c r="N121" s="123">
        <f t="shared" si="34"/>
        <v>2.1</v>
      </c>
      <c r="O121" s="123">
        <f t="shared" si="34"/>
        <v>2.1</v>
      </c>
      <c r="P121" s="123">
        <f t="shared" si="34"/>
        <v>2.1</v>
      </c>
      <c r="Q121" s="123">
        <f t="shared" si="34"/>
        <v>2.1</v>
      </c>
      <c r="R121" s="123">
        <f t="shared" si="34"/>
        <v>2.1</v>
      </c>
      <c r="S121" s="123">
        <f t="shared" si="34"/>
        <v>2.1</v>
      </c>
      <c r="T121" s="123">
        <f t="shared" si="33"/>
        <v>2.1</v>
      </c>
      <c r="U121" s="123">
        <f t="shared" si="33"/>
        <v>2.1</v>
      </c>
      <c r="V121" s="123">
        <f t="shared" si="33"/>
        <v>2.1</v>
      </c>
      <c r="W121" s="123">
        <f t="shared" si="33"/>
        <v>2.1</v>
      </c>
      <c r="X121" s="123">
        <f t="shared" si="33"/>
        <v>2.1</v>
      </c>
      <c r="Y121" s="123">
        <f t="shared" si="33"/>
        <v>2.1</v>
      </c>
      <c r="Z121" s="123">
        <f t="shared" si="33"/>
        <v>2.1</v>
      </c>
      <c r="AA121" s="123">
        <f t="shared" si="33"/>
        <v>2.1</v>
      </c>
      <c r="AB121" s="123">
        <f t="shared" si="33"/>
        <v>2.1</v>
      </c>
      <c r="AC121" s="123">
        <f t="shared" si="33"/>
        <v>2.1</v>
      </c>
      <c r="AD121" s="123">
        <f t="shared" si="33"/>
        <v>2.1</v>
      </c>
      <c r="AE121" s="123">
        <f t="shared" si="33"/>
        <v>2.1</v>
      </c>
      <c r="AF121" s="123">
        <f t="shared" si="33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1"/>
        <v>9.3000000000000007</v>
      </c>
      <c r="C122" s="124">
        <v>9.3000000000000007</v>
      </c>
      <c r="D122" s="123">
        <f t="shared" si="34"/>
        <v>9.3000000000000007</v>
      </c>
      <c r="E122" s="123">
        <f t="shared" si="34"/>
        <v>9.3000000000000007</v>
      </c>
      <c r="F122" s="123">
        <f t="shared" si="34"/>
        <v>9.3000000000000007</v>
      </c>
      <c r="G122" s="123">
        <f t="shared" si="34"/>
        <v>9.3000000000000007</v>
      </c>
      <c r="H122" s="123">
        <f t="shared" si="34"/>
        <v>9.3000000000000007</v>
      </c>
      <c r="I122" s="123">
        <f t="shared" si="34"/>
        <v>9.3000000000000007</v>
      </c>
      <c r="J122" s="123">
        <f t="shared" si="34"/>
        <v>9.3000000000000007</v>
      </c>
      <c r="K122" s="123">
        <f t="shared" si="34"/>
        <v>9.3000000000000007</v>
      </c>
      <c r="L122" s="123">
        <f t="shared" si="34"/>
        <v>9.3000000000000007</v>
      </c>
      <c r="M122" s="123">
        <f t="shared" si="34"/>
        <v>9.3000000000000007</v>
      </c>
      <c r="N122" s="123">
        <f t="shared" si="34"/>
        <v>9.3000000000000007</v>
      </c>
      <c r="O122" s="123">
        <f t="shared" si="34"/>
        <v>9.3000000000000007</v>
      </c>
      <c r="P122" s="123">
        <f t="shared" si="34"/>
        <v>9.3000000000000007</v>
      </c>
      <c r="Q122" s="123">
        <f t="shared" si="34"/>
        <v>9.3000000000000007</v>
      </c>
      <c r="R122" s="123">
        <f t="shared" si="34"/>
        <v>9.3000000000000007</v>
      </c>
      <c r="S122" s="123">
        <f t="shared" si="34"/>
        <v>9.3000000000000007</v>
      </c>
      <c r="T122" s="123">
        <f t="shared" si="33"/>
        <v>9.3000000000000007</v>
      </c>
      <c r="U122" s="123">
        <f t="shared" si="33"/>
        <v>9.3000000000000007</v>
      </c>
      <c r="V122" s="123">
        <f t="shared" si="33"/>
        <v>9.3000000000000007</v>
      </c>
      <c r="W122" s="123">
        <f t="shared" si="33"/>
        <v>9.3000000000000007</v>
      </c>
      <c r="X122" s="123">
        <f t="shared" si="33"/>
        <v>9.3000000000000007</v>
      </c>
      <c r="Y122" s="123">
        <f t="shared" si="33"/>
        <v>9.3000000000000007</v>
      </c>
      <c r="Z122" s="123">
        <f t="shared" si="33"/>
        <v>9.3000000000000007</v>
      </c>
      <c r="AA122" s="123">
        <f t="shared" si="33"/>
        <v>9.3000000000000007</v>
      </c>
      <c r="AB122" s="123">
        <f t="shared" si="33"/>
        <v>9.3000000000000007</v>
      </c>
      <c r="AC122" s="123">
        <f t="shared" si="33"/>
        <v>9.3000000000000007</v>
      </c>
      <c r="AD122" s="123">
        <f t="shared" si="33"/>
        <v>9.3000000000000007</v>
      </c>
      <c r="AE122" s="123">
        <f t="shared" si="33"/>
        <v>9.3000000000000007</v>
      </c>
      <c r="AF122" s="123">
        <f t="shared" si="33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1"/>
        <v>0</v>
      </c>
      <c r="C123" s="124">
        <v>0</v>
      </c>
      <c r="D123" s="123">
        <f t="shared" si="34"/>
        <v>0</v>
      </c>
      <c r="E123" s="123">
        <f t="shared" si="34"/>
        <v>0</v>
      </c>
      <c r="F123" s="123">
        <f t="shared" si="34"/>
        <v>0</v>
      </c>
      <c r="G123" s="123">
        <f t="shared" si="34"/>
        <v>0</v>
      </c>
      <c r="H123" s="123">
        <f t="shared" si="34"/>
        <v>0</v>
      </c>
      <c r="I123" s="123">
        <f t="shared" si="34"/>
        <v>0</v>
      </c>
      <c r="J123" s="123">
        <f t="shared" si="34"/>
        <v>0</v>
      </c>
      <c r="K123" s="123">
        <f t="shared" si="34"/>
        <v>0</v>
      </c>
      <c r="L123" s="123">
        <f t="shared" si="34"/>
        <v>0</v>
      </c>
      <c r="M123" s="123">
        <f t="shared" si="34"/>
        <v>0</v>
      </c>
      <c r="N123" s="123">
        <f t="shared" si="34"/>
        <v>0</v>
      </c>
      <c r="O123" s="123">
        <f t="shared" si="34"/>
        <v>0</v>
      </c>
      <c r="P123" s="123">
        <f t="shared" si="34"/>
        <v>0</v>
      </c>
      <c r="Q123" s="123">
        <f t="shared" si="34"/>
        <v>0</v>
      </c>
      <c r="R123" s="123">
        <f t="shared" si="34"/>
        <v>0</v>
      </c>
      <c r="S123" s="123">
        <f t="shared" si="34"/>
        <v>0</v>
      </c>
      <c r="T123" s="123">
        <f t="shared" si="33"/>
        <v>0</v>
      </c>
      <c r="U123" s="123">
        <f t="shared" si="33"/>
        <v>0</v>
      </c>
      <c r="V123" s="123">
        <f t="shared" si="33"/>
        <v>0</v>
      </c>
      <c r="W123" s="123">
        <f t="shared" si="33"/>
        <v>0</v>
      </c>
      <c r="X123" s="123">
        <f t="shared" si="33"/>
        <v>0</v>
      </c>
      <c r="Y123" s="123">
        <f t="shared" si="33"/>
        <v>0</v>
      </c>
      <c r="Z123" s="123">
        <f t="shared" si="33"/>
        <v>0</v>
      </c>
      <c r="AA123" s="123">
        <f t="shared" si="33"/>
        <v>0</v>
      </c>
      <c r="AB123" s="123">
        <f t="shared" si="33"/>
        <v>0</v>
      </c>
      <c r="AC123" s="123">
        <f t="shared" si="33"/>
        <v>0</v>
      </c>
      <c r="AD123" s="123">
        <f t="shared" si="33"/>
        <v>0</v>
      </c>
      <c r="AE123" s="123">
        <f t="shared" si="33"/>
        <v>0</v>
      </c>
      <c r="AF123" s="123">
        <f t="shared" si="33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1"/>
        <v>;/</v>
      </c>
      <c r="C125" s="124">
        <v>5</v>
      </c>
      <c r="D125" s="123">
        <f t="shared" si="34"/>
        <v>5</v>
      </c>
      <c r="E125" s="123">
        <f t="shared" si="34"/>
        <v>5</v>
      </c>
      <c r="F125" s="123">
        <f t="shared" si="34"/>
        <v>5</v>
      </c>
      <c r="G125" s="123">
        <f t="shared" si="34"/>
        <v>5</v>
      </c>
      <c r="H125" s="123">
        <f t="shared" si="34"/>
        <v>5</v>
      </c>
      <c r="I125" s="123" t="s">
        <v>130</v>
      </c>
      <c r="J125" s="123" t="str">
        <f t="shared" si="34"/>
        <v>;/</v>
      </c>
      <c r="K125" s="123" t="str">
        <f t="shared" si="34"/>
        <v>;/</v>
      </c>
      <c r="L125" s="123" t="str">
        <f t="shared" si="34"/>
        <v>;/</v>
      </c>
      <c r="M125" s="123" t="str">
        <f t="shared" si="34"/>
        <v>;/</v>
      </c>
      <c r="N125" s="123" t="str">
        <f t="shared" si="34"/>
        <v>;/</v>
      </c>
      <c r="O125" s="123" t="str">
        <f t="shared" si="34"/>
        <v>;/</v>
      </c>
      <c r="P125" s="123" t="str">
        <f t="shared" si="34"/>
        <v>;/</v>
      </c>
      <c r="Q125" s="123" t="str">
        <f t="shared" si="34"/>
        <v>;/</v>
      </c>
      <c r="R125" s="123" t="str">
        <f t="shared" si="34"/>
        <v>;/</v>
      </c>
      <c r="S125" s="123" t="str">
        <f t="shared" si="34"/>
        <v>;/</v>
      </c>
      <c r="T125" s="123" t="str">
        <f t="shared" si="33"/>
        <v>;/</v>
      </c>
      <c r="U125" s="123" t="str">
        <f t="shared" si="33"/>
        <v>;/</v>
      </c>
      <c r="V125" s="123" t="str">
        <f t="shared" si="33"/>
        <v>;/</v>
      </c>
      <c r="W125" s="123" t="str">
        <f t="shared" si="33"/>
        <v>;/</v>
      </c>
      <c r="X125" s="123" t="str">
        <f t="shared" si="33"/>
        <v>;/</v>
      </c>
      <c r="Y125" s="123" t="str">
        <f t="shared" si="33"/>
        <v>;/</v>
      </c>
      <c r="Z125" s="123" t="str">
        <f t="shared" si="33"/>
        <v>;/</v>
      </c>
      <c r="AA125" s="123" t="str">
        <f t="shared" si="33"/>
        <v>;/</v>
      </c>
      <c r="AB125" s="123" t="str">
        <f t="shared" si="33"/>
        <v>;/</v>
      </c>
      <c r="AC125" s="123" t="str">
        <f t="shared" si="33"/>
        <v>;/</v>
      </c>
      <c r="AD125" s="123" t="str">
        <f t="shared" si="33"/>
        <v>;/</v>
      </c>
      <c r="AE125" s="123" t="str">
        <f t="shared" si="33"/>
        <v>;/</v>
      </c>
      <c r="AF125" s="123" t="str">
        <f t="shared" si="33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1"/>
        <v>1</v>
      </c>
      <c r="C126" s="124">
        <v>1</v>
      </c>
      <c r="D126" s="123">
        <f t="shared" si="34"/>
        <v>1</v>
      </c>
      <c r="E126" s="123">
        <f t="shared" si="34"/>
        <v>1</v>
      </c>
      <c r="F126" s="123">
        <f t="shared" si="34"/>
        <v>1</v>
      </c>
      <c r="G126" s="123">
        <f t="shared" si="34"/>
        <v>1</v>
      </c>
      <c r="H126" s="123">
        <f t="shared" si="34"/>
        <v>1</v>
      </c>
      <c r="I126" s="123">
        <f t="shared" si="34"/>
        <v>1</v>
      </c>
      <c r="J126" s="123">
        <f t="shared" si="34"/>
        <v>1</v>
      </c>
      <c r="K126" s="123">
        <f t="shared" si="34"/>
        <v>1</v>
      </c>
      <c r="L126" s="123">
        <f t="shared" si="34"/>
        <v>1</v>
      </c>
      <c r="M126" s="123">
        <f t="shared" si="34"/>
        <v>1</v>
      </c>
      <c r="N126" s="123">
        <f t="shared" si="34"/>
        <v>1</v>
      </c>
      <c r="O126" s="123">
        <f t="shared" si="34"/>
        <v>1</v>
      </c>
      <c r="P126" s="123">
        <f t="shared" si="34"/>
        <v>1</v>
      </c>
      <c r="Q126" s="123">
        <f t="shared" si="34"/>
        <v>1</v>
      </c>
      <c r="R126" s="123">
        <f t="shared" si="34"/>
        <v>1</v>
      </c>
      <c r="S126" s="123">
        <f t="shared" si="34"/>
        <v>1</v>
      </c>
      <c r="T126" s="123">
        <f t="shared" si="33"/>
        <v>1</v>
      </c>
      <c r="U126" s="123">
        <f t="shared" si="33"/>
        <v>1</v>
      </c>
      <c r="V126" s="123">
        <f t="shared" si="33"/>
        <v>1</v>
      </c>
      <c r="W126" s="123">
        <f t="shared" si="33"/>
        <v>1</v>
      </c>
      <c r="X126" s="123">
        <f t="shared" si="33"/>
        <v>1</v>
      </c>
      <c r="Y126" s="123">
        <f t="shared" si="33"/>
        <v>1</v>
      </c>
      <c r="Z126" s="123">
        <f t="shared" si="33"/>
        <v>1</v>
      </c>
      <c r="AA126" s="123">
        <f t="shared" si="33"/>
        <v>1</v>
      </c>
      <c r="AB126" s="123">
        <f t="shared" si="33"/>
        <v>1</v>
      </c>
      <c r="AC126" s="123">
        <f t="shared" si="33"/>
        <v>1</v>
      </c>
      <c r="AD126" s="123">
        <f t="shared" si="33"/>
        <v>1</v>
      </c>
      <c r="AE126" s="123">
        <f t="shared" si="33"/>
        <v>1</v>
      </c>
      <c r="AF126" s="123">
        <f t="shared" si="33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1"/>
        <v>1.58</v>
      </c>
      <c r="C127" s="124">
        <v>1.58</v>
      </c>
      <c r="D127" s="123">
        <f t="shared" si="34"/>
        <v>1.58</v>
      </c>
      <c r="E127" s="123">
        <f t="shared" si="34"/>
        <v>1.58</v>
      </c>
      <c r="F127" s="123">
        <f t="shared" si="34"/>
        <v>1.58</v>
      </c>
      <c r="G127" s="123">
        <f t="shared" si="34"/>
        <v>1.58</v>
      </c>
      <c r="H127" s="123">
        <f t="shared" si="34"/>
        <v>1.58</v>
      </c>
      <c r="I127" s="123">
        <f t="shared" si="34"/>
        <v>1.58</v>
      </c>
      <c r="J127" s="123">
        <f t="shared" si="34"/>
        <v>1.58</v>
      </c>
      <c r="K127" s="123">
        <f t="shared" si="34"/>
        <v>1.58</v>
      </c>
      <c r="L127" s="123">
        <f t="shared" si="34"/>
        <v>1.58</v>
      </c>
      <c r="M127" s="123">
        <f t="shared" si="34"/>
        <v>1.58</v>
      </c>
      <c r="N127" s="123">
        <f t="shared" si="34"/>
        <v>1.58</v>
      </c>
      <c r="O127" s="123">
        <f t="shared" si="34"/>
        <v>1.58</v>
      </c>
      <c r="P127" s="123">
        <f t="shared" si="34"/>
        <v>1.58</v>
      </c>
      <c r="Q127" s="123">
        <f t="shared" si="34"/>
        <v>1.58</v>
      </c>
      <c r="R127" s="123">
        <f t="shared" si="34"/>
        <v>1.58</v>
      </c>
      <c r="S127" s="123">
        <f t="shared" si="34"/>
        <v>1.58</v>
      </c>
      <c r="T127" s="123">
        <f t="shared" si="33"/>
        <v>1.58</v>
      </c>
      <c r="U127" s="123">
        <f t="shared" si="33"/>
        <v>1.58</v>
      </c>
      <c r="V127" s="123">
        <f t="shared" si="33"/>
        <v>1.58</v>
      </c>
      <c r="W127" s="123">
        <f t="shared" si="33"/>
        <v>1.58</v>
      </c>
      <c r="X127" s="123">
        <f t="shared" si="33"/>
        <v>1.58</v>
      </c>
      <c r="Y127" s="123">
        <f t="shared" si="33"/>
        <v>1.58</v>
      </c>
      <c r="Z127" s="123">
        <f t="shared" si="33"/>
        <v>1.58</v>
      </c>
      <c r="AA127" s="123">
        <f t="shared" si="33"/>
        <v>1.58</v>
      </c>
      <c r="AB127" s="123">
        <f t="shared" si="33"/>
        <v>1.58</v>
      </c>
      <c r="AC127" s="123">
        <f t="shared" si="33"/>
        <v>1.58</v>
      </c>
      <c r="AD127" s="123">
        <f t="shared" si="33"/>
        <v>1.58</v>
      </c>
      <c r="AE127" s="123">
        <f t="shared" si="33"/>
        <v>1.58</v>
      </c>
      <c r="AF127" s="123">
        <f t="shared" si="33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1"/>
        <v>1.46</v>
      </c>
      <c r="C128" s="124">
        <v>1.46</v>
      </c>
      <c r="D128" s="123">
        <f t="shared" si="34"/>
        <v>1.46</v>
      </c>
      <c r="E128" s="123">
        <f t="shared" si="34"/>
        <v>1.46</v>
      </c>
      <c r="F128" s="123">
        <f t="shared" si="34"/>
        <v>1.46</v>
      </c>
      <c r="G128" s="123">
        <f t="shared" si="34"/>
        <v>1.46</v>
      </c>
      <c r="H128" s="123">
        <f t="shared" si="34"/>
        <v>1.46</v>
      </c>
      <c r="I128" s="123">
        <f t="shared" si="34"/>
        <v>1.46</v>
      </c>
      <c r="J128" s="123">
        <f t="shared" si="34"/>
        <v>1.46</v>
      </c>
      <c r="K128" s="123">
        <f t="shared" si="34"/>
        <v>1.46</v>
      </c>
      <c r="L128" s="123">
        <f t="shared" si="34"/>
        <v>1.46</v>
      </c>
      <c r="M128" s="123">
        <f t="shared" si="34"/>
        <v>1.46</v>
      </c>
      <c r="N128" s="123">
        <f t="shared" si="34"/>
        <v>1.46</v>
      </c>
      <c r="O128" s="123">
        <f t="shared" si="34"/>
        <v>1.46</v>
      </c>
      <c r="P128" s="123">
        <f t="shared" si="34"/>
        <v>1.46</v>
      </c>
      <c r="Q128" s="123">
        <f t="shared" si="34"/>
        <v>1.46</v>
      </c>
      <c r="R128" s="123">
        <f t="shared" si="34"/>
        <v>1.46</v>
      </c>
      <c r="S128" s="123">
        <f t="shared" si="34"/>
        <v>1.46</v>
      </c>
      <c r="T128" s="123">
        <f t="shared" ref="T128:AF129" si="35">S128</f>
        <v>1.46</v>
      </c>
      <c r="U128" s="123">
        <f t="shared" si="35"/>
        <v>1.46</v>
      </c>
      <c r="V128" s="123">
        <f t="shared" si="35"/>
        <v>1.46</v>
      </c>
      <c r="W128" s="123">
        <f t="shared" si="35"/>
        <v>1.46</v>
      </c>
      <c r="X128" s="123">
        <f t="shared" si="35"/>
        <v>1.46</v>
      </c>
      <c r="Y128" s="123">
        <f t="shared" si="35"/>
        <v>1.46</v>
      </c>
      <c r="Z128" s="123">
        <f t="shared" si="35"/>
        <v>1.46</v>
      </c>
      <c r="AA128" s="123">
        <f t="shared" si="35"/>
        <v>1.46</v>
      </c>
      <c r="AB128" s="123">
        <f t="shared" si="35"/>
        <v>1.46</v>
      </c>
      <c r="AC128" s="123">
        <f t="shared" si="35"/>
        <v>1.46</v>
      </c>
      <c r="AD128" s="123">
        <f t="shared" si="35"/>
        <v>1.46</v>
      </c>
      <c r="AE128" s="123">
        <f t="shared" si="35"/>
        <v>1.46</v>
      </c>
      <c r="AF128" s="123">
        <f t="shared" si="35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1"/>
        <v>1.48</v>
      </c>
      <c r="C129" s="124">
        <v>1.48</v>
      </c>
      <c r="D129" s="123">
        <f t="shared" si="34"/>
        <v>1.48</v>
      </c>
      <c r="E129" s="123">
        <f t="shared" si="34"/>
        <v>1.48</v>
      </c>
      <c r="F129" s="123">
        <f t="shared" si="34"/>
        <v>1.48</v>
      </c>
      <c r="G129" s="123">
        <f t="shared" si="34"/>
        <v>1.48</v>
      </c>
      <c r="H129" s="123">
        <f t="shared" si="34"/>
        <v>1.48</v>
      </c>
      <c r="I129" s="123">
        <f t="shared" si="34"/>
        <v>1.48</v>
      </c>
      <c r="J129" s="123">
        <f t="shared" si="34"/>
        <v>1.48</v>
      </c>
      <c r="K129" s="123">
        <f t="shared" si="34"/>
        <v>1.48</v>
      </c>
      <c r="L129" s="123">
        <f t="shared" si="34"/>
        <v>1.48</v>
      </c>
      <c r="M129" s="123">
        <f t="shared" si="34"/>
        <v>1.48</v>
      </c>
      <c r="N129" s="123">
        <f t="shared" si="34"/>
        <v>1.48</v>
      </c>
      <c r="O129" s="123">
        <f t="shared" si="34"/>
        <v>1.48</v>
      </c>
      <c r="P129" s="123">
        <f t="shared" si="34"/>
        <v>1.48</v>
      </c>
      <c r="Q129" s="123">
        <f t="shared" si="34"/>
        <v>1.48</v>
      </c>
      <c r="R129" s="123">
        <f t="shared" si="34"/>
        <v>1.48</v>
      </c>
      <c r="S129" s="123">
        <f t="shared" si="34"/>
        <v>1.48</v>
      </c>
      <c r="T129" s="123">
        <f t="shared" si="35"/>
        <v>1.48</v>
      </c>
      <c r="U129" s="123">
        <f t="shared" si="35"/>
        <v>1.48</v>
      </c>
      <c r="V129" s="123">
        <f t="shared" si="35"/>
        <v>1.48</v>
      </c>
      <c r="W129" s="123">
        <f t="shared" si="35"/>
        <v>1.48</v>
      </c>
      <c r="X129" s="123">
        <f t="shared" si="35"/>
        <v>1.48</v>
      </c>
      <c r="Y129" s="123">
        <f t="shared" si="35"/>
        <v>1.48</v>
      </c>
      <c r="Z129" s="123">
        <f t="shared" si="35"/>
        <v>1.48</v>
      </c>
      <c r="AA129" s="123">
        <f t="shared" si="35"/>
        <v>1.48</v>
      </c>
      <c r="AB129" s="123">
        <f t="shared" si="35"/>
        <v>1.48</v>
      </c>
      <c r="AC129" s="123">
        <f t="shared" si="35"/>
        <v>1.48</v>
      </c>
      <c r="AD129" s="123">
        <f t="shared" si="35"/>
        <v>1.48</v>
      </c>
      <c r="AE129" s="123">
        <f t="shared" si="35"/>
        <v>1.48</v>
      </c>
      <c r="AF129" s="123">
        <f t="shared" si="35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6">AF131</f>
        <v>2.2000000000000002</v>
      </c>
      <c r="C131" s="124">
        <v>2.2000000000000002</v>
      </c>
      <c r="D131" s="123">
        <f t="shared" ref="D131:S138" si="37">C131</f>
        <v>2.2000000000000002</v>
      </c>
      <c r="E131" s="123">
        <f t="shared" si="37"/>
        <v>2.2000000000000002</v>
      </c>
      <c r="F131" s="123">
        <f t="shared" si="37"/>
        <v>2.2000000000000002</v>
      </c>
      <c r="G131" s="123">
        <f t="shared" si="37"/>
        <v>2.2000000000000002</v>
      </c>
      <c r="H131" s="123">
        <f t="shared" si="37"/>
        <v>2.2000000000000002</v>
      </c>
      <c r="I131" s="123">
        <f t="shared" si="37"/>
        <v>2.2000000000000002</v>
      </c>
      <c r="J131" s="123">
        <f t="shared" si="37"/>
        <v>2.2000000000000002</v>
      </c>
      <c r="K131" s="123">
        <f t="shared" si="37"/>
        <v>2.2000000000000002</v>
      </c>
      <c r="L131" s="123">
        <f t="shared" si="37"/>
        <v>2.2000000000000002</v>
      </c>
      <c r="M131" s="123">
        <f t="shared" si="37"/>
        <v>2.2000000000000002</v>
      </c>
      <c r="N131" s="123">
        <f t="shared" si="37"/>
        <v>2.2000000000000002</v>
      </c>
      <c r="O131" s="123">
        <f t="shared" si="37"/>
        <v>2.2000000000000002</v>
      </c>
      <c r="P131" s="123">
        <f t="shared" si="37"/>
        <v>2.2000000000000002</v>
      </c>
      <c r="Q131" s="123">
        <f t="shared" si="37"/>
        <v>2.2000000000000002</v>
      </c>
      <c r="R131" s="123">
        <f t="shared" si="37"/>
        <v>2.2000000000000002</v>
      </c>
      <c r="S131" s="123">
        <f t="shared" si="37"/>
        <v>2.2000000000000002</v>
      </c>
      <c r="T131" s="123">
        <f t="shared" ref="T131:AF138" si="38">S131</f>
        <v>2.2000000000000002</v>
      </c>
      <c r="U131" s="123">
        <f t="shared" si="38"/>
        <v>2.2000000000000002</v>
      </c>
      <c r="V131" s="123">
        <f t="shared" si="38"/>
        <v>2.2000000000000002</v>
      </c>
      <c r="W131" s="123">
        <f t="shared" si="38"/>
        <v>2.2000000000000002</v>
      </c>
      <c r="X131" s="123">
        <f t="shared" si="38"/>
        <v>2.2000000000000002</v>
      </c>
      <c r="Y131" s="123">
        <f t="shared" si="38"/>
        <v>2.2000000000000002</v>
      </c>
      <c r="Z131" s="123">
        <f t="shared" si="38"/>
        <v>2.2000000000000002</v>
      </c>
      <c r="AA131" s="123">
        <f t="shared" si="38"/>
        <v>2.2000000000000002</v>
      </c>
      <c r="AB131" s="123">
        <f t="shared" si="38"/>
        <v>2.2000000000000002</v>
      </c>
      <c r="AC131" s="123">
        <f t="shared" si="38"/>
        <v>2.2000000000000002</v>
      </c>
      <c r="AD131" s="123">
        <f t="shared" si="38"/>
        <v>2.2000000000000002</v>
      </c>
      <c r="AE131" s="123">
        <f t="shared" si="38"/>
        <v>2.2000000000000002</v>
      </c>
      <c r="AF131" s="123">
        <f t="shared" si="38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6"/>
        <v>2</v>
      </c>
      <c r="C132" s="124">
        <v>2</v>
      </c>
      <c r="D132" s="123">
        <f t="shared" si="37"/>
        <v>2</v>
      </c>
      <c r="E132" s="123">
        <f t="shared" si="37"/>
        <v>2</v>
      </c>
      <c r="F132" s="123">
        <f t="shared" si="37"/>
        <v>2</v>
      </c>
      <c r="G132" s="123">
        <f t="shared" si="37"/>
        <v>2</v>
      </c>
      <c r="H132" s="123">
        <f t="shared" si="37"/>
        <v>2</v>
      </c>
      <c r="I132" s="123">
        <f t="shared" si="37"/>
        <v>2</v>
      </c>
      <c r="J132" s="123">
        <f t="shared" si="37"/>
        <v>2</v>
      </c>
      <c r="K132" s="123">
        <f t="shared" si="37"/>
        <v>2</v>
      </c>
      <c r="L132" s="123">
        <f t="shared" si="37"/>
        <v>2</v>
      </c>
      <c r="M132" s="123">
        <f t="shared" si="37"/>
        <v>2</v>
      </c>
      <c r="N132" s="123">
        <f t="shared" si="37"/>
        <v>2</v>
      </c>
      <c r="O132" s="123">
        <f t="shared" si="37"/>
        <v>2</v>
      </c>
      <c r="P132" s="123">
        <f t="shared" si="37"/>
        <v>2</v>
      </c>
      <c r="Q132" s="123">
        <f t="shared" si="37"/>
        <v>2</v>
      </c>
      <c r="R132" s="123">
        <f t="shared" si="37"/>
        <v>2</v>
      </c>
      <c r="S132" s="123">
        <f t="shared" si="37"/>
        <v>2</v>
      </c>
      <c r="T132" s="123">
        <f t="shared" si="38"/>
        <v>2</v>
      </c>
      <c r="U132" s="123">
        <f t="shared" si="38"/>
        <v>2</v>
      </c>
      <c r="V132" s="123">
        <f t="shared" si="38"/>
        <v>2</v>
      </c>
      <c r="W132" s="123">
        <f t="shared" si="38"/>
        <v>2</v>
      </c>
      <c r="X132" s="123">
        <f t="shared" si="38"/>
        <v>2</v>
      </c>
      <c r="Y132" s="123">
        <f t="shared" si="38"/>
        <v>2</v>
      </c>
      <c r="Z132" s="123">
        <f t="shared" si="38"/>
        <v>2</v>
      </c>
      <c r="AA132" s="123">
        <f t="shared" si="38"/>
        <v>2</v>
      </c>
      <c r="AB132" s="123">
        <f t="shared" si="38"/>
        <v>2</v>
      </c>
      <c r="AC132" s="123">
        <f t="shared" si="38"/>
        <v>2</v>
      </c>
      <c r="AD132" s="123">
        <f t="shared" si="38"/>
        <v>2</v>
      </c>
      <c r="AE132" s="123">
        <f t="shared" si="38"/>
        <v>2</v>
      </c>
      <c r="AF132" s="123">
        <f t="shared" si="38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6"/>
        <v>1.25</v>
      </c>
      <c r="C133" s="124">
        <v>1.25</v>
      </c>
      <c r="D133" s="123">
        <f t="shared" si="37"/>
        <v>1.25</v>
      </c>
      <c r="E133" s="123">
        <f t="shared" si="37"/>
        <v>1.25</v>
      </c>
      <c r="F133" s="123">
        <f t="shared" si="37"/>
        <v>1.25</v>
      </c>
      <c r="G133" s="123">
        <f t="shared" si="37"/>
        <v>1.25</v>
      </c>
      <c r="H133" s="123">
        <f t="shared" si="37"/>
        <v>1.25</v>
      </c>
      <c r="I133" s="123">
        <f t="shared" si="37"/>
        <v>1.25</v>
      </c>
      <c r="J133" s="123">
        <f t="shared" si="37"/>
        <v>1.25</v>
      </c>
      <c r="K133" s="123">
        <f t="shared" si="37"/>
        <v>1.25</v>
      </c>
      <c r="L133" s="123">
        <f t="shared" si="37"/>
        <v>1.25</v>
      </c>
      <c r="M133" s="123">
        <f t="shared" si="37"/>
        <v>1.25</v>
      </c>
      <c r="N133" s="123">
        <f t="shared" si="37"/>
        <v>1.25</v>
      </c>
      <c r="O133" s="123">
        <f t="shared" si="37"/>
        <v>1.25</v>
      </c>
      <c r="P133" s="123">
        <f t="shared" si="37"/>
        <v>1.25</v>
      </c>
      <c r="Q133" s="123">
        <f t="shared" si="37"/>
        <v>1.25</v>
      </c>
      <c r="R133" s="123">
        <f t="shared" si="37"/>
        <v>1.25</v>
      </c>
      <c r="S133" s="123">
        <f t="shared" si="37"/>
        <v>1.25</v>
      </c>
      <c r="T133" s="123">
        <f t="shared" si="38"/>
        <v>1.25</v>
      </c>
      <c r="U133" s="123">
        <f t="shared" si="38"/>
        <v>1.25</v>
      </c>
      <c r="V133" s="123">
        <f t="shared" si="38"/>
        <v>1.25</v>
      </c>
      <c r="W133" s="123">
        <f t="shared" si="38"/>
        <v>1.25</v>
      </c>
      <c r="X133" s="123">
        <f t="shared" si="38"/>
        <v>1.25</v>
      </c>
      <c r="Y133" s="123">
        <f t="shared" si="38"/>
        <v>1.25</v>
      </c>
      <c r="Z133" s="123">
        <f t="shared" si="38"/>
        <v>1.25</v>
      </c>
      <c r="AA133" s="123">
        <f t="shared" si="38"/>
        <v>1.25</v>
      </c>
      <c r="AB133" s="123">
        <f t="shared" si="38"/>
        <v>1.25</v>
      </c>
      <c r="AC133" s="123">
        <f t="shared" si="38"/>
        <v>1.25</v>
      </c>
      <c r="AD133" s="123">
        <f t="shared" si="38"/>
        <v>1.25</v>
      </c>
      <c r="AE133" s="123">
        <f t="shared" si="38"/>
        <v>1.25</v>
      </c>
      <c r="AF133" s="123">
        <f t="shared" si="38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6"/>
        <v>1.1499999999999999</v>
      </c>
      <c r="C134" s="124">
        <v>1.1499999999999999</v>
      </c>
      <c r="D134" s="123">
        <f t="shared" si="37"/>
        <v>1.1499999999999999</v>
      </c>
      <c r="E134" s="123">
        <f t="shared" si="37"/>
        <v>1.1499999999999999</v>
      </c>
      <c r="F134" s="123">
        <f t="shared" si="37"/>
        <v>1.1499999999999999</v>
      </c>
      <c r="G134" s="123">
        <f t="shared" si="37"/>
        <v>1.1499999999999999</v>
      </c>
      <c r="H134" s="123">
        <f t="shared" si="37"/>
        <v>1.1499999999999999</v>
      </c>
      <c r="I134" s="123">
        <f t="shared" si="37"/>
        <v>1.1499999999999999</v>
      </c>
      <c r="J134" s="123">
        <f t="shared" si="37"/>
        <v>1.1499999999999999</v>
      </c>
      <c r="K134" s="123">
        <f t="shared" si="37"/>
        <v>1.1499999999999999</v>
      </c>
      <c r="L134" s="123">
        <f t="shared" si="37"/>
        <v>1.1499999999999999</v>
      </c>
      <c r="M134" s="123">
        <f t="shared" si="37"/>
        <v>1.1499999999999999</v>
      </c>
      <c r="N134" s="123">
        <f t="shared" si="37"/>
        <v>1.1499999999999999</v>
      </c>
      <c r="O134" s="123">
        <f t="shared" si="37"/>
        <v>1.1499999999999999</v>
      </c>
      <c r="P134" s="123">
        <f t="shared" si="37"/>
        <v>1.1499999999999999</v>
      </c>
      <c r="Q134" s="123">
        <f t="shared" si="37"/>
        <v>1.1499999999999999</v>
      </c>
      <c r="R134" s="123">
        <f t="shared" si="37"/>
        <v>1.1499999999999999</v>
      </c>
      <c r="S134" s="123">
        <f t="shared" si="37"/>
        <v>1.1499999999999999</v>
      </c>
      <c r="T134" s="123">
        <f t="shared" si="38"/>
        <v>1.1499999999999999</v>
      </c>
      <c r="U134" s="123">
        <f t="shared" si="38"/>
        <v>1.1499999999999999</v>
      </c>
      <c r="V134" s="123">
        <f t="shared" si="38"/>
        <v>1.1499999999999999</v>
      </c>
      <c r="W134" s="123">
        <f t="shared" si="38"/>
        <v>1.1499999999999999</v>
      </c>
      <c r="X134" s="123">
        <f t="shared" si="38"/>
        <v>1.1499999999999999</v>
      </c>
      <c r="Y134" s="123">
        <f t="shared" si="38"/>
        <v>1.1499999999999999</v>
      </c>
      <c r="Z134" s="123">
        <f t="shared" si="38"/>
        <v>1.1499999999999999</v>
      </c>
      <c r="AA134" s="123">
        <f t="shared" si="38"/>
        <v>1.1499999999999999</v>
      </c>
      <c r="AB134" s="123">
        <f t="shared" si="38"/>
        <v>1.1499999999999999</v>
      </c>
      <c r="AC134" s="123">
        <f t="shared" si="38"/>
        <v>1.1499999999999999</v>
      </c>
      <c r="AD134" s="123">
        <f t="shared" si="38"/>
        <v>1.1499999999999999</v>
      </c>
      <c r="AE134" s="123">
        <f t="shared" si="38"/>
        <v>1.1499999999999999</v>
      </c>
      <c r="AF134" s="123">
        <f t="shared" si="38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6"/>
        <v>2.133</v>
      </c>
      <c r="C135" s="124">
        <v>2.133</v>
      </c>
      <c r="D135" s="123">
        <f t="shared" si="37"/>
        <v>2.133</v>
      </c>
      <c r="E135" s="123">
        <f t="shared" si="37"/>
        <v>2.133</v>
      </c>
      <c r="F135" s="123">
        <f t="shared" si="37"/>
        <v>2.133</v>
      </c>
      <c r="G135" s="123">
        <f t="shared" si="37"/>
        <v>2.133</v>
      </c>
      <c r="H135" s="123">
        <f t="shared" si="37"/>
        <v>2.133</v>
      </c>
      <c r="I135" s="123">
        <f t="shared" si="37"/>
        <v>2.133</v>
      </c>
      <c r="J135" s="123">
        <f t="shared" si="37"/>
        <v>2.133</v>
      </c>
      <c r="K135" s="123">
        <f t="shared" si="37"/>
        <v>2.133</v>
      </c>
      <c r="L135" s="123">
        <f t="shared" si="37"/>
        <v>2.133</v>
      </c>
      <c r="M135" s="123">
        <f t="shared" si="37"/>
        <v>2.133</v>
      </c>
      <c r="N135" s="123">
        <f t="shared" si="37"/>
        <v>2.133</v>
      </c>
      <c r="O135" s="123">
        <f t="shared" si="37"/>
        <v>2.133</v>
      </c>
      <c r="P135" s="123">
        <f t="shared" si="37"/>
        <v>2.133</v>
      </c>
      <c r="Q135" s="123">
        <f t="shared" si="37"/>
        <v>2.133</v>
      </c>
      <c r="R135" s="123">
        <f t="shared" si="37"/>
        <v>2.133</v>
      </c>
      <c r="S135" s="123">
        <f t="shared" si="37"/>
        <v>2.133</v>
      </c>
      <c r="T135" s="123">
        <f t="shared" si="38"/>
        <v>2.133</v>
      </c>
      <c r="U135" s="123">
        <f t="shared" si="38"/>
        <v>2.133</v>
      </c>
      <c r="V135" s="123">
        <f t="shared" si="38"/>
        <v>2.133</v>
      </c>
      <c r="W135" s="123">
        <f t="shared" si="38"/>
        <v>2.133</v>
      </c>
      <c r="X135" s="123">
        <f t="shared" si="38"/>
        <v>2.133</v>
      </c>
      <c r="Y135" s="123">
        <f t="shared" si="38"/>
        <v>2.133</v>
      </c>
      <c r="Z135" s="123">
        <f t="shared" si="38"/>
        <v>2.133</v>
      </c>
      <c r="AA135" s="123">
        <f t="shared" si="38"/>
        <v>2.133</v>
      </c>
      <c r="AB135" s="123">
        <f t="shared" si="38"/>
        <v>2.133</v>
      </c>
      <c r="AC135" s="123">
        <f t="shared" si="38"/>
        <v>2.133</v>
      </c>
      <c r="AD135" s="123">
        <f t="shared" si="38"/>
        <v>2.133</v>
      </c>
      <c r="AE135" s="123">
        <f t="shared" si="38"/>
        <v>2.133</v>
      </c>
      <c r="AF135" s="123">
        <f t="shared" si="38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6"/>
        <v>2.09</v>
      </c>
      <c r="C136" s="124">
        <v>2.09</v>
      </c>
      <c r="D136" s="123">
        <f t="shared" si="37"/>
        <v>2.09</v>
      </c>
      <c r="E136" s="123">
        <f t="shared" si="37"/>
        <v>2.09</v>
      </c>
      <c r="F136" s="123">
        <f t="shared" si="37"/>
        <v>2.09</v>
      </c>
      <c r="G136" s="123">
        <f t="shared" si="37"/>
        <v>2.09</v>
      </c>
      <c r="H136" s="123">
        <f t="shared" si="37"/>
        <v>2.09</v>
      </c>
      <c r="I136" s="123">
        <f t="shared" si="37"/>
        <v>2.09</v>
      </c>
      <c r="J136" s="123">
        <f t="shared" si="37"/>
        <v>2.09</v>
      </c>
      <c r="K136" s="123">
        <f t="shared" si="37"/>
        <v>2.09</v>
      </c>
      <c r="L136" s="123">
        <f t="shared" si="37"/>
        <v>2.09</v>
      </c>
      <c r="M136" s="123">
        <f t="shared" si="37"/>
        <v>2.09</v>
      </c>
      <c r="N136" s="123">
        <f t="shared" si="37"/>
        <v>2.09</v>
      </c>
      <c r="O136" s="123">
        <f t="shared" si="37"/>
        <v>2.09</v>
      </c>
      <c r="P136" s="123">
        <f t="shared" si="37"/>
        <v>2.09</v>
      </c>
      <c r="Q136" s="123">
        <f t="shared" si="37"/>
        <v>2.09</v>
      </c>
      <c r="R136" s="123">
        <f t="shared" si="37"/>
        <v>2.09</v>
      </c>
      <c r="S136" s="123">
        <f t="shared" si="37"/>
        <v>2.09</v>
      </c>
      <c r="T136" s="123">
        <f t="shared" si="38"/>
        <v>2.09</v>
      </c>
      <c r="U136" s="123">
        <f t="shared" si="38"/>
        <v>2.09</v>
      </c>
      <c r="V136" s="123">
        <f t="shared" si="38"/>
        <v>2.09</v>
      </c>
      <c r="W136" s="123">
        <f t="shared" si="38"/>
        <v>2.09</v>
      </c>
      <c r="X136" s="123">
        <f t="shared" si="38"/>
        <v>2.09</v>
      </c>
      <c r="Y136" s="123">
        <f t="shared" si="38"/>
        <v>2.09</v>
      </c>
      <c r="Z136" s="123">
        <f t="shared" si="38"/>
        <v>2.09</v>
      </c>
      <c r="AA136" s="123">
        <f t="shared" si="38"/>
        <v>2.09</v>
      </c>
      <c r="AB136" s="123">
        <f t="shared" si="38"/>
        <v>2.09</v>
      </c>
      <c r="AC136" s="123">
        <f t="shared" si="38"/>
        <v>2.09</v>
      </c>
      <c r="AD136" s="123">
        <f t="shared" si="38"/>
        <v>2.09</v>
      </c>
      <c r="AE136" s="123">
        <f t="shared" si="38"/>
        <v>2.09</v>
      </c>
      <c r="AF136" s="123">
        <f t="shared" si="38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6"/>
        <v>1.1399999999999999</v>
      </c>
      <c r="C137" s="124">
        <v>1.1399999999999999</v>
      </c>
      <c r="D137" s="123">
        <f t="shared" si="37"/>
        <v>1.1399999999999999</v>
      </c>
      <c r="E137" s="123">
        <f t="shared" si="37"/>
        <v>1.1399999999999999</v>
      </c>
      <c r="F137" s="123">
        <f t="shared" si="37"/>
        <v>1.1399999999999999</v>
      </c>
      <c r="G137" s="123">
        <f t="shared" si="37"/>
        <v>1.1399999999999999</v>
      </c>
      <c r="H137" s="123">
        <f t="shared" si="37"/>
        <v>1.1399999999999999</v>
      </c>
      <c r="I137" s="123">
        <f t="shared" si="37"/>
        <v>1.1399999999999999</v>
      </c>
      <c r="J137" s="123">
        <f t="shared" si="37"/>
        <v>1.1399999999999999</v>
      </c>
      <c r="K137" s="123">
        <f t="shared" si="37"/>
        <v>1.1399999999999999</v>
      </c>
      <c r="L137" s="123">
        <f t="shared" si="37"/>
        <v>1.1399999999999999</v>
      </c>
      <c r="M137" s="123">
        <f t="shared" si="37"/>
        <v>1.1399999999999999</v>
      </c>
      <c r="N137" s="123">
        <f t="shared" si="37"/>
        <v>1.1399999999999999</v>
      </c>
      <c r="O137" s="123">
        <f t="shared" si="37"/>
        <v>1.1399999999999999</v>
      </c>
      <c r="P137" s="123">
        <f t="shared" si="37"/>
        <v>1.1399999999999999</v>
      </c>
      <c r="Q137" s="123">
        <f t="shared" si="37"/>
        <v>1.1399999999999999</v>
      </c>
      <c r="R137" s="123">
        <f t="shared" si="37"/>
        <v>1.1399999999999999</v>
      </c>
      <c r="S137" s="123">
        <f t="shared" si="37"/>
        <v>1.1399999999999999</v>
      </c>
      <c r="T137" s="123">
        <f t="shared" si="38"/>
        <v>1.1399999999999999</v>
      </c>
      <c r="U137" s="123">
        <f t="shared" si="38"/>
        <v>1.1399999999999999</v>
      </c>
      <c r="V137" s="123">
        <f t="shared" si="38"/>
        <v>1.1399999999999999</v>
      </c>
      <c r="W137" s="123">
        <f t="shared" si="38"/>
        <v>1.1399999999999999</v>
      </c>
      <c r="X137" s="123">
        <f t="shared" si="38"/>
        <v>1.1399999999999999</v>
      </c>
      <c r="Y137" s="123">
        <f t="shared" si="38"/>
        <v>1.1399999999999999</v>
      </c>
      <c r="Z137" s="123">
        <f t="shared" si="38"/>
        <v>1.1399999999999999</v>
      </c>
      <c r="AA137" s="123">
        <f t="shared" si="38"/>
        <v>1.1399999999999999</v>
      </c>
      <c r="AB137" s="123">
        <f t="shared" si="38"/>
        <v>1.1399999999999999</v>
      </c>
      <c r="AC137" s="123">
        <f t="shared" si="38"/>
        <v>1.1399999999999999</v>
      </c>
      <c r="AD137" s="123">
        <f t="shared" si="38"/>
        <v>1.1399999999999999</v>
      </c>
      <c r="AE137" s="123">
        <f t="shared" si="38"/>
        <v>1.1399999999999999</v>
      </c>
      <c r="AF137" s="123">
        <f t="shared" si="38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6"/>
        <v>0.82</v>
      </c>
      <c r="C138" s="124">
        <v>0.82</v>
      </c>
      <c r="D138" s="123">
        <f t="shared" si="37"/>
        <v>0.82</v>
      </c>
      <c r="E138" s="123">
        <f t="shared" si="37"/>
        <v>0.82</v>
      </c>
      <c r="F138" s="123">
        <f t="shared" si="37"/>
        <v>0.82</v>
      </c>
      <c r="G138" s="123">
        <f t="shared" si="37"/>
        <v>0.82</v>
      </c>
      <c r="H138" s="123">
        <f t="shared" si="37"/>
        <v>0.82</v>
      </c>
      <c r="I138" s="123">
        <f t="shared" si="37"/>
        <v>0.82</v>
      </c>
      <c r="J138" s="123">
        <f t="shared" si="37"/>
        <v>0.82</v>
      </c>
      <c r="K138" s="123">
        <f t="shared" si="37"/>
        <v>0.82</v>
      </c>
      <c r="L138" s="123">
        <f t="shared" si="37"/>
        <v>0.82</v>
      </c>
      <c r="M138" s="123">
        <f t="shared" si="37"/>
        <v>0.82</v>
      </c>
      <c r="N138" s="123">
        <f t="shared" si="37"/>
        <v>0.82</v>
      </c>
      <c r="O138" s="123">
        <f t="shared" si="37"/>
        <v>0.82</v>
      </c>
      <c r="P138" s="123">
        <f t="shared" si="37"/>
        <v>0.82</v>
      </c>
      <c r="Q138" s="123">
        <f t="shared" si="37"/>
        <v>0.82</v>
      </c>
      <c r="R138" s="123">
        <f t="shared" si="37"/>
        <v>0.82</v>
      </c>
      <c r="S138" s="123">
        <f t="shared" si="37"/>
        <v>0.82</v>
      </c>
      <c r="T138" s="123">
        <f t="shared" si="38"/>
        <v>0.82</v>
      </c>
      <c r="U138" s="123">
        <f t="shared" si="38"/>
        <v>0.82</v>
      </c>
      <c r="V138" s="123">
        <f t="shared" si="38"/>
        <v>0.82</v>
      </c>
      <c r="W138" s="123">
        <f t="shared" si="38"/>
        <v>0.82</v>
      </c>
      <c r="X138" s="123">
        <f t="shared" si="38"/>
        <v>0.82</v>
      </c>
      <c r="Y138" s="123">
        <f t="shared" si="38"/>
        <v>0.82</v>
      </c>
      <c r="Z138" s="123">
        <f t="shared" si="38"/>
        <v>0.82</v>
      </c>
      <c r="AA138" s="123">
        <f t="shared" si="38"/>
        <v>0.82</v>
      </c>
      <c r="AB138" s="123">
        <f t="shared" si="38"/>
        <v>0.82</v>
      </c>
      <c r="AC138" s="123">
        <f t="shared" si="38"/>
        <v>0.82</v>
      </c>
      <c r="AD138" s="123">
        <f t="shared" si="38"/>
        <v>0.82</v>
      </c>
      <c r="AE138" s="123">
        <f t="shared" si="38"/>
        <v>0.82</v>
      </c>
      <c r="AF138" s="123">
        <f t="shared" si="38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39">AF140</f>
        <v>2</v>
      </c>
      <c r="C140" s="124">
        <v>2</v>
      </c>
      <c r="D140" s="123">
        <f t="shared" ref="D140:S146" si="40">C140</f>
        <v>2</v>
      </c>
      <c r="E140" s="123">
        <f t="shared" si="40"/>
        <v>2</v>
      </c>
      <c r="F140" s="123">
        <f t="shared" si="40"/>
        <v>2</v>
      </c>
      <c r="G140" s="123">
        <f t="shared" si="40"/>
        <v>2</v>
      </c>
      <c r="H140" s="123">
        <f t="shared" si="40"/>
        <v>2</v>
      </c>
      <c r="I140" s="123">
        <f t="shared" si="40"/>
        <v>2</v>
      </c>
      <c r="J140" s="123">
        <f t="shared" si="40"/>
        <v>2</v>
      </c>
      <c r="K140" s="123">
        <f t="shared" si="40"/>
        <v>2</v>
      </c>
      <c r="L140" s="123">
        <f t="shared" si="40"/>
        <v>2</v>
      </c>
      <c r="M140" s="123">
        <f t="shared" si="40"/>
        <v>2</v>
      </c>
      <c r="N140" s="123">
        <f t="shared" si="40"/>
        <v>2</v>
      </c>
      <c r="O140" s="123">
        <f t="shared" si="40"/>
        <v>2</v>
      </c>
      <c r="P140" s="123">
        <f t="shared" si="40"/>
        <v>2</v>
      </c>
      <c r="Q140" s="123">
        <f t="shared" si="40"/>
        <v>2</v>
      </c>
      <c r="R140" s="123">
        <f t="shared" si="40"/>
        <v>2</v>
      </c>
      <c r="S140" s="123">
        <f t="shared" si="40"/>
        <v>2</v>
      </c>
      <c r="T140" s="123">
        <f t="shared" ref="T140:AF146" si="41">S140</f>
        <v>2</v>
      </c>
      <c r="U140" s="123">
        <f t="shared" si="41"/>
        <v>2</v>
      </c>
      <c r="V140" s="123">
        <f t="shared" si="41"/>
        <v>2</v>
      </c>
      <c r="W140" s="123">
        <f t="shared" si="41"/>
        <v>2</v>
      </c>
      <c r="X140" s="123">
        <f t="shared" si="41"/>
        <v>2</v>
      </c>
      <c r="Y140" s="123">
        <f t="shared" si="41"/>
        <v>2</v>
      </c>
      <c r="Z140" s="123">
        <f t="shared" si="41"/>
        <v>2</v>
      </c>
      <c r="AA140" s="123">
        <f t="shared" si="41"/>
        <v>2</v>
      </c>
      <c r="AB140" s="123">
        <f t="shared" si="41"/>
        <v>2</v>
      </c>
      <c r="AC140" s="123">
        <f t="shared" si="41"/>
        <v>2</v>
      </c>
      <c r="AD140" s="123">
        <f t="shared" si="41"/>
        <v>2</v>
      </c>
      <c r="AE140" s="123">
        <f t="shared" si="41"/>
        <v>2</v>
      </c>
      <c r="AF140" s="123">
        <f t="shared" si="41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39"/>
        <v>5.61</v>
      </c>
      <c r="C141" s="124">
        <v>5.61</v>
      </c>
      <c r="D141" s="123">
        <f t="shared" si="40"/>
        <v>5.61</v>
      </c>
      <c r="E141" s="123">
        <f t="shared" si="40"/>
        <v>5.61</v>
      </c>
      <c r="F141" s="123">
        <f t="shared" si="40"/>
        <v>5.61</v>
      </c>
      <c r="G141" s="123">
        <f t="shared" si="40"/>
        <v>5.61</v>
      </c>
      <c r="H141" s="123">
        <f t="shared" si="40"/>
        <v>5.61</v>
      </c>
      <c r="I141" s="123">
        <f t="shared" si="40"/>
        <v>5.61</v>
      </c>
      <c r="J141" s="123">
        <f t="shared" si="40"/>
        <v>5.61</v>
      </c>
      <c r="K141" s="123">
        <f t="shared" si="40"/>
        <v>5.61</v>
      </c>
      <c r="L141" s="123">
        <f t="shared" si="40"/>
        <v>5.61</v>
      </c>
      <c r="M141" s="123">
        <f t="shared" si="40"/>
        <v>5.61</v>
      </c>
      <c r="N141" s="123">
        <f t="shared" si="40"/>
        <v>5.61</v>
      </c>
      <c r="O141" s="123">
        <f t="shared" si="40"/>
        <v>5.61</v>
      </c>
      <c r="P141" s="123">
        <f t="shared" si="40"/>
        <v>5.61</v>
      </c>
      <c r="Q141" s="123">
        <f t="shared" si="40"/>
        <v>5.61</v>
      </c>
      <c r="R141" s="123">
        <f t="shared" si="40"/>
        <v>5.61</v>
      </c>
      <c r="S141" s="123">
        <f t="shared" si="40"/>
        <v>5.61</v>
      </c>
      <c r="T141" s="123">
        <f t="shared" si="41"/>
        <v>5.61</v>
      </c>
      <c r="U141" s="123">
        <f t="shared" si="41"/>
        <v>5.61</v>
      </c>
      <c r="V141" s="123">
        <f t="shared" si="41"/>
        <v>5.61</v>
      </c>
      <c r="W141" s="123">
        <f t="shared" si="41"/>
        <v>5.61</v>
      </c>
      <c r="X141" s="123">
        <f t="shared" si="41"/>
        <v>5.61</v>
      </c>
      <c r="Y141" s="123">
        <f t="shared" si="41"/>
        <v>5.61</v>
      </c>
      <c r="Z141" s="123">
        <f t="shared" si="41"/>
        <v>5.61</v>
      </c>
      <c r="AA141" s="123">
        <f t="shared" si="41"/>
        <v>5.61</v>
      </c>
      <c r="AB141" s="123">
        <f t="shared" si="41"/>
        <v>5.61</v>
      </c>
      <c r="AC141" s="123">
        <f t="shared" si="41"/>
        <v>5.61</v>
      </c>
      <c r="AD141" s="123">
        <f t="shared" si="41"/>
        <v>5.61</v>
      </c>
      <c r="AE141" s="123">
        <f t="shared" si="41"/>
        <v>5.61</v>
      </c>
      <c r="AF141" s="123">
        <f t="shared" si="41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39"/>
        <v>1.25</v>
      </c>
      <c r="C142" s="124">
        <v>1.25</v>
      </c>
      <c r="D142" s="123">
        <f t="shared" si="40"/>
        <v>1.25</v>
      </c>
      <c r="E142" s="123">
        <f t="shared" si="40"/>
        <v>1.25</v>
      </c>
      <c r="F142" s="123">
        <f t="shared" si="40"/>
        <v>1.25</v>
      </c>
      <c r="G142" s="123">
        <f t="shared" si="40"/>
        <v>1.25</v>
      </c>
      <c r="H142" s="123">
        <f t="shared" si="40"/>
        <v>1.25</v>
      </c>
      <c r="I142" s="123">
        <f t="shared" si="40"/>
        <v>1.25</v>
      </c>
      <c r="J142" s="123">
        <f t="shared" si="40"/>
        <v>1.25</v>
      </c>
      <c r="K142" s="123">
        <f t="shared" si="40"/>
        <v>1.25</v>
      </c>
      <c r="L142" s="123">
        <f t="shared" si="40"/>
        <v>1.25</v>
      </c>
      <c r="M142" s="123">
        <f t="shared" si="40"/>
        <v>1.25</v>
      </c>
      <c r="N142" s="123">
        <f t="shared" si="40"/>
        <v>1.25</v>
      </c>
      <c r="O142" s="123">
        <f t="shared" si="40"/>
        <v>1.25</v>
      </c>
      <c r="P142" s="123">
        <f t="shared" si="40"/>
        <v>1.25</v>
      </c>
      <c r="Q142" s="123">
        <f t="shared" si="40"/>
        <v>1.25</v>
      </c>
      <c r="R142" s="123">
        <f t="shared" si="40"/>
        <v>1.25</v>
      </c>
      <c r="S142" s="123">
        <f t="shared" si="40"/>
        <v>1.25</v>
      </c>
      <c r="T142" s="123">
        <f t="shared" si="41"/>
        <v>1.25</v>
      </c>
      <c r="U142" s="123">
        <f t="shared" si="41"/>
        <v>1.25</v>
      </c>
      <c r="V142" s="123">
        <f t="shared" si="41"/>
        <v>1.25</v>
      </c>
      <c r="W142" s="123">
        <f t="shared" si="41"/>
        <v>1.25</v>
      </c>
      <c r="X142" s="123">
        <f t="shared" si="41"/>
        <v>1.25</v>
      </c>
      <c r="Y142" s="123">
        <f t="shared" si="41"/>
        <v>1.25</v>
      </c>
      <c r="Z142" s="123">
        <f t="shared" si="41"/>
        <v>1.25</v>
      </c>
      <c r="AA142" s="123">
        <f t="shared" si="41"/>
        <v>1.25</v>
      </c>
      <c r="AB142" s="123">
        <f t="shared" si="41"/>
        <v>1.25</v>
      </c>
      <c r="AC142" s="123">
        <f t="shared" si="41"/>
        <v>1.25</v>
      </c>
      <c r="AD142" s="123">
        <f t="shared" si="41"/>
        <v>1.25</v>
      </c>
      <c r="AE142" s="123">
        <f t="shared" si="41"/>
        <v>1.25</v>
      </c>
      <c r="AF142" s="123">
        <f t="shared" si="41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39"/>
        <v>1.46</v>
      </c>
      <c r="C144" s="124">
        <v>1.46</v>
      </c>
      <c r="D144" s="123">
        <f t="shared" si="40"/>
        <v>1.46</v>
      </c>
      <c r="E144" s="123">
        <f t="shared" si="40"/>
        <v>1.46</v>
      </c>
      <c r="F144" s="123">
        <f t="shared" si="40"/>
        <v>1.46</v>
      </c>
      <c r="G144" s="123">
        <f t="shared" si="40"/>
        <v>1.46</v>
      </c>
      <c r="H144" s="123">
        <f t="shared" si="40"/>
        <v>1.46</v>
      </c>
      <c r="I144" s="123">
        <f t="shared" si="40"/>
        <v>1.46</v>
      </c>
      <c r="J144" s="123">
        <f t="shared" si="40"/>
        <v>1.46</v>
      </c>
      <c r="K144" s="123">
        <f t="shared" si="40"/>
        <v>1.46</v>
      </c>
      <c r="L144" s="123">
        <f t="shared" si="40"/>
        <v>1.46</v>
      </c>
      <c r="M144" s="123">
        <f t="shared" si="40"/>
        <v>1.46</v>
      </c>
      <c r="N144" s="123">
        <f t="shared" si="40"/>
        <v>1.46</v>
      </c>
      <c r="O144" s="123">
        <f t="shared" si="40"/>
        <v>1.46</v>
      </c>
      <c r="P144" s="123">
        <f t="shared" si="40"/>
        <v>1.46</v>
      </c>
      <c r="Q144" s="123">
        <f t="shared" si="40"/>
        <v>1.46</v>
      </c>
      <c r="R144" s="123">
        <f t="shared" si="40"/>
        <v>1.46</v>
      </c>
      <c r="S144" s="123">
        <f t="shared" si="40"/>
        <v>1.46</v>
      </c>
      <c r="T144" s="123">
        <f t="shared" si="41"/>
        <v>1.46</v>
      </c>
      <c r="U144" s="123">
        <f t="shared" si="41"/>
        <v>1.46</v>
      </c>
      <c r="V144" s="123">
        <f t="shared" si="41"/>
        <v>1.46</v>
      </c>
      <c r="W144" s="123">
        <f t="shared" si="41"/>
        <v>1.46</v>
      </c>
      <c r="X144" s="123">
        <f t="shared" si="41"/>
        <v>1.46</v>
      </c>
      <c r="Y144" s="123">
        <f t="shared" si="41"/>
        <v>1.46</v>
      </c>
      <c r="Z144" s="123">
        <f t="shared" si="41"/>
        <v>1.46</v>
      </c>
      <c r="AA144" s="123">
        <f t="shared" si="41"/>
        <v>1.46</v>
      </c>
      <c r="AB144" s="123">
        <f t="shared" si="41"/>
        <v>1.46</v>
      </c>
      <c r="AC144" s="123">
        <f t="shared" si="41"/>
        <v>1.46</v>
      </c>
      <c r="AD144" s="123">
        <f t="shared" si="41"/>
        <v>1.46</v>
      </c>
      <c r="AE144" s="123">
        <f t="shared" si="41"/>
        <v>1.46</v>
      </c>
      <c r="AF144" s="123">
        <f t="shared" si="41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39"/>
        <v>3</v>
      </c>
      <c r="C145" s="124">
        <v>3</v>
      </c>
      <c r="D145" s="123">
        <f t="shared" si="40"/>
        <v>3</v>
      </c>
      <c r="E145" s="123">
        <f t="shared" si="40"/>
        <v>3</v>
      </c>
      <c r="F145" s="123">
        <f t="shared" si="40"/>
        <v>3</v>
      </c>
      <c r="G145" s="123">
        <f t="shared" si="40"/>
        <v>3</v>
      </c>
      <c r="H145" s="123">
        <f t="shared" si="40"/>
        <v>3</v>
      </c>
      <c r="I145" s="123">
        <f t="shared" si="40"/>
        <v>3</v>
      </c>
      <c r="J145" s="123">
        <f t="shared" si="40"/>
        <v>3</v>
      </c>
      <c r="K145" s="123">
        <f t="shared" si="40"/>
        <v>3</v>
      </c>
      <c r="L145" s="123">
        <f t="shared" si="40"/>
        <v>3</v>
      </c>
      <c r="M145" s="123">
        <f t="shared" si="40"/>
        <v>3</v>
      </c>
      <c r="N145" s="123">
        <f t="shared" si="40"/>
        <v>3</v>
      </c>
      <c r="O145" s="123">
        <f t="shared" si="40"/>
        <v>3</v>
      </c>
      <c r="P145" s="123">
        <f t="shared" si="40"/>
        <v>3</v>
      </c>
      <c r="Q145" s="123">
        <f t="shared" si="40"/>
        <v>3</v>
      </c>
      <c r="R145" s="123">
        <f t="shared" si="40"/>
        <v>3</v>
      </c>
      <c r="S145" s="123">
        <f t="shared" si="40"/>
        <v>3</v>
      </c>
      <c r="T145" s="123">
        <f t="shared" si="41"/>
        <v>3</v>
      </c>
      <c r="U145" s="123">
        <f t="shared" si="41"/>
        <v>3</v>
      </c>
      <c r="V145" s="123">
        <f t="shared" si="41"/>
        <v>3</v>
      </c>
      <c r="W145" s="123">
        <f t="shared" si="41"/>
        <v>3</v>
      </c>
      <c r="X145" s="123">
        <f t="shared" si="41"/>
        <v>3</v>
      </c>
      <c r="Y145" s="123">
        <f t="shared" si="41"/>
        <v>3</v>
      </c>
      <c r="Z145" s="123">
        <f t="shared" si="41"/>
        <v>3</v>
      </c>
      <c r="AA145" s="123">
        <f t="shared" si="41"/>
        <v>3</v>
      </c>
      <c r="AB145" s="123">
        <f t="shared" si="41"/>
        <v>3</v>
      </c>
      <c r="AC145" s="123">
        <f t="shared" si="41"/>
        <v>3</v>
      </c>
      <c r="AD145" s="123">
        <f t="shared" si="41"/>
        <v>3</v>
      </c>
      <c r="AE145" s="123">
        <f t="shared" si="41"/>
        <v>3</v>
      </c>
      <c r="AF145" s="123">
        <f t="shared" si="41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39"/>
        <v>3.3</v>
      </c>
      <c r="C146" s="124">
        <v>3.3</v>
      </c>
      <c r="D146" s="123">
        <f t="shared" si="40"/>
        <v>3.3</v>
      </c>
      <c r="E146" s="123">
        <f t="shared" si="40"/>
        <v>3.3</v>
      </c>
      <c r="F146" s="123">
        <f t="shared" si="40"/>
        <v>3.3</v>
      </c>
      <c r="G146" s="123">
        <f t="shared" si="40"/>
        <v>3.3</v>
      </c>
      <c r="H146" s="123">
        <f t="shared" si="40"/>
        <v>3.3</v>
      </c>
      <c r="I146" s="123">
        <f t="shared" si="40"/>
        <v>3.3</v>
      </c>
      <c r="J146" s="123">
        <f t="shared" si="40"/>
        <v>3.3</v>
      </c>
      <c r="K146" s="123">
        <f t="shared" si="40"/>
        <v>3.3</v>
      </c>
      <c r="L146" s="123">
        <f t="shared" si="40"/>
        <v>3.3</v>
      </c>
      <c r="M146" s="123">
        <f t="shared" si="40"/>
        <v>3.3</v>
      </c>
      <c r="N146" s="123">
        <f t="shared" si="40"/>
        <v>3.3</v>
      </c>
      <c r="O146" s="123">
        <f t="shared" si="40"/>
        <v>3.3</v>
      </c>
      <c r="P146" s="123">
        <f t="shared" si="40"/>
        <v>3.3</v>
      </c>
      <c r="Q146" s="123">
        <f t="shared" si="40"/>
        <v>3.3</v>
      </c>
      <c r="R146" s="123">
        <f t="shared" si="40"/>
        <v>3.3</v>
      </c>
      <c r="S146" s="123">
        <f t="shared" si="40"/>
        <v>3.3</v>
      </c>
      <c r="T146" s="123">
        <f t="shared" si="41"/>
        <v>3.3</v>
      </c>
      <c r="U146" s="123">
        <f t="shared" si="41"/>
        <v>3.3</v>
      </c>
      <c r="V146" s="123">
        <f t="shared" si="41"/>
        <v>3.3</v>
      </c>
      <c r="W146" s="123">
        <f t="shared" si="41"/>
        <v>3.3</v>
      </c>
      <c r="X146" s="123">
        <f t="shared" si="41"/>
        <v>3.3</v>
      </c>
      <c r="Y146" s="123">
        <f t="shared" si="41"/>
        <v>3.3</v>
      </c>
      <c r="Z146" s="123">
        <f t="shared" si="41"/>
        <v>3.3</v>
      </c>
      <c r="AA146" s="123">
        <f t="shared" si="41"/>
        <v>3.3</v>
      </c>
      <c r="AB146" s="123">
        <f t="shared" si="41"/>
        <v>3.3</v>
      </c>
      <c r="AC146" s="123">
        <f t="shared" si="41"/>
        <v>3.3</v>
      </c>
      <c r="AD146" s="123">
        <f t="shared" si="41"/>
        <v>3.3</v>
      </c>
      <c r="AE146" s="123">
        <f t="shared" si="41"/>
        <v>3.3</v>
      </c>
      <c r="AF146" s="123">
        <f t="shared" si="41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2">C148</f>
        <v>1.76</v>
      </c>
      <c r="E148" s="123">
        <f t="shared" si="42"/>
        <v>1.76</v>
      </c>
      <c r="F148" s="123">
        <f t="shared" si="42"/>
        <v>1.76</v>
      </c>
      <c r="G148" s="123">
        <f t="shared" si="42"/>
        <v>1.76</v>
      </c>
      <c r="H148" s="123">
        <f t="shared" si="42"/>
        <v>1.76</v>
      </c>
      <c r="I148" s="123">
        <f t="shared" si="42"/>
        <v>1.76</v>
      </c>
      <c r="J148" s="123">
        <f t="shared" si="42"/>
        <v>1.76</v>
      </c>
      <c r="K148" s="123">
        <f t="shared" si="42"/>
        <v>1.76</v>
      </c>
      <c r="L148" s="123">
        <f t="shared" si="42"/>
        <v>1.76</v>
      </c>
      <c r="M148" s="123">
        <f t="shared" si="42"/>
        <v>1.76</v>
      </c>
      <c r="N148" s="123">
        <f t="shared" si="42"/>
        <v>1.76</v>
      </c>
      <c r="O148" s="123">
        <f t="shared" si="42"/>
        <v>1.76</v>
      </c>
      <c r="P148" s="123">
        <f t="shared" si="42"/>
        <v>1.76</v>
      </c>
      <c r="Q148" s="123">
        <f t="shared" si="42"/>
        <v>1.76</v>
      </c>
      <c r="R148" s="123">
        <f t="shared" si="42"/>
        <v>1.76</v>
      </c>
      <c r="S148" s="123">
        <f t="shared" si="42"/>
        <v>1.76</v>
      </c>
      <c r="T148" s="123">
        <f t="shared" ref="T148:AF149" si="43">S148</f>
        <v>1.76</v>
      </c>
      <c r="U148" s="123">
        <f t="shared" si="43"/>
        <v>1.76</v>
      </c>
      <c r="V148" s="123">
        <f t="shared" si="43"/>
        <v>1.76</v>
      </c>
      <c r="W148" s="123">
        <f t="shared" si="43"/>
        <v>1.76</v>
      </c>
      <c r="X148" s="123">
        <f t="shared" si="43"/>
        <v>1.76</v>
      </c>
      <c r="Y148" s="123">
        <f t="shared" si="43"/>
        <v>1.76</v>
      </c>
      <c r="Z148" s="123">
        <f t="shared" si="43"/>
        <v>1.76</v>
      </c>
      <c r="AA148" s="123">
        <f t="shared" si="43"/>
        <v>1.76</v>
      </c>
      <c r="AB148" s="123">
        <f t="shared" si="43"/>
        <v>1.76</v>
      </c>
      <c r="AC148" s="123">
        <f t="shared" si="43"/>
        <v>1.76</v>
      </c>
      <c r="AD148" s="123">
        <f t="shared" si="43"/>
        <v>1.76</v>
      </c>
      <c r="AE148" s="123">
        <f t="shared" si="43"/>
        <v>1.76</v>
      </c>
      <c r="AF148" s="123">
        <f t="shared" si="43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2"/>
        <v>0</v>
      </c>
      <c r="E149" s="123">
        <f t="shared" si="42"/>
        <v>0</v>
      </c>
      <c r="F149" s="123">
        <f t="shared" si="42"/>
        <v>0</v>
      </c>
      <c r="G149" s="123">
        <f t="shared" si="42"/>
        <v>0</v>
      </c>
      <c r="H149" s="123">
        <f t="shared" si="42"/>
        <v>0</v>
      </c>
      <c r="I149" s="123">
        <f t="shared" si="42"/>
        <v>0</v>
      </c>
      <c r="J149" s="123">
        <f t="shared" si="42"/>
        <v>0</v>
      </c>
      <c r="K149" s="123">
        <f t="shared" si="42"/>
        <v>0</v>
      </c>
      <c r="L149" s="123">
        <f t="shared" si="42"/>
        <v>0</v>
      </c>
      <c r="M149" s="123">
        <f t="shared" si="42"/>
        <v>0</v>
      </c>
      <c r="N149" s="123">
        <f t="shared" si="42"/>
        <v>0</v>
      </c>
      <c r="O149" s="123">
        <f t="shared" si="42"/>
        <v>0</v>
      </c>
      <c r="P149" s="123">
        <f t="shared" si="42"/>
        <v>0</v>
      </c>
      <c r="Q149" s="123">
        <f t="shared" si="42"/>
        <v>0</v>
      </c>
      <c r="R149" s="123">
        <f t="shared" si="42"/>
        <v>0</v>
      </c>
      <c r="S149" s="123">
        <f t="shared" si="42"/>
        <v>0</v>
      </c>
      <c r="T149" s="123">
        <f t="shared" si="43"/>
        <v>0</v>
      </c>
      <c r="U149" s="123">
        <f t="shared" si="43"/>
        <v>0</v>
      </c>
      <c r="V149" s="123">
        <f t="shared" si="43"/>
        <v>0</v>
      </c>
      <c r="W149" s="123">
        <f t="shared" si="43"/>
        <v>0</v>
      </c>
      <c r="X149" s="123">
        <f t="shared" si="43"/>
        <v>0</v>
      </c>
      <c r="Y149" s="123">
        <f t="shared" si="43"/>
        <v>0</v>
      </c>
      <c r="Z149" s="123">
        <f t="shared" si="43"/>
        <v>0</v>
      </c>
      <c r="AA149" s="123">
        <f t="shared" si="43"/>
        <v>0</v>
      </c>
      <c r="AB149" s="123">
        <f t="shared" si="43"/>
        <v>0</v>
      </c>
      <c r="AC149" s="123">
        <f t="shared" si="43"/>
        <v>0</v>
      </c>
      <c r="AD149" s="123">
        <f t="shared" si="43"/>
        <v>0</v>
      </c>
      <c r="AE149" s="123">
        <f t="shared" si="43"/>
        <v>0</v>
      </c>
      <c r="AF149" s="123">
        <f t="shared" si="43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4">C151</f>
        <v>0.1</v>
      </c>
      <c r="E151" s="123">
        <f t="shared" si="44"/>
        <v>0.1</v>
      </c>
      <c r="F151" s="123">
        <f t="shared" si="44"/>
        <v>0.1</v>
      </c>
      <c r="G151" s="123">
        <f t="shared" si="44"/>
        <v>0.1</v>
      </c>
      <c r="H151" s="123">
        <f t="shared" si="44"/>
        <v>0.1</v>
      </c>
      <c r="I151" s="123">
        <f t="shared" si="44"/>
        <v>0.1</v>
      </c>
      <c r="J151" s="123">
        <f t="shared" si="44"/>
        <v>0.1</v>
      </c>
      <c r="K151" s="123">
        <f t="shared" si="44"/>
        <v>0.1</v>
      </c>
      <c r="L151" s="123">
        <f t="shared" si="44"/>
        <v>0.1</v>
      </c>
      <c r="M151" s="123">
        <f t="shared" si="44"/>
        <v>0.1</v>
      </c>
      <c r="N151" s="123">
        <f t="shared" si="44"/>
        <v>0.1</v>
      </c>
      <c r="O151" s="123">
        <f t="shared" si="44"/>
        <v>0.1</v>
      </c>
      <c r="P151" s="123">
        <f t="shared" si="44"/>
        <v>0.1</v>
      </c>
      <c r="Q151" s="123">
        <f t="shared" si="44"/>
        <v>0.1</v>
      </c>
      <c r="R151" s="123">
        <f t="shared" si="44"/>
        <v>0.1</v>
      </c>
      <c r="S151" s="123">
        <f t="shared" si="44"/>
        <v>0.1</v>
      </c>
      <c r="T151" s="123">
        <f t="shared" ref="T151:AF154" si="45">S151</f>
        <v>0.1</v>
      </c>
      <c r="U151" s="123">
        <f t="shared" si="45"/>
        <v>0.1</v>
      </c>
      <c r="V151" s="123">
        <f t="shared" si="45"/>
        <v>0.1</v>
      </c>
      <c r="W151" s="123">
        <f t="shared" si="45"/>
        <v>0.1</v>
      </c>
      <c r="X151" s="123">
        <f t="shared" si="45"/>
        <v>0.1</v>
      </c>
      <c r="Y151" s="123">
        <f t="shared" si="45"/>
        <v>0.1</v>
      </c>
      <c r="Z151" s="123">
        <f t="shared" si="45"/>
        <v>0.1</v>
      </c>
      <c r="AA151" s="123">
        <f t="shared" si="45"/>
        <v>0.1</v>
      </c>
      <c r="AB151" s="123">
        <f t="shared" si="45"/>
        <v>0.1</v>
      </c>
      <c r="AC151" s="123">
        <f t="shared" si="45"/>
        <v>0.1</v>
      </c>
      <c r="AD151" s="123">
        <f t="shared" si="45"/>
        <v>0.1</v>
      </c>
      <c r="AE151" s="123">
        <f t="shared" si="45"/>
        <v>0.1</v>
      </c>
      <c r="AF151" s="123">
        <f t="shared" si="45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4"/>
        <v>2.0499999999999998</v>
      </c>
      <c r="E152" s="123">
        <f t="shared" si="44"/>
        <v>2.0499999999999998</v>
      </c>
      <c r="F152" s="123">
        <f t="shared" si="44"/>
        <v>2.0499999999999998</v>
      </c>
      <c r="G152" s="123">
        <f t="shared" si="44"/>
        <v>2.0499999999999998</v>
      </c>
      <c r="H152" s="123">
        <f t="shared" si="44"/>
        <v>2.0499999999999998</v>
      </c>
      <c r="I152" s="123">
        <f t="shared" si="44"/>
        <v>2.0499999999999998</v>
      </c>
      <c r="J152" s="123">
        <f t="shared" si="44"/>
        <v>2.0499999999999998</v>
      </c>
      <c r="K152" s="123">
        <f t="shared" si="44"/>
        <v>2.0499999999999998</v>
      </c>
      <c r="L152" s="123">
        <f t="shared" si="44"/>
        <v>2.0499999999999998</v>
      </c>
      <c r="M152" s="123">
        <f t="shared" si="44"/>
        <v>2.0499999999999998</v>
      </c>
      <c r="N152" s="123">
        <f t="shared" si="44"/>
        <v>2.0499999999999998</v>
      </c>
      <c r="O152" s="123">
        <f t="shared" si="44"/>
        <v>2.0499999999999998</v>
      </c>
      <c r="P152" s="123">
        <f t="shared" si="44"/>
        <v>2.0499999999999998</v>
      </c>
      <c r="Q152" s="123">
        <f t="shared" si="44"/>
        <v>2.0499999999999998</v>
      </c>
      <c r="R152" s="123">
        <f t="shared" si="44"/>
        <v>2.0499999999999998</v>
      </c>
      <c r="S152" s="123">
        <f t="shared" si="44"/>
        <v>2.0499999999999998</v>
      </c>
      <c r="T152" s="123">
        <f t="shared" si="45"/>
        <v>2.0499999999999998</v>
      </c>
      <c r="U152" s="123">
        <f t="shared" si="45"/>
        <v>2.0499999999999998</v>
      </c>
      <c r="V152" s="123">
        <f t="shared" si="45"/>
        <v>2.0499999999999998</v>
      </c>
      <c r="W152" s="123">
        <f t="shared" si="45"/>
        <v>2.0499999999999998</v>
      </c>
      <c r="X152" s="123">
        <f t="shared" si="45"/>
        <v>2.0499999999999998</v>
      </c>
      <c r="Y152" s="123">
        <f t="shared" si="45"/>
        <v>2.0499999999999998</v>
      </c>
      <c r="Z152" s="123">
        <f t="shared" si="45"/>
        <v>2.0499999999999998</v>
      </c>
      <c r="AA152" s="123">
        <f t="shared" si="45"/>
        <v>2.0499999999999998</v>
      </c>
      <c r="AB152" s="123">
        <f t="shared" si="45"/>
        <v>2.0499999999999998</v>
      </c>
      <c r="AC152" s="123">
        <f t="shared" si="45"/>
        <v>2.0499999999999998</v>
      </c>
      <c r="AD152" s="123">
        <f t="shared" si="45"/>
        <v>2.0499999999999998</v>
      </c>
      <c r="AE152" s="123">
        <f t="shared" si="45"/>
        <v>2.0499999999999998</v>
      </c>
      <c r="AF152" s="123">
        <f t="shared" si="45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4"/>
        <v>2.7</v>
      </c>
      <c r="E153" s="123">
        <f t="shared" si="44"/>
        <v>2.7</v>
      </c>
      <c r="F153" s="123">
        <f t="shared" si="44"/>
        <v>2.7</v>
      </c>
      <c r="G153" s="123">
        <f t="shared" si="44"/>
        <v>2.7</v>
      </c>
      <c r="H153" s="123">
        <f t="shared" si="44"/>
        <v>2.7</v>
      </c>
      <c r="I153" s="123">
        <f t="shared" si="44"/>
        <v>2.7</v>
      </c>
      <c r="J153" s="123">
        <f t="shared" si="44"/>
        <v>2.7</v>
      </c>
      <c r="K153" s="123">
        <f t="shared" si="44"/>
        <v>2.7</v>
      </c>
      <c r="L153" s="123">
        <f t="shared" si="44"/>
        <v>2.7</v>
      </c>
      <c r="M153" s="123">
        <f t="shared" si="44"/>
        <v>2.7</v>
      </c>
      <c r="N153" s="123">
        <f t="shared" si="44"/>
        <v>2.7</v>
      </c>
      <c r="O153" s="123">
        <f t="shared" si="44"/>
        <v>2.7</v>
      </c>
      <c r="P153" s="123">
        <f t="shared" si="44"/>
        <v>2.7</v>
      </c>
      <c r="Q153" s="123">
        <f t="shared" si="44"/>
        <v>2.7</v>
      </c>
      <c r="R153" s="123">
        <f t="shared" si="44"/>
        <v>2.7</v>
      </c>
      <c r="S153" s="123">
        <f t="shared" si="44"/>
        <v>2.7</v>
      </c>
      <c r="T153" s="123">
        <f t="shared" si="45"/>
        <v>2.7</v>
      </c>
      <c r="U153" s="123">
        <f t="shared" si="45"/>
        <v>2.7</v>
      </c>
      <c r="V153" s="123">
        <f t="shared" si="45"/>
        <v>2.7</v>
      </c>
      <c r="W153" s="123">
        <f t="shared" si="45"/>
        <v>2.7</v>
      </c>
      <c r="X153" s="123">
        <f t="shared" si="45"/>
        <v>2.7</v>
      </c>
      <c r="Y153" s="123">
        <f t="shared" si="45"/>
        <v>2.7</v>
      </c>
      <c r="Z153" s="123">
        <f t="shared" si="45"/>
        <v>2.7</v>
      </c>
      <c r="AA153" s="123">
        <f t="shared" si="45"/>
        <v>2.7</v>
      </c>
      <c r="AB153" s="123">
        <f t="shared" si="45"/>
        <v>2.7</v>
      </c>
      <c r="AC153" s="123">
        <f t="shared" si="45"/>
        <v>2.7</v>
      </c>
      <c r="AD153" s="123">
        <f t="shared" si="45"/>
        <v>2.7</v>
      </c>
      <c r="AE153" s="123">
        <f t="shared" si="45"/>
        <v>2.7</v>
      </c>
      <c r="AF153" s="123">
        <f t="shared" si="45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4"/>
        <v>2.15</v>
      </c>
      <c r="E154" s="123">
        <f t="shared" si="44"/>
        <v>2.15</v>
      </c>
      <c r="F154" s="123">
        <f t="shared" si="44"/>
        <v>2.15</v>
      </c>
      <c r="G154" s="123">
        <f t="shared" si="44"/>
        <v>2.15</v>
      </c>
      <c r="H154" s="123">
        <f t="shared" si="44"/>
        <v>2.15</v>
      </c>
      <c r="I154" s="123">
        <f t="shared" si="44"/>
        <v>2.15</v>
      </c>
      <c r="J154" s="123">
        <f t="shared" si="44"/>
        <v>2.15</v>
      </c>
      <c r="K154" s="123">
        <f t="shared" si="44"/>
        <v>2.15</v>
      </c>
      <c r="L154" s="123">
        <f t="shared" si="44"/>
        <v>2.15</v>
      </c>
      <c r="M154" s="123">
        <f t="shared" si="44"/>
        <v>2.15</v>
      </c>
      <c r="N154" s="123">
        <f t="shared" si="44"/>
        <v>2.15</v>
      </c>
      <c r="O154" s="123">
        <f t="shared" si="44"/>
        <v>2.15</v>
      </c>
      <c r="P154" s="123">
        <f t="shared" si="44"/>
        <v>2.15</v>
      </c>
      <c r="Q154" s="123">
        <f t="shared" si="44"/>
        <v>2.15</v>
      </c>
      <c r="R154" s="123">
        <f t="shared" si="44"/>
        <v>2.15</v>
      </c>
      <c r="S154" s="123">
        <f t="shared" si="44"/>
        <v>2.15</v>
      </c>
      <c r="T154" s="123">
        <f t="shared" si="45"/>
        <v>2.15</v>
      </c>
      <c r="U154" s="123">
        <f t="shared" si="45"/>
        <v>2.15</v>
      </c>
      <c r="V154" s="123">
        <f t="shared" si="45"/>
        <v>2.15</v>
      </c>
      <c r="W154" s="123">
        <f t="shared" si="45"/>
        <v>2.15</v>
      </c>
      <c r="X154" s="123">
        <f t="shared" si="45"/>
        <v>2.15</v>
      </c>
      <c r="Y154" s="123">
        <f t="shared" si="45"/>
        <v>2.15</v>
      </c>
      <c r="Z154" s="123">
        <f t="shared" si="45"/>
        <v>2.15</v>
      </c>
      <c r="AA154" s="123">
        <f t="shared" si="45"/>
        <v>2.15</v>
      </c>
      <c r="AB154" s="123">
        <f t="shared" si="45"/>
        <v>2.15</v>
      </c>
      <c r="AC154" s="123">
        <f t="shared" si="45"/>
        <v>2.15</v>
      </c>
      <c r="AD154" s="123">
        <f t="shared" si="45"/>
        <v>2.15</v>
      </c>
      <c r="AE154" s="123">
        <f t="shared" si="45"/>
        <v>2.15</v>
      </c>
      <c r="AF154" s="123">
        <f t="shared" si="45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6">AF156</f>
        <v>0.9</v>
      </c>
      <c r="C156" s="124">
        <v>0.9</v>
      </c>
      <c r="D156" s="123">
        <f t="shared" ref="D156:S168" si="47">C156</f>
        <v>0.9</v>
      </c>
      <c r="E156" s="123">
        <f t="shared" si="47"/>
        <v>0.9</v>
      </c>
      <c r="F156" s="123">
        <f t="shared" si="47"/>
        <v>0.9</v>
      </c>
      <c r="G156" s="123">
        <f t="shared" si="47"/>
        <v>0.9</v>
      </c>
      <c r="H156" s="123">
        <f t="shared" si="47"/>
        <v>0.9</v>
      </c>
      <c r="I156" s="123">
        <f t="shared" si="47"/>
        <v>0.9</v>
      </c>
      <c r="J156" s="123">
        <f t="shared" si="47"/>
        <v>0.9</v>
      </c>
      <c r="K156" s="123">
        <f t="shared" si="47"/>
        <v>0.9</v>
      </c>
      <c r="L156" s="123">
        <f t="shared" si="47"/>
        <v>0.9</v>
      </c>
      <c r="M156" s="123">
        <f t="shared" si="47"/>
        <v>0.9</v>
      </c>
      <c r="N156" s="123">
        <f t="shared" si="47"/>
        <v>0.9</v>
      </c>
      <c r="O156" s="123">
        <f t="shared" si="47"/>
        <v>0.9</v>
      </c>
      <c r="P156" s="123">
        <f t="shared" si="47"/>
        <v>0.9</v>
      </c>
      <c r="Q156" s="123">
        <f t="shared" si="47"/>
        <v>0.9</v>
      </c>
      <c r="R156" s="123">
        <f t="shared" si="47"/>
        <v>0.9</v>
      </c>
      <c r="S156" s="123">
        <f t="shared" si="47"/>
        <v>0.9</v>
      </c>
      <c r="T156" s="123">
        <f t="shared" ref="S156:AF168" si="48">S156</f>
        <v>0.9</v>
      </c>
      <c r="U156" s="123">
        <f t="shared" si="48"/>
        <v>0.9</v>
      </c>
      <c r="V156" s="123">
        <f t="shared" si="48"/>
        <v>0.9</v>
      </c>
      <c r="W156" s="123">
        <f t="shared" si="48"/>
        <v>0.9</v>
      </c>
      <c r="X156" s="123">
        <f t="shared" si="48"/>
        <v>0.9</v>
      </c>
      <c r="Y156" s="123">
        <f t="shared" si="48"/>
        <v>0.9</v>
      </c>
      <c r="Z156" s="123">
        <f t="shared" si="48"/>
        <v>0.9</v>
      </c>
      <c r="AA156" s="123">
        <f t="shared" si="48"/>
        <v>0.9</v>
      </c>
      <c r="AB156" s="123">
        <f t="shared" si="48"/>
        <v>0.9</v>
      </c>
      <c r="AC156" s="123">
        <f t="shared" si="48"/>
        <v>0.9</v>
      </c>
      <c r="AD156" s="123">
        <f t="shared" si="48"/>
        <v>0.9</v>
      </c>
      <c r="AE156" s="123">
        <f t="shared" si="48"/>
        <v>0.9</v>
      </c>
      <c r="AF156" s="123">
        <f t="shared" si="48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6"/>
        <v>1.08</v>
      </c>
      <c r="C157" s="124">
        <v>1.08</v>
      </c>
      <c r="D157" s="123">
        <f t="shared" si="47"/>
        <v>1.08</v>
      </c>
      <c r="E157" s="123">
        <f t="shared" si="47"/>
        <v>1.08</v>
      </c>
      <c r="F157" s="123">
        <f t="shared" si="47"/>
        <v>1.08</v>
      </c>
      <c r="G157" s="123">
        <f t="shared" si="47"/>
        <v>1.08</v>
      </c>
      <c r="H157" s="123">
        <f t="shared" si="47"/>
        <v>1.08</v>
      </c>
      <c r="I157" s="123">
        <f t="shared" si="47"/>
        <v>1.08</v>
      </c>
      <c r="J157" s="123">
        <f t="shared" si="47"/>
        <v>1.08</v>
      </c>
      <c r="K157" s="123">
        <f t="shared" si="47"/>
        <v>1.08</v>
      </c>
      <c r="L157" s="123">
        <f t="shared" si="47"/>
        <v>1.08</v>
      </c>
      <c r="M157" s="123">
        <f t="shared" si="47"/>
        <v>1.08</v>
      </c>
      <c r="N157" s="123">
        <f t="shared" si="47"/>
        <v>1.08</v>
      </c>
      <c r="O157" s="123">
        <f t="shared" si="47"/>
        <v>1.08</v>
      </c>
      <c r="P157" s="123">
        <f t="shared" si="47"/>
        <v>1.08</v>
      </c>
      <c r="Q157" s="123">
        <f t="shared" si="47"/>
        <v>1.08</v>
      </c>
      <c r="R157" s="123">
        <f t="shared" si="47"/>
        <v>1.08</v>
      </c>
      <c r="S157" s="123">
        <f t="shared" si="47"/>
        <v>1.08</v>
      </c>
      <c r="T157" s="123">
        <f t="shared" si="48"/>
        <v>1.08</v>
      </c>
      <c r="U157" s="123">
        <f t="shared" si="48"/>
        <v>1.08</v>
      </c>
      <c r="V157" s="123">
        <f t="shared" si="48"/>
        <v>1.08</v>
      </c>
      <c r="W157" s="123">
        <f t="shared" si="48"/>
        <v>1.08</v>
      </c>
      <c r="X157" s="123">
        <f t="shared" si="48"/>
        <v>1.08</v>
      </c>
      <c r="Y157" s="123">
        <f t="shared" si="48"/>
        <v>1.08</v>
      </c>
      <c r="Z157" s="123">
        <f t="shared" si="48"/>
        <v>1.08</v>
      </c>
      <c r="AA157" s="123">
        <f t="shared" si="48"/>
        <v>1.08</v>
      </c>
      <c r="AB157" s="123">
        <f t="shared" si="48"/>
        <v>1.08</v>
      </c>
      <c r="AC157" s="123">
        <f t="shared" si="48"/>
        <v>1.08</v>
      </c>
      <c r="AD157" s="123">
        <f t="shared" si="48"/>
        <v>1.08</v>
      </c>
      <c r="AE157" s="123">
        <f t="shared" si="48"/>
        <v>1.08</v>
      </c>
      <c r="AF157" s="123">
        <f t="shared" si="48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6"/>
        <v>2.37</v>
      </c>
      <c r="C158" s="124">
        <v>2.37</v>
      </c>
      <c r="D158" s="123">
        <f t="shared" si="47"/>
        <v>2.37</v>
      </c>
      <c r="E158" s="123">
        <f t="shared" si="47"/>
        <v>2.37</v>
      </c>
      <c r="F158" s="123">
        <f t="shared" si="47"/>
        <v>2.37</v>
      </c>
      <c r="G158" s="123">
        <f t="shared" si="47"/>
        <v>2.37</v>
      </c>
      <c r="H158" s="123">
        <f t="shared" si="47"/>
        <v>2.37</v>
      </c>
      <c r="I158" s="123">
        <f t="shared" si="47"/>
        <v>2.37</v>
      </c>
      <c r="J158" s="123">
        <f t="shared" si="47"/>
        <v>2.37</v>
      </c>
      <c r="K158" s="123">
        <f t="shared" si="47"/>
        <v>2.37</v>
      </c>
      <c r="L158" s="123">
        <f t="shared" si="47"/>
        <v>2.37</v>
      </c>
      <c r="M158" s="123">
        <f t="shared" si="47"/>
        <v>2.37</v>
      </c>
      <c r="N158" s="123">
        <f t="shared" si="47"/>
        <v>2.37</v>
      </c>
      <c r="O158" s="123">
        <f t="shared" si="47"/>
        <v>2.37</v>
      </c>
      <c r="P158" s="123">
        <f t="shared" si="47"/>
        <v>2.37</v>
      </c>
      <c r="Q158" s="123">
        <f t="shared" si="47"/>
        <v>2.37</v>
      </c>
      <c r="R158" s="123">
        <f t="shared" si="47"/>
        <v>2.37</v>
      </c>
      <c r="S158" s="123">
        <f t="shared" si="47"/>
        <v>2.37</v>
      </c>
      <c r="T158" s="123">
        <f t="shared" si="48"/>
        <v>2.37</v>
      </c>
      <c r="U158" s="123">
        <f t="shared" si="48"/>
        <v>2.37</v>
      </c>
      <c r="V158" s="123">
        <f t="shared" si="48"/>
        <v>2.37</v>
      </c>
      <c r="W158" s="123">
        <f t="shared" si="48"/>
        <v>2.37</v>
      </c>
      <c r="X158" s="123">
        <f t="shared" si="48"/>
        <v>2.37</v>
      </c>
      <c r="Y158" s="123">
        <f t="shared" si="48"/>
        <v>2.37</v>
      </c>
      <c r="Z158" s="123">
        <f t="shared" si="48"/>
        <v>2.37</v>
      </c>
      <c r="AA158" s="123">
        <f t="shared" si="48"/>
        <v>2.37</v>
      </c>
      <c r="AB158" s="123">
        <f t="shared" si="48"/>
        <v>2.37</v>
      </c>
      <c r="AC158" s="123">
        <f t="shared" si="48"/>
        <v>2.37</v>
      </c>
      <c r="AD158" s="123">
        <f t="shared" si="48"/>
        <v>2.37</v>
      </c>
      <c r="AE158" s="123">
        <f t="shared" si="48"/>
        <v>2.37</v>
      </c>
      <c r="AF158" s="123">
        <f t="shared" si="48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6"/>
        <v>1.81</v>
      </c>
      <c r="C159" s="124">
        <v>1.81</v>
      </c>
      <c r="D159" s="123">
        <f t="shared" si="47"/>
        <v>1.81</v>
      </c>
      <c r="E159" s="123">
        <f t="shared" si="47"/>
        <v>1.81</v>
      </c>
      <c r="F159" s="123">
        <f t="shared" si="47"/>
        <v>1.81</v>
      </c>
      <c r="G159" s="123">
        <f t="shared" si="47"/>
        <v>1.81</v>
      </c>
      <c r="H159" s="123">
        <f t="shared" si="47"/>
        <v>1.81</v>
      </c>
      <c r="I159" s="123">
        <f t="shared" si="47"/>
        <v>1.81</v>
      </c>
      <c r="J159" s="123">
        <f t="shared" si="47"/>
        <v>1.81</v>
      </c>
      <c r="K159" s="123">
        <f t="shared" si="47"/>
        <v>1.81</v>
      </c>
      <c r="L159" s="123">
        <f t="shared" si="47"/>
        <v>1.81</v>
      </c>
      <c r="M159" s="123">
        <f t="shared" si="47"/>
        <v>1.81</v>
      </c>
      <c r="N159" s="123">
        <f t="shared" si="47"/>
        <v>1.81</v>
      </c>
      <c r="O159" s="123">
        <f t="shared" si="47"/>
        <v>1.81</v>
      </c>
      <c r="P159" s="123">
        <f t="shared" si="47"/>
        <v>1.81</v>
      </c>
      <c r="Q159" s="123">
        <f t="shared" si="47"/>
        <v>1.81</v>
      </c>
      <c r="R159" s="123">
        <f t="shared" si="47"/>
        <v>1.81</v>
      </c>
      <c r="S159" s="123">
        <f t="shared" si="47"/>
        <v>1.81</v>
      </c>
      <c r="T159" s="123">
        <f t="shared" si="48"/>
        <v>1.81</v>
      </c>
      <c r="U159" s="123">
        <f t="shared" si="48"/>
        <v>1.81</v>
      </c>
      <c r="V159" s="123">
        <f t="shared" si="48"/>
        <v>1.81</v>
      </c>
      <c r="W159" s="123">
        <f t="shared" si="48"/>
        <v>1.81</v>
      </c>
      <c r="X159" s="123">
        <f t="shared" si="48"/>
        <v>1.81</v>
      </c>
      <c r="Y159" s="123">
        <f t="shared" si="48"/>
        <v>1.81</v>
      </c>
      <c r="Z159" s="123">
        <f t="shared" si="48"/>
        <v>1.81</v>
      </c>
      <c r="AA159" s="123">
        <f t="shared" si="48"/>
        <v>1.81</v>
      </c>
      <c r="AB159" s="123">
        <f t="shared" si="48"/>
        <v>1.81</v>
      </c>
      <c r="AC159" s="123">
        <f t="shared" si="48"/>
        <v>1.81</v>
      </c>
      <c r="AD159" s="123">
        <f t="shared" si="48"/>
        <v>1.81</v>
      </c>
      <c r="AE159" s="123">
        <f t="shared" si="48"/>
        <v>1.81</v>
      </c>
      <c r="AF159" s="123">
        <f t="shared" si="48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6"/>
        <v>1.0900000000000001</v>
      </c>
      <c r="C160" s="124">
        <v>1.0900000000000001</v>
      </c>
      <c r="D160" s="123">
        <f t="shared" si="47"/>
        <v>1.0900000000000001</v>
      </c>
      <c r="E160" s="123">
        <f t="shared" si="47"/>
        <v>1.0900000000000001</v>
      </c>
      <c r="F160" s="123">
        <f t="shared" si="47"/>
        <v>1.0900000000000001</v>
      </c>
      <c r="G160" s="123">
        <f t="shared" si="47"/>
        <v>1.0900000000000001</v>
      </c>
      <c r="H160" s="123">
        <f t="shared" si="47"/>
        <v>1.0900000000000001</v>
      </c>
      <c r="I160" s="123">
        <f t="shared" si="47"/>
        <v>1.0900000000000001</v>
      </c>
      <c r="J160" s="123">
        <f t="shared" si="47"/>
        <v>1.0900000000000001</v>
      </c>
      <c r="K160" s="123">
        <f t="shared" si="47"/>
        <v>1.0900000000000001</v>
      </c>
      <c r="L160" s="123">
        <f t="shared" si="47"/>
        <v>1.0900000000000001</v>
      </c>
      <c r="M160" s="123">
        <f t="shared" si="47"/>
        <v>1.0900000000000001</v>
      </c>
      <c r="N160" s="123">
        <f t="shared" si="47"/>
        <v>1.0900000000000001</v>
      </c>
      <c r="O160" s="123">
        <f t="shared" si="47"/>
        <v>1.0900000000000001</v>
      </c>
      <c r="P160" s="123">
        <f t="shared" si="47"/>
        <v>1.0900000000000001</v>
      </c>
      <c r="Q160" s="123">
        <f t="shared" si="47"/>
        <v>1.0900000000000001</v>
      </c>
      <c r="R160" s="123">
        <f t="shared" si="47"/>
        <v>1.0900000000000001</v>
      </c>
      <c r="S160" s="123">
        <f t="shared" si="47"/>
        <v>1.0900000000000001</v>
      </c>
      <c r="T160" s="123">
        <f t="shared" si="48"/>
        <v>1.0900000000000001</v>
      </c>
      <c r="U160" s="123">
        <f t="shared" si="48"/>
        <v>1.0900000000000001</v>
      </c>
      <c r="V160" s="123">
        <f t="shared" si="48"/>
        <v>1.0900000000000001</v>
      </c>
      <c r="W160" s="123">
        <f t="shared" si="48"/>
        <v>1.0900000000000001</v>
      </c>
      <c r="X160" s="123">
        <f t="shared" si="48"/>
        <v>1.0900000000000001</v>
      </c>
      <c r="Y160" s="123">
        <f t="shared" si="48"/>
        <v>1.0900000000000001</v>
      </c>
      <c r="Z160" s="123">
        <f t="shared" si="48"/>
        <v>1.0900000000000001</v>
      </c>
      <c r="AA160" s="123">
        <f t="shared" si="48"/>
        <v>1.0900000000000001</v>
      </c>
      <c r="AB160" s="123">
        <f t="shared" si="48"/>
        <v>1.0900000000000001</v>
      </c>
      <c r="AC160" s="123">
        <f t="shared" si="48"/>
        <v>1.0900000000000001</v>
      </c>
      <c r="AD160" s="123">
        <f t="shared" si="48"/>
        <v>1.0900000000000001</v>
      </c>
      <c r="AE160" s="123">
        <f t="shared" si="48"/>
        <v>1.0900000000000001</v>
      </c>
      <c r="AF160" s="123">
        <f t="shared" si="48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6"/>
        <v>1.58</v>
      </c>
      <c r="C161" s="124">
        <v>1.58</v>
      </c>
      <c r="D161" s="123">
        <f t="shared" si="47"/>
        <v>1.58</v>
      </c>
      <c r="E161" s="123">
        <f t="shared" si="47"/>
        <v>1.58</v>
      </c>
      <c r="F161" s="123">
        <f t="shared" si="47"/>
        <v>1.58</v>
      </c>
      <c r="G161" s="123">
        <f t="shared" si="47"/>
        <v>1.58</v>
      </c>
      <c r="H161" s="123">
        <f t="shared" si="47"/>
        <v>1.58</v>
      </c>
      <c r="I161" s="123">
        <f t="shared" si="47"/>
        <v>1.58</v>
      </c>
      <c r="J161" s="123">
        <f t="shared" si="47"/>
        <v>1.58</v>
      </c>
      <c r="K161" s="123">
        <f t="shared" si="47"/>
        <v>1.58</v>
      </c>
      <c r="L161" s="123">
        <f t="shared" si="47"/>
        <v>1.58</v>
      </c>
      <c r="M161" s="123">
        <f t="shared" si="47"/>
        <v>1.58</v>
      </c>
      <c r="N161" s="123">
        <f t="shared" si="47"/>
        <v>1.58</v>
      </c>
      <c r="O161" s="123">
        <f t="shared" si="47"/>
        <v>1.58</v>
      </c>
      <c r="P161" s="123">
        <f t="shared" si="47"/>
        <v>1.58</v>
      </c>
      <c r="Q161" s="123">
        <f t="shared" si="47"/>
        <v>1.58</v>
      </c>
      <c r="R161" s="123">
        <f t="shared" si="47"/>
        <v>1.58</v>
      </c>
      <c r="S161" s="123">
        <f t="shared" si="47"/>
        <v>1.58</v>
      </c>
      <c r="T161" s="123">
        <f t="shared" si="48"/>
        <v>1.58</v>
      </c>
      <c r="U161" s="123">
        <f t="shared" si="48"/>
        <v>1.58</v>
      </c>
      <c r="V161" s="123">
        <f t="shared" si="48"/>
        <v>1.58</v>
      </c>
      <c r="W161" s="123">
        <f t="shared" si="48"/>
        <v>1.58</v>
      </c>
      <c r="X161" s="123">
        <f t="shared" si="48"/>
        <v>1.58</v>
      </c>
      <c r="Y161" s="123">
        <f t="shared" si="48"/>
        <v>1.58</v>
      </c>
      <c r="Z161" s="123">
        <f t="shared" si="48"/>
        <v>1.58</v>
      </c>
      <c r="AA161" s="123">
        <f t="shared" si="48"/>
        <v>1.58</v>
      </c>
      <c r="AB161" s="123">
        <f t="shared" si="48"/>
        <v>1.58</v>
      </c>
      <c r="AC161" s="123">
        <f t="shared" si="48"/>
        <v>1.58</v>
      </c>
      <c r="AD161" s="123">
        <f t="shared" si="48"/>
        <v>1.58</v>
      </c>
      <c r="AE161" s="123">
        <f t="shared" si="48"/>
        <v>1.58</v>
      </c>
      <c r="AF161" s="123">
        <f t="shared" si="48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6"/>
        <v>2</v>
      </c>
      <c r="C162" s="124">
        <v>2</v>
      </c>
      <c r="D162" s="123">
        <f t="shared" si="47"/>
        <v>2</v>
      </c>
      <c r="E162" s="123">
        <f t="shared" si="47"/>
        <v>2</v>
      </c>
      <c r="F162" s="123">
        <f t="shared" si="47"/>
        <v>2</v>
      </c>
      <c r="G162" s="123">
        <f t="shared" si="47"/>
        <v>2</v>
      </c>
      <c r="H162" s="123">
        <f t="shared" si="47"/>
        <v>2</v>
      </c>
      <c r="I162" s="123">
        <f t="shared" si="47"/>
        <v>2</v>
      </c>
      <c r="J162" s="123">
        <f t="shared" si="47"/>
        <v>2</v>
      </c>
      <c r="K162" s="123">
        <f t="shared" si="47"/>
        <v>2</v>
      </c>
      <c r="L162" s="123">
        <f t="shared" si="47"/>
        <v>2</v>
      </c>
      <c r="M162" s="123">
        <f t="shared" si="47"/>
        <v>2</v>
      </c>
      <c r="N162" s="123">
        <f t="shared" si="47"/>
        <v>2</v>
      </c>
      <c r="O162" s="123">
        <f t="shared" si="47"/>
        <v>2</v>
      </c>
      <c r="P162" s="123">
        <f t="shared" si="47"/>
        <v>2</v>
      </c>
      <c r="Q162" s="123">
        <f t="shared" si="47"/>
        <v>2</v>
      </c>
      <c r="R162" s="123">
        <f t="shared" si="47"/>
        <v>2</v>
      </c>
      <c r="S162" s="123">
        <f t="shared" si="47"/>
        <v>2</v>
      </c>
      <c r="T162" s="123">
        <f t="shared" si="48"/>
        <v>2</v>
      </c>
      <c r="U162" s="123">
        <f t="shared" si="48"/>
        <v>2</v>
      </c>
      <c r="V162" s="123">
        <f t="shared" si="48"/>
        <v>2</v>
      </c>
      <c r="W162" s="123">
        <f t="shared" si="48"/>
        <v>2</v>
      </c>
      <c r="X162" s="123">
        <f t="shared" si="48"/>
        <v>2</v>
      </c>
      <c r="Y162" s="123">
        <f t="shared" si="48"/>
        <v>2</v>
      </c>
      <c r="Z162" s="123">
        <f t="shared" si="48"/>
        <v>2</v>
      </c>
      <c r="AA162" s="123">
        <f t="shared" si="48"/>
        <v>2</v>
      </c>
      <c r="AB162" s="123">
        <f t="shared" si="48"/>
        <v>2</v>
      </c>
      <c r="AC162" s="123">
        <f t="shared" si="48"/>
        <v>2</v>
      </c>
      <c r="AD162" s="123">
        <f t="shared" si="48"/>
        <v>2</v>
      </c>
      <c r="AE162" s="123">
        <f t="shared" si="48"/>
        <v>2</v>
      </c>
      <c r="AF162" s="123">
        <f t="shared" si="48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6"/>
        <v>0.47</v>
      </c>
      <c r="C163" s="124">
        <v>0.47</v>
      </c>
      <c r="D163" s="123">
        <f t="shared" si="47"/>
        <v>0.47</v>
      </c>
      <c r="E163" s="123">
        <f t="shared" si="47"/>
        <v>0.47</v>
      </c>
      <c r="F163" s="123">
        <f t="shared" si="47"/>
        <v>0.47</v>
      </c>
      <c r="G163" s="123">
        <f t="shared" si="47"/>
        <v>0.47</v>
      </c>
      <c r="H163" s="123">
        <f t="shared" si="47"/>
        <v>0.47</v>
      </c>
      <c r="I163" s="123">
        <f t="shared" si="47"/>
        <v>0.47</v>
      </c>
      <c r="J163" s="123">
        <f t="shared" si="47"/>
        <v>0.47</v>
      </c>
      <c r="K163" s="123">
        <f t="shared" si="47"/>
        <v>0.47</v>
      </c>
      <c r="L163" s="123">
        <f t="shared" si="47"/>
        <v>0.47</v>
      </c>
      <c r="M163" s="123">
        <f t="shared" si="47"/>
        <v>0.47</v>
      </c>
      <c r="N163" s="123">
        <f t="shared" si="47"/>
        <v>0.47</v>
      </c>
      <c r="O163" s="123">
        <f t="shared" si="47"/>
        <v>0.47</v>
      </c>
      <c r="P163" s="123">
        <f t="shared" si="47"/>
        <v>0.47</v>
      </c>
      <c r="Q163" s="123">
        <f t="shared" si="47"/>
        <v>0.47</v>
      </c>
      <c r="R163" s="123">
        <f t="shared" si="47"/>
        <v>0.47</v>
      </c>
      <c r="S163" s="123">
        <f t="shared" si="47"/>
        <v>0.47</v>
      </c>
      <c r="T163" s="123">
        <f t="shared" si="48"/>
        <v>0.47</v>
      </c>
      <c r="U163" s="123">
        <f t="shared" si="48"/>
        <v>0.47</v>
      </c>
      <c r="V163" s="123">
        <f t="shared" si="48"/>
        <v>0.47</v>
      </c>
      <c r="W163" s="123">
        <f t="shared" si="48"/>
        <v>0.47</v>
      </c>
      <c r="X163" s="123">
        <f t="shared" si="48"/>
        <v>0.47</v>
      </c>
      <c r="Y163" s="123">
        <f t="shared" si="48"/>
        <v>0.47</v>
      </c>
      <c r="Z163" s="123">
        <f t="shared" si="48"/>
        <v>0.47</v>
      </c>
      <c r="AA163" s="123">
        <f t="shared" si="48"/>
        <v>0.47</v>
      </c>
      <c r="AB163" s="123">
        <f t="shared" si="48"/>
        <v>0.47</v>
      </c>
      <c r="AC163" s="123">
        <f t="shared" si="48"/>
        <v>0.47</v>
      </c>
      <c r="AD163" s="123">
        <f t="shared" si="48"/>
        <v>0.47</v>
      </c>
      <c r="AE163" s="123">
        <f t="shared" si="48"/>
        <v>0.47</v>
      </c>
      <c r="AF163" s="123">
        <f t="shared" si="48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6"/>
        <v>0</v>
      </c>
      <c r="C164" s="124">
        <v>0</v>
      </c>
      <c r="D164" s="123">
        <f t="shared" si="47"/>
        <v>0</v>
      </c>
      <c r="E164" s="123">
        <f t="shared" si="47"/>
        <v>0</v>
      </c>
      <c r="F164" s="123">
        <f t="shared" si="47"/>
        <v>0</v>
      </c>
      <c r="G164" s="123">
        <f t="shared" si="47"/>
        <v>0</v>
      </c>
      <c r="H164" s="123">
        <f t="shared" si="47"/>
        <v>0</v>
      </c>
      <c r="I164" s="123">
        <f t="shared" si="47"/>
        <v>0</v>
      </c>
      <c r="J164" s="123">
        <f t="shared" si="47"/>
        <v>0</v>
      </c>
      <c r="K164" s="123">
        <f t="shared" si="47"/>
        <v>0</v>
      </c>
      <c r="L164" s="123">
        <f t="shared" si="47"/>
        <v>0</v>
      </c>
      <c r="M164" s="123">
        <f t="shared" si="47"/>
        <v>0</v>
      </c>
      <c r="N164" s="123">
        <f t="shared" si="47"/>
        <v>0</v>
      </c>
      <c r="O164" s="123">
        <f t="shared" si="47"/>
        <v>0</v>
      </c>
      <c r="P164" s="123">
        <f t="shared" si="47"/>
        <v>0</v>
      </c>
      <c r="Q164" s="123">
        <f t="shared" si="47"/>
        <v>0</v>
      </c>
      <c r="R164" s="123">
        <f t="shared" si="47"/>
        <v>0</v>
      </c>
      <c r="S164" s="123">
        <f t="shared" si="47"/>
        <v>0</v>
      </c>
      <c r="T164" s="123">
        <f t="shared" si="48"/>
        <v>0</v>
      </c>
      <c r="U164" s="123">
        <f t="shared" si="48"/>
        <v>0</v>
      </c>
      <c r="V164" s="123">
        <f t="shared" si="48"/>
        <v>0</v>
      </c>
      <c r="W164" s="123">
        <f t="shared" si="48"/>
        <v>0</v>
      </c>
      <c r="X164" s="123">
        <f t="shared" si="48"/>
        <v>0</v>
      </c>
      <c r="Y164" s="123">
        <f t="shared" si="48"/>
        <v>0</v>
      </c>
      <c r="Z164" s="123">
        <f t="shared" si="48"/>
        <v>0</v>
      </c>
      <c r="AA164" s="123">
        <f t="shared" si="48"/>
        <v>0</v>
      </c>
      <c r="AB164" s="123">
        <f t="shared" si="48"/>
        <v>0</v>
      </c>
      <c r="AC164" s="123">
        <f t="shared" si="48"/>
        <v>0</v>
      </c>
      <c r="AD164" s="123">
        <f t="shared" si="48"/>
        <v>0</v>
      </c>
      <c r="AE164" s="123">
        <f t="shared" si="48"/>
        <v>0</v>
      </c>
      <c r="AF164" s="123">
        <f t="shared" si="48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8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6"/>
        <v>0.8</v>
      </c>
      <c r="C166" s="124">
        <v>0.8</v>
      </c>
      <c r="D166" s="123">
        <f t="shared" si="47"/>
        <v>0.8</v>
      </c>
      <c r="E166" s="123">
        <f t="shared" si="47"/>
        <v>0.8</v>
      </c>
      <c r="F166" s="123">
        <f t="shared" si="47"/>
        <v>0.8</v>
      </c>
      <c r="G166" s="123">
        <f t="shared" si="47"/>
        <v>0.8</v>
      </c>
      <c r="H166" s="123">
        <f t="shared" si="47"/>
        <v>0.8</v>
      </c>
      <c r="I166" s="123">
        <f t="shared" si="47"/>
        <v>0.8</v>
      </c>
      <c r="J166" s="123">
        <f t="shared" si="47"/>
        <v>0.8</v>
      </c>
      <c r="K166" s="123">
        <f t="shared" si="47"/>
        <v>0.8</v>
      </c>
      <c r="L166" s="123">
        <f t="shared" si="47"/>
        <v>0.8</v>
      </c>
      <c r="M166" s="123">
        <f t="shared" si="47"/>
        <v>0.8</v>
      </c>
      <c r="N166" s="123">
        <f t="shared" si="47"/>
        <v>0.8</v>
      </c>
      <c r="O166" s="123">
        <f t="shared" si="47"/>
        <v>0.8</v>
      </c>
      <c r="P166" s="123">
        <f t="shared" si="47"/>
        <v>0.8</v>
      </c>
      <c r="Q166" s="123">
        <f t="shared" si="47"/>
        <v>0.8</v>
      </c>
      <c r="R166" s="123">
        <f t="shared" si="47"/>
        <v>0.8</v>
      </c>
      <c r="S166" s="123">
        <f t="shared" si="48"/>
        <v>0.8</v>
      </c>
      <c r="T166" s="123">
        <f t="shared" si="48"/>
        <v>0.8</v>
      </c>
      <c r="U166" s="123">
        <f t="shared" si="48"/>
        <v>0.8</v>
      </c>
      <c r="V166" s="123">
        <f t="shared" si="48"/>
        <v>0.8</v>
      </c>
      <c r="W166" s="123">
        <f t="shared" si="48"/>
        <v>0.8</v>
      </c>
      <c r="X166" s="123">
        <f t="shared" si="48"/>
        <v>0.8</v>
      </c>
      <c r="Y166" s="123">
        <f t="shared" si="48"/>
        <v>0.8</v>
      </c>
      <c r="Z166" s="123">
        <f t="shared" si="48"/>
        <v>0.8</v>
      </c>
      <c r="AA166" s="123">
        <f t="shared" si="48"/>
        <v>0.8</v>
      </c>
      <c r="AB166" s="123">
        <f t="shared" si="48"/>
        <v>0.8</v>
      </c>
      <c r="AC166" s="123">
        <f t="shared" si="48"/>
        <v>0.8</v>
      </c>
      <c r="AD166" s="123">
        <f t="shared" si="48"/>
        <v>0.8</v>
      </c>
      <c r="AE166" s="123">
        <f t="shared" si="48"/>
        <v>0.8</v>
      </c>
      <c r="AF166" s="123">
        <f t="shared" si="48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6"/>
        <v>1.5</v>
      </c>
      <c r="C167" s="124">
        <v>1.5</v>
      </c>
      <c r="D167" s="123">
        <f t="shared" si="47"/>
        <v>1.5</v>
      </c>
      <c r="E167" s="123">
        <f t="shared" si="47"/>
        <v>1.5</v>
      </c>
      <c r="F167" s="123">
        <f t="shared" si="47"/>
        <v>1.5</v>
      </c>
      <c r="G167" s="123">
        <f t="shared" si="47"/>
        <v>1.5</v>
      </c>
      <c r="H167" s="123">
        <f t="shared" si="47"/>
        <v>1.5</v>
      </c>
      <c r="I167" s="123">
        <f t="shared" si="47"/>
        <v>1.5</v>
      </c>
      <c r="J167" s="123">
        <f t="shared" si="47"/>
        <v>1.5</v>
      </c>
      <c r="K167" s="123">
        <f t="shared" si="47"/>
        <v>1.5</v>
      </c>
      <c r="L167" s="123">
        <f t="shared" si="47"/>
        <v>1.5</v>
      </c>
      <c r="M167" s="123">
        <f t="shared" si="47"/>
        <v>1.5</v>
      </c>
      <c r="N167" s="123">
        <f t="shared" si="47"/>
        <v>1.5</v>
      </c>
      <c r="O167" s="123">
        <f t="shared" si="47"/>
        <v>1.5</v>
      </c>
      <c r="P167" s="123">
        <f t="shared" si="47"/>
        <v>1.5</v>
      </c>
      <c r="Q167" s="123">
        <f t="shared" si="47"/>
        <v>1.5</v>
      </c>
      <c r="R167" s="123">
        <f t="shared" si="47"/>
        <v>1.5</v>
      </c>
      <c r="S167" s="123">
        <f t="shared" si="48"/>
        <v>1.5</v>
      </c>
      <c r="T167" s="123">
        <f t="shared" si="48"/>
        <v>1.5</v>
      </c>
      <c r="U167" s="123">
        <f t="shared" si="48"/>
        <v>1.5</v>
      </c>
      <c r="V167" s="123">
        <f t="shared" si="48"/>
        <v>1.5</v>
      </c>
      <c r="W167" s="123">
        <f t="shared" si="48"/>
        <v>1.5</v>
      </c>
      <c r="X167" s="123">
        <f t="shared" si="48"/>
        <v>1.5</v>
      </c>
      <c r="Y167" s="123">
        <f t="shared" si="48"/>
        <v>1.5</v>
      </c>
      <c r="Z167" s="123">
        <f t="shared" si="48"/>
        <v>1.5</v>
      </c>
      <c r="AA167" s="123">
        <f t="shared" si="48"/>
        <v>1.5</v>
      </c>
      <c r="AB167" s="123">
        <f t="shared" si="48"/>
        <v>1.5</v>
      </c>
      <c r="AC167" s="123">
        <f t="shared" si="48"/>
        <v>1.5</v>
      </c>
      <c r="AD167" s="123">
        <f t="shared" si="48"/>
        <v>1.5</v>
      </c>
      <c r="AE167" s="123">
        <f t="shared" si="48"/>
        <v>1.5</v>
      </c>
      <c r="AF167" s="123">
        <f t="shared" si="48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6"/>
        <v>1</v>
      </c>
      <c r="C168" s="124">
        <v>1</v>
      </c>
      <c r="D168" s="123">
        <f t="shared" si="47"/>
        <v>1</v>
      </c>
      <c r="E168" s="123">
        <f t="shared" si="47"/>
        <v>1</v>
      </c>
      <c r="F168" s="123">
        <f t="shared" si="47"/>
        <v>1</v>
      </c>
      <c r="G168" s="123">
        <f t="shared" si="47"/>
        <v>1</v>
      </c>
      <c r="H168" s="123">
        <f t="shared" si="47"/>
        <v>1</v>
      </c>
      <c r="I168" s="123">
        <f t="shared" si="47"/>
        <v>1</v>
      </c>
      <c r="J168" s="123">
        <f t="shared" si="47"/>
        <v>1</v>
      </c>
      <c r="K168" s="123">
        <f t="shared" si="47"/>
        <v>1</v>
      </c>
      <c r="L168" s="123">
        <f t="shared" si="47"/>
        <v>1</v>
      </c>
      <c r="M168" s="123">
        <f t="shared" si="47"/>
        <v>1</v>
      </c>
      <c r="N168" s="123">
        <f t="shared" si="47"/>
        <v>1</v>
      </c>
      <c r="O168" s="123">
        <f t="shared" si="47"/>
        <v>1</v>
      </c>
      <c r="P168" s="123">
        <f t="shared" si="47"/>
        <v>1</v>
      </c>
      <c r="Q168" s="123">
        <f t="shared" si="47"/>
        <v>1</v>
      </c>
      <c r="R168" s="123">
        <f t="shared" si="47"/>
        <v>1</v>
      </c>
      <c r="S168" s="123">
        <f t="shared" si="48"/>
        <v>1</v>
      </c>
      <c r="T168" s="123">
        <f t="shared" si="48"/>
        <v>1</v>
      </c>
      <c r="U168" s="123">
        <f t="shared" si="48"/>
        <v>1</v>
      </c>
      <c r="V168" s="123">
        <f t="shared" si="48"/>
        <v>1</v>
      </c>
      <c r="W168" s="123">
        <f t="shared" si="48"/>
        <v>1</v>
      </c>
      <c r="X168" s="123">
        <f t="shared" si="48"/>
        <v>1</v>
      </c>
      <c r="Y168" s="123">
        <f t="shared" si="48"/>
        <v>1</v>
      </c>
      <c r="Z168" s="123">
        <f t="shared" si="48"/>
        <v>1</v>
      </c>
      <c r="AA168" s="123">
        <f t="shared" si="48"/>
        <v>1</v>
      </c>
      <c r="AB168" s="123">
        <f t="shared" si="48"/>
        <v>1</v>
      </c>
      <c r="AC168" s="123">
        <f t="shared" si="48"/>
        <v>1</v>
      </c>
      <c r="AD168" s="123">
        <f t="shared" si="48"/>
        <v>1</v>
      </c>
      <c r="AE168" s="123">
        <f t="shared" si="48"/>
        <v>1</v>
      </c>
      <c r="AF168" s="123">
        <f t="shared" si="48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49">AF170</f>
        <v>1</v>
      </c>
      <c r="C170" s="124">
        <v>1</v>
      </c>
      <c r="D170" s="123">
        <f t="shared" ref="D170:S177" si="50">C170</f>
        <v>1</v>
      </c>
      <c r="E170" s="123">
        <f t="shared" si="50"/>
        <v>1</v>
      </c>
      <c r="F170" s="123">
        <f t="shared" si="50"/>
        <v>1</v>
      </c>
      <c r="G170" s="123">
        <f t="shared" si="50"/>
        <v>1</v>
      </c>
      <c r="H170" s="123">
        <f t="shared" si="50"/>
        <v>1</v>
      </c>
      <c r="I170" s="123">
        <f t="shared" si="50"/>
        <v>1</v>
      </c>
      <c r="J170" s="123">
        <f t="shared" si="50"/>
        <v>1</v>
      </c>
      <c r="K170" s="123">
        <f t="shared" si="50"/>
        <v>1</v>
      </c>
      <c r="L170" s="123">
        <f t="shared" si="50"/>
        <v>1</v>
      </c>
      <c r="M170" s="123">
        <f t="shared" si="50"/>
        <v>1</v>
      </c>
      <c r="N170" s="123">
        <f t="shared" si="50"/>
        <v>1</v>
      </c>
      <c r="O170" s="123">
        <f t="shared" si="50"/>
        <v>1</v>
      </c>
      <c r="P170" s="123">
        <f t="shared" si="50"/>
        <v>1</v>
      </c>
      <c r="Q170" s="123">
        <f t="shared" si="50"/>
        <v>1</v>
      </c>
      <c r="R170" s="123">
        <f t="shared" si="50"/>
        <v>1</v>
      </c>
      <c r="S170" s="123">
        <f t="shared" si="50"/>
        <v>1</v>
      </c>
      <c r="T170" s="123">
        <f t="shared" ref="S170:AF177" si="51">S170</f>
        <v>1</v>
      </c>
      <c r="U170" s="123">
        <f t="shared" si="51"/>
        <v>1</v>
      </c>
      <c r="V170" s="123">
        <f t="shared" si="51"/>
        <v>1</v>
      </c>
      <c r="W170" s="123">
        <f t="shared" si="51"/>
        <v>1</v>
      </c>
      <c r="X170" s="123">
        <f t="shared" si="51"/>
        <v>1</v>
      </c>
      <c r="Y170" s="123">
        <f t="shared" si="51"/>
        <v>1</v>
      </c>
      <c r="Z170" s="123">
        <f t="shared" si="51"/>
        <v>1</v>
      </c>
      <c r="AA170" s="123">
        <f t="shared" si="51"/>
        <v>1</v>
      </c>
      <c r="AB170" s="123">
        <f t="shared" si="51"/>
        <v>1</v>
      </c>
      <c r="AC170" s="123">
        <f t="shared" si="51"/>
        <v>1</v>
      </c>
      <c r="AD170" s="123">
        <f t="shared" si="51"/>
        <v>1</v>
      </c>
      <c r="AE170" s="123">
        <f t="shared" si="51"/>
        <v>1</v>
      </c>
      <c r="AF170" s="123">
        <f t="shared" si="51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49"/>
        <v>0.42</v>
      </c>
      <c r="C171" s="124">
        <v>0.42</v>
      </c>
      <c r="D171" s="123">
        <f t="shared" si="50"/>
        <v>0.42</v>
      </c>
      <c r="E171" s="123">
        <f t="shared" si="50"/>
        <v>0.42</v>
      </c>
      <c r="F171" s="123">
        <f t="shared" si="50"/>
        <v>0.42</v>
      </c>
      <c r="G171" s="123">
        <f t="shared" si="50"/>
        <v>0.42</v>
      </c>
      <c r="H171" s="123">
        <f t="shared" si="50"/>
        <v>0.42</v>
      </c>
      <c r="I171" s="123">
        <f t="shared" si="50"/>
        <v>0.42</v>
      </c>
      <c r="J171" s="123">
        <f t="shared" si="50"/>
        <v>0.42</v>
      </c>
      <c r="K171" s="123">
        <f t="shared" si="50"/>
        <v>0.42</v>
      </c>
      <c r="L171" s="123">
        <f t="shared" si="50"/>
        <v>0.42</v>
      </c>
      <c r="M171" s="123">
        <f t="shared" si="50"/>
        <v>0.42</v>
      </c>
      <c r="N171" s="123">
        <f t="shared" si="50"/>
        <v>0.42</v>
      </c>
      <c r="O171" s="123">
        <f t="shared" si="50"/>
        <v>0.42</v>
      </c>
      <c r="P171" s="123">
        <f t="shared" si="50"/>
        <v>0.42</v>
      </c>
      <c r="Q171" s="123">
        <f t="shared" si="50"/>
        <v>0.42</v>
      </c>
      <c r="R171" s="123">
        <f t="shared" si="50"/>
        <v>0.42</v>
      </c>
      <c r="S171" s="123">
        <f t="shared" si="51"/>
        <v>0.42</v>
      </c>
      <c r="T171" s="123">
        <f t="shared" si="51"/>
        <v>0.42</v>
      </c>
      <c r="U171" s="123">
        <f t="shared" si="51"/>
        <v>0.42</v>
      </c>
      <c r="V171" s="123">
        <f t="shared" si="51"/>
        <v>0.42</v>
      </c>
      <c r="W171" s="123">
        <f t="shared" si="51"/>
        <v>0.42</v>
      </c>
      <c r="X171" s="123">
        <f t="shared" si="51"/>
        <v>0.42</v>
      </c>
      <c r="Y171" s="123">
        <f t="shared" si="51"/>
        <v>0.42</v>
      </c>
      <c r="Z171" s="123">
        <f t="shared" si="51"/>
        <v>0.42</v>
      </c>
      <c r="AA171" s="123">
        <f t="shared" si="51"/>
        <v>0.42</v>
      </c>
      <c r="AB171" s="123">
        <f t="shared" si="51"/>
        <v>0.42</v>
      </c>
      <c r="AC171" s="123">
        <f t="shared" si="51"/>
        <v>0.42</v>
      </c>
      <c r="AD171" s="123">
        <f t="shared" si="51"/>
        <v>0.42</v>
      </c>
      <c r="AE171" s="123">
        <f t="shared" si="51"/>
        <v>0.42</v>
      </c>
      <c r="AF171" s="123">
        <f t="shared" si="51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49"/>
        <v>0.46</v>
      </c>
      <c r="C172" s="124">
        <v>0.46</v>
      </c>
      <c r="D172" s="123">
        <f t="shared" si="50"/>
        <v>0.46</v>
      </c>
      <c r="E172" s="123">
        <f t="shared" si="50"/>
        <v>0.46</v>
      </c>
      <c r="F172" s="123">
        <f t="shared" si="50"/>
        <v>0.46</v>
      </c>
      <c r="G172" s="123">
        <f t="shared" si="50"/>
        <v>0.46</v>
      </c>
      <c r="H172" s="123">
        <f t="shared" si="50"/>
        <v>0.46</v>
      </c>
      <c r="I172" s="123">
        <f t="shared" si="50"/>
        <v>0.46</v>
      </c>
      <c r="J172" s="123">
        <f t="shared" si="50"/>
        <v>0.46</v>
      </c>
      <c r="K172" s="123">
        <f t="shared" si="50"/>
        <v>0.46</v>
      </c>
      <c r="L172" s="123">
        <f t="shared" si="50"/>
        <v>0.46</v>
      </c>
      <c r="M172" s="123">
        <f t="shared" si="50"/>
        <v>0.46</v>
      </c>
      <c r="N172" s="123">
        <f t="shared" si="50"/>
        <v>0.46</v>
      </c>
      <c r="O172" s="123">
        <f t="shared" si="50"/>
        <v>0.46</v>
      </c>
      <c r="P172" s="123">
        <f t="shared" si="50"/>
        <v>0.46</v>
      </c>
      <c r="Q172" s="123">
        <f t="shared" si="50"/>
        <v>0.46</v>
      </c>
      <c r="R172" s="123">
        <f t="shared" si="50"/>
        <v>0.46</v>
      </c>
      <c r="S172" s="123">
        <f t="shared" si="51"/>
        <v>0.46</v>
      </c>
      <c r="T172" s="123">
        <f t="shared" si="51"/>
        <v>0.46</v>
      </c>
      <c r="U172" s="123">
        <f t="shared" si="51"/>
        <v>0.46</v>
      </c>
      <c r="V172" s="123">
        <f t="shared" si="51"/>
        <v>0.46</v>
      </c>
      <c r="W172" s="123">
        <f t="shared" si="51"/>
        <v>0.46</v>
      </c>
      <c r="X172" s="123">
        <f t="shared" si="51"/>
        <v>0.46</v>
      </c>
      <c r="Y172" s="123">
        <f t="shared" si="51"/>
        <v>0.46</v>
      </c>
      <c r="Z172" s="123">
        <f t="shared" si="51"/>
        <v>0.46</v>
      </c>
      <c r="AA172" s="123">
        <f t="shared" si="51"/>
        <v>0.46</v>
      </c>
      <c r="AB172" s="123">
        <f t="shared" si="51"/>
        <v>0.46</v>
      </c>
      <c r="AC172" s="123">
        <f t="shared" si="51"/>
        <v>0.46</v>
      </c>
      <c r="AD172" s="123">
        <f t="shared" si="51"/>
        <v>0.46</v>
      </c>
      <c r="AE172" s="123">
        <f t="shared" si="51"/>
        <v>0.46</v>
      </c>
      <c r="AF172" s="123">
        <f t="shared" si="51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49"/>
        <v>0.85</v>
      </c>
      <c r="C173" s="124">
        <v>0.85</v>
      </c>
      <c r="D173" s="123">
        <f t="shared" si="50"/>
        <v>0.85</v>
      </c>
      <c r="E173" s="123">
        <f t="shared" si="50"/>
        <v>0.85</v>
      </c>
      <c r="F173" s="123">
        <f t="shared" si="50"/>
        <v>0.85</v>
      </c>
      <c r="G173" s="123">
        <f t="shared" si="50"/>
        <v>0.85</v>
      </c>
      <c r="H173" s="123">
        <f t="shared" si="50"/>
        <v>0.85</v>
      </c>
      <c r="I173" s="123">
        <f t="shared" si="50"/>
        <v>0.85</v>
      </c>
      <c r="J173" s="123">
        <f t="shared" si="50"/>
        <v>0.85</v>
      </c>
      <c r="K173" s="123">
        <f t="shared" si="50"/>
        <v>0.85</v>
      </c>
      <c r="L173" s="123">
        <f t="shared" si="50"/>
        <v>0.85</v>
      </c>
      <c r="M173" s="123">
        <f t="shared" si="50"/>
        <v>0.85</v>
      </c>
      <c r="N173" s="123">
        <f t="shared" si="50"/>
        <v>0.85</v>
      </c>
      <c r="O173" s="123">
        <f t="shared" si="50"/>
        <v>0.85</v>
      </c>
      <c r="P173" s="123">
        <f t="shared" si="50"/>
        <v>0.85</v>
      </c>
      <c r="Q173" s="123">
        <f t="shared" si="50"/>
        <v>0.85</v>
      </c>
      <c r="R173" s="123">
        <f t="shared" si="50"/>
        <v>0.85</v>
      </c>
      <c r="S173" s="123">
        <f t="shared" si="51"/>
        <v>0.85</v>
      </c>
      <c r="T173" s="123">
        <f t="shared" si="51"/>
        <v>0.85</v>
      </c>
      <c r="U173" s="123">
        <f t="shared" si="51"/>
        <v>0.85</v>
      </c>
      <c r="V173" s="123">
        <f t="shared" si="51"/>
        <v>0.85</v>
      </c>
      <c r="W173" s="123">
        <f t="shared" si="51"/>
        <v>0.85</v>
      </c>
      <c r="X173" s="123">
        <f t="shared" si="51"/>
        <v>0.85</v>
      </c>
      <c r="Y173" s="123">
        <f t="shared" si="51"/>
        <v>0.85</v>
      </c>
      <c r="Z173" s="123">
        <f t="shared" si="51"/>
        <v>0.85</v>
      </c>
      <c r="AA173" s="123">
        <f t="shared" si="51"/>
        <v>0.85</v>
      </c>
      <c r="AB173" s="123">
        <f t="shared" si="51"/>
        <v>0.85</v>
      </c>
      <c r="AC173" s="123">
        <f t="shared" si="51"/>
        <v>0.85</v>
      </c>
      <c r="AD173" s="123">
        <f t="shared" si="51"/>
        <v>0.85</v>
      </c>
      <c r="AE173" s="123">
        <f t="shared" si="51"/>
        <v>0.85</v>
      </c>
      <c r="AF173" s="123">
        <f t="shared" si="51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49"/>
        <v>0.9</v>
      </c>
      <c r="C174" s="124">
        <v>0.9</v>
      </c>
      <c r="D174" s="123">
        <f t="shared" si="50"/>
        <v>0.9</v>
      </c>
      <c r="E174" s="123">
        <f t="shared" si="50"/>
        <v>0.9</v>
      </c>
      <c r="F174" s="123">
        <f t="shared" si="50"/>
        <v>0.9</v>
      </c>
      <c r="G174" s="123">
        <f t="shared" si="50"/>
        <v>0.9</v>
      </c>
      <c r="H174" s="123">
        <f t="shared" si="50"/>
        <v>0.9</v>
      </c>
      <c r="I174" s="123">
        <f t="shared" si="50"/>
        <v>0.9</v>
      </c>
      <c r="J174" s="123">
        <f t="shared" si="50"/>
        <v>0.9</v>
      </c>
      <c r="K174" s="123">
        <f t="shared" si="50"/>
        <v>0.9</v>
      </c>
      <c r="L174" s="123">
        <f t="shared" si="50"/>
        <v>0.9</v>
      </c>
      <c r="M174" s="123">
        <f t="shared" si="50"/>
        <v>0.9</v>
      </c>
      <c r="N174" s="123">
        <f t="shared" si="50"/>
        <v>0.9</v>
      </c>
      <c r="O174" s="123">
        <f t="shared" si="50"/>
        <v>0.9</v>
      </c>
      <c r="P174" s="123">
        <f t="shared" si="50"/>
        <v>0.9</v>
      </c>
      <c r="Q174" s="123">
        <f t="shared" si="50"/>
        <v>0.9</v>
      </c>
      <c r="R174" s="123">
        <f t="shared" si="50"/>
        <v>0.9</v>
      </c>
      <c r="S174" s="123">
        <f t="shared" si="51"/>
        <v>0.9</v>
      </c>
      <c r="T174" s="123">
        <f t="shared" si="51"/>
        <v>0.9</v>
      </c>
      <c r="U174" s="123">
        <f t="shared" si="51"/>
        <v>0.9</v>
      </c>
      <c r="V174" s="123">
        <f t="shared" si="51"/>
        <v>0.9</v>
      </c>
      <c r="W174" s="123">
        <f t="shared" si="51"/>
        <v>0.9</v>
      </c>
      <c r="X174" s="123">
        <f t="shared" si="51"/>
        <v>0.9</v>
      </c>
      <c r="Y174" s="123">
        <f t="shared" si="51"/>
        <v>0.9</v>
      </c>
      <c r="Z174" s="123">
        <f t="shared" si="51"/>
        <v>0.9</v>
      </c>
      <c r="AA174" s="123">
        <f t="shared" si="51"/>
        <v>0.9</v>
      </c>
      <c r="AB174" s="123">
        <f t="shared" si="51"/>
        <v>0.9</v>
      </c>
      <c r="AC174" s="123">
        <f t="shared" si="51"/>
        <v>0.9</v>
      </c>
      <c r="AD174" s="123">
        <f t="shared" si="51"/>
        <v>0.9</v>
      </c>
      <c r="AE174" s="123">
        <f t="shared" si="51"/>
        <v>0.9</v>
      </c>
      <c r="AF174" s="123">
        <f t="shared" si="51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49"/>
        <v>0.44</v>
      </c>
      <c r="C175" s="124">
        <v>0.44</v>
      </c>
      <c r="D175" s="123">
        <f t="shared" si="50"/>
        <v>0.44</v>
      </c>
      <c r="E175" s="123">
        <f t="shared" si="50"/>
        <v>0.44</v>
      </c>
      <c r="F175" s="123">
        <f t="shared" si="50"/>
        <v>0.44</v>
      </c>
      <c r="G175" s="123">
        <f t="shared" si="50"/>
        <v>0.44</v>
      </c>
      <c r="H175" s="123">
        <f t="shared" si="50"/>
        <v>0.44</v>
      </c>
      <c r="I175" s="123">
        <f t="shared" si="50"/>
        <v>0.44</v>
      </c>
      <c r="J175" s="123">
        <f t="shared" si="50"/>
        <v>0.44</v>
      </c>
      <c r="K175" s="123">
        <f t="shared" si="50"/>
        <v>0.44</v>
      </c>
      <c r="L175" s="123">
        <f t="shared" si="50"/>
        <v>0.44</v>
      </c>
      <c r="M175" s="123">
        <f t="shared" si="50"/>
        <v>0.44</v>
      </c>
      <c r="N175" s="123">
        <f t="shared" si="50"/>
        <v>0.44</v>
      </c>
      <c r="O175" s="123">
        <f t="shared" si="50"/>
        <v>0.44</v>
      </c>
      <c r="P175" s="123">
        <f t="shared" si="50"/>
        <v>0.44</v>
      </c>
      <c r="Q175" s="123">
        <f t="shared" si="50"/>
        <v>0.44</v>
      </c>
      <c r="R175" s="123">
        <f t="shared" si="50"/>
        <v>0.44</v>
      </c>
      <c r="S175" s="123">
        <f t="shared" si="51"/>
        <v>0.44</v>
      </c>
      <c r="T175" s="123">
        <f t="shared" si="51"/>
        <v>0.44</v>
      </c>
      <c r="U175" s="123">
        <f t="shared" si="51"/>
        <v>0.44</v>
      </c>
      <c r="V175" s="123">
        <f t="shared" si="51"/>
        <v>0.44</v>
      </c>
      <c r="W175" s="123">
        <f t="shared" si="51"/>
        <v>0.44</v>
      </c>
      <c r="X175" s="123">
        <f t="shared" si="51"/>
        <v>0.44</v>
      </c>
      <c r="Y175" s="123">
        <f t="shared" si="51"/>
        <v>0.44</v>
      </c>
      <c r="Z175" s="123">
        <f t="shared" si="51"/>
        <v>0.44</v>
      </c>
      <c r="AA175" s="123">
        <f t="shared" si="51"/>
        <v>0.44</v>
      </c>
      <c r="AB175" s="123">
        <f t="shared" si="51"/>
        <v>0.44</v>
      </c>
      <c r="AC175" s="123">
        <f t="shared" si="51"/>
        <v>0.44</v>
      </c>
      <c r="AD175" s="123">
        <f t="shared" si="51"/>
        <v>0.44</v>
      </c>
      <c r="AE175" s="123">
        <f t="shared" si="51"/>
        <v>0.44</v>
      </c>
      <c r="AF175" s="123">
        <f t="shared" si="51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49"/>
        <v>2.1</v>
      </c>
      <c r="C176" s="124">
        <v>2.1</v>
      </c>
      <c r="D176" s="123">
        <f t="shared" si="50"/>
        <v>2.1</v>
      </c>
      <c r="E176" s="123">
        <f t="shared" si="50"/>
        <v>2.1</v>
      </c>
      <c r="F176" s="123">
        <f t="shared" si="50"/>
        <v>2.1</v>
      </c>
      <c r="G176" s="123">
        <f t="shared" si="50"/>
        <v>2.1</v>
      </c>
      <c r="H176" s="123">
        <f t="shared" si="50"/>
        <v>2.1</v>
      </c>
      <c r="I176" s="123">
        <f t="shared" si="50"/>
        <v>2.1</v>
      </c>
      <c r="J176" s="123">
        <f t="shared" si="50"/>
        <v>2.1</v>
      </c>
      <c r="K176" s="123">
        <f t="shared" si="50"/>
        <v>2.1</v>
      </c>
      <c r="L176" s="123">
        <f t="shared" si="50"/>
        <v>2.1</v>
      </c>
      <c r="M176" s="123">
        <f t="shared" si="50"/>
        <v>2.1</v>
      </c>
      <c r="N176" s="123">
        <f t="shared" si="50"/>
        <v>2.1</v>
      </c>
      <c r="O176" s="123">
        <f t="shared" si="50"/>
        <v>2.1</v>
      </c>
      <c r="P176" s="123">
        <f t="shared" si="50"/>
        <v>2.1</v>
      </c>
      <c r="Q176" s="123">
        <f t="shared" si="50"/>
        <v>2.1</v>
      </c>
      <c r="R176" s="123">
        <f t="shared" si="50"/>
        <v>2.1</v>
      </c>
      <c r="S176" s="123">
        <f t="shared" si="51"/>
        <v>2.1</v>
      </c>
      <c r="T176" s="123">
        <f t="shared" si="51"/>
        <v>2.1</v>
      </c>
      <c r="U176" s="123">
        <f t="shared" si="51"/>
        <v>2.1</v>
      </c>
      <c r="V176" s="123">
        <f t="shared" si="51"/>
        <v>2.1</v>
      </c>
      <c r="W176" s="123">
        <f t="shared" si="51"/>
        <v>2.1</v>
      </c>
      <c r="X176" s="123">
        <f t="shared" si="51"/>
        <v>2.1</v>
      </c>
      <c r="Y176" s="123">
        <f t="shared" si="51"/>
        <v>2.1</v>
      </c>
      <c r="Z176" s="123">
        <f t="shared" si="51"/>
        <v>2.1</v>
      </c>
      <c r="AA176" s="123">
        <f t="shared" si="51"/>
        <v>2.1</v>
      </c>
      <c r="AB176" s="123">
        <f t="shared" si="51"/>
        <v>2.1</v>
      </c>
      <c r="AC176" s="123">
        <f t="shared" si="51"/>
        <v>2.1</v>
      </c>
      <c r="AD176" s="123">
        <f t="shared" si="51"/>
        <v>2.1</v>
      </c>
      <c r="AE176" s="123">
        <f t="shared" si="51"/>
        <v>2.1</v>
      </c>
      <c r="AF176" s="123">
        <f t="shared" si="51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49"/>
        <v>0.9</v>
      </c>
      <c r="C177" s="124">
        <v>0.9</v>
      </c>
      <c r="D177" s="123">
        <f t="shared" si="50"/>
        <v>0.9</v>
      </c>
      <c r="E177" s="123">
        <f t="shared" si="50"/>
        <v>0.9</v>
      </c>
      <c r="F177" s="123">
        <f t="shared" si="50"/>
        <v>0.9</v>
      </c>
      <c r="G177" s="123">
        <f t="shared" si="50"/>
        <v>0.9</v>
      </c>
      <c r="H177" s="123">
        <f t="shared" si="50"/>
        <v>0.9</v>
      </c>
      <c r="I177" s="123">
        <f t="shared" si="50"/>
        <v>0.9</v>
      </c>
      <c r="J177" s="123">
        <f t="shared" si="50"/>
        <v>0.9</v>
      </c>
      <c r="K177" s="123">
        <f t="shared" si="50"/>
        <v>0.9</v>
      </c>
      <c r="L177" s="123">
        <f t="shared" si="50"/>
        <v>0.9</v>
      </c>
      <c r="M177" s="123">
        <f t="shared" si="50"/>
        <v>0.9</v>
      </c>
      <c r="N177" s="123">
        <f t="shared" si="50"/>
        <v>0.9</v>
      </c>
      <c r="O177" s="123">
        <f t="shared" si="50"/>
        <v>0.9</v>
      </c>
      <c r="P177" s="123">
        <f t="shared" si="50"/>
        <v>0.9</v>
      </c>
      <c r="Q177" s="123">
        <f t="shared" si="50"/>
        <v>0.9</v>
      </c>
      <c r="R177" s="123">
        <f t="shared" si="50"/>
        <v>0.9</v>
      </c>
      <c r="S177" s="123">
        <f t="shared" si="51"/>
        <v>0.9</v>
      </c>
      <c r="T177" s="123">
        <f t="shared" si="51"/>
        <v>0.9</v>
      </c>
      <c r="U177" s="123">
        <f t="shared" si="51"/>
        <v>0.9</v>
      </c>
      <c r="V177" s="123">
        <f t="shared" si="51"/>
        <v>0.9</v>
      </c>
      <c r="W177" s="123">
        <f t="shared" si="51"/>
        <v>0.9</v>
      </c>
      <c r="X177" s="123">
        <f t="shared" si="51"/>
        <v>0.9</v>
      </c>
      <c r="Y177" s="123">
        <f t="shared" si="51"/>
        <v>0.9</v>
      </c>
      <c r="Z177" s="123">
        <f t="shared" si="51"/>
        <v>0.9</v>
      </c>
      <c r="AA177" s="123">
        <f t="shared" si="51"/>
        <v>0.9</v>
      </c>
      <c r="AB177" s="123">
        <f t="shared" si="51"/>
        <v>0.9</v>
      </c>
      <c r="AC177" s="123">
        <f t="shared" si="51"/>
        <v>0.9</v>
      </c>
      <c r="AD177" s="123">
        <f t="shared" si="51"/>
        <v>0.9</v>
      </c>
      <c r="AE177" s="123">
        <f t="shared" si="51"/>
        <v>0.9</v>
      </c>
      <c r="AF177" s="123">
        <f t="shared" si="51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2">AF179</f>
        <v>0.57999999999999996</v>
      </c>
      <c r="C179" s="124">
        <v>0.57999999999999996</v>
      </c>
      <c r="D179" s="123">
        <f t="shared" ref="D179:S191" si="53">C179</f>
        <v>0.57999999999999996</v>
      </c>
      <c r="E179" s="123">
        <f t="shared" si="53"/>
        <v>0.57999999999999996</v>
      </c>
      <c r="F179" s="123">
        <f t="shared" si="53"/>
        <v>0.57999999999999996</v>
      </c>
      <c r="G179" s="123">
        <f t="shared" si="53"/>
        <v>0.57999999999999996</v>
      </c>
      <c r="H179" s="123">
        <f t="shared" si="53"/>
        <v>0.57999999999999996</v>
      </c>
      <c r="I179" s="123">
        <f t="shared" si="53"/>
        <v>0.57999999999999996</v>
      </c>
      <c r="J179" s="123">
        <f t="shared" si="53"/>
        <v>0.57999999999999996</v>
      </c>
      <c r="K179" s="123">
        <f t="shared" si="53"/>
        <v>0.57999999999999996</v>
      </c>
      <c r="L179" s="123">
        <f t="shared" si="53"/>
        <v>0.57999999999999996</v>
      </c>
      <c r="M179" s="123">
        <f t="shared" si="53"/>
        <v>0.57999999999999996</v>
      </c>
      <c r="N179" s="123">
        <f t="shared" si="53"/>
        <v>0.57999999999999996</v>
      </c>
      <c r="O179" s="123">
        <f t="shared" si="53"/>
        <v>0.57999999999999996</v>
      </c>
      <c r="P179" s="123">
        <f t="shared" si="53"/>
        <v>0.57999999999999996</v>
      </c>
      <c r="Q179" s="123">
        <f t="shared" si="53"/>
        <v>0.57999999999999996</v>
      </c>
      <c r="R179" s="123">
        <f t="shared" si="53"/>
        <v>0.57999999999999996</v>
      </c>
      <c r="S179" s="123">
        <f t="shared" si="53"/>
        <v>0.57999999999999996</v>
      </c>
      <c r="T179" s="123">
        <f t="shared" ref="S179:AF191" si="54">S179</f>
        <v>0.57999999999999996</v>
      </c>
      <c r="U179" s="123">
        <f t="shared" si="54"/>
        <v>0.57999999999999996</v>
      </c>
      <c r="V179" s="123">
        <f t="shared" si="54"/>
        <v>0.57999999999999996</v>
      </c>
      <c r="W179" s="123">
        <f t="shared" si="54"/>
        <v>0.57999999999999996</v>
      </c>
      <c r="X179" s="123">
        <f t="shared" si="54"/>
        <v>0.57999999999999996</v>
      </c>
      <c r="Y179" s="123">
        <f t="shared" si="54"/>
        <v>0.57999999999999996</v>
      </c>
      <c r="Z179" s="123">
        <f t="shared" si="54"/>
        <v>0.57999999999999996</v>
      </c>
      <c r="AA179" s="123">
        <f t="shared" si="54"/>
        <v>0.57999999999999996</v>
      </c>
      <c r="AB179" s="123">
        <f t="shared" si="54"/>
        <v>0.57999999999999996</v>
      </c>
      <c r="AC179" s="123">
        <f t="shared" si="54"/>
        <v>0.57999999999999996</v>
      </c>
      <c r="AD179" s="123">
        <f t="shared" si="54"/>
        <v>0.57999999999999996</v>
      </c>
      <c r="AE179" s="123">
        <f t="shared" si="54"/>
        <v>0.57999999999999996</v>
      </c>
      <c r="AF179" s="123">
        <f t="shared" si="54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2"/>
        <v>0.8</v>
      </c>
      <c r="C180" s="124">
        <v>0.8</v>
      </c>
      <c r="D180" s="123">
        <f t="shared" si="53"/>
        <v>0.8</v>
      </c>
      <c r="E180" s="123">
        <f t="shared" si="53"/>
        <v>0.8</v>
      </c>
      <c r="F180" s="123">
        <f t="shared" si="53"/>
        <v>0.8</v>
      </c>
      <c r="G180" s="123">
        <f t="shared" si="53"/>
        <v>0.8</v>
      </c>
      <c r="H180" s="123">
        <f t="shared" si="53"/>
        <v>0.8</v>
      </c>
      <c r="I180" s="123">
        <f t="shared" si="53"/>
        <v>0.8</v>
      </c>
      <c r="J180" s="123">
        <f t="shared" si="53"/>
        <v>0.8</v>
      </c>
      <c r="K180" s="123">
        <f t="shared" si="53"/>
        <v>0.8</v>
      </c>
      <c r="L180" s="123">
        <f t="shared" si="53"/>
        <v>0.8</v>
      </c>
      <c r="M180" s="123">
        <f t="shared" si="53"/>
        <v>0.8</v>
      </c>
      <c r="N180" s="123">
        <f t="shared" si="53"/>
        <v>0.8</v>
      </c>
      <c r="O180" s="123">
        <f t="shared" si="53"/>
        <v>0.8</v>
      </c>
      <c r="P180" s="123">
        <f t="shared" si="53"/>
        <v>0.8</v>
      </c>
      <c r="Q180" s="123">
        <f t="shared" si="53"/>
        <v>0.8</v>
      </c>
      <c r="R180" s="123">
        <f t="shared" si="53"/>
        <v>0.8</v>
      </c>
      <c r="S180" s="123">
        <f t="shared" si="53"/>
        <v>0.8</v>
      </c>
      <c r="T180" s="123">
        <f t="shared" si="54"/>
        <v>0.8</v>
      </c>
      <c r="U180" s="123">
        <f t="shared" si="54"/>
        <v>0.8</v>
      </c>
      <c r="V180" s="123">
        <f t="shared" si="54"/>
        <v>0.8</v>
      </c>
      <c r="W180" s="123">
        <f t="shared" si="54"/>
        <v>0.8</v>
      </c>
      <c r="X180" s="123">
        <f t="shared" si="54"/>
        <v>0.8</v>
      </c>
      <c r="Y180" s="123">
        <f t="shared" si="54"/>
        <v>0.8</v>
      </c>
      <c r="Z180" s="123">
        <f t="shared" si="54"/>
        <v>0.8</v>
      </c>
      <c r="AA180" s="123">
        <f t="shared" si="54"/>
        <v>0.8</v>
      </c>
      <c r="AB180" s="123">
        <f t="shared" si="54"/>
        <v>0.8</v>
      </c>
      <c r="AC180" s="123">
        <f t="shared" si="54"/>
        <v>0.8</v>
      </c>
      <c r="AD180" s="123">
        <f t="shared" si="54"/>
        <v>0.8</v>
      </c>
      <c r="AE180" s="123">
        <f t="shared" si="54"/>
        <v>0.8</v>
      </c>
      <c r="AF180" s="123">
        <f t="shared" si="54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2"/>
        <v>0</v>
      </c>
      <c r="C181" s="124">
        <v>0</v>
      </c>
      <c r="D181" s="123">
        <f t="shared" si="53"/>
        <v>0</v>
      </c>
      <c r="E181" s="123">
        <f t="shared" si="53"/>
        <v>0</v>
      </c>
      <c r="F181" s="123">
        <f t="shared" si="53"/>
        <v>0</v>
      </c>
      <c r="G181" s="123">
        <f t="shared" si="53"/>
        <v>0</v>
      </c>
      <c r="H181" s="123">
        <f t="shared" si="53"/>
        <v>0</v>
      </c>
      <c r="I181" s="123">
        <f t="shared" si="53"/>
        <v>0</v>
      </c>
      <c r="J181" s="123">
        <f t="shared" si="53"/>
        <v>0</v>
      </c>
      <c r="K181" s="123">
        <f t="shared" si="53"/>
        <v>0</v>
      </c>
      <c r="L181" s="123">
        <f t="shared" si="53"/>
        <v>0</v>
      </c>
      <c r="M181" s="123">
        <f t="shared" si="53"/>
        <v>0</v>
      </c>
      <c r="N181" s="123">
        <f t="shared" si="53"/>
        <v>0</v>
      </c>
      <c r="O181" s="123">
        <f t="shared" si="53"/>
        <v>0</v>
      </c>
      <c r="P181" s="123">
        <f t="shared" si="53"/>
        <v>0</v>
      </c>
      <c r="Q181" s="123">
        <f t="shared" si="53"/>
        <v>0</v>
      </c>
      <c r="R181" s="123">
        <f t="shared" si="53"/>
        <v>0</v>
      </c>
      <c r="S181" s="123">
        <f t="shared" si="53"/>
        <v>0</v>
      </c>
      <c r="T181" s="123">
        <f t="shared" si="54"/>
        <v>0</v>
      </c>
      <c r="U181" s="123">
        <f t="shared" si="54"/>
        <v>0</v>
      </c>
      <c r="V181" s="123">
        <f t="shared" si="54"/>
        <v>0</v>
      </c>
      <c r="W181" s="123">
        <f t="shared" si="54"/>
        <v>0</v>
      </c>
      <c r="X181" s="123">
        <f t="shared" si="54"/>
        <v>0</v>
      </c>
      <c r="Y181" s="123">
        <f t="shared" si="54"/>
        <v>0</v>
      </c>
      <c r="Z181" s="123">
        <f t="shared" si="54"/>
        <v>0</v>
      </c>
      <c r="AA181" s="123">
        <f t="shared" si="54"/>
        <v>0</v>
      </c>
      <c r="AB181" s="123">
        <f t="shared" si="54"/>
        <v>0</v>
      </c>
      <c r="AC181" s="123">
        <f t="shared" si="54"/>
        <v>0</v>
      </c>
      <c r="AD181" s="123">
        <f t="shared" si="54"/>
        <v>0</v>
      </c>
      <c r="AE181" s="123">
        <f t="shared" si="54"/>
        <v>0</v>
      </c>
      <c r="AF181" s="123">
        <f t="shared" si="54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2"/>
        <v>0.6</v>
      </c>
      <c r="C182" s="124">
        <v>0.6</v>
      </c>
      <c r="D182" s="123">
        <f t="shared" si="53"/>
        <v>0.6</v>
      </c>
      <c r="E182" s="123">
        <f t="shared" si="53"/>
        <v>0.6</v>
      </c>
      <c r="F182" s="123">
        <f t="shared" si="53"/>
        <v>0.6</v>
      </c>
      <c r="G182" s="123">
        <f t="shared" si="53"/>
        <v>0.6</v>
      </c>
      <c r="H182" s="123">
        <f t="shared" si="53"/>
        <v>0.6</v>
      </c>
      <c r="I182" s="123">
        <f t="shared" si="53"/>
        <v>0.6</v>
      </c>
      <c r="J182" s="123">
        <f t="shared" si="53"/>
        <v>0.6</v>
      </c>
      <c r="K182" s="123">
        <f t="shared" si="53"/>
        <v>0.6</v>
      </c>
      <c r="L182" s="123">
        <f t="shared" si="53"/>
        <v>0.6</v>
      </c>
      <c r="M182" s="123">
        <f t="shared" si="53"/>
        <v>0.6</v>
      </c>
      <c r="N182" s="123">
        <f t="shared" si="53"/>
        <v>0.6</v>
      </c>
      <c r="O182" s="123">
        <f t="shared" si="53"/>
        <v>0.6</v>
      </c>
      <c r="P182" s="123">
        <f t="shared" si="53"/>
        <v>0.6</v>
      </c>
      <c r="Q182" s="123">
        <f t="shared" si="53"/>
        <v>0.6</v>
      </c>
      <c r="R182" s="123">
        <f t="shared" si="53"/>
        <v>0.6</v>
      </c>
      <c r="S182" s="123">
        <f t="shared" si="53"/>
        <v>0.6</v>
      </c>
      <c r="T182" s="123">
        <f t="shared" si="54"/>
        <v>0.6</v>
      </c>
      <c r="U182" s="123">
        <f t="shared" si="54"/>
        <v>0.6</v>
      </c>
      <c r="V182" s="123">
        <f t="shared" si="54"/>
        <v>0.6</v>
      </c>
      <c r="W182" s="123">
        <f t="shared" si="54"/>
        <v>0.6</v>
      </c>
      <c r="X182" s="123">
        <f t="shared" si="54"/>
        <v>0.6</v>
      </c>
      <c r="Y182" s="123">
        <f t="shared" si="54"/>
        <v>0.6</v>
      </c>
      <c r="Z182" s="123">
        <f t="shared" si="54"/>
        <v>0.6</v>
      </c>
      <c r="AA182" s="123">
        <f t="shared" si="54"/>
        <v>0.6</v>
      </c>
      <c r="AB182" s="123">
        <f t="shared" si="54"/>
        <v>0.6</v>
      </c>
      <c r="AC182" s="123">
        <f t="shared" si="54"/>
        <v>0.6</v>
      </c>
      <c r="AD182" s="123">
        <f t="shared" si="54"/>
        <v>0.6</v>
      </c>
      <c r="AE182" s="123">
        <f t="shared" si="54"/>
        <v>0.6</v>
      </c>
      <c r="AF182" s="123">
        <f t="shared" si="54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2"/>
        <v>0.35</v>
      </c>
      <c r="C184" s="124">
        <v>0.35</v>
      </c>
      <c r="D184" s="123">
        <f t="shared" si="53"/>
        <v>0.35</v>
      </c>
      <c r="E184" s="123">
        <f t="shared" si="53"/>
        <v>0.35</v>
      </c>
      <c r="F184" s="123">
        <f t="shared" si="53"/>
        <v>0.35</v>
      </c>
      <c r="G184" s="123">
        <f t="shared" si="53"/>
        <v>0.35</v>
      </c>
      <c r="H184" s="123">
        <f t="shared" si="53"/>
        <v>0.35</v>
      </c>
      <c r="I184" s="123">
        <f t="shared" si="53"/>
        <v>0.35</v>
      </c>
      <c r="J184" s="123">
        <f t="shared" si="53"/>
        <v>0.35</v>
      </c>
      <c r="K184" s="123">
        <f t="shared" si="53"/>
        <v>0.35</v>
      </c>
      <c r="L184" s="123">
        <f t="shared" si="53"/>
        <v>0.35</v>
      </c>
      <c r="M184" s="123">
        <f t="shared" si="53"/>
        <v>0.35</v>
      </c>
      <c r="N184" s="123">
        <f t="shared" si="53"/>
        <v>0.35</v>
      </c>
      <c r="O184" s="123">
        <f t="shared" si="53"/>
        <v>0.35</v>
      </c>
      <c r="P184" s="123">
        <f t="shared" si="53"/>
        <v>0.35</v>
      </c>
      <c r="Q184" s="123">
        <f t="shared" si="53"/>
        <v>0.35</v>
      </c>
      <c r="R184" s="123">
        <f t="shared" si="53"/>
        <v>0.35</v>
      </c>
      <c r="S184" s="123">
        <f t="shared" si="53"/>
        <v>0.35</v>
      </c>
      <c r="T184" s="123">
        <f t="shared" si="54"/>
        <v>0.35</v>
      </c>
      <c r="U184" s="123">
        <f t="shared" si="54"/>
        <v>0.35</v>
      </c>
      <c r="V184" s="123">
        <f t="shared" si="54"/>
        <v>0.35</v>
      </c>
      <c r="W184" s="123">
        <f t="shared" si="54"/>
        <v>0.35</v>
      </c>
      <c r="X184" s="123">
        <f t="shared" si="54"/>
        <v>0.35</v>
      </c>
      <c r="Y184" s="123">
        <f t="shared" si="54"/>
        <v>0.35</v>
      </c>
      <c r="Z184" s="123">
        <f t="shared" si="54"/>
        <v>0.35</v>
      </c>
      <c r="AA184" s="123">
        <f t="shared" si="54"/>
        <v>0.35</v>
      </c>
      <c r="AB184" s="123">
        <f t="shared" si="54"/>
        <v>0.35</v>
      </c>
      <c r="AC184" s="123">
        <f t="shared" si="54"/>
        <v>0.35</v>
      </c>
      <c r="AD184" s="123">
        <f t="shared" si="54"/>
        <v>0.35</v>
      </c>
      <c r="AE184" s="123">
        <f t="shared" si="54"/>
        <v>0.35</v>
      </c>
      <c r="AF184" s="123">
        <f t="shared" si="54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2"/>
        <v>0.28999999999999998</v>
      </c>
      <c r="C185" s="124">
        <v>0.28999999999999998</v>
      </c>
      <c r="D185" s="123">
        <f t="shared" si="53"/>
        <v>0.28999999999999998</v>
      </c>
      <c r="E185" s="123">
        <f t="shared" si="53"/>
        <v>0.28999999999999998</v>
      </c>
      <c r="F185" s="123">
        <f t="shared" si="53"/>
        <v>0.28999999999999998</v>
      </c>
      <c r="G185" s="123">
        <f t="shared" si="53"/>
        <v>0.28999999999999998</v>
      </c>
      <c r="H185" s="123">
        <f t="shared" si="53"/>
        <v>0.28999999999999998</v>
      </c>
      <c r="I185" s="123">
        <f t="shared" si="53"/>
        <v>0.28999999999999998</v>
      </c>
      <c r="J185" s="123">
        <f t="shared" si="53"/>
        <v>0.28999999999999998</v>
      </c>
      <c r="K185" s="123">
        <f t="shared" si="53"/>
        <v>0.28999999999999998</v>
      </c>
      <c r="L185" s="123">
        <f t="shared" si="53"/>
        <v>0.28999999999999998</v>
      </c>
      <c r="M185" s="123">
        <f t="shared" si="53"/>
        <v>0.28999999999999998</v>
      </c>
      <c r="N185" s="123">
        <f t="shared" si="53"/>
        <v>0.28999999999999998</v>
      </c>
      <c r="O185" s="123">
        <f t="shared" si="53"/>
        <v>0.28999999999999998</v>
      </c>
      <c r="P185" s="123">
        <f t="shared" si="53"/>
        <v>0.28999999999999998</v>
      </c>
      <c r="Q185" s="123">
        <f t="shared" si="53"/>
        <v>0.28999999999999998</v>
      </c>
      <c r="R185" s="123">
        <f t="shared" si="53"/>
        <v>0.28999999999999998</v>
      </c>
      <c r="S185" s="123">
        <f t="shared" si="53"/>
        <v>0.28999999999999998</v>
      </c>
      <c r="T185" s="123">
        <f t="shared" si="54"/>
        <v>0.28999999999999998</v>
      </c>
      <c r="U185" s="123">
        <f t="shared" si="54"/>
        <v>0.28999999999999998</v>
      </c>
      <c r="V185" s="123">
        <f t="shared" si="54"/>
        <v>0.28999999999999998</v>
      </c>
      <c r="W185" s="123">
        <f t="shared" si="54"/>
        <v>0.28999999999999998</v>
      </c>
      <c r="X185" s="123">
        <f t="shared" si="54"/>
        <v>0.28999999999999998</v>
      </c>
      <c r="Y185" s="123">
        <f t="shared" si="54"/>
        <v>0.28999999999999998</v>
      </c>
      <c r="Z185" s="123">
        <f t="shared" si="54"/>
        <v>0.28999999999999998</v>
      </c>
      <c r="AA185" s="123">
        <f t="shared" si="54"/>
        <v>0.28999999999999998</v>
      </c>
      <c r="AB185" s="123">
        <f t="shared" si="54"/>
        <v>0.28999999999999998</v>
      </c>
      <c r="AC185" s="123">
        <f t="shared" si="54"/>
        <v>0.28999999999999998</v>
      </c>
      <c r="AD185" s="123">
        <f t="shared" si="54"/>
        <v>0.28999999999999998</v>
      </c>
      <c r="AE185" s="123">
        <f t="shared" si="54"/>
        <v>0.28999999999999998</v>
      </c>
      <c r="AF185" s="123">
        <f t="shared" si="54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2"/>
        <v>0.06</v>
      </c>
      <c r="C186" s="124">
        <v>0.06</v>
      </c>
      <c r="D186" s="123">
        <f t="shared" si="53"/>
        <v>0.06</v>
      </c>
      <c r="E186" s="123">
        <f t="shared" si="53"/>
        <v>0.06</v>
      </c>
      <c r="F186" s="123">
        <f t="shared" si="53"/>
        <v>0.06</v>
      </c>
      <c r="G186" s="123">
        <f t="shared" si="53"/>
        <v>0.06</v>
      </c>
      <c r="H186" s="123">
        <f t="shared" si="53"/>
        <v>0.06</v>
      </c>
      <c r="I186" s="123">
        <f t="shared" si="53"/>
        <v>0.06</v>
      </c>
      <c r="J186" s="123">
        <f t="shared" si="53"/>
        <v>0.06</v>
      </c>
      <c r="K186" s="123">
        <f t="shared" si="53"/>
        <v>0.06</v>
      </c>
      <c r="L186" s="123">
        <f t="shared" si="53"/>
        <v>0.06</v>
      </c>
      <c r="M186" s="123">
        <f t="shared" si="53"/>
        <v>0.06</v>
      </c>
      <c r="N186" s="123">
        <f t="shared" si="53"/>
        <v>0.06</v>
      </c>
      <c r="O186" s="123">
        <f t="shared" si="53"/>
        <v>0.06</v>
      </c>
      <c r="P186" s="123">
        <f t="shared" si="53"/>
        <v>0.06</v>
      </c>
      <c r="Q186" s="123">
        <f t="shared" si="53"/>
        <v>0.06</v>
      </c>
      <c r="R186" s="123">
        <f t="shared" si="53"/>
        <v>0.06</v>
      </c>
      <c r="S186" s="123">
        <f t="shared" si="53"/>
        <v>0.06</v>
      </c>
      <c r="T186" s="123">
        <f t="shared" si="54"/>
        <v>0.06</v>
      </c>
      <c r="U186" s="123">
        <f t="shared" si="54"/>
        <v>0.06</v>
      </c>
      <c r="V186" s="123">
        <f t="shared" si="54"/>
        <v>0.06</v>
      </c>
      <c r="W186" s="123">
        <f t="shared" si="54"/>
        <v>0.06</v>
      </c>
      <c r="X186" s="123">
        <f t="shared" si="54"/>
        <v>0.06</v>
      </c>
      <c r="Y186" s="123">
        <f t="shared" si="54"/>
        <v>0.06</v>
      </c>
      <c r="Z186" s="123">
        <f t="shared" si="54"/>
        <v>0.06</v>
      </c>
      <c r="AA186" s="123">
        <f t="shared" si="54"/>
        <v>0.06</v>
      </c>
      <c r="AB186" s="123">
        <f t="shared" si="54"/>
        <v>0.06</v>
      </c>
      <c r="AC186" s="123">
        <f t="shared" si="54"/>
        <v>0.06</v>
      </c>
      <c r="AD186" s="123">
        <f t="shared" si="54"/>
        <v>0.06</v>
      </c>
      <c r="AE186" s="123">
        <f t="shared" si="54"/>
        <v>0.06</v>
      </c>
      <c r="AF186" s="123">
        <f t="shared" si="54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2"/>
        <v>0.11</v>
      </c>
      <c r="C187" s="124">
        <v>0.11</v>
      </c>
      <c r="D187" s="123">
        <f t="shared" si="53"/>
        <v>0.11</v>
      </c>
      <c r="E187" s="123">
        <f t="shared" si="53"/>
        <v>0.11</v>
      </c>
      <c r="F187" s="123">
        <f t="shared" si="53"/>
        <v>0.11</v>
      </c>
      <c r="G187" s="123">
        <f t="shared" si="53"/>
        <v>0.11</v>
      </c>
      <c r="H187" s="123">
        <f t="shared" si="53"/>
        <v>0.11</v>
      </c>
      <c r="I187" s="123">
        <f t="shared" si="53"/>
        <v>0.11</v>
      </c>
      <c r="J187" s="123">
        <f t="shared" si="53"/>
        <v>0.11</v>
      </c>
      <c r="K187" s="123">
        <f t="shared" si="53"/>
        <v>0.11</v>
      </c>
      <c r="L187" s="123">
        <f t="shared" si="53"/>
        <v>0.11</v>
      </c>
      <c r="M187" s="123">
        <f t="shared" si="53"/>
        <v>0.11</v>
      </c>
      <c r="N187" s="123">
        <f t="shared" si="53"/>
        <v>0.11</v>
      </c>
      <c r="O187" s="123">
        <f t="shared" si="53"/>
        <v>0.11</v>
      </c>
      <c r="P187" s="123">
        <f t="shared" si="53"/>
        <v>0.11</v>
      </c>
      <c r="Q187" s="123">
        <f t="shared" si="53"/>
        <v>0.11</v>
      </c>
      <c r="R187" s="123">
        <f t="shared" si="53"/>
        <v>0.11</v>
      </c>
      <c r="S187" s="123">
        <f t="shared" si="53"/>
        <v>0.11</v>
      </c>
      <c r="T187" s="123">
        <f t="shared" si="54"/>
        <v>0.11</v>
      </c>
      <c r="U187" s="123">
        <f t="shared" si="54"/>
        <v>0.11</v>
      </c>
      <c r="V187" s="123">
        <f t="shared" si="54"/>
        <v>0.11</v>
      </c>
      <c r="W187" s="123">
        <f t="shared" si="54"/>
        <v>0.11</v>
      </c>
      <c r="X187" s="123">
        <f t="shared" si="54"/>
        <v>0.11</v>
      </c>
      <c r="Y187" s="123">
        <f t="shared" si="54"/>
        <v>0.11</v>
      </c>
      <c r="Z187" s="123">
        <f t="shared" si="54"/>
        <v>0.11</v>
      </c>
      <c r="AA187" s="123">
        <f t="shared" si="54"/>
        <v>0.11</v>
      </c>
      <c r="AB187" s="123">
        <f t="shared" si="54"/>
        <v>0.11</v>
      </c>
      <c r="AC187" s="123">
        <f t="shared" si="54"/>
        <v>0.11</v>
      </c>
      <c r="AD187" s="123">
        <f t="shared" si="54"/>
        <v>0.11</v>
      </c>
      <c r="AE187" s="123">
        <f t="shared" si="54"/>
        <v>0.11</v>
      </c>
      <c r="AF187" s="123">
        <f t="shared" si="54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2"/>
        <v>0.1</v>
      </c>
      <c r="C188" s="124">
        <v>0.1</v>
      </c>
      <c r="D188" s="123">
        <f t="shared" si="53"/>
        <v>0.1</v>
      </c>
      <c r="E188" s="123">
        <f t="shared" si="53"/>
        <v>0.1</v>
      </c>
      <c r="F188" s="123">
        <f t="shared" si="53"/>
        <v>0.1</v>
      </c>
      <c r="G188" s="123">
        <f t="shared" si="53"/>
        <v>0.1</v>
      </c>
      <c r="H188" s="123">
        <f t="shared" si="53"/>
        <v>0.1</v>
      </c>
      <c r="I188" s="123">
        <f t="shared" si="53"/>
        <v>0.1</v>
      </c>
      <c r="J188" s="123">
        <f t="shared" si="53"/>
        <v>0.1</v>
      </c>
      <c r="K188" s="123">
        <f t="shared" si="53"/>
        <v>0.1</v>
      </c>
      <c r="L188" s="123">
        <f t="shared" si="53"/>
        <v>0.1</v>
      </c>
      <c r="M188" s="123">
        <f t="shared" si="53"/>
        <v>0.1</v>
      </c>
      <c r="N188" s="123">
        <f t="shared" si="53"/>
        <v>0.1</v>
      </c>
      <c r="O188" s="123">
        <f t="shared" si="53"/>
        <v>0.1</v>
      </c>
      <c r="P188" s="123">
        <f t="shared" si="53"/>
        <v>0.1</v>
      </c>
      <c r="Q188" s="123">
        <f t="shared" si="53"/>
        <v>0.1</v>
      </c>
      <c r="R188" s="123">
        <f t="shared" si="53"/>
        <v>0.1</v>
      </c>
      <c r="S188" s="123">
        <f t="shared" si="54"/>
        <v>0.1</v>
      </c>
      <c r="T188" s="123">
        <f t="shared" si="54"/>
        <v>0.1</v>
      </c>
      <c r="U188" s="123">
        <f t="shared" si="54"/>
        <v>0.1</v>
      </c>
      <c r="V188" s="123">
        <f t="shared" si="54"/>
        <v>0.1</v>
      </c>
      <c r="W188" s="123">
        <f t="shared" si="54"/>
        <v>0.1</v>
      </c>
      <c r="X188" s="123">
        <f t="shared" si="54"/>
        <v>0.1</v>
      </c>
      <c r="Y188" s="123">
        <f t="shared" si="54"/>
        <v>0.1</v>
      </c>
      <c r="Z188" s="123">
        <f t="shared" si="54"/>
        <v>0.1</v>
      </c>
      <c r="AA188" s="123">
        <f t="shared" si="54"/>
        <v>0.1</v>
      </c>
      <c r="AB188" s="123">
        <f t="shared" si="54"/>
        <v>0.1</v>
      </c>
      <c r="AC188" s="123">
        <f t="shared" si="54"/>
        <v>0.1</v>
      </c>
      <c r="AD188" s="123">
        <f t="shared" si="54"/>
        <v>0.1</v>
      </c>
      <c r="AE188" s="123">
        <f t="shared" si="54"/>
        <v>0.1</v>
      </c>
      <c r="AF188" s="123">
        <f t="shared" si="54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2"/>
        <v>0.09</v>
      </c>
      <c r="C189" s="124">
        <v>0.09</v>
      </c>
      <c r="D189" s="123">
        <f t="shared" si="53"/>
        <v>0.09</v>
      </c>
      <c r="E189" s="123">
        <f t="shared" si="53"/>
        <v>0.09</v>
      </c>
      <c r="F189" s="123">
        <f t="shared" si="53"/>
        <v>0.09</v>
      </c>
      <c r="G189" s="123">
        <f t="shared" si="53"/>
        <v>0.09</v>
      </c>
      <c r="H189" s="123">
        <f t="shared" si="53"/>
        <v>0.09</v>
      </c>
      <c r="I189" s="123">
        <f t="shared" si="53"/>
        <v>0.09</v>
      </c>
      <c r="J189" s="123">
        <f t="shared" si="53"/>
        <v>0.09</v>
      </c>
      <c r="K189" s="123">
        <f t="shared" si="53"/>
        <v>0.09</v>
      </c>
      <c r="L189" s="123">
        <f t="shared" si="53"/>
        <v>0.09</v>
      </c>
      <c r="M189" s="123">
        <f t="shared" si="53"/>
        <v>0.09</v>
      </c>
      <c r="N189" s="123">
        <f t="shared" si="53"/>
        <v>0.09</v>
      </c>
      <c r="O189" s="123">
        <f t="shared" si="53"/>
        <v>0.09</v>
      </c>
      <c r="P189" s="123">
        <f t="shared" si="53"/>
        <v>0.09</v>
      </c>
      <c r="Q189" s="123">
        <f t="shared" si="53"/>
        <v>0.09</v>
      </c>
      <c r="R189" s="123">
        <f t="shared" si="53"/>
        <v>0.09</v>
      </c>
      <c r="S189" s="123">
        <f t="shared" si="54"/>
        <v>0.09</v>
      </c>
      <c r="T189" s="123">
        <f t="shared" si="54"/>
        <v>0.09</v>
      </c>
      <c r="U189" s="123">
        <f t="shared" si="54"/>
        <v>0.09</v>
      </c>
      <c r="V189" s="123">
        <f t="shared" si="54"/>
        <v>0.09</v>
      </c>
      <c r="W189" s="123">
        <f t="shared" si="54"/>
        <v>0.09</v>
      </c>
      <c r="X189" s="123">
        <f t="shared" si="54"/>
        <v>0.09</v>
      </c>
      <c r="Y189" s="123">
        <f t="shared" si="54"/>
        <v>0.09</v>
      </c>
      <c r="Z189" s="123">
        <f t="shared" si="54"/>
        <v>0.09</v>
      </c>
      <c r="AA189" s="123">
        <f t="shared" si="54"/>
        <v>0.09</v>
      </c>
      <c r="AB189" s="123">
        <f t="shared" si="54"/>
        <v>0.09</v>
      </c>
      <c r="AC189" s="123">
        <f t="shared" si="54"/>
        <v>0.09</v>
      </c>
      <c r="AD189" s="123">
        <f t="shared" si="54"/>
        <v>0.09</v>
      </c>
      <c r="AE189" s="123">
        <f t="shared" si="54"/>
        <v>0.09</v>
      </c>
      <c r="AF189" s="123">
        <f t="shared" si="54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2"/>
        <v>0.04</v>
      </c>
      <c r="C190" s="54">
        <v>0.04</v>
      </c>
      <c r="D190" s="123">
        <f t="shared" si="53"/>
        <v>0.04</v>
      </c>
      <c r="E190" s="123">
        <f t="shared" si="53"/>
        <v>0.04</v>
      </c>
      <c r="F190" s="123">
        <f t="shared" si="53"/>
        <v>0.04</v>
      </c>
      <c r="G190" s="123">
        <f t="shared" si="53"/>
        <v>0.04</v>
      </c>
      <c r="H190" s="123">
        <f t="shared" si="53"/>
        <v>0.04</v>
      </c>
      <c r="I190" s="123">
        <f t="shared" si="53"/>
        <v>0.04</v>
      </c>
      <c r="J190" s="123">
        <f t="shared" si="53"/>
        <v>0.04</v>
      </c>
      <c r="K190" s="123">
        <f t="shared" si="53"/>
        <v>0.04</v>
      </c>
      <c r="L190" s="123">
        <f t="shared" si="53"/>
        <v>0.04</v>
      </c>
      <c r="M190" s="123">
        <f t="shared" si="53"/>
        <v>0.04</v>
      </c>
      <c r="N190" s="123">
        <f t="shared" si="53"/>
        <v>0.04</v>
      </c>
      <c r="O190" s="123">
        <f t="shared" si="53"/>
        <v>0.04</v>
      </c>
      <c r="P190" s="123">
        <f t="shared" si="53"/>
        <v>0.04</v>
      </c>
      <c r="Q190" s="123">
        <f t="shared" si="53"/>
        <v>0.04</v>
      </c>
      <c r="R190" s="123">
        <f t="shared" si="53"/>
        <v>0.04</v>
      </c>
      <c r="S190" s="123">
        <f t="shared" si="54"/>
        <v>0.04</v>
      </c>
      <c r="T190" s="123">
        <f t="shared" si="54"/>
        <v>0.04</v>
      </c>
      <c r="U190" s="123">
        <f t="shared" si="54"/>
        <v>0.04</v>
      </c>
      <c r="V190" s="123">
        <f t="shared" si="54"/>
        <v>0.04</v>
      </c>
      <c r="W190" s="123">
        <f t="shared" si="54"/>
        <v>0.04</v>
      </c>
      <c r="X190" s="123">
        <f t="shared" si="54"/>
        <v>0.04</v>
      </c>
      <c r="Y190" s="123">
        <f t="shared" si="54"/>
        <v>0.04</v>
      </c>
      <c r="Z190" s="123">
        <f t="shared" si="54"/>
        <v>0.04</v>
      </c>
      <c r="AA190" s="123">
        <f t="shared" si="54"/>
        <v>0.04</v>
      </c>
      <c r="AB190" s="123">
        <f t="shared" si="54"/>
        <v>0.04</v>
      </c>
      <c r="AC190" s="123">
        <f t="shared" si="54"/>
        <v>0.04</v>
      </c>
      <c r="AD190" s="123">
        <f t="shared" si="54"/>
        <v>0.04</v>
      </c>
      <c r="AE190" s="123">
        <f t="shared" si="54"/>
        <v>0.04</v>
      </c>
      <c r="AF190" s="123">
        <f t="shared" si="54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2"/>
        <v>2.3E-2</v>
      </c>
      <c r="C191" s="54">
        <v>2.3E-2</v>
      </c>
      <c r="D191" s="123">
        <f>C191</f>
        <v>2.3E-2</v>
      </c>
      <c r="E191" s="123">
        <f t="shared" si="53"/>
        <v>2.3E-2</v>
      </c>
      <c r="F191" s="123">
        <f t="shared" si="53"/>
        <v>2.3E-2</v>
      </c>
      <c r="G191" s="123">
        <f t="shared" si="53"/>
        <v>2.3E-2</v>
      </c>
      <c r="H191" s="123">
        <f t="shared" si="53"/>
        <v>2.3E-2</v>
      </c>
      <c r="I191" s="123">
        <f t="shared" si="53"/>
        <v>2.3E-2</v>
      </c>
      <c r="J191" s="123">
        <f t="shared" si="53"/>
        <v>2.3E-2</v>
      </c>
      <c r="K191" s="123">
        <f t="shared" si="53"/>
        <v>2.3E-2</v>
      </c>
      <c r="L191" s="123">
        <f t="shared" si="53"/>
        <v>2.3E-2</v>
      </c>
      <c r="M191" s="123">
        <f t="shared" si="53"/>
        <v>2.3E-2</v>
      </c>
      <c r="N191" s="123">
        <f t="shared" si="53"/>
        <v>2.3E-2</v>
      </c>
      <c r="O191" s="123">
        <f t="shared" si="53"/>
        <v>2.3E-2</v>
      </c>
      <c r="P191" s="123">
        <f t="shared" si="53"/>
        <v>2.3E-2</v>
      </c>
      <c r="Q191" s="123">
        <f t="shared" si="53"/>
        <v>2.3E-2</v>
      </c>
      <c r="R191" s="123">
        <f t="shared" si="53"/>
        <v>2.3E-2</v>
      </c>
      <c r="S191" s="123">
        <f t="shared" si="54"/>
        <v>2.3E-2</v>
      </c>
      <c r="T191" s="123">
        <f t="shared" si="54"/>
        <v>2.3E-2</v>
      </c>
      <c r="U191" s="123">
        <f t="shared" si="54"/>
        <v>2.3E-2</v>
      </c>
      <c r="V191" s="123">
        <f t="shared" si="54"/>
        <v>2.3E-2</v>
      </c>
      <c r="W191" s="123">
        <f t="shared" si="54"/>
        <v>2.3E-2</v>
      </c>
      <c r="X191" s="123">
        <f t="shared" si="54"/>
        <v>2.3E-2</v>
      </c>
      <c r="Y191" s="123">
        <f t="shared" si="54"/>
        <v>2.3E-2</v>
      </c>
      <c r="Z191" s="123">
        <f t="shared" si="54"/>
        <v>2.3E-2</v>
      </c>
      <c r="AA191" s="123">
        <f t="shared" si="54"/>
        <v>2.3E-2</v>
      </c>
      <c r="AB191" s="123">
        <f t="shared" si="54"/>
        <v>2.3E-2</v>
      </c>
      <c r="AC191" s="123">
        <f t="shared" si="54"/>
        <v>2.3E-2</v>
      </c>
      <c r="AD191" s="123">
        <f t="shared" si="54"/>
        <v>2.3E-2</v>
      </c>
      <c r="AE191" s="123">
        <f t="shared" si="54"/>
        <v>2.3E-2</v>
      </c>
      <c r="AF191" s="123">
        <f t="shared" si="54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5">SUM(C102:C191)</f>
        <v>194.70600000000002</v>
      </c>
      <c r="D192" s="128">
        <f t="shared" si="55"/>
        <v>194.70600000000002</v>
      </c>
      <c r="E192" s="128">
        <f t="shared" si="55"/>
        <v>194.70600000000002</v>
      </c>
      <c r="F192" s="128">
        <f t="shared" si="55"/>
        <v>194.70600000000002</v>
      </c>
      <c r="G192" s="128">
        <f t="shared" si="55"/>
        <v>194.70600000000002</v>
      </c>
      <c r="H192" s="128">
        <f t="shared" si="55"/>
        <v>194.70600000000002</v>
      </c>
      <c r="I192" s="128">
        <f t="shared" si="55"/>
        <v>189.70600000000005</v>
      </c>
      <c r="J192" s="128">
        <f t="shared" si="55"/>
        <v>187.10600000000005</v>
      </c>
      <c r="K192" s="128">
        <f t="shared" si="55"/>
        <v>187.10600000000005</v>
      </c>
      <c r="L192" s="128">
        <f t="shared" si="55"/>
        <v>187.10600000000005</v>
      </c>
      <c r="M192" s="128">
        <f t="shared" si="55"/>
        <v>187.10600000000005</v>
      </c>
      <c r="N192" s="128">
        <f t="shared" si="55"/>
        <v>187.10600000000005</v>
      </c>
      <c r="O192" s="128">
        <f t="shared" si="55"/>
        <v>187.10600000000005</v>
      </c>
      <c r="P192" s="128">
        <f t="shared" si="55"/>
        <v>187.10600000000005</v>
      </c>
      <c r="Q192" s="128">
        <f t="shared" si="55"/>
        <v>187.10600000000005</v>
      </c>
      <c r="R192" s="128">
        <f t="shared" si="55"/>
        <v>187.10600000000005</v>
      </c>
      <c r="S192" s="128">
        <f t="shared" si="55"/>
        <v>187.10600000000005</v>
      </c>
      <c r="T192" s="128">
        <f t="shared" si="55"/>
        <v>187.10600000000005</v>
      </c>
      <c r="U192" s="128">
        <f t="shared" si="55"/>
        <v>187.10600000000005</v>
      </c>
      <c r="V192" s="128">
        <f t="shared" si="55"/>
        <v>187.10600000000005</v>
      </c>
      <c r="W192" s="128">
        <f t="shared" si="55"/>
        <v>187.10600000000005</v>
      </c>
      <c r="X192" s="128">
        <f t="shared" si="55"/>
        <v>187.10600000000005</v>
      </c>
      <c r="Y192" s="128">
        <f t="shared" si="55"/>
        <v>187.10600000000005</v>
      </c>
      <c r="Z192" s="128">
        <f t="shared" si="55"/>
        <v>187.10600000000005</v>
      </c>
      <c r="AA192" s="128">
        <f t="shared" si="55"/>
        <v>187.10600000000005</v>
      </c>
      <c r="AB192" s="128">
        <f t="shared" si="55"/>
        <v>187.10600000000005</v>
      </c>
      <c r="AC192" s="128">
        <f t="shared" si="55"/>
        <v>187.10600000000005</v>
      </c>
      <c r="AD192" s="128">
        <f t="shared" si="55"/>
        <v>187.10600000000005</v>
      </c>
      <c r="AE192" s="128">
        <f t="shared" si="55"/>
        <v>187.10600000000005</v>
      </c>
      <c r="AF192" s="128">
        <f t="shared" si="55"/>
        <v>187.10600000000005</v>
      </c>
      <c r="AG192" s="129">
        <f t="shared" si="55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6">AF194</f>
        <v>0.3</v>
      </c>
      <c r="C194" s="130">
        <v>0.3</v>
      </c>
      <c r="D194" s="130">
        <f t="shared" ref="D194:S199" si="57">C194</f>
        <v>0.3</v>
      </c>
      <c r="E194" s="130">
        <f t="shared" si="57"/>
        <v>0.3</v>
      </c>
      <c r="F194" s="130">
        <f t="shared" si="57"/>
        <v>0.3</v>
      </c>
      <c r="G194" s="130">
        <f t="shared" si="57"/>
        <v>0.3</v>
      </c>
      <c r="H194" s="130">
        <f t="shared" si="57"/>
        <v>0.3</v>
      </c>
      <c r="I194" s="130">
        <f t="shared" si="57"/>
        <v>0.3</v>
      </c>
      <c r="J194" s="130">
        <f t="shared" si="57"/>
        <v>0.3</v>
      </c>
      <c r="K194" s="130">
        <f t="shared" si="57"/>
        <v>0.3</v>
      </c>
      <c r="L194" s="130">
        <f t="shared" si="57"/>
        <v>0.3</v>
      </c>
      <c r="M194" s="130">
        <f t="shared" si="57"/>
        <v>0.3</v>
      </c>
      <c r="N194" s="130">
        <f t="shared" si="57"/>
        <v>0.3</v>
      </c>
      <c r="O194" s="130">
        <f t="shared" si="57"/>
        <v>0.3</v>
      </c>
      <c r="P194" s="130">
        <f t="shared" si="57"/>
        <v>0.3</v>
      </c>
      <c r="Q194" s="130">
        <f t="shared" si="57"/>
        <v>0.3</v>
      </c>
      <c r="R194" s="130">
        <f t="shared" si="57"/>
        <v>0.3</v>
      </c>
      <c r="S194" s="130">
        <f t="shared" si="57"/>
        <v>0.3</v>
      </c>
      <c r="T194" s="130">
        <f t="shared" ref="T194:AF199" si="58">S194</f>
        <v>0.3</v>
      </c>
      <c r="U194" s="130">
        <f t="shared" si="58"/>
        <v>0.3</v>
      </c>
      <c r="V194" s="130">
        <f t="shared" si="58"/>
        <v>0.3</v>
      </c>
      <c r="W194" s="130">
        <f t="shared" si="58"/>
        <v>0.3</v>
      </c>
      <c r="X194" s="130">
        <f t="shared" si="58"/>
        <v>0.3</v>
      </c>
      <c r="Y194" s="130">
        <f t="shared" si="58"/>
        <v>0.3</v>
      </c>
      <c r="Z194" s="130">
        <f t="shared" si="58"/>
        <v>0.3</v>
      </c>
      <c r="AA194" s="130">
        <f t="shared" si="58"/>
        <v>0.3</v>
      </c>
      <c r="AB194" s="130">
        <f t="shared" si="58"/>
        <v>0.3</v>
      </c>
      <c r="AC194" s="130">
        <f t="shared" si="58"/>
        <v>0.3</v>
      </c>
      <c r="AD194" s="130">
        <f t="shared" si="58"/>
        <v>0.3</v>
      </c>
      <c r="AE194" s="130">
        <f t="shared" si="58"/>
        <v>0.3</v>
      </c>
      <c r="AF194" s="130">
        <f t="shared" si="58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6"/>
        <v>0.4</v>
      </c>
      <c r="C195" s="123">
        <v>0.4</v>
      </c>
      <c r="D195" s="123">
        <f t="shared" si="57"/>
        <v>0.4</v>
      </c>
      <c r="E195" s="123">
        <f t="shared" si="57"/>
        <v>0.4</v>
      </c>
      <c r="F195" s="123">
        <f t="shared" si="57"/>
        <v>0.4</v>
      </c>
      <c r="G195" s="123">
        <f t="shared" si="57"/>
        <v>0.4</v>
      </c>
      <c r="H195" s="123">
        <f t="shared" si="57"/>
        <v>0.4</v>
      </c>
      <c r="I195" s="123">
        <f t="shared" si="57"/>
        <v>0.4</v>
      </c>
      <c r="J195" s="123">
        <f t="shared" si="57"/>
        <v>0.4</v>
      </c>
      <c r="K195" s="123">
        <f t="shared" si="57"/>
        <v>0.4</v>
      </c>
      <c r="L195" s="123">
        <f t="shared" si="57"/>
        <v>0.4</v>
      </c>
      <c r="M195" s="123">
        <f t="shared" si="57"/>
        <v>0.4</v>
      </c>
      <c r="N195" s="123">
        <f t="shared" si="57"/>
        <v>0.4</v>
      </c>
      <c r="O195" s="123">
        <f t="shared" si="57"/>
        <v>0.4</v>
      </c>
      <c r="P195" s="123">
        <f t="shared" si="57"/>
        <v>0.4</v>
      </c>
      <c r="Q195" s="123">
        <f t="shared" si="57"/>
        <v>0.4</v>
      </c>
      <c r="R195" s="123">
        <f t="shared" si="57"/>
        <v>0.4</v>
      </c>
      <c r="S195" s="123">
        <f t="shared" si="57"/>
        <v>0.4</v>
      </c>
      <c r="T195" s="123">
        <f t="shared" si="58"/>
        <v>0.4</v>
      </c>
      <c r="U195" s="123">
        <f t="shared" si="58"/>
        <v>0.4</v>
      </c>
      <c r="V195" s="123">
        <f t="shared" si="58"/>
        <v>0.4</v>
      </c>
      <c r="W195" s="123">
        <f>V195</f>
        <v>0.4</v>
      </c>
      <c r="X195" s="123">
        <f>W195</f>
        <v>0.4</v>
      </c>
      <c r="Y195" s="123">
        <f t="shared" si="58"/>
        <v>0.4</v>
      </c>
      <c r="Z195" s="123">
        <f t="shared" si="58"/>
        <v>0.4</v>
      </c>
      <c r="AA195" s="123">
        <f t="shared" si="58"/>
        <v>0.4</v>
      </c>
      <c r="AB195" s="123">
        <f t="shared" si="58"/>
        <v>0.4</v>
      </c>
      <c r="AC195" s="123">
        <f t="shared" si="58"/>
        <v>0.4</v>
      </c>
      <c r="AD195" s="123">
        <f t="shared" si="58"/>
        <v>0.4</v>
      </c>
      <c r="AE195" s="123">
        <f t="shared" si="58"/>
        <v>0.4</v>
      </c>
      <c r="AF195" s="123">
        <f t="shared" si="58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6"/>
        <v>1.5</v>
      </c>
      <c r="C196" s="123">
        <v>1.5</v>
      </c>
      <c r="D196" s="123">
        <f t="shared" si="57"/>
        <v>1.5</v>
      </c>
      <c r="E196" s="123">
        <f t="shared" si="57"/>
        <v>1.5</v>
      </c>
      <c r="F196" s="123">
        <f t="shared" si="57"/>
        <v>1.5</v>
      </c>
      <c r="G196" s="123">
        <f t="shared" si="57"/>
        <v>1.5</v>
      </c>
      <c r="H196" s="123">
        <f t="shared" si="57"/>
        <v>1.5</v>
      </c>
      <c r="I196" s="123">
        <f t="shared" si="57"/>
        <v>1.5</v>
      </c>
      <c r="J196" s="123">
        <f t="shared" si="57"/>
        <v>1.5</v>
      </c>
      <c r="K196" s="123">
        <f t="shared" si="57"/>
        <v>1.5</v>
      </c>
      <c r="L196" s="123">
        <f t="shared" si="57"/>
        <v>1.5</v>
      </c>
      <c r="M196" s="123">
        <f t="shared" si="57"/>
        <v>1.5</v>
      </c>
      <c r="N196" s="123">
        <f t="shared" si="57"/>
        <v>1.5</v>
      </c>
      <c r="O196" s="123">
        <f t="shared" si="57"/>
        <v>1.5</v>
      </c>
      <c r="P196" s="123">
        <f t="shared" si="57"/>
        <v>1.5</v>
      </c>
      <c r="Q196" s="123">
        <f t="shared" si="57"/>
        <v>1.5</v>
      </c>
      <c r="R196" s="123">
        <f t="shared" si="57"/>
        <v>1.5</v>
      </c>
      <c r="S196" s="123">
        <f t="shared" si="57"/>
        <v>1.5</v>
      </c>
      <c r="T196" s="123">
        <f t="shared" si="58"/>
        <v>1.5</v>
      </c>
      <c r="U196" s="123">
        <f t="shared" si="58"/>
        <v>1.5</v>
      </c>
      <c r="V196" s="123">
        <f t="shared" si="58"/>
        <v>1.5</v>
      </c>
      <c r="W196" s="123">
        <f t="shared" si="58"/>
        <v>1.5</v>
      </c>
      <c r="X196" s="123">
        <f t="shared" si="58"/>
        <v>1.5</v>
      </c>
      <c r="Y196" s="123">
        <f t="shared" si="58"/>
        <v>1.5</v>
      </c>
      <c r="Z196" s="123">
        <f t="shared" si="58"/>
        <v>1.5</v>
      </c>
      <c r="AA196" s="123">
        <f t="shared" si="58"/>
        <v>1.5</v>
      </c>
      <c r="AB196" s="123">
        <f t="shared" si="58"/>
        <v>1.5</v>
      </c>
      <c r="AC196" s="123">
        <f t="shared" si="58"/>
        <v>1.5</v>
      </c>
      <c r="AD196" s="123">
        <f t="shared" si="58"/>
        <v>1.5</v>
      </c>
      <c r="AE196" s="123">
        <f t="shared" si="58"/>
        <v>1.5</v>
      </c>
      <c r="AF196" s="123">
        <f t="shared" si="58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6"/>
        <v>0.3</v>
      </c>
      <c r="C197" s="123">
        <v>0.3</v>
      </c>
      <c r="D197" s="123">
        <f t="shared" si="57"/>
        <v>0.3</v>
      </c>
      <c r="E197" s="123">
        <f t="shared" si="57"/>
        <v>0.3</v>
      </c>
      <c r="F197" s="123">
        <f t="shared" si="57"/>
        <v>0.3</v>
      </c>
      <c r="G197" s="123">
        <f t="shared" si="57"/>
        <v>0.3</v>
      </c>
      <c r="H197" s="123">
        <f t="shared" si="57"/>
        <v>0.3</v>
      </c>
      <c r="I197" s="123">
        <f t="shared" si="57"/>
        <v>0.3</v>
      </c>
      <c r="J197" s="123">
        <f t="shared" si="57"/>
        <v>0.3</v>
      </c>
      <c r="K197" s="123">
        <f t="shared" si="57"/>
        <v>0.3</v>
      </c>
      <c r="L197" s="123">
        <f t="shared" si="57"/>
        <v>0.3</v>
      </c>
      <c r="M197" s="123">
        <f t="shared" si="57"/>
        <v>0.3</v>
      </c>
      <c r="N197" s="123">
        <f t="shared" si="57"/>
        <v>0.3</v>
      </c>
      <c r="O197" s="123">
        <f t="shared" si="57"/>
        <v>0.3</v>
      </c>
      <c r="P197" s="123">
        <f t="shared" si="57"/>
        <v>0.3</v>
      </c>
      <c r="Q197" s="123">
        <f t="shared" si="57"/>
        <v>0.3</v>
      </c>
      <c r="R197" s="123">
        <f t="shared" si="57"/>
        <v>0.3</v>
      </c>
      <c r="S197" s="123">
        <f t="shared" si="57"/>
        <v>0.3</v>
      </c>
      <c r="T197" s="123">
        <f t="shared" si="58"/>
        <v>0.3</v>
      </c>
      <c r="U197" s="123">
        <f t="shared" si="58"/>
        <v>0.3</v>
      </c>
      <c r="V197" s="123">
        <f t="shared" si="58"/>
        <v>0.3</v>
      </c>
      <c r="W197" s="123">
        <f t="shared" si="58"/>
        <v>0.3</v>
      </c>
      <c r="X197" s="123">
        <f t="shared" si="58"/>
        <v>0.3</v>
      </c>
      <c r="Y197" s="123">
        <f t="shared" si="58"/>
        <v>0.3</v>
      </c>
      <c r="Z197" s="123">
        <f t="shared" si="58"/>
        <v>0.3</v>
      </c>
      <c r="AA197" s="123">
        <f t="shared" si="58"/>
        <v>0.3</v>
      </c>
      <c r="AB197" s="123">
        <f t="shared" si="58"/>
        <v>0.3</v>
      </c>
      <c r="AC197" s="123">
        <f t="shared" si="58"/>
        <v>0.3</v>
      </c>
      <c r="AD197" s="123">
        <f t="shared" si="58"/>
        <v>0.3</v>
      </c>
      <c r="AE197" s="123">
        <f t="shared" si="58"/>
        <v>0.3</v>
      </c>
      <c r="AF197" s="123">
        <f t="shared" si="58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6"/>
        <v>0.4</v>
      </c>
      <c r="C198" s="123">
        <v>0.4</v>
      </c>
      <c r="D198" s="123">
        <f t="shared" si="57"/>
        <v>0.4</v>
      </c>
      <c r="E198" s="123">
        <f t="shared" si="57"/>
        <v>0.4</v>
      </c>
      <c r="F198" s="123">
        <f t="shared" si="57"/>
        <v>0.4</v>
      </c>
      <c r="G198" s="123">
        <f t="shared" si="57"/>
        <v>0.4</v>
      </c>
      <c r="H198" s="123">
        <f t="shared" si="57"/>
        <v>0.4</v>
      </c>
      <c r="I198" s="123">
        <f t="shared" si="57"/>
        <v>0.4</v>
      </c>
      <c r="J198" s="123">
        <f t="shared" si="57"/>
        <v>0.4</v>
      </c>
      <c r="K198" s="123">
        <f t="shared" si="57"/>
        <v>0.4</v>
      </c>
      <c r="L198" s="123">
        <f t="shared" si="57"/>
        <v>0.4</v>
      </c>
      <c r="M198" s="123">
        <f t="shared" si="57"/>
        <v>0.4</v>
      </c>
      <c r="N198" s="123">
        <f t="shared" si="57"/>
        <v>0.4</v>
      </c>
      <c r="O198" s="123">
        <f t="shared" si="57"/>
        <v>0.4</v>
      </c>
      <c r="P198" s="123">
        <f t="shared" si="57"/>
        <v>0.4</v>
      </c>
      <c r="Q198" s="123">
        <f t="shared" si="57"/>
        <v>0.4</v>
      </c>
      <c r="R198" s="123">
        <f t="shared" si="57"/>
        <v>0.4</v>
      </c>
      <c r="S198" s="123">
        <f t="shared" si="57"/>
        <v>0.4</v>
      </c>
      <c r="T198" s="123">
        <f t="shared" si="58"/>
        <v>0.4</v>
      </c>
      <c r="U198" s="123">
        <f t="shared" si="58"/>
        <v>0.4</v>
      </c>
      <c r="V198" s="123">
        <f t="shared" si="58"/>
        <v>0.4</v>
      </c>
      <c r="W198" s="123">
        <f t="shared" si="58"/>
        <v>0.4</v>
      </c>
      <c r="X198" s="123">
        <f t="shared" si="58"/>
        <v>0.4</v>
      </c>
      <c r="Y198" s="123">
        <f t="shared" si="58"/>
        <v>0.4</v>
      </c>
      <c r="Z198" s="123">
        <f t="shared" si="58"/>
        <v>0.4</v>
      </c>
      <c r="AA198" s="123">
        <f t="shared" si="58"/>
        <v>0.4</v>
      </c>
      <c r="AB198" s="123">
        <f t="shared" si="58"/>
        <v>0.4</v>
      </c>
      <c r="AC198" s="123">
        <f t="shared" si="58"/>
        <v>0.4</v>
      </c>
      <c r="AD198" s="123">
        <f t="shared" si="58"/>
        <v>0.4</v>
      </c>
      <c r="AE198" s="123">
        <f t="shared" si="58"/>
        <v>0.4</v>
      </c>
      <c r="AF198" s="123">
        <f t="shared" si="58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6"/>
        <v>0.64</v>
      </c>
      <c r="C199" s="133">
        <v>0.64</v>
      </c>
      <c r="D199" s="133">
        <f t="shared" si="57"/>
        <v>0.64</v>
      </c>
      <c r="E199" s="133">
        <f t="shared" si="57"/>
        <v>0.64</v>
      </c>
      <c r="F199" s="133">
        <f t="shared" si="57"/>
        <v>0.64</v>
      </c>
      <c r="G199" s="133">
        <f t="shared" si="57"/>
        <v>0.64</v>
      </c>
      <c r="H199" s="133">
        <f t="shared" si="57"/>
        <v>0.64</v>
      </c>
      <c r="I199" s="133">
        <f t="shared" si="57"/>
        <v>0.64</v>
      </c>
      <c r="J199" s="133">
        <f t="shared" si="57"/>
        <v>0.64</v>
      </c>
      <c r="K199" s="133">
        <f t="shared" si="57"/>
        <v>0.64</v>
      </c>
      <c r="L199" s="133">
        <f t="shared" si="57"/>
        <v>0.64</v>
      </c>
      <c r="M199" s="133">
        <f t="shared" si="57"/>
        <v>0.64</v>
      </c>
      <c r="N199" s="133">
        <f t="shared" si="57"/>
        <v>0.64</v>
      </c>
      <c r="O199" s="133">
        <f t="shared" si="57"/>
        <v>0.64</v>
      </c>
      <c r="P199" s="133">
        <f t="shared" si="57"/>
        <v>0.64</v>
      </c>
      <c r="Q199" s="133">
        <f t="shared" si="57"/>
        <v>0.64</v>
      </c>
      <c r="R199" s="133">
        <f t="shared" si="57"/>
        <v>0.64</v>
      </c>
      <c r="S199" s="133">
        <f t="shared" si="57"/>
        <v>0.64</v>
      </c>
      <c r="T199" s="133">
        <f t="shared" si="58"/>
        <v>0.64</v>
      </c>
      <c r="U199" s="133">
        <f t="shared" si="58"/>
        <v>0.64</v>
      </c>
      <c r="V199" s="133">
        <f t="shared" si="58"/>
        <v>0.64</v>
      </c>
      <c r="W199" s="133">
        <f t="shared" si="58"/>
        <v>0.64</v>
      </c>
      <c r="X199" s="133">
        <f t="shared" si="58"/>
        <v>0.64</v>
      </c>
      <c r="Y199" s="133">
        <f t="shared" si="58"/>
        <v>0.64</v>
      </c>
      <c r="Z199" s="133">
        <f t="shared" si="58"/>
        <v>0.64</v>
      </c>
      <c r="AA199" s="133">
        <f t="shared" si="58"/>
        <v>0.64</v>
      </c>
      <c r="AB199" s="133">
        <f t="shared" si="58"/>
        <v>0.64</v>
      </c>
      <c r="AC199" s="133">
        <f t="shared" si="58"/>
        <v>0.64</v>
      </c>
      <c r="AD199" s="133">
        <f t="shared" si="58"/>
        <v>0.64</v>
      </c>
      <c r="AE199" s="133">
        <f t="shared" si="58"/>
        <v>0.64</v>
      </c>
      <c r="AF199" s="133">
        <f t="shared" si="58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9">SUM(D194:D199)</f>
        <v>3.54</v>
      </c>
      <c r="E200" s="136">
        <f t="shared" si="59"/>
        <v>3.54</v>
      </c>
      <c r="F200" s="136">
        <f t="shared" si="59"/>
        <v>3.54</v>
      </c>
      <c r="G200" s="136">
        <f t="shared" si="59"/>
        <v>3.54</v>
      </c>
      <c r="H200" s="136">
        <f t="shared" si="59"/>
        <v>3.54</v>
      </c>
      <c r="I200" s="136">
        <f t="shared" si="59"/>
        <v>3.54</v>
      </c>
      <c r="J200" s="136">
        <f t="shared" si="59"/>
        <v>3.54</v>
      </c>
      <c r="K200" s="136">
        <f t="shared" si="59"/>
        <v>3.54</v>
      </c>
      <c r="L200" s="136">
        <f t="shared" si="59"/>
        <v>3.54</v>
      </c>
      <c r="M200" s="136">
        <f>SUM(M194:M199)</f>
        <v>3.54</v>
      </c>
      <c r="N200" s="136">
        <f t="shared" ref="N200:S200" si="60">SUM(N194:N199)</f>
        <v>3.54</v>
      </c>
      <c r="O200" s="136">
        <f t="shared" si="60"/>
        <v>3.54</v>
      </c>
      <c r="P200" s="136">
        <f t="shared" si="60"/>
        <v>3.54</v>
      </c>
      <c r="Q200" s="136">
        <f t="shared" si="60"/>
        <v>3.54</v>
      </c>
      <c r="R200" s="136">
        <f t="shared" si="60"/>
        <v>3.54</v>
      </c>
      <c r="S200" s="136">
        <f t="shared" si="60"/>
        <v>3.54</v>
      </c>
      <c r="T200" s="136">
        <f>SUM(T194:T199)</f>
        <v>3.54</v>
      </c>
      <c r="U200" s="136">
        <f t="shared" ref="U200:AG200" si="61">SUM(U194:U199)</f>
        <v>3.54</v>
      </c>
      <c r="V200" s="136">
        <f t="shared" si="61"/>
        <v>3.54</v>
      </c>
      <c r="W200" s="136">
        <f t="shared" si="61"/>
        <v>3.54</v>
      </c>
      <c r="X200" s="136">
        <f t="shared" si="61"/>
        <v>3.54</v>
      </c>
      <c r="Y200" s="136">
        <f t="shared" si="61"/>
        <v>3.54</v>
      </c>
      <c r="Z200" s="136">
        <f t="shared" si="61"/>
        <v>3.54</v>
      </c>
      <c r="AA200" s="136">
        <f t="shared" si="61"/>
        <v>3.54</v>
      </c>
      <c r="AB200" s="136">
        <f t="shared" si="61"/>
        <v>3.54</v>
      </c>
      <c r="AC200" s="136">
        <f t="shared" si="61"/>
        <v>3.54</v>
      </c>
      <c r="AD200" s="136">
        <f t="shared" si="61"/>
        <v>3.54</v>
      </c>
      <c r="AE200" s="136">
        <f t="shared" si="61"/>
        <v>3.54</v>
      </c>
      <c r="AF200" s="136">
        <f t="shared" si="61"/>
        <v>3.54</v>
      </c>
      <c r="AG200" s="137">
        <f t="shared" si="61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1751.1399999999999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13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2079/03/13)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2079/03/13)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2">B75</f>
        <v>1711.44</v>
      </c>
      <c r="U214" s="161">
        <f t="shared" si="62"/>
        <v>1720.6399999999999</v>
      </c>
      <c r="V214" s="161">
        <f t="shared" si="62"/>
        <v>1717.74</v>
      </c>
      <c r="W214" s="161">
        <f t="shared" si="62"/>
        <v>1716.24</v>
      </c>
      <c r="X214" s="161">
        <f t="shared" si="62"/>
        <v>1717.24</v>
      </c>
      <c r="Y214" s="161">
        <f t="shared" si="62"/>
        <v>1690.8400000000001</v>
      </c>
      <c r="Z214" s="161">
        <f t="shared" si="62"/>
        <v>1696.44</v>
      </c>
      <c r="AA214" s="161">
        <f t="shared" si="62"/>
        <v>1642.94</v>
      </c>
      <c r="AB214" s="161">
        <f t="shared" si="62"/>
        <v>1700.94</v>
      </c>
      <c r="AC214" s="161">
        <f t="shared" si="62"/>
        <v>1694.94</v>
      </c>
      <c r="AD214" s="161">
        <f t="shared" si="62"/>
        <v>1697.34</v>
      </c>
      <c r="AE214" s="161">
        <f t="shared" si="62"/>
        <v>1751.1399999999999</v>
      </c>
      <c r="AF214" s="161">
        <f t="shared" si="62"/>
        <v>1745.0400000000002</v>
      </c>
      <c r="AG214" s="161">
        <f t="shared" si="62"/>
        <v>1714.0400000000002</v>
      </c>
      <c r="AH214" s="161">
        <f t="shared" si="62"/>
        <v>1772.6400000000003</v>
      </c>
      <c r="AI214" s="161">
        <f t="shared" si="62"/>
        <v>1773.2400000000002</v>
      </c>
      <c r="AJ214" s="161">
        <f t="shared" si="62"/>
        <v>1717.2400000000002</v>
      </c>
      <c r="AK214" s="161">
        <f t="shared" si="62"/>
        <v>1741.64</v>
      </c>
      <c r="AL214" s="161">
        <f t="shared" si="62"/>
        <v>1708.04</v>
      </c>
      <c r="AM214" s="161">
        <f t="shared" si="62"/>
        <v>1595.04</v>
      </c>
      <c r="AN214" s="161">
        <f t="shared" si="62"/>
        <v>1686.8400000000001</v>
      </c>
      <c r="AO214" s="161">
        <f t="shared" si="62"/>
        <v>1704.04</v>
      </c>
      <c r="AP214" s="161">
        <f t="shared" si="62"/>
        <v>1696.04</v>
      </c>
      <c r="AQ214" s="161">
        <f t="shared" si="62"/>
        <v>1689.74</v>
      </c>
      <c r="AR214" s="161">
        <f t="shared" si="62"/>
        <v>1685.04</v>
      </c>
      <c r="AS214" s="161">
        <f t="shared" si="62"/>
        <v>1691.04</v>
      </c>
      <c r="AT214" s="161">
        <f t="shared" si="62"/>
        <v>1730.7400000000002</v>
      </c>
      <c r="AU214" s="161">
        <f t="shared" si="62"/>
        <v>1731.14</v>
      </c>
      <c r="AV214" s="161">
        <f t="shared" si="62"/>
        <v>1734.5400000000002</v>
      </c>
      <c r="AW214" s="161">
        <f t="shared" si="62"/>
        <v>1728.8400000000001</v>
      </c>
      <c r="AX214" s="161">
        <f t="shared" si="62"/>
        <v>1728.7400000000002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3">C199</f>
        <v>0.64</v>
      </c>
      <c r="C235" s="164">
        <f t="shared" si="63"/>
        <v>0.64</v>
      </c>
      <c r="D235" s="164">
        <f t="shared" si="63"/>
        <v>0.64</v>
      </c>
      <c r="E235" s="164">
        <f t="shared" si="63"/>
        <v>0.64</v>
      </c>
      <c r="F235" s="164">
        <f t="shared" si="63"/>
        <v>0.64</v>
      </c>
      <c r="G235" s="164">
        <f t="shared" si="63"/>
        <v>0.64</v>
      </c>
      <c r="H235" s="164">
        <f t="shared" si="63"/>
        <v>0.64</v>
      </c>
      <c r="I235" s="164">
        <f t="shared" si="63"/>
        <v>0.64</v>
      </c>
      <c r="J235" s="164">
        <f t="shared" si="63"/>
        <v>0.64</v>
      </c>
      <c r="K235" s="164">
        <f t="shared" si="63"/>
        <v>0.64</v>
      </c>
      <c r="L235" s="164">
        <f t="shared" si="63"/>
        <v>0.64</v>
      </c>
      <c r="M235" s="164">
        <f t="shared" si="63"/>
        <v>0.64</v>
      </c>
      <c r="N235" s="164">
        <f t="shared" si="63"/>
        <v>0.64</v>
      </c>
      <c r="O235" s="164">
        <f t="shared" si="63"/>
        <v>0.64</v>
      </c>
      <c r="P235" s="164">
        <f t="shared" si="63"/>
        <v>0.64</v>
      </c>
      <c r="Q235" s="164">
        <f t="shared" si="63"/>
        <v>0.64</v>
      </c>
      <c r="R235" s="164">
        <f t="shared" si="63"/>
        <v>0.64</v>
      </c>
      <c r="S235" s="164">
        <f t="shared" si="63"/>
        <v>0.64</v>
      </c>
      <c r="T235" s="164">
        <f t="shared" si="63"/>
        <v>0.64</v>
      </c>
      <c r="U235" s="164">
        <f t="shared" si="63"/>
        <v>0.64</v>
      </c>
      <c r="V235" s="164">
        <f t="shared" si="63"/>
        <v>0.64</v>
      </c>
      <c r="W235" s="164">
        <f t="shared" si="63"/>
        <v>0.64</v>
      </c>
      <c r="X235" s="164">
        <f t="shared" si="63"/>
        <v>0.64</v>
      </c>
      <c r="Y235" s="164">
        <f t="shared" si="63"/>
        <v>0.64</v>
      </c>
      <c r="Z235" s="164">
        <f t="shared" si="63"/>
        <v>0.64</v>
      </c>
      <c r="AA235" s="164">
        <f t="shared" si="63"/>
        <v>0.64</v>
      </c>
      <c r="AB235" s="164">
        <f t="shared" si="63"/>
        <v>0.64</v>
      </c>
      <c r="AC235" s="164">
        <f t="shared" si="63"/>
        <v>0.64</v>
      </c>
      <c r="AD235" s="164">
        <f t="shared" si="63"/>
        <v>0.64</v>
      </c>
      <c r="AE235" s="164">
        <f t="shared" si="63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4">IF(C203&lt;100,"",C203-520)</f>
        <v/>
      </c>
      <c r="D236" s="107" t="str">
        <f t="shared" si="64"/>
        <v/>
      </c>
      <c r="E236" s="107" t="str">
        <f t="shared" si="64"/>
        <v/>
      </c>
      <c r="F236" s="107" t="str">
        <f t="shared" si="64"/>
        <v/>
      </c>
      <c r="G236" s="107" t="str">
        <f t="shared" si="64"/>
        <v/>
      </c>
      <c r="H236" s="107" t="str">
        <f t="shared" si="64"/>
        <v/>
      </c>
      <c r="I236" s="107" t="str">
        <f t="shared" si="64"/>
        <v/>
      </c>
      <c r="J236" s="107" t="str">
        <f t="shared" si="64"/>
        <v/>
      </c>
      <c r="K236" s="107" t="str">
        <f t="shared" si="64"/>
        <v/>
      </c>
      <c r="L236" s="107" t="str">
        <f t="shared" si="64"/>
        <v/>
      </c>
      <c r="M236" s="107" t="str">
        <f t="shared" si="64"/>
        <v/>
      </c>
      <c r="N236" s="107" t="str">
        <f t="shared" si="64"/>
        <v/>
      </c>
      <c r="O236" s="107" t="str">
        <f t="shared" si="64"/>
        <v/>
      </c>
      <c r="P236" s="107" t="str">
        <f t="shared" si="64"/>
        <v/>
      </c>
      <c r="Q236" s="107" t="str">
        <f t="shared" si="64"/>
        <v/>
      </c>
      <c r="R236" s="107" t="str">
        <f t="shared" si="64"/>
        <v/>
      </c>
      <c r="S236" s="107" t="str">
        <f t="shared" si="64"/>
        <v/>
      </c>
      <c r="T236" s="107" t="str">
        <f t="shared" si="64"/>
        <v/>
      </c>
      <c r="U236" s="107" t="str">
        <f t="shared" si="64"/>
        <v/>
      </c>
      <c r="V236" s="107" t="str">
        <f t="shared" si="64"/>
        <v/>
      </c>
      <c r="W236" s="107" t="str">
        <f t="shared" si="64"/>
        <v/>
      </c>
      <c r="X236" s="107" t="str">
        <f t="shared" si="64"/>
        <v/>
      </c>
      <c r="Y236" s="107" t="str">
        <f t="shared" si="64"/>
        <v/>
      </c>
      <c r="Z236" s="107" t="str">
        <f t="shared" si="64"/>
        <v/>
      </c>
      <c r="AA236" s="107" t="str">
        <f t="shared" si="64"/>
        <v/>
      </c>
      <c r="AB236" s="107" t="str">
        <f t="shared" si="64"/>
        <v/>
      </c>
      <c r="AC236" s="107" t="str">
        <f t="shared" si="64"/>
        <v/>
      </c>
      <c r="AD236" s="107" t="str">
        <f t="shared" si="64"/>
        <v/>
      </c>
      <c r="AE236" s="107" t="str">
        <f t="shared" si="64"/>
        <v/>
      </c>
      <c r="AF236" s="107" t="str">
        <f t="shared" si="64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5">IF(B204&lt;100,"",B204-620)</f>
        <v/>
      </c>
      <c r="C237" s="107" t="str">
        <f t="shared" si="65"/>
        <v/>
      </c>
      <c r="D237" s="107" t="str">
        <f t="shared" si="65"/>
        <v/>
      </c>
      <c r="E237" s="107" t="str">
        <f t="shared" si="65"/>
        <v/>
      </c>
      <c r="F237" s="107" t="str">
        <f t="shared" si="65"/>
        <v/>
      </c>
      <c r="G237" s="107" t="str">
        <f t="shared" si="65"/>
        <v/>
      </c>
      <c r="H237" s="107" t="str">
        <f t="shared" si="65"/>
        <v/>
      </c>
      <c r="I237" s="107" t="str">
        <f t="shared" si="65"/>
        <v/>
      </c>
      <c r="J237" s="107" t="str">
        <f t="shared" si="65"/>
        <v/>
      </c>
      <c r="K237" s="107" t="str">
        <f t="shared" si="65"/>
        <v/>
      </c>
      <c r="L237" s="107" t="str">
        <f t="shared" si="65"/>
        <v/>
      </c>
      <c r="M237" s="107" t="str">
        <f t="shared" si="65"/>
        <v/>
      </c>
      <c r="N237" s="107" t="str">
        <f t="shared" si="65"/>
        <v/>
      </c>
      <c r="O237" s="107" t="str">
        <f t="shared" si="65"/>
        <v/>
      </c>
      <c r="P237" s="107" t="str">
        <f t="shared" si="65"/>
        <v/>
      </c>
      <c r="Q237" s="107" t="str">
        <f t="shared" si="65"/>
        <v/>
      </c>
      <c r="R237" s="107" t="str">
        <f t="shared" si="65"/>
        <v/>
      </c>
      <c r="S237" s="107" t="str">
        <f t="shared" si="65"/>
        <v/>
      </c>
      <c r="T237" s="107" t="str">
        <f t="shared" si="65"/>
        <v/>
      </c>
      <c r="U237" s="107" t="str">
        <f t="shared" si="65"/>
        <v/>
      </c>
      <c r="V237" s="107" t="str">
        <f t="shared" si="65"/>
        <v/>
      </c>
      <c r="W237" s="107" t="str">
        <f t="shared" si="65"/>
        <v/>
      </c>
      <c r="X237" s="107" t="str">
        <f t="shared" si="65"/>
        <v/>
      </c>
      <c r="Y237" s="107" t="str">
        <f t="shared" si="65"/>
        <v/>
      </c>
      <c r="Z237" s="107" t="str">
        <f t="shared" si="65"/>
        <v/>
      </c>
      <c r="AA237" s="107" t="str">
        <f t="shared" si="65"/>
        <v/>
      </c>
      <c r="AB237" s="107" t="str">
        <f t="shared" si="65"/>
        <v/>
      </c>
      <c r="AC237" s="107" t="str">
        <f t="shared" si="65"/>
        <v/>
      </c>
      <c r="AD237" s="107" t="str">
        <f t="shared" si="65"/>
        <v/>
      </c>
      <c r="AE237" s="107" t="str">
        <f t="shared" si="65"/>
        <v/>
      </c>
      <c r="AF237" s="107" t="str">
        <f t="shared" si="65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6">IF(B205&lt;100,"",B205-330)</f>
        <v/>
      </c>
      <c r="C238" s="107" t="str">
        <f t="shared" si="66"/>
        <v/>
      </c>
      <c r="D238" s="107" t="str">
        <f t="shared" si="66"/>
        <v/>
      </c>
      <c r="E238" s="107" t="str">
        <f t="shared" si="66"/>
        <v/>
      </c>
      <c r="F238" s="107" t="str">
        <f t="shared" si="66"/>
        <v/>
      </c>
      <c r="G238" s="107" t="str">
        <f t="shared" si="66"/>
        <v/>
      </c>
      <c r="H238" s="107" t="str">
        <f t="shared" si="66"/>
        <v/>
      </c>
      <c r="I238" s="107" t="str">
        <f t="shared" si="66"/>
        <v/>
      </c>
      <c r="J238" s="107" t="str">
        <f t="shared" si="66"/>
        <v/>
      </c>
      <c r="K238" s="107" t="str">
        <f t="shared" si="66"/>
        <v/>
      </c>
      <c r="L238" s="107" t="str">
        <f t="shared" si="66"/>
        <v/>
      </c>
      <c r="M238" s="107" t="str">
        <f t="shared" si="66"/>
        <v/>
      </c>
      <c r="N238" s="107" t="str">
        <f t="shared" si="66"/>
        <v/>
      </c>
      <c r="O238" s="107" t="str">
        <f t="shared" si="66"/>
        <v/>
      </c>
      <c r="P238" s="107" t="str">
        <f t="shared" si="66"/>
        <v/>
      </c>
      <c r="Q238" s="107" t="str">
        <f t="shared" si="66"/>
        <v/>
      </c>
      <c r="R238" s="107" t="str">
        <f t="shared" si="66"/>
        <v/>
      </c>
      <c r="S238" s="107" t="str">
        <f t="shared" si="66"/>
        <v/>
      </c>
      <c r="T238" s="107" t="str">
        <f t="shared" si="66"/>
        <v/>
      </c>
      <c r="U238" s="107" t="str">
        <f t="shared" si="66"/>
        <v/>
      </c>
      <c r="V238" s="107" t="str">
        <f t="shared" si="66"/>
        <v/>
      </c>
      <c r="W238" s="107" t="str">
        <f t="shared" si="66"/>
        <v/>
      </c>
      <c r="X238" s="107" t="str">
        <f t="shared" si="66"/>
        <v/>
      </c>
      <c r="Y238" s="107" t="str">
        <f t="shared" si="66"/>
        <v/>
      </c>
      <c r="Z238" s="107" t="str">
        <f t="shared" si="66"/>
        <v/>
      </c>
      <c r="AA238" s="107" t="str">
        <f t="shared" si="66"/>
        <v/>
      </c>
      <c r="AB238" s="107" t="str">
        <f t="shared" si="66"/>
        <v/>
      </c>
      <c r="AC238" s="107" t="str">
        <f t="shared" si="66"/>
        <v/>
      </c>
      <c r="AD238" s="107" t="str">
        <f t="shared" si="66"/>
        <v/>
      </c>
      <c r="AE238" s="107" t="str">
        <f t="shared" si="66"/>
        <v/>
      </c>
      <c r="AF238" s="107" t="str">
        <f t="shared" si="66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7">IF(C206&lt;100,"",C206-1500)</f>
        <v/>
      </c>
      <c r="D239" s="107" t="str">
        <f t="shared" si="67"/>
        <v/>
      </c>
      <c r="E239" s="107" t="str">
        <f t="shared" si="67"/>
        <v/>
      </c>
      <c r="F239" s="107" t="str">
        <f t="shared" si="67"/>
        <v/>
      </c>
      <c r="G239" s="107" t="str">
        <f t="shared" si="67"/>
        <v/>
      </c>
      <c r="H239" s="107" t="str">
        <f t="shared" si="67"/>
        <v/>
      </c>
      <c r="I239" s="107" t="str">
        <f t="shared" si="67"/>
        <v/>
      </c>
      <c r="J239" s="107" t="str">
        <f t="shared" si="67"/>
        <v/>
      </c>
      <c r="K239" s="107" t="str">
        <f t="shared" si="67"/>
        <v/>
      </c>
      <c r="L239" s="107" t="str">
        <f t="shared" si="67"/>
        <v/>
      </c>
      <c r="M239" s="107" t="str">
        <f t="shared" si="67"/>
        <v/>
      </c>
      <c r="N239" s="107" t="str">
        <f t="shared" si="67"/>
        <v/>
      </c>
      <c r="O239" s="107" t="str">
        <f t="shared" si="67"/>
        <v/>
      </c>
      <c r="P239" s="107" t="str">
        <f t="shared" si="67"/>
        <v/>
      </c>
      <c r="Q239" s="107" t="str">
        <f t="shared" si="67"/>
        <v/>
      </c>
      <c r="R239" s="107" t="str">
        <f t="shared" si="67"/>
        <v/>
      </c>
      <c r="S239" s="107" t="str">
        <f t="shared" si="67"/>
        <v/>
      </c>
      <c r="T239" s="107" t="str">
        <f t="shared" si="67"/>
        <v/>
      </c>
      <c r="U239" s="107" t="str">
        <f t="shared" si="67"/>
        <v/>
      </c>
      <c r="V239" s="107" t="str">
        <f t="shared" si="67"/>
        <v/>
      </c>
      <c r="W239" s="107" t="str">
        <f t="shared" si="67"/>
        <v/>
      </c>
      <c r="X239" s="107" t="str">
        <f t="shared" si="67"/>
        <v/>
      </c>
      <c r="Y239" s="107" t="str">
        <f t="shared" si="67"/>
        <v/>
      </c>
      <c r="Z239" s="107" t="str">
        <f t="shared" si="67"/>
        <v/>
      </c>
      <c r="AA239" s="107" t="str">
        <f t="shared" si="67"/>
        <v/>
      </c>
      <c r="AB239" s="107" t="str">
        <f t="shared" si="67"/>
        <v/>
      </c>
      <c r="AC239" s="107" t="str">
        <f t="shared" si="67"/>
        <v/>
      </c>
      <c r="AD239" s="107" t="str">
        <f t="shared" si="67"/>
        <v/>
      </c>
      <c r="AE239" s="107" t="str">
        <f t="shared" si="67"/>
        <v/>
      </c>
      <c r="AF239" s="107" t="str">
        <f t="shared" si="67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AB11:AF11 C94:AF100">
    <cfRule type="expression" dxfId="4330" priority="210">
      <formula>B$9&gt;=20/24</formula>
    </cfRule>
    <cfRule type="expression" dxfId="4329" priority="211">
      <formula>AND(B$9&gt;=14/24,B$9&lt;20/24)</formula>
    </cfRule>
    <cfRule type="expression" dxfId="4328" priority="212">
      <formula>AND(B$9&gt;=8/24,B$9&lt;14/24)</formula>
    </cfRule>
    <cfRule type="expression" dxfId="4327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W37:AF37">
    <cfRule type="expression" dxfId="4326" priority="205">
      <formula>W$9&gt;=20/24</formula>
    </cfRule>
    <cfRule type="expression" dxfId="4325" priority="206">
      <formula>AND(W$9&gt;=14/24,W$9&lt;20/24)</formula>
    </cfRule>
    <cfRule type="expression" dxfId="4324" priority="207">
      <formula>AND(W$9&gt;=8/24,W$9&lt;14/24)</formula>
    </cfRule>
    <cfRule type="expression" dxfId="4323" priority="208">
      <formula>W$9&lt;8/24</formula>
    </cfRule>
  </conditionalFormatting>
  <conditionalFormatting sqref="AG51 W37:AF37 AB11:AF11">
    <cfRule type="expression" dxfId="4322" priority="204">
      <formula>W11&gt;$AG11</formula>
    </cfRule>
  </conditionalFormatting>
  <conditionalFormatting sqref="A101:A157 A84:A97 A11:A14 A16:A32 A45:A72 A80:A82 A74:A78 A35:A43 A170:A200">
    <cfRule type="expression" dxfId="4321" priority="203">
      <formula>$AH11=0</formula>
    </cfRule>
  </conditionalFormatting>
  <conditionalFormatting sqref="A98">
    <cfRule type="expression" dxfId="4320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319" priority="200">
      <formula>$AH34=0</formula>
    </cfRule>
  </conditionalFormatting>
  <conditionalFormatting sqref="A83">
    <cfRule type="expression" dxfId="4318" priority="199">
      <formula>$AH83=0</formula>
    </cfRule>
  </conditionalFormatting>
  <conditionalFormatting sqref="A15">
    <cfRule type="expression" dxfId="4317" priority="198">
      <formula>$AH15=0</formula>
    </cfRule>
  </conditionalFormatting>
  <conditionalFormatting sqref="A164:A169">
    <cfRule type="expression" dxfId="4316" priority="197">
      <formula>$AH164=0</formula>
    </cfRule>
  </conditionalFormatting>
  <conditionalFormatting sqref="A158:A163">
    <cfRule type="expression" dxfId="4315" priority="196">
      <formula>$AH158=0</formula>
    </cfRule>
  </conditionalFormatting>
  <conditionalFormatting sqref="A44">
    <cfRule type="expression" dxfId="4314" priority="195">
      <formula>$AH44=0</formula>
    </cfRule>
  </conditionalFormatting>
  <conditionalFormatting sqref="A79">
    <cfRule type="expression" dxfId="4313" priority="194">
      <formula>$AH79=0</formula>
    </cfRule>
  </conditionalFormatting>
  <conditionalFormatting sqref="A73">
    <cfRule type="expression" dxfId="4312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311" priority="189">
      <formula>C$9&gt;=20/24</formula>
    </cfRule>
    <cfRule type="expression" dxfId="4310" priority="190">
      <formula>AND(C$9&gt;=14/24,C$9&lt;20/24)</formula>
    </cfRule>
    <cfRule type="expression" dxfId="4309" priority="191">
      <formula>AND(C$9&gt;=8/24,C$9&lt;14/24)</formula>
    </cfRule>
    <cfRule type="expression" dxfId="4308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307" priority="217">
      <formula>C$9&gt;=20/24</formula>
    </cfRule>
    <cfRule type="expression" dxfId="4306" priority="218">
      <formula>AND(C$9&gt;=14/24,C$9&lt;20/24)</formula>
    </cfRule>
    <cfRule type="expression" dxfId="4305" priority="219">
      <formula>AND(C$9&gt;=8/24,C$9&lt;14/24)</formula>
    </cfRule>
    <cfRule type="expression" dxfId="4304" priority="220">
      <formula>C$9&lt;8/24</formula>
    </cfRule>
  </conditionalFormatting>
  <conditionalFormatting sqref="A201">
    <cfRule type="expression" dxfId="4303" priority="221">
      <formula>$AH201=0</formula>
    </cfRule>
  </conditionalFormatting>
  <conditionalFormatting sqref="AG213">
    <cfRule type="expression" dxfId="4302" priority="222">
      <formula>B$9&gt;=20/24</formula>
    </cfRule>
    <cfRule type="expression" dxfId="4301" priority="223">
      <formula>AND(B$9&gt;=14/24,B$9&lt;20/24)</formula>
    </cfRule>
    <cfRule type="expression" dxfId="4300" priority="224">
      <formula>AND(B$9&gt;=8/24,B$9&lt;14/24)</formula>
    </cfRule>
    <cfRule type="expression" dxfId="4299" priority="225">
      <formula>B$9&lt;8/24</formula>
    </cfRule>
  </conditionalFormatting>
  <conditionalFormatting sqref="S8">
    <cfRule type="expression" dxfId="4298" priority="184">
      <formula>U$9&gt;=20/24</formula>
    </cfRule>
    <cfRule type="expression" dxfId="4297" priority="185">
      <formula>AND(U$9&gt;=14/24,U$9&lt;20/24)</formula>
    </cfRule>
    <cfRule type="expression" dxfId="4296" priority="186">
      <formula>AND(U$9&gt;=8/24,U$9&lt;14/24)</formula>
    </cfRule>
    <cfRule type="expression" dxfId="4295" priority="187">
      <formula>U$9&lt;8/24</formula>
    </cfRule>
  </conditionalFormatting>
  <conditionalFormatting sqref="AB8">
    <cfRule type="expression" dxfId="4294" priority="180">
      <formula>AD$9&gt;=20/24</formula>
    </cfRule>
    <cfRule type="expression" dxfId="4293" priority="181">
      <formula>AND(AD$9&gt;=14/24,AD$9&lt;20/24)</formula>
    </cfRule>
    <cfRule type="expression" dxfId="4292" priority="182">
      <formula>AND(AD$9&gt;=8/24,AD$9&lt;14/24)</formula>
    </cfRule>
    <cfRule type="expression" dxfId="4291" priority="183">
      <formula>AD$9&lt;8/24</formula>
    </cfRule>
  </conditionalFormatting>
  <conditionalFormatting sqref="AH213:AX213">
    <cfRule type="expression" dxfId="4290" priority="226">
      <formula>AG$9&gt;=20/24</formula>
    </cfRule>
    <cfRule type="expression" dxfId="4289" priority="227">
      <formula>AND(AG$9&gt;=14/24,AG$9&lt;20/24)</formula>
    </cfRule>
    <cfRule type="expression" dxfId="4288" priority="228">
      <formula>AND(AG$9&gt;=8/24,AG$9&lt;14/24)</formula>
    </cfRule>
    <cfRule type="expression" dxfId="4287" priority="229">
      <formula>AG$9&lt;8/24</formula>
    </cfRule>
  </conditionalFormatting>
  <conditionalFormatting sqref="T213">
    <cfRule type="expression" dxfId="4286" priority="230">
      <formula>AX$9&gt;=20/24</formula>
    </cfRule>
    <cfRule type="expression" dxfId="4285" priority="231">
      <formula>AND(AX$9&gt;=14/24,AX$9&lt;20/24)</formula>
    </cfRule>
    <cfRule type="expression" dxfId="4284" priority="232">
      <formula>AND(AX$9&gt;=8/24,AX$9&lt;14/24)</formula>
    </cfRule>
    <cfRule type="expression" dxfId="4283" priority="233">
      <formula>AX$9&lt;8/24</formula>
    </cfRule>
  </conditionalFormatting>
  <conditionalFormatting sqref="A99:A100">
    <cfRule type="expression" dxfId="4282" priority="179">
      <formula>$AH99=0</formula>
    </cfRule>
  </conditionalFormatting>
  <conditionalFormatting sqref="C57:AF57 S40:AF41 AB36:AF36">
    <cfRule type="expression" dxfId="4281" priority="175">
      <formula>C$9&gt;=20/24</formula>
    </cfRule>
    <cfRule type="expression" dxfId="4280" priority="176">
      <formula>AND(C$9&gt;=14/24,C$9&lt;20/24)</formula>
    </cfRule>
    <cfRule type="expression" dxfId="4279" priority="177">
      <formula>AND(C$9&gt;=8/24,C$9&lt;14/24)</formula>
    </cfRule>
    <cfRule type="expression" dxfId="4278" priority="178">
      <formula>C$9&lt;8/24</formula>
    </cfRule>
  </conditionalFormatting>
  <conditionalFormatting sqref="S39:AF39">
    <cfRule type="expression" dxfId="4277" priority="171">
      <formula>S$9&gt;=20/24</formula>
    </cfRule>
    <cfRule type="expression" dxfId="4276" priority="172">
      <formula>AND(S$9&gt;=14/24,S$9&lt;20/24)</formula>
    </cfRule>
    <cfRule type="expression" dxfId="4275" priority="173">
      <formula>AND(S$9&gt;=8/24,S$9&lt;14/24)</formula>
    </cfRule>
    <cfRule type="expression" dxfId="4274" priority="174">
      <formula>S$9&lt;8/24</formula>
    </cfRule>
  </conditionalFormatting>
  <conditionalFormatting sqref="S39:AF41 AB36:AF36">
    <cfRule type="expression" dxfId="4273" priority="170">
      <formula>S36&gt;$AG36</formula>
    </cfRule>
  </conditionalFormatting>
  <conditionalFormatting sqref="C81:AF81 C69:AF72 M64:M66 G61:G63 P61:P67 C58:G60 L61:O61 L62:M63 L58:P60 G67:M67 H58:K63 C85:AF91 N62:O67 C53:AF56 AB12:AF14 AB16:AF16 AB28:AF31 AB18:AF22 AB24:AF26 Q58:AF67">
    <cfRule type="expression" dxfId="4272" priority="166">
      <formula>C$9&gt;=20/24</formula>
    </cfRule>
    <cfRule type="expression" dxfId="4271" priority="167">
      <formula>AND(C$9&gt;=14/24,C$9&lt;20/24)</formula>
    </cfRule>
    <cfRule type="expression" dxfId="4270" priority="168">
      <formula>AND(C$9&gt;=8/24,C$9&lt;14/24)</formula>
    </cfRule>
    <cfRule type="expression" dxfId="4269" priority="169">
      <formula>C$9&lt;8/24</formula>
    </cfRule>
  </conditionalFormatting>
  <conditionalFormatting sqref="AB32:AF32">
    <cfRule type="expression" dxfId="4268" priority="162">
      <formula>AB$9&gt;=20/24</formula>
    </cfRule>
    <cfRule type="expression" dxfId="4267" priority="163">
      <formula>AND(AB$9&gt;=14/24,AB$9&lt;20/24)</formula>
    </cfRule>
    <cfRule type="expression" dxfId="4266" priority="164">
      <formula>AND(AB$9&gt;=8/24,AB$9&lt;14/24)</formula>
    </cfRule>
    <cfRule type="expression" dxfId="4265" priority="165">
      <formula>AB$9&lt;8/24</formula>
    </cfRule>
  </conditionalFormatting>
  <conditionalFormatting sqref="AB35:AF35">
    <cfRule type="expression" dxfId="4264" priority="158">
      <formula>AB$9&gt;=20/24</formula>
    </cfRule>
    <cfRule type="expression" dxfId="4263" priority="159">
      <formula>AND(AB$9&gt;=14/24,AB$9&lt;20/24)</formula>
    </cfRule>
    <cfRule type="expression" dxfId="4262" priority="160">
      <formula>AND(AB$9&gt;=8/24,AB$9&lt;14/24)</formula>
    </cfRule>
    <cfRule type="expression" dxfId="4261" priority="161">
      <formula>AB$9&lt;8/24</formula>
    </cfRule>
  </conditionalFormatting>
  <conditionalFormatting sqref="C51:AF51 M37:V37 C53:AF56 AB12:AF16 AB34:AF35 AB18:AF22 AB24:AF32 AB42:AF43">
    <cfRule type="expression" dxfId="4260" priority="157">
      <formula>C12&gt;$AG12</formula>
    </cfRule>
  </conditionalFormatting>
  <conditionalFormatting sqref="AB34:AF34">
    <cfRule type="expression" dxfId="4259" priority="153">
      <formula>AB$9&gt;=20/24</formula>
    </cfRule>
    <cfRule type="expression" dxfId="4258" priority="154">
      <formula>AND(AB$9&gt;=14/24,AB$9&lt;20/24)</formula>
    </cfRule>
    <cfRule type="expression" dxfId="4257" priority="155">
      <formula>AND(AB$9&gt;=8/24,AB$9&lt;14/24)</formula>
    </cfRule>
    <cfRule type="expression" dxfId="4256" priority="156">
      <formula>AB$9&lt;8/24</formula>
    </cfRule>
  </conditionalFormatting>
  <conditionalFormatting sqref="AB15:AF15">
    <cfRule type="expression" dxfId="4255" priority="149">
      <formula>AB$9&gt;=20/24</formula>
    </cfRule>
    <cfRule type="expression" dxfId="4254" priority="150">
      <formula>AND(AB$9&gt;=14/24,AB$9&lt;20/24)</formula>
    </cfRule>
    <cfRule type="expression" dxfId="4253" priority="151">
      <formula>AND(AB$9&gt;=8/24,AB$9&lt;14/24)</formula>
    </cfRule>
    <cfRule type="expression" dxfId="4252" priority="152">
      <formula>AB$9&lt;8/24</formula>
    </cfRule>
  </conditionalFormatting>
  <conditionalFormatting sqref="AB33:AF33">
    <cfRule type="expression" dxfId="4251" priority="145">
      <formula>AB$9&gt;=20/24</formula>
    </cfRule>
    <cfRule type="expression" dxfId="4250" priority="146">
      <formula>AND(AB$9&gt;=14/24,AB$9&lt;20/24)</formula>
    </cfRule>
    <cfRule type="expression" dxfId="4249" priority="147">
      <formula>AND(AB$9&gt;=8/24,AB$9&lt;14/24)</formula>
    </cfRule>
    <cfRule type="expression" dxfId="4248" priority="148">
      <formula>AB$9&lt;8/24</formula>
    </cfRule>
  </conditionalFormatting>
  <conditionalFormatting sqref="AB33:AF33">
    <cfRule type="expression" dxfId="4247" priority="144">
      <formula>AB33&gt;$AG33</formula>
    </cfRule>
  </conditionalFormatting>
  <conditionalFormatting sqref="V42:AA42 AB44:AF45 AB47:AF50">
    <cfRule type="expression" dxfId="4246" priority="136">
      <formula>V$9&gt;=20/24</formula>
    </cfRule>
    <cfRule type="expression" dxfId="4245" priority="137">
      <formula>AND(V$9&gt;=14/24,V$9&lt;20/24)</formula>
    </cfRule>
    <cfRule type="expression" dxfId="4244" priority="138">
      <formula>AND(V$9&gt;=8/24,V$9&lt;14/24)</formula>
    </cfRule>
    <cfRule type="expression" dxfId="4243" priority="139">
      <formula>V$9&lt;8/24</formula>
    </cfRule>
  </conditionalFormatting>
  <conditionalFormatting sqref="V42:AA42 AB44:AF45 AB47:AF50">
    <cfRule type="expression" dxfId="4242" priority="135">
      <formula>V42&gt;$AG42</formula>
    </cfRule>
  </conditionalFormatting>
  <conditionalFormatting sqref="M39:P41 N43 M42:N42 O42:P43 Q39:R43 S42:U43 V43:AA43 N45:AA45 N47:AA50 N46:AF46">
    <cfRule type="expression" dxfId="4241" priority="131">
      <formula>M$9&gt;=20/24</formula>
    </cfRule>
    <cfRule type="expression" dxfId="4240" priority="132">
      <formula>AND(M$9&gt;=14/24,M$9&lt;20/24)</formula>
    </cfRule>
    <cfRule type="expression" dxfId="4239" priority="133">
      <formula>AND(M$9&gt;=8/24,M$9&lt;14/24)</formula>
    </cfRule>
    <cfRule type="expression" dxfId="4238" priority="134">
      <formula>M$9&lt;8/24</formula>
    </cfRule>
  </conditionalFormatting>
  <conditionalFormatting sqref="M39:P41 N43 M42:N42 O42:P43 Q39:R43 S42:U43 V43:AA43 N45:AA45 N47:AA50 N46:AF46">
    <cfRule type="expression" dxfId="4237" priority="130">
      <formula>M39&gt;$AG39</formula>
    </cfRule>
  </conditionalFormatting>
  <conditionalFormatting sqref="AB27:AF27">
    <cfRule type="expression" dxfId="4236" priority="126">
      <formula>AB$9&gt;=20/24</formula>
    </cfRule>
    <cfRule type="expression" dxfId="4235" priority="127">
      <formula>AND(AB$9&gt;=14/24,AB$9&lt;20/24)</formula>
    </cfRule>
    <cfRule type="expression" dxfId="4234" priority="128">
      <formula>AND(AB$9&gt;=8/24,AB$9&lt;14/24)</formula>
    </cfRule>
    <cfRule type="expression" dxfId="4233" priority="129">
      <formula>AB$9&lt;8/24</formula>
    </cfRule>
  </conditionalFormatting>
  <conditionalFormatting sqref="AB17:AF17 AB23:AF23">
    <cfRule type="expression" dxfId="4232" priority="122">
      <formula>AB$9&gt;=20/24</formula>
    </cfRule>
    <cfRule type="expression" dxfId="4231" priority="123">
      <formula>AND(AB$9&gt;=14/24,AB$9&lt;20/24)</formula>
    </cfRule>
    <cfRule type="expression" dxfId="4230" priority="124">
      <formula>AND(AB$9&gt;=8/24,AB$9&lt;14/24)</formula>
    </cfRule>
    <cfRule type="expression" dxfId="4229" priority="125">
      <formula>AB$9&lt;8/24</formula>
    </cfRule>
  </conditionalFormatting>
  <conditionalFormatting sqref="AB17:AF17 AB23:AF23">
    <cfRule type="expression" dxfId="4228" priority="113">
      <formula>AB17&gt;$AG17</formula>
    </cfRule>
  </conditionalFormatting>
  <conditionalFormatting sqref="C40:L41">
    <cfRule type="expression" dxfId="4227" priority="96">
      <formula>C$9&gt;=20/24</formula>
    </cfRule>
    <cfRule type="expression" dxfId="4226" priority="97">
      <formula>AND(C$9&gt;=14/24,C$9&lt;20/24)</formula>
    </cfRule>
    <cfRule type="expression" dxfId="4225" priority="98">
      <formula>AND(C$9&gt;=8/24,C$9&lt;14/24)</formula>
    </cfRule>
    <cfRule type="expression" dxfId="4224" priority="99">
      <formula>C$9&lt;8/24</formula>
    </cfRule>
  </conditionalFormatting>
  <conditionalFormatting sqref="C39:L39">
    <cfRule type="expression" dxfId="4223" priority="92">
      <formula>C$9&gt;=20/24</formula>
    </cfRule>
    <cfRule type="expression" dxfId="4222" priority="93">
      <formula>AND(C$9&gt;=14/24,C$9&lt;20/24)</formula>
    </cfRule>
    <cfRule type="expression" dxfId="4221" priority="94">
      <formula>AND(C$9&gt;=8/24,C$9&lt;14/24)</formula>
    </cfRule>
    <cfRule type="expression" dxfId="4220" priority="95">
      <formula>C$9&lt;8/24</formula>
    </cfRule>
  </conditionalFormatting>
  <conditionalFormatting sqref="C39:L41">
    <cfRule type="expression" dxfId="4219" priority="91">
      <formula>C39&gt;$AG39</formula>
    </cfRule>
  </conditionalFormatting>
  <conditionalFormatting sqref="G64:L66">
    <cfRule type="expression" dxfId="4218" priority="87">
      <formula>G$9&gt;=20/24</formula>
    </cfRule>
    <cfRule type="expression" dxfId="4217" priority="88">
      <formula>AND(G$9&gt;=14/24,G$9&lt;20/24)</formula>
    </cfRule>
    <cfRule type="expression" dxfId="4216" priority="89">
      <formula>AND(G$9&gt;=8/24,G$9&lt;14/24)</formula>
    </cfRule>
    <cfRule type="expression" dxfId="4215" priority="90">
      <formula>G$9&lt;8/24</formula>
    </cfRule>
  </conditionalFormatting>
  <conditionalFormatting sqref="C42:L43 M43">
    <cfRule type="expression" dxfId="4214" priority="86">
      <formula>C42&gt;$AG42</formula>
    </cfRule>
  </conditionalFormatting>
  <conditionalFormatting sqref="C44:M45 N44:AA44">
    <cfRule type="expression" dxfId="4213" priority="82">
      <formula>C$9&gt;=20/24</formula>
    </cfRule>
    <cfRule type="expression" dxfId="4212" priority="83">
      <formula>AND(C$9&gt;=14/24,C$9&lt;20/24)</formula>
    </cfRule>
    <cfRule type="expression" dxfId="4211" priority="84">
      <formula>AND(C$9&gt;=8/24,C$9&lt;14/24)</formula>
    </cfRule>
    <cfRule type="expression" dxfId="4210" priority="85">
      <formula>C$9&lt;8/24</formula>
    </cfRule>
  </conditionalFormatting>
  <conditionalFormatting sqref="C44:M45 N44:AA44">
    <cfRule type="expression" dxfId="4209" priority="81">
      <formula>C44&gt;$AG44</formula>
    </cfRule>
  </conditionalFormatting>
  <conditionalFormatting sqref="B94:B100 B74:AF74 B82:AF82 B11:AA11">
    <cfRule type="expression" dxfId="4208" priority="68">
      <formula>B$9&gt;=20/24</formula>
    </cfRule>
    <cfRule type="expression" dxfId="4207" priority="69">
      <formula>AND(B$9&gt;=14/24,B$9&lt;20/24)</formula>
    </cfRule>
    <cfRule type="expression" dxfId="4206" priority="70">
      <formula>AND(B$9&gt;=8/24,B$9&lt;14/24)</formula>
    </cfRule>
    <cfRule type="expression" dxfId="4205" priority="71">
      <formula>B$9&lt;8/24</formula>
    </cfRule>
  </conditionalFormatting>
  <conditionalFormatting sqref="B37:L37">
    <cfRule type="expression" dxfId="4204" priority="64">
      <formula>B$9&gt;=20/24</formula>
    </cfRule>
    <cfRule type="expression" dxfId="4203" priority="65">
      <formula>AND(B$9&gt;=14/24,B$9&lt;20/24)</formula>
    </cfRule>
    <cfRule type="expression" dxfId="4202" priority="66">
      <formula>AND(B$9&gt;=8/24,B$9&lt;14/24)</formula>
    </cfRule>
    <cfRule type="expression" dxfId="4201" priority="67">
      <formula>B$9&lt;8/24</formula>
    </cfRule>
  </conditionalFormatting>
  <conditionalFormatting sqref="B37:L37 B11:AA11">
    <cfRule type="expression" dxfId="4200" priority="63">
      <formula>B11&gt;$AG11</formula>
    </cfRule>
  </conditionalFormatting>
  <conditionalFormatting sqref="B84">
    <cfRule type="expression" dxfId="4199" priority="59">
      <formula>B$9&gt;=20/24</formula>
    </cfRule>
    <cfRule type="expression" dxfId="4198" priority="60">
      <formula>AND(B$9&gt;=14/24,B$9&lt;20/24)</formula>
    </cfRule>
    <cfRule type="expression" dxfId="4197" priority="61">
      <formula>AND(B$9&gt;=8/24,B$9&lt;14/24)</formula>
    </cfRule>
    <cfRule type="expression" dxfId="4196" priority="62">
      <formula>B$9&lt;8/24</formula>
    </cfRule>
  </conditionalFormatting>
  <conditionalFormatting sqref="B40:B41 B57 B36:AA36">
    <cfRule type="expression" dxfId="4195" priority="55">
      <formula>B$9&gt;=20/24</formula>
    </cfRule>
    <cfRule type="expression" dxfId="4194" priority="56">
      <formula>AND(B$9&gt;=14/24,B$9&lt;20/24)</formula>
    </cfRule>
    <cfRule type="expression" dxfId="4193" priority="57">
      <formula>AND(B$9&gt;=8/24,B$9&lt;14/24)</formula>
    </cfRule>
    <cfRule type="expression" dxfId="4192" priority="58">
      <formula>B$9&lt;8/24</formula>
    </cfRule>
  </conditionalFormatting>
  <conditionalFormatting sqref="B39">
    <cfRule type="expression" dxfId="4191" priority="51">
      <formula>B$9&gt;=20/24</formula>
    </cfRule>
    <cfRule type="expression" dxfId="4190" priority="52">
      <formula>AND(B$9&gt;=14/24,B$9&lt;20/24)</formula>
    </cfRule>
    <cfRule type="expression" dxfId="4189" priority="53">
      <formula>AND(B$9&gt;=8/24,B$9&lt;14/24)</formula>
    </cfRule>
    <cfRule type="expression" dxfId="4188" priority="54">
      <formula>B$9&lt;8/24</formula>
    </cfRule>
  </conditionalFormatting>
  <conditionalFormatting sqref="B39:B41 B36:AA36">
    <cfRule type="expression" dxfId="4187" priority="50">
      <formula>B36&gt;$AG36</formula>
    </cfRule>
  </conditionalFormatting>
  <conditionalFormatting sqref="B85:B91 B53:B56 B58:B67 B69:B73 B75:AF75 C73:AF73 B81 B83:AF83 C61:F67 B12:AA14 B16:AA16 B18:AA22 B24:AA26 B28:AA31">
    <cfRule type="expression" dxfId="4186" priority="46">
      <formula>B$9&gt;=20/24</formula>
    </cfRule>
    <cfRule type="expression" dxfId="4185" priority="47">
      <formula>AND(B$9&gt;=14/24,B$9&lt;20/24)</formula>
    </cfRule>
    <cfRule type="expression" dxfId="4184" priority="48">
      <formula>AND(B$9&gt;=8/24,B$9&lt;14/24)</formula>
    </cfRule>
    <cfRule type="expression" dxfId="4183" priority="49">
      <formula>B$9&lt;8/24</formula>
    </cfRule>
  </conditionalFormatting>
  <conditionalFormatting sqref="B32:AA32">
    <cfRule type="expression" dxfId="4182" priority="42">
      <formula>B$9&gt;=20/24</formula>
    </cfRule>
    <cfRule type="expression" dxfId="4181" priority="43">
      <formula>AND(B$9&gt;=14/24,B$9&lt;20/24)</formula>
    </cfRule>
    <cfRule type="expression" dxfId="4180" priority="44">
      <formula>AND(B$9&gt;=8/24,B$9&lt;14/24)</formula>
    </cfRule>
    <cfRule type="expression" dxfId="4179" priority="45">
      <formula>B$9&lt;8/24</formula>
    </cfRule>
  </conditionalFormatting>
  <conditionalFormatting sqref="B35:AA35">
    <cfRule type="expression" dxfId="4178" priority="38">
      <formula>B$9&gt;=20/24</formula>
    </cfRule>
    <cfRule type="expression" dxfId="4177" priority="39">
      <formula>AND(B$9&gt;=14/24,B$9&lt;20/24)</formula>
    </cfRule>
    <cfRule type="expression" dxfId="4176" priority="40">
      <formula>AND(B$9&gt;=8/24,B$9&lt;14/24)</formula>
    </cfRule>
    <cfRule type="expression" dxfId="4175" priority="41">
      <formula>B$9&lt;8/24</formula>
    </cfRule>
  </conditionalFormatting>
  <conditionalFormatting sqref="B42:B43 B51:B56 B38:AF38 C52:AF52 B34:AA35 B12:AA16 B18:AA22 B24:AA32">
    <cfRule type="expression" dxfId="4174" priority="37">
      <formula>B12&gt;$AG12</formula>
    </cfRule>
  </conditionalFormatting>
  <conditionalFormatting sqref="B34:AA34">
    <cfRule type="expression" dxfId="4173" priority="33">
      <formula>B$9&gt;=20/24</formula>
    </cfRule>
    <cfRule type="expression" dxfId="4172" priority="34">
      <formula>AND(B$9&gt;=14/24,B$9&lt;20/24)</formula>
    </cfRule>
    <cfRule type="expression" dxfId="4171" priority="35">
      <formula>AND(B$9&gt;=8/24,B$9&lt;14/24)</formula>
    </cfRule>
    <cfRule type="expression" dxfId="4170" priority="36">
      <formula>B$9&lt;8/24</formula>
    </cfRule>
  </conditionalFormatting>
  <conditionalFormatting sqref="B15:AA15">
    <cfRule type="expression" dxfId="4169" priority="29">
      <formula>B$9&gt;=20/24</formula>
    </cfRule>
    <cfRule type="expression" dxfId="4168" priority="30">
      <formula>AND(B$9&gt;=14/24,B$9&lt;20/24)</formula>
    </cfRule>
    <cfRule type="expression" dxfId="4167" priority="31">
      <formula>AND(B$9&gt;=8/24,B$9&lt;14/24)</formula>
    </cfRule>
    <cfRule type="expression" dxfId="4166" priority="32">
      <formula>B$9&lt;8/24</formula>
    </cfRule>
  </conditionalFormatting>
  <conditionalFormatting sqref="B33:AA33">
    <cfRule type="expression" dxfId="4165" priority="25">
      <formula>B$9&gt;=20/24</formula>
    </cfRule>
    <cfRule type="expression" dxfId="4164" priority="26">
      <formula>AND(B$9&gt;=14/24,B$9&lt;20/24)</formula>
    </cfRule>
    <cfRule type="expression" dxfId="4163" priority="27">
      <formula>AND(B$9&gt;=8/24,B$9&lt;14/24)</formula>
    </cfRule>
    <cfRule type="expression" dxfId="4162" priority="28">
      <formula>B$9&lt;8/24</formula>
    </cfRule>
  </conditionalFormatting>
  <conditionalFormatting sqref="B33:AA33">
    <cfRule type="expression" dxfId="4161" priority="24">
      <formula>B33&gt;$AG33</formula>
    </cfRule>
  </conditionalFormatting>
  <conditionalFormatting sqref="B44:B50 C46:M50">
    <cfRule type="expression" dxfId="4160" priority="20">
      <formula>B$9&gt;=20/24</formula>
    </cfRule>
    <cfRule type="expression" dxfId="4159" priority="21">
      <formula>AND(B$9&gt;=14/24,B$9&lt;20/24)</formula>
    </cfRule>
    <cfRule type="expression" dxfId="4158" priority="22">
      <formula>AND(B$9&gt;=8/24,B$9&lt;14/24)</formula>
    </cfRule>
    <cfRule type="expression" dxfId="4157" priority="23">
      <formula>B$9&lt;8/24</formula>
    </cfRule>
  </conditionalFormatting>
  <conditionalFormatting sqref="B44:B50 C46:M50">
    <cfRule type="expression" dxfId="4156" priority="19">
      <formula>B44&gt;$AG44</formula>
    </cfRule>
  </conditionalFormatting>
  <conditionalFormatting sqref="B27:AA27">
    <cfRule type="expression" dxfId="4155" priority="15">
      <formula>B$9&gt;=20/24</formula>
    </cfRule>
    <cfRule type="expression" dxfId="4154" priority="16">
      <formula>AND(B$9&gt;=14/24,B$9&lt;20/24)</formula>
    </cfRule>
    <cfRule type="expression" dxfId="4153" priority="17">
      <formula>AND(B$9&gt;=8/24,B$9&lt;14/24)</formula>
    </cfRule>
    <cfRule type="expression" dxfId="4152" priority="18">
      <formula>B$9&lt;8/24</formula>
    </cfRule>
  </conditionalFormatting>
  <conditionalFormatting sqref="B17:AA17 B23:AA23">
    <cfRule type="expression" dxfId="4151" priority="11">
      <formula>B$9&gt;=20/24</formula>
    </cfRule>
    <cfRule type="expression" dxfId="4150" priority="12">
      <formula>AND(B$9&gt;=14/24,B$9&lt;20/24)</formula>
    </cfRule>
    <cfRule type="expression" dxfId="4149" priority="13">
      <formula>AND(B$9&gt;=8/24,B$9&lt;14/24)</formula>
    </cfRule>
    <cfRule type="expression" dxfId="4148" priority="14">
      <formula>B$9&lt;8/24</formula>
    </cfRule>
  </conditionalFormatting>
  <conditionalFormatting sqref="B17:AA17 B23:AA23">
    <cfRule type="expression" dxfId="4147" priority="10">
      <formula>B17&gt;$AG17</formula>
    </cfRule>
  </conditionalFormatting>
  <conditionalFormatting sqref="A33">
    <cfRule type="expression" dxfId="4146" priority="9">
      <formula>$AH33=0</formula>
    </cfRule>
  </conditionalFormatting>
  <conditionalFormatting sqref="B68:AF68">
    <cfRule type="expression" dxfId="4145" priority="5">
      <formula>B$9&gt;=20/24</formula>
    </cfRule>
    <cfRule type="expression" dxfId="4144" priority="6">
      <formula>AND(B$9&gt;=14/24,B$9&lt;20/24)</formula>
    </cfRule>
    <cfRule type="expression" dxfId="4143" priority="7">
      <formula>AND(B$9&gt;=8/24,B$9&lt;14/24)</formula>
    </cfRule>
    <cfRule type="expression" dxfId="4142" priority="8">
      <formula>B$9&lt;8/24</formula>
    </cfRule>
  </conditionalFormatting>
  <conditionalFormatting sqref="B76:AF80">
    <cfRule type="expression" dxfId="4141" priority="1">
      <formula>B$9&gt;=20/24</formula>
    </cfRule>
    <cfRule type="expression" dxfId="4140" priority="2">
      <formula>AND(B$9&gt;=14/24,B$9&lt;20/24)</formula>
    </cfRule>
    <cfRule type="expression" dxfId="4139" priority="3">
      <formula>AND(B$9&gt;=8/24,B$9&lt;14/24)</formula>
    </cfRule>
    <cfRule type="expression" dxfId="4138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F32" sqref="F3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"2079/"&amp;"03/"&amp;INT(MID(CELL("filename",D6),FIND("]",CELL("filename",D6))+1,200))</f>
        <v>2079/03/14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92</v>
      </c>
      <c r="C5" s="32">
        <f t="shared" si="0"/>
        <v>96.2</v>
      </c>
      <c r="D5" s="32">
        <f t="shared" si="0"/>
        <v>79.099999999999994</v>
      </c>
      <c r="E5" s="32">
        <f t="shared" si="0"/>
        <v>81.8</v>
      </c>
      <c r="F5" s="32">
        <f t="shared" si="0"/>
        <v>80.099999999999994</v>
      </c>
      <c r="G5" s="32">
        <f t="shared" si="0"/>
        <v>71</v>
      </c>
      <c r="H5" s="32">
        <f t="shared" si="0"/>
        <v>44</v>
      </c>
      <c r="I5" s="32">
        <f t="shared" si="0"/>
        <v>59</v>
      </c>
      <c r="J5" s="32">
        <f t="shared" si="0"/>
        <v>54</v>
      </c>
      <c r="K5" s="32">
        <f t="shared" si="0"/>
        <v>60</v>
      </c>
      <c r="L5" s="32">
        <f t="shared" si="0"/>
        <v>55.5</v>
      </c>
      <c r="M5" s="32">
        <f t="shared" si="0"/>
        <v>44.3</v>
      </c>
      <c r="N5" s="32">
        <f t="shared" si="0"/>
        <v>31.5</v>
      </c>
      <c r="O5" s="32">
        <f t="shared" si="0"/>
        <v>51</v>
      </c>
      <c r="P5" s="32">
        <f t="shared" si="0"/>
        <v>44.9</v>
      </c>
      <c r="Q5" s="32">
        <f t="shared" si="0"/>
        <v>72.599999999999994</v>
      </c>
      <c r="R5" s="32">
        <f t="shared" si="0"/>
        <v>79.2</v>
      </c>
      <c r="S5" s="32">
        <f t="shared" si="0"/>
        <v>71.599999999999994</v>
      </c>
      <c r="T5" s="32">
        <f t="shared" si="0"/>
        <v>50.9</v>
      </c>
      <c r="U5" s="32">
        <f t="shared" si="0"/>
        <v>49</v>
      </c>
      <c r="V5" s="32">
        <f t="shared" si="0"/>
        <v>56</v>
      </c>
      <c r="W5" s="32">
        <f t="shared" si="0"/>
        <v>55</v>
      </c>
      <c r="X5" s="32">
        <f t="shared" si="0"/>
        <v>46.8</v>
      </c>
      <c r="Y5" s="32">
        <f t="shared" si="0"/>
        <v>65.5</v>
      </c>
      <c r="Z5" s="32">
        <f t="shared" si="0"/>
        <v>66.3</v>
      </c>
      <c r="AA5" s="32">
        <f t="shared" si="0"/>
        <v>64</v>
      </c>
      <c r="AB5" s="32">
        <f t="shared" si="0"/>
        <v>66</v>
      </c>
      <c r="AC5" s="32">
        <f t="shared" si="0"/>
        <v>56</v>
      </c>
      <c r="AD5" s="32">
        <f t="shared" si="0"/>
        <v>64</v>
      </c>
      <c r="AE5" s="32">
        <f t="shared" si="0"/>
        <v>45</v>
      </c>
      <c r="AF5" s="32">
        <f>B68</f>
        <v>114.3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1689MW at 5:30hr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Load=1586</v>
      </c>
      <c r="B7" s="37">
        <f>B75</f>
        <v>1728.8400000000001</v>
      </c>
      <c r="C7" s="37">
        <f t="shared" ref="C7:AF7" si="1">C75</f>
        <v>1706.5400000000002</v>
      </c>
      <c r="D7" s="37">
        <f t="shared" si="1"/>
        <v>1686.7400000000002</v>
      </c>
      <c r="E7" s="37">
        <f t="shared" si="1"/>
        <v>1689.7400000000002</v>
      </c>
      <c r="F7" s="37">
        <f t="shared" si="1"/>
        <v>1687.5400000000002</v>
      </c>
      <c r="G7" s="37">
        <f t="shared" si="1"/>
        <v>1663.24</v>
      </c>
      <c r="H7" s="37">
        <f t="shared" si="1"/>
        <v>1688.94</v>
      </c>
      <c r="I7" s="37">
        <f t="shared" si="1"/>
        <v>1661.7400000000002</v>
      </c>
      <c r="J7" s="37">
        <f t="shared" si="1"/>
        <v>1670.54</v>
      </c>
      <c r="K7" s="37">
        <f t="shared" si="1"/>
        <v>1672.1400000000003</v>
      </c>
      <c r="L7" s="37">
        <f t="shared" si="1"/>
        <v>1684.2399999999998</v>
      </c>
      <c r="M7" s="37">
        <f t="shared" si="1"/>
        <v>1647.7399999999998</v>
      </c>
      <c r="N7" s="37">
        <f t="shared" si="1"/>
        <v>1593.34</v>
      </c>
      <c r="O7" s="37">
        <f t="shared" si="1"/>
        <v>1586.24</v>
      </c>
      <c r="P7" s="37">
        <f t="shared" si="1"/>
        <v>1616.64</v>
      </c>
      <c r="Q7" s="37">
        <f t="shared" si="1"/>
        <v>1597.5400000000004</v>
      </c>
      <c r="R7" s="37">
        <f t="shared" si="1"/>
        <v>1655.2400000000002</v>
      </c>
      <c r="S7" s="37">
        <f t="shared" si="1"/>
        <v>1663.8400000000004</v>
      </c>
      <c r="T7" s="37">
        <f t="shared" si="1"/>
        <v>1676.2400000000002</v>
      </c>
      <c r="U7" s="37">
        <f t="shared" si="1"/>
        <v>1691.5400000000004</v>
      </c>
      <c r="V7" s="37">
        <f t="shared" si="1"/>
        <v>1689.6400000000003</v>
      </c>
      <c r="W7" s="37">
        <f t="shared" si="1"/>
        <v>1702.6400000000003</v>
      </c>
      <c r="X7" s="37">
        <f t="shared" si="1"/>
        <v>1701.6400000000003</v>
      </c>
      <c r="Y7" s="37">
        <f t="shared" si="1"/>
        <v>1693.14</v>
      </c>
      <c r="Z7" s="37">
        <f t="shared" si="1"/>
        <v>1711.8400000000001</v>
      </c>
      <c r="AA7" s="37">
        <f t="shared" si="1"/>
        <v>1702.64</v>
      </c>
      <c r="AB7" s="37">
        <f t="shared" si="1"/>
        <v>1651.9900000000002</v>
      </c>
      <c r="AC7" s="37">
        <f t="shared" si="1"/>
        <v>1704.7400000000002</v>
      </c>
      <c r="AD7" s="37">
        <f t="shared" si="1"/>
        <v>1675.4899999999998</v>
      </c>
      <c r="AE7" s="37">
        <f t="shared" si="1"/>
        <v>1690.69</v>
      </c>
      <c r="AF7" s="37">
        <f t="shared" si="1"/>
        <v>1674.79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50">
        <v>456</v>
      </c>
      <c r="E11" s="51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1">
        <v>456</v>
      </c>
      <c r="L11" s="51">
        <v>456</v>
      </c>
      <c r="M11" s="51">
        <v>456</v>
      </c>
      <c r="N11" s="51">
        <v>380</v>
      </c>
      <c r="O11" s="51">
        <v>395</v>
      </c>
      <c r="P11" s="51">
        <v>415</v>
      </c>
      <c r="Q11" s="51">
        <v>400</v>
      </c>
      <c r="R11" s="51">
        <v>430</v>
      </c>
      <c r="S11" s="53">
        <v>400</v>
      </c>
      <c r="T11" s="53">
        <v>420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380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53.5</v>
      </c>
      <c r="C13" s="51">
        <v>53.5</v>
      </c>
      <c r="D13" s="51">
        <v>53.5</v>
      </c>
      <c r="E13" s="51">
        <v>53.5</v>
      </c>
      <c r="F13" s="51">
        <v>53.4</v>
      </c>
      <c r="G13" s="51">
        <v>53.4</v>
      </c>
      <c r="H13" s="51">
        <v>53.4</v>
      </c>
      <c r="I13" s="51">
        <v>53.4</v>
      </c>
      <c r="J13" s="51">
        <v>53.4</v>
      </c>
      <c r="K13" s="51">
        <v>53.4</v>
      </c>
      <c r="L13" s="51">
        <v>53.4</v>
      </c>
      <c r="M13" s="51">
        <v>53.4</v>
      </c>
      <c r="N13" s="51">
        <v>53.4</v>
      </c>
      <c r="O13" s="51">
        <v>53.3</v>
      </c>
      <c r="P13" s="51">
        <v>53.3</v>
      </c>
      <c r="Q13" s="51">
        <v>53.3</v>
      </c>
      <c r="R13" s="51">
        <v>53.3</v>
      </c>
      <c r="S13" s="51">
        <v>53.3</v>
      </c>
      <c r="T13" s="51">
        <v>53.3</v>
      </c>
      <c r="U13" s="51">
        <v>53.3</v>
      </c>
      <c r="V13" s="51">
        <v>53.3</v>
      </c>
      <c r="W13" s="51">
        <v>53.3</v>
      </c>
      <c r="X13" s="51">
        <v>53.3</v>
      </c>
      <c r="Y13" s="51">
        <v>53.3</v>
      </c>
      <c r="Z13" s="51">
        <v>53.3</v>
      </c>
      <c r="AA13" s="51">
        <v>53.3</v>
      </c>
      <c r="AB13" s="51">
        <v>53.3</v>
      </c>
      <c r="AC13" s="51">
        <v>53.3</v>
      </c>
      <c r="AD13" s="51">
        <v>53.3</v>
      </c>
      <c r="AE13" s="51">
        <v>53.3</v>
      </c>
      <c r="AF13" s="51">
        <v>53.4</v>
      </c>
      <c r="AG13" s="59">
        <v>52.4</v>
      </c>
      <c r="AH13" s="55">
        <f t="shared" si="2"/>
        <v>53.5</v>
      </c>
      <c r="AI13" s="56">
        <f t="shared" si="3"/>
        <v>53.3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50.4</v>
      </c>
      <c r="C14" s="51">
        <v>50.4</v>
      </c>
      <c r="D14" s="51">
        <v>50.4</v>
      </c>
      <c r="E14" s="51">
        <v>50.4</v>
      </c>
      <c r="F14" s="51">
        <v>50.1</v>
      </c>
      <c r="G14" s="51">
        <v>50.1</v>
      </c>
      <c r="H14" s="51">
        <v>50.1</v>
      </c>
      <c r="I14" s="51">
        <v>50.1</v>
      </c>
      <c r="J14" s="51">
        <v>50.1</v>
      </c>
      <c r="K14" s="51">
        <v>50.1</v>
      </c>
      <c r="L14" s="51">
        <v>50.1</v>
      </c>
      <c r="M14" s="51">
        <v>50.1</v>
      </c>
      <c r="N14" s="51">
        <v>50.1</v>
      </c>
      <c r="O14" s="51">
        <v>50.2</v>
      </c>
      <c r="P14" s="51">
        <v>50.2</v>
      </c>
      <c r="Q14" s="51">
        <v>50</v>
      </c>
      <c r="R14" s="51">
        <v>50</v>
      </c>
      <c r="S14" s="51">
        <v>50</v>
      </c>
      <c r="T14" s="51">
        <v>50</v>
      </c>
      <c r="U14" s="51">
        <v>50</v>
      </c>
      <c r="V14" s="51">
        <v>50</v>
      </c>
      <c r="W14" s="51">
        <v>50</v>
      </c>
      <c r="X14" s="51">
        <v>50</v>
      </c>
      <c r="Y14" s="51">
        <v>50</v>
      </c>
      <c r="Z14" s="51">
        <v>50</v>
      </c>
      <c r="AA14" s="51">
        <v>50</v>
      </c>
      <c r="AB14" s="51">
        <v>50</v>
      </c>
      <c r="AC14" s="51">
        <v>50</v>
      </c>
      <c r="AD14" s="51">
        <v>50</v>
      </c>
      <c r="AE14" s="51">
        <v>50</v>
      </c>
      <c r="AF14" s="51">
        <v>50</v>
      </c>
      <c r="AG14" s="59">
        <v>50</v>
      </c>
      <c r="AH14" s="55">
        <f t="shared" si="2"/>
        <v>50.4</v>
      </c>
      <c r="AI14" s="56">
        <f t="shared" si="3"/>
        <v>50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>
        <v>45.7</v>
      </c>
      <c r="O15" s="51">
        <v>45.8</v>
      </c>
      <c r="P15" s="51">
        <v>45.7</v>
      </c>
      <c r="Q15" s="51">
        <v>45.6</v>
      </c>
      <c r="R15" s="51">
        <v>45.6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45.6</v>
      </c>
      <c r="AC15" s="51">
        <v>45.6</v>
      </c>
      <c r="AD15" s="51">
        <v>45.3</v>
      </c>
      <c r="AE15" s="51">
        <v>45.3</v>
      </c>
      <c r="AF15" s="51">
        <v>45.3</v>
      </c>
      <c r="AG15" s="60">
        <v>45</v>
      </c>
      <c r="AH15" s="55">
        <f t="shared" si="2"/>
        <v>45.8</v>
      </c>
      <c r="AI15" s="56">
        <f t="shared" si="3"/>
        <v>45.3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0</v>
      </c>
      <c r="C16" s="51">
        <v>0</v>
      </c>
      <c r="D16" s="51">
        <v>0</v>
      </c>
      <c r="E16" s="51">
        <v>35</v>
      </c>
      <c r="F16" s="51">
        <v>40</v>
      </c>
      <c r="G16" s="51">
        <v>40</v>
      </c>
      <c r="H16" s="51">
        <v>40</v>
      </c>
      <c r="I16" s="51">
        <v>32</v>
      </c>
      <c r="J16" s="51">
        <v>32</v>
      </c>
      <c r="K16" s="51">
        <v>32</v>
      </c>
      <c r="L16" s="51">
        <v>32</v>
      </c>
      <c r="M16" s="51">
        <v>30</v>
      </c>
      <c r="N16" s="51">
        <v>26</v>
      </c>
      <c r="O16" s="51">
        <v>24</v>
      </c>
      <c r="P16" s="51">
        <v>24</v>
      </c>
      <c r="Q16" s="51">
        <v>24</v>
      </c>
      <c r="R16" s="51">
        <v>24</v>
      </c>
      <c r="S16" s="51">
        <v>24</v>
      </c>
      <c r="T16" s="51">
        <v>24</v>
      </c>
      <c r="U16" s="51">
        <v>24</v>
      </c>
      <c r="V16" s="51">
        <v>24</v>
      </c>
      <c r="W16" s="51">
        <v>30</v>
      </c>
      <c r="X16" s="51">
        <v>30</v>
      </c>
      <c r="Y16" s="51">
        <v>30</v>
      </c>
      <c r="Z16" s="51">
        <v>30</v>
      </c>
      <c r="AA16" s="51">
        <v>30</v>
      </c>
      <c r="AB16" s="51">
        <v>24</v>
      </c>
      <c r="AC16" s="51">
        <v>24</v>
      </c>
      <c r="AD16" s="51">
        <v>24</v>
      </c>
      <c r="AE16" s="51">
        <v>24</v>
      </c>
      <c r="AF16" s="51">
        <v>24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26.1</v>
      </c>
      <c r="C19" s="51">
        <v>26.1</v>
      </c>
      <c r="D19" s="51">
        <v>26.1</v>
      </c>
      <c r="E19" s="51">
        <v>26.1</v>
      </c>
      <c r="F19" s="51">
        <v>26.1</v>
      </c>
      <c r="G19" s="51">
        <v>26.1</v>
      </c>
      <c r="H19" s="51">
        <v>26.1</v>
      </c>
      <c r="I19" s="51">
        <v>26.1</v>
      </c>
      <c r="J19" s="51">
        <v>22.8</v>
      </c>
      <c r="K19" s="51">
        <v>0</v>
      </c>
      <c r="L19" s="51">
        <v>25.3</v>
      </c>
      <c r="M19" s="51">
        <v>25.3</v>
      </c>
      <c r="N19" s="51">
        <v>25.3</v>
      </c>
      <c r="O19" s="51">
        <v>25.4</v>
      </c>
      <c r="P19" s="51">
        <v>25.4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26.3</v>
      </c>
      <c r="AE19" s="51">
        <v>25</v>
      </c>
      <c r="AF19" s="51">
        <v>25</v>
      </c>
      <c r="AG19" s="59">
        <v>30</v>
      </c>
      <c r="AH19" s="55">
        <f t="shared" si="2"/>
        <v>26.3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20</v>
      </c>
      <c r="C20" s="51">
        <v>20</v>
      </c>
      <c r="D20" s="51">
        <v>0</v>
      </c>
      <c r="E20" s="51">
        <v>20</v>
      </c>
      <c r="F20" s="51">
        <v>20</v>
      </c>
      <c r="G20" s="51">
        <v>20</v>
      </c>
      <c r="H20" s="51">
        <v>20</v>
      </c>
      <c r="I20" s="51">
        <v>20</v>
      </c>
      <c r="J20" s="51">
        <v>20</v>
      </c>
      <c r="K20" s="51">
        <v>20</v>
      </c>
      <c r="L20" s="51">
        <v>20</v>
      </c>
      <c r="M20" s="51">
        <v>20</v>
      </c>
      <c r="N20" s="51">
        <v>20</v>
      </c>
      <c r="O20" s="51">
        <v>20</v>
      </c>
      <c r="P20" s="51">
        <v>20</v>
      </c>
      <c r="Q20" s="51">
        <v>20</v>
      </c>
      <c r="R20" s="51">
        <v>20</v>
      </c>
      <c r="S20" s="51">
        <v>20</v>
      </c>
      <c r="T20" s="51">
        <v>20</v>
      </c>
      <c r="U20" s="51">
        <v>20</v>
      </c>
      <c r="V20" s="51">
        <v>20</v>
      </c>
      <c r="W20" s="51">
        <v>20</v>
      </c>
      <c r="X20" s="51">
        <v>20</v>
      </c>
      <c r="Y20" s="51">
        <v>20</v>
      </c>
      <c r="Z20" s="51">
        <v>20</v>
      </c>
      <c r="AA20" s="51">
        <v>20</v>
      </c>
      <c r="AB20" s="51">
        <v>20</v>
      </c>
      <c r="AC20" s="51">
        <v>20</v>
      </c>
      <c r="AD20" s="51">
        <v>20</v>
      </c>
      <c r="AE20" s="51">
        <v>20</v>
      </c>
      <c r="AF20" s="51">
        <v>20</v>
      </c>
      <c r="AG20" s="59">
        <v>27</v>
      </c>
      <c r="AH20" s="55">
        <f t="shared" si="2"/>
        <v>20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25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4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13.1</v>
      </c>
      <c r="AE22" s="51">
        <v>22.1</v>
      </c>
      <c r="AF22" s="51">
        <v>22</v>
      </c>
      <c r="AG22" s="59">
        <v>25</v>
      </c>
      <c r="AH22" s="55">
        <f t="shared" si="2"/>
        <v>25</v>
      </c>
      <c r="AI22" s="56">
        <f t="shared" si="3"/>
        <v>4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0</v>
      </c>
      <c r="C26" s="51">
        <v>0</v>
      </c>
      <c r="D26" s="51">
        <v>0</v>
      </c>
      <c r="E26" s="51">
        <v>10.5</v>
      </c>
      <c r="F26" s="51">
        <v>10.5</v>
      </c>
      <c r="G26" s="51">
        <v>10.5</v>
      </c>
      <c r="H26" s="51">
        <v>5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5</v>
      </c>
      <c r="AC26" s="51">
        <v>5</v>
      </c>
      <c r="AD26" s="51">
        <v>5</v>
      </c>
      <c r="AE26" s="51">
        <v>5</v>
      </c>
      <c r="AF26" s="51">
        <v>5</v>
      </c>
      <c r="AG26" s="59">
        <v>20</v>
      </c>
      <c r="AH26" s="55">
        <f t="shared" si="2"/>
        <v>10.5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14.9</v>
      </c>
      <c r="C27" s="51">
        <v>14.9</v>
      </c>
      <c r="D27" s="51">
        <v>14.9</v>
      </c>
      <c r="E27" s="51">
        <v>14.9</v>
      </c>
      <c r="F27" s="51">
        <v>14.9</v>
      </c>
      <c r="G27" s="51">
        <v>14.9</v>
      </c>
      <c r="H27" s="51">
        <v>14.9</v>
      </c>
      <c r="I27" s="51">
        <v>14.9</v>
      </c>
      <c r="J27" s="51">
        <v>14.9</v>
      </c>
      <c r="K27" s="51">
        <v>14.9</v>
      </c>
      <c r="L27" s="51">
        <v>14.9</v>
      </c>
      <c r="M27" s="51">
        <v>14.9</v>
      </c>
      <c r="N27" s="51">
        <v>14.9</v>
      </c>
      <c r="O27" s="51">
        <v>14.9</v>
      </c>
      <c r="P27" s="51">
        <v>14.9</v>
      </c>
      <c r="Q27" s="51">
        <v>7.5</v>
      </c>
      <c r="R27" s="51">
        <v>7.5</v>
      </c>
      <c r="S27" s="51">
        <v>7.5</v>
      </c>
      <c r="T27" s="51">
        <v>7.5</v>
      </c>
      <c r="U27" s="51">
        <v>7.5</v>
      </c>
      <c r="V27" s="51">
        <v>7.5</v>
      </c>
      <c r="W27" s="51">
        <v>7.5</v>
      </c>
      <c r="X27" s="51">
        <v>7.5</v>
      </c>
      <c r="Y27" s="51">
        <v>7.5</v>
      </c>
      <c r="Z27" s="51">
        <v>7.5</v>
      </c>
      <c r="AA27" s="51">
        <v>7.5</v>
      </c>
      <c r="AB27" s="51">
        <v>7.5</v>
      </c>
      <c r="AC27" s="51">
        <v>7.5</v>
      </c>
      <c r="AD27" s="51">
        <v>7.5</v>
      </c>
      <c r="AE27" s="51">
        <v>7.5</v>
      </c>
      <c r="AF27" s="51">
        <v>7.5</v>
      </c>
      <c r="AG27" s="59">
        <v>23.5</v>
      </c>
      <c r="AH27" s="55">
        <f t="shared" si="2"/>
        <v>14.9</v>
      </c>
      <c r="AI27" s="56">
        <f t="shared" si="3"/>
        <v>7.5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0</v>
      </c>
      <c r="C28" s="51">
        <v>0</v>
      </c>
      <c r="D28" s="51">
        <v>0</v>
      </c>
      <c r="E28" s="51">
        <v>8</v>
      </c>
      <c r="F28" s="51">
        <v>8</v>
      </c>
      <c r="G28" s="51">
        <v>8</v>
      </c>
      <c r="H28" s="51">
        <v>8</v>
      </c>
      <c r="I28" s="51">
        <v>8</v>
      </c>
      <c r="J28" s="51">
        <v>8</v>
      </c>
      <c r="K28" s="51">
        <v>8</v>
      </c>
      <c r="L28" s="51">
        <v>8</v>
      </c>
      <c r="M28" s="51">
        <v>8</v>
      </c>
      <c r="N28" s="51">
        <v>8</v>
      </c>
      <c r="O28" s="51">
        <v>8</v>
      </c>
      <c r="P28" s="51">
        <v>8</v>
      </c>
      <c r="Q28" s="51">
        <v>8</v>
      </c>
      <c r="R28" s="51">
        <v>8</v>
      </c>
      <c r="S28" s="51">
        <v>8</v>
      </c>
      <c r="T28" s="51">
        <v>8</v>
      </c>
      <c r="U28" s="51">
        <v>8</v>
      </c>
      <c r="V28" s="51">
        <v>8</v>
      </c>
      <c r="W28" s="51">
        <v>8</v>
      </c>
      <c r="X28" s="51">
        <v>8</v>
      </c>
      <c r="Y28" s="51">
        <v>8</v>
      </c>
      <c r="Z28" s="51">
        <v>8</v>
      </c>
      <c r="AA28" s="51">
        <v>8</v>
      </c>
      <c r="AB28" s="51">
        <v>8</v>
      </c>
      <c r="AC28" s="51">
        <v>8</v>
      </c>
      <c r="AD28" s="51">
        <v>8</v>
      </c>
      <c r="AE28" s="51">
        <v>8</v>
      </c>
      <c r="AF28" s="51">
        <v>8</v>
      </c>
      <c r="AG28" s="59">
        <v>22.2</v>
      </c>
      <c r="AH28" s="55">
        <f t="shared" si="2"/>
        <v>8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8</v>
      </c>
      <c r="C32" s="51">
        <v>8</v>
      </c>
      <c r="D32" s="51">
        <v>8</v>
      </c>
      <c r="E32" s="51">
        <v>8</v>
      </c>
      <c r="F32" s="51">
        <v>10</v>
      </c>
      <c r="G32" s="51">
        <v>10</v>
      </c>
      <c r="H32" s="51">
        <v>10</v>
      </c>
      <c r="I32" s="51">
        <v>10</v>
      </c>
      <c r="J32" s="51">
        <v>10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10</v>
      </c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1">
        <v>10</v>
      </c>
      <c r="Z32" s="51">
        <v>10</v>
      </c>
      <c r="AA32" s="51">
        <v>10</v>
      </c>
      <c r="AB32" s="51">
        <v>10</v>
      </c>
      <c r="AC32" s="51">
        <v>10</v>
      </c>
      <c r="AD32" s="51">
        <v>10</v>
      </c>
      <c r="AE32" s="51">
        <v>10</v>
      </c>
      <c r="AF32" s="51">
        <v>10</v>
      </c>
      <c r="AG32" s="64">
        <v>22</v>
      </c>
      <c r="AH32" s="55">
        <f t="shared" si="2"/>
        <v>10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0</v>
      </c>
      <c r="C34" s="51">
        <v>0</v>
      </c>
      <c r="D34" s="51">
        <v>0</v>
      </c>
      <c r="E34" s="51">
        <v>10</v>
      </c>
      <c r="F34" s="51">
        <v>10</v>
      </c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1">
        <v>10</v>
      </c>
      <c r="S34" s="51">
        <v>10</v>
      </c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1"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64">
        <v>20</v>
      </c>
      <c r="AH34" s="55">
        <f t="shared" si="2"/>
        <v>10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96.7+43.1</f>
        <v>139.80000000000001</v>
      </c>
      <c r="C37" s="66">
        <f>97+43</f>
        <v>140</v>
      </c>
      <c r="D37" s="66"/>
      <c r="E37" s="66"/>
      <c r="F37" s="66">
        <f>94.5+47.2</f>
        <v>141.69999999999999</v>
      </c>
      <c r="G37" s="66">
        <f>67.9+35.3</f>
        <v>103.2</v>
      </c>
      <c r="H37" s="66">
        <f>78.7+38.2</f>
        <v>116.9</v>
      </c>
      <c r="I37" s="66"/>
      <c r="J37" s="66"/>
      <c r="K37" s="66"/>
      <c r="L37" s="66"/>
      <c r="M37" s="66">
        <f>41.3+91.7</f>
        <v>133</v>
      </c>
      <c r="N37" s="66">
        <f>43.1+96.2</f>
        <v>139.30000000000001</v>
      </c>
      <c r="O37" s="66">
        <f>43+96.1</f>
        <v>139.1</v>
      </c>
      <c r="P37" s="66">
        <f>42.3+93.9</f>
        <v>136.19999999999999</v>
      </c>
      <c r="Q37" s="66">
        <f>38.9+91.4</f>
        <v>130.30000000000001</v>
      </c>
      <c r="R37" s="66">
        <f>38.7+90.4</f>
        <v>129.10000000000002</v>
      </c>
      <c r="S37" s="68">
        <f>42.5+95</f>
        <v>137.5</v>
      </c>
      <c r="T37" s="68">
        <f>42.5+95</f>
        <v>137.5</v>
      </c>
      <c r="U37" s="68">
        <f>42.5+95</f>
        <v>137.5</v>
      </c>
      <c r="V37" s="68">
        <f>39+84</f>
        <v>123</v>
      </c>
      <c r="W37" s="68">
        <f>41+91</f>
        <v>132</v>
      </c>
      <c r="X37" s="68">
        <f>41+88</f>
        <v>129</v>
      </c>
      <c r="Y37" s="68">
        <f>39+83.2</f>
        <v>122.2</v>
      </c>
      <c r="Z37" s="68">
        <f>35.8+73</f>
        <v>108.8</v>
      </c>
      <c r="AA37" s="68">
        <f>35.8+73</f>
        <v>108.8</v>
      </c>
      <c r="AB37" s="68">
        <f>35.8+73</f>
        <v>108.8</v>
      </c>
      <c r="AC37" s="68">
        <f>80+37</f>
        <v>117</v>
      </c>
      <c r="AD37" s="68">
        <f>80+37</f>
        <v>117</v>
      </c>
      <c r="AE37" s="68">
        <f>80+37</f>
        <v>117</v>
      </c>
      <c r="AF37" s="68">
        <f>80+37</f>
        <v>117</v>
      </c>
      <c r="AG37" s="64">
        <v>240</v>
      </c>
      <c r="AH37" s="55">
        <f t="shared" si="2"/>
        <v>141.69999999999999</v>
      </c>
      <c r="AI37" s="56">
        <f t="shared" si="3"/>
        <v>103.2</v>
      </c>
      <c r="AK37" s="57"/>
    </row>
    <row r="38" spans="1:88" ht="15.75" thickBot="1" x14ac:dyDescent="0.3">
      <c r="A38" s="69" t="s">
        <v>46</v>
      </c>
      <c r="B38" s="70">
        <f t="shared" ref="B38" si="4">SUM(B11:B36)</f>
        <v>1186.8000000000002</v>
      </c>
      <c r="C38" s="70">
        <f t="shared" ref="C38:AF38" si="5">SUM(C11:C36)</f>
        <v>1186.8000000000002</v>
      </c>
      <c r="D38" s="70">
        <f t="shared" si="5"/>
        <v>1169.8000000000002</v>
      </c>
      <c r="E38" s="70">
        <f t="shared" si="5"/>
        <v>1250.3000000000002</v>
      </c>
      <c r="F38" s="70">
        <f t="shared" si="5"/>
        <v>1256.9000000000001</v>
      </c>
      <c r="G38" s="70">
        <f t="shared" si="5"/>
        <v>1256.9000000000001</v>
      </c>
      <c r="H38" s="70">
        <f t="shared" si="5"/>
        <v>1251.4000000000001</v>
      </c>
      <c r="I38" s="70">
        <f t="shared" si="5"/>
        <v>1238.4000000000001</v>
      </c>
      <c r="J38" s="70">
        <f t="shared" si="5"/>
        <v>1235.0999999999999</v>
      </c>
      <c r="K38" s="70">
        <f t="shared" si="5"/>
        <v>1190.3000000000002</v>
      </c>
      <c r="L38" s="70">
        <f t="shared" si="5"/>
        <v>1215.5999999999999</v>
      </c>
      <c r="M38" s="70">
        <f t="shared" si="5"/>
        <v>1213.5999999999999</v>
      </c>
      <c r="N38" s="70">
        <f t="shared" si="5"/>
        <v>1133.5999999999999</v>
      </c>
      <c r="O38" s="70">
        <f t="shared" si="5"/>
        <v>1146.8</v>
      </c>
      <c r="P38" s="70">
        <f t="shared" si="5"/>
        <v>1148.7</v>
      </c>
      <c r="Q38" s="70">
        <f t="shared" si="5"/>
        <v>1144.8000000000002</v>
      </c>
      <c r="R38" s="70">
        <f t="shared" si="5"/>
        <v>1174.8000000000002</v>
      </c>
      <c r="S38" s="70">
        <f t="shared" si="5"/>
        <v>1166.8000000000002</v>
      </c>
      <c r="T38" s="70">
        <f t="shared" si="5"/>
        <v>1186.8000000000002</v>
      </c>
      <c r="U38" s="70">
        <f t="shared" si="5"/>
        <v>1222.8000000000002</v>
      </c>
      <c r="V38" s="70">
        <f t="shared" si="5"/>
        <v>1222.8000000000002</v>
      </c>
      <c r="W38" s="70">
        <f t="shared" si="5"/>
        <v>1228.8000000000002</v>
      </c>
      <c r="X38" s="70">
        <f t="shared" si="5"/>
        <v>1228.8000000000002</v>
      </c>
      <c r="Y38" s="70">
        <f t="shared" si="5"/>
        <v>1228.8000000000002</v>
      </c>
      <c r="Z38" s="70">
        <f t="shared" si="5"/>
        <v>1228.8000000000002</v>
      </c>
      <c r="AA38" s="70">
        <f t="shared" si="5"/>
        <v>1228.8000000000002</v>
      </c>
      <c r="AB38" s="70">
        <f t="shared" si="5"/>
        <v>1227.8000000000002</v>
      </c>
      <c r="AC38" s="70">
        <f t="shared" si="5"/>
        <v>1227.8000000000002</v>
      </c>
      <c r="AD38" s="70">
        <f t="shared" si="5"/>
        <v>1218.6999999999998</v>
      </c>
      <c r="AE38" s="70">
        <f>SUM(AE11:AE36)</f>
        <v>1226.4000000000001</v>
      </c>
      <c r="AF38" s="70">
        <f t="shared" si="5"/>
        <v>1226.4000000000001</v>
      </c>
      <c r="AG38" s="64">
        <f>SUM(AG11:AG37)</f>
        <v>1492.8299999999997</v>
      </c>
      <c r="AH38" s="55">
        <f t="shared" si="2"/>
        <v>1256.9000000000001</v>
      </c>
      <c r="AI38" s="56">
        <f t="shared" si="3"/>
        <v>1133.5999999999999</v>
      </c>
      <c r="AK38" s="57"/>
    </row>
    <row r="39" spans="1:88" x14ac:dyDescent="0.25">
      <c r="A39" s="58" t="s">
        <v>47</v>
      </c>
      <c r="B39" s="51">
        <v>143.5</v>
      </c>
      <c r="C39" s="51">
        <v>143.5</v>
      </c>
      <c r="D39" s="51">
        <v>143.5</v>
      </c>
      <c r="E39" s="51">
        <v>143.5</v>
      </c>
      <c r="F39" s="51">
        <v>72.5</v>
      </c>
      <c r="G39" s="51">
        <v>72.7</v>
      </c>
      <c r="H39" s="51">
        <v>72.599999999999994</v>
      </c>
      <c r="I39" s="51">
        <v>72.599999999999994</v>
      </c>
      <c r="J39" s="51">
        <v>72.599999999999994</v>
      </c>
      <c r="K39" s="51">
        <v>120</v>
      </c>
      <c r="L39" s="51">
        <v>121.1</v>
      </c>
      <c r="M39" s="51">
        <v>121.1</v>
      </c>
      <c r="N39" s="51">
        <v>142.4</v>
      </c>
      <c r="O39" s="51">
        <v>142.9</v>
      </c>
      <c r="P39" s="51">
        <v>131.6</v>
      </c>
      <c r="Q39" s="51">
        <v>142.6</v>
      </c>
      <c r="R39" s="51">
        <v>142.6</v>
      </c>
      <c r="S39" s="51">
        <v>142.6</v>
      </c>
      <c r="T39" s="51">
        <v>142.6</v>
      </c>
      <c r="U39" s="51">
        <v>142.6</v>
      </c>
      <c r="V39" s="51">
        <v>142.6</v>
      </c>
      <c r="W39" s="51">
        <v>142.6</v>
      </c>
      <c r="X39" s="51">
        <v>142.6</v>
      </c>
      <c r="Y39" s="51">
        <v>142.6</v>
      </c>
      <c r="Z39" s="51">
        <v>142.6</v>
      </c>
      <c r="AA39" s="51">
        <v>142.6</v>
      </c>
      <c r="AB39" s="51">
        <v>94</v>
      </c>
      <c r="AC39" s="51">
        <v>144</v>
      </c>
      <c r="AD39" s="51">
        <v>143.80000000000001</v>
      </c>
      <c r="AE39" s="51">
        <v>143.80000000000001</v>
      </c>
      <c r="AF39" s="51">
        <v>143.6</v>
      </c>
      <c r="AG39" s="60">
        <v>144</v>
      </c>
      <c r="AH39" s="55">
        <f t="shared" si="2"/>
        <v>144</v>
      </c>
      <c r="AI39" s="56">
        <f t="shared" si="3"/>
        <v>72.5</v>
      </c>
      <c r="AK39" s="57"/>
    </row>
    <row r="40" spans="1:88" x14ac:dyDescent="0.25">
      <c r="A40" s="63" t="s">
        <v>48</v>
      </c>
      <c r="B40" s="49">
        <v>70.3</v>
      </c>
      <c r="C40" s="49">
        <v>70.3</v>
      </c>
      <c r="D40" s="49">
        <v>70.3</v>
      </c>
      <c r="E40" s="49">
        <v>70.3</v>
      </c>
      <c r="F40" s="49">
        <v>70.900000000000006</v>
      </c>
      <c r="G40" s="49">
        <v>70.099999999999994</v>
      </c>
      <c r="H40" s="49">
        <v>70.400000000000006</v>
      </c>
      <c r="I40" s="49">
        <v>71.599999999999994</v>
      </c>
      <c r="J40" s="49">
        <v>71.2</v>
      </c>
      <c r="K40" s="49">
        <v>73.599999999999994</v>
      </c>
      <c r="L40" s="49">
        <v>73.5</v>
      </c>
      <c r="M40" s="49">
        <v>73.5</v>
      </c>
      <c r="N40" s="51">
        <v>71.5</v>
      </c>
      <c r="O40" s="51">
        <v>72.900000000000006</v>
      </c>
      <c r="P40" s="51">
        <v>72.099999999999994</v>
      </c>
      <c r="Q40" s="51">
        <v>70</v>
      </c>
      <c r="R40" s="51">
        <v>70</v>
      </c>
      <c r="S40" s="51">
        <v>70</v>
      </c>
      <c r="T40" s="51">
        <v>70</v>
      </c>
      <c r="U40" s="51">
        <v>70</v>
      </c>
      <c r="V40" s="51">
        <v>70</v>
      </c>
      <c r="W40" s="51">
        <v>70</v>
      </c>
      <c r="X40" s="51">
        <v>70</v>
      </c>
      <c r="Y40" s="51">
        <v>70</v>
      </c>
      <c r="Z40" s="51">
        <v>70</v>
      </c>
      <c r="AA40" s="51">
        <v>70</v>
      </c>
      <c r="AB40" s="51">
        <v>70</v>
      </c>
      <c r="AC40" s="51">
        <v>70</v>
      </c>
      <c r="AD40" s="49">
        <v>70</v>
      </c>
      <c r="AE40" s="49">
        <v>70</v>
      </c>
      <c r="AF40" s="49">
        <v>71.8</v>
      </c>
      <c r="AG40" s="64">
        <v>70</v>
      </c>
      <c r="AH40" s="55">
        <f t="shared" si="2"/>
        <v>73.599999999999994</v>
      </c>
      <c r="AI40" s="56">
        <f t="shared" si="3"/>
        <v>70</v>
      </c>
      <c r="AK40" s="57"/>
    </row>
    <row r="41" spans="1:88" x14ac:dyDescent="0.25">
      <c r="A41" s="63" t="s">
        <v>49</v>
      </c>
      <c r="B41" s="49">
        <v>62.6</v>
      </c>
      <c r="C41" s="49">
        <v>62.6</v>
      </c>
      <c r="D41" s="49">
        <v>62.6</v>
      </c>
      <c r="E41" s="49">
        <v>62.6</v>
      </c>
      <c r="F41" s="49">
        <v>62.2</v>
      </c>
      <c r="G41" s="49">
        <v>62.2</v>
      </c>
      <c r="H41" s="49">
        <v>62.3</v>
      </c>
      <c r="I41" s="49">
        <v>62.1</v>
      </c>
      <c r="J41" s="49">
        <v>61.6</v>
      </c>
      <c r="K41" s="49">
        <v>62</v>
      </c>
      <c r="L41" s="49">
        <v>61.8</v>
      </c>
      <c r="M41" s="49">
        <v>61.8</v>
      </c>
      <c r="N41" s="51">
        <v>62</v>
      </c>
      <c r="O41" s="51">
        <v>52.8</v>
      </c>
      <c r="P41" s="51">
        <v>62.1</v>
      </c>
      <c r="Q41" s="51">
        <v>62.1</v>
      </c>
      <c r="R41" s="51">
        <v>62.1</v>
      </c>
      <c r="S41" s="51">
        <v>62.1</v>
      </c>
      <c r="T41" s="51">
        <v>62.1</v>
      </c>
      <c r="U41" s="51">
        <v>62.1</v>
      </c>
      <c r="V41" s="51">
        <v>62.1</v>
      </c>
      <c r="W41" s="51">
        <v>62.1</v>
      </c>
      <c r="X41" s="51">
        <v>62.1</v>
      </c>
      <c r="Y41" s="51">
        <v>62.1</v>
      </c>
      <c r="Z41" s="51">
        <v>62.1</v>
      </c>
      <c r="AA41" s="51">
        <v>62.1</v>
      </c>
      <c r="AB41" s="51">
        <v>62.1</v>
      </c>
      <c r="AC41" s="51">
        <v>62.1</v>
      </c>
      <c r="AD41" s="49">
        <v>61.8</v>
      </c>
      <c r="AE41" s="49">
        <v>61.6</v>
      </c>
      <c r="AF41" s="49">
        <v>62.3</v>
      </c>
      <c r="AG41" s="64">
        <v>69</v>
      </c>
      <c r="AH41" s="55">
        <f t="shared" si="2"/>
        <v>62.6</v>
      </c>
      <c r="AI41" s="56">
        <f t="shared" si="3"/>
        <v>52.8</v>
      </c>
      <c r="AK41" s="57"/>
    </row>
    <row r="42" spans="1:88" x14ac:dyDescent="0.25">
      <c r="A42" s="63" t="s">
        <v>50</v>
      </c>
      <c r="B42" s="66">
        <v>60.4</v>
      </c>
      <c r="C42" s="66">
        <v>60.4</v>
      </c>
      <c r="D42" s="66">
        <v>60.4</v>
      </c>
      <c r="E42" s="66">
        <v>0</v>
      </c>
      <c r="F42" s="66">
        <v>60.4</v>
      </c>
      <c r="G42" s="66">
        <v>60.2</v>
      </c>
      <c r="H42" s="66">
        <v>60.2</v>
      </c>
      <c r="I42" s="66">
        <v>42</v>
      </c>
      <c r="J42" s="66">
        <v>60</v>
      </c>
      <c r="K42" s="66">
        <v>61.2</v>
      </c>
      <c r="L42" s="66">
        <v>61.2</v>
      </c>
      <c r="M42" s="51">
        <v>61.2</v>
      </c>
      <c r="N42" s="51">
        <v>50</v>
      </c>
      <c r="O42" s="51">
        <v>51.4</v>
      </c>
      <c r="P42" s="51">
        <v>61.4</v>
      </c>
      <c r="Q42" s="51">
        <v>61</v>
      </c>
      <c r="R42" s="51">
        <v>61</v>
      </c>
      <c r="S42" s="51">
        <v>61</v>
      </c>
      <c r="T42" s="51">
        <v>61</v>
      </c>
      <c r="U42" s="51">
        <v>61</v>
      </c>
      <c r="V42" s="51">
        <v>61</v>
      </c>
      <c r="W42" s="51">
        <v>61</v>
      </c>
      <c r="X42" s="51">
        <v>61</v>
      </c>
      <c r="Y42" s="51">
        <v>60.7</v>
      </c>
      <c r="Z42" s="51">
        <v>60.7</v>
      </c>
      <c r="AA42" s="51">
        <v>60.7</v>
      </c>
      <c r="AB42" s="51">
        <v>60.7</v>
      </c>
      <c r="AC42" s="51">
        <v>60.7</v>
      </c>
      <c r="AD42" s="66">
        <v>60.6</v>
      </c>
      <c r="AE42" s="66">
        <v>60.3</v>
      </c>
      <c r="AF42" s="66">
        <v>60.9</v>
      </c>
      <c r="AG42" s="64">
        <v>60</v>
      </c>
      <c r="AH42" s="55">
        <f t="shared" si="2"/>
        <v>61.4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30</v>
      </c>
      <c r="C43" s="66">
        <v>30</v>
      </c>
      <c r="D43" s="66">
        <v>23</v>
      </c>
      <c r="E43" s="66">
        <v>23</v>
      </c>
      <c r="F43" s="66">
        <v>21.8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51">
        <v>0</v>
      </c>
      <c r="N43" s="51">
        <v>29</v>
      </c>
      <c r="O43" s="51">
        <v>28.7</v>
      </c>
      <c r="P43" s="51">
        <v>29</v>
      </c>
      <c r="Q43" s="51">
        <v>15</v>
      </c>
      <c r="R43" s="51">
        <v>15</v>
      </c>
      <c r="S43" s="51">
        <v>15</v>
      </c>
      <c r="T43" s="51">
        <v>15</v>
      </c>
      <c r="U43" s="51">
        <v>15</v>
      </c>
      <c r="V43" s="51">
        <v>15</v>
      </c>
      <c r="W43" s="51">
        <v>15</v>
      </c>
      <c r="X43" s="51">
        <v>15</v>
      </c>
      <c r="Y43" s="51">
        <v>15</v>
      </c>
      <c r="Z43" s="51">
        <v>15</v>
      </c>
      <c r="AA43" s="51">
        <v>15</v>
      </c>
      <c r="AB43" s="51">
        <v>15</v>
      </c>
      <c r="AC43" s="51">
        <v>15</v>
      </c>
      <c r="AD43" s="66">
        <v>15</v>
      </c>
      <c r="AE43" s="66">
        <v>15</v>
      </c>
      <c r="AF43" s="66">
        <v>15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10</v>
      </c>
      <c r="T44" s="51">
        <v>10</v>
      </c>
      <c r="U44" s="51">
        <v>10</v>
      </c>
      <c r="V44" s="51">
        <v>10</v>
      </c>
      <c r="W44" s="51">
        <v>10</v>
      </c>
      <c r="X44" s="51">
        <v>10</v>
      </c>
      <c r="Y44" s="51">
        <v>10</v>
      </c>
      <c r="Z44" s="51">
        <v>10</v>
      </c>
      <c r="AA44" s="51">
        <v>0</v>
      </c>
      <c r="AB44" s="51">
        <v>0</v>
      </c>
      <c r="AC44" s="51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10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16.399999999999999</v>
      </c>
      <c r="C45" s="49">
        <v>16.399999999999999</v>
      </c>
      <c r="D45" s="49">
        <v>16.399999999999999</v>
      </c>
      <c r="E45" s="49">
        <v>16.399999999999999</v>
      </c>
      <c r="F45" s="49">
        <v>16.399999999999999</v>
      </c>
      <c r="G45" s="49">
        <v>16.399999999999999</v>
      </c>
      <c r="H45" s="49">
        <v>16.399999999999999</v>
      </c>
      <c r="I45" s="49">
        <v>16.399999999999999</v>
      </c>
      <c r="J45" s="49">
        <v>16.399999999999999</v>
      </c>
      <c r="K45" s="49">
        <v>16.399999999999999</v>
      </c>
      <c r="L45" s="49">
        <v>16.399999999999999</v>
      </c>
      <c r="M45" s="51">
        <v>16.399999999999999</v>
      </c>
      <c r="N45" s="51">
        <v>15.9</v>
      </c>
      <c r="O45" s="51">
        <v>14.7</v>
      </c>
      <c r="P45" s="51">
        <v>16.8</v>
      </c>
      <c r="Q45" s="51">
        <v>13.3</v>
      </c>
      <c r="R45" s="51">
        <v>13.3</v>
      </c>
      <c r="S45" s="51">
        <v>13.3</v>
      </c>
      <c r="T45" s="51">
        <v>13.3</v>
      </c>
      <c r="U45" s="51">
        <v>13.3</v>
      </c>
      <c r="V45" s="51">
        <v>13.3</v>
      </c>
      <c r="W45" s="51">
        <v>13.3</v>
      </c>
      <c r="X45" s="51">
        <v>13.3</v>
      </c>
      <c r="Y45" s="51">
        <v>13.3</v>
      </c>
      <c r="Z45" s="51">
        <v>13.3</v>
      </c>
      <c r="AA45" s="51">
        <v>13.3</v>
      </c>
      <c r="AB45" s="51">
        <v>13.3</v>
      </c>
      <c r="AC45" s="51">
        <v>13.3</v>
      </c>
      <c r="AD45" s="49">
        <v>13.3</v>
      </c>
      <c r="AE45" s="49">
        <v>13.3</v>
      </c>
      <c r="AF45" s="49">
        <v>13.5</v>
      </c>
      <c r="AG45" s="64">
        <v>24</v>
      </c>
      <c r="AH45" s="55">
        <f t="shared" si="2"/>
        <v>16.8</v>
      </c>
      <c r="AI45" s="56">
        <f t="shared" si="3"/>
        <v>13.3</v>
      </c>
      <c r="AK45" s="57"/>
    </row>
    <row r="46" spans="1:88" x14ac:dyDescent="0.25">
      <c r="A46" s="63" t="s">
        <v>54</v>
      </c>
      <c r="B46" s="49">
        <v>2.5</v>
      </c>
      <c r="C46" s="49">
        <v>2.5</v>
      </c>
      <c r="D46" s="49">
        <v>2.5</v>
      </c>
      <c r="E46" s="49">
        <v>2.5</v>
      </c>
      <c r="F46" s="49">
        <v>2.5</v>
      </c>
      <c r="G46" s="49">
        <v>2.5</v>
      </c>
      <c r="H46" s="49">
        <v>2.5</v>
      </c>
      <c r="I46" s="49">
        <v>2.5</v>
      </c>
      <c r="J46" s="49">
        <v>2.5</v>
      </c>
      <c r="K46" s="49">
        <v>2.5</v>
      </c>
      <c r="L46" s="49">
        <v>2.5</v>
      </c>
      <c r="M46" s="49">
        <v>2.5</v>
      </c>
      <c r="N46" s="51">
        <v>2.5</v>
      </c>
      <c r="O46" s="51">
        <v>2.5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1.25</v>
      </c>
      <c r="AC46" s="51">
        <v>2</v>
      </c>
      <c r="AD46" s="49">
        <v>2.25</v>
      </c>
      <c r="AE46" s="49">
        <v>2.25</v>
      </c>
      <c r="AF46" s="49">
        <v>2.25</v>
      </c>
      <c r="AG46" s="64">
        <v>15</v>
      </c>
      <c r="AH46" s="55">
        <f t="shared" si="2"/>
        <v>2.5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9.3000000000000007</v>
      </c>
      <c r="C47" s="49">
        <v>9.3000000000000007</v>
      </c>
      <c r="D47" s="49">
        <v>9.3000000000000007</v>
      </c>
      <c r="E47" s="49">
        <v>9.3000000000000007</v>
      </c>
      <c r="F47" s="49">
        <v>9.3000000000000007</v>
      </c>
      <c r="G47" s="49">
        <v>9.3000000000000007</v>
      </c>
      <c r="H47" s="49">
        <v>9.3000000000000007</v>
      </c>
      <c r="I47" s="49">
        <v>9.3000000000000007</v>
      </c>
      <c r="J47" s="49">
        <v>9.3000000000000007</v>
      </c>
      <c r="K47" s="49">
        <v>9.3000000000000007</v>
      </c>
      <c r="L47" s="49">
        <v>9.3000000000000007</v>
      </c>
      <c r="M47" s="49">
        <v>9.3000000000000007</v>
      </c>
      <c r="N47" s="51">
        <v>9.3000000000000007</v>
      </c>
      <c r="O47" s="51">
        <v>9.1999999999999993</v>
      </c>
      <c r="P47" s="51">
        <v>11.2</v>
      </c>
      <c r="Q47" s="51">
        <v>11.1</v>
      </c>
      <c r="R47" s="51">
        <v>11.1</v>
      </c>
      <c r="S47" s="51">
        <v>11.1</v>
      </c>
      <c r="T47" s="51">
        <v>11.1</v>
      </c>
      <c r="U47" s="51">
        <v>11.1</v>
      </c>
      <c r="V47" s="51">
        <v>11.1</v>
      </c>
      <c r="W47" s="51">
        <v>11.1</v>
      </c>
      <c r="X47" s="51">
        <v>11.1</v>
      </c>
      <c r="Y47" s="51">
        <v>11.1</v>
      </c>
      <c r="Z47" s="51">
        <v>11.1</v>
      </c>
      <c r="AA47" s="51">
        <v>11.1</v>
      </c>
      <c r="AB47" s="51">
        <v>11.1</v>
      </c>
      <c r="AC47" s="51">
        <v>11.1</v>
      </c>
      <c r="AD47" s="49">
        <v>11</v>
      </c>
      <c r="AE47" s="49">
        <v>11</v>
      </c>
      <c r="AF47" s="49">
        <v>11</v>
      </c>
      <c r="AG47" s="64">
        <v>14.1</v>
      </c>
      <c r="AH47" s="55">
        <f t="shared" si="2"/>
        <v>11.2</v>
      </c>
      <c r="AI47" s="56">
        <f t="shared" si="3"/>
        <v>9.1999999999999993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13.6</v>
      </c>
      <c r="C48" s="49">
        <v>13.6</v>
      </c>
      <c r="D48" s="49">
        <v>13.6</v>
      </c>
      <c r="E48" s="49">
        <v>13.6</v>
      </c>
      <c r="F48" s="49">
        <v>13.8</v>
      </c>
      <c r="G48" s="49">
        <v>13.8</v>
      </c>
      <c r="H48" s="49">
        <v>13.8</v>
      </c>
      <c r="I48" s="49">
        <v>13.8</v>
      </c>
      <c r="J48" s="49">
        <v>13.8</v>
      </c>
      <c r="K48" s="49">
        <v>13.8</v>
      </c>
      <c r="L48" s="49">
        <v>13.8</v>
      </c>
      <c r="M48" s="49">
        <v>13.8</v>
      </c>
      <c r="N48" s="51">
        <v>13.8</v>
      </c>
      <c r="O48" s="51">
        <v>13.8</v>
      </c>
      <c r="P48" s="51">
        <v>13.7</v>
      </c>
      <c r="Q48" s="51">
        <v>13.7</v>
      </c>
      <c r="R48" s="51">
        <v>13.7</v>
      </c>
      <c r="S48" s="51">
        <v>13.7</v>
      </c>
      <c r="T48" s="51">
        <v>13.7</v>
      </c>
      <c r="U48" s="51">
        <v>13.7</v>
      </c>
      <c r="V48" s="51">
        <v>13.7</v>
      </c>
      <c r="W48" s="51">
        <v>13.7</v>
      </c>
      <c r="X48" s="51">
        <v>13.7</v>
      </c>
      <c r="Y48" s="51">
        <v>13.7</v>
      </c>
      <c r="Z48" s="51">
        <v>13.7</v>
      </c>
      <c r="AA48" s="51">
        <v>13.7</v>
      </c>
      <c r="AB48" s="51">
        <v>13.7</v>
      </c>
      <c r="AC48" s="51">
        <v>13.7</v>
      </c>
      <c r="AD48" s="49">
        <v>4</v>
      </c>
      <c r="AE48" s="49">
        <v>4</v>
      </c>
      <c r="AF48" s="49">
        <v>4</v>
      </c>
      <c r="AG48" s="64">
        <v>14</v>
      </c>
      <c r="AH48" s="55">
        <f t="shared" si="2"/>
        <v>13.8</v>
      </c>
      <c r="AI48" s="56">
        <f t="shared" si="3"/>
        <v>4</v>
      </c>
      <c r="AK48" s="57"/>
    </row>
    <row r="49" spans="1:37" x14ac:dyDescent="0.25">
      <c r="A49" s="63" t="s">
        <v>57</v>
      </c>
      <c r="B49" s="49">
        <v>9.6</v>
      </c>
      <c r="C49" s="49">
        <v>9.6</v>
      </c>
      <c r="D49" s="49">
        <v>9.6</v>
      </c>
      <c r="E49" s="49">
        <v>9.6</v>
      </c>
      <c r="F49" s="49">
        <v>9.5</v>
      </c>
      <c r="G49" s="49">
        <v>9.5</v>
      </c>
      <c r="H49" s="49">
        <v>9.5</v>
      </c>
      <c r="I49" s="49">
        <v>9.5</v>
      </c>
      <c r="J49" s="49">
        <v>9.5</v>
      </c>
      <c r="K49" s="49">
        <v>9.5</v>
      </c>
      <c r="L49" s="49">
        <v>9.5</v>
      </c>
      <c r="M49" s="49">
        <v>9.5</v>
      </c>
      <c r="N49" s="51">
        <v>9.5</v>
      </c>
      <c r="O49" s="51">
        <v>9.5</v>
      </c>
      <c r="P49" s="51">
        <v>9.5</v>
      </c>
      <c r="Q49" s="51">
        <v>9.5</v>
      </c>
      <c r="R49" s="51">
        <v>9.5</v>
      </c>
      <c r="S49" s="51">
        <v>9.5</v>
      </c>
      <c r="T49" s="51">
        <v>9.5</v>
      </c>
      <c r="U49" s="51">
        <v>9.5</v>
      </c>
      <c r="V49" s="51">
        <v>9.5</v>
      </c>
      <c r="W49" s="51">
        <v>9.5</v>
      </c>
      <c r="X49" s="51">
        <v>9.5</v>
      </c>
      <c r="Y49" s="51">
        <v>9.5</v>
      </c>
      <c r="Z49" s="51">
        <v>9.5</v>
      </c>
      <c r="AA49" s="51">
        <v>9.5</v>
      </c>
      <c r="AB49" s="51">
        <v>9.5</v>
      </c>
      <c r="AC49" s="51">
        <v>9.5</v>
      </c>
      <c r="AD49" s="49">
        <v>9.5</v>
      </c>
      <c r="AE49" s="49">
        <v>9.5</v>
      </c>
      <c r="AF49" s="49">
        <v>9.5</v>
      </c>
      <c r="AG49" s="64">
        <v>10.050000000000001</v>
      </c>
      <c r="AH49" s="55">
        <f t="shared" si="2"/>
        <v>9.6</v>
      </c>
      <c r="AI49" s="56">
        <f t="shared" si="3"/>
        <v>9.5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51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49">
        <v>6</v>
      </c>
      <c r="AE50" s="49">
        <v>6</v>
      </c>
      <c r="AF50" s="49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7">SUM(B39:B51)</f>
        <v>427.74000000000007</v>
      </c>
      <c r="C52" s="70">
        <f t="shared" ref="C52:AF52" si="8">SUM(C39:C51)</f>
        <v>427.74000000000007</v>
      </c>
      <c r="D52" s="70">
        <f t="shared" si="8"/>
        <v>420.74000000000007</v>
      </c>
      <c r="E52" s="70">
        <f t="shared" si="8"/>
        <v>360.34000000000009</v>
      </c>
      <c r="F52" s="70">
        <f t="shared" si="8"/>
        <v>348.84000000000003</v>
      </c>
      <c r="G52" s="70">
        <f t="shared" si="8"/>
        <v>326.24</v>
      </c>
      <c r="H52" s="70">
        <f t="shared" si="8"/>
        <v>326.54000000000002</v>
      </c>
      <c r="I52" s="70">
        <f t="shared" si="8"/>
        <v>309.34000000000003</v>
      </c>
      <c r="J52" s="70">
        <f t="shared" si="8"/>
        <v>326.44</v>
      </c>
      <c r="K52" s="70">
        <f t="shared" si="8"/>
        <v>377.84000000000003</v>
      </c>
      <c r="L52" s="70">
        <f t="shared" si="8"/>
        <v>378.64</v>
      </c>
      <c r="M52" s="70">
        <f t="shared" si="8"/>
        <v>378.64</v>
      </c>
      <c r="N52" s="70">
        <f t="shared" si="8"/>
        <v>415.44</v>
      </c>
      <c r="O52" s="70">
        <f t="shared" si="8"/>
        <v>407.94</v>
      </c>
      <c r="P52" s="70">
        <f t="shared" si="8"/>
        <v>416.94</v>
      </c>
      <c r="Q52" s="70">
        <f t="shared" si="8"/>
        <v>407.84000000000003</v>
      </c>
      <c r="R52" s="70">
        <f t="shared" si="8"/>
        <v>407.84000000000003</v>
      </c>
      <c r="S52" s="70">
        <f t="shared" si="8"/>
        <v>417.84000000000003</v>
      </c>
      <c r="T52" s="70">
        <f t="shared" si="8"/>
        <v>417.84000000000003</v>
      </c>
      <c r="U52" s="70">
        <f t="shared" si="8"/>
        <v>417.84000000000003</v>
      </c>
      <c r="V52" s="70">
        <f t="shared" si="8"/>
        <v>417.84000000000003</v>
      </c>
      <c r="W52" s="70">
        <f t="shared" si="8"/>
        <v>417.84000000000003</v>
      </c>
      <c r="X52" s="70">
        <f t="shared" si="8"/>
        <v>417.84000000000003</v>
      </c>
      <c r="Y52" s="70">
        <f t="shared" si="8"/>
        <v>417.54</v>
      </c>
      <c r="Z52" s="70">
        <f t="shared" si="8"/>
        <v>417.54</v>
      </c>
      <c r="AA52" s="70">
        <f t="shared" si="8"/>
        <v>407.54</v>
      </c>
      <c r="AB52" s="70">
        <f t="shared" si="8"/>
        <v>360.19000000000005</v>
      </c>
      <c r="AC52" s="70">
        <f t="shared" si="8"/>
        <v>410.94000000000005</v>
      </c>
      <c r="AD52" s="70">
        <f t="shared" si="8"/>
        <v>400.79000000000008</v>
      </c>
      <c r="AE52" s="70">
        <f t="shared" si="8"/>
        <v>400.29000000000008</v>
      </c>
      <c r="AF52" s="70">
        <f t="shared" si="8"/>
        <v>403.39</v>
      </c>
      <c r="AG52" s="74">
        <f>SUM(AG39:AG51)</f>
        <v>489.91</v>
      </c>
      <c r="AH52" s="55">
        <f t="shared" si="2"/>
        <v>427.74000000000007</v>
      </c>
      <c r="AI52" s="56">
        <f t="shared" si="3"/>
        <v>309.34000000000003</v>
      </c>
      <c r="AK52" s="57"/>
    </row>
    <row r="53" spans="1:37" x14ac:dyDescent="0.25">
      <c r="A53" s="58" t="s">
        <v>61</v>
      </c>
      <c r="B53" s="51">
        <v>40</v>
      </c>
      <c r="C53" s="51">
        <v>39</v>
      </c>
      <c r="D53" s="51">
        <v>39</v>
      </c>
      <c r="E53" s="51">
        <v>30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40</v>
      </c>
      <c r="AB53" s="51">
        <v>20</v>
      </c>
      <c r="AC53" s="51">
        <v>13.8</v>
      </c>
      <c r="AD53" s="51">
        <v>10</v>
      </c>
      <c r="AE53" s="51">
        <v>10</v>
      </c>
      <c r="AF53" s="51">
        <v>0</v>
      </c>
      <c r="AG53" s="60">
        <v>60</v>
      </c>
      <c r="AH53" s="55">
        <f t="shared" si="2"/>
        <v>40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18.7</v>
      </c>
      <c r="C54" s="49">
        <v>16</v>
      </c>
      <c r="D54" s="49">
        <v>16</v>
      </c>
      <c r="E54" s="49">
        <v>16.8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10.3</v>
      </c>
      <c r="AB54" s="49">
        <v>9.8000000000000007</v>
      </c>
      <c r="AC54" s="49">
        <v>6.6</v>
      </c>
      <c r="AD54" s="49">
        <v>5</v>
      </c>
      <c r="AE54" s="49">
        <v>4.4000000000000004</v>
      </c>
      <c r="AF54" s="49">
        <v>0</v>
      </c>
      <c r="AG54" s="64">
        <v>32</v>
      </c>
      <c r="AH54" s="55">
        <f t="shared" si="2"/>
        <v>18.7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6.8</v>
      </c>
      <c r="C55" s="75">
        <v>4.7</v>
      </c>
      <c r="D55" s="75">
        <v>4.7</v>
      </c>
      <c r="E55" s="75">
        <v>6.1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3.8</v>
      </c>
      <c r="AB55" s="75">
        <v>3.6</v>
      </c>
      <c r="AC55" s="75">
        <v>2.4</v>
      </c>
      <c r="AD55" s="75">
        <v>1.9</v>
      </c>
      <c r="AE55" s="75">
        <v>1.6</v>
      </c>
      <c r="AF55" s="75">
        <v>0</v>
      </c>
      <c r="AG55" s="76">
        <v>14</v>
      </c>
      <c r="AH55" s="55">
        <f t="shared" si="2"/>
        <v>6.8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9">SUM(B53:B55)</f>
        <v>65.5</v>
      </c>
      <c r="C56" s="70">
        <f t="shared" ref="C56:AF56" si="10">SUM(C53:C55)</f>
        <v>59.7</v>
      </c>
      <c r="D56" s="70">
        <f t="shared" si="10"/>
        <v>59.7</v>
      </c>
      <c r="E56" s="70">
        <f t="shared" si="10"/>
        <v>52.9</v>
      </c>
      <c r="F56" s="70">
        <f t="shared" si="10"/>
        <v>0</v>
      </c>
      <c r="G56" s="70">
        <f t="shared" si="10"/>
        <v>0</v>
      </c>
      <c r="H56" s="70">
        <f t="shared" si="10"/>
        <v>0</v>
      </c>
      <c r="I56" s="70">
        <f t="shared" si="10"/>
        <v>0</v>
      </c>
      <c r="J56" s="70">
        <f t="shared" si="10"/>
        <v>0</v>
      </c>
      <c r="K56" s="70">
        <f t="shared" si="10"/>
        <v>0</v>
      </c>
      <c r="L56" s="70">
        <f t="shared" si="10"/>
        <v>0</v>
      </c>
      <c r="M56" s="70">
        <f t="shared" si="10"/>
        <v>0</v>
      </c>
      <c r="N56" s="70">
        <f t="shared" si="10"/>
        <v>0</v>
      </c>
      <c r="O56" s="70">
        <f t="shared" si="10"/>
        <v>0</v>
      </c>
      <c r="P56" s="70">
        <f t="shared" si="10"/>
        <v>0</v>
      </c>
      <c r="Q56" s="70">
        <f t="shared" si="10"/>
        <v>0</v>
      </c>
      <c r="R56" s="70">
        <f t="shared" si="10"/>
        <v>0</v>
      </c>
      <c r="S56" s="70">
        <f t="shared" si="10"/>
        <v>0</v>
      </c>
      <c r="T56" s="70">
        <f t="shared" si="10"/>
        <v>0</v>
      </c>
      <c r="U56" s="70">
        <f t="shared" si="10"/>
        <v>0</v>
      </c>
      <c r="V56" s="70">
        <f t="shared" si="10"/>
        <v>0</v>
      </c>
      <c r="W56" s="70">
        <f t="shared" si="10"/>
        <v>0</v>
      </c>
      <c r="X56" s="70">
        <f t="shared" si="10"/>
        <v>0</v>
      </c>
      <c r="Y56" s="70">
        <f t="shared" si="10"/>
        <v>0</v>
      </c>
      <c r="Z56" s="70">
        <f t="shared" si="10"/>
        <v>0</v>
      </c>
      <c r="AA56" s="70">
        <f t="shared" si="10"/>
        <v>54.099999999999994</v>
      </c>
      <c r="AB56" s="70">
        <f t="shared" si="10"/>
        <v>33.4</v>
      </c>
      <c r="AC56" s="70">
        <f t="shared" si="10"/>
        <v>22.799999999999997</v>
      </c>
      <c r="AD56" s="70">
        <f t="shared" si="10"/>
        <v>16.899999999999999</v>
      </c>
      <c r="AE56" s="70">
        <f t="shared" si="10"/>
        <v>16</v>
      </c>
      <c r="AF56" s="70">
        <f t="shared" si="10"/>
        <v>0</v>
      </c>
      <c r="AG56" s="74">
        <f>SUM(AG53:AG55)</f>
        <v>106</v>
      </c>
      <c r="AH56" s="55">
        <f t="shared" si="2"/>
        <v>65.5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75.3</v>
      </c>
      <c r="C57" s="51">
        <v>69</v>
      </c>
      <c r="D57" s="51">
        <v>73.2</v>
      </c>
      <c r="E57" s="51">
        <v>73.099999999999994</v>
      </c>
      <c r="F57" s="51">
        <v>75.8</v>
      </c>
      <c r="G57" s="51">
        <v>74.099999999999994</v>
      </c>
      <c r="H57" s="51">
        <v>65</v>
      </c>
      <c r="I57" s="51">
        <v>40</v>
      </c>
      <c r="J57" s="51">
        <v>55</v>
      </c>
      <c r="K57" s="51">
        <v>50</v>
      </c>
      <c r="L57" s="51">
        <v>56</v>
      </c>
      <c r="M57" s="51">
        <v>55.5</v>
      </c>
      <c r="N57" s="51">
        <v>44.3</v>
      </c>
      <c r="O57" s="51">
        <v>31.5</v>
      </c>
      <c r="P57" s="51">
        <v>47</v>
      </c>
      <c r="Q57" s="51">
        <v>40.9</v>
      </c>
      <c r="R57" s="51">
        <v>68.599999999999994</v>
      </c>
      <c r="S57" s="51">
        <v>75.2</v>
      </c>
      <c r="T57" s="51">
        <v>67.599999999999994</v>
      </c>
      <c r="U57" s="51">
        <v>46.9</v>
      </c>
      <c r="V57" s="51">
        <v>45</v>
      </c>
      <c r="W57" s="51">
        <v>52</v>
      </c>
      <c r="X57" s="51">
        <v>51</v>
      </c>
      <c r="Y57" s="51">
        <v>42.8</v>
      </c>
      <c r="Z57" s="51">
        <v>61.5</v>
      </c>
      <c r="AA57" s="51">
        <v>62.3</v>
      </c>
      <c r="AB57" s="51">
        <v>60</v>
      </c>
      <c r="AC57" s="51">
        <v>62</v>
      </c>
      <c r="AD57" s="51">
        <v>52</v>
      </c>
      <c r="AE57" s="51">
        <v>60</v>
      </c>
      <c r="AF57" s="51">
        <v>41</v>
      </c>
      <c r="AG57" s="60"/>
      <c r="AH57" s="55">
        <f t="shared" si="2"/>
        <v>75.8</v>
      </c>
      <c r="AI57" s="56">
        <f t="shared" si="3"/>
        <v>31.5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-360.5</v>
      </c>
      <c r="C59" s="49">
        <v>-365</v>
      </c>
      <c r="D59" s="49">
        <v>-370.2</v>
      </c>
      <c r="E59" s="49">
        <v>-420</v>
      </c>
      <c r="F59" s="49">
        <v>-425</v>
      </c>
      <c r="G59" s="49">
        <v>-375</v>
      </c>
      <c r="H59" s="49">
        <v>-430</v>
      </c>
      <c r="I59" s="49">
        <v>-400</v>
      </c>
      <c r="J59" s="49">
        <v>-330</v>
      </c>
      <c r="K59" s="49">
        <v>-350</v>
      </c>
      <c r="L59" s="49">
        <v>-335</v>
      </c>
      <c r="M59" s="49">
        <v>-309.8</v>
      </c>
      <c r="N59" s="49">
        <v>-263.2</v>
      </c>
      <c r="O59" s="49">
        <v>-299.89999999999998</v>
      </c>
      <c r="P59" s="49">
        <v>-294.2</v>
      </c>
      <c r="Q59" s="49">
        <v>-256.60000000000002</v>
      </c>
      <c r="R59" s="49">
        <v>-309.89999999999998</v>
      </c>
      <c r="S59" s="49">
        <v>-298</v>
      </c>
      <c r="T59" s="49">
        <v>-283</v>
      </c>
      <c r="U59" s="49">
        <v>-292</v>
      </c>
      <c r="V59" s="49">
        <v>-314</v>
      </c>
      <c r="W59" s="49">
        <v>-350</v>
      </c>
      <c r="X59" s="49">
        <v>-330</v>
      </c>
      <c r="Y59" s="49">
        <v>-314</v>
      </c>
      <c r="Z59" s="49">
        <v>-278</v>
      </c>
      <c r="AA59" s="49">
        <v>-195</v>
      </c>
      <c r="AB59" s="49">
        <v>-210</v>
      </c>
      <c r="AC59" s="49">
        <v>-238</v>
      </c>
      <c r="AD59" s="49">
        <v>-276</v>
      </c>
      <c r="AE59" s="49">
        <v>-333</v>
      </c>
      <c r="AF59" s="49">
        <v>-360</v>
      </c>
      <c r="AG59" s="77"/>
      <c r="AH59" s="55">
        <f t="shared" si="2"/>
        <v>-195</v>
      </c>
      <c r="AI59" s="56">
        <f t="shared" si="3"/>
        <v>-430</v>
      </c>
      <c r="AK59" s="57"/>
    </row>
    <row r="60" spans="1:37" x14ac:dyDescent="0.25">
      <c r="A60" s="63" t="s">
        <v>68</v>
      </c>
      <c r="B60" s="78">
        <v>33</v>
      </c>
      <c r="C60" s="78">
        <v>17</v>
      </c>
      <c r="D60" s="78">
        <v>17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33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6</v>
      </c>
      <c r="C62" s="79">
        <v>6</v>
      </c>
      <c r="D62" s="79">
        <v>6</v>
      </c>
      <c r="E62" s="79">
        <v>6</v>
      </c>
      <c r="F62" s="79">
        <v>6</v>
      </c>
      <c r="G62" s="79">
        <v>6</v>
      </c>
      <c r="H62" s="79">
        <v>6</v>
      </c>
      <c r="I62" s="79">
        <v>4</v>
      </c>
      <c r="J62" s="79">
        <v>4</v>
      </c>
      <c r="K62" s="79">
        <v>4</v>
      </c>
      <c r="L62" s="79">
        <v>4</v>
      </c>
      <c r="M62" s="79">
        <v>0</v>
      </c>
      <c r="N62" s="79">
        <v>0</v>
      </c>
      <c r="O62" s="79">
        <v>0</v>
      </c>
      <c r="P62" s="79">
        <v>4</v>
      </c>
      <c r="Q62" s="79">
        <v>4</v>
      </c>
      <c r="R62" s="79">
        <v>4</v>
      </c>
      <c r="S62" s="79">
        <v>4</v>
      </c>
      <c r="T62" s="79">
        <v>4</v>
      </c>
      <c r="U62" s="79">
        <v>4</v>
      </c>
      <c r="V62" s="79">
        <v>4</v>
      </c>
      <c r="W62" s="79">
        <v>4</v>
      </c>
      <c r="X62" s="79">
        <v>4</v>
      </c>
      <c r="Y62" s="79">
        <v>4</v>
      </c>
      <c r="Z62" s="79">
        <v>4</v>
      </c>
      <c r="AA62" s="79">
        <v>4</v>
      </c>
      <c r="AB62" s="79">
        <v>4</v>
      </c>
      <c r="AC62" s="79">
        <v>4</v>
      </c>
      <c r="AD62" s="79">
        <v>4</v>
      </c>
      <c r="AE62" s="79">
        <v>4</v>
      </c>
      <c r="AF62" s="79">
        <v>4</v>
      </c>
      <c r="AG62" s="77"/>
      <c r="AH62" s="55">
        <f t="shared" si="2"/>
        <v>6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9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9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79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79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1">SUMIF(B57:B67,"&gt;0")</f>
        <v>114.3</v>
      </c>
      <c r="C68" s="70">
        <f>SUMIF(C57:C67,"&gt;0")</f>
        <v>92</v>
      </c>
      <c r="D68" s="70">
        <f t="shared" ref="D68:AE68" si="12">SUMIF(D57:D67,"&gt;0")</f>
        <v>96.2</v>
      </c>
      <c r="E68" s="70">
        <f t="shared" si="12"/>
        <v>79.099999999999994</v>
      </c>
      <c r="F68" s="70">
        <f t="shared" si="12"/>
        <v>81.8</v>
      </c>
      <c r="G68" s="70">
        <f t="shared" si="12"/>
        <v>80.099999999999994</v>
      </c>
      <c r="H68" s="70">
        <f t="shared" si="12"/>
        <v>71</v>
      </c>
      <c r="I68" s="70">
        <f t="shared" si="12"/>
        <v>44</v>
      </c>
      <c r="J68" s="70">
        <f t="shared" si="12"/>
        <v>59</v>
      </c>
      <c r="K68" s="70">
        <f t="shared" si="12"/>
        <v>54</v>
      </c>
      <c r="L68" s="70">
        <f t="shared" si="12"/>
        <v>60</v>
      </c>
      <c r="M68" s="70">
        <f t="shared" si="12"/>
        <v>55.5</v>
      </c>
      <c r="N68" s="70">
        <f t="shared" si="12"/>
        <v>44.3</v>
      </c>
      <c r="O68" s="70">
        <f t="shared" si="12"/>
        <v>31.5</v>
      </c>
      <c r="P68" s="70">
        <f t="shared" si="12"/>
        <v>51</v>
      </c>
      <c r="Q68" s="70">
        <f t="shared" si="12"/>
        <v>44.9</v>
      </c>
      <c r="R68" s="70">
        <f t="shared" si="12"/>
        <v>72.599999999999994</v>
      </c>
      <c r="S68" s="70">
        <f t="shared" si="12"/>
        <v>79.2</v>
      </c>
      <c r="T68" s="70">
        <f t="shared" si="12"/>
        <v>71.599999999999994</v>
      </c>
      <c r="U68" s="70">
        <f t="shared" si="12"/>
        <v>50.9</v>
      </c>
      <c r="V68" s="70">
        <f t="shared" si="12"/>
        <v>49</v>
      </c>
      <c r="W68" s="70">
        <f t="shared" si="12"/>
        <v>56</v>
      </c>
      <c r="X68" s="70">
        <f t="shared" si="12"/>
        <v>55</v>
      </c>
      <c r="Y68" s="70">
        <f t="shared" si="12"/>
        <v>46.8</v>
      </c>
      <c r="Z68" s="70">
        <f t="shared" si="12"/>
        <v>65.5</v>
      </c>
      <c r="AA68" s="70">
        <f t="shared" si="12"/>
        <v>66.3</v>
      </c>
      <c r="AB68" s="70">
        <f t="shared" si="12"/>
        <v>64</v>
      </c>
      <c r="AC68" s="70">
        <f t="shared" si="12"/>
        <v>66</v>
      </c>
      <c r="AD68" s="70">
        <f t="shared" si="12"/>
        <v>56</v>
      </c>
      <c r="AE68" s="70">
        <f t="shared" si="12"/>
        <v>64</v>
      </c>
      <c r="AF68" s="70">
        <f>SUMIF(AF57:AF67,"&gt;0")</f>
        <v>45</v>
      </c>
      <c r="AG68" s="74">
        <f>SUM(AG57:AG67)</f>
        <v>0</v>
      </c>
      <c r="AH68" s="55">
        <f t="shared" si="2"/>
        <v>114.3</v>
      </c>
      <c r="AI68" s="56">
        <f t="shared" si="3"/>
        <v>31.5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3">B38+B52+B68+B72</f>
        <v>1728.8400000000001</v>
      </c>
      <c r="C73" s="84">
        <f t="shared" ref="C73:AF73" si="14">C38+C52+C68+C72</f>
        <v>1706.5400000000002</v>
      </c>
      <c r="D73" s="84">
        <f t="shared" si="14"/>
        <v>1686.7400000000002</v>
      </c>
      <c r="E73" s="84">
        <f t="shared" si="14"/>
        <v>1689.7400000000002</v>
      </c>
      <c r="F73" s="84">
        <f t="shared" si="14"/>
        <v>1687.5400000000002</v>
      </c>
      <c r="G73" s="84">
        <f t="shared" si="14"/>
        <v>1663.24</v>
      </c>
      <c r="H73" s="84">
        <f t="shared" si="14"/>
        <v>1648.94</v>
      </c>
      <c r="I73" s="84">
        <f t="shared" si="14"/>
        <v>1591.7400000000002</v>
      </c>
      <c r="J73" s="84">
        <f t="shared" si="14"/>
        <v>1620.54</v>
      </c>
      <c r="K73" s="84">
        <f t="shared" si="14"/>
        <v>1622.1400000000003</v>
      </c>
      <c r="L73" s="84">
        <f t="shared" si="14"/>
        <v>1654.2399999999998</v>
      </c>
      <c r="M73" s="84">
        <f t="shared" si="14"/>
        <v>1647.7399999999998</v>
      </c>
      <c r="N73" s="84">
        <f t="shared" si="14"/>
        <v>1593.34</v>
      </c>
      <c r="O73" s="84">
        <f t="shared" si="14"/>
        <v>1586.24</v>
      </c>
      <c r="P73" s="84">
        <f t="shared" si="14"/>
        <v>1616.64</v>
      </c>
      <c r="Q73" s="84">
        <f t="shared" si="14"/>
        <v>1597.5400000000004</v>
      </c>
      <c r="R73" s="84">
        <f t="shared" si="14"/>
        <v>1655.2400000000002</v>
      </c>
      <c r="S73" s="84">
        <f t="shared" si="14"/>
        <v>1663.8400000000004</v>
      </c>
      <c r="T73" s="84">
        <f t="shared" si="14"/>
        <v>1676.2400000000002</v>
      </c>
      <c r="U73" s="84">
        <f t="shared" si="14"/>
        <v>1691.5400000000004</v>
      </c>
      <c r="V73" s="84">
        <f t="shared" si="14"/>
        <v>1689.6400000000003</v>
      </c>
      <c r="W73" s="84">
        <f t="shared" si="14"/>
        <v>1702.6400000000003</v>
      </c>
      <c r="X73" s="84">
        <f t="shared" si="14"/>
        <v>1701.6400000000003</v>
      </c>
      <c r="Y73" s="84">
        <f t="shared" si="14"/>
        <v>1693.14</v>
      </c>
      <c r="Z73" s="84">
        <f t="shared" si="14"/>
        <v>1711.8400000000001</v>
      </c>
      <c r="AA73" s="84">
        <f t="shared" si="14"/>
        <v>1702.64</v>
      </c>
      <c r="AB73" s="84">
        <f t="shared" si="14"/>
        <v>1651.9900000000002</v>
      </c>
      <c r="AC73" s="84">
        <f t="shared" si="14"/>
        <v>1704.7400000000002</v>
      </c>
      <c r="AD73" s="84">
        <f t="shared" si="14"/>
        <v>1675.4899999999998</v>
      </c>
      <c r="AE73" s="84">
        <f t="shared" si="14"/>
        <v>1690.69</v>
      </c>
      <c r="AF73" s="84">
        <f t="shared" si="14"/>
        <v>1674.79</v>
      </c>
      <c r="AG73" s="84">
        <f t="shared" ref="AG73" si="15">AG68+AG56+AG52+AG38+AG72</f>
        <v>2144.14</v>
      </c>
      <c r="AH73" s="55">
        <f t="shared" si="2"/>
        <v>1728.8400000000001</v>
      </c>
      <c r="AI73" s="56">
        <f t="shared" si="3"/>
        <v>1586.24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>
        <v>40</v>
      </c>
      <c r="I74" s="86">
        <v>70</v>
      </c>
      <c r="J74" s="86">
        <v>50</v>
      </c>
      <c r="K74" s="86">
        <v>50</v>
      </c>
      <c r="L74" s="86">
        <v>30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70</v>
      </c>
      <c r="AI74" s="56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6">B73+B74</f>
        <v>1728.8400000000001</v>
      </c>
      <c r="C75" s="84">
        <f t="shared" ref="C75:AF75" si="17">C73+C74</f>
        <v>1706.5400000000002</v>
      </c>
      <c r="D75" s="84">
        <f t="shared" si="17"/>
        <v>1686.7400000000002</v>
      </c>
      <c r="E75" s="84">
        <f t="shared" si="17"/>
        <v>1689.7400000000002</v>
      </c>
      <c r="F75" s="84">
        <f t="shared" si="17"/>
        <v>1687.5400000000002</v>
      </c>
      <c r="G75" s="84">
        <f t="shared" si="17"/>
        <v>1663.24</v>
      </c>
      <c r="H75" s="84">
        <f t="shared" si="17"/>
        <v>1688.94</v>
      </c>
      <c r="I75" s="84">
        <f t="shared" si="17"/>
        <v>1661.7400000000002</v>
      </c>
      <c r="J75" s="84">
        <f t="shared" si="17"/>
        <v>1670.54</v>
      </c>
      <c r="K75" s="84">
        <f t="shared" si="17"/>
        <v>1672.1400000000003</v>
      </c>
      <c r="L75" s="84">
        <f t="shared" si="17"/>
        <v>1684.2399999999998</v>
      </c>
      <c r="M75" s="84">
        <f t="shared" si="17"/>
        <v>1647.7399999999998</v>
      </c>
      <c r="N75" s="84">
        <f t="shared" si="17"/>
        <v>1593.34</v>
      </c>
      <c r="O75" s="84">
        <f t="shared" si="17"/>
        <v>1586.24</v>
      </c>
      <c r="P75" s="84">
        <f t="shared" si="17"/>
        <v>1616.64</v>
      </c>
      <c r="Q75" s="84">
        <f t="shared" si="17"/>
        <v>1597.5400000000004</v>
      </c>
      <c r="R75" s="84">
        <f t="shared" si="17"/>
        <v>1655.2400000000002</v>
      </c>
      <c r="S75" s="84">
        <f t="shared" si="17"/>
        <v>1663.8400000000004</v>
      </c>
      <c r="T75" s="84">
        <f t="shared" si="17"/>
        <v>1676.2400000000002</v>
      </c>
      <c r="U75" s="84">
        <f t="shared" si="17"/>
        <v>1691.5400000000004</v>
      </c>
      <c r="V75" s="84">
        <f t="shared" si="17"/>
        <v>1689.6400000000003</v>
      </c>
      <c r="W75" s="84">
        <f t="shared" si="17"/>
        <v>1702.6400000000003</v>
      </c>
      <c r="X75" s="84">
        <f t="shared" si="17"/>
        <v>1701.6400000000003</v>
      </c>
      <c r="Y75" s="84">
        <f t="shared" si="17"/>
        <v>1693.14</v>
      </c>
      <c r="Z75" s="84">
        <f t="shared" si="17"/>
        <v>1711.8400000000001</v>
      </c>
      <c r="AA75" s="84">
        <f t="shared" si="17"/>
        <v>1702.64</v>
      </c>
      <c r="AB75" s="84">
        <f t="shared" si="17"/>
        <v>1651.9900000000002</v>
      </c>
      <c r="AC75" s="84">
        <f t="shared" si="17"/>
        <v>1704.7400000000002</v>
      </c>
      <c r="AD75" s="84">
        <f t="shared" si="17"/>
        <v>1675.4899999999998</v>
      </c>
      <c r="AE75" s="84">
        <f t="shared" si="17"/>
        <v>1690.69</v>
      </c>
      <c r="AF75" s="84">
        <f t="shared" si="17"/>
        <v>1674.79</v>
      </c>
      <c r="AG75" s="74">
        <f>AG72+AG68+AG56+AG52+AG38+AG74</f>
        <v>2144.14</v>
      </c>
      <c r="AH75" s="55">
        <f t="shared" si="2"/>
        <v>1728.8400000000001</v>
      </c>
      <c r="AI75" s="56">
        <f t="shared" si="3"/>
        <v>1586.24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18">IF(B60&lt;0,B60*-1,0)</f>
        <v>0</v>
      </c>
      <c r="C76" s="78">
        <f t="shared" ref="C76:AF76" si="19">IF(C60&lt;0,C60*-1,0)</f>
        <v>0</v>
      </c>
      <c r="D76" s="78">
        <f t="shared" si="19"/>
        <v>0</v>
      </c>
      <c r="E76" s="78">
        <f t="shared" si="19"/>
        <v>0</v>
      </c>
      <c r="F76" s="78">
        <f t="shared" si="19"/>
        <v>0</v>
      </c>
      <c r="G76" s="78">
        <f t="shared" si="19"/>
        <v>0</v>
      </c>
      <c r="H76" s="78">
        <f t="shared" si="19"/>
        <v>0</v>
      </c>
      <c r="I76" s="78">
        <f t="shared" si="19"/>
        <v>0</v>
      </c>
      <c r="J76" s="78">
        <f t="shared" si="19"/>
        <v>0</v>
      </c>
      <c r="K76" s="78">
        <f t="shared" si="19"/>
        <v>0</v>
      </c>
      <c r="L76" s="78">
        <f t="shared" si="19"/>
        <v>0</v>
      </c>
      <c r="M76" s="78">
        <f t="shared" si="19"/>
        <v>0</v>
      </c>
      <c r="N76" s="78">
        <f t="shared" si="19"/>
        <v>0</v>
      </c>
      <c r="O76" s="78">
        <f t="shared" si="19"/>
        <v>0</v>
      </c>
      <c r="P76" s="78">
        <f t="shared" si="19"/>
        <v>0</v>
      </c>
      <c r="Q76" s="78">
        <f t="shared" si="19"/>
        <v>0</v>
      </c>
      <c r="R76" s="78">
        <f t="shared" si="19"/>
        <v>0</v>
      </c>
      <c r="S76" s="78">
        <f t="shared" si="19"/>
        <v>0</v>
      </c>
      <c r="T76" s="78">
        <f t="shared" si="19"/>
        <v>0</v>
      </c>
      <c r="U76" s="78">
        <f t="shared" si="19"/>
        <v>0</v>
      </c>
      <c r="V76" s="78">
        <f t="shared" si="19"/>
        <v>0</v>
      </c>
      <c r="W76" s="78">
        <f t="shared" si="19"/>
        <v>0</v>
      </c>
      <c r="X76" s="78">
        <f t="shared" si="19"/>
        <v>0</v>
      </c>
      <c r="Y76" s="78">
        <f t="shared" si="19"/>
        <v>0</v>
      </c>
      <c r="Z76" s="78">
        <f t="shared" si="19"/>
        <v>0</v>
      </c>
      <c r="AA76" s="78">
        <f t="shared" si="19"/>
        <v>0</v>
      </c>
      <c r="AB76" s="78">
        <f t="shared" si="19"/>
        <v>0</v>
      </c>
      <c r="AC76" s="78">
        <f t="shared" si="19"/>
        <v>0</v>
      </c>
      <c r="AD76" s="78">
        <f t="shared" si="19"/>
        <v>0</v>
      </c>
      <c r="AE76" s="78">
        <f t="shared" si="19"/>
        <v>0</v>
      </c>
      <c r="AF76" s="78">
        <f t="shared" si="19"/>
        <v>0</v>
      </c>
      <c r="AG76" s="60"/>
      <c r="AH76" s="55">
        <f t="shared" ref="AH76:AH91" si="20">MAX(B76:AF76)</f>
        <v>0</v>
      </c>
      <c r="AI76" s="56">
        <f t="shared" ref="AI76:AI91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2">IF(B58&lt;0,B58*-1,0)</f>
        <v>0</v>
      </c>
      <c r="C77" s="78">
        <f t="shared" ref="C77:AF77" si="23">IF(C58&lt;0,C58*-1,0)</f>
        <v>0</v>
      </c>
      <c r="D77" s="78">
        <f t="shared" si="23"/>
        <v>0</v>
      </c>
      <c r="E77" s="78">
        <f t="shared" si="23"/>
        <v>0</v>
      </c>
      <c r="F77" s="78">
        <f t="shared" si="23"/>
        <v>0</v>
      </c>
      <c r="G77" s="78">
        <f t="shared" si="23"/>
        <v>0</v>
      </c>
      <c r="H77" s="78">
        <f t="shared" si="23"/>
        <v>0</v>
      </c>
      <c r="I77" s="78">
        <f t="shared" si="23"/>
        <v>0</v>
      </c>
      <c r="J77" s="78">
        <f t="shared" si="23"/>
        <v>0</v>
      </c>
      <c r="K77" s="78">
        <f t="shared" si="23"/>
        <v>0</v>
      </c>
      <c r="L77" s="78">
        <f t="shared" si="23"/>
        <v>0</v>
      </c>
      <c r="M77" s="78">
        <f t="shared" si="23"/>
        <v>0</v>
      </c>
      <c r="N77" s="78">
        <f t="shared" si="23"/>
        <v>0</v>
      </c>
      <c r="O77" s="78">
        <f t="shared" si="23"/>
        <v>0</v>
      </c>
      <c r="P77" s="78">
        <f t="shared" si="23"/>
        <v>0</v>
      </c>
      <c r="Q77" s="78">
        <f t="shared" si="23"/>
        <v>0</v>
      </c>
      <c r="R77" s="78">
        <f t="shared" si="23"/>
        <v>0</v>
      </c>
      <c r="S77" s="78">
        <f t="shared" si="23"/>
        <v>0</v>
      </c>
      <c r="T77" s="78">
        <f t="shared" si="23"/>
        <v>0</v>
      </c>
      <c r="U77" s="78">
        <f t="shared" si="23"/>
        <v>0</v>
      </c>
      <c r="V77" s="78">
        <f t="shared" si="23"/>
        <v>0</v>
      </c>
      <c r="W77" s="78">
        <f t="shared" si="23"/>
        <v>0</v>
      </c>
      <c r="X77" s="78">
        <f t="shared" si="23"/>
        <v>0</v>
      </c>
      <c r="Y77" s="78">
        <f t="shared" si="23"/>
        <v>0</v>
      </c>
      <c r="Z77" s="78">
        <f t="shared" si="23"/>
        <v>0</v>
      </c>
      <c r="AA77" s="78">
        <f t="shared" si="23"/>
        <v>0</v>
      </c>
      <c r="AB77" s="78">
        <f t="shared" si="23"/>
        <v>0</v>
      </c>
      <c r="AC77" s="78">
        <f t="shared" si="23"/>
        <v>0</v>
      </c>
      <c r="AD77" s="78">
        <f t="shared" si="23"/>
        <v>0</v>
      </c>
      <c r="AE77" s="78">
        <f t="shared" si="23"/>
        <v>0</v>
      </c>
      <c r="AF77" s="78">
        <f t="shared" si="23"/>
        <v>0</v>
      </c>
      <c r="AG77" s="64"/>
      <c r="AH77" s="55">
        <f t="shared" si="20"/>
        <v>0</v>
      </c>
      <c r="AI77" s="56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4">IF(B61&lt;0,B61*-1,0)</f>
        <v>0</v>
      </c>
      <c r="C78" s="78">
        <f t="shared" ref="C78:AF78" si="25">IF(C61&lt;0,C61*-1,0)</f>
        <v>0</v>
      </c>
      <c r="D78" s="78">
        <f t="shared" si="25"/>
        <v>0</v>
      </c>
      <c r="E78" s="78">
        <f t="shared" si="25"/>
        <v>0</v>
      </c>
      <c r="F78" s="78">
        <f t="shared" si="25"/>
        <v>0</v>
      </c>
      <c r="G78" s="78">
        <f t="shared" si="25"/>
        <v>0</v>
      </c>
      <c r="H78" s="78">
        <f t="shared" si="25"/>
        <v>0</v>
      </c>
      <c r="I78" s="78">
        <f t="shared" si="25"/>
        <v>0</v>
      </c>
      <c r="J78" s="78">
        <f t="shared" si="25"/>
        <v>0</v>
      </c>
      <c r="K78" s="78">
        <f t="shared" si="25"/>
        <v>0</v>
      </c>
      <c r="L78" s="78">
        <f t="shared" si="25"/>
        <v>0</v>
      </c>
      <c r="M78" s="78">
        <f t="shared" si="25"/>
        <v>0</v>
      </c>
      <c r="N78" s="78">
        <f t="shared" si="25"/>
        <v>0</v>
      </c>
      <c r="O78" s="78">
        <f t="shared" si="25"/>
        <v>0</v>
      </c>
      <c r="P78" s="78">
        <f t="shared" si="25"/>
        <v>0</v>
      </c>
      <c r="Q78" s="78">
        <f t="shared" si="25"/>
        <v>0</v>
      </c>
      <c r="R78" s="78">
        <f t="shared" si="25"/>
        <v>0</v>
      </c>
      <c r="S78" s="78">
        <f t="shared" si="25"/>
        <v>0</v>
      </c>
      <c r="T78" s="78">
        <f t="shared" si="25"/>
        <v>0</v>
      </c>
      <c r="U78" s="78">
        <f t="shared" si="25"/>
        <v>0</v>
      </c>
      <c r="V78" s="78">
        <f t="shared" si="25"/>
        <v>0</v>
      </c>
      <c r="W78" s="78">
        <f t="shared" si="25"/>
        <v>0</v>
      </c>
      <c r="X78" s="78">
        <f t="shared" si="25"/>
        <v>0</v>
      </c>
      <c r="Y78" s="78">
        <f t="shared" si="25"/>
        <v>0</v>
      </c>
      <c r="Z78" s="78">
        <f t="shared" si="25"/>
        <v>0</v>
      </c>
      <c r="AA78" s="78">
        <f t="shared" si="25"/>
        <v>0</v>
      </c>
      <c r="AB78" s="78">
        <f t="shared" si="25"/>
        <v>0</v>
      </c>
      <c r="AC78" s="78">
        <f t="shared" si="25"/>
        <v>0</v>
      </c>
      <c r="AD78" s="78">
        <f t="shared" si="25"/>
        <v>0</v>
      </c>
      <c r="AE78" s="78">
        <f t="shared" si="25"/>
        <v>0</v>
      </c>
      <c r="AF78" s="78">
        <f t="shared" si="25"/>
        <v>0</v>
      </c>
      <c r="AG78" s="87"/>
      <c r="AH78" s="55">
        <f t="shared" si="20"/>
        <v>0</v>
      </c>
      <c r="AI78" s="56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26">IF(B59&lt;0,B59*-1,0)</f>
        <v>360.5</v>
      </c>
      <c r="C79" s="78">
        <f t="shared" ref="C79:AF79" si="27">IF(C59&lt;0,C59*-1,0)</f>
        <v>365</v>
      </c>
      <c r="D79" s="78">
        <f t="shared" si="27"/>
        <v>370.2</v>
      </c>
      <c r="E79" s="78">
        <f t="shared" si="27"/>
        <v>420</v>
      </c>
      <c r="F79" s="78">
        <f t="shared" si="27"/>
        <v>425</v>
      </c>
      <c r="G79" s="78">
        <f t="shared" si="27"/>
        <v>375</v>
      </c>
      <c r="H79" s="78">
        <f t="shared" si="27"/>
        <v>430</v>
      </c>
      <c r="I79" s="78">
        <f t="shared" si="27"/>
        <v>400</v>
      </c>
      <c r="J79" s="78">
        <f t="shared" si="27"/>
        <v>330</v>
      </c>
      <c r="K79" s="78">
        <f t="shared" si="27"/>
        <v>350</v>
      </c>
      <c r="L79" s="78">
        <f t="shared" si="27"/>
        <v>335</v>
      </c>
      <c r="M79" s="78">
        <f t="shared" si="27"/>
        <v>309.8</v>
      </c>
      <c r="N79" s="78">
        <f t="shared" si="27"/>
        <v>263.2</v>
      </c>
      <c r="O79" s="78">
        <f t="shared" si="27"/>
        <v>299.89999999999998</v>
      </c>
      <c r="P79" s="78">
        <f t="shared" si="27"/>
        <v>294.2</v>
      </c>
      <c r="Q79" s="78">
        <f t="shared" si="27"/>
        <v>256.60000000000002</v>
      </c>
      <c r="R79" s="78">
        <f t="shared" si="27"/>
        <v>309.89999999999998</v>
      </c>
      <c r="S79" s="78">
        <f t="shared" si="27"/>
        <v>298</v>
      </c>
      <c r="T79" s="78">
        <f t="shared" si="27"/>
        <v>283</v>
      </c>
      <c r="U79" s="78">
        <f t="shared" si="27"/>
        <v>292</v>
      </c>
      <c r="V79" s="78">
        <f t="shared" si="27"/>
        <v>314</v>
      </c>
      <c r="W79" s="78">
        <f t="shared" si="27"/>
        <v>350</v>
      </c>
      <c r="X79" s="78">
        <f t="shared" si="27"/>
        <v>330</v>
      </c>
      <c r="Y79" s="78">
        <f t="shared" si="27"/>
        <v>314</v>
      </c>
      <c r="Z79" s="78">
        <f t="shared" si="27"/>
        <v>278</v>
      </c>
      <c r="AA79" s="78">
        <f t="shared" si="27"/>
        <v>195</v>
      </c>
      <c r="AB79" s="78">
        <f t="shared" si="27"/>
        <v>210</v>
      </c>
      <c r="AC79" s="78">
        <f t="shared" si="27"/>
        <v>238</v>
      </c>
      <c r="AD79" s="78">
        <f t="shared" si="27"/>
        <v>276</v>
      </c>
      <c r="AE79" s="78">
        <f t="shared" si="27"/>
        <v>333</v>
      </c>
      <c r="AF79" s="78">
        <f t="shared" si="27"/>
        <v>360</v>
      </c>
      <c r="AG79" s="87"/>
      <c r="AH79" s="55">
        <f t="shared" si="20"/>
        <v>430</v>
      </c>
      <c r="AI79" s="56">
        <f t="shared" si="21"/>
        <v>195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28">IF(B57&lt;0,B57*-1,0)</f>
        <v>0</v>
      </c>
      <c r="C80" s="78">
        <f t="shared" ref="C80:AF80" si="29">IF(C57&lt;0,C57*-1,0)</f>
        <v>0</v>
      </c>
      <c r="D80" s="78">
        <f t="shared" si="29"/>
        <v>0</v>
      </c>
      <c r="E80" s="78">
        <f t="shared" si="29"/>
        <v>0</v>
      </c>
      <c r="F80" s="78">
        <f t="shared" si="29"/>
        <v>0</v>
      </c>
      <c r="G80" s="78">
        <f t="shared" si="29"/>
        <v>0</v>
      </c>
      <c r="H80" s="78">
        <f t="shared" si="29"/>
        <v>0</v>
      </c>
      <c r="I80" s="78">
        <f t="shared" si="29"/>
        <v>0</v>
      </c>
      <c r="J80" s="78">
        <f t="shared" si="29"/>
        <v>0</v>
      </c>
      <c r="K80" s="78">
        <f t="shared" si="29"/>
        <v>0</v>
      </c>
      <c r="L80" s="78">
        <f t="shared" si="29"/>
        <v>0</v>
      </c>
      <c r="M80" s="78">
        <f t="shared" si="29"/>
        <v>0</v>
      </c>
      <c r="N80" s="78">
        <f t="shared" si="29"/>
        <v>0</v>
      </c>
      <c r="O80" s="78">
        <f t="shared" si="29"/>
        <v>0</v>
      </c>
      <c r="P80" s="78">
        <f t="shared" si="29"/>
        <v>0</v>
      </c>
      <c r="Q80" s="78">
        <f t="shared" si="29"/>
        <v>0</v>
      </c>
      <c r="R80" s="78">
        <f t="shared" si="29"/>
        <v>0</v>
      </c>
      <c r="S80" s="78">
        <f t="shared" si="29"/>
        <v>0</v>
      </c>
      <c r="T80" s="78">
        <f t="shared" si="29"/>
        <v>0</v>
      </c>
      <c r="U80" s="78">
        <f t="shared" si="29"/>
        <v>0</v>
      </c>
      <c r="V80" s="78">
        <f t="shared" si="29"/>
        <v>0</v>
      </c>
      <c r="W80" s="78">
        <f t="shared" si="29"/>
        <v>0</v>
      </c>
      <c r="X80" s="78">
        <f t="shared" si="29"/>
        <v>0</v>
      </c>
      <c r="Y80" s="78">
        <f t="shared" si="29"/>
        <v>0</v>
      </c>
      <c r="Z80" s="78">
        <f t="shared" si="29"/>
        <v>0</v>
      </c>
      <c r="AA80" s="78">
        <f t="shared" si="29"/>
        <v>0</v>
      </c>
      <c r="AB80" s="78">
        <f t="shared" si="29"/>
        <v>0</v>
      </c>
      <c r="AC80" s="78">
        <f t="shared" si="29"/>
        <v>0</v>
      </c>
      <c r="AD80" s="78">
        <f t="shared" si="29"/>
        <v>0</v>
      </c>
      <c r="AE80" s="78">
        <f t="shared" si="29"/>
        <v>0</v>
      </c>
      <c r="AF80" s="78">
        <f t="shared" si="29"/>
        <v>0</v>
      </c>
      <c r="AG80" s="87"/>
      <c r="AH80" s="55">
        <f t="shared" si="20"/>
        <v>0</v>
      </c>
      <c r="AI80" s="56">
        <f t="shared" si="21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0"/>
        <v>0</v>
      </c>
      <c r="AI81" s="56">
        <f t="shared" si="21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30">SUM(B76:B81)</f>
        <v>360.5</v>
      </c>
      <c r="C82" s="70">
        <f t="shared" ref="C82:AG82" si="31">SUM(C76:C81)</f>
        <v>365</v>
      </c>
      <c r="D82" s="70">
        <f t="shared" si="31"/>
        <v>370.2</v>
      </c>
      <c r="E82" s="70">
        <f t="shared" si="31"/>
        <v>420</v>
      </c>
      <c r="F82" s="70">
        <f t="shared" si="31"/>
        <v>425</v>
      </c>
      <c r="G82" s="70">
        <f t="shared" si="31"/>
        <v>375</v>
      </c>
      <c r="H82" s="70">
        <f t="shared" si="31"/>
        <v>430</v>
      </c>
      <c r="I82" s="70">
        <f t="shared" si="31"/>
        <v>400</v>
      </c>
      <c r="J82" s="70">
        <f t="shared" si="31"/>
        <v>330</v>
      </c>
      <c r="K82" s="70">
        <f t="shared" si="31"/>
        <v>350</v>
      </c>
      <c r="L82" s="70">
        <f t="shared" si="31"/>
        <v>335</v>
      </c>
      <c r="M82" s="70">
        <f t="shared" si="31"/>
        <v>309.8</v>
      </c>
      <c r="N82" s="70">
        <f t="shared" si="31"/>
        <v>263.2</v>
      </c>
      <c r="O82" s="70">
        <f t="shared" si="31"/>
        <v>299.89999999999998</v>
      </c>
      <c r="P82" s="70">
        <f t="shared" si="31"/>
        <v>294.2</v>
      </c>
      <c r="Q82" s="70">
        <f t="shared" si="31"/>
        <v>256.60000000000002</v>
      </c>
      <c r="R82" s="70">
        <f t="shared" si="31"/>
        <v>309.89999999999998</v>
      </c>
      <c r="S82" s="70">
        <f t="shared" si="31"/>
        <v>298</v>
      </c>
      <c r="T82" s="70">
        <f t="shared" si="31"/>
        <v>283</v>
      </c>
      <c r="U82" s="70">
        <f t="shared" si="31"/>
        <v>292</v>
      </c>
      <c r="V82" s="70">
        <f t="shared" si="31"/>
        <v>314</v>
      </c>
      <c r="W82" s="70">
        <f t="shared" si="31"/>
        <v>350</v>
      </c>
      <c r="X82" s="70">
        <f t="shared" si="31"/>
        <v>330</v>
      </c>
      <c r="Y82" s="70">
        <f t="shared" si="31"/>
        <v>314</v>
      </c>
      <c r="Z82" s="70">
        <f t="shared" si="31"/>
        <v>278</v>
      </c>
      <c r="AA82" s="70">
        <f t="shared" si="31"/>
        <v>195</v>
      </c>
      <c r="AB82" s="70">
        <f t="shared" si="31"/>
        <v>210</v>
      </c>
      <c r="AC82" s="70">
        <f t="shared" si="31"/>
        <v>238</v>
      </c>
      <c r="AD82" s="70">
        <f t="shared" si="31"/>
        <v>276</v>
      </c>
      <c r="AE82" s="70">
        <f t="shared" si="31"/>
        <v>333</v>
      </c>
      <c r="AF82" s="70">
        <f t="shared" si="31"/>
        <v>360</v>
      </c>
      <c r="AG82" s="74">
        <f t="shared" si="31"/>
        <v>0</v>
      </c>
      <c r="AH82" s="55">
        <f t="shared" si="20"/>
        <v>430</v>
      </c>
      <c r="AI82" s="56">
        <f t="shared" si="21"/>
        <v>195</v>
      </c>
      <c r="AK82" s="57"/>
    </row>
    <row r="83" spans="1:88" s="1" customFormat="1" ht="15.75" thickBot="1" x14ac:dyDescent="0.3">
      <c r="A83" s="69" t="s">
        <v>88</v>
      </c>
      <c r="B83" s="70">
        <f t="shared" ref="B83" si="32">B68-B82</f>
        <v>-246.2</v>
      </c>
      <c r="C83" s="70">
        <f t="shared" ref="C83:AF83" si="33">C68-C82</f>
        <v>-273</v>
      </c>
      <c r="D83" s="70">
        <f t="shared" si="33"/>
        <v>-274</v>
      </c>
      <c r="E83" s="70">
        <f t="shared" si="33"/>
        <v>-340.9</v>
      </c>
      <c r="F83" s="70">
        <f t="shared" si="33"/>
        <v>-343.2</v>
      </c>
      <c r="G83" s="70">
        <f t="shared" si="33"/>
        <v>-294.89999999999998</v>
      </c>
      <c r="H83" s="70">
        <f t="shared" si="33"/>
        <v>-359</v>
      </c>
      <c r="I83" s="70">
        <f t="shared" si="33"/>
        <v>-356</v>
      </c>
      <c r="J83" s="70">
        <f t="shared" si="33"/>
        <v>-271</v>
      </c>
      <c r="K83" s="70">
        <f t="shared" si="33"/>
        <v>-296</v>
      </c>
      <c r="L83" s="70">
        <f t="shared" si="33"/>
        <v>-275</v>
      </c>
      <c r="M83" s="70">
        <f t="shared" si="33"/>
        <v>-254.3</v>
      </c>
      <c r="N83" s="70">
        <f t="shared" si="33"/>
        <v>-218.89999999999998</v>
      </c>
      <c r="O83" s="70">
        <f t="shared" si="33"/>
        <v>-268.39999999999998</v>
      </c>
      <c r="P83" s="70">
        <f t="shared" si="33"/>
        <v>-243.2</v>
      </c>
      <c r="Q83" s="70">
        <f t="shared" si="33"/>
        <v>-211.70000000000002</v>
      </c>
      <c r="R83" s="70">
        <f t="shared" si="33"/>
        <v>-237.29999999999998</v>
      </c>
      <c r="S83" s="70">
        <f t="shared" si="33"/>
        <v>-218.8</v>
      </c>
      <c r="T83" s="70">
        <f t="shared" si="33"/>
        <v>-211.4</v>
      </c>
      <c r="U83" s="70">
        <f t="shared" si="33"/>
        <v>-241.1</v>
      </c>
      <c r="V83" s="70">
        <f t="shared" si="33"/>
        <v>-265</v>
      </c>
      <c r="W83" s="70">
        <f t="shared" si="33"/>
        <v>-294</v>
      </c>
      <c r="X83" s="70">
        <f t="shared" si="33"/>
        <v>-275</v>
      </c>
      <c r="Y83" s="70">
        <f t="shared" si="33"/>
        <v>-267.2</v>
      </c>
      <c r="Z83" s="70">
        <f t="shared" si="33"/>
        <v>-212.5</v>
      </c>
      <c r="AA83" s="70">
        <f t="shared" si="33"/>
        <v>-128.69999999999999</v>
      </c>
      <c r="AB83" s="70">
        <f t="shared" si="33"/>
        <v>-146</v>
      </c>
      <c r="AC83" s="70">
        <f t="shared" si="33"/>
        <v>-172</v>
      </c>
      <c r="AD83" s="70">
        <f t="shared" si="33"/>
        <v>-220</v>
      </c>
      <c r="AE83" s="70">
        <f t="shared" si="33"/>
        <v>-269</v>
      </c>
      <c r="AF83" s="70">
        <f t="shared" si="33"/>
        <v>-315</v>
      </c>
      <c r="AG83" s="74">
        <f t="shared" ref="AG83" si="34">SUM(AG70:AG82)</f>
        <v>4360.08</v>
      </c>
      <c r="AH83" s="55">
        <f t="shared" si="20"/>
        <v>-128.69999999999999</v>
      </c>
      <c r="AI83" s="56">
        <f t="shared" si="21"/>
        <v>-359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50.015999999999998</v>
      </c>
      <c r="C84" s="90"/>
      <c r="D84" s="90">
        <v>50.054000000000002</v>
      </c>
      <c r="E84" s="90">
        <v>49.844999999999999</v>
      </c>
      <c r="F84" s="90">
        <v>50.012</v>
      </c>
      <c r="G84" s="90">
        <v>50.015999999999998</v>
      </c>
      <c r="H84" s="90">
        <v>50</v>
      </c>
      <c r="I84" s="90">
        <v>49.975999999999999</v>
      </c>
      <c r="J84" s="90">
        <v>49.863999999999997</v>
      </c>
      <c r="K84" s="90">
        <v>49.808999999999997</v>
      </c>
      <c r="L84" s="90">
        <v>50.015000000000001</v>
      </c>
      <c r="M84" s="90">
        <v>50.055999999999997</v>
      </c>
      <c r="N84" s="90">
        <v>50.13</v>
      </c>
      <c r="O84" s="90">
        <v>49.99</v>
      </c>
      <c r="P84" s="90">
        <v>50.042000000000002</v>
      </c>
      <c r="Q84" s="90">
        <v>50.115000000000002</v>
      </c>
      <c r="R84" s="90">
        <v>50.034999999999997</v>
      </c>
      <c r="S84" s="90">
        <v>50.036999999999999</v>
      </c>
      <c r="T84" s="90">
        <v>50.064999999999998</v>
      </c>
      <c r="U84" s="90">
        <v>50.042999999999999</v>
      </c>
      <c r="V84" s="90">
        <v>50.03</v>
      </c>
      <c r="W84" s="90">
        <v>50.036000000000001</v>
      </c>
      <c r="X84" s="90">
        <v>49.988</v>
      </c>
      <c r="Y84" s="90">
        <v>50.048000000000002</v>
      </c>
      <c r="Z84" s="90">
        <v>49.976999999999997</v>
      </c>
      <c r="AA84" s="90">
        <v>50.031999999999996</v>
      </c>
      <c r="AB84" s="90">
        <v>50.017000000000003</v>
      </c>
      <c r="AC84" s="90">
        <v>50.017000000000003</v>
      </c>
      <c r="AD84" s="90">
        <v>49.936</v>
      </c>
      <c r="AE84" s="90">
        <v>50.02</v>
      </c>
      <c r="AF84" s="90">
        <v>50.014000000000003</v>
      </c>
      <c r="AG84" s="91"/>
      <c r="AH84" s="55">
        <f t="shared" si="20"/>
        <v>50.13</v>
      </c>
      <c r="AI84" s="56">
        <f t="shared" si="21"/>
        <v>49.808999999999997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125.4</v>
      </c>
      <c r="C85" s="49"/>
      <c r="D85" s="49">
        <v>124.6</v>
      </c>
      <c r="E85" s="49">
        <v>123.6</v>
      </c>
      <c r="F85" s="49">
        <v>123.6</v>
      </c>
      <c r="G85" s="49">
        <v>124.1</v>
      </c>
      <c r="H85" s="49">
        <v>124.7</v>
      </c>
      <c r="I85" s="49">
        <v>123.7</v>
      </c>
      <c r="J85" s="49">
        <v>122.9</v>
      </c>
      <c r="K85" s="49">
        <v>122.4</v>
      </c>
      <c r="L85" s="49">
        <v>122.1</v>
      </c>
      <c r="M85" s="49">
        <v>123.2</v>
      </c>
      <c r="N85" s="49">
        <v>122.1</v>
      </c>
      <c r="O85" s="49">
        <v>121.8</v>
      </c>
      <c r="P85" s="49">
        <v>121.8</v>
      </c>
      <c r="Q85" s="49">
        <v>120.8</v>
      </c>
      <c r="R85" s="49">
        <v>123.4</v>
      </c>
      <c r="S85" s="49">
        <v>124</v>
      </c>
      <c r="T85" s="49">
        <v>122.4</v>
      </c>
      <c r="U85" s="49">
        <v>120</v>
      </c>
      <c r="V85" s="49">
        <v>122.1</v>
      </c>
      <c r="W85" s="49">
        <v>124.4</v>
      </c>
      <c r="X85" s="49">
        <v>125</v>
      </c>
      <c r="Y85" s="49">
        <v>125.5</v>
      </c>
      <c r="Z85" s="49">
        <v>125</v>
      </c>
      <c r="AA85" s="49">
        <v>126</v>
      </c>
      <c r="AB85" s="49">
        <v>125</v>
      </c>
      <c r="AC85" s="49">
        <v>125</v>
      </c>
      <c r="AD85" s="49">
        <v>125.4</v>
      </c>
      <c r="AE85" s="49">
        <v>124.9</v>
      </c>
      <c r="AF85" s="49">
        <v>125.1</v>
      </c>
      <c r="AG85" s="93"/>
      <c r="AH85" s="55">
        <f t="shared" si="20"/>
        <v>126</v>
      </c>
      <c r="AI85" s="56">
        <f t="shared" si="21"/>
        <v>120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130.19999999999999</v>
      </c>
      <c r="C86" s="49"/>
      <c r="D86" s="49">
        <v>129.30000000000001</v>
      </c>
      <c r="E86" s="49">
        <v>128.4</v>
      </c>
      <c r="F86" s="49">
        <v>129</v>
      </c>
      <c r="G86" s="49">
        <v>129</v>
      </c>
      <c r="H86" s="49">
        <v>129.30000000000001</v>
      </c>
      <c r="I86" s="49">
        <v>128.69999999999999</v>
      </c>
      <c r="J86" s="49">
        <v>127.8</v>
      </c>
      <c r="K86" s="49">
        <v>126.5</v>
      </c>
      <c r="L86" s="49">
        <v>126.2</v>
      </c>
      <c r="M86" s="49">
        <v>127.1</v>
      </c>
      <c r="N86" s="49">
        <v>126.7</v>
      </c>
      <c r="O86" s="49">
        <v>126.2</v>
      </c>
      <c r="P86" s="49">
        <v>126.2</v>
      </c>
      <c r="Q86" s="49">
        <v>125.8</v>
      </c>
      <c r="R86" s="49">
        <v>125.8</v>
      </c>
      <c r="S86" s="49">
        <v>128</v>
      </c>
      <c r="T86" s="49">
        <v>126.4</v>
      </c>
      <c r="U86" s="49">
        <v>125.1</v>
      </c>
      <c r="V86" s="49">
        <v>127</v>
      </c>
      <c r="W86" s="49">
        <v>128.19999999999999</v>
      </c>
      <c r="X86" s="49">
        <v>129</v>
      </c>
      <c r="Y86" s="49">
        <v>129.19999999999999</v>
      </c>
      <c r="Z86" s="49">
        <v>129</v>
      </c>
      <c r="AA86" s="49">
        <v>129</v>
      </c>
      <c r="AB86" s="49">
        <v>129</v>
      </c>
      <c r="AC86" s="49">
        <v>129</v>
      </c>
      <c r="AD86" s="49">
        <v>129.80000000000001</v>
      </c>
      <c r="AE86" s="49">
        <v>129.69999999999999</v>
      </c>
      <c r="AF86" s="49">
        <v>129.6</v>
      </c>
      <c r="AG86" s="93"/>
      <c r="AH86" s="55">
        <f t="shared" si="20"/>
        <v>130.19999999999999</v>
      </c>
      <c r="AI86" s="56">
        <f t="shared" si="21"/>
        <v>125.1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126.9</v>
      </c>
      <c r="C87" s="49"/>
      <c r="D87" s="49"/>
      <c r="E87" s="49"/>
      <c r="F87" s="49">
        <v>123</v>
      </c>
      <c r="G87" s="49">
        <v>130.80000000000001</v>
      </c>
      <c r="H87" s="49">
        <v>129.4</v>
      </c>
      <c r="I87" s="49"/>
      <c r="J87" s="49"/>
      <c r="K87" s="49"/>
      <c r="L87" s="49"/>
      <c r="M87" s="49">
        <v>126.9</v>
      </c>
      <c r="N87" s="49">
        <v>126.1</v>
      </c>
      <c r="O87" s="49">
        <v>128.30000000000001</v>
      </c>
      <c r="P87" s="49">
        <v>128.30000000000001</v>
      </c>
      <c r="Q87" s="49">
        <v>129.9</v>
      </c>
      <c r="R87" s="49">
        <v>129.9</v>
      </c>
      <c r="S87" s="49">
        <v>132</v>
      </c>
      <c r="T87" s="49">
        <v>130.69999999999999</v>
      </c>
      <c r="U87" s="49">
        <v>129</v>
      </c>
      <c r="V87" s="49">
        <v>129.19999999999999</v>
      </c>
      <c r="W87" s="49">
        <v>131</v>
      </c>
      <c r="X87" s="49">
        <v>131.19999999999999</v>
      </c>
      <c r="Y87" s="49">
        <v>130.6</v>
      </c>
      <c r="Z87" s="49">
        <v>131</v>
      </c>
      <c r="AA87" s="49">
        <v>129</v>
      </c>
      <c r="AB87" s="49">
        <v>130</v>
      </c>
      <c r="AC87" s="49">
        <v>130</v>
      </c>
      <c r="AD87" s="49">
        <v>131.1</v>
      </c>
      <c r="AE87" s="49">
        <v>129.30000000000001</v>
      </c>
      <c r="AF87" s="49">
        <v>130.1</v>
      </c>
      <c r="AG87" s="93"/>
      <c r="AH87" s="55">
        <f t="shared" si="20"/>
        <v>132</v>
      </c>
      <c r="AI87" s="56">
        <f t="shared" si="21"/>
        <v>123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20"/>
        <v>0</v>
      </c>
      <c r="AI88" s="56">
        <f t="shared" si="21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134.30000000000001</v>
      </c>
      <c r="C89" s="95"/>
      <c r="D89" s="95"/>
      <c r="E89" s="95">
        <v>129.30000000000001</v>
      </c>
      <c r="F89" s="95">
        <v>131.4</v>
      </c>
      <c r="G89" s="95">
        <v>129.19999999999999</v>
      </c>
      <c r="H89" s="95">
        <v>135.4</v>
      </c>
      <c r="I89" s="95">
        <v>132.4</v>
      </c>
      <c r="J89" s="95">
        <v>134</v>
      </c>
      <c r="K89" s="95">
        <v>132.80000000000001</v>
      </c>
      <c r="L89" s="95">
        <v>130.80000000000001</v>
      </c>
      <c r="M89" s="95">
        <v>135.4</v>
      </c>
      <c r="N89" s="95">
        <v>131.19999999999999</v>
      </c>
      <c r="O89" s="95">
        <v>128.9</v>
      </c>
      <c r="P89" s="95">
        <v>128.9</v>
      </c>
      <c r="Q89" s="95">
        <v>132.1</v>
      </c>
      <c r="R89" s="95">
        <v>132.1</v>
      </c>
      <c r="S89" s="95">
        <v>133.4</v>
      </c>
      <c r="T89" s="95">
        <v>133.69999999999999</v>
      </c>
      <c r="U89" s="95">
        <v>134</v>
      </c>
      <c r="V89" s="95">
        <v>134</v>
      </c>
      <c r="W89" s="95">
        <v>134.30000000000001</v>
      </c>
      <c r="X89" s="95">
        <v>133.30000000000001</v>
      </c>
      <c r="Y89" s="95">
        <v>133.5</v>
      </c>
      <c r="Z89" s="95">
        <v>135.19999999999999</v>
      </c>
      <c r="AA89" s="95">
        <v>134</v>
      </c>
      <c r="AB89" s="95">
        <v>133</v>
      </c>
      <c r="AC89" s="95">
        <v>133</v>
      </c>
      <c r="AD89" s="95">
        <v>131.4</v>
      </c>
      <c r="AE89" s="95">
        <v>131.1</v>
      </c>
      <c r="AF89" s="95">
        <v>133.19999999999999</v>
      </c>
      <c r="AG89" s="96"/>
      <c r="AH89" s="55">
        <f t="shared" si="20"/>
        <v>135.4</v>
      </c>
      <c r="AI89" s="56">
        <f t="shared" si="21"/>
        <v>128.9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127.9</v>
      </c>
      <c r="C90" s="49"/>
      <c r="D90" s="49">
        <v>125.6</v>
      </c>
      <c r="E90" s="49">
        <v>125.3</v>
      </c>
      <c r="F90" s="49">
        <v>126.7</v>
      </c>
      <c r="G90" s="49">
        <v>128</v>
      </c>
      <c r="H90" s="49">
        <v>132.5</v>
      </c>
      <c r="I90" s="49">
        <v>132.4</v>
      </c>
      <c r="J90" s="49">
        <v>130.30000000000001</v>
      </c>
      <c r="K90" s="49">
        <v>130.5</v>
      </c>
      <c r="L90" s="49">
        <v>125.5</v>
      </c>
      <c r="M90" s="49">
        <v>130.9</v>
      </c>
      <c r="N90" s="49">
        <v>125.6</v>
      </c>
      <c r="O90" s="49">
        <v>130.1</v>
      </c>
      <c r="P90" s="49">
        <v>130.1</v>
      </c>
      <c r="Q90" s="49">
        <v>128.80000000000001</v>
      </c>
      <c r="R90" s="49">
        <v>128.80000000000001</v>
      </c>
      <c r="S90" s="49">
        <v>133.5</v>
      </c>
      <c r="T90" s="49">
        <v>132.1</v>
      </c>
      <c r="U90" s="49">
        <v>125.1</v>
      </c>
      <c r="V90" s="49">
        <v>126</v>
      </c>
      <c r="W90" s="49">
        <v>129</v>
      </c>
      <c r="X90" s="49">
        <v>128</v>
      </c>
      <c r="Y90" s="49">
        <v>131</v>
      </c>
      <c r="Z90" s="49">
        <v>131.19999999999999</v>
      </c>
      <c r="AA90" s="49">
        <v>134</v>
      </c>
      <c r="AB90" s="49">
        <v>133</v>
      </c>
      <c r="AC90" s="49">
        <v>128</v>
      </c>
      <c r="AD90" s="49">
        <v>123.4</v>
      </c>
      <c r="AE90" s="49">
        <v>123.4</v>
      </c>
      <c r="AF90" s="49">
        <v>126.4</v>
      </c>
      <c r="AG90" s="93"/>
      <c r="AH90" s="55">
        <f t="shared" si="20"/>
        <v>134</v>
      </c>
      <c r="AI90" s="56">
        <f t="shared" si="21"/>
        <v>123.4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66</v>
      </c>
      <c r="C91" s="97"/>
      <c r="D91" s="97">
        <v>65.599999999999994</v>
      </c>
      <c r="E91" s="97">
        <v>65.2</v>
      </c>
      <c r="F91" s="97">
        <v>65.099999999999994</v>
      </c>
      <c r="G91" s="97">
        <v>65.2</v>
      </c>
      <c r="H91" s="97">
        <v>65.2</v>
      </c>
      <c r="I91" s="97">
        <v>65</v>
      </c>
      <c r="J91" s="97">
        <v>64.5</v>
      </c>
      <c r="K91" s="97">
        <v>63.8</v>
      </c>
      <c r="L91" s="97">
        <v>63.6</v>
      </c>
      <c r="M91" s="97">
        <v>63.9</v>
      </c>
      <c r="N91" s="97">
        <v>63.6</v>
      </c>
      <c r="O91" s="97">
        <v>63.4</v>
      </c>
      <c r="P91" s="97">
        <v>63.4</v>
      </c>
      <c r="Q91" s="97">
        <v>63.1</v>
      </c>
      <c r="R91" s="97">
        <v>64.099999999999994</v>
      </c>
      <c r="S91" s="97">
        <v>64</v>
      </c>
      <c r="T91" s="97">
        <v>63.5</v>
      </c>
      <c r="U91" s="97">
        <v>63</v>
      </c>
      <c r="V91" s="97">
        <v>64</v>
      </c>
      <c r="W91" s="97">
        <v>64.599999999999994</v>
      </c>
      <c r="X91" s="97">
        <v>65</v>
      </c>
      <c r="Y91" s="97">
        <v>65.099999999999994</v>
      </c>
      <c r="Z91" s="97">
        <v>65</v>
      </c>
      <c r="AA91" s="97">
        <v>65.2</v>
      </c>
      <c r="AB91" s="97">
        <v>65.2</v>
      </c>
      <c r="AC91" s="97">
        <v>65.2</v>
      </c>
      <c r="AD91" s="97">
        <v>65.8</v>
      </c>
      <c r="AE91" s="97">
        <v>65.5</v>
      </c>
      <c r="AF91" s="97">
        <v>65.5</v>
      </c>
      <c r="AG91" s="98"/>
      <c r="AH91" s="55">
        <f t="shared" si="20"/>
        <v>66</v>
      </c>
      <c r="AI91" s="56">
        <f t="shared" si="21"/>
        <v>63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" si="35">SUM(B15,B18,B21:B22,B42,B44:B45,B47,B49,B94:B97,B103,B109,B115,B124,B126,B138,B145,B148:B149,B156,B158,B160,B164:B166,B168:B170,B175,B181:B182,B184:B186,B194,B199)</f>
        <v>272.54000000000002</v>
      </c>
      <c r="C93" s="103">
        <f t="shared" ref="C93:AF93" si="36">SUM(C15,C18,C21:C22,C42,C44:C45,C47,C49,C94:C97,C103,C109,C115,C124,C126,C138,C145,C148:C149,C156,C158,C160,C164:C166,C168:C170,C175,C181:C182,C184:C186,C194,C199)</f>
        <v>259.64000000000004</v>
      </c>
      <c r="D93" s="103">
        <f t="shared" si="36"/>
        <v>176.43999999999997</v>
      </c>
      <c r="E93" s="103">
        <f t="shared" si="36"/>
        <v>105.54</v>
      </c>
      <c r="F93" s="103">
        <f t="shared" si="36"/>
        <v>242.14</v>
      </c>
      <c r="G93" s="103">
        <f t="shared" si="36"/>
        <v>141.94</v>
      </c>
      <c r="H93" s="103">
        <f t="shared" si="36"/>
        <v>129.14000000000001</v>
      </c>
      <c r="I93" s="103">
        <f t="shared" si="36"/>
        <v>166.03999999999996</v>
      </c>
      <c r="J93" s="103">
        <f t="shared" si="36"/>
        <v>247.64</v>
      </c>
      <c r="K93" s="103">
        <f t="shared" si="36"/>
        <v>251.33999999999997</v>
      </c>
      <c r="L93" s="103">
        <f t="shared" si="36"/>
        <v>251.74</v>
      </c>
      <c r="M93" s="103">
        <f t="shared" si="36"/>
        <v>289.24000000000007</v>
      </c>
      <c r="N93" s="103">
        <f t="shared" si="36"/>
        <v>233.33999999999997</v>
      </c>
      <c r="O93" s="103">
        <f t="shared" si="36"/>
        <v>252.73999999999995</v>
      </c>
      <c r="P93" s="103">
        <f t="shared" si="36"/>
        <v>268.53999999999996</v>
      </c>
      <c r="Q93" s="103">
        <f t="shared" si="36"/>
        <v>264.94</v>
      </c>
      <c r="R93" s="103">
        <f t="shared" si="36"/>
        <v>250.23999999999998</v>
      </c>
      <c r="S93" s="103">
        <f t="shared" si="36"/>
        <v>253.04</v>
      </c>
      <c r="T93" s="103">
        <f t="shared" si="36"/>
        <v>276.44</v>
      </c>
      <c r="U93" s="103">
        <f t="shared" si="36"/>
        <v>264.24</v>
      </c>
      <c r="V93" s="103">
        <f t="shared" si="36"/>
        <v>268.74</v>
      </c>
      <c r="W93" s="103">
        <f>SUM(W15,W18,W21:W22,W42,W44:W45,W47,W49,W94:W97,W103,W109,W115,W124,W126,W138,W145,W148:W149,W156,W158,W160,W164:W166,W168:W170,W175,W181:W182,W184:W186,W194,W199)</f>
        <v>261.74</v>
      </c>
      <c r="X93" s="103">
        <f>SUM(X15,X18,X21:X22,X42,X44:X45,X47,X49,X94:X97,X103,X109,X115,X124,X126,X138,X145,X148:X149,X156,X158,X160,X164:X166,X168:X170,X175,X181:X182,X184:X186,X194,X199)</f>
        <v>255.43999999999994</v>
      </c>
      <c r="Y93" s="103">
        <f t="shared" si="36"/>
        <v>276.64000000000004</v>
      </c>
      <c r="Z93" s="103">
        <f t="shared" si="36"/>
        <v>288.04000000000008</v>
      </c>
      <c r="AA93" s="103">
        <f t="shared" si="36"/>
        <v>337.04000000000008</v>
      </c>
      <c r="AB93" s="103">
        <f t="shared" si="36"/>
        <v>304.94000000000005</v>
      </c>
      <c r="AC93" s="103">
        <f t="shared" si="36"/>
        <v>289.74</v>
      </c>
      <c r="AD93" s="103">
        <f t="shared" si="36"/>
        <v>258.24</v>
      </c>
      <c r="AE93" s="103">
        <f t="shared" si="36"/>
        <v>218.53999999999996</v>
      </c>
      <c r="AF93" s="103">
        <f t="shared" si="36"/>
        <v>176.93999999999997</v>
      </c>
      <c r="AG93" s="104"/>
      <c r="AH93" s="55">
        <f>MAX(C93:AF93)</f>
        <v>337.04000000000008</v>
      </c>
      <c r="AI93" s="56">
        <f>MIN(C93:AF93)</f>
        <v>105.54</v>
      </c>
    </row>
    <row r="94" spans="1:88" x14ac:dyDescent="0.25">
      <c r="A94" s="105" t="s">
        <v>98</v>
      </c>
      <c r="B94" s="106">
        <v>9.4</v>
      </c>
      <c r="C94" s="106">
        <v>10.199999999999999</v>
      </c>
      <c r="D94" s="106">
        <v>15.2</v>
      </c>
      <c r="E94" s="106">
        <v>19.3</v>
      </c>
      <c r="F94" s="106"/>
      <c r="G94" s="106">
        <v>10.199999999999999</v>
      </c>
      <c r="H94" s="106">
        <v>27.5</v>
      </c>
      <c r="I94" s="106">
        <v>19.7</v>
      </c>
      <c r="J94" s="106">
        <v>29.4</v>
      </c>
      <c r="K94" s="106">
        <v>16.7</v>
      </c>
      <c r="L94" s="106">
        <v>18.399999999999999</v>
      </c>
      <c r="M94" s="106">
        <v>22.8</v>
      </c>
      <c r="N94" s="106">
        <v>30</v>
      </c>
      <c r="O94" s="106">
        <v>29.5</v>
      </c>
      <c r="P94" s="106">
        <v>29.4</v>
      </c>
      <c r="Q94" s="106">
        <v>16.399999999999999</v>
      </c>
      <c r="R94" s="106">
        <v>14.8</v>
      </c>
      <c r="S94" s="106">
        <v>14.1</v>
      </c>
      <c r="T94" s="106">
        <v>19.100000000000001</v>
      </c>
      <c r="U94" s="106">
        <v>6.8</v>
      </c>
      <c r="V94" s="106">
        <v>19</v>
      </c>
      <c r="W94" s="106">
        <v>24.2</v>
      </c>
      <c r="X94" s="106">
        <v>26.2</v>
      </c>
      <c r="Y94" s="106">
        <v>27.3</v>
      </c>
      <c r="Z94" s="106">
        <v>31.3</v>
      </c>
      <c r="AA94" s="106">
        <v>22</v>
      </c>
      <c r="AB94" s="106">
        <v>16.899999999999999</v>
      </c>
      <c r="AC94" s="106">
        <v>19.7</v>
      </c>
      <c r="AD94" s="106">
        <v>47.7</v>
      </c>
      <c r="AE94" s="106">
        <v>55.2</v>
      </c>
      <c r="AF94" s="106">
        <v>58.3</v>
      </c>
      <c r="AG94" s="107">
        <v>75</v>
      </c>
      <c r="AH94" s="55">
        <f t="shared" ref="AH94:AH100" si="37">IF(ABS(MAX(C94:AF94))&gt;ABS(MIN(C94:AF94)),MAX(C94:AF94),MIN(C94:AF94))</f>
        <v>58.3</v>
      </c>
      <c r="AI94" s="108">
        <f t="shared" ref="AI94:AI100" si="38">INDEX($C$9:$AF$9,1,MATCH(AH94,C94:AF94,0))</f>
        <v>0.95833333333333304</v>
      </c>
    </row>
    <row r="95" spans="1:88" x14ac:dyDescent="0.25">
      <c r="A95" s="109" t="s">
        <v>99</v>
      </c>
      <c r="B95" s="110"/>
      <c r="C95" s="110"/>
      <c r="D95" s="110">
        <f>-39.8-52.7</f>
        <v>-92.5</v>
      </c>
      <c r="E95" s="110">
        <f>-44.5-58.9</f>
        <v>-103.4</v>
      </c>
      <c r="F95" s="110"/>
      <c r="G95" s="110">
        <v>-107</v>
      </c>
      <c r="H95" s="110">
        <v>-135</v>
      </c>
      <c r="I95" s="110">
        <v>-80</v>
      </c>
      <c r="J95" s="110">
        <v>-92</v>
      </c>
      <c r="K95" s="110">
        <v>-83</v>
      </c>
      <c r="L95" s="110">
        <v>-86</v>
      </c>
      <c r="M95" s="110">
        <v>-62</v>
      </c>
      <c r="N95" s="110">
        <v>-89</v>
      </c>
      <c r="O95" s="110">
        <f>-38.8-41.9</f>
        <v>-80.699999999999989</v>
      </c>
      <c r="P95" s="110">
        <v>-81</v>
      </c>
      <c r="Q95" s="110">
        <v>-78</v>
      </c>
      <c r="R95" s="110">
        <v>-83.6</v>
      </c>
      <c r="S95" s="110">
        <f>-41-42.3</f>
        <v>-83.3</v>
      </c>
      <c r="T95" s="110">
        <f>-37-40</f>
        <v>-77</v>
      </c>
      <c r="U95" s="110">
        <f>-42-41</f>
        <v>-83</v>
      </c>
      <c r="V95" s="110">
        <f>-41-44</f>
        <v>-85</v>
      </c>
      <c r="W95" s="110">
        <f>-42-45</f>
        <v>-87</v>
      </c>
      <c r="X95" s="110">
        <f>-44-45</f>
        <v>-89</v>
      </c>
      <c r="Y95" s="110">
        <f>-39-42</f>
        <v>-81</v>
      </c>
      <c r="Z95" s="110">
        <f>-38-41</f>
        <v>-79</v>
      </c>
      <c r="AA95" s="110">
        <f>-25-30</f>
        <v>-55</v>
      </c>
      <c r="AB95" s="110">
        <v>-64</v>
      </c>
      <c r="AC95" s="110">
        <v>-70</v>
      </c>
      <c r="AD95" s="110">
        <v>-99.9</v>
      </c>
      <c r="AE95" s="110">
        <v>-126.6</v>
      </c>
      <c r="AF95" s="110">
        <v>-120</v>
      </c>
      <c r="AG95" s="107">
        <v>240</v>
      </c>
      <c r="AH95" s="55">
        <f t="shared" si="37"/>
        <v>-135</v>
      </c>
      <c r="AI95" s="108">
        <f t="shared" si="38"/>
        <v>0.22916666666666666</v>
      </c>
    </row>
    <row r="96" spans="1:88" x14ac:dyDescent="0.25">
      <c r="A96" s="109" t="s">
        <v>100</v>
      </c>
      <c r="B96" s="110">
        <v>20.9</v>
      </c>
      <c r="C96" s="110">
        <v>7.2</v>
      </c>
      <c r="D96" s="110">
        <v>8.5</v>
      </c>
      <c r="E96" s="110">
        <v>7.8</v>
      </c>
      <c r="F96" s="110"/>
      <c r="G96" s="110">
        <v>-3.2</v>
      </c>
      <c r="H96" s="110">
        <v>-5.3</v>
      </c>
      <c r="I96" s="110">
        <v>2.6</v>
      </c>
      <c r="J96" s="110">
        <v>3.4</v>
      </c>
      <c r="K96" s="110">
        <v>2.7</v>
      </c>
      <c r="L96" s="110">
        <v>2.4</v>
      </c>
      <c r="M96" s="110">
        <v>1.7</v>
      </c>
      <c r="N96" s="110">
        <v>-1</v>
      </c>
      <c r="O96" s="110">
        <v>5.2</v>
      </c>
      <c r="P96" s="110">
        <v>8</v>
      </c>
      <c r="Q96" s="110">
        <v>0.2</v>
      </c>
      <c r="R96" s="110">
        <v>2.7</v>
      </c>
      <c r="S96" s="110">
        <v>3.8</v>
      </c>
      <c r="T96" s="110">
        <v>6</v>
      </c>
      <c r="U96" s="110">
        <v>2.7</v>
      </c>
      <c r="V96" s="110">
        <v>7.1</v>
      </c>
      <c r="W96" s="110">
        <v>7.1</v>
      </c>
      <c r="X96" s="110">
        <v>5.6</v>
      </c>
      <c r="Y96" s="110">
        <v>7.3</v>
      </c>
      <c r="Z96" s="110">
        <v>7.5</v>
      </c>
      <c r="AA96" s="110">
        <v>35</v>
      </c>
      <c r="AB96" s="110">
        <v>22</v>
      </c>
      <c r="AC96" s="110">
        <v>16</v>
      </c>
      <c r="AD96" s="110">
        <v>10.5</v>
      </c>
      <c r="AE96" s="110">
        <v>6.3</v>
      </c>
      <c r="AF96" s="110">
        <v>-2.4</v>
      </c>
      <c r="AG96" s="107">
        <v>60</v>
      </c>
      <c r="AH96" s="55">
        <f t="shared" si="37"/>
        <v>35</v>
      </c>
      <c r="AI96" s="108">
        <f t="shared" si="38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/>
      <c r="G97" s="112">
        <v>0</v>
      </c>
      <c r="H97" s="112">
        <v>0</v>
      </c>
      <c r="I97" s="112">
        <v>0</v>
      </c>
      <c r="J97" s="112">
        <v>65.099999999999994</v>
      </c>
      <c r="K97" s="112">
        <v>72</v>
      </c>
      <c r="L97" s="112">
        <v>74</v>
      </c>
      <c r="M97" s="112">
        <v>83.8</v>
      </c>
      <c r="N97" s="112">
        <v>62.1</v>
      </c>
      <c r="O97" s="112">
        <v>67.3</v>
      </c>
      <c r="P97" s="112">
        <v>84.7</v>
      </c>
      <c r="Q97" s="112">
        <v>85</v>
      </c>
      <c r="R97" s="112">
        <v>75</v>
      </c>
      <c r="S97" s="112">
        <v>67.099999999999994</v>
      </c>
      <c r="T97" s="112">
        <v>77</v>
      </c>
      <c r="U97" s="112">
        <v>86.4</v>
      </c>
      <c r="V97" s="112">
        <v>76.3</v>
      </c>
      <c r="W97" s="112">
        <v>66.099999999999994</v>
      </c>
      <c r="X97" s="112">
        <v>61.3</v>
      </c>
      <c r="Y97" s="112">
        <v>72</v>
      </c>
      <c r="Z97" s="112">
        <v>77.2</v>
      </c>
      <c r="AA97" s="112">
        <v>94</v>
      </c>
      <c r="AB97" s="112">
        <v>89</v>
      </c>
      <c r="AC97" s="112">
        <v>83</v>
      </c>
      <c r="AD97" s="112">
        <v>68.3</v>
      </c>
      <c r="AE97" s="112">
        <v>43.3</v>
      </c>
      <c r="AF97" s="112">
        <v>0</v>
      </c>
      <c r="AG97" s="113">
        <v>120</v>
      </c>
      <c r="AH97" s="55">
        <f t="shared" si="37"/>
        <v>94</v>
      </c>
      <c r="AI97" s="108">
        <f t="shared" si="38"/>
        <v>0.8125</v>
      </c>
    </row>
    <row r="98" spans="1:37" x14ac:dyDescent="0.25">
      <c r="A98" s="111" t="s">
        <v>102</v>
      </c>
      <c r="B98" s="112">
        <v>56.5</v>
      </c>
      <c r="C98" s="112">
        <v>43.4</v>
      </c>
      <c r="D98" s="112">
        <v>58.3</v>
      </c>
      <c r="E98" s="112">
        <v>52</v>
      </c>
      <c r="F98" s="112"/>
      <c r="G98" s="112">
        <v>61</v>
      </c>
      <c r="H98" s="112">
        <v>30</v>
      </c>
      <c r="I98" s="112">
        <v>70</v>
      </c>
      <c r="J98" s="112">
        <v>63</v>
      </c>
      <c r="K98" s="112">
        <v>67</v>
      </c>
      <c r="L98" s="112">
        <v>69</v>
      </c>
      <c r="M98" s="112">
        <v>76.900000000000006</v>
      </c>
      <c r="N98" s="112">
        <v>72</v>
      </c>
      <c r="O98" s="112">
        <v>66.8</v>
      </c>
      <c r="P98" s="112">
        <v>82.7</v>
      </c>
      <c r="Q98" s="112">
        <v>84.2</v>
      </c>
      <c r="R98" s="112">
        <v>74.5</v>
      </c>
      <c r="S98" s="112">
        <v>65</v>
      </c>
      <c r="T98" s="112">
        <v>77</v>
      </c>
      <c r="U98" s="112">
        <v>86</v>
      </c>
      <c r="V98" s="112">
        <v>75.099999999999994</v>
      </c>
      <c r="W98" s="112">
        <v>59</v>
      </c>
      <c r="X98" s="112">
        <v>54</v>
      </c>
      <c r="Y98" s="112">
        <v>62</v>
      </c>
      <c r="Z98" s="112">
        <v>65</v>
      </c>
      <c r="AA98" s="112">
        <v>75</v>
      </c>
      <c r="AB98" s="112">
        <v>75</v>
      </c>
      <c r="AC98" s="112">
        <v>72</v>
      </c>
      <c r="AD98" s="112">
        <v>66.3</v>
      </c>
      <c r="AE98" s="112">
        <v>43.9</v>
      </c>
      <c r="AF98" s="112">
        <v>45.4</v>
      </c>
      <c r="AG98" s="113"/>
      <c r="AH98" s="55">
        <f t="shared" si="37"/>
        <v>86</v>
      </c>
      <c r="AI98" s="108">
        <f t="shared" si="38"/>
        <v>0.66666666666666696</v>
      </c>
    </row>
    <row r="99" spans="1:37" x14ac:dyDescent="0.25">
      <c r="A99" s="111" t="s">
        <v>248</v>
      </c>
      <c r="B99" s="112">
        <v>20.100000000000001</v>
      </c>
      <c r="C99" s="112">
        <v>73.2</v>
      </c>
      <c r="D99" s="112">
        <v>66.8</v>
      </c>
      <c r="E99" s="112">
        <v>44</v>
      </c>
      <c r="F99" s="112"/>
      <c r="G99" s="112">
        <v>80</v>
      </c>
      <c r="H99" s="112">
        <v>20</v>
      </c>
      <c r="I99" s="112">
        <v>56</v>
      </c>
      <c r="J99" s="112">
        <v>65</v>
      </c>
      <c r="K99" s="112">
        <v>48</v>
      </c>
      <c r="L99" s="112">
        <v>46</v>
      </c>
      <c r="M99" s="112">
        <v>18.3</v>
      </c>
      <c r="N99" s="112">
        <v>17.899999999999999</v>
      </c>
      <c r="O99" s="112">
        <v>17</v>
      </c>
      <c r="P99" s="112">
        <v>12.6</v>
      </c>
      <c r="Q99" s="112">
        <v>18.5</v>
      </c>
      <c r="R99" s="112">
        <v>20</v>
      </c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>
        <v>20</v>
      </c>
      <c r="AD99" s="112">
        <v>19.3</v>
      </c>
      <c r="AE99" s="112"/>
      <c r="AF99" s="112"/>
      <c r="AG99" s="114"/>
      <c r="AH99" s="55">
        <f t="shared" si="37"/>
        <v>80</v>
      </c>
      <c r="AI99" s="108">
        <f t="shared" si="38"/>
        <v>0.20833333333333301</v>
      </c>
    </row>
    <row r="100" spans="1:37" ht="15.75" thickBot="1" x14ac:dyDescent="0.3">
      <c r="A100" s="115" t="s">
        <v>104</v>
      </c>
      <c r="B100" s="95">
        <v>53.7</v>
      </c>
      <c r="C100" s="95">
        <v>24.9</v>
      </c>
      <c r="D100" s="95">
        <v>10.4</v>
      </c>
      <c r="E100" s="95">
        <v>-7.7</v>
      </c>
      <c r="F100" s="95"/>
      <c r="G100" s="95">
        <v>8</v>
      </c>
      <c r="H100" s="95">
        <v>-3</v>
      </c>
      <c r="I100" s="95">
        <v>-7.3</v>
      </c>
      <c r="J100" s="95">
        <v>-10</v>
      </c>
      <c r="K100" s="95">
        <v>-18</v>
      </c>
      <c r="L100" s="95">
        <v>-6</v>
      </c>
      <c r="M100" s="95">
        <v>-10.1</v>
      </c>
      <c r="N100" s="95">
        <v>-13.3</v>
      </c>
      <c r="O100" s="95">
        <v>-8.6999999999999993</v>
      </c>
      <c r="P100" s="95">
        <v>-12.3</v>
      </c>
      <c r="Q100" s="95">
        <v>-12.5</v>
      </c>
      <c r="R100" s="95">
        <v>-4.5</v>
      </c>
      <c r="S100" s="95">
        <v>-10</v>
      </c>
      <c r="T100" s="95">
        <v>1</v>
      </c>
      <c r="U100" s="95">
        <v>2.4</v>
      </c>
      <c r="V100" s="95">
        <v>1</v>
      </c>
      <c r="W100" s="95">
        <v>6</v>
      </c>
      <c r="X100" s="95">
        <v>18</v>
      </c>
      <c r="Y100" s="95">
        <v>17</v>
      </c>
      <c r="Z100" s="95">
        <v>28</v>
      </c>
      <c r="AA100" s="95">
        <v>45</v>
      </c>
      <c r="AB100" s="95">
        <v>32</v>
      </c>
      <c r="AC100" s="95">
        <v>30</v>
      </c>
      <c r="AD100" s="95">
        <v>19.2</v>
      </c>
      <c r="AE100" s="95">
        <v>28</v>
      </c>
      <c r="AF100" s="95">
        <v>23.3</v>
      </c>
      <c r="AG100" s="114"/>
      <c r="AH100" s="55">
        <f t="shared" si="37"/>
        <v>45</v>
      </c>
      <c r="AI100" s="108">
        <f t="shared" si="38"/>
        <v>0.8125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39">AF102</f>
        <v>9.9</v>
      </c>
      <c r="C102" s="54">
        <v>9.9</v>
      </c>
      <c r="D102" s="121">
        <f t="shared" ref="D102:S107" si="40">C102</f>
        <v>9.9</v>
      </c>
      <c r="E102" s="121">
        <f t="shared" si="40"/>
        <v>9.9</v>
      </c>
      <c r="F102" s="121">
        <f t="shared" si="40"/>
        <v>9.9</v>
      </c>
      <c r="G102" s="121">
        <f t="shared" si="40"/>
        <v>9.9</v>
      </c>
      <c r="H102" s="121">
        <f t="shared" si="40"/>
        <v>9.9</v>
      </c>
      <c r="I102" s="121">
        <f t="shared" si="40"/>
        <v>9.9</v>
      </c>
      <c r="J102" s="121">
        <f t="shared" si="40"/>
        <v>9.9</v>
      </c>
      <c r="K102" s="121">
        <f t="shared" si="40"/>
        <v>9.9</v>
      </c>
      <c r="L102" s="121">
        <f t="shared" si="40"/>
        <v>9.9</v>
      </c>
      <c r="M102" s="121">
        <f t="shared" si="40"/>
        <v>9.9</v>
      </c>
      <c r="N102" s="121">
        <f t="shared" si="40"/>
        <v>9.9</v>
      </c>
      <c r="O102" s="121">
        <f t="shared" si="40"/>
        <v>9.9</v>
      </c>
      <c r="P102" s="121">
        <f t="shared" si="40"/>
        <v>9.9</v>
      </c>
      <c r="Q102" s="121">
        <f t="shared" si="40"/>
        <v>9.9</v>
      </c>
      <c r="R102" s="121">
        <f t="shared" si="40"/>
        <v>9.9</v>
      </c>
      <c r="S102" s="121">
        <f t="shared" si="40"/>
        <v>9.9</v>
      </c>
      <c r="T102" s="121">
        <f t="shared" ref="T102:AF107" si="41">S102</f>
        <v>9.9</v>
      </c>
      <c r="U102" s="121">
        <f t="shared" si="41"/>
        <v>9.9</v>
      </c>
      <c r="V102" s="121">
        <f t="shared" si="41"/>
        <v>9.9</v>
      </c>
      <c r="W102" s="121">
        <f t="shared" si="41"/>
        <v>9.9</v>
      </c>
      <c r="X102" s="121">
        <f t="shared" si="41"/>
        <v>9.9</v>
      </c>
      <c r="Y102" s="121">
        <f t="shared" si="41"/>
        <v>9.9</v>
      </c>
      <c r="Z102" s="121">
        <f t="shared" si="41"/>
        <v>9.9</v>
      </c>
      <c r="AA102" s="121">
        <f t="shared" si="41"/>
        <v>9.9</v>
      </c>
      <c r="AB102" s="121">
        <f t="shared" si="41"/>
        <v>9.9</v>
      </c>
      <c r="AC102" s="121">
        <f t="shared" si="41"/>
        <v>9.9</v>
      </c>
      <c r="AD102" s="121">
        <f t="shared" si="41"/>
        <v>9.9</v>
      </c>
      <c r="AE102" s="121">
        <f t="shared" si="41"/>
        <v>9.9</v>
      </c>
      <c r="AF102" s="121">
        <f t="shared" si="41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39"/>
        <v>9.6</v>
      </c>
      <c r="C103" s="124">
        <v>9.6</v>
      </c>
      <c r="D103" s="123">
        <f t="shared" si="40"/>
        <v>9.6</v>
      </c>
      <c r="E103" s="123">
        <f t="shared" si="40"/>
        <v>9.6</v>
      </c>
      <c r="F103" s="123">
        <f t="shared" si="40"/>
        <v>9.6</v>
      </c>
      <c r="G103" s="123">
        <f t="shared" si="40"/>
        <v>9.6</v>
      </c>
      <c r="H103" s="123">
        <f t="shared" si="40"/>
        <v>9.6</v>
      </c>
      <c r="I103" s="123">
        <f t="shared" si="40"/>
        <v>9.6</v>
      </c>
      <c r="J103" s="123">
        <f t="shared" si="40"/>
        <v>9.6</v>
      </c>
      <c r="K103" s="123">
        <f t="shared" si="40"/>
        <v>9.6</v>
      </c>
      <c r="L103" s="123">
        <f t="shared" si="40"/>
        <v>9.6</v>
      </c>
      <c r="M103" s="123">
        <f t="shared" si="40"/>
        <v>9.6</v>
      </c>
      <c r="N103" s="123">
        <f t="shared" si="40"/>
        <v>9.6</v>
      </c>
      <c r="O103" s="123">
        <f t="shared" si="40"/>
        <v>9.6</v>
      </c>
      <c r="P103" s="123">
        <f t="shared" si="40"/>
        <v>9.6</v>
      </c>
      <c r="Q103" s="123">
        <f t="shared" si="40"/>
        <v>9.6</v>
      </c>
      <c r="R103" s="123">
        <f t="shared" si="40"/>
        <v>9.6</v>
      </c>
      <c r="S103" s="123">
        <f t="shared" si="40"/>
        <v>9.6</v>
      </c>
      <c r="T103" s="123">
        <f t="shared" si="41"/>
        <v>9.6</v>
      </c>
      <c r="U103" s="123">
        <f t="shared" si="41"/>
        <v>9.6</v>
      </c>
      <c r="V103" s="123">
        <f t="shared" si="41"/>
        <v>9.6</v>
      </c>
      <c r="W103" s="123">
        <f t="shared" si="41"/>
        <v>9.6</v>
      </c>
      <c r="X103" s="123">
        <f t="shared" si="41"/>
        <v>9.6</v>
      </c>
      <c r="Y103" s="123">
        <f t="shared" si="41"/>
        <v>9.6</v>
      </c>
      <c r="Z103" s="123">
        <f t="shared" si="41"/>
        <v>9.6</v>
      </c>
      <c r="AA103" s="123">
        <f t="shared" si="41"/>
        <v>9.6</v>
      </c>
      <c r="AB103" s="123">
        <f t="shared" si="41"/>
        <v>9.6</v>
      </c>
      <c r="AC103" s="123">
        <f t="shared" si="41"/>
        <v>9.6</v>
      </c>
      <c r="AD103" s="123">
        <f t="shared" si="41"/>
        <v>9.6</v>
      </c>
      <c r="AE103" s="123">
        <f t="shared" si="41"/>
        <v>9.6</v>
      </c>
      <c r="AF103" s="123">
        <f t="shared" si="41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39"/>
        <v>9.98</v>
      </c>
      <c r="C104" s="124">
        <v>9.98</v>
      </c>
      <c r="D104" s="123">
        <f t="shared" si="40"/>
        <v>9.98</v>
      </c>
      <c r="E104" s="123">
        <f t="shared" si="40"/>
        <v>9.98</v>
      </c>
      <c r="F104" s="123">
        <f t="shared" si="40"/>
        <v>9.98</v>
      </c>
      <c r="G104" s="123">
        <f t="shared" si="40"/>
        <v>9.98</v>
      </c>
      <c r="H104" s="123">
        <f t="shared" si="40"/>
        <v>9.98</v>
      </c>
      <c r="I104" s="123">
        <f t="shared" si="40"/>
        <v>9.98</v>
      </c>
      <c r="J104" s="123">
        <f t="shared" si="40"/>
        <v>9.98</v>
      </c>
      <c r="K104" s="123">
        <f t="shared" si="40"/>
        <v>9.98</v>
      </c>
      <c r="L104" s="123">
        <f t="shared" si="40"/>
        <v>9.98</v>
      </c>
      <c r="M104" s="123">
        <f t="shared" si="40"/>
        <v>9.98</v>
      </c>
      <c r="N104" s="123">
        <f t="shared" si="40"/>
        <v>9.98</v>
      </c>
      <c r="O104" s="123">
        <f t="shared" si="40"/>
        <v>9.98</v>
      </c>
      <c r="P104" s="123">
        <f t="shared" si="40"/>
        <v>9.98</v>
      </c>
      <c r="Q104" s="123">
        <f t="shared" si="40"/>
        <v>9.98</v>
      </c>
      <c r="R104" s="123">
        <f t="shared" si="40"/>
        <v>9.98</v>
      </c>
      <c r="S104" s="123">
        <f t="shared" si="40"/>
        <v>9.98</v>
      </c>
      <c r="T104" s="123">
        <f t="shared" si="41"/>
        <v>9.98</v>
      </c>
      <c r="U104" s="123">
        <f t="shared" si="41"/>
        <v>9.98</v>
      </c>
      <c r="V104" s="123">
        <f t="shared" si="41"/>
        <v>9.98</v>
      </c>
      <c r="W104" s="123">
        <f t="shared" si="41"/>
        <v>9.98</v>
      </c>
      <c r="X104" s="123">
        <f t="shared" si="41"/>
        <v>9.98</v>
      </c>
      <c r="Y104" s="123">
        <f t="shared" si="41"/>
        <v>9.98</v>
      </c>
      <c r="Z104" s="123">
        <f t="shared" si="41"/>
        <v>9.98</v>
      </c>
      <c r="AA104" s="123">
        <f t="shared" si="41"/>
        <v>9.98</v>
      </c>
      <c r="AB104" s="123">
        <f t="shared" si="41"/>
        <v>9.98</v>
      </c>
      <c r="AC104" s="123">
        <f t="shared" si="41"/>
        <v>9.98</v>
      </c>
      <c r="AD104" s="123">
        <f t="shared" si="41"/>
        <v>9.98</v>
      </c>
      <c r="AE104" s="123">
        <f t="shared" si="41"/>
        <v>9.98</v>
      </c>
      <c r="AF104" s="123">
        <f t="shared" si="41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39"/>
        <v>9.1</v>
      </c>
      <c r="C105" s="124">
        <v>9.1</v>
      </c>
      <c r="D105" s="123">
        <f t="shared" si="40"/>
        <v>9.1</v>
      </c>
      <c r="E105" s="123">
        <f t="shared" si="40"/>
        <v>9.1</v>
      </c>
      <c r="F105" s="123">
        <f t="shared" si="40"/>
        <v>9.1</v>
      </c>
      <c r="G105" s="123">
        <f t="shared" si="40"/>
        <v>9.1</v>
      </c>
      <c r="H105" s="123">
        <f t="shared" si="40"/>
        <v>9.1</v>
      </c>
      <c r="I105" s="123">
        <f t="shared" si="40"/>
        <v>9.1</v>
      </c>
      <c r="J105" s="123">
        <f t="shared" si="40"/>
        <v>9.1</v>
      </c>
      <c r="K105" s="123">
        <f t="shared" si="40"/>
        <v>9.1</v>
      </c>
      <c r="L105" s="123">
        <f t="shared" si="40"/>
        <v>9.1</v>
      </c>
      <c r="M105" s="123">
        <f t="shared" si="40"/>
        <v>9.1</v>
      </c>
      <c r="N105" s="123">
        <f t="shared" si="40"/>
        <v>9.1</v>
      </c>
      <c r="O105" s="123">
        <f t="shared" si="40"/>
        <v>9.1</v>
      </c>
      <c r="P105" s="123">
        <f t="shared" si="40"/>
        <v>9.1</v>
      </c>
      <c r="Q105" s="123">
        <f t="shared" si="40"/>
        <v>9.1</v>
      </c>
      <c r="R105" s="123">
        <f t="shared" si="40"/>
        <v>9.1</v>
      </c>
      <c r="S105" s="123">
        <f t="shared" si="40"/>
        <v>9.1</v>
      </c>
      <c r="T105" s="123">
        <f t="shared" si="41"/>
        <v>9.1</v>
      </c>
      <c r="U105" s="123">
        <f t="shared" si="41"/>
        <v>9.1</v>
      </c>
      <c r="V105" s="123">
        <f t="shared" si="41"/>
        <v>9.1</v>
      </c>
      <c r="W105" s="123">
        <f t="shared" si="41"/>
        <v>9.1</v>
      </c>
      <c r="X105" s="123">
        <f t="shared" si="41"/>
        <v>9.1</v>
      </c>
      <c r="Y105" s="123">
        <f t="shared" si="41"/>
        <v>9.1</v>
      </c>
      <c r="Z105" s="123">
        <f t="shared" si="41"/>
        <v>9.1</v>
      </c>
      <c r="AA105" s="123">
        <f t="shared" si="41"/>
        <v>9.1</v>
      </c>
      <c r="AB105" s="123">
        <f t="shared" si="41"/>
        <v>9.1</v>
      </c>
      <c r="AC105" s="123">
        <f t="shared" si="41"/>
        <v>9.1</v>
      </c>
      <c r="AD105" s="123">
        <f t="shared" si="41"/>
        <v>9.1</v>
      </c>
      <c r="AE105" s="123">
        <f t="shared" si="41"/>
        <v>9.1</v>
      </c>
      <c r="AF105" s="123">
        <f t="shared" si="41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39"/>
        <v>9.18</v>
      </c>
      <c r="C106" s="124">
        <v>9.18</v>
      </c>
      <c r="D106" s="123">
        <f t="shared" si="40"/>
        <v>9.18</v>
      </c>
      <c r="E106" s="123">
        <f t="shared" si="40"/>
        <v>9.18</v>
      </c>
      <c r="F106" s="123">
        <f t="shared" si="40"/>
        <v>9.18</v>
      </c>
      <c r="G106" s="123">
        <f t="shared" si="40"/>
        <v>9.18</v>
      </c>
      <c r="H106" s="123">
        <f t="shared" si="40"/>
        <v>9.18</v>
      </c>
      <c r="I106" s="123">
        <f t="shared" si="40"/>
        <v>9.18</v>
      </c>
      <c r="J106" s="123">
        <f t="shared" si="40"/>
        <v>9.18</v>
      </c>
      <c r="K106" s="123">
        <f t="shared" si="40"/>
        <v>9.18</v>
      </c>
      <c r="L106" s="123">
        <f t="shared" si="40"/>
        <v>9.18</v>
      </c>
      <c r="M106" s="123">
        <f t="shared" si="40"/>
        <v>9.18</v>
      </c>
      <c r="N106" s="123">
        <f t="shared" si="40"/>
        <v>9.18</v>
      </c>
      <c r="O106" s="123">
        <f t="shared" si="40"/>
        <v>9.18</v>
      </c>
      <c r="P106" s="123">
        <f t="shared" si="40"/>
        <v>9.18</v>
      </c>
      <c r="Q106" s="123">
        <f t="shared" si="40"/>
        <v>9.18</v>
      </c>
      <c r="R106" s="123">
        <f t="shared" si="40"/>
        <v>9.18</v>
      </c>
      <c r="S106" s="123">
        <f t="shared" si="40"/>
        <v>9.18</v>
      </c>
      <c r="T106" s="123">
        <f t="shared" si="41"/>
        <v>9.18</v>
      </c>
      <c r="U106" s="123">
        <f t="shared" si="41"/>
        <v>9.18</v>
      </c>
      <c r="V106" s="123">
        <f t="shared" si="41"/>
        <v>9.18</v>
      </c>
      <c r="W106" s="123">
        <f t="shared" si="41"/>
        <v>9.18</v>
      </c>
      <c r="X106" s="123">
        <f t="shared" si="41"/>
        <v>9.18</v>
      </c>
      <c r="Y106" s="123">
        <f t="shared" si="41"/>
        <v>9.18</v>
      </c>
      <c r="Z106" s="123">
        <f t="shared" si="41"/>
        <v>9.18</v>
      </c>
      <c r="AA106" s="123">
        <f t="shared" si="41"/>
        <v>9.18</v>
      </c>
      <c r="AB106" s="123">
        <f t="shared" si="41"/>
        <v>9.18</v>
      </c>
      <c r="AC106" s="123">
        <f t="shared" si="41"/>
        <v>9.18</v>
      </c>
      <c r="AD106" s="123">
        <f t="shared" si="41"/>
        <v>9.18</v>
      </c>
      <c r="AE106" s="123">
        <f t="shared" si="41"/>
        <v>9.18</v>
      </c>
      <c r="AF106" s="123">
        <f t="shared" si="41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39"/>
        <v>7</v>
      </c>
      <c r="C107" s="124">
        <v>7</v>
      </c>
      <c r="D107" s="123">
        <f t="shared" si="40"/>
        <v>7</v>
      </c>
      <c r="E107" s="123">
        <f t="shared" si="40"/>
        <v>7</v>
      </c>
      <c r="F107" s="123">
        <f t="shared" si="40"/>
        <v>7</v>
      </c>
      <c r="G107" s="123">
        <f t="shared" si="40"/>
        <v>7</v>
      </c>
      <c r="H107" s="123">
        <f t="shared" si="40"/>
        <v>7</v>
      </c>
      <c r="I107" s="123">
        <f t="shared" si="40"/>
        <v>7</v>
      </c>
      <c r="J107" s="123">
        <f t="shared" si="40"/>
        <v>7</v>
      </c>
      <c r="K107" s="123">
        <f t="shared" si="40"/>
        <v>7</v>
      </c>
      <c r="L107" s="123">
        <f t="shared" si="40"/>
        <v>7</v>
      </c>
      <c r="M107" s="123">
        <f t="shared" si="40"/>
        <v>7</v>
      </c>
      <c r="N107" s="123">
        <f t="shared" si="40"/>
        <v>7</v>
      </c>
      <c r="O107" s="123">
        <f t="shared" si="40"/>
        <v>7</v>
      </c>
      <c r="P107" s="123">
        <f t="shared" si="40"/>
        <v>7</v>
      </c>
      <c r="Q107" s="123">
        <f t="shared" si="40"/>
        <v>7</v>
      </c>
      <c r="R107" s="123">
        <f t="shared" si="40"/>
        <v>7</v>
      </c>
      <c r="S107" s="123">
        <f t="shared" si="40"/>
        <v>7</v>
      </c>
      <c r="T107" s="123">
        <f t="shared" si="41"/>
        <v>7</v>
      </c>
      <c r="U107" s="123">
        <f t="shared" si="41"/>
        <v>7</v>
      </c>
      <c r="V107" s="123">
        <f t="shared" si="41"/>
        <v>7</v>
      </c>
      <c r="W107" s="123">
        <f t="shared" si="41"/>
        <v>7</v>
      </c>
      <c r="X107" s="123">
        <f t="shared" si="41"/>
        <v>7</v>
      </c>
      <c r="Y107" s="123">
        <f t="shared" si="41"/>
        <v>7</v>
      </c>
      <c r="Z107" s="123">
        <f t="shared" si="41"/>
        <v>7</v>
      </c>
      <c r="AA107" s="123">
        <f t="shared" si="41"/>
        <v>7</v>
      </c>
      <c r="AB107" s="123">
        <f t="shared" si="41"/>
        <v>7</v>
      </c>
      <c r="AC107" s="123">
        <f t="shared" si="41"/>
        <v>7</v>
      </c>
      <c r="AD107" s="123">
        <f t="shared" si="41"/>
        <v>7</v>
      </c>
      <c r="AE107" s="123">
        <f t="shared" si="41"/>
        <v>7</v>
      </c>
      <c r="AF107" s="123">
        <f t="shared" si="41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2">C109</f>
        <v>2.25</v>
      </c>
      <c r="E109" s="123">
        <f t="shared" si="42"/>
        <v>2.25</v>
      </c>
      <c r="F109" s="123">
        <f t="shared" si="42"/>
        <v>2.25</v>
      </c>
      <c r="G109" s="123">
        <f t="shared" si="42"/>
        <v>2.25</v>
      </c>
      <c r="H109" s="123">
        <f t="shared" si="42"/>
        <v>2.25</v>
      </c>
      <c r="I109" s="123">
        <f t="shared" si="42"/>
        <v>2.25</v>
      </c>
      <c r="J109" s="123">
        <f t="shared" si="42"/>
        <v>2.25</v>
      </c>
      <c r="K109" s="123">
        <f t="shared" si="42"/>
        <v>2.25</v>
      </c>
      <c r="L109" s="123">
        <f t="shared" si="42"/>
        <v>2.25</v>
      </c>
      <c r="M109" s="123">
        <f t="shared" si="42"/>
        <v>2.25</v>
      </c>
      <c r="N109" s="123">
        <f t="shared" si="42"/>
        <v>2.25</v>
      </c>
      <c r="O109" s="123">
        <f t="shared" si="42"/>
        <v>2.25</v>
      </c>
      <c r="P109" s="123">
        <f t="shared" si="42"/>
        <v>2.25</v>
      </c>
      <c r="Q109" s="123">
        <f t="shared" si="42"/>
        <v>2.25</v>
      </c>
      <c r="R109" s="123">
        <f t="shared" si="42"/>
        <v>2.25</v>
      </c>
      <c r="S109" s="123">
        <f t="shared" si="42"/>
        <v>2.25</v>
      </c>
      <c r="T109" s="123">
        <f t="shared" ref="T109:AF110" si="43">S109</f>
        <v>2.25</v>
      </c>
      <c r="U109" s="123">
        <f t="shared" si="43"/>
        <v>2.25</v>
      </c>
      <c r="V109" s="123">
        <f t="shared" si="43"/>
        <v>2.25</v>
      </c>
      <c r="W109" s="123">
        <f t="shared" si="43"/>
        <v>2.25</v>
      </c>
      <c r="X109" s="123">
        <f t="shared" si="43"/>
        <v>2.25</v>
      </c>
      <c r="Y109" s="123">
        <f t="shared" si="43"/>
        <v>2.25</v>
      </c>
      <c r="Z109" s="123">
        <f t="shared" si="43"/>
        <v>2.25</v>
      </c>
      <c r="AA109" s="123">
        <f t="shared" si="43"/>
        <v>2.25</v>
      </c>
      <c r="AB109" s="123">
        <f t="shared" si="43"/>
        <v>2.25</v>
      </c>
      <c r="AC109" s="123">
        <f t="shared" si="43"/>
        <v>2.25</v>
      </c>
      <c r="AD109" s="123">
        <f t="shared" si="43"/>
        <v>2.25</v>
      </c>
      <c r="AE109" s="123">
        <f t="shared" si="43"/>
        <v>2.25</v>
      </c>
      <c r="AF109" s="123">
        <f t="shared" si="43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2"/>
        <v>1.64</v>
      </c>
      <c r="E110" s="123">
        <f t="shared" si="42"/>
        <v>1.64</v>
      </c>
      <c r="F110" s="123">
        <f t="shared" si="42"/>
        <v>1.64</v>
      </c>
      <c r="G110" s="123">
        <f t="shared" si="42"/>
        <v>1.64</v>
      </c>
      <c r="H110" s="123">
        <f t="shared" si="42"/>
        <v>1.64</v>
      </c>
      <c r="I110" s="123">
        <f t="shared" si="42"/>
        <v>1.64</v>
      </c>
      <c r="J110" s="123">
        <f t="shared" si="42"/>
        <v>1.64</v>
      </c>
      <c r="K110" s="123">
        <f t="shared" si="42"/>
        <v>1.64</v>
      </c>
      <c r="L110" s="123">
        <f t="shared" si="42"/>
        <v>1.64</v>
      </c>
      <c r="M110" s="123">
        <f t="shared" si="42"/>
        <v>1.64</v>
      </c>
      <c r="N110" s="123">
        <f t="shared" si="42"/>
        <v>1.64</v>
      </c>
      <c r="O110" s="123">
        <f t="shared" si="42"/>
        <v>1.64</v>
      </c>
      <c r="P110" s="123">
        <f t="shared" si="42"/>
        <v>1.64</v>
      </c>
      <c r="Q110" s="123">
        <f t="shared" si="42"/>
        <v>1.64</v>
      </c>
      <c r="R110" s="123">
        <f t="shared" si="42"/>
        <v>1.64</v>
      </c>
      <c r="S110" s="123">
        <f t="shared" si="42"/>
        <v>1.64</v>
      </c>
      <c r="T110" s="123">
        <f t="shared" si="43"/>
        <v>1.64</v>
      </c>
      <c r="U110" s="123">
        <f t="shared" si="43"/>
        <v>1.64</v>
      </c>
      <c r="V110" s="123">
        <f t="shared" si="43"/>
        <v>1.64</v>
      </c>
      <c r="W110" s="123">
        <f t="shared" si="43"/>
        <v>1.64</v>
      </c>
      <c r="X110" s="123">
        <f t="shared" si="43"/>
        <v>1.64</v>
      </c>
      <c r="Y110" s="123">
        <f t="shared" si="43"/>
        <v>1.64</v>
      </c>
      <c r="Z110" s="123">
        <f t="shared" si="43"/>
        <v>1.64</v>
      </c>
      <c r="AA110" s="123">
        <f t="shared" si="43"/>
        <v>1.64</v>
      </c>
      <c r="AB110" s="123">
        <f t="shared" si="43"/>
        <v>1.64</v>
      </c>
      <c r="AC110" s="123">
        <f t="shared" si="43"/>
        <v>1.64</v>
      </c>
      <c r="AD110" s="123">
        <f t="shared" si="43"/>
        <v>1.64</v>
      </c>
      <c r="AE110" s="123">
        <f t="shared" si="43"/>
        <v>1.64</v>
      </c>
      <c r="AF110" s="123">
        <f t="shared" si="43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4">AF112</f>
        <v>1.62</v>
      </c>
      <c r="C112" s="124">
        <v>1.62</v>
      </c>
      <c r="D112" s="123">
        <f t="shared" ref="D112:S119" si="45">C112</f>
        <v>1.62</v>
      </c>
      <c r="E112" s="123">
        <f t="shared" si="45"/>
        <v>1.62</v>
      </c>
      <c r="F112" s="123">
        <f t="shared" si="45"/>
        <v>1.62</v>
      </c>
      <c r="G112" s="123">
        <f t="shared" si="45"/>
        <v>1.62</v>
      </c>
      <c r="H112" s="123">
        <f t="shared" si="45"/>
        <v>1.62</v>
      </c>
      <c r="I112" s="123">
        <f t="shared" si="45"/>
        <v>1.62</v>
      </c>
      <c r="J112" s="123">
        <f t="shared" si="45"/>
        <v>1.62</v>
      </c>
      <c r="K112" s="123">
        <f t="shared" si="45"/>
        <v>1.62</v>
      </c>
      <c r="L112" s="123">
        <f t="shared" si="45"/>
        <v>1.62</v>
      </c>
      <c r="M112" s="123">
        <f t="shared" si="45"/>
        <v>1.62</v>
      </c>
      <c r="N112" s="123">
        <f t="shared" si="45"/>
        <v>1.62</v>
      </c>
      <c r="O112" s="123">
        <f t="shared" si="45"/>
        <v>1.62</v>
      </c>
      <c r="P112" s="123">
        <f t="shared" si="45"/>
        <v>1.62</v>
      </c>
      <c r="Q112" s="123">
        <f t="shared" si="45"/>
        <v>1.62</v>
      </c>
      <c r="R112" s="123">
        <f t="shared" si="45"/>
        <v>1.62</v>
      </c>
      <c r="S112" s="123">
        <f t="shared" si="45"/>
        <v>1.62</v>
      </c>
      <c r="T112" s="123">
        <f t="shared" ref="T112:AF127" si="46">S112</f>
        <v>1.62</v>
      </c>
      <c r="U112" s="123">
        <f t="shared" si="46"/>
        <v>1.62</v>
      </c>
      <c r="V112" s="123">
        <f t="shared" si="46"/>
        <v>1.62</v>
      </c>
      <c r="W112" s="123">
        <f t="shared" si="46"/>
        <v>1.62</v>
      </c>
      <c r="X112" s="123">
        <f t="shared" si="46"/>
        <v>1.62</v>
      </c>
      <c r="Y112" s="123">
        <f t="shared" si="46"/>
        <v>1.62</v>
      </c>
      <c r="Z112" s="123">
        <f t="shared" si="46"/>
        <v>1.62</v>
      </c>
      <c r="AA112" s="123">
        <f t="shared" si="46"/>
        <v>1.62</v>
      </c>
      <c r="AB112" s="123">
        <f t="shared" si="46"/>
        <v>1.62</v>
      </c>
      <c r="AC112" s="123">
        <f t="shared" si="46"/>
        <v>1.62</v>
      </c>
      <c r="AD112" s="123">
        <f t="shared" si="46"/>
        <v>1.62</v>
      </c>
      <c r="AE112" s="123">
        <f t="shared" si="46"/>
        <v>1.62</v>
      </c>
      <c r="AF112" s="123">
        <f t="shared" si="46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4"/>
        <v>8.36</v>
      </c>
      <c r="C113" s="124">
        <v>8.36</v>
      </c>
      <c r="D113" s="123">
        <f t="shared" si="45"/>
        <v>8.36</v>
      </c>
      <c r="E113" s="123">
        <f t="shared" si="45"/>
        <v>8.36</v>
      </c>
      <c r="F113" s="123">
        <f t="shared" si="45"/>
        <v>8.36</v>
      </c>
      <c r="G113" s="123">
        <f t="shared" si="45"/>
        <v>8.36</v>
      </c>
      <c r="H113" s="123">
        <f t="shared" si="45"/>
        <v>8.36</v>
      </c>
      <c r="I113" s="123">
        <f t="shared" si="45"/>
        <v>8.36</v>
      </c>
      <c r="J113" s="123">
        <f t="shared" si="45"/>
        <v>8.36</v>
      </c>
      <c r="K113" s="123">
        <f t="shared" si="45"/>
        <v>8.36</v>
      </c>
      <c r="L113" s="123">
        <f t="shared" si="45"/>
        <v>8.36</v>
      </c>
      <c r="M113" s="123">
        <f t="shared" si="45"/>
        <v>8.36</v>
      </c>
      <c r="N113" s="123">
        <f t="shared" si="45"/>
        <v>8.36</v>
      </c>
      <c r="O113" s="123">
        <f t="shared" si="45"/>
        <v>8.36</v>
      </c>
      <c r="P113" s="123">
        <f t="shared" si="45"/>
        <v>8.36</v>
      </c>
      <c r="Q113" s="123">
        <f t="shared" si="45"/>
        <v>8.36</v>
      </c>
      <c r="R113" s="123">
        <f t="shared" si="45"/>
        <v>8.36</v>
      </c>
      <c r="S113" s="123">
        <f t="shared" si="45"/>
        <v>8.36</v>
      </c>
      <c r="T113" s="123">
        <f t="shared" si="46"/>
        <v>8.36</v>
      </c>
      <c r="U113" s="123">
        <f t="shared" si="46"/>
        <v>8.36</v>
      </c>
      <c r="V113" s="123">
        <f t="shared" si="46"/>
        <v>8.36</v>
      </c>
      <c r="W113" s="123">
        <f t="shared" si="46"/>
        <v>8.36</v>
      </c>
      <c r="X113" s="123">
        <f t="shared" si="46"/>
        <v>8.36</v>
      </c>
      <c r="Y113" s="123">
        <f t="shared" si="46"/>
        <v>8.36</v>
      </c>
      <c r="Z113" s="123">
        <f t="shared" si="46"/>
        <v>8.36</v>
      </c>
      <c r="AA113" s="123">
        <f t="shared" si="46"/>
        <v>8.36</v>
      </c>
      <c r="AB113" s="123">
        <f t="shared" si="46"/>
        <v>8.36</v>
      </c>
      <c r="AC113" s="123">
        <f t="shared" si="46"/>
        <v>8.36</v>
      </c>
      <c r="AD113" s="123">
        <f t="shared" si="46"/>
        <v>8.36</v>
      </c>
      <c r="AE113" s="123">
        <f t="shared" si="46"/>
        <v>8.36</v>
      </c>
      <c r="AF113" s="123">
        <f t="shared" si="46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4"/>
        <v>5.4</v>
      </c>
      <c r="C114" s="124">
        <v>8</v>
      </c>
      <c r="D114" s="123">
        <f t="shared" si="45"/>
        <v>8</v>
      </c>
      <c r="E114" s="123">
        <f t="shared" si="45"/>
        <v>8</v>
      </c>
      <c r="F114" s="123">
        <f t="shared" si="45"/>
        <v>8</v>
      </c>
      <c r="G114" s="123">
        <f t="shared" si="45"/>
        <v>8</v>
      </c>
      <c r="H114" s="123">
        <f t="shared" si="45"/>
        <v>8</v>
      </c>
      <c r="I114" s="123">
        <f t="shared" si="45"/>
        <v>8</v>
      </c>
      <c r="J114" s="123">
        <v>5.4</v>
      </c>
      <c r="K114" s="123">
        <f t="shared" si="45"/>
        <v>5.4</v>
      </c>
      <c r="L114" s="123">
        <f t="shared" si="45"/>
        <v>5.4</v>
      </c>
      <c r="M114" s="123">
        <f t="shared" si="45"/>
        <v>5.4</v>
      </c>
      <c r="N114" s="123">
        <f t="shared" si="45"/>
        <v>5.4</v>
      </c>
      <c r="O114" s="123">
        <f t="shared" si="45"/>
        <v>5.4</v>
      </c>
      <c r="P114" s="123">
        <f t="shared" si="45"/>
        <v>5.4</v>
      </c>
      <c r="Q114" s="123">
        <f t="shared" si="45"/>
        <v>5.4</v>
      </c>
      <c r="R114" s="123">
        <f t="shared" si="45"/>
        <v>5.4</v>
      </c>
      <c r="S114" s="123">
        <f t="shared" si="45"/>
        <v>5.4</v>
      </c>
      <c r="T114" s="123">
        <f t="shared" si="46"/>
        <v>5.4</v>
      </c>
      <c r="U114" s="123">
        <f t="shared" si="46"/>
        <v>5.4</v>
      </c>
      <c r="V114" s="123">
        <f t="shared" si="46"/>
        <v>5.4</v>
      </c>
      <c r="W114" s="123">
        <f t="shared" si="46"/>
        <v>5.4</v>
      </c>
      <c r="X114" s="123">
        <f t="shared" si="46"/>
        <v>5.4</v>
      </c>
      <c r="Y114" s="123">
        <f t="shared" si="46"/>
        <v>5.4</v>
      </c>
      <c r="Z114" s="123">
        <f t="shared" si="46"/>
        <v>5.4</v>
      </c>
      <c r="AA114" s="123">
        <f t="shared" si="46"/>
        <v>5.4</v>
      </c>
      <c r="AB114" s="123">
        <f t="shared" si="46"/>
        <v>5.4</v>
      </c>
      <c r="AC114" s="123">
        <f t="shared" si="46"/>
        <v>5.4</v>
      </c>
      <c r="AD114" s="123">
        <f t="shared" si="46"/>
        <v>5.4</v>
      </c>
      <c r="AE114" s="123">
        <f t="shared" si="46"/>
        <v>5.4</v>
      </c>
      <c r="AF114" s="123">
        <f t="shared" si="46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4"/>
        <v>6.57</v>
      </c>
      <c r="C115" s="124">
        <v>6.57</v>
      </c>
      <c r="D115" s="123">
        <f t="shared" si="45"/>
        <v>6.57</v>
      </c>
      <c r="E115" s="123">
        <f t="shared" si="45"/>
        <v>6.57</v>
      </c>
      <c r="F115" s="123">
        <f t="shared" si="45"/>
        <v>6.57</v>
      </c>
      <c r="G115" s="123">
        <f t="shared" si="45"/>
        <v>6.57</v>
      </c>
      <c r="H115" s="123">
        <f t="shared" si="45"/>
        <v>6.57</v>
      </c>
      <c r="I115" s="123">
        <f t="shared" si="45"/>
        <v>6.57</v>
      </c>
      <c r="J115" s="123">
        <f t="shared" si="45"/>
        <v>6.57</v>
      </c>
      <c r="K115" s="123">
        <f t="shared" si="45"/>
        <v>6.57</v>
      </c>
      <c r="L115" s="123">
        <f t="shared" si="45"/>
        <v>6.57</v>
      </c>
      <c r="M115" s="123">
        <f t="shared" si="45"/>
        <v>6.57</v>
      </c>
      <c r="N115" s="123">
        <f t="shared" si="45"/>
        <v>6.57</v>
      </c>
      <c r="O115" s="123">
        <f t="shared" si="45"/>
        <v>6.57</v>
      </c>
      <c r="P115" s="123">
        <f t="shared" si="45"/>
        <v>6.57</v>
      </c>
      <c r="Q115" s="123">
        <f t="shared" si="45"/>
        <v>6.57</v>
      </c>
      <c r="R115" s="123">
        <f t="shared" si="45"/>
        <v>6.57</v>
      </c>
      <c r="S115" s="123">
        <f t="shared" si="45"/>
        <v>6.57</v>
      </c>
      <c r="T115" s="123">
        <f t="shared" si="46"/>
        <v>6.57</v>
      </c>
      <c r="U115" s="123">
        <f t="shared" si="46"/>
        <v>6.57</v>
      </c>
      <c r="V115" s="123">
        <f t="shared" si="46"/>
        <v>6.57</v>
      </c>
      <c r="W115" s="123">
        <f t="shared" si="46"/>
        <v>6.57</v>
      </c>
      <c r="X115" s="123">
        <f t="shared" si="46"/>
        <v>6.57</v>
      </c>
      <c r="Y115" s="123">
        <f t="shared" si="46"/>
        <v>6.57</v>
      </c>
      <c r="Z115" s="123">
        <f t="shared" si="46"/>
        <v>6.57</v>
      </c>
      <c r="AA115" s="123">
        <f t="shared" si="46"/>
        <v>6.57</v>
      </c>
      <c r="AB115" s="123">
        <f t="shared" si="46"/>
        <v>6.57</v>
      </c>
      <c r="AC115" s="123">
        <f t="shared" si="46"/>
        <v>6.57</v>
      </c>
      <c r="AD115" s="123">
        <f t="shared" si="46"/>
        <v>6.57</v>
      </c>
      <c r="AE115" s="123">
        <f t="shared" si="46"/>
        <v>6.57</v>
      </c>
      <c r="AF115" s="123">
        <f t="shared" si="46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4"/>
        <v>3.43</v>
      </c>
      <c r="C116" s="124">
        <v>3.43</v>
      </c>
      <c r="D116" s="123">
        <f t="shared" si="45"/>
        <v>3.43</v>
      </c>
      <c r="E116" s="123">
        <f t="shared" si="45"/>
        <v>3.43</v>
      </c>
      <c r="F116" s="123">
        <f t="shared" si="45"/>
        <v>3.43</v>
      </c>
      <c r="G116" s="123">
        <f t="shared" si="45"/>
        <v>3.43</v>
      </c>
      <c r="H116" s="123">
        <f t="shared" si="45"/>
        <v>3.43</v>
      </c>
      <c r="I116" s="123">
        <f t="shared" si="45"/>
        <v>3.43</v>
      </c>
      <c r="J116" s="123">
        <f t="shared" si="45"/>
        <v>3.43</v>
      </c>
      <c r="K116" s="123">
        <f t="shared" si="45"/>
        <v>3.43</v>
      </c>
      <c r="L116" s="123">
        <f t="shared" si="45"/>
        <v>3.43</v>
      </c>
      <c r="M116" s="123">
        <f t="shared" si="45"/>
        <v>3.43</v>
      </c>
      <c r="N116" s="123">
        <f t="shared" si="45"/>
        <v>3.43</v>
      </c>
      <c r="O116" s="123">
        <f t="shared" si="45"/>
        <v>3.43</v>
      </c>
      <c r="P116" s="123">
        <f t="shared" si="45"/>
        <v>3.43</v>
      </c>
      <c r="Q116" s="123">
        <f t="shared" si="45"/>
        <v>3.43</v>
      </c>
      <c r="R116" s="123">
        <f t="shared" si="45"/>
        <v>3.43</v>
      </c>
      <c r="S116" s="123">
        <f t="shared" si="45"/>
        <v>3.43</v>
      </c>
      <c r="T116" s="123">
        <f t="shared" si="46"/>
        <v>3.43</v>
      </c>
      <c r="U116" s="123">
        <f t="shared" si="46"/>
        <v>3.43</v>
      </c>
      <c r="V116" s="123">
        <f t="shared" si="46"/>
        <v>3.43</v>
      </c>
      <c r="W116" s="123">
        <f t="shared" si="46"/>
        <v>3.43</v>
      </c>
      <c r="X116" s="123">
        <f t="shared" si="46"/>
        <v>3.43</v>
      </c>
      <c r="Y116" s="123">
        <f t="shared" si="46"/>
        <v>3.43</v>
      </c>
      <c r="Z116" s="123">
        <f t="shared" si="46"/>
        <v>3.43</v>
      </c>
      <c r="AA116" s="123">
        <f t="shared" si="46"/>
        <v>3.43</v>
      </c>
      <c r="AB116" s="123">
        <f t="shared" si="46"/>
        <v>3.43</v>
      </c>
      <c r="AC116" s="123">
        <f t="shared" si="46"/>
        <v>3.43</v>
      </c>
      <c r="AD116" s="123">
        <f t="shared" si="46"/>
        <v>3.43</v>
      </c>
      <c r="AE116" s="123">
        <f t="shared" si="46"/>
        <v>3.43</v>
      </c>
      <c r="AF116" s="123">
        <f t="shared" si="46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4"/>
        <v>2.96</v>
      </c>
      <c r="C117" s="124">
        <v>2.96</v>
      </c>
      <c r="D117" s="123">
        <f t="shared" si="45"/>
        <v>2.96</v>
      </c>
      <c r="E117" s="123">
        <f t="shared" si="45"/>
        <v>2.96</v>
      </c>
      <c r="F117" s="123">
        <f t="shared" si="45"/>
        <v>2.96</v>
      </c>
      <c r="G117" s="123">
        <f t="shared" si="45"/>
        <v>2.96</v>
      </c>
      <c r="H117" s="123">
        <f t="shared" si="45"/>
        <v>2.96</v>
      </c>
      <c r="I117" s="123">
        <f t="shared" si="45"/>
        <v>2.96</v>
      </c>
      <c r="J117" s="123">
        <f t="shared" si="45"/>
        <v>2.96</v>
      </c>
      <c r="K117" s="123">
        <f t="shared" si="45"/>
        <v>2.96</v>
      </c>
      <c r="L117" s="123">
        <f t="shared" si="45"/>
        <v>2.96</v>
      </c>
      <c r="M117" s="123">
        <f t="shared" si="45"/>
        <v>2.96</v>
      </c>
      <c r="N117" s="123">
        <f t="shared" si="45"/>
        <v>2.96</v>
      </c>
      <c r="O117" s="123">
        <f t="shared" si="45"/>
        <v>2.96</v>
      </c>
      <c r="P117" s="123">
        <f t="shared" si="45"/>
        <v>2.96</v>
      </c>
      <c r="Q117" s="123">
        <f t="shared" si="45"/>
        <v>2.96</v>
      </c>
      <c r="R117" s="123">
        <f t="shared" si="45"/>
        <v>2.96</v>
      </c>
      <c r="S117" s="123">
        <f t="shared" si="45"/>
        <v>2.96</v>
      </c>
      <c r="T117" s="123">
        <f t="shared" si="46"/>
        <v>2.96</v>
      </c>
      <c r="U117" s="123">
        <f t="shared" si="46"/>
        <v>2.96</v>
      </c>
      <c r="V117" s="123">
        <f t="shared" si="46"/>
        <v>2.96</v>
      </c>
      <c r="W117" s="123">
        <f t="shared" si="46"/>
        <v>2.96</v>
      </c>
      <c r="X117" s="123">
        <f t="shared" si="46"/>
        <v>2.96</v>
      </c>
      <c r="Y117" s="123">
        <f t="shared" si="46"/>
        <v>2.96</v>
      </c>
      <c r="Z117" s="123">
        <f t="shared" si="46"/>
        <v>2.96</v>
      </c>
      <c r="AA117" s="123">
        <f t="shared" si="46"/>
        <v>2.96</v>
      </c>
      <c r="AB117" s="123">
        <f t="shared" si="46"/>
        <v>2.96</v>
      </c>
      <c r="AC117" s="123">
        <f t="shared" si="46"/>
        <v>2.96</v>
      </c>
      <c r="AD117" s="123">
        <f t="shared" si="46"/>
        <v>2.96</v>
      </c>
      <c r="AE117" s="123">
        <f t="shared" si="46"/>
        <v>2.96</v>
      </c>
      <c r="AF117" s="123">
        <f t="shared" si="46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4"/>
        <v>8</v>
      </c>
      <c r="C118" s="124">
        <v>8</v>
      </c>
      <c r="D118" s="123">
        <f t="shared" si="45"/>
        <v>8</v>
      </c>
      <c r="E118" s="123">
        <f t="shared" si="45"/>
        <v>8</v>
      </c>
      <c r="F118" s="123">
        <f t="shared" si="45"/>
        <v>8</v>
      </c>
      <c r="G118" s="123">
        <f t="shared" si="45"/>
        <v>8</v>
      </c>
      <c r="H118" s="123">
        <f t="shared" si="45"/>
        <v>8</v>
      </c>
      <c r="I118" s="123">
        <f t="shared" si="45"/>
        <v>8</v>
      </c>
      <c r="J118" s="123">
        <f t="shared" si="45"/>
        <v>8</v>
      </c>
      <c r="K118" s="123">
        <f t="shared" si="45"/>
        <v>8</v>
      </c>
      <c r="L118" s="123">
        <f t="shared" si="45"/>
        <v>8</v>
      </c>
      <c r="M118" s="123">
        <f t="shared" si="45"/>
        <v>8</v>
      </c>
      <c r="N118" s="123">
        <f t="shared" si="45"/>
        <v>8</v>
      </c>
      <c r="O118" s="123">
        <f t="shared" si="45"/>
        <v>8</v>
      </c>
      <c r="P118" s="123">
        <f t="shared" si="45"/>
        <v>8</v>
      </c>
      <c r="Q118" s="123">
        <f t="shared" si="45"/>
        <v>8</v>
      </c>
      <c r="R118" s="123">
        <f t="shared" si="45"/>
        <v>8</v>
      </c>
      <c r="S118" s="123">
        <f t="shared" si="45"/>
        <v>8</v>
      </c>
      <c r="T118" s="123">
        <f t="shared" si="46"/>
        <v>8</v>
      </c>
      <c r="U118" s="123">
        <f t="shared" si="46"/>
        <v>8</v>
      </c>
      <c r="V118" s="123">
        <f t="shared" si="46"/>
        <v>8</v>
      </c>
      <c r="W118" s="123">
        <f t="shared" si="46"/>
        <v>8</v>
      </c>
      <c r="X118" s="123">
        <f t="shared" si="46"/>
        <v>8</v>
      </c>
      <c r="Y118" s="123">
        <f t="shared" si="46"/>
        <v>8</v>
      </c>
      <c r="Z118" s="123">
        <f t="shared" si="46"/>
        <v>8</v>
      </c>
      <c r="AA118" s="123">
        <f t="shared" si="46"/>
        <v>8</v>
      </c>
      <c r="AB118" s="123">
        <f t="shared" si="46"/>
        <v>8</v>
      </c>
      <c r="AC118" s="123">
        <f t="shared" si="46"/>
        <v>8</v>
      </c>
      <c r="AD118" s="123">
        <f t="shared" si="46"/>
        <v>8</v>
      </c>
      <c r="AE118" s="123">
        <f t="shared" si="46"/>
        <v>8</v>
      </c>
      <c r="AF118" s="123">
        <f t="shared" si="46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4"/>
        <v>7</v>
      </c>
      <c r="C119" s="124">
        <v>7</v>
      </c>
      <c r="D119" s="123">
        <f>C119</f>
        <v>7</v>
      </c>
      <c r="E119" s="123">
        <f t="shared" si="45"/>
        <v>7</v>
      </c>
      <c r="F119" s="123">
        <f t="shared" si="45"/>
        <v>7</v>
      </c>
      <c r="G119" s="123">
        <f t="shared" si="45"/>
        <v>7</v>
      </c>
      <c r="H119" s="123">
        <f t="shared" si="45"/>
        <v>7</v>
      </c>
      <c r="I119" s="123">
        <f t="shared" si="45"/>
        <v>7</v>
      </c>
      <c r="J119" s="123">
        <f t="shared" si="45"/>
        <v>7</v>
      </c>
      <c r="K119" s="123">
        <f t="shared" si="45"/>
        <v>7</v>
      </c>
      <c r="L119" s="123">
        <f t="shared" si="45"/>
        <v>7</v>
      </c>
      <c r="M119" s="123">
        <f t="shared" si="45"/>
        <v>7</v>
      </c>
      <c r="N119" s="123">
        <f t="shared" si="45"/>
        <v>7</v>
      </c>
      <c r="O119" s="123">
        <f t="shared" si="45"/>
        <v>7</v>
      </c>
      <c r="P119" s="123">
        <f t="shared" si="45"/>
        <v>7</v>
      </c>
      <c r="Q119" s="123">
        <f t="shared" si="45"/>
        <v>7</v>
      </c>
      <c r="R119" s="123">
        <f t="shared" si="45"/>
        <v>7</v>
      </c>
      <c r="S119" s="123">
        <f t="shared" si="45"/>
        <v>7</v>
      </c>
      <c r="T119" s="123">
        <f t="shared" si="46"/>
        <v>7</v>
      </c>
      <c r="U119" s="123">
        <f t="shared" si="46"/>
        <v>7</v>
      </c>
      <c r="V119" s="123">
        <f t="shared" si="46"/>
        <v>7</v>
      </c>
      <c r="W119" s="123">
        <f t="shared" si="46"/>
        <v>7</v>
      </c>
      <c r="X119" s="123">
        <f t="shared" si="46"/>
        <v>7</v>
      </c>
      <c r="Y119" s="123">
        <f t="shared" si="46"/>
        <v>7</v>
      </c>
      <c r="Z119" s="123">
        <f t="shared" si="46"/>
        <v>7</v>
      </c>
      <c r="AA119" s="123">
        <f t="shared" si="46"/>
        <v>7</v>
      </c>
      <c r="AB119" s="123">
        <f t="shared" si="46"/>
        <v>7</v>
      </c>
      <c r="AC119" s="123">
        <f t="shared" si="46"/>
        <v>7</v>
      </c>
      <c r="AD119" s="123">
        <f t="shared" si="46"/>
        <v>7</v>
      </c>
      <c r="AE119" s="123">
        <f t="shared" si="46"/>
        <v>7</v>
      </c>
      <c r="AF119" s="123">
        <f t="shared" si="46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4"/>
        <v>3.47</v>
      </c>
      <c r="C120" s="124">
        <v>3.47</v>
      </c>
      <c r="D120" s="123">
        <f t="shared" ref="D120:S129" si="47">C120</f>
        <v>3.47</v>
      </c>
      <c r="E120" s="123">
        <f t="shared" si="47"/>
        <v>3.47</v>
      </c>
      <c r="F120" s="123">
        <f t="shared" si="47"/>
        <v>3.47</v>
      </c>
      <c r="G120" s="123">
        <f t="shared" si="47"/>
        <v>3.47</v>
      </c>
      <c r="H120" s="123">
        <f t="shared" si="47"/>
        <v>3.47</v>
      </c>
      <c r="I120" s="123">
        <f t="shared" si="47"/>
        <v>3.47</v>
      </c>
      <c r="J120" s="123">
        <f t="shared" si="47"/>
        <v>3.47</v>
      </c>
      <c r="K120" s="123">
        <f t="shared" si="47"/>
        <v>3.47</v>
      </c>
      <c r="L120" s="123">
        <f t="shared" si="47"/>
        <v>3.47</v>
      </c>
      <c r="M120" s="123">
        <f t="shared" si="47"/>
        <v>3.47</v>
      </c>
      <c r="N120" s="123">
        <f t="shared" si="47"/>
        <v>3.47</v>
      </c>
      <c r="O120" s="123">
        <f t="shared" si="47"/>
        <v>3.47</v>
      </c>
      <c r="P120" s="123">
        <f t="shared" si="47"/>
        <v>3.47</v>
      </c>
      <c r="Q120" s="123">
        <f t="shared" si="47"/>
        <v>3.47</v>
      </c>
      <c r="R120" s="123">
        <f t="shared" si="47"/>
        <v>3.47</v>
      </c>
      <c r="S120" s="123">
        <f t="shared" si="47"/>
        <v>3.47</v>
      </c>
      <c r="T120" s="123">
        <f t="shared" si="46"/>
        <v>3.47</v>
      </c>
      <c r="U120" s="123">
        <f t="shared" si="46"/>
        <v>3.47</v>
      </c>
      <c r="V120" s="123">
        <f t="shared" si="46"/>
        <v>3.47</v>
      </c>
      <c r="W120" s="123">
        <f t="shared" si="46"/>
        <v>3.47</v>
      </c>
      <c r="X120" s="123">
        <f t="shared" si="46"/>
        <v>3.47</v>
      </c>
      <c r="Y120" s="123">
        <f t="shared" si="46"/>
        <v>3.47</v>
      </c>
      <c r="Z120" s="123">
        <f t="shared" si="46"/>
        <v>3.47</v>
      </c>
      <c r="AA120" s="123">
        <f t="shared" si="46"/>
        <v>3.47</v>
      </c>
      <c r="AB120" s="123">
        <f t="shared" si="46"/>
        <v>3.47</v>
      </c>
      <c r="AC120" s="123">
        <f t="shared" si="46"/>
        <v>3.47</v>
      </c>
      <c r="AD120" s="123">
        <f t="shared" si="46"/>
        <v>3.47</v>
      </c>
      <c r="AE120" s="123">
        <f t="shared" si="46"/>
        <v>3.47</v>
      </c>
      <c r="AF120" s="123">
        <f t="shared" si="46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4"/>
        <v>2.1</v>
      </c>
      <c r="C121" s="124">
        <v>2.1</v>
      </c>
      <c r="D121" s="123">
        <f t="shared" si="47"/>
        <v>2.1</v>
      </c>
      <c r="E121" s="123">
        <f t="shared" si="47"/>
        <v>2.1</v>
      </c>
      <c r="F121" s="123">
        <f t="shared" si="47"/>
        <v>2.1</v>
      </c>
      <c r="G121" s="123">
        <f t="shared" si="47"/>
        <v>2.1</v>
      </c>
      <c r="H121" s="123">
        <f t="shared" si="47"/>
        <v>2.1</v>
      </c>
      <c r="I121" s="123">
        <f t="shared" si="47"/>
        <v>2.1</v>
      </c>
      <c r="J121" s="123">
        <f t="shared" si="47"/>
        <v>2.1</v>
      </c>
      <c r="K121" s="123">
        <f t="shared" si="47"/>
        <v>2.1</v>
      </c>
      <c r="L121" s="123">
        <f t="shared" si="47"/>
        <v>2.1</v>
      </c>
      <c r="M121" s="123">
        <f t="shared" si="47"/>
        <v>2.1</v>
      </c>
      <c r="N121" s="123">
        <f t="shared" si="47"/>
        <v>2.1</v>
      </c>
      <c r="O121" s="123">
        <f t="shared" si="47"/>
        <v>2.1</v>
      </c>
      <c r="P121" s="123">
        <f t="shared" si="47"/>
        <v>2.1</v>
      </c>
      <c r="Q121" s="123">
        <f t="shared" si="47"/>
        <v>2.1</v>
      </c>
      <c r="R121" s="123">
        <f t="shared" si="47"/>
        <v>2.1</v>
      </c>
      <c r="S121" s="123">
        <f t="shared" si="47"/>
        <v>2.1</v>
      </c>
      <c r="T121" s="123">
        <f t="shared" si="46"/>
        <v>2.1</v>
      </c>
      <c r="U121" s="123">
        <f t="shared" si="46"/>
        <v>2.1</v>
      </c>
      <c r="V121" s="123">
        <f t="shared" si="46"/>
        <v>2.1</v>
      </c>
      <c r="W121" s="123">
        <f t="shared" si="46"/>
        <v>2.1</v>
      </c>
      <c r="X121" s="123">
        <f t="shared" si="46"/>
        <v>2.1</v>
      </c>
      <c r="Y121" s="123">
        <f t="shared" si="46"/>
        <v>2.1</v>
      </c>
      <c r="Z121" s="123">
        <f t="shared" si="46"/>
        <v>2.1</v>
      </c>
      <c r="AA121" s="123">
        <f t="shared" si="46"/>
        <v>2.1</v>
      </c>
      <c r="AB121" s="123">
        <f t="shared" si="46"/>
        <v>2.1</v>
      </c>
      <c r="AC121" s="123">
        <f t="shared" si="46"/>
        <v>2.1</v>
      </c>
      <c r="AD121" s="123">
        <f t="shared" si="46"/>
        <v>2.1</v>
      </c>
      <c r="AE121" s="123">
        <f t="shared" si="46"/>
        <v>2.1</v>
      </c>
      <c r="AF121" s="123">
        <f t="shared" si="46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4"/>
        <v>9.3000000000000007</v>
      </c>
      <c r="C122" s="124">
        <v>9.3000000000000007</v>
      </c>
      <c r="D122" s="123">
        <f t="shared" si="47"/>
        <v>9.3000000000000007</v>
      </c>
      <c r="E122" s="123">
        <f t="shared" si="47"/>
        <v>9.3000000000000007</v>
      </c>
      <c r="F122" s="123">
        <f t="shared" si="47"/>
        <v>9.3000000000000007</v>
      </c>
      <c r="G122" s="123">
        <f t="shared" si="47"/>
        <v>9.3000000000000007</v>
      </c>
      <c r="H122" s="123">
        <f t="shared" si="47"/>
        <v>9.3000000000000007</v>
      </c>
      <c r="I122" s="123">
        <f t="shared" si="47"/>
        <v>9.3000000000000007</v>
      </c>
      <c r="J122" s="123">
        <f t="shared" si="47"/>
        <v>9.3000000000000007</v>
      </c>
      <c r="K122" s="123">
        <f t="shared" si="47"/>
        <v>9.3000000000000007</v>
      </c>
      <c r="L122" s="123">
        <f t="shared" si="47"/>
        <v>9.3000000000000007</v>
      </c>
      <c r="M122" s="123">
        <f t="shared" si="47"/>
        <v>9.3000000000000007</v>
      </c>
      <c r="N122" s="123">
        <f t="shared" si="47"/>
        <v>9.3000000000000007</v>
      </c>
      <c r="O122" s="123">
        <f t="shared" si="47"/>
        <v>9.3000000000000007</v>
      </c>
      <c r="P122" s="123">
        <f t="shared" si="47"/>
        <v>9.3000000000000007</v>
      </c>
      <c r="Q122" s="123">
        <f t="shared" si="47"/>
        <v>9.3000000000000007</v>
      </c>
      <c r="R122" s="123">
        <f t="shared" si="47"/>
        <v>9.3000000000000007</v>
      </c>
      <c r="S122" s="123">
        <f t="shared" si="47"/>
        <v>9.3000000000000007</v>
      </c>
      <c r="T122" s="123">
        <f t="shared" si="46"/>
        <v>9.3000000000000007</v>
      </c>
      <c r="U122" s="123">
        <f t="shared" si="46"/>
        <v>9.3000000000000007</v>
      </c>
      <c r="V122" s="123">
        <f t="shared" si="46"/>
        <v>9.3000000000000007</v>
      </c>
      <c r="W122" s="123">
        <f t="shared" si="46"/>
        <v>9.3000000000000007</v>
      </c>
      <c r="X122" s="123">
        <f t="shared" si="46"/>
        <v>9.3000000000000007</v>
      </c>
      <c r="Y122" s="123">
        <f t="shared" si="46"/>
        <v>9.3000000000000007</v>
      </c>
      <c r="Z122" s="123">
        <f t="shared" si="46"/>
        <v>9.3000000000000007</v>
      </c>
      <c r="AA122" s="123">
        <f t="shared" si="46"/>
        <v>9.3000000000000007</v>
      </c>
      <c r="AB122" s="123">
        <f t="shared" si="46"/>
        <v>9.3000000000000007</v>
      </c>
      <c r="AC122" s="123">
        <f t="shared" si="46"/>
        <v>9.3000000000000007</v>
      </c>
      <c r="AD122" s="123">
        <f t="shared" si="46"/>
        <v>9.3000000000000007</v>
      </c>
      <c r="AE122" s="123">
        <f t="shared" si="46"/>
        <v>9.3000000000000007</v>
      </c>
      <c r="AF122" s="123">
        <f t="shared" si="46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4"/>
        <v>0</v>
      </c>
      <c r="C123" s="124">
        <v>0</v>
      </c>
      <c r="D123" s="123">
        <f t="shared" si="47"/>
        <v>0</v>
      </c>
      <c r="E123" s="123">
        <f t="shared" si="47"/>
        <v>0</v>
      </c>
      <c r="F123" s="123">
        <f t="shared" si="47"/>
        <v>0</v>
      </c>
      <c r="G123" s="123">
        <f t="shared" si="47"/>
        <v>0</v>
      </c>
      <c r="H123" s="123">
        <f t="shared" si="47"/>
        <v>0</v>
      </c>
      <c r="I123" s="123">
        <f t="shared" si="47"/>
        <v>0</v>
      </c>
      <c r="J123" s="123">
        <f t="shared" si="47"/>
        <v>0</v>
      </c>
      <c r="K123" s="123">
        <f t="shared" si="47"/>
        <v>0</v>
      </c>
      <c r="L123" s="123">
        <f t="shared" si="47"/>
        <v>0</v>
      </c>
      <c r="M123" s="123">
        <f t="shared" si="47"/>
        <v>0</v>
      </c>
      <c r="N123" s="123">
        <f t="shared" si="47"/>
        <v>0</v>
      </c>
      <c r="O123" s="123">
        <f t="shared" si="47"/>
        <v>0</v>
      </c>
      <c r="P123" s="123">
        <f t="shared" si="47"/>
        <v>0</v>
      </c>
      <c r="Q123" s="123">
        <f t="shared" si="47"/>
        <v>0</v>
      </c>
      <c r="R123" s="123">
        <f t="shared" si="47"/>
        <v>0</v>
      </c>
      <c r="S123" s="123">
        <f t="shared" si="47"/>
        <v>0</v>
      </c>
      <c r="T123" s="123">
        <f t="shared" si="46"/>
        <v>0</v>
      </c>
      <c r="U123" s="123">
        <f t="shared" si="46"/>
        <v>0</v>
      </c>
      <c r="V123" s="123">
        <f t="shared" si="46"/>
        <v>0</v>
      </c>
      <c r="W123" s="123">
        <f t="shared" si="46"/>
        <v>0</v>
      </c>
      <c r="X123" s="123">
        <f t="shared" si="46"/>
        <v>0</v>
      </c>
      <c r="Y123" s="123">
        <f t="shared" si="46"/>
        <v>0</v>
      </c>
      <c r="Z123" s="123">
        <f t="shared" si="46"/>
        <v>0</v>
      </c>
      <c r="AA123" s="123">
        <f t="shared" si="46"/>
        <v>0</v>
      </c>
      <c r="AB123" s="123">
        <f t="shared" si="46"/>
        <v>0</v>
      </c>
      <c r="AC123" s="123">
        <f t="shared" si="46"/>
        <v>0</v>
      </c>
      <c r="AD123" s="123">
        <f t="shared" si="46"/>
        <v>0</v>
      </c>
      <c r="AE123" s="123">
        <f t="shared" si="46"/>
        <v>0</v>
      </c>
      <c r="AF123" s="123">
        <f t="shared" si="46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4"/>
        <v>0</v>
      </c>
      <c r="C124" s="124">
        <v>0</v>
      </c>
      <c r="D124" s="123">
        <f t="shared" si="47"/>
        <v>0</v>
      </c>
      <c r="E124" s="123">
        <f t="shared" si="47"/>
        <v>0</v>
      </c>
      <c r="F124" s="123">
        <f t="shared" si="47"/>
        <v>0</v>
      </c>
      <c r="G124" s="123">
        <f t="shared" si="47"/>
        <v>0</v>
      </c>
      <c r="H124" s="123">
        <f t="shared" si="47"/>
        <v>0</v>
      </c>
      <c r="I124" s="123">
        <f t="shared" si="47"/>
        <v>0</v>
      </c>
      <c r="J124" s="123">
        <f t="shared" si="47"/>
        <v>0</v>
      </c>
      <c r="K124" s="123">
        <f t="shared" si="47"/>
        <v>0</v>
      </c>
      <c r="L124" s="123">
        <f t="shared" si="47"/>
        <v>0</v>
      </c>
      <c r="M124" s="123">
        <f t="shared" si="47"/>
        <v>0</v>
      </c>
      <c r="N124" s="123">
        <f t="shared" si="47"/>
        <v>0</v>
      </c>
      <c r="O124" s="123">
        <f t="shared" si="47"/>
        <v>0</v>
      </c>
      <c r="P124" s="123">
        <f t="shared" si="47"/>
        <v>0</v>
      </c>
      <c r="Q124" s="123">
        <f t="shared" si="47"/>
        <v>0</v>
      </c>
      <c r="R124" s="123">
        <f t="shared" si="47"/>
        <v>0</v>
      </c>
      <c r="S124" s="123">
        <f t="shared" si="47"/>
        <v>0</v>
      </c>
      <c r="T124" s="123">
        <f t="shared" si="46"/>
        <v>0</v>
      </c>
      <c r="U124" s="123">
        <f t="shared" si="46"/>
        <v>0</v>
      </c>
      <c r="V124" s="123">
        <f t="shared" si="46"/>
        <v>0</v>
      </c>
      <c r="W124" s="123">
        <f t="shared" si="46"/>
        <v>0</v>
      </c>
      <c r="X124" s="123">
        <f t="shared" si="46"/>
        <v>0</v>
      </c>
      <c r="Y124" s="123">
        <f t="shared" si="46"/>
        <v>0</v>
      </c>
      <c r="Z124" s="123">
        <f t="shared" si="46"/>
        <v>0</v>
      </c>
      <c r="AA124" s="123">
        <f t="shared" si="46"/>
        <v>0</v>
      </c>
      <c r="AB124" s="123">
        <f t="shared" si="46"/>
        <v>0</v>
      </c>
      <c r="AC124" s="123">
        <f t="shared" si="46"/>
        <v>0</v>
      </c>
      <c r="AD124" s="123">
        <f t="shared" si="46"/>
        <v>0</v>
      </c>
      <c r="AE124" s="123">
        <f t="shared" si="46"/>
        <v>0</v>
      </c>
      <c r="AF124" s="123">
        <f t="shared" si="46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4"/>
        <v>;/</v>
      </c>
      <c r="C125" s="124">
        <v>5</v>
      </c>
      <c r="D125" s="123">
        <f t="shared" si="47"/>
        <v>5</v>
      </c>
      <c r="E125" s="123">
        <f t="shared" si="47"/>
        <v>5</v>
      </c>
      <c r="F125" s="123">
        <f t="shared" si="47"/>
        <v>5</v>
      </c>
      <c r="G125" s="123">
        <f t="shared" si="47"/>
        <v>5</v>
      </c>
      <c r="H125" s="123">
        <f t="shared" si="47"/>
        <v>5</v>
      </c>
      <c r="I125" s="123" t="s">
        <v>130</v>
      </c>
      <c r="J125" s="123" t="str">
        <f t="shared" si="47"/>
        <v>;/</v>
      </c>
      <c r="K125" s="123" t="str">
        <f t="shared" si="47"/>
        <v>;/</v>
      </c>
      <c r="L125" s="123" t="str">
        <f t="shared" si="47"/>
        <v>;/</v>
      </c>
      <c r="M125" s="123" t="str">
        <f t="shared" si="47"/>
        <v>;/</v>
      </c>
      <c r="N125" s="123" t="str">
        <f t="shared" si="47"/>
        <v>;/</v>
      </c>
      <c r="O125" s="123" t="str">
        <f t="shared" si="47"/>
        <v>;/</v>
      </c>
      <c r="P125" s="123" t="str">
        <f t="shared" si="47"/>
        <v>;/</v>
      </c>
      <c r="Q125" s="123" t="str">
        <f t="shared" si="47"/>
        <v>;/</v>
      </c>
      <c r="R125" s="123" t="str">
        <f t="shared" si="47"/>
        <v>;/</v>
      </c>
      <c r="S125" s="123" t="str">
        <f t="shared" si="47"/>
        <v>;/</v>
      </c>
      <c r="T125" s="123" t="str">
        <f t="shared" si="46"/>
        <v>;/</v>
      </c>
      <c r="U125" s="123" t="str">
        <f t="shared" si="46"/>
        <v>;/</v>
      </c>
      <c r="V125" s="123" t="str">
        <f t="shared" si="46"/>
        <v>;/</v>
      </c>
      <c r="W125" s="123" t="str">
        <f t="shared" si="46"/>
        <v>;/</v>
      </c>
      <c r="X125" s="123" t="str">
        <f t="shared" si="46"/>
        <v>;/</v>
      </c>
      <c r="Y125" s="123" t="str">
        <f t="shared" si="46"/>
        <v>;/</v>
      </c>
      <c r="Z125" s="123" t="str">
        <f t="shared" si="46"/>
        <v>;/</v>
      </c>
      <c r="AA125" s="123" t="str">
        <f t="shared" si="46"/>
        <v>;/</v>
      </c>
      <c r="AB125" s="123" t="str">
        <f t="shared" si="46"/>
        <v>;/</v>
      </c>
      <c r="AC125" s="123" t="str">
        <f t="shared" si="46"/>
        <v>;/</v>
      </c>
      <c r="AD125" s="123" t="str">
        <f t="shared" si="46"/>
        <v>;/</v>
      </c>
      <c r="AE125" s="123" t="str">
        <f t="shared" si="46"/>
        <v>;/</v>
      </c>
      <c r="AF125" s="123" t="str">
        <f t="shared" si="46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4"/>
        <v>1</v>
      </c>
      <c r="C126" s="124">
        <v>1</v>
      </c>
      <c r="D126" s="123">
        <f t="shared" si="47"/>
        <v>1</v>
      </c>
      <c r="E126" s="123">
        <f t="shared" si="47"/>
        <v>1</v>
      </c>
      <c r="F126" s="123">
        <f t="shared" si="47"/>
        <v>1</v>
      </c>
      <c r="G126" s="123">
        <f t="shared" si="47"/>
        <v>1</v>
      </c>
      <c r="H126" s="123">
        <f t="shared" si="47"/>
        <v>1</v>
      </c>
      <c r="I126" s="123">
        <f t="shared" si="47"/>
        <v>1</v>
      </c>
      <c r="J126" s="123">
        <f t="shared" si="47"/>
        <v>1</v>
      </c>
      <c r="K126" s="123">
        <f t="shared" si="47"/>
        <v>1</v>
      </c>
      <c r="L126" s="123">
        <f t="shared" si="47"/>
        <v>1</v>
      </c>
      <c r="M126" s="123">
        <f t="shared" si="47"/>
        <v>1</v>
      </c>
      <c r="N126" s="123">
        <f t="shared" si="47"/>
        <v>1</v>
      </c>
      <c r="O126" s="123">
        <f t="shared" si="47"/>
        <v>1</v>
      </c>
      <c r="P126" s="123">
        <f t="shared" si="47"/>
        <v>1</v>
      </c>
      <c r="Q126" s="123">
        <f t="shared" si="47"/>
        <v>1</v>
      </c>
      <c r="R126" s="123">
        <f t="shared" si="47"/>
        <v>1</v>
      </c>
      <c r="S126" s="123">
        <f t="shared" si="47"/>
        <v>1</v>
      </c>
      <c r="T126" s="123">
        <f t="shared" si="46"/>
        <v>1</v>
      </c>
      <c r="U126" s="123">
        <f t="shared" si="46"/>
        <v>1</v>
      </c>
      <c r="V126" s="123">
        <f t="shared" si="46"/>
        <v>1</v>
      </c>
      <c r="W126" s="123">
        <f t="shared" si="46"/>
        <v>1</v>
      </c>
      <c r="X126" s="123">
        <f t="shared" si="46"/>
        <v>1</v>
      </c>
      <c r="Y126" s="123">
        <f t="shared" si="46"/>
        <v>1</v>
      </c>
      <c r="Z126" s="123">
        <f t="shared" si="46"/>
        <v>1</v>
      </c>
      <c r="AA126" s="123">
        <f t="shared" si="46"/>
        <v>1</v>
      </c>
      <c r="AB126" s="123">
        <f t="shared" si="46"/>
        <v>1</v>
      </c>
      <c r="AC126" s="123">
        <f t="shared" si="46"/>
        <v>1</v>
      </c>
      <c r="AD126" s="123">
        <f t="shared" si="46"/>
        <v>1</v>
      </c>
      <c r="AE126" s="123">
        <f t="shared" si="46"/>
        <v>1</v>
      </c>
      <c r="AF126" s="123">
        <f t="shared" si="46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4"/>
        <v>1.58</v>
      </c>
      <c r="C127" s="124">
        <v>1.58</v>
      </c>
      <c r="D127" s="123">
        <f t="shared" si="47"/>
        <v>1.58</v>
      </c>
      <c r="E127" s="123">
        <f t="shared" si="47"/>
        <v>1.58</v>
      </c>
      <c r="F127" s="123">
        <f t="shared" si="47"/>
        <v>1.58</v>
      </c>
      <c r="G127" s="123">
        <f t="shared" si="47"/>
        <v>1.58</v>
      </c>
      <c r="H127" s="123">
        <f t="shared" si="47"/>
        <v>1.58</v>
      </c>
      <c r="I127" s="123">
        <f t="shared" si="47"/>
        <v>1.58</v>
      </c>
      <c r="J127" s="123">
        <f t="shared" si="47"/>
        <v>1.58</v>
      </c>
      <c r="K127" s="123">
        <f t="shared" si="47"/>
        <v>1.58</v>
      </c>
      <c r="L127" s="123">
        <f t="shared" si="47"/>
        <v>1.58</v>
      </c>
      <c r="M127" s="123">
        <f t="shared" si="47"/>
        <v>1.58</v>
      </c>
      <c r="N127" s="123">
        <f t="shared" si="47"/>
        <v>1.58</v>
      </c>
      <c r="O127" s="123">
        <f t="shared" si="47"/>
        <v>1.58</v>
      </c>
      <c r="P127" s="123">
        <f t="shared" si="47"/>
        <v>1.58</v>
      </c>
      <c r="Q127" s="123">
        <f t="shared" si="47"/>
        <v>1.58</v>
      </c>
      <c r="R127" s="123">
        <f t="shared" si="47"/>
        <v>1.58</v>
      </c>
      <c r="S127" s="123">
        <f t="shared" si="47"/>
        <v>1.58</v>
      </c>
      <c r="T127" s="123">
        <f t="shared" si="46"/>
        <v>1.58</v>
      </c>
      <c r="U127" s="123">
        <f t="shared" si="46"/>
        <v>1.58</v>
      </c>
      <c r="V127" s="123">
        <f t="shared" si="46"/>
        <v>1.58</v>
      </c>
      <c r="W127" s="123">
        <f t="shared" si="46"/>
        <v>1.58</v>
      </c>
      <c r="X127" s="123">
        <f t="shared" si="46"/>
        <v>1.58</v>
      </c>
      <c r="Y127" s="123">
        <f t="shared" si="46"/>
        <v>1.58</v>
      </c>
      <c r="Z127" s="123">
        <f t="shared" si="46"/>
        <v>1.58</v>
      </c>
      <c r="AA127" s="123">
        <f t="shared" si="46"/>
        <v>1.58</v>
      </c>
      <c r="AB127" s="123">
        <f t="shared" si="46"/>
        <v>1.58</v>
      </c>
      <c r="AC127" s="123">
        <f t="shared" si="46"/>
        <v>1.58</v>
      </c>
      <c r="AD127" s="123">
        <f t="shared" si="46"/>
        <v>1.58</v>
      </c>
      <c r="AE127" s="123">
        <f t="shared" si="46"/>
        <v>1.58</v>
      </c>
      <c r="AF127" s="123">
        <f t="shared" si="46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4"/>
        <v>1.46</v>
      </c>
      <c r="C128" s="124">
        <v>1.46</v>
      </c>
      <c r="D128" s="123">
        <f t="shared" si="47"/>
        <v>1.46</v>
      </c>
      <c r="E128" s="123">
        <f t="shared" si="47"/>
        <v>1.46</v>
      </c>
      <c r="F128" s="123">
        <f t="shared" si="47"/>
        <v>1.46</v>
      </c>
      <c r="G128" s="123">
        <f t="shared" si="47"/>
        <v>1.46</v>
      </c>
      <c r="H128" s="123">
        <f t="shared" si="47"/>
        <v>1.46</v>
      </c>
      <c r="I128" s="123">
        <f t="shared" si="47"/>
        <v>1.46</v>
      </c>
      <c r="J128" s="123">
        <f t="shared" si="47"/>
        <v>1.46</v>
      </c>
      <c r="K128" s="123">
        <f t="shared" si="47"/>
        <v>1.46</v>
      </c>
      <c r="L128" s="123">
        <f t="shared" si="47"/>
        <v>1.46</v>
      </c>
      <c r="M128" s="123">
        <f t="shared" si="47"/>
        <v>1.46</v>
      </c>
      <c r="N128" s="123">
        <f t="shared" si="47"/>
        <v>1.46</v>
      </c>
      <c r="O128" s="123">
        <f t="shared" si="47"/>
        <v>1.46</v>
      </c>
      <c r="P128" s="123">
        <f t="shared" si="47"/>
        <v>1.46</v>
      </c>
      <c r="Q128" s="123">
        <f t="shared" si="47"/>
        <v>1.46</v>
      </c>
      <c r="R128" s="123">
        <f t="shared" si="47"/>
        <v>1.46</v>
      </c>
      <c r="S128" s="123">
        <f t="shared" si="47"/>
        <v>1.46</v>
      </c>
      <c r="T128" s="123">
        <f t="shared" ref="T128:AF129" si="48">S128</f>
        <v>1.46</v>
      </c>
      <c r="U128" s="123">
        <f t="shared" si="48"/>
        <v>1.46</v>
      </c>
      <c r="V128" s="123">
        <f t="shared" si="48"/>
        <v>1.46</v>
      </c>
      <c r="W128" s="123">
        <f t="shared" si="48"/>
        <v>1.46</v>
      </c>
      <c r="X128" s="123">
        <f t="shared" si="48"/>
        <v>1.46</v>
      </c>
      <c r="Y128" s="123">
        <f t="shared" si="48"/>
        <v>1.46</v>
      </c>
      <c r="Z128" s="123">
        <f t="shared" si="48"/>
        <v>1.46</v>
      </c>
      <c r="AA128" s="123">
        <f t="shared" si="48"/>
        <v>1.46</v>
      </c>
      <c r="AB128" s="123">
        <f t="shared" si="48"/>
        <v>1.46</v>
      </c>
      <c r="AC128" s="123">
        <f t="shared" si="48"/>
        <v>1.46</v>
      </c>
      <c r="AD128" s="123">
        <f t="shared" si="48"/>
        <v>1.46</v>
      </c>
      <c r="AE128" s="123">
        <f t="shared" si="48"/>
        <v>1.46</v>
      </c>
      <c r="AF128" s="123">
        <f t="shared" si="48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4"/>
        <v>1.48</v>
      </c>
      <c r="C129" s="124">
        <v>1.48</v>
      </c>
      <c r="D129" s="123">
        <f t="shared" si="47"/>
        <v>1.48</v>
      </c>
      <c r="E129" s="123">
        <f t="shared" si="47"/>
        <v>1.48</v>
      </c>
      <c r="F129" s="123">
        <f t="shared" si="47"/>
        <v>1.48</v>
      </c>
      <c r="G129" s="123">
        <f t="shared" si="47"/>
        <v>1.48</v>
      </c>
      <c r="H129" s="123">
        <f t="shared" si="47"/>
        <v>1.48</v>
      </c>
      <c r="I129" s="123">
        <f t="shared" si="47"/>
        <v>1.48</v>
      </c>
      <c r="J129" s="123">
        <f t="shared" si="47"/>
        <v>1.48</v>
      </c>
      <c r="K129" s="123">
        <f t="shared" si="47"/>
        <v>1.48</v>
      </c>
      <c r="L129" s="123">
        <f t="shared" si="47"/>
        <v>1.48</v>
      </c>
      <c r="M129" s="123">
        <f t="shared" si="47"/>
        <v>1.48</v>
      </c>
      <c r="N129" s="123">
        <f t="shared" si="47"/>
        <v>1.48</v>
      </c>
      <c r="O129" s="123">
        <f t="shared" si="47"/>
        <v>1.48</v>
      </c>
      <c r="P129" s="123">
        <f t="shared" si="47"/>
        <v>1.48</v>
      </c>
      <c r="Q129" s="123">
        <f t="shared" si="47"/>
        <v>1.48</v>
      </c>
      <c r="R129" s="123">
        <f t="shared" si="47"/>
        <v>1.48</v>
      </c>
      <c r="S129" s="123">
        <f t="shared" si="47"/>
        <v>1.48</v>
      </c>
      <c r="T129" s="123">
        <f t="shared" si="48"/>
        <v>1.48</v>
      </c>
      <c r="U129" s="123">
        <f t="shared" si="48"/>
        <v>1.48</v>
      </c>
      <c r="V129" s="123">
        <f t="shared" si="48"/>
        <v>1.48</v>
      </c>
      <c r="W129" s="123">
        <f t="shared" si="48"/>
        <v>1.48</v>
      </c>
      <c r="X129" s="123">
        <f t="shared" si="48"/>
        <v>1.48</v>
      </c>
      <c r="Y129" s="123">
        <f t="shared" si="48"/>
        <v>1.48</v>
      </c>
      <c r="Z129" s="123">
        <f t="shared" si="48"/>
        <v>1.48</v>
      </c>
      <c r="AA129" s="123">
        <f t="shared" si="48"/>
        <v>1.48</v>
      </c>
      <c r="AB129" s="123">
        <f t="shared" si="48"/>
        <v>1.48</v>
      </c>
      <c r="AC129" s="123">
        <f t="shared" si="48"/>
        <v>1.48</v>
      </c>
      <c r="AD129" s="123">
        <f t="shared" si="48"/>
        <v>1.48</v>
      </c>
      <c r="AE129" s="123">
        <f t="shared" si="48"/>
        <v>1.48</v>
      </c>
      <c r="AF129" s="123">
        <f t="shared" si="48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49">AF131</f>
        <v>2.2000000000000002</v>
      </c>
      <c r="C131" s="124">
        <v>2.2000000000000002</v>
      </c>
      <c r="D131" s="123">
        <f t="shared" ref="D131:S138" si="50">C131</f>
        <v>2.2000000000000002</v>
      </c>
      <c r="E131" s="123">
        <f t="shared" si="50"/>
        <v>2.2000000000000002</v>
      </c>
      <c r="F131" s="123">
        <f t="shared" si="50"/>
        <v>2.2000000000000002</v>
      </c>
      <c r="G131" s="123">
        <f t="shared" si="50"/>
        <v>2.2000000000000002</v>
      </c>
      <c r="H131" s="123">
        <f t="shared" si="50"/>
        <v>2.2000000000000002</v>
      </c>
      <c r="I131" s="123">
        <f t="shared" si="50"/>
        <v>2.2000000000000002</v>
      </c>
      <c r="J131" s="123">
        <f t="shared" si="50"/>
        <v>2.2000000000000002</v>
      </c>
      <c r="K131" s="123">
        <f t="shared" si="50"/>
        <v>2.2000000000000002</v>
      </c>
      <c r="L131" s="123">
        <f t="shared" si="50"/>
        <v>2.2000000000000002</v>
      </c>
      <c r="M131" s="123">
        <f t="shared" si="50"/>
        <v>2.2000000000000002</v>
      </c>
      <c r="N131" s="123">
        <f t="shared" si="50"/>
        <v>2.2000000000000002</v>
      </c>
      <c r="O131" s="123">
        <f t="shared" si="50"/>
        <v>2.2000000000000002</v>
      </c>
      <c r="P131" s="123">
        <f t="shared" si="50"/>
        <v>2.2000000000000002</v>
      </c>
      <c r="Q131" s="123">
        <f t="shared" si="50"/>
        <v>2.2000000000000002</v>
      </c>
      <c r="R131" s="123">
        <f t="shared" si="50"/>
        <v>2.2000000000000002</v>
      </c>
      <c r="S131" s="123">
        <f t="shared" si="50"/>
        <v>2.2000000000000002</v>
      </c>
      <c r="T131" s="123">
        <f t="shared" ref="T131:AF138" si="51">S131</f>
        <v>2.2000000000000002</v>
      </c>
      <c r="U131" s="123">
        <f t="shared" si="51"/>
        <v>2.2000000000000002</v>
      </c>
      <c r="V131" s="123">
        <f t="shared" si="51"/>
        <v>2.2000000000000002</v>
      </c>
      <c r="W131" s="123">
        <f t="shared" si="51"/>
        <v>2.2000000000000002</v>
      </c>
      <c r="X131" s="123">
        <f t="shared" si="51"/>
        <v>2.2000000000000002</v>
      </c>
      <c r="Y131" s="123">
        <f t="shared" si="51"/>
        <v>2.2000000000000002</v>
      </c>
      <c r="Z131" s="123">
        <f t="shared" si="51"/>
        <v>2.2000000000000002</v>
      </c>
      <c r="AA131" s="123">
        <f t="shared" si="51"/>
        <v>2.2000000000000002</v>
      </c>
      <c r="AB131" s="123">
        <f t="shared" si="51"/>
        <v>2.2000000000000002</v>
      </c>
      <c r="AC131" s="123">
        <f t="shared" si="51"/>
        <v>2.2000000000000002</v>
      </c>
      <c r="AD131" s="123">
        <f t="shared" si="51"/>
        <v>2.2000000000000002</v>
      </c>
      <c r="AE131" s="123">
        <f t="shared" si="51"/>
        <v>2.2000000000000002</v>
      </c>
      <c r="AF131" s="123">
        <f t="shared" si="51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49"/>
        <v>2</v>
      </c>
      <c r="C132" s="124">
        <v>2</v>
      </c>
      <c r="D132" s="123">
        <f t="shared" si="50"/>
        <v>2</v>
      </c>
      <c r="E132" s="123">
        <f t="shared" si="50"/>
        <v>2</v>
      </c>
      <c r="F132" s="123">
        <f t="shared" si="50"/>
        <v>2</v>
      </c>
      <c r="G132" s="123">
        <f t="shared" si="50"/>
        <v>2</v>
      </c>
      <c r="H132" s="123">
        <f t="shared" si="50"/>
        <v>2</v>
      </c>
      <c r="I132" s="123">
        <f t="shared" si="50"/>
        <v>2</v>
      </c>
      <c r="J132" s="123">
        <f t="shared" si="50"/>
        <v>2</v>
      </c>
      <c r="K132" s="123">
        <f t="shared" si="50"/>
        <v>2</v>
      </c>
      <c r="L132" s="123">
        <f t="shared" si="50"/>
        <v>2</v>
      </c>
      <c r="M132" s="123">
        <f t="shared" si="50"/>
        <v>2</v>
      </c>
      <c r="N132" s="123">
        <f t="shared" si="50"/>
        <v>2</v>
      </c>
      <c r="O132" s="123">
        <f t="shared" si="50"/>
        <v>2</v>
      </c>
      <c r="P132" s="123">
        <f t="shared" si="50"/>
        <v>2</v>
      </c>
      <c r="Q132" s="123">
        <f t="shared" si="50"/>
        <v>2</v>
      </c>
      <c r="R132" s="123">
        <f t="shared" si="50"/>
        <v>2</v>
      </c>
      <c r="S132" s="123">
        <f t="shared" si="50"/>
        <v>2</v>
      </c>
      <c r="T132" s="123">
        <f t="shared" si="51"/>
        <v>2</v>
      </c>
      <c r="U132" s="123">
        <f t="shared" si="51"/>
        <v>2</v>
      </c>
      <c r="V132" s="123">
        <f t="shared" si="51"/>
        <v>2</v>
      </c>
      <c r="W132" s="123">
        <f t="shared" si="51"/>
        <v>2</v>
      </c>
      <c r="X132" s="123">
        <f t="shared" si="51"/>
        <v>2</v>
      </c>
      <c r="Y132" s="123">
        <f t="shared" si="51"/>
        <v>2</v>
      </c>
      <c r="Z132" s="123">
        <f t="shared" si="51"/>
        <v>2</v>
      </c>
      <c r="AA132" s="123">
        <f t="shared" si="51"/>
        <v>2</v>
      </c>
      <c r="AB132" s="123">
        <f t="shared" si="51"/>
        <v>2</v>
      </c>
      <c r="AC132" s="123">
        <f t="shared" si="51"/>
        <v>2</v>
      </c>
      <c r="AD132" s="123">
        <f t="shared" si="51"/>
        <v>2</v>
      </c>
      <c r="AE132" s="123">
        <f t="shared" si="51"/>
        <v>2</v>
      </c>
      <c r="AF132" s="123">
        <f t="shared" si="51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49"/>
        <v>1.25</v>
      </c>
      <c r="C133" s="124">
        <v>1.25</v>
      </c>
      <c r="D133" s="123">
        <f t="shared" si="50"/>
        <v>1.25</v>
      </c>
      <c r="E133" s="123">
        <f t="shared" si="50"/>
        <v>1.25</v>
      </c>
      <c r="F133" s="123">
        <f t="shared" si="50"/>
        <v>1.25</v>
      </c>
      <c r="G133" s="123">
        <f t="shared" si="50"/>
        <v>1.25</v>
      </c>
      <c r="H133" s="123">
        <f t="shared" si="50"/>
        <v>1.25</v>
      </c>
      <c r="I133" s="123">
        <f t="shared" si="50"/>
        <v>1.25</v>
      </c>
      <c r="J133" s="123">
        <f t="shared" si="50"/>
        <v>1.25</v>
      </c>
      <c r="K133" s="123">
        <f t="shared" si="50"/>
        <v>1.25</v>
      </c>
      <c r="L133" s="123">
        <f t="shared" si="50"/>
        <v>1.25</v>
      </c>
      <c r="M133" s="123">
        <f t="shared" si="50"/>
        <v>1.25</v>
      </c>
      <c r="N133" s="123">
        <f t="shared" si="50"/>
        <v>1.25</v>
      </c>
      <c r="O133" s="123">
        <f t="shared" si="50"/>
        <v>1.25</v>
      </c>
      <c r="P133" s="123">
        <f t="shared" si="50"/>
        <v>1.25</v>
      </c>
      <c r="Q133" s="123">
        <f t="shared" si="50"/>
        <v>1.25</v>
      </c>
      <c r="R133" s="123">
        <f t="shared" si="50"/>
        <v>1.25</v>
      </c>
      <c r="S133" s="123">
        <f t="shared" si="50"/>
        <v>1.25</v>
      </c>
      <c r="T133" s="123">
        <f t="shared" si="51"/>
        <v>1.25</v>
      </c>
      <c r="U133" s="123">
        <f t="shared" si="51"/>
        <v>1.25</v>
      </c>
      <c r="V133" s="123">
        <f t="shared" si="51"/>
        <v>1.25</v>
      </c>
      <c r="W133" s="123">
        <f t="shared" si="51"/>
        <v>1.25</v>
      </c>
      <c r="X133" s="123">
        <f t="shared" si="51"/>
        <v>1.25</v>
      </c>
      <c r="Y133" s="123">
        <f t="shared" si="51"/>
        <v>1.25</v>
      </c>
      <c r="Z133" s="123">
        <f t="shared" si="51"/>
        <v>1.25</v>
      </c>
      <c r="AA133" s="123">
        <f t="shared" si="51"/>
        <v>1.25</v>
      </c>
      <c r="AB133" s="123">
        <f t="shared" si="51"/>
        <v>1.25</v>
      </c>
      <c r="AC133" s="123">
        <f t="shared" si="51"/>
        <v>1.25</v>
      </c>
      <c r="AD133" s="123">
        <f t="shared" si="51"/>
        <v>1.25</v>
      </c>
      <c r="AE133" s="123">
        <f t="shared" si="51"/>
        <v>1.25</v>
      </c>
      <c r="AF133" s="123">
        <f t="shared" si="51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49"/>
        <v>1.1499999999999999</v>
      </c>
      <c r="C134" s="124">
        <v>1.1499999999999999</v>
      </c>
      <c r="D134" s="123">
        <f t="shared" si="50"/>
        <v>1.1499999999999999</v>
      </c>
      <c r="E134" s="123">
        <f t="shared" si="50"/>
        <v>1.1499999999999999</v>
      </c>
      <c r="F134" s="123">
        <f t="shared" si="50"/>
        <v>1.1499999999999999</v>
      </c>
      <c r="G134" s="123">
        <f t="shared" si="50"/>
        <v>1.1499999999999999</v>
      </c>
      <c r="H134" s="123">
        <f t="shared" si="50"/>
        <v>1.1499999999999999</v>
      </c>
      <c r="I134" s="123">
        <f t="shared" si="50"/>
        <v>1.1499999999999999</v>
      </c>
      <c r="J134" s="123">
        <f t="shared" si="50"/>
        <v>1.1499999999999999</v>
      </c>
      <c r="K134" s="123">
        <f t="shared" si="50"/>
        <v>1.1499999999999999</v>
      </c>
      <c r="L134" s="123">
        <f t="shared" si="50"/>
        <v>1.1499999999999999</v>
      </c>
      <c r="M134" s="123">
        <f t="shared" si="50"/>
        <v>1.1499999999999999</v>
      </c>
      <c r="N134" s="123">
        <f t="shared" si="50"/>
        <v>1.1499999999999999</v>
      </c>
      <c r="O134" s="123">
        <f t="shared" si="50"/>
        <v>1.1499999999999999</v>
      </c>
      <c r="P134" s="123">
        <f t="shared" si="50"/>
        <v>1.1499999999999999</v>
      </c>
      <c r="Q134" s="123">
        <f t="shared" si="50"/>
        <v>1.1499999999999999</v>
      </c>
      <c r="R134" s="123">
        <f t="shared" si="50"/>
        <v>1.1499999999999999</v>
      </c>
      <c r="S134" s="123">
        <f t="shared" si="50"/>
        <v>1.1499999999999999</v>
      </c>
      <c r="T134" s="123">
        <f t="shared" si="51"/>
        <v>1.1499999999999999</v>
      </c>
      <c r="U134" s="123">
        <f t="shared" si="51"/>
        <v>1.1499999999999999</v>
      </c>
      <c r="V134" s="123">
        <f t="shared" si="51"/>
        <v>1.1499999999999999</v>
      </c>
      <c r="W134" s="123">
        <f t="shared" si="51"/>
        <v>1.1499999999999999</v>
      </c>
      <c r="X134" s="123">
        <f t="shared" si="51"/>
        <v>1.1499999999999999</v>
      </c>
      <c r="Y134" s="123">
        <f t="shared" si="51"/>
        <v>1.1499999999999999</v>
      </c>
      <c r="Z134" s="123">
        <f t="shared" si="51"/>
        <v>1.1499999999999999</v>
      </c>
      <c r="AA134" s="123">
        <f t="shared" si="51"/>
        <v>1.1499999999999999</v>
      </c>
      <c r="AB134" s="123">
        <f t="shared" si="51"/>
        <v>1.1499999999999999</v>
      </c>
      <c r="AC134" s="123">
        <f t="shared" si="51"/>
        <v>1.1499999999999999</v>
      </c>
      <c r="AD134" s="123">
        <f t="shared" si="51"/>
        <v>1.1499999999999999</v>
      </c>
      <c r="AE134" s="123">
        <f t="shared" si="51"/>
        <v>1.1499999999999999</v>
      </c>
      <c r="AF134" s="123">
        <f t="shared" si="51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49"/>
        <v>2.133</v>
      </c>
      <c r="C135" s="124">
        <v>2.133</v>
      </c>
      <c r="D135" s="123">
        <f t="shared" si="50"/>
        <v>2.133</v>
      </c>
      <c r="E135" s="123">
        <f t="shared" si="50"/>
        <v>2.133</v>
      </c>
      <c r="F135" s="123">
        <f t="shared" si="50"/>
        <v>2.133</v>
      </c>
      <c r="G135" s="123">
        <f t="shared" si="50"/>
        <v>2.133</v>
      </c>
      <c r="H135" s="123">
        <f t="shared" si="50"/>
        <v>2.133</v>
      </c>
      <c r="I135" s="123">
        <f t="shared" si="50"/>
        <v>2.133</v>
      </c>
      <c r="J135" s="123">
        <f t="shared" si="50"/>
        <v>2.133</v>
      </c>
      <c r="K135" s="123">
        <f t="shared" si="50"/>
        <v>2.133</v>
      </c>
      <c r="L135" s="123">
        <f t="shared" si="50"/>
        <v>2.133</v>
      </c>
      <c r="M135" s="123">
        <f t="shared" si="50"/>
        <v>2.133</v>
      </c>
      <c r="N135" s="123">
        <f t="shared" si="50"/>
        <v>2.133</v>
      </c>
      <c r="O135" s="123">
        <f t="shared" si="50"/>
        <v>2.133</v>
      </c>
      <c r="P135" s="123">
        <f t="shared" si="50"/>
        <v>2.133</v>
      </c>
      <c r="Q135" s="123">
        <f t="shared" si="50"/>
        <v>2.133</v>
      </c>
      <c r="R135" s="123">
        <f t="shared" si="50"/>
        <v>2.133</v>
      </c>
      <c r="S135" s="123">
        <f t="shared" si="50"/>
        <v>2.133</v>
      </c>
      <c r="T135" s="123">
        <f t="shared" si="51"/>
        <v>2.133</v>
      </c>
      <c r="U135" s="123">
        <f t="shared" si="51"/>
        <v>2.133</v>
      </c>
      <c r="V135" s="123">
        <f t="shared" si="51"/>
        <v>2.133</v>
      </c>
      <c r="W135" s="123">
        <f t="shared" si="51"/>
        <v>2.133</v>
      </c>
      <c r="X135" s="123">
        <f t="shared" si="51"/>
        <v>2.133</v>
      </c>
      <c r="Y135" s="123">
        <f t="shared" si="51"/>
        <v>2.133</v>
      </c>
      <c r="Z135" s="123">
        <f t="shared" si="51"/>
        <v>2.133</v>
      </c>
      <c r="AA135" s="123">
        <f t="shared" si="51"/>
        <v>2.133</v>
      </c>
      <c r="AB135" s="123">
        <f t="shared" si="51"/>
        <v>2.133</v>
      </c>
      <c r="AC135" s="123">
        <f t="shared" si="51"/>
        <v>2.133</v>
      </c>
      <c r="AD135" s="123">
        <f t="shared" si="51"/>
        <v>2.133</v>
      </c>
      <c r="AE135" s="123">
        <f t="shared" si="51"/>
        <v>2.133</v>
      </c>
      <c r="AF135" s="123">
        <f t="shared" si="51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49"/>
        <v>2.09</v>
      </c>
      <c r="C136" s="124">
        <v>2.09</v>
      </c>
      <c r="D136" s="123">
        <f t="shared" si="50"/>
        <v>2.09</v>
      </c>
      <c r="E136" s="123">
        <f t="shared" si="50"/>
        <v>2.09</v>
      </c>
      <c r="F136" s="123">
        <f t="shared" si="50"/>
        <v>2.09</v>
      </c>
      <c r="G136" s="123">
        <f t="shared" si="50"/>
        <v>2.09</v>
      </c>
      <c r="H136" s="123">
        <f t="shared" si="50"/>
        <v>2.09</v>
      </c>
      <c r="I136" s="123">
        <f t="shared" si="50"/>
        <v>2.09</v>
      </c>
      <c r="J136" s="123">
        <f t="shared" si="50"/>
        <v>2.09</v>
      </c>
      <c r="K136" s="123">
        <f t="shared" si="50"/>
        <v>2.09</v>
      </c>
      <c r="L136" s="123">
        <f t="shared" si="50"/>
        <v>2.09</v>
      </c>
      <c r="M136" s="123">
        <f t="shared" si="50"/>
        <v>2.09</v>
      </c>
      <c r="N136" s="123">
        <f t="shared" si="50"/>
        <v>2.09</v>
      </c>
      <c r="O136" s="123">
        <f t="shared" si="50"/>
        <v>2.09</v>
      </c>
      <c r="P136" s="123">
        <f t="shared" si="50"/>
        <v>2.09</v>
      </c>
      <c r="Q136" s="123">
        <f t="shared" si="50"/>
        <v>2.09</v>
      </c>
      <c r="R136" s="123">
        <f t="shared" si="50"/>
        <v>2.09</v>
      </c>
      <c r="S136" s="123">
        <f t="shared" si="50"/>
        <v>2.09</v>
      </c>
      <c r="T136" s="123">
        <f t="shared" si="51"/>
        <v>2.09</v>
      </c>
      <c r="U136" s="123">
        <f t="shared" si="51"/>
        <v>2.09</v>
      </c>
      <c r="V136" s="123">
        <f t="shared" si="51"/>
        <v>2.09</v>
      </c>
      <c r="W136" s="123">
        <f t="shared" si="51"/>
        <v>2.09</v>
      </c>
      <c r="X136" s="123">
        <f t="shared" si="51"/>
        <v>2.09</v>
      </c>
      <c r="Y136" s="123">
        <f t="shared" si="51"/>
        <v>2.09</v>
      </c>
      <c r="Z136" s="123">
        <f t="shared" si="51"/>
        <v>2.09</v>
      </c>
      <c r="AA136" s="123">
        <f t="shared" si="51"/>
        <v>2.09</v>
      </c>
      <c r="AB136" s="123">
        <f t="shared" si="51"/>
        <v>2.09</v>
      </c>
      <c r="AC136" s="123">
        <f t="shared" si="51"/>
        <v>2.09</v>
      </c>
      <c r="AD136" s="123">
        <f t="shared" si="51"/>
        <v>2.09</v>
      </c>
      <c r="AE136" s="123">
        <f t="shared" si="51"/>
        <v>2.09</v>
      </c>
      <c r="AF136" s="123">
        <f t="shared" si="51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49"/>
        <v>1.1399999999999999</v>
      </c>
      <c r="C137" s="124">
        <v>1.1399999999999999</v>
      </c>
      <c r="D137" s="123">
        <f t="shared" si="50"/>
        <v>1.1399999999999999</v>
      </c>
      <c r="E137" s="123">
        <f t="shared" si="50"/>
        <v>1.1399999999999999</v>
      </c>
      <c r="F137" s="123">
        <f t="shared" si="50"/>
        <v>1.1399999999999999</v>
      </c>
      <c r="G137" s="123">
        <f t="shared" si="50"/>
        <v>1.1399999999999999</v>
      </c>
      <c r="H137" s="123">
        <f t="shared" si="50"/>
        <v>1.1399999999999999</v>
      </c>
      <c r="I137" s="123">
        <f t="shared" si="50"/>
        <v>1.1399999999999999</v>
      </c>
      <c r="J137" s="123">
        <f t="shared" si="50"/>
        <v>1.1399999999999999</v>
      </c>
      <c r="K137" s="123">
        <f t="shared" si="50"/>
        <v>1.1399999999999999</v>
      </c>
      <c r="L137" s="123">
        <f t="shared" si="50"/>
        <v>1.1399999999999999</v>
      </c>
      <c r="M137" s="123">
        <f t="shared" si="50"/>
        <v>1.1399999999999999</v>
      </c>
      <c r="N137" s="123">
        <f t="shared" si="50"/>
        <v>1.1399999999999999</v>
      </c>
      <c r="O137" s="123">
        <f t="shared" si="50"/>
        <v>1.1399999999999999</v>
      </c>
      <c r="P137" s="123">
        <f t="shared" si="50"/>
        <v>1.1399999999999999</v>
      </c>
      <c r="Q137" s="123">
        <f t="shared" si="50"/>
        <v>1.1399999999999999</v>
      </c>
      <c r="R137" s="123">
        <f t="shared" si="50"/>
        <v>1.1399999999999999</v>
      </c>
      <c r="S137" s="123">
        <f t="shared" si="50"/>
        <v>1.1399999999999999</v>
      </c>
      <c r="T137" s="123">
        <f t="shared" si="51"/>
        <v>1.1399999999999999</v>
      </c>
      <c r="U137" s="123">
        <f t="shared" si="51"/>
        <v>1.1399999999999999</v>
      </c>
      <c r="V137" s="123">
        <f t="shared" si="51"/>
        <v>1.1399999999999999</v>
      </c>
      <c r="W137" s="123">
        <f t="shared" si="51"/>
        <v>1.1399999999999999</v>
      </c>
      <c r="X137" s="123">
        <f t="shared" si="51"/>
        <v>1.1399999999999999</v>
      </c>
      <c r="Y137" s="123">
        <f t="shared" si="51"/>
        <v>1.1399999999999999</v>
      </c>
      <c r="Z137" s="123">
        <f t="shared" si="51"/>
        <v>1.1399999999999999</v>
      </c>
      <c r="AA137" s="123">
        <f t="shared" si="51"/>
        <v>1.1399999999999999</v>
      </c>
      <c r="AB137" s="123">
        <f t="shared" si="51"/>
        <v>1.1399999999999999</v>
      </c>
      <c r="AC137" s="123">
        <f t="shared" si="51"/>
        <v>1.1399999999999999</v>
      </c>
      <c r="AD137" s="123">
        <f t="shared" si="51"/>
        <v>1.1399999999999999</v>
      </c>
      <c r="AE137" s="123">
        <f t="shared" si="51"/>
        <v>1.1399999999999999</v>
      </c>
      <c r="AF137" s="123">
        <f t="shared" si="51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49"/>
        <v>0.82</v>
      </c>
      <c r="C138" s="124">
        <v>0.82</v>
      </c>
      <c r="D138" s="123">
        <f t="shared" si="50"/>
        <v>0.82</v>
      </c>
      <c r="E138" s="123">
        <f t="shared" si="50"/>
        <v>0.82</v>
      </c>
      <c r="F138" s="123">
        <f t="shared" si="50"/>
        <v>0.82</v>
      </c>
      <c r="G138" s="123">
        <f t="shared" si="50"/>
        <v>0.82</v>
      </c>
      <c r="H138" s="123">
        <f t="shared" si="50"/>
        <v>0.82</v>
      </c>
      <c r="I138" s="123">
        <f t="shared" si="50"/>
        <v>0.82</v>
      </c>
      <c r="J138" s="123">
        <f t="shared" si="50"/>
        <v>0.82</v>
      </c>
      <c r="K138" s="123">
        <f t="shared" si="50"/>
        <v>0.82</v>
      </c>
      <c r="L138" s="123">
        <f t="shared" si="50"/>
        <v>0.82</v>
      </c>
      <c r="M138" s="123">
        <f t="shared" si="50"/>
        <v>0.82</v>
      </c>
      <c r="N138" s="123">
        <f t="shared" si="50"/>
        <v>0.82</v>
      </c>
      <c r="O138" s="123">
        <f t="shared" si="50"/>
        <v>0.82</v>
      </c>
      <c r="P138" s="123">
        <f t="shared" si="50"/>
        <v>0.82</v>
      </c>
      <c r="Q138" s="123">
        <f t="shared" si="50"/>
        <v>0.82</v>
      </c>
      <c r="R138" s="123">
        <f t="shared" si="50"/>
        <v>0.82</v>
      </c>
      <c r="S138" s="123">
        <f t="shared" si="50"/>
        <v>0.82</v>
      </c>
      <c r="T138" s="123">
        <f t="shared" si="51"/>
        <v>0.82</v>
      </c>
      <c r="U138" s="123">
        <f t="shared" si="51"/>
        <v>0.82</v>
      </c>
      <c r="V138" s="123">
        <f t="shared" si="51"/>
        <v>0.82</v>
      </c>
      <c r="W138" s="123">
        <f t="shared" si="51"/>
        <v>0.82</v>
      </c>
      <c r="X138" s="123">
        <f t="shared" si="51"/>
        <v>0.82</v>
      </c>
      <c r="Y138" s="123">
        <f t="shared" si="51"/>
        <v>0.82</v>
      </c>
      <c r="Z138" s="123">
        <f t="shared" si="51"/>
        <v>0.82</v>
      </c>
      <c r="AA138" s="123">
        <f t="shared" si="51"/>
        <v>0.82</v>
      </c>
      <c r="AB138" s="123">
        <f t="shared" si="51"/>
        <v>0.82</v>
      </c>
      <c r="AC138" s="123">
        <f t="shared" si="51"/>
        <v>0.82</v>
      </c>
      <c r="AD138" s="123">
        <f t="shared" si="51"/>
        <v>0.82</v>
      </c>
      <c r="AE138" s="123">
        <f t="shared" si="51"/>
        <v>0.82</v>
      </c>
      <c r="AF138" s="123">
        <f t="shared" si="51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2">AF140</f>
        <v>2</v>
      </c>
      <c r="C140" s="124">
        <v>2</v>
      </c>
      <c r="D140" s="123">
        <f t="shared" ref="D140:S146" si="53">C140</f>
        <v>2</v>
      </c>
      <c r="E140" s="123">
        <f t="shared" si="53"/>
        <v>2</v>
      </c>
      <c r="F140" s="123">
        <f t="shared" si="53"/>
        <v>2</v>
      </c>
      <c r="G140" s="123">
        <f t="shared" si="53"/>
        <v>2</v>
      </c>
      <c r="H140" s="123">
        <f t="shared" si="53"/>
        <v>2</v>
      </c>
      <c r="I140" s="123">
        <f t="shared" si="53"/>
        <v>2</v>
      </c>
      <c r="J140" s="123">
        <f t="shared" si="53"/>
        <v>2</v>
      </c>
      <c r="K140" s="123">
        <f t="shared" si="53"/>
        <v>2</v>
      </c>
      <c r="L140" s="123">
        <f t="shared" si="53"/>
        <v>2</v>
      </c>
      <c r="M140" s="123">
        <f t="shared" si="53"/>
        <v>2</v>
      </c>
      <c r="N140" s="123">
        <f t="shared" si="53"/>
        <v>2</v>
      </c>
      <c r="O140" s="123">
        <f t="shared" si="53"/>
        <v>2</v>
      </c>
      <c r="P140" s="123">
        <f t="shared" si="53"/>
        <v>2</v>
      </c>
      <c r="Q140" s="123">
        <f t="shared" si="53"/>
        <v>2</v>
      </c>
      <c r="R140" s="123">
        <f t="shared" si="53"/>
        <v>2</v>
      </c>
      <c r="S140" s="123">
        <f t="shared" si="53"/>
        <v>2</v>
      </c>
      <c r="T140" s="123">
        <f t="shared" ref="T140:AF146" si="54">S140</f>
        <v>2</v>
      </c>
      <c r="U140" s="123">
        <f t="shared" si="54"/>
        <v>2</v>
      </c>
      <c r="V140" s="123">
        <f t="shared" si="54"/>
        <v>2</v>
      </c>
      <c r="W140" s="123">
        <f t="shared" si="54"/>
        <v>2</v>
      </c>
      <c r="X140" s="123">
        <f t="shared" si="54"/>
        <v>2</v>
      </c>
      <c r="Y140" s="123">
        <f t="shared" si="54"/>
        <v>2</v>
      </c>
      <c r="Z140" s="123">
        <f t="shared" si="54"/>
        <v>2</v>
      </c>
      <c r="AA140" s="123">
        <f t="shared" si="54"/>
        <v>2</v>
      </c>
      <c r="AB140" s="123">
        <f t="shared" si="54"/>
        <v>2</v>
      </c>
      <c r="AC140" s="123">
        <f t="shared" si="54"/>
        <v>2</v>
      </c>
      <c r="AD140" s="123">
        <f t="shared" si="54"/>
        <v>2</v>
      </c>
      <c r="AE140" s="123">
        <f t="shared" si="54"/>
        <v>2</v>
      </c>
      <c r="AF140" s="123">
        <f t="shared" si="54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2"/>
        <v>5.61</v>
      </c>
      <c r="C141" s="124">
        <v>5.61</v>
      </c>
      <c r="D141" s="123">
        <f t="shared" si="53"/>
        <v>5.61</v>
      </c>
      <c r="E141" s="123">
        <f t="shared" si="53"/>
        <v>5.61</v>
      </c>
      <c r="F141" s="123">
        <f t="shared" si="53"/>
        <v>5.61</v>
      </c>
      <c r="G141" s="123">
        <f t="shared" si="53"/>
        <v>5.61</v>
      </c>
      <c r="H141" s="123">
        <f t="shared" si="53"/>
        <v>5.61</v>
      </c>
      <c r="I141" s="123">
        <f t="shared" si="53"/>
        <v>5.61</v>
      </c>
      <c r="J141" s="123">
        <f t="shared" si="53"/>
        <v>5.61</v>
      </c>
      <c r="K141" s="123">
        <f t="shared" si="53"/>
        <v>5.61</v>
      </c>
      <c r="L141" s="123">
        <f t="shared" si="53"/>
        <v>5.61</v>
      </c>
      <c r="M141" s="123">
        <f t="shared" si="53"/>
        <v>5.61</v>
      </c>
      <c r="N141" s="123">
        <f t="shared" si="53"/>
        <v>5.61</v>
      </c>
      <c r="O141" s="123">
        <f t="shared" si="53"/>
        <v>5.61</v>
      </c>
      <c r="P141" s="123">
        <f t="shared" si="53"/>
        <v>5.61</v>
      </c>
      <c r="Q141" s="123">
        <f t="shared" si="53"/>
        <v>5.61</v>
      </c>
      <c r="R141" s="123">
        <f t="shared" si="53"/>
        <v>5.61</v>
      </c>
      <c r="S141" s="123">
        <f t="shared" si="53"/>
        <v>5.61</v>
      </c>
      <c r="T141" s="123">
        <f t="shared" si="54"/>
        <v>5.61</v>
      </c>
      <c r="U141" s="123">
        <f t="shared" si="54"/>
        <v>5.61</v>
      </c>
      <c r="V141" s="123">
        <f t="shared" si="54"/>
        <v>5.61</v>
      </c>
      <c r="W141" s="123">
        <f t="shared" si="54"/>
        <v>5.61</v>
      </c>
      <c r="X141" s="123">
        <f t="shared" si="54"/>
        <v>5.61</v>
      </c>
      <c r="Y141" s="123">
        <f t="shared" si="54"/>
        <v>5.61</v>
      </c>
      <c r="Z141" s="123">
        <f t="shared" si="54"/>
        <v>5.61</v>
      </c>
      <c r="AA141" s="123">
        <f t="shared" si="54"/>
        <v>5.61</v>
      </c>
      <c r="AB141" s="123">
        <f t="shared" si="54"/>
        <v>5.61</v>
      </c>
      <c r="AC141" s="123">
        <f t="shared" si="54"/>
        <v>5.61</v>
      </c>
      <c r="AD141" s="123">
        <f t="shared" si="54"/>
        <v>5.61</v>
      </c>
      <c r="AE141" s="123">
        <f t="shared" si="54"/>
        <v>5.61</v>
      </c>
      <c r="AF141" s="123">
        <f t="shared" si="54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2"/>
        <v>1.25</v>
      </c>
      <c r="C142" s="124">
        <v>1.25</v>
      </c>
      <c r="D142" s="123">
        <f t="shared" si="53"/>
        <v>1.25</v>
      </c>
      <c r="E142" s="123">
        <f t="shared" si="53"/>
        <v>1.25</v>
      </c>
      <c r="F142" s="123">
        <f t="shared" si="53"/>
        <v>1.25</v>
      </c>
      <c r="G142" s="123">
        <f t="shared" si="53"/>
        <v>1.25</v>
      </c>
      <c r="H142" s="123">
        <f t="shared" si="53"/>
        <v>1.25</v>
      </c>
      <c r="I142" s="123">
        <f t="shared" si="53"/>
        <v>1.25</v>
      </c>
      <c r="J142" s="123">
        <f t="shared" si="53"/>
        <v>1.25</v>
      </c>
      <c r="K142" s="123">
        <f t="shared" si="53"/>
        <v>1.25</v>
      </c>
      <c r="L142" s="123">
        <f t="shared" si="53"/>
        <v>1.25</v>
      </c>
      <c r="M142" s="123">
        <f t="shared" si="53"/>
        <v>1.25</v>
      </c>
      <c r="N142" s="123">
        <f t="shared" si="53"/>
        <v>1.25</v>
      </c>
      <c r="O142" s="123">
        <f t="shared" si="53"/>
        <v>1.25</v>
      </c>
      <c r="P142" s="123">
        <f t="shared" si="53"/>
        <v>1.25</v>
      </c>
      <c r="Q142" s="123">
        <f t="shared" si="53"/>
        <v>1.25</v>
      </c>
      <c r="R142" s="123">
        <f t="shared" si="53"/>
        <v>1.25</v>
      </c>
      <c r="S142" s="123">
        <f t="shared" si="53"/>
        <v>1.25</v>
      </c>
      <c r="T142" s="123">
        <f t="shared" si="54"/>
        <v>1.25</v>
      </c>
      <c r="U142" s="123">
        <f t="shared" si="54"/>
        <v>1.25</v>
      </c>
      <c r="V142" s="123">
        <f t="shared" si="54"/>
        <v>1.25</v>
      </c>
      <c r="W142" s="123">
        <f t="shared" si="54"/>
        <v>1.25</v>
      </c>
      <c r="X142" s="123">
        <f t="shared" si="54"/>
        <v>1.25</v>
      </c>
      <c r="Y142" s="123">
        <f t="shared" si="54"/>
        <v>1.25</v>
      </c>
      <c r="Z142" s="123">
        <f t="shared" si="54"/>
        <v>1.25</v>
      </c>
      <c r="AA142" s="123">
        <f t="shared" si="54"/>
        <v>1.25</v>
      </c>
      <c r="AB142" s="123">
        <f t="shared" si="54"/>
        <v>1.25</v>
      </c>
      <c r="AC142" s="123">
        <f t="shared" si="54"/>
        <v>1.25</v>
      </c>
      <c r="AD142" s="123">
        <f t="shared" si="54"/>
        <v>1.25</v>
      </c>
      <c r="AE142" s="123">
        <f t="shared" si="54"/>
        <v>1.25</v>
      </c>
      <c r="AF142" s="123">
        <f t="shared" si="54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2"/>
        <v>1.25</v>
      </c>
      <c r="C143" s="124">
        <v>1.25</v>
      </c>
      <c r="D143" s="123">
        <f t="shared" si="53"/>
        <v>1.25</v>
      </c>
      <c r="E143" s="123">
        <f t="shared" si="53"/>
        <v>1.25</v>
      </c>
      <c r="F143" s="123">
        <f t="shared" si="53"/>
        <v>1.25</v>
      </c>
      <c r="G143" s="123">
        <f t="shared" si="53"/>
        <v>1.25</v>
      </c>
      <c r="H143" s="123">
        <f t="shared" si="53"/>
        <v>1.25</v>
      </c>
      <c r="I143" s="123">
        <f t="shared" si="53"/>
        <v>1.25</v>
      </c>
      <c r="J143" s="123">
        <f t="shared" si="53"/>
        <v>1.25</v>
      </c>
      <c r="K143" s="123">
        <f t="shared" si="53"/>
        <v>1.25</v>
      </c>
      <c r="L143" s="123">
        <f t="shared" si="53"/>
        <v>1.25</v>
      </c>
      <c r="M143" s="123">
        <f t="shared" si="53"/>
        <v>1.25</v>
      </c>
      <c r="N143" s="123">
        <f t="shared" si="53"/>
        <v>1.25</v>
      </c>
      <c r="O143" s="123">
        <f t="shared" si="53"/>
        <v>1.25</v>
      </c>
      <c r="P143" s="123">
        <f t="shared" si="53"/>
        <v>1.25</v>
      </c>
      <c r="Q143" s="123">
        <f t="shared" si="53"/>
        <v>1.25</v>
      </c>
      <c r="R143" s="123">
        <f t="shared" si="53"/>
        <v>1.25</v>
      </c>
      <c r="S143" s="123">
        <f t="shared" si="53"/>
        <v>1.25</v>
      </c>
      <c r="T143" s="123">
        <f t="shared" si="54"/>
        <v>1.25</v>
      </c>
      <c r="U143" s="123">
        <f t="shared" si="54"/>
        <v>1.25</v>
      </c>
      <c r="V143" s="123">
        <f t="shared" si="54"/>
        <v>1.25</v>
      </c>
      <c r="W143" s="123">
        <f t="shared" si="54"/>
        <v>1.25</v>
      </c>
      <c r="X143" s="123">
        <f t="shared" si="54"/>
        <v>1.25</v>
      </c>
      <c r="Y143" s="123">
        <f t="shared" si="54"/>
        <v>1.25</v>
      </c>
      <c r="Z143" s="123">
        <f t="shared" si="54"/>
        <v>1.25</v>
      </c>
      <c r="AA143" s="123">
        <f t="shared" si="54"/>
        <v>1.25</v>
      </c>
      <c r="AB143" s="123">
        <f t="shared" si="54"/>
        <v>1.25</v>
      </c>
      <c r="AC143" s="123">
        <f t="shared" si="54"/>
        <v>1.25</v>
      </c>
      <c r="AD143" s="123">
        <f t="shared" si="54"/>
        <v>1.25</v>
      </c>
      <c r="AE143" s="123">
        <f t="shared" si="54"/>
        <v>1.25</v>
      </c>
      <c r="AF143" s="123">
        <f t="shared" si="54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2"/>
        <v>1.46</v>
      </c>
      <c r="C144" s="124">
        <v>1.46</v>
      </c>
      <c r="D144" s="123">
        <f t="shared" si="53"/>
        <v>1.46</v>
      </c>
      <c r="E144" s="123">
        <f t="shared" si="53"/>
        <v>1.46</v>
      </c>
      <c r="F144" s="123">
        <f t="shared" si="53"/>
        <v>1.46</v>
      </c>
      <c r="G144" s="123">
        <f t="shared" si="53"/>
        <v>1.46</v>
      </c>
      <c r="H144" s="123">
        <f t="shared" si="53"/>
        <v>1.46</v>
      </c>
      <c r="I144" s="123">
        <f t="shared" si="53"/>
        <v>1.46</v>
      </c>
      <c r="J144" s="123">
        <f t="shared" si="53"/>
        <v>1.46</v>
      </c>
      <c r="K144" s="123">
        <f t="shared" si="53"/>
        <v>1.46</v>
      </c>
      <c r="L144" s="123">
        <f t="shared" si="53"/>
        <v>1.46</v>
      </c>
      <c r="M144" s="123">
        <f t="shared" si="53"/>
        <v>1.46</v>
      </c>
      <c r="N144" s="123">
        <f t="shared" si="53"/>
        <v>1.46</v>
      </c>
      <c r="O144" s="123">
        <f t="shared" si="53"/>
        <v>1.46</v>
      </c>
      <c r="P144" s="123">
        <f t="shared" si="53"/>
        <v>1.46</v>
      </c>
      <c r="Q144" s="123">
        <f t="shared" si="53"/>
        <v>1.46</v>
      </c>
      <c r="R144" s="123">
        <f t="shared" si="53"/>
        <v>1.46</v>
      </c>
      <c r="S144" s="123">
        <f t="shared" si="53"/>
        <v>1.46</v>
      </c>
      <c r="T144" s="123">
        <f t="shared" si="54"/>
        <v>1.46</v>
      </c>
      <c r="U144" s="123">
        <f t="shared" si="54"/>
        <v>1.46</v>
      </c>
      <c r="V144" s="123">
        <f t="shared" si="54"/>
        <v>1.46</v>
      </c>
      <c r="W144" s="123">
        <f t="shared" si="54"/>
        <v>1.46</v>
      </c>
      <c r="X144" s="123">
        <f t="shared" si="54"/>
        <v>1.46</v>
      </c>
      <c r="Y144" s="123">
        <f t="shared" si="54"/>
        <v>1.46</v>
      </c>
      <c r="Z144" s="123">
        <f t="shared" si="54"/>
        <v>1.46</v>
      </c>
      <c r="AA144" s="123">
        <f t="shared" si="54"/>
        <v>1.46</v>
      </c>
      <c r="AB144" s="123">
        <f t="shared" si="54"/>
        <v>1.46</v>
      </c>
      <c r="AC144" s="123">
        <f t="shared" si="54"/>
        <v>1.46</v>
      </c>
      <c r="AD144" s="123">
        <f t="shared" si="54"/>
        <v>1.46</v>
      </c>
      <c r="AE144" s="123">
        <f t="shared" si="54"/>
        <v>1.46</v>
      </c>
      <c r="AF144" s="123">
        <f t="shared" si="54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2"/>
        <v>3</v>
      </c>
      <c r="C145" s="124">
        <v>3</v>
      </c>
      <c r="D145" s="123">
        <f t="shared" si="53"/>
        <v>3</v>
      </c>
      <c r="E145" s="123">
        <f t="shared" si="53"/>
        <v>3</v>
      </c>
      <c r="F145" s="123">
        <f t="shared" si="53"/>
        <v>3</v>
      </c>
      <c r="G145" s="123">
        <f t="shared" si="53"/>
        <v>3</v>
      </c>
      <c r="H145" s="123">
        <f t="shared" si="53"/>
        <v>3</v>
      </c>
      <c r="I145" s="123">
        <f t="shared" si="53"/>
        <v>3</v>
      </c>
      <c r="J145" s="123">
        <f t="shared" si="53"/>
        <v>3</v>
      </c>
      <c r="K145" s="123">
        <f t="shared" si="53"/>
        <v>3</v>
      </c>
      <c r="L145" s="123">
        <f t="shared" si="53"/>
        <v>3</v>
      </c>
      <c r="M145" s="123">
        <f t="shared" si="53"/>
        <v>3</v>
      </c>
      <c r="N145" s="123">
        <f t="shared" si="53"/>
        <v>3</v>
      </c>
      <c r="O145" s="123">
        <f t="shared" si="53"/>
        <v>3</v>
      </c>
      <c r="P145" s="123">
        <f t="shared" si="53"/>
        <v>3</v>
      </c>
      <c r="Q145" s="123">
        <f t="shared" si="53"/>
        <v>3</v>
      </c>
      <c r="R145" s="123">
        <f t="shared" si="53"/>
        <v>3</v>
      </c>
      <c r="S145" s="123">
        <f t="shared" si="53"/>
        <v>3</v>
      </c>
      <c r="T145" s="123">
        <f t="shared" si="54"/>
        <v>3</v>
      </c>
      <c r="U145" s="123">
        <f t="shared" si="54"/>
        <v>3</v>
      </c>
      <c r="V145" s="123">
        <f t="shared" si="54"/>
        <v>3</v>
      </c>
      <c r="W145" s="123">
        <f t="shared" si="54"/>
        <v>3</v>
      </c>
      <c r="X145" s="123">
        <f t="shared" si="54"/>
        <v>3</v>
      </c>
      <c r="Y145" s="123">
        <f t="shared" si="54"/>
        <v>3</v>
      </c>
      <c r="Z145" s="123">
        <f t="shared" si="54"/>
        <v>3</v>
      </c>
      <c r="AA145" s="123">
        <f t="shared" si="54"/>
        <v>3</v>
      </c>
      <c r="AB145" s="123">
        <f t="shared" si="54"/>
        <v>3</v>
      </c>
      <c r="AC145" s="123">
        <f t="shared" si="54"/>
        <v>3</v>
      </c>
      <c r="AD145" s="123">
        <f t="shared" si="54"/>
        <v>3</v>
      </c>
      <c r="AE145" s="123">
        <f t="shared" si="54"/>
        <v>3</v>
      </c>
      <c r="AF145" s="123">
        <f t="shared" si="54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2"/>
        <v>3.3</v>
      </c>
      <c r="C146" s="124">
        <v>3.3</v>
      </c>
      <c r="D146" s="123">
        <f t="shared" si="53"/>
        <v>3.3</v>
      </c>
      <c r="E146" s="123">
        <f t="shared" si="53"/>
        <v>3.3</v>
      </c>
      <c r="F146" s="123">
        <f t="shared" si="53"/>
        <v>3.3</v>
      </c>
      <c r="G146" s="123">
        <f t="shared" si="53"/>
        <v>3.3</v>
      </c>
      <c r="H146" s="123">
        <f t="shared" si="53"/>
        <v>3.3</v>
      </c>
      <c r="I146" s="123">
        <f t="shared" si="53"/>
        <v>3.3</v>
      </c>
      <c r="J146" s="123">
        <f t="shared" si="53"/>
        <v>3.3</v>
      </c>
      <c r="K146" s="123">
        <f t="shared" si="53"/>
        <v>3.3</v>
      </c>
      <c r="L146" s="123">
        <f t="shared" si="53"/>
        <v>3.3</v>
      </c>
      <c r="M146" s="123">
        <f t="shared" si="53"/>
        <v>3.3</v>
      </c>
      <c r="N146" s="123">
        <f t="shared" si="53"/>
        <v>3.3</v>
      </c>
      <c r="O146" s="123">
        <f t="shared" si="53"/>
        <v>3.3</v>
      </c>
      <c r="P146" s="123">
        <f t="shared" si="53"/>
        <v>3.3</v>
      </c>
      <c r="Q146" s="123">
        <f t="shared" si="53"/>
        <v>3.3</v>
      </c>
      <c r="R146" s="123">
        <f t="shared" si="53"/>
        <v>3.3</v>
      </c>
      <c r="S146" s="123">
        <f t="shared" si="53"/>
        <v>3.3</v>
      </c>
      <c r="T146" s="123">
        <f t="shared" si="54"/>
        <v>3.3</v>
      </c>
      <c r="U146" s="123">
        <f t="shared" si="54"/>
        <v>3.3</v>
      </c>
      <c r="V146" s="123">
        <f t="shared" si="54"/>
        <v>3.3</v>
      </c>
      <c r="W146" s="123">
        <f t="shared" si="54"/>
        <v>3.3</v>
      </c>
      <c r="X146" s="123">
        <f t="shared" si="54"/>
        <v>3.3</v>
      </c>
      <c r="Y146" s="123">
        <f t="shared" si="54"/>
        <v>3.3</v>
      </c>
      <c r="Z146" s="123">
        <f t="shared" si="54"/>
        <v>3.3</v>
      </c>
      <c r="AA146" s="123">
        <f t="shared" si="54"/>
        <v>3.3</v>
      </c>
      <c r="AB146" s="123">
        <f t="shared" si="54"/>
        <v>3.3</v>
      </c>
      <c r="AC146" s="123">
        <f t="shared" si="54"/>
        <v>3.3</v>
      </c>
      <c r="AD146" s="123">
        <f t="shared" si="54"/>
        <v>3.3</v>
      </c>
      <c r="AE146" s="123">
        <f t="shared" si="54"/>
        <v>3.3</v>
      </c>
      <c r="AF146" s="123">
        <f t="shared" si="54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5">C148</f>
        <v>1.76</v>
      </c>
      <c r="E148" s="123">
        <f t="shared" si="55"/>
        <v>1.76</v>
      </c>
      <c r="F148" s="123">
        <f t="shared" si="55"/>
        <v>1.76</v>
      </c>
      <c r="G148" s="123">
        <f t="shared" si="55"/>
        <v>1.76</v>
      </c>
      <c r="H148" s="123">
        <f t="shared" si="55"/>
        <v>1.76</v>
      </c>
      <c r="I148" s="123">
        <f t="shared" si="55"/>
        <v>1.76</v>
      </c>
      <c r="J148" s="123">
        <f t="shared" si="55"/>
        <v>1.76</v>
      </c>
      <c r="K148" s="123">
        <f t="shared" si="55"/>
        <v>1.76</v>
      </c>
      <c r="L148" s="123">
        <f t="shared" si="55"/>
        <v>1.76</v>
      </c>
      <c r="M148" s="123">
        <f t="shared" si="55"/>
        <v>1.76</v>
      </c>
      <c r="N148" s="123">
        <f t="shared" si="55"/>
        <v>1.76</v>
      </c>
      <c r="O148" s="123">
        <f t="shared" si="55"/>
        <v>1.76</v>
      </c>
      <c r="P148" s="123">
        <f t="shared" si="55"/>
        <v>1.76</v>
      </c>
      <c r="Q148" s="123">
        <f t="shared" si="55"/>
        <v>1.76</v>
      </c>
      <c r="R148" s="123">
        <f t="shared" si="55"/>
        <v>1.76</v>
      </c>
      <c r="S148" s="123">
        <f t="shared" si="55"/>
        <v>1.76</v>
      </c>
      <c r="T148" s="123">
        <f t="shared" ref="T148:AF149" si="56">S148</f>
        <v>1.76</v>
      </c>
      <c r="U148" s="123">
        <f t="shared" si="56"/>
        <v>1.76</v>
      </c>
      <c r="V148" s="123">
        <f t="shared" si="56"/>
        <v>1.76</v>
      </c>
      <c r="W148" s="123">
        <f t="shared" si="56"/>
        <v>1.76</v>
      </c>
      <c r="X148" s="123">
        <f t="shared" si="56"/>
        <v>1.76</v>
      </c>
      <c r="Y148" s="123">
        <f t="shared" si="56"/>
        <v>1.76</v>
      </c>
      <c r="Z148" s="123">
        <f t="shared" si="56"/>
        <v>1.76</v>
      </c>
      <c r="AA148" s="123">
        <f t="shared" si="56"/>
        <v>1.76</v>
      </c>
      <c r="AB148" s="123">
        <f t="shared" si="56"/>
        <v>1.76</v>
      </c>
      <c r="AC148" s="123">
        <f t="shared" si="56"/>
        <v>1.76</v>
      </c>
      <c r="AD148" s="123">
        <f t="shared" si="56"/>
        <v>1.76</v>
      </c>
      <c r="AE148" s="123">
        <f t="shared" si="56"/>
        <v>1.76</v>
      </c>
      <c r="AF148" s="123">
        <f t="shared" si="56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5"/>
        <v>0</v>
      </c>
      <c r="E149" s="123">
        <f t="shared" si="55"/>
        <v>0</v>
      </c>
      <c r="F149" s="123">
        <f t="shared" si="55"/>
        <v>0</v>
      </c>
      <c r="G149" s="123">
        <f t="shared" si="55"/>
        <v>0</v>
      </c>
      <c r="H149" s="123">
        <f t="shared" si="55"/>
        <v>0</v>
      </c>
      <c r="I149" s="123">
        <f t="shared" si="55"/>
        <v>0</v>
      </c>
      <c r="J149" s="123">
        <f t="shared" si="55"/>
        <v>0</v>
      </c>
      <c r="K149" s="123">
        <f t="shared" si="55"/>
        <v>0</v>
      </c>
      <c r="L149" s="123">
        <f t="shared" si="55"/>
        <v>0</v>
      </c>
      <c r="M149" s="123">
        <f t="shared" si="55"/>
        <v>0</v>
      </c>
      <c r="N149" s="123">
        <f t="shared" si="55"/>
        <v>0</v>
      </c>
      <c r="O149" s="123">
        <f t="shared" si="55"/>
        <v>0</v>
      </c>
      <c r="P149" s="123">
        <f t="shared" si="55"/>
        <v>0</v>
      </c>
      <c r="Q149" s="123">
        <f t="shared" si="55"/>
        <v>0</v>
      </c>
      <c r="R149" s="123">
        <f t="shared" si="55"/>
        <v>0</v>
      </c>
      <c r="S149" s="123">
        <f t="shared" si="55"/>
        <v>0</v>
      </c>
      <c r="T149" s="123">
        <f t="shared" si="56"/>
        <v>0</v>
      </c>
      <c r="U149" s="123">
        <f t="shared" si="56"/>
        <v>0</v>
      </c>
      <c r="V149" s="123">
        <f t="shared" si="56"/>
        <v>0</v>
      </c>
      <c r="W149" s="123">
        <f t="shared" si="56"/>
        <v>0</v>
      </c>
      <c r="X149" s="123">
        <f t="shared" si="56"/>
        <v>0</v>
      </c>
      <c r="Y149" s="123">
        <f t="shared" si="56"/>
        <v>0</v>
      </c>
      <c r="Z149" s="123">
        <f t="shared" si="56"/>
        <v>0</v>
      </c>
      <c r="AA149" s="123">
        <f t="shared" si="56"/>
        <v>0</v>
      </c>
      <c r="AB149" s="123">
        <f t="shared" si="56"/>
        <v>0</v>
      </c>
      <c r="AC149" s="123">
        <f t="shared" si="56"/>
        <v>0</v>
      </c>
      <c r="AD149" s="123">
        <f t="shared" si="56"/>
        <v>0</v>
      </c>
      <c r="AE149" s="123">
        <f t="shared" si="56"/>
        <v>0</v>
      </c>
      <c r="AF149" s="123">
        <f t="shared" si="56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57">C151</f>
        <v>0.1</v>
      </c>
      <c r="E151" s="123">
        <f t="shared" si="57"/>
        <v>0.1</v>
      </c>
      <c r="F151" s="123">
        <f t="shared" si="57"/>
        <v>0.1</v>
      </c>
      <c r="G151" s="123">
        <f t="shared" si="57"/>
        <v>0.1</v>
      </c>
      <c r="H151" s="123">
        <f t="shared" si="57"/>
        <v>0.1</v>
      </c>
      <c r="I151" s="123">
        <f t="shared" si="57"/>
        <v>0.1</v>
      </c>
      <c r="J151" s="123">
        <f t="shared" si="57"/>
        <v>0.1</v>
      </c>
      <c r="K151" s="123">
        <f t="shared" si="57"/>
        <v>0.1</v>
      </c>
      <c r="L151" s="123">
        <f t="shared" si="57"/>
        <v>0.1</v>
      </c>
      <c r="M151" s="123">
        <f t="shared" si="57"/>
        <v>0.1</v>
      </c>
      <c r="N151" s="123">
        <f t="shared" si="57"/>
        <v>0.1</v>
      </c>
      <c r="O151" s="123">
        <f t="shared" si="57"/>
        <v>0.1</v>
      </c>
      <c r="P151" s="123">
        <f t="shared" si="57"/>
        <v>0.1</v>
      </c>
      <c r="Q151" s="123">
        <f t="shared" si="57"/>
        <v>0.1</v>
      </c>
      <c r="R151" s="123">
        <f t="shared" si="57"/>
        <v>0.1</v>
      </c>
      <c r="S151" s="123">
        <f t="shared" si="57"/>
        <v>0.1</v>
      </c>
      <c r="T151" s="123">
        <f t="shared" ref="T151:AF154" si="58">S151</f>
        <v>0.1</v>
      </c>
      <c r="U151" s="123">
        <f t="shared" si="58"/>
        <v>0.1</v>
      </c>
      <c r="V151" s="123">
        <f t="shared" si="58"/>
        <v>0.1</v>
      </c>
      <c r="W151" s="123">
        <f t="shared" si="58"/>
        <v>0.1</v>
      </c>
      <c r="X151" s="123">
        <f t="shared" si="58"/>
        <v>0.1</v>
      </c>
      <c r="Y151" s="123">
        <f t="shared" si="58"/>
        <v>0.1</v>
      </c>
      <c r="Z151" s="123">
        <f t="shared" si="58"/>
        <v>0.1</v>
      </c>
      <c r="AA151" s="123">
        <f t="shared" si="58"/>
        <v>0.1</v>
      </c>
      <c r="AB151" s="123">
        <f t="shared" si="58"/>
        <v>0.1</v>
      </c>
      <c r="AC151" s="123">
        <f t="shared" si="58"/>
        <v>0.1</v>
      </c>
      <c r="AD151" s="123">
        <f t="shared" si="58"/>
        <v>0.1</v>
      </c>
      <c r="AE151" s="123">
        <f t="shared" si="58"/>
        <v>0.1</v>
      </c>
      <c r="AF151" s="123">
        <f t="shared" si="58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57"/>
        <v>2.0499999999999998</v>
      </c>
      <c r="E152" s="123">
        <f t="shared" si="57"/>
        <v>2.0499999999999998</v>
      </c>
      <c r="F152" s="123">
        <f t="shared" si="57"/>
        <v>2.0499999999999998</v>
      </c>
      <c r="G152" s="123">
        <f t="shared" si="57"/>
        <v>2.0499999999999998</v>
      </c>
      <c r="H152" s="123">
        <f t="shared" si="57"/>
        <v>2.0499999999999998</v>
      </c>
      <c r="I152" s="123">
        <f t="shared" si="57"/>
        <v>2.0499999999999998</v>
      </c>
      <c r="J152" s="123">
        <f t="shared" si="57"/>
        <v>2.0499999999999998</v>
      </c>
      <c r="K152" s="123">
        <f t="shared" si="57"/>
        <v>2.0499999999999998</v>
      </c>
      <c r="L152" s="123">
        <f t="shared" si="57"/>
        <v>2.0499999999999998</v>
      </c>
      <c r="M152" s="123">
        <f t="shared" si="57"/>
        <v>2.0499999999999998</v>
      </c>
      <c r="N152" s="123">
        <f t="shared" si="57"/>
        <v>2.0499999999999998</v>
      </c>
      <c r="O152" s="123">
        <f t="shared" si="57"/>
        <v>2.0499999999999998</v>
      </c>
      <c r="P152" s="123">
        <f t="shared" si="57"/>
        <v>2.0499999999999998</v>
      </c>
      <c r="Q152" s="123">
        <f t="shared" si="57"/>
        <v>2.0499999999999998</v>
      </c>
      <c r="R152" s="123">
        <f t="shared" si="57"/>
        <v>2.0499999999999998</v>
      </c>
      <c r="S152" s="123">
        <f t="shared" si="57"/>
        <v>2.0499999999999998</v>
      </c>
      <c r="T152" s="123">
        <f t="shared" si="58"/>
        <v>2.0499999999999998</v>
      </c>
      <c r="U152" s="123">
        <f t="shared" si="58"/>
        <v>2.0499999999999998</v>
      </c>
      <c r="V152" s="123">
        <f t="shared" si="58"/>
        <v>2.0499999999999998</v>
      </c>
      <c r="W152" s="123">
        <f t="shared" si="58"/>
        <v>2.0499999999999998</v>
      </c>
      <c r="X152" s="123">
        <f t="shared" si="58"/>
        <v>2.0499999999999998</v>
      </c>
      <c r="Y152" s="123">
        <f t="shared" si="58"/>
        <v>2.0499999999999998</v>
      </c>
      <c r="Z152" s="123">
        <f t="shared" si="58"/>
        <v>2.0499999999999998</v>
      </c>
      <c r="AA152" s="123">
        <f t="shared" si="58"/>
        <v>2.0499999999999998</v>
      </c>
      <c r="AB152" s="123">
        <f t="shared" si="58"/>
        <v>2.0499999999999998</v>
      </c>
      <c r="AC152" s="123">
        <f t="shared" si="58"/>
        <v>2.0499999999999998</v>
      </c>
      <c r="AD152" s="123">
        <f t="shared" si="58"/>
        <v>2.0499999999999998</v>
      </c>
      <c r="AE152" s="123">
        <f t="shared" si="58"/>
        <v>2.0499999999999998</v>
      </c>
      <c r="AF152" s="123">
        <f t="shared" si="58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57"/>
        <v>2.7</v>
      </c>
      <c r="E153" s="123">
        <f t="shared" si="57"/>
        <v>2.7</v>
      </c>
      <c r="F153" s="123">
        <f t="shared" si="57"/>
        <v>2.7</v>
      </c>
      <c r="G153" s="123">
        <f t="shared" si="57"/>
        <v>2.7</v>
      </c>
      <c r="H153" s="123">
        <f t="shared" si="57"/>
        <v>2.7</v>
      </c>
      <c r="I153" s="123">
        <f t="shared" si="57"/>
        <v>2.7</v>
      </c>
      <c r="J153" s="123">
        <f t="shared" si="57"/>
        <v>2.7</v>
      </c>
      <c r="K153" s="123">
        <f t="shared" si="57"/>
        <v>2.7</v>
      </c>
      <c r="L153" s="123">
        <f t="shared" si="57"/>
        <v>2.7</v>
      </c>
      <c r="M153" s="123">
        <f t="shared" si="57"/>
        <v>2.7</v>
      </c>
      <c r="N153" s="123">
        <f t="shared" si="57"/>
        <v>2.7</v>
      </c>
      <c r="O153" s="123">
        <f t="shared" si="57"/>
        <v>2.7</v>
      </c>
      <c r="P153" s="123">
        <f t="shared" si="57"/>
        <v>2.7</v>
      </c>
      <c r="Q153" s="123">
        <f t="shared" si="57"/>
        <v>2.7</v>
      </c>
      <c r="R153" s="123">
        <f t="shared" si="57"/>
        <v>2.7</v>
      </c>
      <c r="S153" s="123">
        <f t="shared" si="57"/>
        <v>2.7</v>
      </c>
      <c r="T153" s="123">
        <f t="shared" si="58"/>
        <v>2.7</v>
      </c>
      <c r="U153" s="123">
        <f t="shared" si="58"/>
        <v>2.7</v>
      </c>
      <c r="V153" s="123">
        <f t="shared" si="58"/>
        <v>2.7</v>
      </c>
      <c r="W153" s="123">
        <f t="shared" si="58"/>
        <v>2.7</v>
      </c>
      <c r="X153" s="123">
        <f t="shared" si="58"/>
        <v>2.7</v>
      </c>
      <c r="Y153" s="123">
        <f t="shared" si="58"/>
        <v>2.7</v>
      </c>
      <c r="Z153" s="123">
        <f t="shared" si="58"/>
        <v>2.7</v>
      </c>
      <c r="AA153" s="123">
        <f t="shared" si="58"/>
        <v>2.7</v>
      </c>
      <c r="AB153" s="123">
        <f t="shared" si="58"/>
        <v>2.7</v>
      </c>
      <c r="AC153" s="123">
        <f t="shared" si="58"/>
        <v>2.7</v>
      </c>
      <c r="AD153" s="123">
        <f t="shared" si="58"/>
        <v>2.7</v>
      </c>
      <c r="AE153" s="123">
        <f t="shared" si="58"/>
        <v>2.7</v>
      </c>
      <c r="AF153" s="123">
        <f t="shared" si="58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57"/>
        <v>2.15</v>
      </c>
      <c r="E154" s="123">
        <f t="shared" si="57"/>
        <v>2.15</v>
      </c>
      <c r="F154" s="123">
        <f t="shared" si="57"/>
        <v>2.15</v>
      </c>
      <c r="G154" s="123">
        <f t="shared" si="57"/>
        <v>2.15</v>
      </c>
      <c r="H154" s="123">
        <f t="shared" si="57"/>
        <v>2.15</v>
      </c>
      <c r="I154" s="123">
        <f t="shared" si="57"/>
        <v>2.15</v>
      </c>
      <c r="J154" s="123">
        <f t="shared" si="57"/>
        <v>2.15</v>
      </c>
      <c r="K154" s="123">
        <f t="shared" si="57"/>
        <v>2.15</v>
      </c>
      <c r="L154" s="123">
        <f t="shared" si="57"/>
        <v>2.15</v>
      </c>
      <c r="M154" s="123">
        <f t="shared" si="57"/>
        <v>2.15</v>
      </c>
      <c r="N154" s="123">
        <f t="shared" si="57"/>
        <v>2.15</v>
      </c>
      <c r="O154" s="123">
        <f t="shared" si="57"/>
        <v>2.15</v>
      </c>
      <c r="P154" s="123">
        <f t="shared" si="57"/>
        <v>2.15</v>
      </c>
      <c r="Q154" s="123">
        <f t="shared" si="57"/>
        <v>2.15</v>
      </c>
      <c r="R154" s="123">
        <f t="shared" si="57"/>
        <v>2.15</v>
      </c>
      <c r="S154" s="123">
        <f t="shared" si="57"/>
        <v>2.15</v>
      </c>
      <c r="T154" s="123">
        <f t="shared" si="58"/>
        <v>2.15</v>
      </c>
      <c r="U154" s="123">
        <f t="shared" si="58"/>
        <v>2.15</v>
      </c>
      <c r="V154" s="123">
        <f t="shared" si="58"/>
        <v>2.15</v>
      </c>
      <c r="W154" s="123">
        <f t="shared" si="58"/>
        <v>2.15</v>
      </c>
      <c r="X154" s="123">
        <f t="shared" si="58"/>
        <v>2.15</v>
      </c>
      <c r="Y154" s="123">
        <f t="shared" si="58"/>
        <v>2.15</v>
      </c>
      <c r="Z154" s="123">
        <f t="shared" si="58"/>
        <v>2.15</v>
      </c>
      <c r="AA154" s="123">
        <f t="shared" si="58"/>
        <v>2.15</v>
      </c>
      <c r="AB154" s="123">
        <f t="shared" si="58"/>
        <v>2.15</v>
      </c>
      <c r="AC154" s="123">
        <f t="shared" si="58"/>
        <v>2.15</v>
      </c>
      <c r="AD154" s="123">
        <f t="shared" si="58"/>
        <v>2.15</v>
      </c>
      <c r="AE154" s="123">
        <f t="shared" si="58"/>
        <v>2.15</v>
      </c>
      <c r="AF154" s="123">
        <f t="shared" si="58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59">AF156</f>
        <v>0.9</v>
      </c>
      <c r="C156" s="124">
        <v>0.9</v>
      </c>
      <c r="D156" s="123">
        <f t="shared" ref="D156:S168" si="60">C156</f>
        <v>0.9</v>
      </c>
      <c r="E156" s="123">
        <f t="shared" si="60"/>
        <v>0.9</v>
      </c>
      <c r="F156" s="123">
        <f t="shared" si="60"/>
        <v>0.9</v>
      </c>
      <c r="G156" s="123">
        <f t="shared" si="60"/>
        <v>0.9</v>
      </c>
      <c r="H156" s="123">
        <f t="shared" si="60"/>
        <v>0.9</v>
      </c>
      <c r="I156" s="123">
        <f t="shared" si="60"/>
        <v>0.9</v>
      </c>
      <c r="J156" s="123">
        <f t="shared" si="60"/>
        <v>0.9</v>
      </c>
      <c r="K156" s="123">
        <f t="shared" si="60"/>
        <v>0.9</v>
      </c>
      <c r="L156" s="123">
        <f t="shared" si="60"/>
        <v>0.9</v>
      </c>
      <c r="M156" s="123">
        <f t="shared" si="60"/>
        <v>0.9</v>
      </c>
      <c r="N156" s="123">
        <f t="shared" si="60"/>
        <v>0.9</v>
      </c>
      <c r="O156" s="123">
        <f t="shared" si="60"/>
        <v>0.9</v>
      </c>
      <c r="P156" s="123">
        <f t="shared" si="60"/>
        <v>0.9</v>
      </c>
      <c r="Q156" s="123">
        <f t="shared" si="60"/>
        <v>0.9</v>
      </c>
      <c r="R156" s="123">
        <f t="shared" si="60"/>
        <v>0.9</v>
      </c>
      <c r="S156" s="123">
        <f t="shared" si="60"/>
        <v>0.9</v>
      </c>
      <c r="T156" s="123">
        <f t="shared" ref="S156:AF168" si="61">S156</f>
        <v>0.9</v>
      </c>
      <c r="U156" s="123">
        <f t="shared" si="61"/>
        <v>0.9</v>
      </c>
      <c r="V156" s="123">
        <f t="shared" si="61"/>
        <v>0.9</v>
      </c>
      <c r="W156" s="123">
        <f t="shared" si="61"/>
        <v>0.9</v>
      </c>
      <c r="X156" s="123">
        <f t="shared" si="61"/>
        <v>0.9</v>
      </c>
      <c r="Y156" s="123">
        <f t="shared" si="61"/>
        <v>0.9</v>
      </c>
      <c r="Z156" s="123">
        <f t="shared" si="61"/>
        <v>0.9</v>
      </c>
      <c r="AA156" s="123">
        <f t="shared" si="61"/>
        <v>0.9</v>
      </c>
      <c r="AB156" s="123">
        <f t="shared" si="61"/>
        <v>0.9</v>
      </c>
      <c r="AC156" s="123">
        <f t="shared" si="61"/>
        <v>0.9</v>
      </c>
      <c r="AD156" s="123">
        <f t="shared" si="61"/>
        <v>0.9</v>
      </c>
      <c r="AE156" s="123">
        <f t="shared" si="61"/>
        <v>0.9</v>
      </c>
      <c r="AF156" s="123">
        <f t="shared" si="61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59"/>
        <v>1.08</v>
      </c>
      <c r="C157" s="124">
        <v>1.08</v>
      </c>
      <c r="D157" s="123">
        <f t="shared" si="60"/>
        <v>1.08</v>
      </c>
      <c r="E157" s="123">
        <f t="shared" si="60"/>
        <v>1.08</v>
      </c>
      <c r="F157" s="123">
        <f t="shared" si="60"/>
        <v>1.08</v>
      </c>
      <c r="G157" s="123">
        <f t="shared" si="60"/>
        <v>1.08</v>
      </c>
      <c r="H157" s="123">
        <f t="shared" si="60"/>
        <v>1.08</v>
      </c>
      <c r="I157" s="123">
        <f t="shared" si="60"/>
        <v>1.08</v>
      </c>
      <c r="J157" s="123">
        <f t="shared" si="60"/>
        <v>1.08</v>
      </c>
      <c r="K157" s="123">
        <f t="shared" si="60"/>
        <v>1.08</v>
      </c>
      <c r="L157" s="123">
        <f t="shared" si="60"/>
        <v>1.08</v>
      </c>
      <c r="M157" s="123">
        <f t="shared" si="60"/>
        <v>1.08</v>
      </c>
      <c r="N157" s="123">
        <f t="shared" si="60"/>
        <v>1.08</v>
      </c>
      <c r="O157" s="123">
        <f t="shared" si="60"/>
        <v>1.08</v>
      </c>
      <c r="P157" s="123">
        <f t="shared" si="60"/>
        <v>1.08</v>
      </c>
      <c r="Q157" s="123">
        <f t="shared" si="60"/>
        <v>1.08</v>
      </c>
      <c r="R157" s="123">
        <f t="shared" si="60"/>
        <v>1.08</v>
      </c>
      <c r="S157" s="123">
        <f t="shared" si="60"/>
        <v>1.08</v>
      </c>
      <c r="T157" s="123">
        <f t="shared" si="61"/>
        <v>1.08</v>
      </c>
      <c r="U157" s="123">
        <f t="shared" si="61"/>
        <v>1.08</v>
      </c>
      <c r="V157" s="123">
        <f t="shared" si="61"/>
        <v>1.08</v>
      </c>
      <c r="W157" s="123">
        <f t="shared" si="61"/>
        <v>1.08</v>
      </c>
      <c r="X157" s="123">
        <f t="shared" si="61"/>
        <v>1.08</v>
      </c>
      <c r="Y157" s="123">
        <f t="shared" si="61"/>
        <v>1.08</v>
      </c>
      <c r="Z157" s="123">
        <f t="shared" si="61"/>
        <v>1.08</v>
      </c>
      <c r="AA157" s="123">
        <f t="shared" si="61"/>
        <v>1.08</v>
      </c>
      <c r="AB157" s="123">
        <f t="shared" si="61"/>
        <v>1.08</v>
      </c>
      <c r="AC157" s="123">
        <f t="shared" si="61"/>
        <v>1.08</v>
      </c>
      <c r="AD157" s="123">
        <f t="shared" si="61"/>
        <v>1.08</v>
      </c>
      <c r="AE157" s="123">
        <f t="shared" si="61"/>
        <v>1.08</v>
      </c>
      <c r="AF157" s="123">
        <f t="shared" si="61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59"/>
        <v>2.37</v>
      </c>
      <c r="C158" s="124">
        <v>2.37</v>
      </c>
      <c r="D158" s="123">
        <f t="shared" si="60"/>
        <v>2.37</v>
      </c>
      <c r="E158" s="123">
        <f t="shared" si="60"/>
        <v>2.37</v>
      </c>
      <c r="F158" s="123">
        <f t="shared" si="60"/>
        <v>2.37</v>
      </c>
      <c r="G158" s="123">
        <f t="shared" si="60"/>
        <v>2.37</v>
      </c>
      <c r="H158" s="123">
        <f t="shared" si="60"/>
        <v>2.37</v>
      </c>
      <c r="I158" s="123">
        <f t="shared" si="60"/>
        <v>2.37</v>
      </c>
      <c r="J158" s="123">
        <f t="shared" si="60"/>
        <v>2.37</v>
      </c>
      <c r="K158" s="123">
        <f t="shared" si="60"/>
        <v>2.37</v>
      </c>
      <c r="L158" s="123">
        <f t="shared" si="60"/>
        <v>2.37</v>
      </c>
      <c r="M158" s="123">
        <f t="shared" si="60"/>
        <v>2.37</v>
      </c>
      <c r="N158" s="123">
        <f t="shared" si="60"/>
        <v>2.37</v>
      </c>
      <c r="O158" s="123">
        <f t="shared" si="60"/>
        <v>2.37</v>
      </c>
      <c r="P158" s="123">
        <f t="shared" si="60"/>
        <v>2.37</v>
      </c>
      <c r="Q158" s="123">
        <f t="shared" si="60"/>
        <v>2.37</v>
      </c>
      <c r="R158" s="123">
        <f t="shared" si="60"/>
        <v>2.37</v>
      </c>
      <c r="S158" s="123">
        <f t="shared" si="60"/>
        <v>2.37</v>
      </c>
      <c r="T158" s="123">
        <f t="shared" si="61"/>
        <v>2.37</v>
      </c>
      <c r="U158" s="123">
        <f t="shared" si="61"/>
        <v>2.37</v>
      </c>
      <c r="V158" s="123">
        <f t="shared" si="61"/>
        <v>2.37</v>
      </c>
      <c r="W158" s="123">
        <f t="shared" si="61"/>
        <v>2.37</v>
      </c>
      <c r="X158" s="123">
        <f t="shared" si="61"/>
        <v>2.37</v>
      </c>
      <c r="Y158" s="123">
        <f t="shared" si="61"/>
        <v>2.37</v>
      </c>
      <c r="Z158" s="123">
        <f t="shared" si="61"/>
        <v>2.37</v>
      </c>
      <c r="AA158" s="123">
        <f t="shared" si="61"/>
        <v>2.37</v>
      </c>
      <c r="AB158" s="123">
        <f t="shared" si="61"/>
        <v>2.37</v>
      </c>
      <c r="AC158" s="123">
        <f t="shared" si="61"/>
        <v>2.37</v>
      </c>
      <c r="AD158" s="123">
        <f t="shared" si="61"/>
        <v>2.37</v>
      </c>
      <c r="AE158" s="123">
        <f t="shared" si="61"/>
        <v>2.37</v>
      </c>
      <c r="AF158" s="123">
        <f t="shared" si="61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59"/>
        <v>1.81</v>
      </c>
      <c r="C159" s="124">
        <v>1.81</v>
      </c>
      <c r="D159" s="123">
        <f t="shared" si="60"/>
        <v>1.81</v>
      </c>
      <c r="E159" s="123">
        <f t="shared" si="60"/>
        <v>1.81</v>
      </c>
      <c r="F159" s="123">
        <f t="shared" si="60"/>
        <v>1.81</v>
      </c>
      <c r="G159" s="123">
        <f t="shared" si="60"/>
        <v>1.81</v>
      </c>
      <c r="H159" s="123">
        <f t="shared" si="60"/>
        <v>1.81</v>
      </c>
      <c r="I159" s="123">
        <f t="shared" si="60"/>
        <v>1.81</v>
      </c>
      <c r="J159" s="123">
        <f t="shared" si="60"/>
        <v>1.81</v>
      </c>
      <c r="K159" s="123">
        <f t="shared" si="60"/>
        <v>1.81</v>
      </c>
      <c r="L159" s="123">
        <f t="shared" si="60"/>
        <v>1.81</v>
      </c>
      <c r="M159" s="123">
        <f t="shared" si="60"/>
        <v>1.81</v>
      </c>
      <c r="N159" s="123">
        <f t="shared" si="60"/>
        <v>1.81</v>
      </c>
      <c r="O159" s="123">
        <f t="shared" si="60"/>
        <v>1.81</v>
      </c>
      <c r="P159" s="123">
        <f t="shared" si="60"/>
        <v>1.81</v>
      </c>
      <c r="Q159" s="123">
        <f t="shared" si="60"/>
        <v>1.81</v>
      </c>
      <c r="R159" s="123">
        <f t="shared" si="60"/>
        <v>1.81</v>
      </c>
      <c r="S159" s="123">
        <f t="shared" si="60"/>
        <v>1.81</v>
      </c>
      <c r="T159" s="123">
        <f t="shared" si="61"/>
        <v>1.81</v>
      </c>
      <c r="U159" s="123">
        <f t="shared" si="61"/>
        <v>1.81</v>
      </c>
      <c r="V159" s="123">
        <f t="shared" si="61"/>
        <v>1.81</v>
      </c>
      <c r="W159" s="123">
        <f t="shared" si="61"/>
        <v>1.81</v>
      </c>
      <c r="X159" s="123">
        <f t="shared" si="61"/>
        <v>1.81</v>
      </c>
      <c r="Y159" s="123">
        <f t="shared" si="61"/>
        <v>1.81</v>
      </c>
      <c r="Z159" s="123">
        <f t="shared" si="61"/>
        <v>1.81</v>
      </c>
      <c r="AA159" s="123">
        <f t="shared" si="61"/>
        <v>1.81</v>
      </c>
      <c r="AB159" s="123">
        <f t="shared" si="61"/>
        <v>1.81</v>
      </c>
      <c r="AC159" s="123">
        <f t="shared" si="61"/>
        <v>1.81</v>
      </c>
      <c r="AD159" s="123">
        <f t="shared" si="61"/>
        <v>1.81</v>
      </c>
      <c r="AE159" s="123">
        <f t="shared" si="61"/>
        <v>1.81</v>
      </c>
      <c r="AF159" s="123">
        <f t="shared" si="61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59"/>
        <v>1.0900000000000001</v>
      </c>
      <c r="C160" s="124">
        <v>1.0900000000000001</v>
      </c>
      <c r="D160" s="123">
        <f t="shared" si="60"/>
        <v>1.0900000000000001</v>
      </c>
      <c r="E160" s="123">
        <f t="shared" si="60"/>
        <v>1.0900000000000001</v>
      </c>
      <c r="F160" s="123">
        <f t="shared" si="60"/>
        <v>1.0900000000000001</v>
      </c>
      <c r="G160" s="123">
        <f t="shared" si="60"/>
        <v>1.0900000000000001</v>
      </c>
      <c r="H160" s="123">
        <f t="shared" si="60"/>
        <v>1.0900000000000001</v>
      </c>
      <c r="I160" s="123">
        <f t="shared" si="60"/>
        <v>1.0900000000000001</v>
      </c>
      <c r="J160" s="123">
        <f t="shared" si="60"/>
        <v>1.0900000000000001</v>
      </c>
      <c r="K160" s="123">
        <f t="shared" si="60"/>
        <v>1.0900000000000001</v>
      </c>
      <c r="L160" s="123">
        <f t="shared" si="60"/>
        <v>1.0900000000000001</v>
      </c>
      <c r="M160" s="123">
        <f t="shared" si="60"/>
        <v>1.0900000000000001</v>
      </c>
      <c r="N160" s="123">
        <f t="shared" si="60"/>
        <v>1.0900000000000001</v>
      </c>
      <c r="O160" s="123">
        <f t="shared" si="60"/>
        <v>1.0900000000000001</v>
      </c>
      <c r="P160" s="123">
        <f t="shared" si="60"/>
        <v>1.0900000000000001</v>
      </c>
      <c r="Q160" s="123">
        <f t="shared" si="60"/>
        <v>1.0900000000000001</v>
      </c>
      <c r="R160" s="123">
        <f t="shared" si="60"/>
        <v>1.0900000000000001</v>
      </c>
      <c r="S160" s="123">
        <f t="shared" si="60"/>
        <v>1.0900000000000001</v>
      </c>
      <c r="T160" s="123">
        <f t="shared" si="61"/>
        <v>1.0900000000000001</v>
      </c>
      <c r="U160" s="123">
        <f t="shared" si="61"/>
        <v>1.0900000000000001</v>
      </c>
      <c r="V160" s="123">
        <f t="shared" si="61"/>
        <v>1.0900000000000001</v>
      </c>
      <c r="W160" s="123">
        <f t="shared" si="61"/>
        <v>1.0900000000000001</v>
      </c>
      <c r="X160" s="123">
        <f t="shared" si="61"/>
        <v>1.0900000000000001</v>
      </c>
      <c r="Y160" s="123">
        <f t="shared" si="61"/>
        <v>1.0900000000000001</v>
      </c>
      <c r="Z160" s="123">
        <f t="shared" si="61"/>
        <v>1.0900000000000001</v>
      </c>
      <c r="AA160" s="123">
        <f t="shared" si="61"/>
        <v>1.0900000000000001</v>
      </c>
      <c r="AB160" s="123">
        <f t="shared" si="61"/>
        <v>1.0900000000000001</v>
      </c>
      <c r="AC160" s="123">
        <f t="shared" si="61"/>
        <v>1.0900000000000001</v>
      </c>
      <c r="AD160" s="123">
        <f t="shared" si="61"/>
        <v>1.0900000000000001</v>
      </c>
      <c r="AE160" s="123">
        <f t="shared" si="61"/>
        <v>1.0900000000000001</v>
      </c>
      <c r="AF160" s="123">
        <f t="shared" si="61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59"/>
        <v>1.58</v>
      </c>
      <c r="C161" s="124">
        <v>1.58</v>
      </c>
      <c r="D161" s="123">
        <f t="shared" si="60"/>
        <v>1.58</v>
      </c>
      <c r="E161" s="123">
        <f t="shared" si="60"/>
        <v>1.58</v>
      </c>
      <c r="F161" s="123">
        <f t="shared" si="60"/>
        <v>1.58</v>
      </c>
      <c r="G161" s="123">
        <f t="shared" si="60"/>
        <v>1.58</v>
      </c>
      <c r="H161" s="123">
        <f t="shared" si="60"/>
        <v>1.58</v>
      </c>
      <c r="I161" s="123">
        <f t="shared" si="60"/>
        <v>1.58</v>
      </c>
      <c r="J161" s="123">
        <f t="shared" si="60"/>
        <v>1.58</v>
      </c>
      <c r="K161" s="123">
        <f t="shared" si="60"/>
        <v>1.58</v>
      </c>
      <c r="L161" s="123">
        <f t="shared" si="60"/>
        <v>1.58</v>
      </c>
      <c r="M161" s="123">
        <f t="shared" si="60"/>
        <v>1.58</v>
      </c>
      <c r="N161" s="123">
        <f t="shared" si="60"/>
        <v>1.58</v>
      </c>
      <c r="O161" s="123">
        <f t="shared" si="60"/>
        <v>1.58</v>
      </c>
      <c r="P161" s="123">
        <f t="shared" si="60"/>
        <v>1.58</v>
      </c>
      <c r="Q161" s="123">
        <f t="shared" si="60"/>
        <v>1.58</v>
      </c>
      <c r="R161" s="123">
        <f t="shared" si="60"/>
        <v>1.58</v>
      </c>
      <c r="S161" s="123">
        <f t="shared" si="60"/>
        <v>1.58</v>
      </c>
      <c r="T161" s="123">
        <f t="shared" si="61"/>
        <v>1.58</v>
      </c>
      <c r="U161" s="123">
        <f t="shared" si="61"/>
        <v>1.58</v>
      </c>
      <c r="V161" s="123">
        <f t="shared" si="61"/>
        <v>1.58</v>
      </c>
      <c r="W161" s="123">
        <f t="shared" si="61"/>
        <v>1.58</v>
      </c>
      <c r="X161" s="123">
        <f t="shared" si="61"/>
        <v>1.58</v>
      </c>
      <c r="Y161" s="123">
        <f t="shared" si="61"/>
        <v>1.58</v>
      </c>
      <c r="Z161" s="123">
        <f t="shared" si="61"/>
        <v>1.58</v>
      </c>
      <c r="AA161" s="123">
        <f t="shared" si="61"/>
        <v>1.58</v>
      </c>
      <c r="AB161" s="123">
        <f t="shared" si="61"/>
        <v>1.58</v>
      </c>
      <c r="AC161" s="123">
        <f t="shared" si="61"/>
        <v>1.58</v>
      </c>
      <c r="AD161" s="123">
        <f t="shared" si="61"/>
        <v>1.58</v>
      </c>
      <c r="AE161" s="123">
        <f t="shared" si="61"/>
        <v>1.58</v>
      </c>
      <c r="AF161" s="123">
        <f t="shared" si="61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59"/>
        <v>2</v>
      </c>
      <c r="C162" s="124">
        <v>2</v>
      </c>
      <c r="D162" s="123">
        <f t="shared" si="60"/>
        <v>2</v>
      </c>
      <c r="E162" s="123">
        <f t="shared" si="60"/>
        <v>2</v>
      </c>
      <c r="F162" s="123">
        <f t="shared" si="60"/>
        <v>2</v>
      </c>
      <c r="G162" s="123">
        <f t="shared" si="60"/>
        <v>2</v>
      </c>
      <c r="H162" s="123">
        <f t="shared" si="60"/>
        <v>2</v>
      </c>
      <c r="I162" s="123">
        <f t="shared" si="60"/>
        <v>2</v>
      </c>
      <c r="J162" s="123">
        <f t="shared" si="60"/>
        <v>2</v>
      </c>
      <c r="K162" s="123">
        <f t="shared" si="60"/>
        <v>2</v>
      </c>
      <c r="L162" s="123">
        <f t="shared" si="60"/>
        <v>2</v>
      </c>
      <c r="M162" s="123">
        <f t="shared" si="60"/>
        <v>2</v>
      </c>
      <c r="N162" s="123">
        <f t="shared" si="60"/>
        <v>2</v>
      </c>
      <c r="O162" s="123">
        <f t="shared" si="60"/>
        <v>2</v>
      </c>
      <c r="P162" s="123">
        <f t="shared" si="60"/>
        <v>2</v>
      </c>
      <c r="Q162" s="123">
        <f t="shared" si="60"/>
        <v>2</v>
      </c>
      <c r="R162" s="123">
        <f t="shared" si="60"/>
        <v>2</v>
      </c>
      <c r="S162" s="123">
        <f t="shared" si="60"/>
        <v>2</v>
      </c>
      <c r="T162" s="123">
        <f t="shared" si="61"/>
        <v>2</v>
      </c>
      <c r="U162" s="123">
        <f t="shared" si="61"/>
        <v>2</v>
      </c>
      <c r="V162" s="123">
        <f t="shared" si="61"/>
        <v>2</v>
      </c>
      <c r="W162" s="123">
        <f t="shared" si="61"/>
        <v>2</v>
      </c>
      <c r="X162" s="123">
        <f t="shared" si="61"/>
        <v>2</v>
      </c>
      <c r="Y162" s="123">
        <f t="shared" si="61"/>
        <v>2</v>
      </c>
      <c r="Z162" s="123">
        <f t="shared" si="61"/>
        <v>2</v>
      </c>
      <c r="AA162" s="123">
        <f t="shared" si="61"/>
        <v>2</v>
      </c>
      <c r="AB162" s="123">
        <f t="shared" si="61"/>
        <v>2</v>
      </c>
      <c r="AC162" s="123">
        <f t="shared" si="61"/>
        <v>2</v>
      </c>
      <c r="AD162" s="123">
        <f t="shared" si="61"/>
        <v>2</v>
      </c>
      <c r="AE162" s="123">
        <f t="shared" si="61"/>
        <v>2</v>
      </c>
      <c r="AF162" s="123">
        <f t="shared" si="61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59"/>
        <v>0.47</v>
      </c>
      <c r="C163" s="124">
        <v>0.47</v>
      </c>
      <c r="D163" s="123">
        <f t="shared" si="60"/>
        <v>0.47</v>
      </c>
      <c r="E163" s="123">
        <f t="shared" si="60"/>
        <v>0.47</v>
      </c>
      <c r="F163" s="123">
        <f t="shared" si="60"/>
        <v>0.47</v>
      </c>
      <c r="G163" s="123">
        <f t="shared" si="60"/>
        <v>0.47</v>
      </c>
      <c r="H163" s="123">
        <f t="shared" si="60"/>
        <v>0.47</v>
      </c>
      <c r="I163" s="123">
        <f t="shared" si="60"/>
        <v>0.47</v>
      </c>
      <c r="J163" s="123">
        <f t="shared" si="60"/>
        <v>0.47</v>
      </c>
      <c r="K163" s="123">
        <f t="shared" si="60"/>
        <v>0.47</v>
      </c>
      <c r="L163" s="123">
        <f t="shared" si="60"/>
        <v>0.47</v>
      </c>
      <c r="M163" s="123">
        <f t="shared" si="60"/>
        <v>0.47</v>
      </c>
      <c r="N163" s="123">
        <f t="shared" si="60"/>
        <v>0.47</v>
      </c>
      <c r="O163" s="123">
        <f t="shared" si="60"/>
        <v>0.47</v>
      </c>
      <c r="P163" s="123">
        <f t="shared" si="60"/>
        <v>0.47</v>
      </c>
      <c r="Q163" s="123">
        <f t="shared" si="60"/>
        <v>0.47</v>
      </c>
      <c r="R163" s="123">
        <f t="shared" si="60"/>
        <v>0.47</v>
      </c>
      <c r="S163" s="123">
        <f t="shared" si="60"/>
        <v>0.47</v>
      </c>
      <c r="T163" s="123">
        <f t="shared" si="61"/>
        <v>0.47</v>
      </c>
      <c r="U163" s="123">
        <f t="shared" si="61"/>
        <v>0.47</v>
      </c>
      <c r="V163" s="123">
        <f t="shared" si="61"/>
        <v>0.47</v>
      </c>
      <c r="W163" s="123">
        <f t="shared" si="61"/>
        <v>0.47</v>
      </c>
      <c r="X163" s="123">
        <f t="shared" si="61"/>
        <v>0.47</v>
      </c>
      <c r="Y163" s="123">
        <f t="shared" si="61"/>
        <v>0.47</v>
      </c>
      <c r="Z163" s="123">
        <f t="shared" si="61"/>
        <v>0.47</v>
      </c>
      <c r="AA163" s="123">
        <f t="shared" si="61"/>
        <v>0.47</v>
      </c>
      <c r="AB163" s="123">
        <f t="shared" si="61"/>
        <v>0.47</v>
      </c>
      <c r="AC163" s="123">
        <f t="shared" si="61"/>
        <v>0.47</v>
      </c>
      <c r="AD163" s="123">
        <f t="shared" si="61"/>
        <v>0.47</v>
      </c>
      <c r="AE163" s="123">
        <f t="shared" si="61"/>
        <v>0.47</v>
      </c>
      <c r="AF163" s="123">
        <f t="shared" si="61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59"/>
        <v>0</v>
      </c>
      <c r="C164" s="124">
        <v>0</v>
      </c>
      <c r="D164" s="123">
        <f t="shared" si="60"/>
        <v>0</v>
      </c>
      <c r="E164" s="123">
        <f t="shared" si="60"/>
        <v>0</v>
      </c>
      <c r="F164" s="123">
        <f t="shared" si="60"/>
        <v>0</v>
      </c>
      <c r="G164" s="123">
        <f t="shared" si="60"/>
        <v>0</v>
      </c>
      <c r="H164" s="123">
        <f t="shared" si="60"/>
        <v>0</v>
      </c>
      <c r="I164" s="123">
        <f t="shared" si="60"/>
        <v>0</v>
      </c>
      <c r="J164" s="123">
        <f t="shared" si="60"/>
        <v>0</v>
      </c>
      <c r="K164" s="123">
        <f t="shared" si="60"/>
        <v>0</v>
      </c>
      <c r="L164" s="123">
        <f t="shared" si="60"/>
        <v>0</v>
      </c>
      <c r="M164" s="123">
        <f t="shared" si="60"/>
        <v>0</v>
      </c>
      <c r="N164" s="123">
        <f t="shared" si="60"/>
        <v>0</v>
      </c>
      <c r="O164" s="123">
        <f t="shared" si="60"/>
        <v>0</v>
      </c>
      <c r="P164" s="123">
        <f t="shared" si="60"/>
        <v>0</v>
      </c>
      <c r="Q164" s="123">
        <f t="shared" si="60"/>
        <v>0</v>
      </c>
      <c r="R164" s="123">
        <f t="shared" si="60"/>
        <v>0</v>
      </c>
      <c r="S164" s="123">
        <f t="shared" si="60"/>
        <v>0</v>
      </c>
      <c r="T164" s="123">
        <f t="shared" si="61"/>
        <v>0</v>
      </c>
      <c r="U164" s="123">
        <f t="shared" si="61"/>
        <v>0</v>
      </c>
      <c r="V164" s="123">
        <f t="shared" si="61"/>
        <v>0</v>
      </c>
      <c r="W164" s="123">
        <f t="shared" si="61"/>
        <v>0</v>
      </c>
      <c r="X164" s="123">
        <f t="shared" si="61"/>
        <v>0</v>
      </c>
      <c r="Y164" s="123">
        <f t="shared" si="61"/>
        <v>0</v>
      </c>
      <c r="Z164" s="123">
        <f t="shared" si="61"/>
        <v>0</v>
      </c>
      <c r="AA164" s="123">
        <f t="shared" si="61"/>
        <v>0</v>
      </c>
      <c r="AB164" s="123">
        <f t="shared" si="61"/>
        <v>0</v>
      </c>
      <c r="AC164" s="123">
        <f t="shared" si="61"/>
        <v>0</v>
      </c>
      <c r="AD164" s="123">
        <f t="shared" si="61"/>
        <v>0</v>
      </c>
      <c r="AE164" s="123">
        <f t="shared" si="61"/>
        <v>0</v>
      </c>
      <c r="AF164" s="123">
        <f t="shared" si="61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59"/>
        <v>0</v>
      </c>
      <c r="C165" s="124">
        <v>0</v>
      </c>
      <c r="D165" s="123">
        <f t="shared" si="60"/>
        <v>0</v>
      </c>
      <c r="E165" s="123">
        <f t="shared" si="60"/>
        <v>0</v>
      </c>
      <c r="F165" s="123">
        <f t="shared" si="60"/>
        <v>0</v>
      </c>
      <c r="G165" s="123">
        <f t="shared" si="60"/>
        <v>0</v>
      </c>
      <c r="H165" s="123">
        <f t="shared" si="60"/>
        <v>0</v>
      </c>
      <c r="I165" s="123">
        <f t="shared" si="60"/>
        <v>0</v>
      </c>
      <c r="J165" s="123">
        <f t="shared" si="60"/>
        <v>0</v>
      </c>
      <c r="K165" s="123">
        <f t="shared" si="60"/>
        <v>0</v>
      </c>
      <c r="L165" s="123">
        <f t="shared" si="60"/>
        <v>0</v>
      </c>
      <c r="M165" s="123">
        <f t="shared" si="60"/>
        <v>0</v>
      </c>
      <c r="N165" s="123">
        <f t="shared" si="60"/>
        <v>0</v>
      </c>
      <c r="O165" s="123">
        <f t="shared" si="60"/>
        <v>0</v>
      </c>
      <c r="P165" s="123">
        <f t="shared" si="60"/>
        <v>0</v>
      </c>
      <c r="Q165" s="123">
        <f t="shared" si="60"/>
        <v>0</v>
      </c>
      <c r="R165" s="123">
        <f t="shared" si="60"/>
        <v>0</v>
      </c>
      <c r="S165" s="123">
        <f t="shared" si="61"/>
        <v>0</v>
      </c>
      <c r="T165" s="123">
        <f t="shared" si="61"/>
        <v>0</v>
      </c>
      <c r="U165" s="123">
        <f t="shared" si="61"/>
        <v>0</v>
      </c>
      <c r="V165" s="123">
        <f t="shared" si="61"/>
        <v>0</v>
      </c>
      <c r="W165" s="123">
        <f t="shared" si="61"/>
        <v>0</v>
      </c>
      <c r="X165" s="123">
        <f t="shared" si="61"/>
        <v>0</v>
      </c>
      <c r="Y165" s="123">
        <f t="shared" si="61"/>
        <v>0</v>
      </c>
      <c r="Z165" s="123">
        <f t="shared" si="61"/>
        <v>0</v>
      </c>
      <c r="AA165" s="123">
        <f t="shared" si="61"/>
        <v>0</v>
      </c>
      <c r="AB165" s="123">
        <f t="shared" si="61"/>
        <v>0</v>
      </c>
      <c r="AC165" s="123">
        <f t="shared" si="61"/>
        <v>0</v>
      </c>
      <c r="AD165" s="123">
        <f t="shared" si="61"/>
        <v>0</v>
      </c>
      <c r="AE165" s="123">
        <f t="shared" si="61"/>
        <v>0</v>
      </c>
      <c r="AF165" s="123">
        <f t="shared" si="61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59"/>
        <v>0.8</v>
      </c>
      <c r="C166" s="124">
        <v>0.8</v>
      </c>
      <c r="D166" s="123">
        <f t="shared" si="60"/>
        <v>0.8</v>
      </c>
      <c r="E166" s="123">
        <f t="shared" si="60"/>
        <v>0.8</v>
      </c>
      <c r="F166" s="123">
        <f t="shared" si="60"/>
        <v>0.8</v>
      </c>
      <c r="G166" s="123">
        <f t="shared" si="60"/>
        <v>0.8</v>
      </c>
      <c r="H166" s="123">
        <f t="shared" si="60"/>
        <v>0.8</v>
      </c>
      <c r="I166" s="123">
        <f t="shared" si="60"/>
        <v>0.8</v>
      </c>
      <c r="J166" s="123">
        <f t="shared" si="60"/>
        <v>0.8</v>
      </c>
      <c r="K166" s="123">
        <f t="shared" si="60"/>
        <v>0.8</v>
      </c>
      <c r="L166" s="123">
        <f t="shared" si="60"/>
        <v>0.8</v>
      </c>
      <c r="M166" s="123">
        <f t="shared" si="60"/>
        <v>0.8</v>
      </c>
      <c r="N166" s="123">
        <f t="shared" si="60"/>
        <v>0.8</v>
      </c>
      <c r="O166" s="123">
        <f t="shared" si="60"/>
        <v>0.8</v>
      </c>
      <c r="P166" s="123">
        <f t="shared" si="60"/>
        <v>0.8</v>
      </c>
      <c r="Q166" s="123">
        <f t="shared" si="60"/>
        <v>0.8</v>
      </c>
      <c r="R166" s="123">
        <f t="shared" si="60"/>
        <v>0.8</v>
      </c>
      <c r="S166" s="123">
        <f t="shared" si="61"/>
        <v>0.8</v>
      </c>
      <c r="T166" s="123">
        <f t="shared" si="61"/>
        <v>0.8</v>
      </c>
      <c r="U166" s="123">
        <f t="shared" si="61"/>
        <v>0.8</v>
      </c>
      <c r="V166" s="123">
        <f t="shared" si="61"/>
        <v>0.8</v>
      </c>
      <c r="W166" s="123">
        <f t="shared" si="61"/>
        <v>0.8</v>
      </c>
      <c r="X166" s="123">
        <f t="shared" si="61"/>
        <v>0.8</v>
      </c>
      <c r="Y166" s="123">
        <f t="shared" si="61"/>
        <v>0.8</v>
      </c>
      <c r="Z166" s="123">
        <f t="shared" si="61"/>
        <v>0.8</v>
      </c>
      <c r="AA166" s="123">
        <f t="shared" si="61"/>
        <v>0.8</v>
      </c>
      <c r="AB166" s="123">
        <f t="shared" si="61"/>
        <v>0.8</v>
      </c>
      <c r="AC166" s="123">
        <f t="shared" si="61"/>
        <v>0.8</v>
      </c>
      <c r="AD166" s="123">
        <f t="shared" si="61"/>
        <v>0.8</v>
      </c>
      <c r="AE166" s="123">
        <f t="shared" si="61"/>
        <v>0.8</v>
      </c>
      <c r="AF166" s="123">
        <f t="shared" si="61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59"/>
        <v>1.5</v>
      </c>
      <c r="C167" s="124">
        <v>1.5</v>
      </c>
      <c r="D167" s="123">
        <f t="shared" si="60"/>
        <v>1.5</v>
      </c>
      <c r="E167" s="123">
        <f t="shared" si="60"/>
        <v>1.5</v>
      </c>
      <c r="F167" s="123">
        <f t="shared" si="60"/>
        <v>1.5</v>
      </c>
      <c r="G167" s="123">
        <f t="shared" si="60"/>
        <v>1.5</v>
      </c>
      <c r="H167" s="123">
        <f t="shared" si="60"/>
        <v>1.5</v>
      </c>
      <c r="I167" s="123">
        <f t="shared" si="60"/>
        <v>1.5</v>
      </c>
      <c r="J167" s="123">
        <f t="shared" si="60"/>
        <v>1.5</v>
      </c>
      <c r="K167" s="123">
        <f t="shared" si="60"/>
        <v>1.5</v>
      </c>
      <c r="L167" s="123">
        <f t="shared" si="60"/>
        <v>1.5</v>
      </c>
      <c r="M167" s="123">
        <f t="shared" si="60"/>
        <v>1.5</v>
      </c>
      <c r="N167" s="123">
        <f t="shared" si="60"/>
        <v>1.5</v>
      </c>
      <c r="O167" s="123">
        <f t="shared" si="60"/>
        <v>1.5</v>
      </c>
      <c r="P167" s="123">
        <f t="shared" si="60"/>
        <v>1.5</v>
      </c>
      <c r="Q167" s="123">
        <f t="shared" si="60"/>
        <v>1.5</v>
      </c>
      <c r="R167" s="123">
        <f t="shared" si="60"/>
        <v>1.5</v>
      </c>
      <c r="S167" s="123">
        <f t="shared" si="61"/>
        <v>1.5</v>
      </c>
      <c r="T167" s="123">
        <f t="shared" si="61"/>
        <v>1.5</v>
      </c>
      <c r="U167" s="123">
        <f t="shared" si="61"/>
        <v>1.5</v>
      </c>
      <c r="V167" s="123">
        <f t="shared" si="61"/>
        <v>1.5</v>
      </c>
      <c r="W167" s="123">
        <f t="shared" si="61"/>
        <v>1.5</v>
      </c>
      <c r="X167" s="123">
        <f t="shared" si="61"/>
        <v>1.5</v>
      </c>
      <c r="Y167" s="123">
        <f t="shared" si="61"/>
        <v>1.5</v>
      </c>
      <c r="Z167" s="123">
        <f t="shared" si="61"/>
        <v>1.5</v>
      </c>
      <c r="AA167" s="123">
        <f t="shared" si="61"/>
        <v>1.5</v>
      </c>
      <c r="AB167" s="123">
        <f t="shared" si="61"/>
        <v>1.5</v>
      </c>
      <c r="AC167" s="123">
        <f t="shared" si="61"/>
        <v>1.5</v>
      </c>
      <c r="AD167" s="123">
        <f t="shared" si="61"/>
        <v>1.5</v>
      </c>
      <c r="AE167" s="123">
        <f t="shared" si="61"/>
        <v>1.5</v>
      </c>
      <c r="AF167" s="123">
        <f t="shared" si="61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59"/>
        <v>1</v>
      </c>
      <c r="C168" s="124">
        <v>1</v>
      </c>
      <c r="D168" s="123">
        <f t="shared" si="60"/>
        <v>1</v>
      </c>
      <c r="E168" s="123">
        <f t="shared" si="60"/>
        <v>1</v>
      </c>
      <c r="F168" s="123">
        <f t="shared" si="60"/>
        <v>1</v>
      </c>
      <c r="G168" s="123">
        <f t="shared" si="60"/>
        <v>1</v>
      </c>
      <c r="H168" s="123">
        <f t="shared" si="60"/>
        <v>1</v>
      </c>
      <c r="I168" s="123">
        <f t="shared" si="60"/>
        <v>1</v>
      </c>
      <c r="J168" s="123">
        <f t="shared" si="60"/>
        <v>1</v>
      </c>
      <c r="K168" s="123">
        <f t="shared" si="60"/>
        <v>1</v>
      </c>
      <c r="L168" s="123">
        <f t="shared" si="60"/>
        <v>1</v>
      </c>
      <c r="M168" s="123">
        <f t="shared" si="60"/>
        <v>1</v>
      </c>
      <c r="N168" s="123">
        <f t="shared" si="60"/>
        <v>1</v>
      </c>
      <c r="O168" s="123">
        <f t="shared" si="60"/>
        <v>1</v>
      </c>
      <c r="P168" s="123">
        <f t="shared" si="60"/>
        <v>1</v>
      </c>
      <c r="Q168" s="123">
        <f t="shared" si="60"/>
        <v>1</v>
      </c>
      <c r="R168" s="123">
        <f t="shared" si="60"/>
        <v>1</v>
      </c>
      <c r="S168" s="123">
        <f t="shared" si="61"/>
        <v>1</v>
      </c>
      <c r="T168" s="123">
        <f t="shared" si="61"/>
        <v>1</v>
      </c>
      <c r="U168" s="123">
        <f t="shared" si="61"/>
        <v>1</v>
      </c>
      <c r="V168" s="123">
        <f t="shared" si="61"/>
        <v>1</v>
      </c>
      <c r="W168" s="123">
        <f t="shared" si="61"/>
        <v>1</v>
      </c>
      <c r="X168" s="123">
        <f t="shared" si="61"/>
        <v>1</v>
      </c>
      <c r="Y168" s="123">
        <f t="shared" si="61"/>
        <v>1</v>
      </c>
      <c r="Z168" s="123">
        <f t="shared" si="61"/>
        <v>1</v>
      </c>
      <c r="AA168" s="123">
        <f t="shared" si="61"/>
        <v>1</v>
      </c>
      <c r="AB168" s="123">
        <f t="shared" si="61"/>
        <v>1</v>
      </c>
      <c r="AC168" s="123">
        <f t="shared" si="61"/>
        <v>1</v>
      </c>
      <c r="AD168" s="123">
        <f t="shared" si="61"/>
        <v>1</v>
      </c>
      <c r="AE168" s="123">
        <f t="shared" si="61"/>
        <v>1</v>
      </c>
      <c r="AF168" s="123">
        <f t="shared" si="61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2">AF170</f>
        <v>1</v>
      </c>
      <c r="C170" s="124">
        <v>1</v>
      </c>
      <c r="D170" s="123">
        <f t="shared" ref="D170:S177" si="63">C170</f>
        <v>1</v>
      </c>
      <c r="E170" s="123">
        <f t="shared" si="63"/>
        <v>1</v>
      </c>
      <c r="F170" s="123">
        <f t="shared" si="63"/>
        <v>1</v>
      </c>
      <c r="G170" s="123">
        <f t="shared" si="63"/>
        <v>1</v>
      </c>
      <c r="H170" s="123">
        <f t="shared" si="63"/>
        <v>1</v>
      </c>
      <c r="I170" s="123">
        <f t="shared" si="63"/>
        <v>1</v>
      </c>
      <c r="J170" s="123">
        <f t="shared" si="63"/>
        <v>1</v>
      </c>
      <c r="K170" s="123">
        <f t="shared" si="63"/>
        <v>1</v>
      </c>
      <c r="L170" s="123">
        <f t="shared" si="63"/>
        <v>1</v>
      </c>
      <c r="M170" s="123">
        <f t="shared" si="63"/>
        <v>1</v>
      </c>
      <c r="N170" s="123">
        <f t="shared" si="63"/>
        <v>1</v>
      </c>
      <c r="O170" s="123">
        <f t="shared" si="63"/>
        <v>1</v>
      </c>
      <c r="P170" s="123">
        <f t="shared" si="63"/>
        <v>1</v>
      </c>
      <c r="Q170" s="123">
        <f t="shared" si="63"/>
        <v>1</v>
      </c>
      <c r="R170" s="123">
        <f t="shared" si="63"/>
        <v>1</v>
      </c>
      <c r="S170" s="123">
        <f t="shared" si="63"/>
        <v>1</v>
      </c>
      <c r="T170" s="123">
        <f t="shared" ref="S170:AF177" si="64">S170</f>
        <v>1</v>
      </c>
      <c r="U170" s="123">
        <f t="shared" si="64"/>
        <v>1</v>
      </c>
      <c r="V170" s="123">
        <f t="shared" si="64"/>
        <v>1</v>
      </c>
      <c r="W170" s="123">
        <f t="shared" si="64"/>
        <v>1</v>
      </c>
      <c r="X170" s="123">
        <f t="shared" si="64"/>
        <v>1</v>
      </c>
      <c r="Y170" s="123">
        <f t="shared" si="64"/>
        <v>1</v>
      </c>
      <c r="Z170" s="123">
        <f t="shared" si="64"/>
        <v>1</v>
      </c>
      <c r="AA170" s="123">
        <f t="shared" si="64"/>
        <v>1</v>
      </c>
      <c r="AB170" s="123">
        <f t="shared" si="64"/>
        <v>1</v>
      </c>
      <c r="AC170" s="123">
        <f t="shared" si="64"/>
        <v>1</v>
      </c>
      <c r="AD170" s="123">
        <f t="shared" si="64"/>
        <v>1</v>
      </c>
      <c r="AE170" s="123">
        <f t="shared" si="64"/>
        <v>1</v>
      </c>
      <c r="AF170" s="123">
        <f t="shared" si="64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2"/>
        <v>0.42</v>
      </c>
      <c r="C171" s="124">
        <v>0.42</v>
      </c>
      <c r="D171" s="123">
        <f t="shared" si="63"/>
        <v>0.42</v>
      </c>
      <c r="E171" s="123">
        <f t="shared" si="63"/>
        <v>0.42</v>
      </c>
      <c r="F171" s="123">
        <f t="shared" si="63"/>
        <v>0.42</v>
      </c>
      <c r="G171" s="123">
        <f t="shared" si="63"/>
        <v>0.42</v>
      </c>
      <c r="H171" s="123">
        <f t="shared" si="63"/>
        <v>0.42</v>
      </c>
      <c r="I171" s="123">
        <f t="shared" si="63"/>
        <v>0.42</v>
      </c>
      <c r="J171" s="123">
        <f t="shared" si="63"/>
        <v>0.42</v>
      </c>
      <c r="K171" s="123">
        <f t="shared" si="63"/>
        <v>0.42</v>
      </c>
      <c r="L171" s="123">
        <f t="shared" si="63"/>
        <v>0.42</v>
      </c>
      <c r="M171" s="123">
        <f t="shared" si="63"/>
        <v>0.42</v>
      </c>
      <c r="N171" s="123">
        <f t="shared" si="63"/>
        <v>0.42</v>
      </c>
      <c r="O171" s="123">
        <f t="shared" si="63"/>
        <v>0.42</v>
      </c>
      <c r="P171" s="123">
        <f t="shared" si="63"/>
        <v>0.42</v>
      </c>
      <c r="Q171" s="123">
        <f t="shared" si="63"/>
        <v>0.42</v>
      </c>
      <c r="R171" s="123">
        <f t="shared" si="63"/>
        <v>0.42</v>
      </c>
      <c r="S171" s="123">
        <f t="shared" si="64"/>
        <v>0.42</v>
      </c>
      <c r="T171" s="123">
        <f t="shared" si="64"/>
        <v>0.42</v>
      </c>
      <c r="U171" s="123">
        <f t="shared" si="64"/>
        <v>0.42</v>
      </c>
      <c r="V171" s="123">
        <f t="shared" si="64"/>
        <v>0.42</v>
      </c>
      <c r="W171" s="123">
        <f t="shared" si="64"/>
        <v>0.42</v>
      </c>
      <c r="X171" s="123">
        <f t="shared" si="64"/>
        <v>0.42</v>
      </c>
      <c r="Y171" s="123">
        <f t="shared" si="64"/>
        <v>0.42</v>
      </c>
      <c r="Z171" s="123">
        <f t="shared" si="64"/>
        <v>0.42</v>
      </c>
      <c r="AA171" s="123">
        <f t="shared" si="64"/>
        <v>0.42</v>
      </c>
      <c r="AB171" s="123">
        <f t="shared" si="64"/>
        <v>0.42</v>
      </c>
      <c r="AC171" s="123">
        <f t="shared" si="64"/>
        <v>0.42</v>
      </c>
      <c r="AD171" s="123">
        <f t="shared" si="64"/>
        <v>0.42</v>
      </c>
      <c r="AE171" s="123">
        <f t="shared" si="64"/>
        <v>0.42</v>
      </c>
      <c r="AF171" s="123">
        <f t="shared" si="64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2"/>
        <v>0.46</v>
      </c>
      <c r="C172" s="124">
        <v>0.46</v>
      </c>
      <c r="D172" s="123">
        <f t="shared" si="63"/>
        <v>0.46</v>
      </c>
      <c r="E172" s="123">
        <f t="shared" si="63"/>
        <v>0.46</v>
      </c>
      <c r="F172" s="123">
        <f t="shared" si="63"/>
        <v>0.46</v>
      </c>
      <c r="G172" s="123">
        <f t="shared" si="63"/>
        <v>0.46</v>
      </c>
      <c r="H172" s="123">
        <f t="shared" si="63"/>
        <v>0.46</v>
      </c>
      <c r="I172" s="123">
        <f t="shared" si="63"/>
        <v>0.46</v>
      </c>
      <c r="J172" s="123">
        <f t="shared" si="63"/>
        <v>0.46</v>
      </c>
      <c r="K172" s="123">
        <f t="shared" si="63"/>
        <v>0.46</v>
      </c>
      <c r="L172" s="123">
        <f t="shared" si="63"/>
        <v>0.46</v>
      </c>
      <c r="M172" s="123">
        <f t="shared" si="63"/>
        <v>0.46</v>
      </c>
      <c r="N172" s="123">
        <f t="shared" si="63"/>
        <v>0.46</v>
      </c>
      <c r="O172" s="123">
        <f t="shared" si="63"/>
        <v>0.46</v>
      </c>
      <c r="P172" s="123">
        <f t="shared" si="63"/>
        <v>0.46</v>
      </c>
      <c r="Q172" s="123">
        <f t="shared" si="63"/>
        <v>0.46</v>
      </c>
      <c r="R172" s="123">
        <f t="shared" si="63"/>
        <v>0.46</v>
      </c>
      <c r="S172" s="123">
        <f t="shared" si="64"/>
        <v>0.46</v>
      </c>
      <c r="T172" s="123">
        <f t="shared" si="64"/>
        <v>0.46</v>
      </c>
      <c r="U172" s="123">
        <f t="shared" si="64"/>
        <v>0.46</v>
      </c>
      <c r="V172" s="123">
        <f t="shared" si="64"/>
        <v>0.46</v>
      </c>
      <c r="W172" s="123">
        <f t="shared" si="64"/>
        <v>0.46</v>
      </c>
      <c r="X172" s="123">
        <f t="shared" si="64"/>
        <v>0.46</v>
      </c>
      <c r="Y172" s="123">
        <f t="shared" si="64"/>
        <v>0.46</v>
      </c>
      <c r="Z172" s="123">
        <f t="shared" si="64"/>
        <v>0.46</v>
      </c>
      <c r="AA172" s="123">
        <f t="shared" si="64"/>
        <v>0.46</v>
      </c>
      <c r="AB172" s="123">
        <f t="shared" si="64"/>
        <v>0.46</v>
      </c>
      <c r="AC172" s="123">
        <f t="shared" si="64"/>
        <v>0.46</v>
      </c>
      <c r="AD172" s="123">
        <f t="shared" si="64"/>
        <v>0.46</v>
      </c>
      <c r="AE172" s="123">
        <f t="shared" si="64"/>
        <v>0.46</v>
      </c>
      <c r="AF172" s="123">
        <f t="shared" si="64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2"/>
        <v>0.85</v>
      </c>
      <c r="C173" s="124">
        <v>0.85</v>
      </c>
      <c r="D173" s="123">
        <f t="shared" si="63"/>
        <v>0.85</v>
      </c>
      <c r="E173" s="123">
        <f t="shared" si="63"/>
        <v>0.85</v>
      </c>
      <c r="F173" s="123">
        <f t="shared" si="63"/>
        <v>0.85</v>
      </c>
      <c r="G173" s="123">
        <f t="shared" si="63"/>
        <v>0.85</v>
      </c>
      <c r="H173" s="123">
        <f t="shared" si="63"/>
        <v>0.85</v>
      </c>
      <c r="I173" s="123">
        <f t="shared" si="63"/>
        <v>0.85</v>
      </c>
      <c r="J173" s="123">
        <f t="shared" si="63"/>
        <v>0.85</v>
      </c>
      <c r="K173" s="123">
        <f t="shared" si="63"/>
        <v>0.85</v>
      </c>
      <c r="L173" s="123">
        <f t="shared" si="63"/>
        <v>0.85</v>
      </c>
      <c r="M173" s="123">
        <f t="shared" si="63"/>
        <v>0.85</v>
      </c>
      <c r="N173" s="123">
        <f t="shared" si="63"/>
        <v>0.85</v>
      </c>
      <c r="O173" s="123">
        <f t="shared" si="63"/>
        <v>0.85</v>
      </c>
      <c r="P173" s="123">
        <f t="shared" si="63"/>
        <v>0.85</v>
      </c>
      <c r="Q173" s="123">
        <f t="shared" si="63"/>
        <v>0.85</v>
      </c>
      <c r="R173" s="123">
        <f t="shared" si="63"/>
        <v>0.85</v>
      </c>
      <c r="S173" s="123">
        <f t="shared" si="64"/>
        <v>0.85</v>
      </c>
      <c r="T173" s="123">
        <f t="shared" si="64"/>
        <v>0.85</v>
      </c>
      <c r="U173" s="123">
        <f t="shared" si="64"/>
        <v>0.85</v>
      </c>
      <c r="V173" s="123">
        <f t="shared" si="64"/>
        <v>0.85</v>
      </c>
      <c r="W173" s="123">
        <f t="shared" si="64"/>
        <v>0.85</v>
      </c>
      <c r="X173" s="123">
        <f t="shared" si="64"/>
        <v>0.85</v>
      </c>
      <c r="Y173" s="123">
        <f t="shared" si="64"/>
        <v>0.85</v>
      </c>
      <c r="Z173" s="123">
        <f t="shared" si="64"/>
        <v>0.85</v>
      </c>
      <c r="AA173" s="123">
        <f t="shared" si="64"/>
        <v>0.85</v>
      </c>
      <c r="AB173" s="123">
        <f t="shared" si="64"/>
        <v>0.85</v>
      </c>
      <c r="AC173" s="123">
        <f t="shared" si="64"/>
        <v>0.85</v>
      </c>
      <c r="AD173" s="123">
        <f t="shared" si="64"/>
        <v>0.85</v>
      </c>
      <c r="AE173" s="123">
        <f t="shared" si="64"/>
        <v>0.85</v>
      </c>
      <c r="AF173" s="123">
        <f t="shared" si="64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2"/>
        <v>0.9</v>
      </c>
      <c r="C174" s="124">
        <v>0.9</v>
      </c>
      <c r="D174" s="123">
        <f t="shared" si="63"/>
        <v>0.9</v>
      </c>
      <c r="E174" s="123">
        <f t="shared" si="63"/>
        <v>0.9</v>
      </c>
      <c r="F174" s="123">
        <f t="shared" si="63"/>
        <v>0.9</v>
      </c>
      <c r="G174" s="123">
        <f t="shared" si="63"/>
        <v>0.9</v>
      </c>
      <c r="H174" s="123">
        <f t="shared" si="63"/>
        <v>0.9</v>
      </c>
      <c r="I174" s="123">
        <f t="shared" si="63"/>
        <v>0.9</v>
      </c>
      <c r="J174" s="123">
        <f t="shared" si="63"/>
        <v>0.9</v>
      </c>
      <c r="K174" s="123">
        <f t="shared" si="63"/>
        <v>0.9</v>
      </c>
      <c r="L174" s="123">
        <f t="shared" si="63"/>
        <v>0.9</v>
      </c>
      <c r="M174" s="123">
        <f t="shared" si="63"/>
        <v>0.9</v>
      </c>
      <c r="N174" s="123">
        <f t="shared" si="63"/>
        <v>0.9</v>
      </c>
      <c r="O174" s="123">
        <f t="shared" si="63"/>
        <v>0.9</v>
      </c>
      <c r="P174" s="123">
        <f t="shared" si="63"/>
        <v>0.9</v>
      </c>
      <c r="Q174" s="123">
        <f t="shared" si="63"/>
        <v>0.9</v>
      </c>
      <c r="R174" s="123">
        <f t="shared" si="63"/>
        <v>0.9</v>
      </c>
      <c r="S174" s="123">
        <f t="shared" si="64"/>
        <v>0.9</v>
      </c>
      <c r="T174" s="123">
        <f t="shared" si="64"/>
        <v>0.9</v>
      </c>
      <c r="U174" s="123">
        <f t="shared" si="64"/>
        <v>0.9</v>
      </c>
      <c r="V174" s="123">
        <f t="shared" si="64"/>
        <v>0.9</v>
      </c>
      <c r="W174" s="123">
        <f t="shared" si="64"/>
        <v>0.9</v>
      </c>
      <c r="X174" s="123">
        <f t="shared" si="64"/>
        <v>0.9</v>
      </c>
      <c r="Y174" s="123">
        <f t="shared" si="64"/>
        <v>0.9</v>
      </c>
      <c r="Z174" s="123">
        <f t="shared" si="64"/>
        <v>0.9</v>
      </c>
      <c r="AA174" s="123">
        <f t="shared" si="64"/>
        <v>0.9</v>
      </c>
      <c r="AB174" s="123">
        <f t="shared" si="64"/>
        <v>0.9</v>
      </c>
      <c r="AC174" s="123">
        <f t="shared" si="64"/>
        <v>0.9</v>
      </c>
      <c r="AD174" s="123">
        <f t="shared" si="64"/>
        <v>0.9</v>
      </c>
      <c r="AE174" s="123">
        <f t="shared" si="64"/>
        <v>0.9</v>
      </c>
      <c r="AF174" s="123">
        <f t="shared" si="64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2"/>
        <v>0.44</v>
      </c>
      <c r="C175" s="124">
        <v>0.44</v>
      </c>
      <c r="D175" s="123">
        <f t="shared" si="63"/>
        <v>0.44</v>
      </c>
      <c r="E175" s="123">
        <f t="shared" si="63"/>
        <v>0.44</v>
      </c>
      <c r="F175" s="123">
        <f t="shared" si="63"/>
        <v>0.44</v>
      </c>
      <c r="G175" s="123">
        <f t="shared" si="63"/>
        <v>0.44</v>
      </c>
      <c r="H175" s="123">
        <f t="shared" si="63"/>
        <v>0.44</v>
      </c>
      <c r="I175" s="123">
        <f t="shared" si="63"/>
        <v>0.44</v>
      </c>
      <c r="J175" s="123">
        <f t="shared" si="63"/>
        <v>0.44</v>
      </c>
      <c r="K175" s="123">
        <f t="shared" si="63"/>
        <v>0.44</v>
      </c>
      <c r="L175" s="123">
        <f t="shared" si="63"/>
        <v>0.44</v>
      </c>
      <c r="M175" s="123">
        <f t="shared" si="63"/>
        <v>0.44</v>
      </c>
      <c r="N175" s="123">
        <f t="shared" si="63"/>
        <v>0.44</v>
      </c>
      <c r="O175" s="123">
        <f t="shared" si="63"/>
        <v>0.44</v>
      </c>
      <c r="P175" s="123">
        <f t="shared" si="63"/>
        <v>0.44</v>
      </c>
      <c r="Q175" s="123">
        <f t="shared" si="63"/>
        <v>0.44</v>
      </c>
      <c r="R175" s="123">
        <f t="shared" si="63"/>
        <v>0.44</v>
      </c>
      <c r="S175" s="123">
        <f t="shared" si="64"/>
        <v>0.44</v>
      </c>
      <c r="T175" s="123">
        <f t="shared" si="64"/>
        <v>0.44</v>
      </c>
      <c r="U175" s="123">
        <f t="shared" si="64"/>
        <v>0.44</v>
      </c>
      <c r="V175" s="123">
        <f t="shared" si="64"/>
        <v>0.44</v>
      </c>
      <c r="W175" s="123">
        <f t="shared" si="64"/>
        <v>0.44</v>
      </c>
      <c r="X175" s="123">
        <f t="shared" si="64"/>
        <v>0.44</v>
      </c>
      <c r="Y175" s="123">
        <f t="shared" si="64"/>
        <v>0.44</v>
      </c>
      <c r="Z175" s="123">
        <f t="shared" si="64"/>
        <v>0.44</v>
      </c>
      <c r="AA175" s="123">
        <f t="shared" si="64"/>
        <v>0.44</v>
      </c>
      <c r="AB175" s="123">
        <f t="shared" si="64"/>
        <v>0.44</v>
      </c>
      <c r="AC175" s="123">
        <f t="shared" si="64"/>
        <v>0.44</v>
      </c>
      <c r="AD175" s="123">
        <f t="shared" si="64"/>
        <v>0.44</v>
      </c>
      <c r="AE175" s="123">
        <f t="shared" si="64"/>
        <v>0.44</v>
      </c>
      <c r="AF175" s="123">
        <f t="shared" si="64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2"/>
        <v>2.1</v>
      </c>
      <c r="C176" s="124">
        <v>2.1</v>
      </c>
      <c r="D176" s="123">
        <f t="shared" si="63"/>
        <v>2.1</v>
      </c>
      <c r="E176" s="123">
        <f t="shared" si="63"/>
        <v>2.1</v>
      </c>
      <c r="F176" s="123">
        <f t="shared" si="63"/>
        <v>2.1</v>
      </c>
      <c r="G176" s="123">
        <f t="shared" si="63"/>
        <v>2.1</v>
      </c>
      <c r="H176" s="123">
        <f t="shared" si="63"/>
        <v>2.1</v>
      </c>
      <c r="I176" s="123">
        <f t="shared" si="63"/>
        <v>2.1</v>
      </c>
      <c r="J176" s="123">
        <f t="shared" si="63"/>
        <v>2.1</v>
      </c>
      <c r="K176" s="123">
        <f t="shared" si="63"/>
        <v>2.1</v>
      </c>
      <c r="L176" s="123">
        <f t="shared" si="63"/>
        <v>2.1</v>
      </c>
      <c r="M176" s="123">
        <f t="shared" si="63"/>
        <v>2.1</v>
      </c>
      <c r="N176" s="123">
        <f t="shared" si="63"/>
        <v>2.1</v>
      </c>
      <c r="O176" s="123">
        <f t="shared" si="63"/>
        <v>2.1</v>
      </c>
      <c r="P176" s="123">
        <f t="shared" si="63"/>
        <v>2.1</v>
      </c>
      <c r="Q176" s="123">
        <f t="shared" si="63"/>
        <v>2.1</v>
      </c>
      <c r="R176" s="123">
        <f t="shared" si="63"/>
        <v>2.1</v>
      </c>
      <c r="S176" s="123">
        <f t="shared" si="64"/>
        <v>2.1</v>
      </c>
      <c r="T176" s="123">
        <f t="shared" si="64"/>
        <v>2.1</v>
      </c>
      <c r="U176" s="123">
        <f t="shared" si="64"/>
        <v>2.1</v>
      </c>
      <c r="V176" s="123">
        <f t="shared" si="64"/>
        <v>2.1</v>
      </c>
      <c r="W176" s="123">
        <f t="shared" si="64"/>
        <v>2.1</v>
      </c>
      <c r="X176" s="123">
        <f t="shared" si="64"/>
        <v>2.1</v>
      </c>
      <c r="Y176" s="123">
        <f t="shared" si="64"/>
        <v>2.1</v>
      </c>
      <c r="Z176" s="123">
        <f t="shared" si="64"/>
        <v>2.1</v>
      </c>
      <c r="AA176" s="123">
        <f t="shared" si="64"/>
        <v>2.1</v>
      </c>
      <c r="AB176" s="123">
        <f t="shared" si="64"/>
        <v>2.1</v>
      </c>
      <c r="AC176" s="123">
        <f t="shared" si="64"/>
        <v>2.1</v>
      </c>
      <c r="AD176" s="123">
        <f t="shared" si="64"/>
        <v>2.1</v>
      </c>
      <c r="AE176" s="123">
        <f t="shared" si="64"/>
        <v>2.1</v>
      </c>
      <c r="AF176" s="123">
        <f t="shared" si="64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2"/>
        <v>0.9</v>
      </c>
      <c r="C177" s="124">
        <v>0.9</v>
      </c>
      <c r="D177" s="123">
        <f t="shared" si="63"/>
        <v>0.9</v>
      </c>
      <c r="E177" s="123">
        <f t="shared" si="63"/>
        <v>0.9</v>
      </c>
      <c r="F177" s="123">
        <f t="shared" si="63"/>
        <v>0.9</v>
      </c>
      <c r="G177" s="123">
        <f t="shared" si="63"/>
        <v>0.9</v>
      </c>
      <c r="H177" s="123">
        <f t="shared" si="63"/>
        <v>0.9</v>
      </c>
      <c r="I177" s="123">
        <f t="shared" si="63"/>
        <v>0.9</v>
      </c>
      <c r="J177" s="123">
        <f t="shared" si="63"/>
        <v>0.9</v>
      </c>
      <c r="K177" s="123">
        <f t="shared" si="63"/>
        <v>0.9</v>
      </c>
      <c r="L177" s="123">
        <f t="shared" si="63"/>
        <v>0.9</v>
      </c>
      <c r="M177" s="123">
        <f t="shared" si="63"/>
        <v>0.9</v>
      </c>
      <c r="N177" s="123">
        <f t="shared" si="63"/>
        <v>0.9</v>
      </c>
      <c r="O177" s="123">
        <f t="shared" si="63"/>
        <v>0.9</v>
      </c>
      <c r="P177" s="123">
        <f t="shared" si="63"/>
        <v>0.9</v>
      </c>
      <c r="Q177" s="123">
        <f t="shared" si="63"/>
        <v>0.9</v>
      </c>
      <c r="R177" s="123">
        <f t="shared" si="63"/>
        <v>0.9</v>
      </c>
      <c r="S177" s="123">
        <f t="shared" si="64"/>
        <v>0.9</v>
      </c>
      <c r="T177" s="123">
        <f t="shared" si="64"/>
        <v>0.9</v>
      </c>
      <c r="U177" s="123">
        <f t="shared" si="64"/>
        <v>0.9</v>
      </c>
      <c r="V177" s="123">
        <f t="shared" si="64"/>
        <v>0.9</v>
      </c>
      <c r="W177" s="123">
        <f t="shared" si="64"/>
        <v>0.9</v>
      </c>
      <c r="X177" s="123">
        <f t="shared" si="64"/>
        <v>0.9</v>
      </c>
      <c r="Y177" s="123">
        <f t="shared" si="64"/>
        <v>0.9</v>
      </c>
      <c r="Z177" s="123">
        <f t="shared" si="64"/>
        <v>0.9</v>
      </c>
      <c r="AA177" s="123">
        <f t="shared" si="64"/>
        <v>0.9</v>
      </c>
      <c r="AB177" s="123">
        <f t="shared" si="64"/>
        <v>0.9</v>
      </c>
      <c r="AC177" s="123">
        <f t="shared" si="64"/>
        <v>0.9</v>
      </c>
      <c r="AD177" s="123">
        <f t="shared" si="64"/>
        <v>0.9</v>
      </c>
      <c r="AE177" s="123">
        <f t="shared" si="64"/>
        <v>0.9</v>
      </c>
      <c r="AF177" s="123">
        <f t="shared" si="64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5">AF179</f>
        <v>0.57999999999999996</v>
      </c>
      <c r="C179" s="124">
        <v>0.57999999999999996</v>
      </c>
      <c r="D179" s="123">
        <f t="shared" ref="D179:S191" si="66">C179</f>
        <v>0.57999999999999996</v>
      </c>
      <c r="E179" s="123">
        <f t="shared" si="66"/>
        <v>0.57999999999999996</v>
      </c>
      <c r="F179" s="123">
        <f t="shared" si="66"/>
        <v>0.57999999999999996</v>
      </c>
      <c r="G179" s="123">
        <f t="shared" si="66"/>
        <v>0.57999999999999996</v>
      </c>
      <c r="H179" s="123">
        <f t="shared" si="66"/>
        <v>0.57999999999999996</v>
      </c>
      <c r="I179" s="123">
        <f t="shared" si="66"/>
        <v>0.57999999999999996</v>
      </c>
      <c r="J179" s="123">
        <f t="shared" si="66"/>
        <v>0.57999999999999996</v>
      </c>
      <c r="K179" s="123">
        <f t="shared" si="66"/>
        <v>0.57999999999999996</v>
      </c>
      <c r="L179" s="123">
        <f t="shared" si="66"/>
        <v>0.57999999999999996</v>
      </c>
      <c r="M179" s="123">
        <f t="shared" si="66"/>
        <v>0.57999999999999996</v>
      </c>
      <c r="N179" s="123">
        <f t="shared" si="66"/>
        <v>0.57999999999999996</v>
      </c>
      <c r="O179" s="123">
        <f t="shared" si="66"/>
        <v>0.57999999999999996</v>
      </c>
      <c r="P179" s="123">
        <f t="shared" si="66"/>
        <v>0.57999999999999996</v>
      </c>
      <c r="Q179" s="123">
        <f t="shared" si="66"/>
        <v>0.57999999999999996</v>
      </c>
      <c r="R179" s="123">
        <f t="shared" si="66"/>
        <v>0.57999999999999996</v>
      </c>
      <c r="S179" s="123">
        <f t="shared" si="66"/>
        <v>0.57999999999999996</v>
      </c>
      <c r="T179" s="123">
        <f t="shared" ref="S179:AF191" si="67">S179</f>
        <v>0.57999999999999996</v>
      </c>
      <c r="U179" s="123">
        <f t="shared" si="67"/>
        <v>0.57999999999999996</v>
      </c>
      <c r="V179" s="123">
        <f t="shared" si="67"/>
        <v>0.57999999999999996</v>
      </c>
      <c r="W179" s="123">
        <f t="shared" si="67"/>
        <v>0.57999999999999996</v>
      </c>
      <c r="X179" s="123">
        <f t="shared" si="67"/>
        <v>0.57999999999999996</v>
      </c>
      <c r="Y179" s="123">
        <f t="shared" si="67"/>
        <v>0.57999999999999996</v>
      </c>
      <c r="Z179" s="123">
        <f t="shared" si="67"/>
        <v>0.57999999999999996</v>
      </c>
      <c r="AA179" s="123">
        <f t="shared" si="67"/>
        <v>0.57999999999999996</v>
      </c>
      <c r="AB179" s="123">
        <f t="shared" si="67"/>
        <v>0.57999999999999996</v>
      </c>
      <c r="AC179" s="123">
        <f t="shared" si="67"/>
        <v>0.57999999999999996</v>
      </c>
      <c r="AD179" s="123">
        <f t="shared" si="67"/>
        <v>0.57999999999999996</v>
      </c>
      <c r="AE179" s="123">
        <f t="shared" si="67"/>
        <v>0.57999999999999996</v>
      </c>
      <c r="AF179" s="123">
        <f t="shared" si="67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5"/>
        <v>0.8</v>
      </c>
      <c r="C180" s="124">
        <v>0.8</v>
      </c>
      <c r="D180" s="123">
        <f t="shared" si="66"/>
        <v>0.8</v>
      </c>
      <c r="E180" s="123">
        <f t="shared" si="66"/>
        <v>0.8</v>
      </c>
      <c r="F180" s="123">
        <f t="shared" si="66"/>
        <v>0.8</v>
      </c>
      <c r="G180" s="123">
        <f t="shared" si="66"/>
        <v>0.8</v>
      </c>
      <c r="H180" s="123">
        <f t="shared" si="66"/>
        <v>0.8</v>
      </c>
      <c r="I180" s="123">
        <f t="shared" si="66"/>
        <v>0.8</v>
      </c>
      <c r="J180" s="123">
        <f t="shared" si="66"/>
        <v>0.8</v>
      </c>
      <c r="K180" s="123">
        <f t="shared" si="66"/>
        <v>0.8</v>
      </c>
      <c r="L180" s="123">
        <f t="shared" si="66"/>
        <v>0.8</v>
      </c>
      <c r="M180" s="123">
        <f t="shared" si="66"/>
        <v>0.8</v>
      </c>
      <c r="N180" s="123">
        <f t="shared" si="66"/>
        <v>0.8</v>
      </c>
      <c r="O180" s="123">
        <f t="shared" si="66"/>
        <v>0.8</v>
      </c>
      <c r="P180" s="123">
        <f t="shared" si="66"/>
        <v>0.8</v>
      </c>
      <c r="Q180" s="123">
        <f t="shared" si="66"/>
        <v>0.8</v>
      </c>
      <c r="R180" s="123">
        <f t="shared" si="66"/>
        <v>0.8</v>
      </c>
      <c r="S180" s="123">
        <f t="shared" si="66"/>
        <v>0.8</v>
      </c>
      <c r="T180" s="123">
        <f t="shared" si="67"/>
        <v>0.8</v>
      </c>
      <c r="U180" s="123">
        <f t="shared" si="67"/>
        <v>0.8</v>
      </c>
      <c r="V180" s="123">
        <f t="shared" si="67"/>
        <v>0.8</v>
      </c>
      <c r="W180" s="123">
        <f t="shared" si="67"/>
        <v>0.8</v>
      </c>
      <c r="X180" s="123">
        <f t="shared" si="67"/>
        <v>0.8</v>
      </c>
      <c r="Y180" s="123">
        <f t="shared" si="67"/>
        <v>0.8</v>
      </c>
      <c r="Z180" s="123">
        <f t="shared" si="67"/>
        <v>0.8</v>
      </c>
      <c r="AA180" s="123">
        <f t="shared" si="67"/>
        <v>0.8</v>
      </c>
      <c r="AB180" s="123">
        <f t="shared" si="67"/>
        <v>0.8</v>
      </c>
      <c r="AC180" s="123">
        <f t="shared" si="67"/>
        <v>0.8</v>
      </c>
      <c r="AD180" s="123">
        <f t="shared" si="67"/>
        <v>0.8</v>
      </c>
      <c r="AE180" s="123">
        <f t="shared" si="67"/>
        <v>0.8</v>
      </c>
      <c r="AF180" s="123">
        <f t="shared" si="67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5"/>
        <v>0</v>
      </c>
      <c r="C181" s="124">
        <v>0</v>
      </c>
      <c r="D181" s="123">
        <f t="shared" si="66"/>
        <v>0</v>
      </c>
      <c r="E181" s="123">
        <f t="shared" si="66"/>
        <v>0</v>
      </c>
      <c r="F181" s="123">
        <f t="shared" si="66"/>
        <v>0</v>
      </c>
      <c r="G181" s="123">
        <f t="shared" si="66"/>
        <v>0</v>
      </c>
      <c r="H181" s="123">
        <f t="shared" si="66"/>
        <v>0</v>
      </c>
      <c r="I181" s="123">
        <f t="shared" si="66"/>
        <v>0</v>
      </c>
      <c r="J181" s="123">
        <f t="shared" si="66"/>
        <v>0</v>
      </c>
      <c r="K181" s="123">
        <f t="shared" si="66"/>
        <v>0</v>
      </c>
      <c r="L181" s="123">
        <f t="shared" si="66"/>
        <v>0</v>
      </c>
      <c r="M181" s="123">
        <f t="shared" si="66"/>
        <v>0</v>
      </c>
      <c r="N181" s="123">
        <f t="shared" si="66"/>
        <v>0</v>
      </c>
      <c r="O181" s="123">
        <f t="shared" si="66"/>
        <v>0</v>
      </c>
      <c r="P181" s="123">
        <f t="shared" si="66"/>
        <v>0</v>
      </c>
      <c r="Q181" s="123">
        <f t="shared" si="66"/>
        <v>0</v>
      </c>
      <c r="R181" s="123">
        <f t="shared" si="66"/>
        <v>0</v>
      </c>
      <c r="S181" s="123">
        <f t="shared" si="66"/>
        <v>0</v>
      </c>
      <c r="T181" s="123">
        <f t="shared" si="67"/>
        <v>0</v>
      </c>
      <c r="U181" s="123">
        <f t="shared" si="67"/>
        <v>0</v>
      </c>
      <c r="V181" s="123">
        <f t="shared" si="67"/>
        <v>0</v>
      </c>
      <c r="W181" s="123">
        <f t="shared" si="67"/>
        <v>0</v>
      </c>
      <c r="X181" s="123">
        <f t="shared" si="67"/>
        <v>0</v>
      </c>
      <c r="Y181" s="123">
        <f t="shared" si="67"/>
        <v>0</v>
      </c>
      <c r="Z181" s="123">
        <f t="shared" si="67"/>
        <v>0</v>
      </c>
      <c r="AA181" s="123">
        <f t="shared" si="67"/>
        <v>0</v>
      </c>
      <c r="AB181" s="123">
        <f t="shared" si="67"/>
        <v>0</v>
      </c>
      <c r="AC181" s="123">
        <f t="shared" si="67"/>
        <v>0</v>
      </c>
      <c r="AD181" s="123">
        <f t="shared" si="67"/>
        <v>0</v>
      </c>
      <c r="AE181" s="123">
        <f t="shared" si="67"/>
        <v>0</v>
      </c>
      <c r="AF181" s="123">
        <f t="shared" si="67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5"/>
        <v>0.6</v>
      </c>
      <c r="C182" s="124">
        <v>0.6</v>
      </c>
      <c r="D182" s="123">
        <f t="shared" si="66"/>
        <v>0.6</v>
      </c>
      <c r="E182" s="123">
        <f t="shared" si="66"/>
        <v>0.6</v>
      </c>
      <c r="F182" s="123">
        <f t="shared" si="66"/>
        <v>0.6</v>
      </c>
      <c r="G182" s="123">
        <f t="shared" si="66"/>
        <v>0.6</v>
      </c>
      <c r="H182" s="123">
        <f t="shared" si="66"/>
        <v>0.6</v>
      </c>
      <c r="I182" s="123">
        <f t="shared" si="66"/>
        <v>0.6</v>
      </c>
      <c r="J182" s="123">
        <f t="shared" si="66"/>
        <v>0.6</v>
      </c>
      <c r="K182" s="123">
        <f t="shared" si="66"/>
        <v>0.6</v>
      </c>
      <c r="L182" s="123">
        <f t="shared" si="66"/>
        <v>0.6</v>
      </c>
      <c r="M182" s="123">
        <f t="shared" si="66"/>
        <v>0.6</v>
      </c>
      <c r="N182" s="123">
        <f t="shared" si="66"/>
        <v>0.6</v>
      </c>
      <c r="O182" s="123">
        <f t="shared" si="66"/>
        <v>0.6</v>
      </c>
      <c r="P182" s="123">
        <f t="shared" si="66"/>
        <v>0.6</v>
      </c>
      <c r="Q182" s="123">
        <f t="shared" si="66"/>
        <v>0.6</v>
      </c>
      <c r="R182" s="123">
        <f t="shared" si="66"/>
        <v>0.6</v>
      </c>
      <c r="S182" s="123">
        <f t="shared" si="66"/>
        <v>0.6</v>
      </c>
      <c r="T182" s="123">
        <f t="shared" si="67"/>
        <v>0.6</v>
      </c>
      <c r="U182" s="123">
        <f t="shared" si="67"/>
        <v>0.6</v>
      </c>
      <c r="V182" s="123">
        <f t="shared" si="67"/>
        <v>0.6</v>
      </c>
      <c r="W182" s="123">
        <f t="shared" si="67"/>
        <v>0.6</v>
      </c>
      <c r="X182" s="123">
        <f t="shared" si="67"/>
        <v>0.6</v>
      </c>
      <c r="Y182" s="123">
        <f t="shared" si="67"/>
        <v>0.6</v>
      </c>
      <c r="Z182" s="123">
        <f t="shared" si="67"/>
        <v>0.6</v>
      </c>
      <c r="AA182" s="123">
        <f t="shared" si="67"/>
        <v>0.6</v>
      </c>
      <c r="AB182" s="123">
        <f t="shared" si="67"/>
        <v>0.6</v>
      </c>
      <c r="AC182" s="123">
        <f t="shared" si="67"/>
        <v>0.6</v>
      </c>
      <c r="AD182" s="123">
        <f t="shared" si="67"/>
        <v>0.6</v>
      </c>
      <c r="AE182" s="123">
        <f t="shared" si="67"/>
        <v>0.6</v>
      </c>
      <c r="AF182" s="123">
        <f t="shared" si="67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5"/>
        <v>0.6</v>
      </c>
      <c r="C183" s="124">
        <v>0.6</v>
      </c>
      <c r="D183" s="123">
        <f t="shared" si="66"/>
        <v>0.6</v>
      </c>
      <c r="E183" s="123">
        <f t="shared" si="66"/>
        <v>0.6</v>
      </c>
      <c r="F183" s="123">
        <f t="shared" si="66"/>
        <v>0.6</v>
      </c>
      <c r="G183" s="123">
        <f t="shared" si="66"/>
        <v>0.6</v>
      </c>
      <c r="H183" s="123">
        <f t="shared" si="66"/>
        <v>0.6</v>
      </c>
      <c r="I183" s="123">
        <f t="shared" si="66"/>
        <v>0.6</v>
      </c>
      <c r="J183" s="123">
        <f t="shared" si="66"/>
        <v>0.6</v>
      </c>
      <c r="K183" s="123">
        <f t="shared" si="66"/>
        <v>0.6</v>
      </c>
      <c r="L183" s="123">
        <f t="shared" si="66"/>
        <v>0.6</v>
      </c>
      <c r="M183" s="123">
        <f t="shared" si="66"/>
        <v>0.6</v>
      </c>
      <c r="N183" s="123">
        <f t="shared" si="66"/>
        <v>0.6</v>
      </c>
      <c r="O183" s="123">
        <f t="shared" si="66"/>
        <v>0.6</v>
      </c>
      <c r="P183" s="123">
        <f t="shared" si="66"/>
        <v>0.6</v>
      </c>
      <c r="Q183" s="123">
        <f t="shared" si="66"/>
        <v>0.6</v>
      </c>
      <c r="R183" s="123">
        <f t="shared" si="66"/>
        <v>0.6</v>
      </c>
      <c r="S183" s="123">
        <f t="shared" si="66"/>
        <v>0.6</v>
      </c>
      <c r="T183" s="123">
        <f t="shared" si="67"/>
        <v>0.6</v>
      </c>
      <c r="U183" s="123">
        <f t="shared" si="67"/>
        <v>0.6</v>
      </c>
      <c r="V183" s="123">
        <f t="shared" si="67"/>
        <v>0.6</v>
      </c>
      <c r="W183" s="123">
        <f t="shared" si="67"/>
        <v>0.6</v>
      </c>
      <c r="X183" s="123">
        <f t="shared" si="67"/>
        <v>0.6</v>
      </c>
      <c r="Y183" s="123">
        <f t="shared" si="67"/>
        <v>0.6</v>
      </c>
      <c r="Z183" s="123">
        <f t="shared" si="67"/>
        <v>0.6</v>
      </c>
      <c r="AA183" s="123">
        <f t="shared" si="67"/>
        <v>0.6</v>
      </c>
      <c r="AB183" s="123">
        <f t="shared" si="67"/>
        <v>0.6</v>
      </c>
      <c r="AC183" s="123">
        <f t="shared" si="67"/>
        <v>0.6</v>
      </c>
      <c r="AD183" s="123">
        <f t="shared" si="67"/>
        <v>0.6</v>
      </c>
      <c r="AE183" s="123">
        <f t="shared" si="67"/>
        <v>0.6</v>
      </c>
      <c r="AF183" s="123">
        <f t="shared" si="67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5"/>
        <v>0.35</v>
      </c>
      <c r="C184" s="124">
        <v>0.35</v>
      </c>
      <c r="D184" s="123">
        <f t="shared" si="66"/>
        <v>0.35</v>
      </c>
      <c r="E184" s="123">
        <f t="shared" si="66"/>
        <v>0.35</v>
      </c>
      <c r="F184" s="123">
        <f t="shared" si="66"/>
        <v>0.35</v>
      </c>
      <c r="G184" s="123">
        <f t="shared" si="66"/>
        <v>0.35</v>
      </c>
      <c r="H184" s="123">
        <f t="shared" si="66"/>
        <v>0.35</v>
      </c>
      <c r="I184" s="123">
        <f t="shared" si="66"/>
        <v>0.35</v>
      </c>
      <c r="J184" s="123">
        <f t="shared" si="66"/>
        <v>0.35</v>
      </c>
      <c r="K184" s="123">
        <f t="shared" si="66"/>
        <v>0.35</v>
      </c>
      <c r="L184" s="123">
        <f t="shared" si="66"/>
        <v>0.35</v>
      </c>
      <c r="M184" s="123">
        <f t="shared" si="66"/>
        <v>0.35</v>
      </c>
      <c r="N184" s="123">
        <f t="shared" si="66"/>
        <v>0.35</v>
      </c>
      <c r="O184" s="123">
        <f t="shared" si="66"/>
        <v>0.35</v>
      </c>
      <c r="P184" s="123">
        <f t="shared" si="66"/>
        <v>0.35</v>
      </c>
      <c r="Q184" s="123">
        <f t="shared" si="66"/>
        <v>0.35</v>
      </c>
      <c r="R184" s="123">
        <f t="shared" si="66"/>
        <v>0.35</v>
      </c>
      <c r="S184" s="123">
        <f t="shared" si="66"/>
        <v>0.35</v>
      </c>
      <c r="T184" s="123">
        <f t="shared" si="67"/>
        <v>0.35</v>
      </c>
      <c r="U184" s="123">
        <f t="shared" si="67"/>
        <v>0.35</v>
      </c>
      <c r="V184" s="123">
        <f t="shared" si="67"/>
        <v>0.35</v>
      </c>
      <c r="W184" s="123">
        <f t="shared" si="67"/>
        <v>0.35</v>
      </c>
      <c r="X184" s="123">
        <f t="shared" si="67"/>
        <v>0.35</v>
      </c>
      <c r="Y184" s="123">
        <f t="shared" si="67"/>
        <v>0.35</v>
      </c>
      <c r="Z184" s="123">
        <f t="shared" si="67"/>
        <v>0.35</v>
      </c>
      <c r="AA184" s="123">
        <f t="shared" si="67"/>
        <v>0.35</v>
      </c>
      <c r="AB184" s="123">
        <f t="shared" si="67"/>
        <v>0.35</v>
      </c>
      <c r="AC184" s="123">
        <f t="shared" si="67"/>
        <v>0.35</v>
      </c>
      <c r="AD184" s="123">
        <f t="shared" si="67"/>
        <v>0.35</v>
      </c>
      <c r="AE184" s="123">
        <f t="shared" si="67"/>
        <v>0.35</v>
      </c>
      <c r="AF184" s="123">
        <f t="shared" si="67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5"/>
        <v>0.28999999999999998</v>
      </c>
      <c r="C185" s="124">
        <v>0.28999999999999998</v>
      </c>
      <c r="D185" s="123">
        <f t="shared" si="66"/>
        <v>0.28999999999999998</v>
      </c>
      <c r="E185" s="123">
        <f t="shared" si="66"/>
        <v>0.28999999999999998</v>
      </c>
      <c r="F185" s="123">
        <f t="shared" si="66"/>
        <v>0.28999999999999998</v>
      </c>
      <c r="G185" s="123">
        <f t="shared" si="66"/>
        <v>0.28999999999999998</v>
      </c>
      <c r="H185" s="123">
        <f t="shared" si="66"/>
        <v>0.28999999999999998</v>
      </c>
      <c r="I185" s="123">
        <f t="shared" si="66"/>
        <v>0.28999999999999998</v>
      </c>
      <c r="J185" s="123">
        <f t="shared" si="66"/>
        <v>0.28999999999999998</v>
      </c>
      <c r="K185" s="123">
        <f t="shared" si="66"/>
        <v>0.28999999999999998</v>
      </c>
      <c r="L185" s="123">
        <f t="shared" si="66"/>
        <v>0.28999999999999998</v>
      </c>
      <c r="M185" s="123">
        <f t="shared" si="66"/>
        <v>0.28999999999999998</v>
      </c>
      <c r="N185" s="123">
        <f t="shared" si="66"/>
        <v>0.28999999999999998</v>
      </c>
      <c r="O185" s="123">
        <f t="shared" si="66"/>
        <v>0.28999999999999998</v>
      </c>
      <c r="P185" s="123">
        <f t="shared" si="66"/>
        <v>0.28999999999999998</v>
      </c>
      <c r="Q185" s="123">
        <f t="shared" si="66"/>
        <v>0.28999999999999998</v>
      </c>
      <c r="R185" s="123">
        <f t="shared" si="66"/>
        <v>0.28999999999999998</v>
      </c>
      <c r="S185" s="123">
        <f t="shared" si="66"/>
        <v>0.28999999999999998</v>
      </c>
      <c r="T185" s="123">
        <f t="shared" si="67"/>
        <v>0.28999999999999998</v>
      </c>
      <c r="U185" s="123">
        <f t="shared" si="67"/>
        <v>0.28999999999999998</v>
      </c>
      <c r="V185" s="123">
        <f t="shared" si="67"/>
        <v>0.28999999999999998</v>
      </c>
      <c r="W185" s="123">
        <f t="shared" si="67"/>
        <v>0.28999999999999998</v>
      </c>
      <c r="X185" s="123">
        <f t="shared" si="67"/>
        <v>0.28999999999999998</v>
      </c>
      <c r="Y185" s="123">
        <f t="shared" si="67"/>
        <v>0.28999999999999998</v>
      </c>
      <c r="Z185" s="123">
        <f t="shared" si="67"/>
        <v>0.28999999999999998</v>
      </c>
      <c r="AA185" s="123">
        <f t="shared" si="67"/>
        <v>0.28999999999999998</v>
      </c>
      <c r="AB185" s="123">
        <f t="shared" si="67"/>
        <v>0.28999999999999998</v>
      </c>
      <c r="AC185" s="123">
        <f t="shared" si="67"/>
        <v>0.28999999999999998</v>
      </c>
      <c r="AD185" s="123">
        <f t="shared" si="67"/>
        <v>0.28999999999999998</v>
      </c>
      <c r="AE185" s="123">
        <f t="shared" si="67"/>
        <v>0.28999999999999998</v>
      </c>
      <c r="AF185" s="123">
        <f t="shared" si="67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5"/>
        <v>0.06</v>
      </c>
      <c r="C186" s="124">
        <v>0.06</v>
      </c>
      <c r="D186" s="123">
        <f t="shared" si="66"/>
        <v>0.06</v>
      </c>
      <c r="E186" s="123">
        <f t="shared" si="66"/>
        <v>0.06</v>
      </c>
      <c r="F186" s="123">
        <f t="shared" si="66"/>
        <v>0.06</v>
      </c>
      <c r="G186" s="123">
        <f t="shared" si="66"/>
        <v>0.06</v>
      </c>
      <c r="H186" s="123">
        <f t="shared" si="66"/>
        <v>0.06</v>
      </c>
      <c r="I186" s="123">
        <f t="shared" si="66"/>
        <v>0.06</v>
      </c>
      <c r="J186" s="123">
        <f t="shared" si="66"/>
        <v>0.06</v>
      </c>
      <c r="K186" s="123">
        <f t="shared" si="66"/>
        <v>0.06</v>
      </c>
      <c r="L186" s="123">
        <f t="shared" si="66"/>
        <v>0.06</v>
      </c>
      <c r="M186" s="123">
        <f t="shared" si="66"/>
        <v>0.06</v>
      </c>
      <c r="N186" s="123">
        <f t="shared" si="66"/>
        <v>0.06</v>
      </c>
      <c r="O186" s="123">
        <f t="shared" si="66"/>
        <v>0.06</v>
      </c>
      <c r="P186" s="123">
        <f t="shared" si="66"/>
        <v>0.06</v>
      </c>
      <c r="Q186" s="123">
        <f t="shared" si="66"/>
        <v>0.06</v>
      </c>
      <c r="R186" s="123">
        <f t="shared" si="66"/>
        <v>0.06</v>
      </c>
      <c r="S186" s="123">
        <f t="shared" si="66"/>
        <v>0.06</v>
      </c>
      <c r="T186" s="123">
        <f t="shared" si="67"/>
        <v>0.06</v>
      </c>
      <c r="U186" s="123">
        <f t="shared" si="67"/>
        <v>0.06</v>
      </c>
      <c r="V186" s="123">
        <f t="shared" si="67"/>
        <v>0.06</v>
      </c>
      <c r="W186" s="123">
        <f t="shared" si="67"/>
        <v>0.06</v>
      </c>
      <c r="X186" s="123">
        <f t="shared" si="67"/>
        <v>0.06</v>
      </c>
      <c r="Y186" s="123">
        <f t="shared" si="67"/>
        <v>0.06</v>
      </c>
      <c r="Z186" s="123">
        <f t="shared" si="67"/>
        <v>0.06</v>
      </c>
      <c r="AA186" s="123">
        <f t="shared" si="67"/>
        <v>0.06</v>
      </c>
      <c r="AB186" s="123">
        <f t="shared" si="67"/>
        <v>0.06</v>
      </c>
      <c r="AC186" s="123">
        <f t="shared" si="67"/>
        <v>0.06</v>
      </c>
      <c r="AD186" s="123">
        <f t="shared" si="67"/>
        <v>0.06</v>
      </c>
      <c r="AE186" s="123">
        <f t="shared" si="67"/>
        <v>0.06</v>
      </c>
      <c r="AF186" s="123">
        <f t="shared" si="67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5"/>
        <v>0.11</v>
      </c>
      <c r="C187" s="124">
        <v>0.11</v>
      </c>
      <c r="D187" s="123">
        <f t="shared" si="66"/>
        <v>0.11</v>
      </c>
      <c r="E187" s="123">
        <f t="shared" si="66"/>
        <v>0.11</v>
      </c>
      <c r="F187" s="123">
        <f t="shared" si="66"/>
        <v>0.11</v>
      </c>
      <c r="G187" s="123">
        <f t="shared" si="66"/>
        <v>0.11</v>
      </c>
      <c r="H187" s="123">
        <f t="shared" si="66"/>
        <v>0.11</v>
      </c>
      <c r="I187" s="123">
        <f t="shared" si="66"/>
        <v>0.11</v>
      </c>
      <c r="J187" s="123">
        <f t="shared" si="66"/>
        <v>0.11</v>
      </c>
      <c r="K187" s="123">
        <f t="shared" si="66"/>
        <v>0.11</v>
      </c>
      <c r="L187" s="123">
        <f t="shared" si="66"/>
        <v>0.11</v>
      </c>
      <c r="M187" s="123">
        <f t="shared" si="66"/>
        <v>0.11</v>
      </c>
      <c r="N187" s="123">
        <f t="shared" si="66"/>
        <v>0.11</v>
      </c>
      <c r="O187" s="123">
        <f t="shared" si="66"/>
        <v>0.11</v>
      </c>
      <c r="P187" s="123">
        <f t="shared" si="66"/>
        <v>0.11</v>
      </c>
      <c r="Q187" s="123">
        <f t="shared" si="66"/>
        <v>0.11</v>
      </c>
      <c r="R187" s="123">
        <f t="shared" si="66"/>
        <v>0.11</v>
      </c>
      <c r="S187" s="123">
        <f t="shared" si="66"/>
        <v>0.11</v>
      </c>
      <c r="T187" s="123">
        <f t="shared" si="67"/>
        <v>0.11</v>
      </c>
      <c r="U187" s="123">
        <f t="shared" si="67"/>
        <v>0.11</v>
      </c>
      <c r="V187" s="123">
        <f t="shared" si="67"/>
        <v>0.11</v>
      </c>
      <c r="W187" s="123">
        <f t="shared" si="67"/>
        <v>0.11</v>
      </c>
      <c r="X187" s="123">
        <f t="shared" si="67"/>
        <v>0.11</v>
      </c>
      <c r="Y187" s="123">
        <f t="shared" si="67"/>
        <v>0.11</v>
      </c>
      <c r="Z187" s="123">
        <f t="shared" si="67"/>
        <v>0.11</v>
      </c>
      <c r="AA187" s="123">
        <f t="shared" si="67"/>
        <v>0.11</v>
      </c>
      <c r="AB187" s="123">
        <f t="shared" si="67"/>
        <v>0.11</v>
      </c>
      <c r="AC187" s="123">
        <f t="shared" si="67"/>
        <v>0.11</v>
      </c>
      <c r="AD187" s="123">
        <f t="shared" si="67"/>
        <v>0.11</v>
      </c>
      <c r="AE187" s="123">
        <f t="shared" si="67"/>
        <v>0.11</v>
      </c>
      <c r="AF187" s="123">
        <f t="shared" si="67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5"/>
        <v>0.1</v>
      </c>
      <c r="C188" s="124">
        <v>0.1</v>
      </c>
      <c r="D188" s="123">
        <f t="shared" si="66"/>
        <v>0.1</v>
      </c>
      <c r="E188" s="123">
        <f t="shared" si="66"/>
        <v>0.1</v>
      </c>
      <c r="F188" s="123">
        <f t="shared" si="66"/>
        <v>0.1</v>
      </c>
      <c r="G188" s="123">
        <f t="shared" si="66"/>
        <v>0.1</v>
      </c>
      <c r="H188" s="123">
        <f t="shared" si="66"/>
        <v>0.1</v>
      </c>
      <c r="I188" s="123">
        <f t="shared" si="66"/>
        <v>0.1</v>
      </c>
      <c r="J188" s="123">
        <f t="shared" si="66"/>
        <v>0.1</v>
      </c>
      <c r="K188" s="123">
        <f t="shared" si="66"/>
        <v>0.1</v>
      </c>
      <c r="L188" s="123">
        <f t="shared" si="66"/>
        <v>0.1</v>
      </c>
      <c r="M188" s="123">
        <f t="shared" si="66"/>
        <v>0.1</v>
      </c>
      <c r="N188" s="123">
        <f t="shared" si="66"/>
        <v>0.1</v>
      </c>
      <c r="O188" s="123">
        <f t="shared" si="66"/>
        <v>0.1</v>
      </c>
      <c r="P188" s="123">
        <f t="shared" si="66"/>
        <v>0.1</v>
      </c>
      <c r="Q188" s="123">
        <f t="shared" si="66"/>
        <v>0.1</v>
      </c>
      <c r="R188" s="123">
        <f t="shared" si="66"/>
        <v>0.1</v>
      </c>
      <c r="S188" s="123">
        <f t="shared" si="67"/>
        <v>0.1</v>
      </c>
      <c r="T188" s="123">
        <f t="shared" si="67"/>
        <v>0.1</v>
      </c>
      <c r="U188" s="123">
        <f t="shared" si="67"/>
        <v>0.1</v>
      </c>
      <c r="V188" s="123">
        <f t="shared" si="67"/>
        <v>0.1</v>
      </c>
      <c r="W188" s="123">
        <f t="shared" si="67"/>
        <v>0.1</v>
      </c>
      <c r="X188" s="123">
        <f t="shared" si="67"/>
        <v>0.1</v>
      </c>
      <c r="Y188" s="123">
        <f t="shared" si="67"/>
        <v>0.1</v>
      </c>
      <c r="Z188" s="123">
        <f t="shared" si="67"/>
        <v>0.1</v>
      </c>
      <c r="AA188" s="123">
        <f t="shared" si="67"/>
        <v>0.1</v>
      </c>
      <c r="AB188" s="123">
        <f t="shared" si="67"/>
        <v>0.1</v>
      </c>
      <c r="AC188" s="123">
        <f t="shared" si="67"/>
        <v>0.1</v>
      </c>
      <c r="AD188" s="123">
        <f t="shared" si="67"/>
        <v>0.1</v>
      </c>
      <c r="AE188" s="123">
        <f t="shared" si="67"/>
        <v>0.1</v>
      </c>
      <c r="AF188" s="123">
        <f t="shared" si="67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5"/>
        <v>0.09</v>
      </c>
      <c r="C189" s="124">
        <v>0.09</v>
      </c>
      <c r="D189" s="123">
        <f t="shared" si="66"/>
        <v>0.09</v>
      </c>
      <c r="E189" s="123">
        <f t="shared" si="66"/>
        <v>0.09</v>
      </c>
      <c r="F189" s="123">
        <f t="shared" si="66"/>
        <v>0.09</v>
      </c>
      <c r="G189" s="123">
        <f t="shared" si="66"/>
        <v>0.09</v>
      </c>
      <c r="H189" s="123">
        <f t="shared" si="66"/>
        <v>0.09</v>
      </c>
      <c r="I189" s="123">
        <f t="shared" si="66"/>
        <v>0.09</v>
      </c>
      <c r="J189" s="123">
        <f t="shared" si="66"/>
        <v>0.09</v>
      </c>
      <c r="K189" s="123">
        <f t="shared" si="66"/>
        <v>0.09</v>
      </c>
      <c r="L189" s="123">
        <f t="shared" si="66"/>
        <v>0.09</v>
      </c>
      <c r="M189" s="123">
        <f t="shared" si="66"/>
        <v>0.09</v>
      </c>
      <c r="N189" s="123">
        <f t="shared" si="66"/>
        <v>0.09</v>
      </c>
      <c r="O189" s="123">
        <f t="shared" si="66"/>
        <v>0.09</v>
      </c>
      <c r="P189" s="123">
        <f t="shared" si="66"/>
        <v>0.09</v>
      </c>
      <c r="Q189" s="123">
        <f t="shared" si="66"/>
        <v>0.09</v>
      </c>
      <c r="R189" s="123">
        <f t="shared" si="66"/>
        <v>0.09</v>
      </c>
      <c r="S189" s="123">
        <f t="shared" si="67"/>
        <v>0.09</v>
      </c>
      <c r="T189" s="123">
        <f t="shared" si="67"/>
        <v>0.09</v>
      </c>
      <c r="U189" s="123">
        <f t="shared" si="67"/>
        <v>0.09</v>
      </c>
      <c r="V189" s="123">
        <f t="shared" si="67"/>
        <v>0.09</v>
      </c>
      <c r="W189" s="123">
        <f t="shared" si="67"/>
        <v>0.09</v>
      </c>
      <c r="X189" s="123">
        <f t="shared" si="67"/>
        <v>0.09</v>
      </c>
      <c r="Y189" s="123">
        <f t="shared" si="67"/>
        <v>0.09</v>
      </c>
      <c r="Z189" s="123">
        <f t="shared" si="67"/>
        <v>0.09</v>
      </c>
      <c r="AA189" s="123">
        <f t="shared" si="67"/>
        <v>0.09</v>
      </c>
      <c r="AB189" s="123">
        <f t="shared" si="67"/>
        <v>0.09</v>
      </c>
      <c r="AC189" s="123">
        <f t="shared" si="67"/>
        <v>0.09</v>
      </c>
      <c r="AD189" s="123">
        <f t="shared" si="67"/>
        <v>0.09</v>
      </c>
      <c r="AE189" s="123">
        <f t="shared" si="67"/>
        <v>0.09</v>
      </c>
      <c r="AF189" s="123">
        <f t="shared" si="67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5"/>
        <v>0.04</v>
      </c>
      <c r="C190" s="54">
        <v>0.04</v>
      </c>
      <c r="D190" s="123">
        <f t="shared" si="66"/>
        <v>0.04</v>
      </c>
      <c r="E190" s="123">
        <f t="shared" si="66"/>
        <v>0.04</v>
      </c>
      <c r="F190" s="123">
        <f t="shared" si="66"/>
        <v>0.04</v>
      </c>
      <c r="G190" s="123">
        <f t="shared" si="66"/>
        <v>0.04</v>
      </c>
      <c r="H190" s="123">
        <f t="shared" si="66"/>
        <v>0.04</v>
      </c>
      <c r="I190" s="123">
        <f t="shared" si="66"/>
        <v>0.04</v>
      </c>
      <c r="J190" s="123">
        <f t="shared" si="66"/>
        <v>0.04</v>
      </c>
      <c r="K190" s="123">
        <f t="shared" si="66"/>
        <v>0.04</v>
      </c>
      <c r="L190" s="123">
        <f t="shared" si="66"/>
        <v>0.04</v>
      </c>
      <c r="M190" s="123">
        <f t="shared" si="66"/>
        <v>0.04</v>
      </c>
      <c r="N190" s="123">
        <f t="shared" si="66"/>
        <v>0.04</v>
      </c>
      <c r="O190" s="123">
        <f t="shared" si="66"/>
        <v>0.04</v>
      </c>
      <c r="P190" s="123">
        <f t="shared" si="66"/>
        <v>0.04</v>
      </c>
      <c r="Q190" s="123">
        <f t="shared" si="66"/>
        <v>0.04</v>
      </c>
      <c r="R190" s="123">
        <f t="shared" si="66"/>
        <v>0.04</v>
      </c>
      <c r="S190" s="123">
        <f t="shared" si="67"/>
        <v>0.04</v>
      </c>
      <c r="T190" s="123">
        <f t="shared" si="67"/>
        <v>0.04</v>
      </c>
      <c r="U190" s="123">
        <f t="shared" si="67"/>
        <v>0.04</v>
      </c>
      <c r="V190" s="123">
        <f t="shared" si="67"/>
        <v>0.04</v>
      </c>
      <c r="W190" s="123">
        <f t="shared" si="67"/>
        <v>0.04</v>
      </c>
      <c r="X190" s="123">
        <f t="shared" si="67"/>
        <v>0.04</v>
      </c>
      <c r="Y190" s="123">
        <f t="shared" si="67"/>
        <v>0.04</v>
      </c>
      <c r="Z190" s="123">
        <f t="shared" si="67"/>
        <v>0.04</v>
      </c>
      <c r="AA190" s="123">
        <f t="shared" si="67"/>
        <v>0.04</v>
      </c>
      <c r="AB190" s="123">
        <f t="shared" si="67"/>
        <v>0.04</v>
      </c>
      <c r="AC190" s="123">
        <f t="shared" si="67"/>
        <v>0.04</v>
      </c>
      <c r="AD190" s="123">
        <f t="shared" si="67"/>
        <v>0.04</v>
      </c>
      <c r="AE190" s="123">
        <f t="shared" si="67"/>
        <v>0.04</v>
      </c>
      <c r="AF190" s="123">
        <f t="shared" si="67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5"/>
        <v>2.3E-2</v>
      </c>
      <c r="C191" s="54">
        <v>2.3E-2</v>
      </c>
      <c r="D191" s="123">
        <f>C191</f>
        <v>2.3E-2</v>
      </c>
      <c r="E191" s="123">
        <f t="shared" si="66"/>
        <v>2.3E-2</v>
      </c>
      <c r="F191" s="123">
        <f t="shared" si="66"/>
        <v>2.3E-2</v>
      </c>
      <c r="G191" s="123">
        <f t="shared" si="66"/>
        <v>2.3E-2</v>
      </c>
      <c r="H191" s="123">
        <f t="shared" si="66"/>
        <v>2.3E-2</v>
      </c>
      <c r="I191" s="123">
        <f t="shared" si="66"/>
        <v>2.3E-2</v>
      </c>
      <c r="J191" s="123">
        <f t="shared" si="66"/>
        <v>2.3E-2</v>
      </c>
      <c r="K191" s="123">
        <f t="shared" si="66"/>
        <v>2.3E-2</v>
      </c>
      <c r="L191" s="123">
        <f t="shared" si="66"/>
        <v>2.3E-2</v>
      </c>
      <c r="M191" s="123">
        <f t="shared" si="66"/>
        <v>2.3E-2</v>
      </c>
      <c r="N191" s="123">
        <f t="shared" si="66"/>
        <v>2.3E-2</v>
      </c>
      <c r="O191" s="123">
        <f t="shared" si="66"/>
        <v>2.3E-2</v>
      </c>
      <c r="P191" s="123">
        <f t="shared" si="66"/>
        <v>2.3E-2</v>
      </c>
      <c r="Q191" s="123">
        <f t="shared" si="66"/>
        <v>2.3E-2</v>
      </c>
      <c r="R191" s="123">
        <f t="shared" si="66"/>
        <v>2.3E-2</v>
      </c>
      <c r="S191" s="123">
        <f t="shared" si="67"/>
        <v>2.3E-2</v>
      </c>
      <c r="T191" s="123">
        <f t="shared" si="67"/>
        <v>2.3E-2</v>
      </c>
      <c r="U191" s="123">
        <f t="shared" si="67"/>
        <v>2.3E-2</v>
      </c>
      <c r="V191" s="123">
        <f t="shared" si="67"/>
        <v>2.3E-2</v>
      </c>
      <c r="W191" s="123">
        <f t="shared" si="67"/>
        <v>2.3E-2</v>
      </c>
      <c r="X191" s="123">
        <f t="shared" si="67"/>
        <v>2.3E-2</v>
      </c>
      <c r="Y191" s="123">
        <f t="shared" si="67"/>
        <v>2.3E-2</v>
      </c>
      <c r="Z191" s="123">
        <f t="shared" si="67"/>
        <v>2.3E-2</v>
      </c>
      <c r="AA191" s="123">
        <f t="shared" si="67"/>
        <v>2.3E-2</v>
      </c>
      <c r="AB191" s="123">
        <f t="shared" si="67"/>
        <v>2.3E-2</v>
      </c>
      <c r="AC191" s="123">
        <f t="shared" si="67"/>
        <v>2.3E-2</v>
      </c>
      <c r="AD191" s="123">
        <f t="shared" si="67"/>
        <v>2.3E-2</v>
      </c>
      <c r="AE191" s="123">
        <f t="shared" si="67"/>
        <v>2.3E-2</v>
      </c>
      <c r="AF191" s="123">
        <f t="shared" si="67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68">SUM(C102:C191)</f>
        <v>194.70600000000002</v>
      </c>
      <c r="D192" s="128">
        <f t="shared" si="68"/>
        <v>194.70600000000002</v>
      </c>
      <c r="E192" s="128">
        <f t="shared" si="68"/>
        <v>194.70600000000002</v>
      </c>
      <c r="F192" s="128">
        <f t="shared" si="68"/>
        <v>194.70600000000002</v>
      </c>
      <c r="G192" s="128">
        <f t="shared" si="68"/>
        <v>194.70600000000002</v>
      </c>
      <c r="H192" s="128">
        <f t="shared" si="68"/>
        <v>194.70600000000002</v>
      </c>
      <c r="I192" s="128">
        <f t="shared" si="68"/>
        <v>189.70600000000005</v>
      </c>
      <c r="J192" s="128">
        <f t="shared" si="68"/>
        <v>187.10600000000005</v>
      </c>
      <c r="K192" s="128">
        <f t="shared" si="68"/>
        <v>187.10600000000005</v>
      </c>
      <c r="L192" s="128">
        <f t="shared" si="68"/>
        <v>187.10600000000005</v>
      </c>
      <c r="M192" s="128">
        <f t="shared" si="68"/>
        <v>187.10600000000005</v>
      </c>
      <c r="N192" s="128">
        <f t="shared" si="68"/>
        <v>187.10600000000005</v>
      </c>
      <c r="O192" s="128">
        <f t="shared" si="68"/>
        <v>187.10600000000005</v>
      </c>
      <c r="P192" s="128">
        <f t="shared" si="68"/>
        <v>187.10600000000005</v>
      </c>
      <c r="Q192" s="128">
        <f t="shared" si="68"/>
        <v>187.10600000000005</v>
      </c>
      <c r="R192" s="128">
        <f t="shared" si="68"/>
        <v>187.10600000000005</v>
      </c>
      <c r="S192" s="128">
        <f t="shared" si="68"/>
        <v>187.10600000000005</v>
      </c>
      <c r="T192" s="128">
        <f t="shared" si="68"/>
        <v>187.10600000000005</v>
      </c>
      <c r="U192" s="128">
        <f t="shared" si="68"/>
        <v>187.10600000000005</v>
      </c>
      <c r="V192" s="128">
        <f t="shared" si="68"/>
        <v>187.10600000000005</v>
      </c>
      <c r="W192" s="128">
        <f t="shared" si="68"/>
        <v>187.10600000000005</v>
      </c>
      <c r="X192" s="128">
        <f t="shared" si="68"/>
        <v>187.10600000000005</v>
      </c>
      <c r="Y192" s="128">
        <f t="shared" si="68"/>
        <v>187.10600000000005</v>
      </c>
      <c r="Z192" s="128">
        <f t="shared" si="68"/>
        <v>187.10600000000005</v>
      </c>
      <c r="AA192" s="128">
        <f t="shared" si="68"/>
        <v>187.10600000000005</v>
      </c>
      <c r="AB192" s="128">
        <f t="shared" si="68"/>
        <v>187.10600000000005</v>
      </c>
      <c r="AC192" s="128">
        <f t="shared" si="68"/>
        <v>187.10600000000005</v>
      </c>
      <c r="AD192" s="128">
        <f t="shared" si="68"/>
        <v>187.10600000000005</v>
      </c>
      <c r="AE192" s="128">
        <f t="shared" si="68"/>
        <v>187.10600000000005</v>
      </c>
      <c r="AF192" s="128">
        <f t="shared" si="68"/>
        <v>187.10600000000005</v>
      </c>
      <c r="AG192" s="129">
        <f t="shared" si="68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69">AF194</f>
        <v>0.3</v>
      </c>
      <c r="C194" s="130">
        <v>0.3</v>
      </c>
      <c r="D194" s="130">
        <f t="shared" ref="D194:S199" si="70">C194</f>
        <v>0.3</v>
      </c>
      <c r="E194" s="130">
        <f t="shared" si="70"/>
        <v>0.3</v>
      </c>
      <c r="F194" s="130">
        <f t="shared" si="70"/>
        <v>0.3</v>
      </c>
      <c r="G194" s="130">
        <f t="shared" si="70"/>
        <v>0.3</v>
      </c>
      <c r="H194" s="130">
        <f t="shared" si="70"/>
        <v>0.3</v>
      </c>
      <c r="I194" s="130">
        <f t="shared" si="70"/>
        <v>0.3</v>
      </c>
      <c r="J194" s="130">
        <f t="shared" si="70"/>
        <v>0.3</v>
      </c>
      <c r="K194" s="130">
        <f t="shared" si="70"/>
        <v>0.3</v>
      </c>
      <c r="L194" s="130">
        <f t="shared" si="70"/>
        <v>0.3</v>
      </c>
      <c r="M194" s="130">
        <f t="shared" si="70"/>
        <v>0.3</v>
      </c>
      <c r="N194" s="130">
        <f t="shared" si="70"/>
        <v>0.3</v>
      </c>
      <c r="O194" s="130">
        <f t="shared" si="70"/>
        <v>0.3</v>
      </c>
      <c r="P194" s="130">
        <f t="shared" si="70"/>
        <v>0.3</v>
      </c>
      <c r="Q194" s="130">
        <f t="shared" si="70"/>
        <v>0.3</v>
      </c>
      <c r="R194" s="130">
        <f t="shared" si="70"/>
        <v>0.3</v>
      </c>
      <c r="S194" s="130">
        <f t="shared" si="70"/>
        <v>0.3</v>
      </c>
      <c r="T194" s="130">
        <f t="shared" ref="T194:AF199" si="71">S194</f>
        <v>0.3</v>
      </c>
      <c r="U194" s="130">
        <f t="shared" si="71"/>
        <v>0.3</v>
      </c>
      <c r="V194" s="130">
        <f t="shared" si="71"/>
        <v>0.3</v>
      </c>
      <c r="W194" s="130">
        <f t="shared" si="71"/>
        <v>0.3</v>
      </c>
      <c r="X194" s="130">
        <f t="shared" si="71"/>
        <v>0.3</v>
      </c>
      <c r="Y194" s="130">
        <f t="shared" si="71"/>
        <v>0.3</v>
      </c>
      <c r="Z194" s="130">
        <f t="shared" si="71"/>
        <v>0.3</v>
      </c>
      <c r="AA194" s="130">
        <f t="shared" si="71"/>
        <v>0.3</v>
      </c>
      <c r="AB194" s="130">
        <f t="shared" si="71"/>
        <v>0.3</v>
      </c>
      <c r="AC194" s="130">
        <f t="shared" si="71"/>
        <v>0.3</v>
      </c>
      <c r="AD194" s="130">
        <f t="shared" si="71"/>
        <v>0.3</v>
      </c>
      <c r="AE194" s="130">
        <f t="shared" si="71"/>
        <v>0.3</v>
      </c>
      <c r="AF194" s="130">
        <f t="shared" si="71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69"/>
        <v>0.4</v>
      </c>
      <c r="C195" s="123">
        <v>0.4</v>
      </c>
      <c r="D195" s="123">
        <f t="shared" si="70"/>
        <v>0.4</v>
      </c>
      <c r="E195" s="123">
        <f t="shared" si="70"/>
        <v>0.4</v>
      </c>
      <c r="F195" s="123">
        <f t="shared" si="70"/>
        <v>0.4</v>
      </c>
      <c r="G195" s="123">
        <f t="shared" si="70"/>
        <v>0.4</v>
      </c>
      <c r="H195" s="123">
        <f t="shared" si="70"/>
        <v>0.4</v>
      </c>
      <c r="I195" s="123">
        <f t="shared" si="70"/>
        <v>0.4</v>
      </c>
      <c r="J195" s="123">
        <f t="shared" si="70"/>
        <v>0.4</v>
      </c>
      <c r="K195" s="123">
        <f t="shared" si="70"/>
        <v>0.4</v>
      </c>
      <c r="L195" s="123">
        <f t="shared" si="70"/>
        <v>0.4</v>
      </c>
      <c r="M195" s="123">
        <f t="shared" si="70"/>
        <v>0.4</v>
      </c>
      <c r="N195" s="123">
        <f t="shared" si="70"/>
        <v>0.4</v>
      </c>
      <c r="O195" s="123">
        <f t="shared" si="70"/>
        <v>0.4</v>
      </c>
      <c r="P195" s="123">
        <f t="shared" si="70"/>
        <v>0.4</v>
      </c>
      <c r="Q195" s="123">
        <f t="shared" si="70"/>
        <v>0.4</v>
      </c>
      <c r="R195" s="123">
        <f t="shared" si="70"/>
        <v>0.4</v>
      </c>
      <c r="S195" s="123">
        <f t="shared" si="70"/>
        <v>0.4</v>
      </c>
      <c r="T195" s="123">
        <f t="shared" si="71"/>
        <v>0.4</v>
      </c>
      <c r="U195" s="123">
        <f t="shared" si="71"/>
        <v>0.4</v>
      </c>
      <c r="V195" s="123">
        <f t="shared" si="71"/>
        <v>0.4</v>
      </c>
      <c r="W195" s="123">
        <f>V195</f>
        <v>0.4</v>
      </c>
      <c r="X195" s="123">
        <f>W195</f>
        <v>0.4</v>
      </c>
      <c r="Y195" s="123">
        <f t="shared" si="71"/>
        <v>0.4</v>
      </c>
      <c r="Z195" s="123">
        <f t="shared" si="71"/>
        <v>0.4</v>
      </c>
      <c r="AA195" s="123">
        <f t="shared" si="71"/>
        <v>0.4</v>
      </c>
      <c r="AB195" s="123">
        <f t="shared" si="71"/>
        <v>0.4</v>
      </c>
      <c r="AC195" s="123">
        <f t="shared" si="71"/>
        <v>0.4</v>
      </c>
      <c r="AD195" s="123">
        <f t="shared" si="71"/>
        <v>0.4</v>
      </c>
      <c r="AE195" s="123">
        <f t="shared" si="71"/>
        <v>0.4</v>
      </c>
      <c r="AF195" s="123">
        <f t="shared" si="71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69"/>
        <v>1.5</v>
      </c>
      <c r="C196" s="123">
        <v>1.5</v>
      </c>
      <c r="D196" s="123">
        <f t="shared" si="70"/>
        <v>1.5</v>
      </c>
      <c r="E196" s="123">
        <f t="shared" si="70"/>
        <v>1.5</v>
      </c>
      <c r="F196" s="123">
        <f t="shared" si="70"/>
        <v>1.5</v>
      </c>
      <c r="G196" s="123">
        <f t="shared" si="70"/>
        <v>1.5</v>
      </c>
      <c r="H196" s="123">
        <f t="shared" si="70"/>
        <v>1.5</v>
      </c>
      <c r="I196" s="123">
        <f t="shared" si="70"/>
        <v>1.5</v>
      </c>
      <c r="J196" s="123">
        <f t="shared" si="70"/>
        <v>1.5</v>
      </c>
      <c r="K196" s="123">
        <f t="shared" si="70"/>
        <v>1.5</v>
      </c>
      <c r="L196" s="123">
        <f t="shared" si="70"/>
        <v>1.5</v>
      </c>
      <c r="M196" s="123">
        <f t="shared" si="70"/>
        <v>1.5</v>
      </c>
      <c r="N196" s="123">
        <f t="shared" si="70"/>
        <v>1.5</v>
      </c>
      <c r="O196" s="123">
        <f t="shared" si="70"/>
        <v>1.5</v>
      </c>
      <c r="P196" s="123">
        <f t="shared" si="70"/>
        <v>1.5</v>
      </c>
      <c r="Q196" s="123">
        <f t="shared" si="70"/>
        <v>1.5</v>
      </c>
      <c r="R196" s="123">
        <f t="shared" si="70"/>
        <v>1.5</v>
      </c>
      <c r="S196" s="123">
        <f t="shared" si="70"/>
        <v>1.5</v>
      </c>
      <c r="T196" s="123">
        <f t="shared" si="71"/>
        <v>1.5</v>
      </c>
      <c r="U196" s="123">
        <f t="shared" si="71"/>
        <v>1.5</v>
      </c>
      <c r="V196" s="123">
        <f t="shared" si="71"/>
        <v>1.5</v>
      </c>
      <c r="W196" s="123">
        <f t="shared" si="71"/>
        <v>1.5</v>
      </c>
      <c r="X196" s="123">
        <f t="shared" si="71"/>
        <v>1.5</v>
      </c>
      <c r="Y196" s="123">
        <f t="shared" si="71"/>
        <v>1.5</v>
      </c>
      <c r="Z196" s="123">
        <f t="shared" si="71"/>
        <v>1.5</v>
      </c>
      <c r="AA196" s="123">
        <f t="shared" si="71"/>
        <v>1.5</v>
      </c>
      <c r="AB196" s="123">
        <f t="shared" si="71"/>
        <v>1.5</v>
      </c>
      <c r="AC196" s="123">
        <f t="shared" si="71"/>
        <v>1.5</v>
      </c>
      <c r="AD196" s="123">
        <f t="shared" si="71"/>
        <v>1.5</v>
      </c>
      <c r="AE196" s="123">
        <f t="shared" si="71"/>
        <v>1.5</v>
      </c>
      <c r="AF196" s="123">
        <f t="shared" si="71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69"/>
        <v>0.3</v>
      </c>
      <c r="C197" s="123">
        <v>0.3</v>
      </c>
      <c r="D197" s="123">
        <f t="shared" si="70"/>
        <v>0.3</v>
      </c>
      <c r="E197" s="123">
        <f t="shared" si="70"/>
        <v>0.3</v>
      </c>
      <c r="F197" s="123">
        <f t="shared" si="70"/>
        <v>0.3</v>
      </c>
      <c r="G197" s="123">
        <f t="shared" si="70"/>
        <v>0.3</v>
      </c>
      <c r="H197" s="123">
        <f t="shared" si="70"/>
        <v>0.3</v>
      </c>
      <c r="I197" s="123">
        <f t="shared" si="70"/>
        <v>0.3</v>
      </c>
      <c r="J197" s="123">
        <f t="shared" si="70"/>
        <v>0.3</v>
      </c>
      <c r="K197" s="123">
        <f t="shared" si="70"/>
        <v>0.3</v>
      </c>
      <c r="L197" s="123">
        <f t="shared" si="70"/>
        <v>0.3</v>
      </c>
      <c r="M197" s="123">
        <f t="shared" si="70"/>
        <v>0.3</v>
      </c>
      <c r="N197" s="123">
        <f t="shared" si="70"/>
        <v>0.3</v>
      </c>
      <c r="O197" s="123">
        <f t="shared" si="70"/>
        <v>0.3</v>
      </c>
      <c r="P197" s="123">
        <f t="shared" si="70"/>
        <v>0.3</v>
      </c>
      <c r="Q197" s="123">
        <f t="shared" si="70"/>
        <v>0.3</v>
      </c>
      <c r="R197" s="123">
        <f t="shared" si="70"/>
        <v>0.3</v>
      </c>
      <c r="S197" s="123">
        <f t="shared" si="70"/>
        <v>0.3</v>
      </c>
      <c r="T197" s="123">
        <f t="shared" si="71"/>
        <v>0.3</v>
      </c>
      <c r="U197" s="123">
        <f t="shared" si="71"/>
        <v>0.3</v>
      </c>
      <c r="V197" s="123">
        <f t="shared" si="71"/>
        <v>0.3</v>
      </c>
      <c r="W197" s="123">
        <f t="shared" si="71"/>
        <v>0.3</v>
      </c>
      <c r="X197" s="123">
        <f t="shared" si="71"/>
        <v>0.3</v>
      </c>
      <c r="Y197" s="123">
        <f t="shared" si="71"/>
        <v>0.3</v>
      </c>
      <c r="Z197" s="123">
        <f t="shared" si="71"/>
        <v>0.3</v>
      </c>
      <c r="AA197" s="123">
        <f t="shared" si="71"/>
        <v>0.3</v>
      </c>
      <c r="AB197" s="123">
        <f t="shared" si="71"/>
        <v>0.3</v>
      </c>
      <c r="AC197" s="123">
        <f t="shared" si="71"/>
        <v>0.3</v>
      </c>
      <c r="AD197" s="123">
        <f t="shared" si="71"/>
        <v>0.3</v>
      </c>
      <c r="AE197" s="123">
        <f t="shared" si="71"/>
        <v>0.3</v>
      </c>
      <c r="AF197" s="123">
        <f t="shared" si="71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69"/>
        <v>0.4</v>
      </c>
      <c r="C198" s="123">
        <v>0.4</v>
      </c>
      <c r="D198" s="123">
        <f t="shared" si="70"/>
        <v>0.4</v>
      </c>
      <c r="E198" s="123">
        <f t="shared" si="70"/>
        <v>0.4</v>
      </c>
      <c r="F198" s="123">
        <f t="shared" si="70"/>
        <v>0.4</v>
      </c>
      <c r="G198" s="123">
        <f t="shared" si="70"/>
        <v>0.4</v>
      </c>
      <c r="H198" s="123">
        <f t="shared" si="70"/>
        <v>0.4</v>
      </c>
      <c r="I198" s="123">
        <f t="shared" si="70"/>
        <v>0.4</v>
      </c>
      <c r="J198" s="123">
        <f t="shared" si="70"/>
        <v>0.4</v>
      </c>
      <c r="K198" s="123">
        <f t="shared" si="70"/>
        <v>0.4</v>
      </c>
      <c r="L198" s="123">
        <f t="shared" si="70"/>
        <v>0.4</v>
      </c>
      <c r="M198" s="123">
        <f t="shared" si="70"/>
        <v>0.4</v>
      </c>
      <c r="N198" s="123">
        <f t="shared" si="70"/>
        <v>0.4</v>
      </c>
      <c r="O198" s="123">
        <f t="shared" si="70"/>
        <v>0.4</v>
      </c>
      <c r="P198" s="123">
        <f t="shared" si="70"/>
        <v>0.4</v>
      </c>
      <c r="Q198" s="123">
        <f t="shared" si="70"/>
        <v>0.4</v>
      </c>
      <c r="R198" s="123">
        <f t="shared" si="70"/>
        <v>0.4</v>
      </c>
      <c r="S198" s="123">
        <f t="shared" si="70"/>
        <v>0.4</v>
      </c>
      <c r="T198" s="123">
        <f t="shared" si="71"/>
        <v>0.4</v>
      </c>
      <c r="U198" s="123">
        <f t="shared" si="71"/>
        <v>0.4</v>
      </c>
      <c r="V198" s="123">
        <f t="shared" si="71"/>
        <v>0.4</v>
      </c>
      <c r="W198" s="123">
        <f t="shared" si="71"/>
        <v>0.4</v>
      </c>
      <c r="X198" s="123">
        <f t="shared" si="71"/>
        <v>0.4</v>
      </c>
      <c r="Y198" s="123">
        <f t="shared" si="71"/>
        <v>0.4</v>
      </c>
      <c r="Z198" s="123">
        <f t="shared" si="71"/>
        <v>0.4</v>
      </c>
      <c r="AA198" s="123">
        <f t="shared" si="71"/>
        <v>0.4</v>
      </c>
      <c r="AB198" s="123">
        <f t="shared" si="71"/>
        <v>0.4</v>
      </c>
      <c r="AC198" s="123">
        <f t="shared" si="71"/>
        <v>0.4</v>
      </c>
      <c r="AD198" s="123">
        <f t="shared" si="71"/>
        <v>0.4</v>
      </c>
      <c r="AE198" s="123">
        <f t="shared" si="71"/>
        <v>0.4</v>
      </c>
      <c r="AF198" s="123">
        <f t="shared" si="71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69"/>
        <v>0.64</v>
      </c>
      <c r="C199" s="133">
        <v>0.64</v>
      </c>
      <c r="D199" s="133">
        <f t="shared" si="70"/>
        <v>0.64</v>
      </c>
      <c r="E199" s="133">
        <f t="shared" si="70"/>
        <v>0.64</v>
      </c>
      <c r="F199" s="133">
        <f t="shared" si="70"/>
        <v>0.64</v>
      </c>
      <c r="G199" s="133">
        <f t="shared" si="70"/>
        <v>0.64</v>
      </c>
      <c r="H199" s="133">
        <f t="shared" si="70"/>
        <v>0.64</v>
      </c>
      <c r="I199" s="133">
        <f t="shared" si="70"/>
        <v>0.64</v>
      </c>
      <c r="J199" s="133">
        <f t="shared" si="70"/>
        <v>0.64</v>
      </c>
      <c r="K199" s="133">
        <f t="shared" si="70"/>
        <v>0.64</v>
      </c>
      <c r="L199" s="133">
        <f t="shared" si="70"/>
        <v>0.64</v>
      </c>
      <c r="M199" s="133">
        <f t="shared" si="70"/>
        <v>0.64</v>
      </c>
      <c r="N199" s="133">
        <f t="shared" si="70"/>
        <v>0.64</v>
      </c>
      <c r="O199" s="133">
        <f t="shared" si="70"/>
        <v>0.64</v>
      </c>
      <c r="P199" s="133">
        <f t="shared" si="70"/>
        <v>0.64</v>
      </c>
      <c r="Q199" s="133">
        <f t="shared" si="70"/>
        <v>0.64</v>
      </c>
      <c r="R199" s="133">
        <f t="shared" si="70"/>
        <v>0.64</v>
      </c>
      <c r="S199" s="133">
        <f t="shared" si="70"/>
        <v>0.64</v>
      </c>
      <c r="T199" s="133">
        <f t="shared" si="71"/>
        <v>0.64</v>
      </c>
      <c r="U199" s="133">
        <f t="shared" si="71"/>
        <v>0.64</v>
      </c>
      <c r="V199" s="133">
        <f t="shared" si="71"/>
        <v>0.64</v>
      </c>
      <c r="W199" s="133">
        <f t="shared" si="71"/>
        <v>0.64</v>
      </c>
      <c r="X199" s="133">
        <f t="shared" si="71"/>
        <v>0.64</v>
      </c>
      <c r="Y199" s="133">
        <f t="shared" si="71"/>
        <v>0.64</v>
      </c>
      <c r="Z199" s="133">
        <f t="shared" si="71"/>
        <v>0.64</v>
      </c>
      <c r="AA199" s="133">
        <f t="shared" si="71"/>
        <v>0.64</v>
      </c>
      <c r="AB199" s="133">
        <f t="shared" si="71"/>
        <v>0.64</v>
      </c>
      <c r="AC199" s="133">
        <f t="shared" si="71"/>
        <v>0.64</v>
      </c>
      <c r="AD199" s="133">
        <f t="shared" si="71"/>
        <v>0.64</v>
      </c>
      <c r="AE199" s="133">
        <f t="shared" si="71"/>
        <v>0.64</v>
      </c>
      <c r="AF199" s="133">
        <f t="shared" si="71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2">SUM(D194:D199)</f>
        <v>3.54</v>
      </c>
      <c r="E200" s="136">
        <f t="shared" si="72"/>
        <v>3.54</v>
      </c>
      <c r="F200" s="136">
        <f t="shared" si="72"/>
        <v>3.54</v>
      </c>
      <c r="G200" s="136">
        <f t="shared" si="72"/>
        <v>3.54</v>
      </c>
      <c r="H200" s="136">
        <f t="shared" si="72"/>
        <v>3.54</v>
      </c>
      <c r="I200" s="136">
        <f t="shared" si="72"/>
        <v>3.54</v>
      </c>
      <c r="J200" s="136">
        <f t="shared" si="72"/>
        <v>3.54</v>
      </c>
      <c r="K200" s="136">
        <f t="shared" si="72"/>
        <v>3.54</v>
      </c>
      <c r="L200" s="136">
        <f t="shared" si="72"/>
        <v>3.54</v>
      </c>
      <c r="M200" s="136">
        <f>SUM(M194:M199)</f>
        <v>3.54</v>
      </c>
      <c r="N200" s="136">
        <f t="shared" ref="N200:S200" si="73">SUM(N194:N199)</f>
        <v>3.54</v>
      </c>
      <c r="O200" s="136">
        <f t="shared" si="73"/>
        <v>3.54</v>
      </c>
      <c r="P200" s="136">
        <f t="shared" si="73"/>
        <v>3.54</v>
      </c>
      <c r="Q200" s="136">
        <f t="shared" si="73"/>
        <v>3.54</v>
      </c>
      <c r="R200" s="136">
        <f t="shared" si="73"/>
        <v>3.54</v>
      </c>
      <c r="S200" s="136">
        <f t="shared" si="73"/>
        <v>3.54</v>
      </c>
      <c r="T200" s="136">
        <f>SUM(T194:T199)</f>
        <v>3.54</v>
      </c>
      <c r="U200" s="136">
        <f t="shared" ref="U200:AG200" si="74">SUM(U194:U199)</f>
        <v>3.54</v>
      </c>
      <c r="V200" s="136">
        <f t="shared" si="74"/>
        <v>3.54</v>
      </c>
      <c r="W200" s="136">
        <f t="shared" si="74"/>
        <v>3.54</v>
      </c>
      <c r="X200" s="136">
        <f t="shared" si="74"/>
        <v>3.54</v>
      </c>
      <c r="Y200" s="136">
        <f t="shared" si="74"/>
        <v>3.54</v>
      </c>
      <c r="Z200" s="136">
        <f t="shared" si="74"/>
        <v>3.54</v>
      </c>
      <c r="AA200" s="136">
        <f t="shared" si="74"/>
        <v>3.54</v>
      </c>
      <c r="AB200" s="136">
        <f t="shared" si="74"/>
        <v>3.54</v>
      </c>
      <c r="AC200" s="136">
        <f t="shared" si="74"/>
        <v>3.54</v>
      </c>
      <c r="AD200" s="136">
        <f t="shared" si="74"/>
        <v>3.54</v>
      </c>
      <c r="AE200" s="136">
        <f t="shared" si="74"/>
        <v>3.54</v>
      </c>
      <c r="AF200" s="136">
        <f t="shared" si="74"/>
        <v>3.54</v>
      </c>
      <c r="AG200" s="137">
        <f t="shared" si="74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1688.94</v>
      </c>
      <c r="C209" s="151">
        <f>INDEX(G9:N9,1,MATCH(MAX(G75:N75),G75:N75,0))</f>
        <v>0.22916666666666666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14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2079/03/14)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2079/03/14)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5">B75</f>
        <v>1728.8400000000001</v>
      </c>
      <c r="U214" s="161">
        <f t="shared" si="75"/>
        <v>1706.5400000000002</v>
      </c>
      <c r="V214" s="161">
        <f t="shared" si="75"/>
        <v>1686.7400000000002</v>
      </c>
      <c r="W214" s="161">
        <f t="shared" si="75"/>
        <v>1689.7400000000002</v>
      </c>
      <c r="X214" s="161">
        <f t="shared" si="75"/>
        <v>1687.5400000000002</v>
      </c>
      <c r="Y214" s="161">
        <f t="shared" si="75"/>
        <v>1663.24</v>
      </c>
      <c r="Z214" s="161">
        <f t="shared" si="75"/>
        <v>1688.94</v>
      </c>
      <c r="AA214" s="161">
        <f t="shared" si="75"/>
        <v>1661.7400000000002</v>
      </c>
      <c r="AB214" s="161">
        <f t="shared" si="75"/>
        <v>1670.54</v>
      </c>
      <c r="AC214" s="161">
        <f t="shared" si="75"/>
        <v>1672.1400000000003</v>
      </c>
      <c r="AD214" s="161">
        <f t="shared" si="75"/>
        <v>1684.2399999999998</v>
      </c>
      <c r="AE214" s="161">
        <f t="shared" si="75"/>
        <v>1647.7399999999998</v>
      </c>
      <c r="AF214" s="161">
        <f t="shared" si="75"/>
        <v>1593.34</v>
      </c>
      <c r="AG214" s="161">
        <f t="shared" si="75"/>
        <v>1586.24</v>
      </c>
      <c r="AH214" s="161">
        <f t="shared" si="75"/>
        <v>1616.64</v>
      </c>
      <c r="AI214" s="161">
        <f t="shared" si="75"/>
        <v>1597.5400000000004</v>
      </c>
      <c r="AJ214" s="161">
        <f t="shared" si="75"/>
        <v>1655.2400000000002</v>
      </c>
      <c r="AK214" s="161">
        <f t="shared" si="75"/>
        <v>1663.8400000000004</v>
      </c>
      <c r="AL214" s="161">
        <f t="shared" si="75"/>
        <v>1676.2400000000002</v>
      </c>
      <c r="AM214" s="161">
        <f t="shared" si="75"/>
        <v>1691.5400000000004</v>
      </c>
      <c r="AN214" s="161">
        <f t="shared" si="75"/>
        <v>1689.6400000000003</v>
      </c>
      <c r="AO214" s="161">
        <f t="shared" si="75"/>
        <v>1702.6400000000003</v>
      </c>
      <c r="AP214" s="161">
        <f t="shared" si="75"/>
        <v>1701.6400000000003</v>
      </c>
      <c r="AQ214" s="161">
        <f t="shared" si="75"/>
        <v>1693.14</v>
      </c>
      <c r="AR214" s="161">
        <f t="shared" si="75"/>
        <v>1711.8400000000001</v>
      </c>
      <c r="AS214" s="161">
        <f t="shared" si="75"/>
        <v>1702.64</v>
      </c>
      <c r="AT214" s="161">
        <f t="shared" si="75"/>
        <v>1651.9900000000002</v>
      </c>
      <c r="AU214" s="161">
        <f t="shared" si="75"/>
        <v>1704.7400000000002</v>
      </c>
      <c r="AV214" s="161">
        <f t="shared" si="75"/>
        <v>1675.4899999999998</v>
      </c>
      <c r="AW214" s="161">
        <f t="shared" si="75"/>
        <v>1690.69</v>
      </c>
      <c r="AX214" s="161">
        <f t="shared" si="75"/>
        <v>1674.79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6">C199</f>
        <v>0.64</v>
      </c>
      <c r="C235" s="164">
        <f t="shared" si="76"/>
        <v>0.64</v>
      </c>
      <c r="D235" s="164">
        <f t="shared" si="76"/>
        <v>0.64</v>
      </c>
      <c r="E235" s="164">
        <f t="shared" si="76"/>
        <v>0.64</v>
      </c>
      <c r="F235" s="164">
        <f t="shared" si="76"/>
        <v>0.64</v>
      </c>
      <c r="G235" s="164">
        <f t="shared" si="76"/>
        <v>0.64</v>
      </c>
      <c r="H235" s="164">
        <f t="shared" si="76"/>
        <v>0.64</v>
      </c>
      <c r="I235" s="164">
        <f t="shared" si="76"/>
        <v>0.64</v>
      </c>
      <c r="J235" s="164">
        <f t="shared" si="76"/>
        <v>0.64</v>
      </c>
      <c r="K235" s="164">
        <f t="shared" si="76"/>
        <v>0.64</v>
      </c>
      <c r="L235" s="164">
        <f t="shared" si="76"/>
        <v>0.64</v>
      </c>
      <c r="M235" s="164">
        <f t="shared" si="76"/>
        <v>0.64</v>
      </c>
      <c r="N235" s="164">
        <f t="shared" si="76"/>
        <v>0.64</v>
      </c>
      <c r="O235" s="164">
        <f t="shared" si="76"/>
        <v>0.64</v>
      </c>
      <c r="P235" s="164">
        <f t="shared" si="76"/>
        <v>0.64</v>
      </c>
      <c r="Q235" s="164">
        <f t="shared" si="76"/>
        <v>0.64</v>
      </c>
      <c r="R235" s="164">
        <f t="shared" si="76"/>
        <v>0.64</v>
      </c>
      <c r="S235" s="164">
        <f t="shared" si="76"/>
        <v>0.64</v>
      </c>
      <c r="T235" s="164">
        <f t="shared" si="76"/>
        <v>0.64</v>
      </c>
      <c r="U235" s="164">
        <f t="shared" si="76"/>
        <v>0.64</v>
      </c>
      <c r="V235" s="164">
        <f t="shared" si="76"/>
        <v>0.64</v>
      </c>
      <c r="W235" s="164">
        <f t="shared" si="76"/>
        <v>0.64</v>
      </c>
      <c r="X235" s="164">
        <f t="shared" si="76"/>
        <v>0.64</v>
      </c>
      <c r="Y235" s="164">
        <f t="shared" si="76"/>
        <v>0.64</v>
      </c>
      <c r="Z235" s="164">
        <f t="shared" si="76"/>
        <v>0.64</v>
      </c>
      <c r="AA235" s="164">
        <f t="shared" si="76"/>
        <v>0.64</v>
      </c>
      <c r="AB235" s="164">
        <f t="shared" si="76"/>
        <v>0.64</v>
      </c>
      <c r="AC235" s="164">
        <f t="shared" si="76"/>
        <v>0.64</v>
      </c>
      <c r="AD235" s="164">
        <f t="shared" si="76"/>
        <v>0.64</v>
      </c>
      <c r="AE235" s="164">
        <f t="shared" si="76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77">IF(C203&lt;100,"",C203-520)</f>
        <v/>
      </c>
      <c r="D236" s="107" t="str">
        <f t="shared" si="77"/>
        <v/>
      </c>
      <c r="E236" s="107" t="str">
        <f t="shared" si="77"/>
        <v/>
      </c>
      <c r="F236" s="107" t="str">
        <f t="shared" si="77"/>
        <v/>
      </c>
      <c r="G236" s="107" t="str">
        <f t="shared" si="77"/>
        <v/>
      </c>
      <c r="H236" s="107" t="str">
        <f t="shared" si="77"/>
        <v/>
      </c>
      <c r="I236" s="107" t="str">
        <f t="shared" si="77"/>
        <v/>
      </c>
      <c r="J236" s="107" t="str">
        <f t="shared" si="77"/>
        <v/>
      </c>
      <c r="K236" s="107" t="str">
        <f t="shared" si="77"/>
        <v/>
      </c>
      <c r="L236" s="107" t="str">
        <f t="shared" si="77"/>
        <v/>
      </c>
      <c r="M236" s="107" t="str">
        <f t="shared" si="77"/>
        <v/>
      </c>
      <c r="N236" s="107" t="str">
        <f t="shared" si="77"/>
        <v/>
      </c>
      <c r="O236" s="107" t="str">
        <f t="shared" si="77"/>
        <v/>
      </c>
      <c r="P236" s="107" t="str">
        <f t="shared" si="77"/>
        <v/>
      </c>
      <c r="Q236" s="107" t="str">
        <f t="shared" si="77"/>
        <v/>
      </c>
      <c r="R236" s="107" t="str">
        <f t="shared" si="77"/>
        <v/>
      </c>
      <c r="S236" s="107" t="str">
        <f t="shared" si="77"/>
        <v/>
      </c>
      <c r="T236" s="107" t="str">
        <f t="shared" si="77"/>
        <v/>
      </c>
      <c r="U236" s="107" t="str">
        <f t="shared" si="77"/>
        <v/>
      </c>
      <c r="V236" s="107" t="str">
        <f t="shared" si="77"/>
        <v/>
      </c>
      <c r="W236" s="107" t="str">
        <f t="shared" si="77"/>
        <v/>
      </c>
      <c r="X236" s="107" t="str">
        <f t="shared" si="77"/>
        <v/>
      </c>
      <c r="Y236" s="107" t="str">
        <f t="shared" si="77"/>
        <v/>
      </c>
      <c r="Z236" s="107" t="str">
        <f t="shared" si="77"/>
        <v/>
      </c>
      <c r="AA236" s="107" t="str">
        <f t="shared" si="77"/>
        <v/>
      </c>
      <c r="AB236" s="107" t="str">
        <f t="shared" si="77"/>
        <v/>
      </c>
      <c r="AC236" s="107" t="str">
        <f t="shared" si="77"/>
        <v/>
      </c>
      <c r="AD236" s="107" t="str">
        <f t="shared" si="77"/>
        <v/>
      </c>
      <c r="AE236" s="107" t="str">
        <f t="shared" si="77"/>
        <v/>
      </c>
      <c r="AF236" s="107" t="str">
        <f t="shared" si="77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78">IF(B204&lt;100,"",B204-620)</f>
        <v/>
      </c>
      <c r="C237" s="107" t="str">
        <f t="shared" si="78"/>
        <v/>
      </c>
      <c r="D237" s="107" t="str">
        <f t="shared" si="78"/>
        <v/>
      </c>
      <c r="E237" s="107" t="str">
        <f t="shared" si="78"/>
        <v/>
      </c>
      <c r="F237" s="107" t="str">
        <f t="shared" si="78"/>
        <v/>
      </c>
      <c r="G237" s="107" t="str">
        <f t="shared" si="78"/>
        <v/>
      </c>
      <c r="H237" s="107" t="str">
        <f t="shared" si="78"/>
        <v/>
      </c>
      <c r="I237" s="107" t="str">
        <f t="shared" si="78"/>
        <v/>
      </c>
      <c r="J237" s="107" t="str">
        <f t="shared" si="78"/>
        <v/>
      </c>
      <c r="K237" s="107" t="str">
        <f t="shared" si="78"/>
        <v/>
      </c>
      <c r="L237" s="107" t="str">
        <f t="shared" si="78"/>
        <v/>
      </c>
      <c r="M237" s="107" t="str">
        <f t="shared" si="78"/>
        <v/>
      </c>
      <c r="N237" s="107" t="str">
        <f t="shared" si="78"/>
        <v/>
      </c>
      <c r="O237" s="107" t="str">
        <f t="shared" si="78"/>
        <v/>
      </c>
      <c r="P237" s="107" t="str">
        <f t="shared" si="78"/>
        <v/>
      </c>
      <c r="Q237" s="107" t="str">
        <f t="shared" si="78"/>
        <v/>
      </c>
      <c r="R237" s="107" t="str">
        <f t="shared" si="78"/>
        <v/>
      </c>
      <c r="S237" s="107" t="str">
        <f t="shared" si="78"/>
        <v/>
      </c>
      <c r="T237" s="107" t="str">
        <f t="shared" si="78"/>
        <v/>
      </c>
      <c r="U237" s="107" t="str">
        <f t="shared" si="78"/>
        <v/>
      </c>
      <c r="V237" s="107" t="str">
        <f t="shared" si="78"/>
        <v/>
      </c>
      <c r="W237" s="107" t="str">
        <f t="shared" si="78"/>
        <v/>
      </c>
      <c r="X237" s="107" t="str">
        <f t="shared" si="78"/>
        <v/>
      </c>
      <c r="Y237" s="107" t="str">
        <f t="shared" si="78"/>
        <v/>
      </c>
      <c r="Z237" s="107" t="str">
        <f t="shared" si="78"/>
        <v/>
      </c>
      <c r="AA237" s="107" t="str">
        <f t="shared" si="78"/>
        <v/>
      </c>
      <c r="AB237" s="107" t="str">
        <f t="shared" si="78"/>
        <v/>
      </c>
      <c r="AC237" s="107" t="str">
        <f t="shared" si="78"/>
        <v/>
      </c>
      <c r="AD237" s="107" t="str">
        <f t="shared" si="78"/>
        <v/>
      </c>
      <c r="AE237" s="107" t="str">
        <f t="shared" si="78"/>
        <v/>
      </c>
      <c r="AF237" s="107" t="str">
        <f t="shared" si="78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79">IF(B205&lt;100,"",B205-330)</f>
        <v/>
      </c>
      <c r="C238" s="107" t="str">
        <f t="shared" si="79"/>
        <v/>
      </c>
      <c r="D238" s="107" t="str">
        <f t="shared" si="79"/>
        <v/>
      </c>
      <c r="E238" s="107" t="str">
        <f t="shared" si="79"/>
        <v/>
      </c>
      <c r="F238" s="107" t="str">
        <f t="shared" si="79"/>
        <v/>
      </c>
      <c r="G238" s="107" t="str">
        <f t="shared" si="79"/>
        <v/>
      </c>
      <c r="H238" s="107" t="str">
        <f t="shared" si="79"/>
        <v/>
      </c>
      <c r="I238" s="107" t="str">
        <f t="shared" si="79"/>
        <v/>
      </c>
      <c r="J238" s="107" t="str">
        <f t="shared" si="79"/>
        <v/>
      </c>
      <c r="K238" s="107" t="str">
        <f t="shared" si="79"/>
        <v/>
      </c>
      <c r="L238" s="107" t="str">
        <f t="shared" si="79"/>
        <v/>
      </c>
      <c r="M238" s="107" t="str">
        <f t="shared" si="79"/>
        <v/>
      </c>
      <c r="N238" s="107" t="str">
        <f t="shared" si="79"/>
        <v/>
      </c>
      <c r="O238" s="107" t="str">
        <f t="shared" si="79"/>
        <v/>
      </c>
      <c r="P238" s="107" t="str">
        <f t="shared" si="79"/>
        <v/>
      </c>
      <c r="Q238" s="107" t="str">
        <f t="shared" si="79"/>
        <v/>
      </c>
      <c r="R238" s="107" t="str">
        <f t="shared" si="79"/>
        <v/>
      </c>
      <c r="S238" s="107" t="str">
        <f t="shared" si="79"/>
        <v/>
      </c>
      <c r="T238" s="107" t="str">
        <f t="shared" si="79"/>
        <v/>
      </c>
      <c r="U238" s="107" t="str">
        <f t="shared" si="79"/>
        <v/>
      </c>
      <c r="V238" s="107" t="str">
        <f t="shared" si="79"/>
        <v/>
      </c>
      <c r="W238" s="107" t="str">
        <f t="shared" si="79"/>
        <v/>
      </c>
      <c r="X238" s="107" t="str">
        <f t="shared" si="79"/>
        <v/>
      </c>
      <c r="Y238" s="107" t="str">
        <f t="shared" si="79"/>
        <v/>
      </c>
      <c r="Z238" s="107" t="str">
        <f t="shared" si="79"/>
        <v/>
      </c>
      <c r="AA238" s="107" t="str">
        <f t="shared" si="79"/>
        <v/>
      </c>
      <c r="AB238" s="107" t="str">
        <f t="shared" si="79"/>
        <v/>
      </c>
      <c r="AC238" s="107" t="str">
        <f t="shared" si="79"/>
        <v/>
      </c>
      <c r="AD238" s="107" t="str">
        <f t="shared" si="79"/>
        <v/>
      </c>
      <c r="AE238" s="107" t="str">
        <f t="shared" si="79"/>
        <v/>
      </c>
      <c r="AF238" s="107" t="str">
        <f t="shared" si="79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0">IF(C206&lt;100,"",C206-1500)</f>
        <v/>
      </c>
      <c r="D239" s="107" t="str">
        <f t="shared" si="80"/>
        <v/>
      </c>
      <c r="E239" s="107" t="str">
        <f t="shared" si="80"/>
        <v/>
      </c>
      <c r="F239" s="107" t="str">
        <f t="shared" si="80"/>
        <v/>
      </c>
      <c r="G239" s="107" t="str">
        <f t="shared" si="80"/>
        <v/>
      </c>
      <c r="H239" s="107" t="str">
        <f t="shared" si="80"/>
        <v/>
      </c>
      <c r="I239" s="107" t="str">
        <f t="shared" si="80"/>
        <v/>
      </c>
      <c r="J239" s="107" t="str">
        <f t="shared" si="80"/>
        <v/>
      </c>
      <c r="K239" s="107" t="str">
        <f t="shared" si="80"/>
        <v/>
      </c>
      <c r="L239" s="107" t="str">
        <f t="shared" si="80"/>
        <v/>
      </c>
      <c r="M239" s="107" t="str">
        <f t="shared" si="80"/>
        <v/>
      </c>
      <c r="N239" s="107" t="str">
        <f t="shared" si="80"/>
        <v/>
      </c>
      <c r="O239" s="107" t="str">
        <f t="shared" si="80"/>
        <v/>
      </c>
      <c r="P239" s="107" t="str">
        <f t="shared" si="80"/>
        <v/>
      </c>
      <c r="Q239" s="107" t="str">
        <f t="shared" si="80"/>
        <v/>
      </c>
      <c r="R239" s="107" t="str">
        <f t="shared" si="80"/>
        <v/>
      </c>
      <c r="S239" s="107" t="str">
        <f t="shared" si="80"/>
        <v/>
      </c>
      <c r="T239" s="107" t="str">
        <f t="shared" si="80"/>
        <v/>
      </c>
      <c r="U239" s="107" t="str">
        <f t="shared" si="80"/>
        <v/>
      </c>
      <c r="V239" s="107" t="str">
        <f t="shared" si="80"/>
        <v/>
      </c>
      <c r="W239" s="107" t="str">
        <f t="shared" si="80"/>
        <v/>
      </c>
      <c r="X239" s="107" t="str">
        <f t="shared" si="80"/>
        <v/>
      </c>
      <c r="Y239" s="107" t="str">
        <f t="shared" si="80"/>
        <v/>
      </c>
      <c r="Z239" s="107" t="str">
        <f t="shared" si="80"/>
        <v/>
      </c>
      <c r="AA239" s="107" t="str">
        <f t="shared" si="80"/>
        <v/>
      </c>
      <c r="AB239" s="107" t="str">
        <f t="shared" si="80"/>
        <v/>
      </c>
      <c r="AC239" s="107" t="str">
        <f t="shared" si="80"/>
        <v/>
      </c>
      <c r="AD239" s="107" t="str">
        <f t="shared" si="80"/>
        <v/>
      </c>
      <c r="AE239" s="107" t="str">
        <f t="shared" si="80"/>
        <v/>
      </c>
      <c r="AF239" s="107" t="str">
        <f t="shared" si="8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V11:AF11">
    <cfRule type="expression" dxfId="4137" priority="215">
      <formula>B$9&gt;=20/24</formula>
    </cfRule>
    <cfRule type="expression" dxfId="4136" priority="216">
      <formula>AND(B$9&gt;=14/24,B$9&lt;20/24)</formula>
    </cfRule>
    <cfRule type="expression" dxfId="4135" priority="217">
      <formula>AND(B$9&gt;=8/24,B$9&lt;14/24)</formula>
    </cfRule>
    <cfRule type="expression" dxfId="4134" priority="218">
      <formula>B$9&lt;8/24</formula>
    </cfRule>
  </conditionalFormatting>
  <conditionalFormatting sqref="AL4:AL6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133" priority="210">
      <formula>S$9&gt;=20/24</formula>
    </cfRule>
    <cfRule type="expression" dxfId="4132" priority="211">
      <formula>AND(S$9&gt;=14/24,S$9&lt;20/24)</formula>
    </cfRule>
    <cfRule type="expression" dxfId="4131" priority="212">
      <formula>AND(S$9&gt;=8/24,S$9&lt;14/24)</formula>
    </cfRule>
    <cfRule type="expression" dxfId="4130" priority="213">
      <formula>S$9&lt;8/24</formula>
    </cfRule>
  </conditionalFormatting>
  <conditionalFormatting sqref="AG51 M11:AF11 S37:AF37">
    <cfRule type="expression" dxfId="4129" priority="209">
      <formula>M11&gt;$AG11</formula>
    </cfRule>
  </conditionalFormatting>
  <conditionalFormatting sqref="A101:A157 A84:A97 A11:A14 A16:A32 A45:A72 A80:A82 A74:A78 A35:A43 A170:A200">
    <cfRule type="expression" dxfId="4128" priority="208">
      <formula>$AH11=0</formula>
    </cfRule>
  </conditionalFormatting>
  <conditionalFormatting sqref="A98">
    <cfRule type="expression" dxfId="4127" priority="207">
      <formula>$AH98=0</formula>
    </cfRule>
  </conditionalFormatting>
  <conditionalFormatting sqref="AL32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126" priority="205">
      <formula>$AH34=0</formula>
    </cfRule>
  </conditionalFormatting>
  <conditionalFormatting sqref="A83">
    <cfRule type="expression" dxfId="4125" priority="204">
      <formula>$AH83=0</formula>
    </cfRule>
  </conditionalFormatting>
  <conditionalFormatting sqref="A15">
    <cfRule type="expression" dxfId="4124" priority="203">
      <formula>$AH15=0</formula>
    </cfRule>
  </conditionalFormatting>
  <conditionalFormatting sqref="A164:A169">
    <cfRule type="expression" dxfId="4123" priority="202">
      <formula>$AH164=0</formula>
    </cfRule>
  </conditionalFormatting>
  <conditionalFormatting sqref="A158:A163">
    <cfRule type="expression" dxfId="4122" priority="201">
      <formula>$AH158=0</formula>
    </cfRule>
  </conditionalFormatting>
  <conditionalFormatting sqref="A44">
    <cfRule type="expression" dxfId="4121" priority="200">
      <formula>$AH44=0</formula>
    </cfRule>
  </conditionalFormatting>
  <conditionalFormatting sqref="A79">
    <cfRule type="expression" dxfId="4120" priority="199">
      <formula>$AH79=0</formula>
    </cfRule>
  </conditionalFormatting>
  <conditionalFormatting sqref="A73">
    <cfRule type="expression" dxfId="4119" priority="198">
      <formula>$AH73=0</formula>
    </cfRule>
  </conditionalFormatting>
  <conditionalFormatting sqref="AL34:AL35 AL7:AL31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118" priority="194">
      <formula>C$9&gt;=20/24</formula>
    </cfRule>
    <cfRule type="expression" dxfId="4117" priority="195">
      <formula>AND(C$9&gt;=14/24,C$9&lt;20/24)</formula>
    </cfRule>
    <cfRule type="expression" dxfId="4116" priority="196">
      <formula>AND(C$9&gt;=8/24,C$9&lt;14/24)</formula>
    </cfRule>
    <cfRule type="expression" dxfId="4115" priority="197">
      <formula>C$9&lt;8/24</formula>
    </cfRule>
  </conditionalFormatting>
  <conditionalFormatting sqref="AL33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14" priority="222">
      <formula>C$9&gt;=20/24</formula>
    </cfRule>
    <cfRule type="expression" dxfId="4113" priority="223">
      <formula>AND(C$9&gt;=14/24,C$9&lt;20/24)</formula>
    </cfRule>
    <cfRule type="expression" dxfId="4112" priority="224">
      <formula>AND(C$9&gt;=8/24,C$9&lt;14/24)</formula>
    </cfRule>
    <cfRule type="expression" dxfId="4111" priority="225">
      <formula>C$9&lt;8/24</formula>
    </cfRule>
  </conditionalFormatting>
  <conditionalFormatting sqref="A201">
    <cfRule type="expression" dxfId="4110" priority="226">
      <formula>$AH201=0</formula>
    </cfRule>
  </conditionalFormatting>
  <conditionalFormatting sqref="AG213">
    <cfRule type="expression" dxfId="4109" priority="227">
      <formula>B$9&gt;=20/24</formula>
    </cfRule>
    <cfRule type="expression" dxfId="4108" priority="228">
      <formula>AND(B$9&gt;=14/24,B$9&lt;20/24)</formula>
    </cfRule>
    <cfRule type="expression" dxfId="4107" priority="229">
      <formula>AND(B$9&gt;=8/24,B$9&lt;14/24)</formula>
    </cfRule>
    <cfRule type="expression" dxfId="4106" priority="230">
      <formula>B$9&lt;8/24</formula>
    </cfRule>
  </conditionalFormatting>
  <conditionalFormatting sqref="S8">
    <cfRule type="expression" dxfId="4105" priority="189">
      <formula>U$9&gt;=20/24</formula>
    </cfRule>
    <cfRule type="expression" dxfId="4104" priority="190">
      <formula>AND(U$9&gt;=14/24,U$9&lt;20/24)</formula>
    </cfRule>
    <cfRule type="expression" dxfId="4103" priority="191">
      <formula>AND(U$9&gt;=8/24,U$9&lt;14/24)</formula>
    </cfRule>
    <cfRule type="expression" dxfId="4102" priority="192">
      <formula>U$9&lt;8/24</formula>
    </cfRule>
  </conditionalFormatting>
  <conditionalFormatting sqref="AB8">
    <cfRule type="expression" dxfId="4101" priority="185">
      <formula>AD$9&gt;=20/24</formula>
    </cfRule>
    <cfRule type="expression" dxfId="4100" priority="186">
      <formula>AND(AD$9&gt;=14/24,AD$9&lt;20/24)</formula>
    </cfRule>
    <cfRule type="expression" dxfId="4099" priority="187">
      <formula>AND(AD$9&gt;=8/24,AD$9&lt;14/24)</formula>
    </cfRule>
    <cfRule type="expression" dxfId="4098" priority="188">
      <formula>AD$9&lt;8/24</formula>
    </cfRule>
  </conditionalFormatting>
  <conditionalFormatting sqref="AH213:AX213">
    <cfRule type="expression" dxfId="4097" priority="231">
      <formula>AG$9&gt;=20/24</formula>
    </cfRule>
    <cfRule type="expression" dxfId="4096" priority="232">
      <formula>AND(AG$9&gt;=14/24,AG$9&lt;20/24)</formula>
    </cfRule>
    <cfRule type="expression" dxfId="4095" priority="233">
      <formula>AND(AG$9&gt;=8/24,AG$9&lt;14/24)</formula>
    </cfRule>
    <cfRule type="expression" dxfId="4094" priority="234">
      <formula>AG$9&lt;8/24</formula>
    </cfRule>
  </conditionalFormatting>
  <conditionalFormatting sqref="T213">
    <cfRule type="expression" dxfId="4093" priority="235">
      <formula>AX$9&gt;=20/24</formula>
    </cfRule>
    <cfRule type="expression" dxfId="4092" priority="236">
      <formula>AND(AX$9&gt;=14/24,AX$9&lt;20/24)</formula>
    </cfRule>
    <cfRule type="expression" dxfId="4091" priority="237">
      <formula>AND(AX$9&gt;=8/24,AX$9&lt;14/24)</formula>
    </cfRule>
    <cfRule type="expression" dxfId="4090" priority="238">
      <formula>AX$9&lt;8/24</formula>
    </cfRule>
  </conditionalFormatting>
  <conditionalFormatting sqref="A99:A100">
    <cfRule type="expression" dxfId="4089" priority="184">
      <formula>$AH99=0</formula>
    </cfRule>
  </conditionalFormatting>
  <conditionalFormatting sqref="AD40:AF41 E11:L11 F40:M41 C57:AF57">
    <cfRule type="expression" dxfId="4088" priority="180">
      <formula>C$9&gt;=20/24</formula>
    </cfRule>
    <cfRule type="expression" dxfId="4087" priority="181">
      <formula>AND(C$9&gt;=14/24,C$9&lt;20/24)</formula>
    </cfRule>
    <cfRule type="expression" dxfId="4086" priority="182">
      <formula>AND(C$9&gt;=8/24,C$9&lt;14/24)</formula>
    </cfRule>
    <cfRule type="expression" dxfId="4085" priority="183">
      <formula>C$9&lt;8/24</formula>
    </cfRule>
  </conditionalFormatting>
  <conditionalFormatting sqref="AC39:AF39 F39:M39">
    <cfRule type="expression" dxfId="4084" priority="176">
      <formula>F$9&gt;=20/24</formula>
    </cfRule>
    <cfRule type="expression" dxfId="4083" priority="177">
      <formula>AND(F$9&gt;=14/24,F$9&lt;20/24)</formula>
    </cfRule>
    <cfRule type="expression" dxfId="4082" priority="178">
      <formula>AND(F$9&gt;=8/24,F$9&lt;14/24)</formula>
    </cfRule>
    <cfRule type="expression" dxfId="4081" priority="179">
      <formula>F$9&lt;8/24</formula>
    </cfRule>
  </conditionalFormatting>
  <conditionalFormatting sqref="AC39:AF39 E11:L11 F39:M41 AD40:AF41">
    <cfRule type="expression" dxfId="4080" priority="175">
      <formula>E11&gt;$AG11</formula>
    </cfRule>
  </conditionalFormatting>
  <conditionalFormatting sqref="M11:N11 C81:AF81 C69:AF72 M64:M66 F67:M67 F62:M63 F61:O61 P61:R67 C58:R60 F12:N14 N62:O67 O11:R14 C53:AF56 S58:AF67 C85:AF91 P16:AF16 P18:AF22 S12:AF14 F36:AF36 P28:AF31 P24:AF26">
    <cfRule type="expression" dxfId="4079" priority="171">
      <formula>C$9&gt;=20/24</formula>
    </cfRule>
    <cfRule type="expression" dxfId="4078" priority="172">
      <formula>AND(C$9&gt;=14/24,C$9&lt;20/24)</formula>
    </cfRule>
    <cfRule type="expression" dxfId="4077" priority="173">
      <formula>AND(C$9&gt;=8/24,C$9&lt;14/24)</formula>
    </cfRule>
    <cfRule type="expression" dxfId="4076" priority="174">
      <formula>C$9&lt;8/24</formula>
    </cfRule>
  </conditionalFormatting>
  <conditionalFormatting sqref="P32:AF32">
    <cfRule type="expression" dxfId="4075" priority="167">
      <formula>P$9&gt;=20/24</formula>
    </cfRule>
    <cfRule type="expression" dxfId="4074" priority="168">
      <formula>AND(P$9&gt;=14/24,P$9&lt;20/24)</formula>
    </cfRule>
    <cfRule type="expression" dxfId="4073" priority="169">
      <formula>AND(P$9&gt;=8/24,P$9&lt;14/24)</formula>
    </cfRule>
    <cfRule type="expression" dxfId="4072" priority="170">
      <formula>P$9&lt;8/24</formula>
    </cfRule>
  </conditionalFormatting>
  <conditionalFormatting sqref="P35:AF35">
    <cfRule type="expression" dxfId="4071" priority="163">
      <formula>P$9&gt;=20/24</formula>
    </cfRule>
    <cfRule type="expression" dxfId="4070" priority="164">
      <formula>AND(P$9&gt;=14/24,P$9&lt;20/24)</formula>
    </cfRule>
    <cfRule type="expression" dxfId="4069" priority="165">
      <formula>AND(P$9&gt;=8/24,P$9&lt;14/24)</formula>
    </cfRule>
    <cfRule type="expression" dxfId="4068" priority="166">
      <formula>P$9&lt;8/24</formula>
    </cfRule>
  </conditionalFormatting>
  <conditionalFormatting sqref="M11:N11 AD42:AF43 C51:AF51 C37:N37 F42:L44 F12:N15 F36:N36 O11:O15 O36:O37 P11:R16 P34:R37 C53:AF56 P18:AF22 S12:AF16 S34:AF36 P24:AF32">
    <cfRule type="expression" dxfId="4067" priority="162">
      <formula>C11&gt;$AG11</formula>
    </cfRule>
  </conditionalFormatting>
  <conditionalFormatting sqref="P34:AF34">
    <cfRule type="expression" dxfId="4066" priority="158">
      <formula>P$9&gt;=20/24</formula>
    </cfRule>
    <cfRule type="expression" dxfId="4065" priority="159">
      <formula>AND(P$9&gt;=14/24,P$9&lt;20/24)</formula>
    </cfRule>
    <cfRule type="expression" dxfId="4064" priority="160">
      <formula>AND(P$9&gt;=8/24,P$9&lt;14/24)</formula>
    </cfRule>
    <cfRule type="expression" dxfId="4063" priority="161">
      <formula>P$9&lt;8/24</formula>
    </cfRule>
  </conditionalFormatting>
  <conditionalFormatting sqref="F15:AF15">
    <cfRule type="expression" dxfId="4062" priority="154">
      <formula>F$9&gt;=20/24</formula>
    </cfRule>
    <cfRule type="expression" dxfId="4061" priority="155">
      <formula>AND(F$9&gt;=14/24,F$9&lt;20/24)</formula>
    </cfRule>
    <cfRule type="expression" dxfId="4060" priority="156">
      <formula>AND(F$9&gt;=8/24,F$9&lt;14/24)</formula>
    </cfRule>
    <cfRule type="expression" dxfId="4059" priority="157">
      <formula>F$9&lt;8/24</formula>
    </cfRule>
  </conditionalFormatting>
  <conditionalFormatting sqref="P33:AF33">
    <cfRule type="expression" dxfId="4058" priority="150">
      <formula>P$9&gt;=20/24</formula>
    </cfRule>
    <cfRule type="expression" dxfId="4057" priority="151">
      <formula>AND(P$9&gt;=14/24,P$9&lt;20/24)</formula>
    </cfRule>
    <cfRule type="expression" dxfId="4056" priority="152">
      <formula>AND(P$9&gt;=8/24,P$9&lt;14/24)</formula>
    </cfRule>
    <cfRule type="expression" dxfId="4055" priority="153">
      <formula>P$9&lt;8/24</formula>
    </cfRule>
  </conditionalFormatting>
  <conditionalFormatting sqref="P33:AF33">
    <cfRule type="expression" dxfId="4054" priority="149">
      <formula>P33&gt;$AG33</formula>
    </cfRule>
  </conditionalFormatting>
  <conditionalFormatting sqref="S11:U11">
    <cfRule type="expression" dxfId="4053" priority="145">
      <formula>S$9&gt;=20/24</formula>
    </cfRule>
    <cfRule type="expression" dxfId="4052" priority="146">
      <formula>AND(S$9&gt;=14/24,S$9&lt;20/24)</formula>
    </cfRule>
    <cfRule type="expression" dxfId="4051" priority="147">
      <formula>AND(S$9&gt;=8/24,S$9&lt;14/24)</formula>
    </cfRule>
    <cfRule type="expression" dxfId="4050" priority="148">
      <formula>S$9&lt;8/24</formula>
    </cfRule>
  </conditionalFormatting>
  <conditionalFormatting sqref="AD44:AF50">
    <cfRule type="expression" dxfId="4049" priority="141">
      <formula>AD$9&gt;=20/24</formula>
    </cfRule>
    <cfRule type="expression" dxfId="4048" priority="142">
      <formula>AND(AD$9&gt;=14/24,AD$9&lt;20/24)</formula>
    </cfRule>
    <cfRule type="expression" dxfId="4047" priority="143">
      <formula>AND(AD$9&gt;=8/24,AD$9&lt;14/24)</formula>
    </cfRule>
    <cfRule type="expression" dxfId="4046" priority="144">
      <formula>AD$9&lt;8/24</formula>
    </cfRule>
  </conditionalFormatting>
  <conditionalFormatting sqref="AD44:AF50">
    <cfRule type="expression" dxfId="4045" priority="140">
      <formula>AD44&gt;$AG44</formula>
    </cfRule>
  </conditionalFormatting>
  <conditionalFormatting sqref="N39:AB50 AC40:AC50">
    <cfRule type="expression" dxfId="4044" priority="136">
      <formula>N$9&gt;=20/24</formula>
    </cfRule>
    <cfRule type="expression" dxfId="4043" priority="137">
      <formula>AND(N$9&gt;=14/24,N$9&lt;20/24)</formula>
    </cfRule>
    <cfRule type="expression" dxfId="4042" priority="138">
      <formula>AND(N$9&gt;=8/24,N$9&lt;14/24)</formula>
    </cfRule>
    <cfRule type="expression" dxfId="4041" priority="139">
      <formula>N$9&lt;8/24</formula>
    </cfRule>
  </conditionalFormatting>
  <conditionalFormatting sqref="N39:AB50 AC40:AC50">
    <cfRule type="expression" dxfId="4040" priority="135">
      <formula>N39&gt;$AG39</formula>
    </cfRule>
  </conditionalFormatting>
  <conditionalFormatting sqref="P27:AF27">
    <cfRule type="expression" dxfId="4039" priority="131">
      <formula>P$9&gt;=20/24</formula>
    </cfRule>
    <cfRule type="expression" dxfId="4038" priority="132">
      <formula>AND(P$9&gt;=14/24,P$9&lt;20/24)</formula>
    </cfRule>
    <cfRule type="expression" dxfId="4037" priority="133">
      <formula>AND(P$9&gt;=8/24,P$9&lt;14/24)</formula>
    </cfRule>
    <cfRule type="expression" dxfId="4036" priority="134">
      <formula>P$9&lt;8/24</formula>
    </cfRule>
  </conditionalFormatting>
  <conditionalFormatting sqref="D11 D22:F22 D26:F26 F16:F21 F23:F25 F27 G16:O27 P23:AF23 P17:AF17">
    <cfRule type="expression" dxfId="4035" priority="127">
      <formula>D$9&gt;=20/24</formula>
    </cfRule>
    <cfRule type="expression" dxfId="4034" priority="128">
      <formula>AND(D$9&gt;=14/24,D$9&lt;20/24)</formula>
    </cfRule>
    <cfRule type="expression" dxfId="4033" priority="129">
      <formula>AND(D$9&gt;=8/24,D$9&lt;14/24)</formula>
    </cfRule>
    <cfRule type="expression" dxfId="4032" priority="130">
      <formula>D$9&lt;8/24</formula>
    </cfRule>
  </conditionalFormatting>
  <conditionalFormatting sqref="F35:O35">
    <cfRule type="expression" dxfId="4031" priority="119">
      <formula>F$9&gt;=20/24</formula>
    </cfRule>
    <cfRule type="expression" dxfId="4030" priority="120">
      <formula>AND(F$9&gt;=14/24,F$9&lt;20/24)</formula>
    </cfRule>
    <cfRule type="expression" dxfId="4029" priority="121">
      <formula>AND(F$9&gt;=8/24,F$9&lt;14/24)</formula>
    </cfRule>
    <cfRule type="expression" dxfId="4028" priority="122">
      <formula>F$9&lt;8/24</formula>
    </cfRule>
  </conditionalFormatting>
  <conditionalFormatting sqref="D11 D22:F22 D26:F26 F16:F21 F23:F25 F27 F35:O35 G16:O27 P23:AF23 P17:AF17">
    <cfRule type="expression" dxfId="4027" priority="118">
      <formula>D11&gt;$AG11</formula>
    </cfRule>
  </conditionalFormatting>
  <conditionalFormatting sqref="F64:L66">
    <cfRule type="expression" dxfId="4026" priority="92">
      <formula>F$9&gt;=20/24</formula>
    </cfRule>
    <cfRule type="expression" dxfId="4025" priority="93">
      <formula>AND(F$9&gt;=14/24,F$9&lt;20/24)</formula>
    </cfRule>
    <cfRule type="expression" dxfId="4024" priority="94">
      <formula>AND(F$9&gt;=8/24,F$9&lt;14/24)</formula>
    </cfRule>
    <cfRule type="expression" dxfId="4023" priority="95">
      <formula>F$9&lt;8/24</formula>
    </cfRule>
  </conditionalFormatting>
  <conditionalFormatting sqref="B46:E46 F46:M50 F45:L45">
    <cfRule type="expression" dxfId="4022" priority="86">
      <formula>B45&gt;$AG45</formula>
    </cfRule>
  </conditionalFormatting>
  <conditionalFormatting sqref="B46:E46 F46:M50 F45:L45">
    <cfRule type="expression" dxfId="4021" priority="87">
      <formula>B$9&gt;=20/24</formula>
    </cfRule>
    <cfRule type="expression" dxfId="4020" priority="88">
      <formula>AND(B$9&gt;=14/24,B$9&lt;20/24)</formula>
    </cfRule>
    <cfRule type="expression" dxfId="4019" priority="89">
      <formula>AND(B$9&gt;=8/24,B$9&lt;14/24)</formula>
    </cfRule>
    <cfRule type="expression" dxfId="4018" priority="90">
      <formula>B$9&lt;8/24</formula>
    </cfRule>
  </conditionalFormatting>
  <conditionalFormatting sqref="B94:B100 B74:AF74 B82:AF82 B11:C11">
    <cfRule type="expression" dxfId="4017" priority="73">
      <formula>B$9&gt;=20/24</formula>
    </cfRule>
    <cfRule type="expression" dxfId="4016" priority="74">
      <formula>AND(B$9&gt;=14/24,B$9&lt;20/24)</formula>
    </cfRule>
    <cfRule type="expression" dxfId="4015" priority="75">
      <formula>AND(B$9&gt;=8/24,B$9&lt;14/24)</formula>
    </cfRule>
    <cfRule type="expression" dxfId="4014" priority="76">
      <formula>B$9&lt;8/24</formula>
    </cfRule>
  </conditionalFormatting>
  <conditionalFormatting sqref="B37">
    <cfRule type="expression" dxfId="4013" priority="69">
      <formula>B$9&gt;=20/24</formula>
    </cfRule>
    <cfRule type="expression" dxfId="4012" priority="70">
      <formula>AND(B$9&gt;=14/24,B$9&lt;20/24)</formula>
    </cfRule>
    <cfRule type="expression" dxfId="4011" priority="71">
      <formula>AND(B$9&gt;=8/24,B$9&lt;14/24)</formula>
    </cfRule>
    <cfRule type="expression" dxfId="4010" priority="72">
      <formula>B$9&lt;8/24</formula>
    </cfRule>
  </conditionalFormatting>
  <conditionalFormatting sqref="B37 B11:C11">
    <cfRule type="expression" dxfId="4009" priority="68">
      <formula>B11&gt;$AG11</formula>
    </cfRule>
  </conditionalFormatting>
  <conditionalFormatting sqref="B84">
    <cfRule type="expression" dxfId="4008" priority="64">
      <formula>B$9&gt;=20/24</formula>
    </cfRule>
    <cfRule type="expression" dxfId="4007" priority="65">
      <formula>AND(B$9&gt;=14/24,B$9&lt;20/24)</formula>
    </cfRule>
    <cfRule type="expression" dxfId="4006" priority="66">
      <formula>AND(B$9&gt;=8/24,B$9&lt;14/24)</formula>
    </cfRule>
    <cfRule type="expression" dxfId="4005" priority="67">
      <formula>B$9&lt;8/24</formula>
    </cfRule>
  </conditionalFormatting>
  <conditionalFormatting sqref="B57 B36:E36 B40:E41">
    <cfRule type="expression" dxfId="4004" priority="60">
      <formula>B$9&gt;=20/24</formula>
    </cfRule>
    <cfRule type="expression" dxfId="4003" priority="61">
      <formula>AND(B$9&gt;=14/24,B$9&lt;20/24)</formula>
    </cfRule>
    <cfRule type="expression" dxfId="4002" priority="62">
      <formula>AND(B$9&gt;=8/24,B$9&lt;14/24)</formula>
    </cfRule>
    <cfRule type="expression" dxfId="4001" priority="63">
      <formula>B$9&lt;8/24</formula>
    </cfRule>
  </conditionalFormatting>
  <conditionalFormatting sqref="B39:E39">
    <cfRule type="expression" dxfId="4000" priority="56">
      <formula>B$9&gt;=20/24</formula>
    </cfRule>
    <cfRule type="expression" dxfId="3999" priority="57">
      <formula>AND(B$9&gt;=14/24,B$9&lt;20/24)</formula>
    </cfRule>
    <cfRule type="expression" dxfId="3998" priority="58">
      <formula>AND(B$9&gt;=8/24,B$9&lt;14/24)</formula>
    </cfRule>
    <cfRule type="expression" dxfId="3997" priority="59">
      <formula>B$9&lt;8/24</formula>
    </cfRule>
  </conditionalFormatting>
  <conditionalFormatting sqref="B36:E36 B39:E41">
    <cfRule type="expression" dxfId="3996" priority="55">
      <formula>B36&gt;$AG36</formula>
    </cfRule>
  </conditionalFormatting>
  <conditionalFormatting sqref="B85:B91 B53:B56 B58:B67 B69:B73 B75:AF75 C73:AF73 B81 B83:AF83 B18:C22 B24:C26 B12:E14 B16:E16 D18:E21 D24:E25 C61:E67 B28:O31">
    <cfRule type="expression" dxfId="3995" priority="51">
      <formula>B$9&gt;=20/24</formula>
    </cfRule>
    <cfRule type="expression" dxfId="3994" priority="52">
      <formula>AND(B$9&gt;=14/24,B$9&lt;20/24)</formula>
    </cfRule>
    <cfRule type="expression" dxfId="3993" priority="53">
      <formula>AND(B$9&gt;=8/24,B$9&lt;14/24)</formula>
    </cfRule>
    <cfRule type="expression" dxfId="3992" priority="54">
      <formula>B$9&lt;8/24</formula>
    </cfRule>
  </conditionalFormatting>
  <conditionalFormatting sqref="B32:O32">
    <cfRule type="expression" dxfId="3991" priority="47">
      <formula>B$9&gt;=20/24</formula>
    </cfRule>
    <cfRule type="expression" dxfId="3990" priority="48">
      <formula>AND(B$9&gt;=14/24,B$9&lt;20/24)</formula>
    </cfRule>
    <cfRule type="expression" dxfId="3989" priority="49">
      <formula>AND(B$9&gt;=8/24,B$9&lt;14/24)</formula>
    </cfRule>
    <cfRule type="expression" dxfId="3988" priority="50">
      <formula>B$9&lt;8/24</formula>
    </cfRule>
  </conditionalFormatting>
  <conditionalFormatting sqref="B35:E35">
    <cfRule type="expression" dxfId="3987" priority="43">
      <formula>B$9&gt;=20/24</formula>
    </cfRule>
    <cfRule type="expression" dxfId="3986" priority="44">
      <formula>AND(B$9&gt;=14/24,B$9&lt;20/24)</formula>
    </cfRule>
    <cfRule type="expression" dxfId="3985" priority="45">
      <formula>AND(B$9&gt;=8/24,B$9&lt;14/24)</formula>
    </cfRule>
    <cfRule type="expression" dxfId="3984" priority="46">
      <formula>B$9&lt;8/24</formula>
    </cfRule>
  </conditionalFormatting>
  <conditionalFormatting sqref="B51:B56 C52:AF52 B34:C35 B18:C22 B24:C32 B12:E16 D18:E21 D24:E25 D35:E35 D27:E27 B42:E43 D34:O34 D28:O32 B38:AF38">
    <cfRule type="expression" dxfId="3983" priority="42">
      <formula>B12&gt;$AG12</formula>
    </cfRule>
  </conditionalFormatting>
  <conditionalFormatting sqref="B34:O34">
    <cfRule type="expression" dxfId="3982" priority="38">
      <formula>B$9&gt;=20/24</formula>
    </cfRule>
    <cfRule type="expression" dxfId="3981" priority="39">
      <formula>AND(B$9&gt;=14/24,B$9&lt;20/24)</formula>
    </cfRule>
    <cfRule type="expression" dxfId="3980" priority="40">
      <formula>AND(B$9&gt;=8/24,B$9&lt;14/24)</formula>
    </cfRule>
    <cfRule type="expression" dxfId="3979" priority="41">
      <formula>B$9&lt;8/24</formula>
    </cfRule>
  </conditionalFormatting>
  <conditionalFormatting sqref="B15:E15">
    <cfRule type="expression" dxfId="3978" priority="34">
      <formula>B$9&gt;=20/24</formula>
    </cfRule>
    <cfRule type="expression" dxfId="3977" priority="35">
      <formula>AND(B$9&gt;=14/24,B$9&lt;20/24)</formula>
    </cfRule>
    <cfRule type="expression" dxfId="3976" priority="36">
      <formula>AND(B$9&gt;=8/24,B$9&lt;14/24)</formula>
    </cfRule>
    <cfRule type="expression" dxfId="3975" priority="37">
      <formula>B$9&lt;8/24</formula>
    </cfRule>
  </conditionalFormatting>
  <conditionalFormatting sqref="B33:O33">
    <cfRule type="expression" dxfId="3974" priority="30">
      <formula>B$9&gt;=20/24</formula>
    </cfRule>
    <cfRule type="expression" dxfId="3973" priority="31">
      <formula>AND(B$9&gt;=14/24,B$9&lt;20/24)</formula>
    </cfRule>
    <cfRule type="expression" dxfId="3972" priority="32">
      <formula>AND(B$9&gt;=8/24,B$9&lt;14/24)</formula>
    </cfRule>
    <cfRule type="expression" dxfId="3971" priority="33">
      <formula>B$9&lt;8/24</formula>
    </cfRule>
  </conditionalFormatting>
  <conditionalFormatting sqref="B33:O33">
    <cfRule type="expression" dxfId="3970" priority="29">
      <formula>B33&gt;$AG33</formula>
    </cfRule>
  </conditionalFormatting>
  <conditionalFormatting sqref="B44:E45 B47:E50">
    <cfRule type="expression" dxfId="3969" priority="25">
      <formula>B$9&gt;=20/24</formula>
    </cfRule>
    <cfRule type="expression" dxfId="3968" priority="26">
      <formula>AND(B$9&gt;=14/24,B$9&lt;20/24)</formula>
    </cfRule>
    <cfRule type="expression" dxfId="3967" priority="27">
      <formula>AND(B$9&gt;=8/24,B$9&lt;14/24)</formula>
    </cfRule>
    <cfRule type="expression" dxfId="3966" priority="28">
      <formula>B$9&lt;8/24</formula>
    </cfRule>
  </conditionalFormatting>
  <conditionalFormatting sqref="B44:E45 B47:E50">
    <cfRule type="expression" dxfId="3965" priority="24">
      <formula>B44&gt;$AG44</formula>
    </cfRule>
  </conditionalFormatting>
  <conditionalFormatting sqref="B27:E27">
    <cfRule type="expression" dxfId="3964" priority="20">
      <formula>B$9&gt;=20/24</formula>
    </cfRule>
    <cfRule type="expression" dxfId="3963" priority="21">
      <formula>AND(B$9&gt;=14/24,B$9&lt;20/24)</formula>
    </cfRule>
    <cfRule type="expression" dxfId="3962" priority="22">
      <formula>AND(B$9&gt;=8/24,B$9&lt;14/24)</formula>
    </cfRule>
    <cfRule type="expression" dxfId="3961" priority="23">
      <formula>B$9&lt;8/24</formula>
    </cfRule>
  </conditionalFormatting>
  <conditionalFormatting sqref="B17:E17 B23:E23">
    <cfRule type="expression" dxfId="3960" priority="16">
      <formula>B$9&gt;=20/24</formula>
    </cfRule>
    <cfRule type="expression" dxfId="3959" priority="17">
      <formula>AND(B$9&gt;=14/24,B$9&lt;20/24)</formula>
    </cfRule>
    <cfRule type="expression" dxfId="3958" priority="18">
      <formula>AND(B$9&gt;=8/24,B$9&lt;14/24)</formula>
    </cfRule>
    <cfRule type="expression" dxfId="3957" priority="19">
      <formula>B$9&lt;8/24</formula>
    </cfRule>
  </conditionalFormatting>
  <conditionalFormatting sqref="B17:E17 B23:E23">
    <cfRule type="expression" dxfId="3956" priority="15">
      <formula>B17&gt;$AG17</formula>
    </cfRule>
  </conditionalFormatting>
  <conditionalFormatting sqref="A33">
    <cfRule type="expression" dxfId="3955" priority="14">
      <formula>$AH33=0</formula>
    </cfRule>
  </conditionalFormatting>
  <conditionalFormatting sqref="B68:AF68">
    <cfRule type="expression" dxfId="3954" priority="10">
      <formula>B$9&gt;=20/24</formula>
    </cfRule>
    <cfRule type="expression" dxfId="3953" priority="11">
      <formula>AND(B$9&gt;=14/24,B$9&lt;20/24)</formula>
    </cfRule>
    <cfRule type="expression" dxfId="3952" priority="12">
      <formula>AND(B$9&gt;=8/24,B$9&lt;14/24)</formula>
    </cfRule>
    <cfRule type="expression" dxfId="3951" priority="13">
      <formula>B$9&lt;8/24</formula>
    </cfRule>
  </conditionalFormatting>
  <conditionalFormatting sqref="B76:AF80">
    <cfRule type="expression" dxfId="3950" priority="6">
      <formula>B$9&gt;=20/24</formula>
    </cfRule>
    <cfRule type="expression" dxfId="3949" priority="7">
      <formula>AND(B$9&gt;=14/24,B$9&lt;20/24)</formula>
    </cfRule>
    <cfRule type="expression" dxfId="3948" priority="8">
      <formula>AND(B$9&gt;=8/24,B$9&lt;14/24)</formula>
    </cfRule>
    <cfRule type="expression" dxfId="3947" priority="9">
      <formula>B$9&lt;8/24</formula>
    </cfRule>
  </conditionalFormatting>
  <conditionalFormatting sqref="M42:M45">
    <cfRule type="expression" dxfId="3946" priority="2">
      <formula>M$9&gt;=20/24</formula>
    </cfRule>
    <cfRule type="expression" dxfId="3945" priority="3">
      <formula>AND(M$9&gt;=14/24,M$9&lt;20/24)</formula>
    </cfRule>
    <cfRule type="expression" dxfId="3944" priority="4">
      <formula>AND(M$9&gt;=8/24,M$9&lt;14/24)</formula>
    </cfRule>
    <cfRule type="expression" dxfId="3943" priority="5">
      <formula>M$9&lt;8/24</formula>
    </cfRule>
  </conditionalFormatting>
  <conditionalFormatting sqref="M42:M45">
    <cfRule type="expression" dxfId="3942" priority="1">
      <formula>M42&gt;$AG42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85" zoomScaleNormal="85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85" sqref="A85:XFD8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"2079/"&amp;"03/"&amp;INT(MID(CELL("filename",D6),FIND("]",CELL("filename",D6))+1,200))</f>
        <v>2079/03/15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40</v>
      </c>
      <c r="C5" s="32">
        <f t="shared" si="0"/>
        <v>43</v>
      </c>
      <c r="D5" s="32">
        <f t="shared" si="0"/>
        <v>38</v>
      </c>
      <c r="E5" s="32">
        <f t="shared" si="0"/>
        <v>8</v>
      </c>
      <c r="F5" s="32">
        <f t="shared" si="0"/>
        <v>4</v>
      </c>
      <c r="G5" s="32">
        <f t="shared" si="0"/>
        <v>18</v>
      </c>
      <c r="H5" s="32">
        <f t="shared" si="0"/>
        <v>6</v>
      </c>
      <c r="I5" s="32">
        <f t="shared" si="0"/>
        <v>7</v>
      </c>
      <c r="J5" s="32">
        <f t="shared" si="0"/>
        <v>36</v>
      </c>
      <c r="K5" s="32">
        <f t="shared" si="0"/>
        <v>0</v>
      </c>
      <c r="L5" s="32">
        <f t="shared" si="0"/>
        <v>67</v>
      </c>
      <c r="M5" s="32">
        <f t="shared" si="0"/>
        <v>47.5</v>
      </c>
      <c r="N5" s="32">
        <f t="shared" si="0"/>
        <v>41</v>
      </c>
      <c r="O5" s="32">
        <f t="shared" si="0"/>
        <v>24.3</v>
      </c>
      <c r="P5" s="32">
        <f t="shared" si="0"/>
        <v>30</v>
      </c>
      <c r="Q5" s="32">
        <f t="shared" si="0"/>
        <v>39.700000000000003</v>
      </c>
      <c r="R5" s="32">
        <f t="shared" si="0"/>
        <v>36.1</v>
      </c>
      <c r="S5" s="32">
        <f t="shared" si="0"/>
        <v>18.100000000000001</v>
      </c>
      <c r="T5" s="32">
        <f t="shared" si="0"/>
        <v>0</v>
      </c>
      <c r="U5" s="32">
        <f t="shared" si="0"/>
        <v>18.2</v>
      </c>
      <c r="V5" s="32">
        <f t="shared" si="0"/>
        <v>43.8</v>
      </c>
      <c r="W5" s="32">
        <f t="shared" si="0"/>
        <v>42.1</v>
      </c>
      <c r="X5" s="32">
        <f t="shared" si="0"/>
        <v>38</v>
      </c>
      <c r="Y5" s="32">
        <f t="shared" si="0"/>
        <v>47</v>
      </c>
      <c r="Z5" s="32">
        <f t="shared" si="0"/>
        <v>48.3</v>
      </c>
      <c r="AA5" s="32">
        <f t="shared" si="0"/>
        <v>49</v>
      </c>
      <c r="AB5" s="32">
        <f t="shared" si="0"/>
        <v>48</v>
      </c>
      <c r="AC5" s="32">
        <f t="shared" si="0"/>
        <v>37.200000000000003</v>
      </c>
      <c r="AD5" s="32">
        <f t="shared" si="0"/>
        <v>37.200000000000003</v>
      </c>
      <c r="AE5" s="32">
        <f t="shared" si="0"/>
        <v>36</v>
      </c>
      <c r="AF5" s="32">
        <f>B68</f>
        <v>43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6783MW at 7:00hr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Load=304</v>
      </c>
      <c r="B7" s="37">
        <f t="shared" ref="B7:AF7" si="1">B75</f>
        <v>1638.79</v>
      </c>
      <c r="C7" s="37">
        <f t="shared" si="1"/>
        <v>1598.89</v>
      </c>
      <c r="D7" s="37">
        <f t="shared" si="1"/>
        <v>1485.39</v>
      </c>
      <c r="E7" s="37">
        <f t="shared" si="1"/>
        <v>1387.49</v>
      </c>
      <c r="F7" s="37">
        <f t="shared" si="1"/>
        <v>1456.64</v>
      </c>
      <c r="G7" s="37">
        <f t="shared" si="1"/>
        <v>1454.64</v>
      </c>
      <c r="H7" s="37">
        <f t="shared" si="1"/>
        <v>1463.64</v>
      </c>
      <c r="I7" s="37">
        <f t="shared" si="1"/>
        <v>1491.8400000000001</v>
      </c>
      <c r="J7" s="37">
        <f t="shared" si="1"/>
        <v>1526.3400000000001</v>
      </c>
      <c r="K7" s="37">
        <f t="shared" si="1"/>
        <v>6782.74</v>
      </c>
      <c r="L7" s="37">
        <f t="shared" si="1"/>
        <v>1441.74</v>
      </c>
      <c r="M7" s="37">
        <f t="shared" si="1"/>
        <v>1468.34</v>
      </c>
      <c r="N7" s="37">
        <f t="shared" si="1"/>
        <v>1499.94</v>
      </c>
      <c r="O7" s="37">
        <f t="shared" si="1"/>
        <v>1583.8400000000001</v>
      </c>
      <c r="P7" s="37">
        <f t="shared" si="1"/>
        <v>1565.54</v>
      </c>
      <c r="Q7" s="37">
        <f t="shared" si="1"/>
        <v>1546.5400000000002</v>
      </c>
      <c r="R7" s="37">
        <f t="shared" si="1"/>
        <v>1602.9400000000003</v>
      </c>
      <c r="S7" s="37">
        <f t="shared" si="1"/>
        <v>1626.04</v>
      </c>
      <c r="T7" s="37">
        <f t="shared" si="1"/>
        <v>1608.04</v>
      </c>
      <c r="U7" s="37">
        <f t="shared" si="1"/>
        <v>303.54000000000002</v>
      </c>
      <c r="V7" s="37">
        <f t="shared" si="1"/>
        <v>1566.9399999999998</v>
      </c>
      <c r="W7" s="37">
        <f t="shared" si="1"/>
        <v>1509.5399999999997</v>
      </c>
      <c r="X7" s="37">
        <f t="shared" si="1"/>
        <v>1550.8399999999997</v>
      </c>
      <c r="Y7" s="37">
        <f t="shared" si="1"/>
        <v>1619.4399999999998</v>
      </c>
      <c r="Z7" s="37">
        <f t="shared" si="1"/>
        <v>1634.4399999999998</v>
      </c>
      <c r="AA7" s="37">
        <f t="shared" si="1"/>
        <v>1636.2399999999998</v>
      </c>
      <c r="AB7" s="37">
        <f t="shared" si="1"/>
        <v>1656.6399999999999</v>
      </c>
      <c r="AC7" s="37">
        <f t="shared" si="1"/>
        <v>1655.6399999999999</v>
      </c>
      <c r="AD7" s="37">
        <f t="shared" si="1"/>
        <v>1653.14</v>
      </c>
      <c r="AE7" s="37">
        <f t="shared" si="1"/>
        <v>1651.0400000000002</v>
      </c>
      <c r="AF7" s="37">
        <f t="shared" si="1"/>
        <v>1638.8400000000001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51">
        <v>410</v>
      </c>
      <c r="F11" s="51">
        <v>456</v>
      </c>
      <c r="G11" s="51">
        <v>456</v>
      </c>
      <c r="H11" s="51">
        <v>426</v>
      </c>
      <c r="I11" s="51">
        <v>426</v>
      </c>
      <c r="J11" s="51">
        <v>426</v>
      </c>
      <c r="K11" s="51">
        <v>456</v>
      </c>
      <c r="L11" s="51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3">
        <v>456</v>
      </c>
      <c r="U11" s="53"/>
      <c r="V11" s="53">
        <v>430</v>
      </c>
      <c r="W11" s="53">
        <v>370</v>
      </c>
      <c r="X11" s="53">
        <v>420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370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/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53.2</v>
      </c>
      <c r="C13" s="51">
        <v>53.2</v>
      </c>
      <c r="D13" s="51">
        <v>53.2</v>
      </c>
      <c r="E13" s="51">
        <v>53.2</v>
      </c>
      <c r="F13" s="51">
        <v>53.2</v>
      </c>
      <c r="G13" s="51">
        <v>53.2</v>
      </c>
      <c r="H13" s="51">
        <v>53.2</v>
      </c>
      <c r="I13" s="51">
        <v>53.2</v>
      </c>
      <c r="J13" s="51">
        <v>53.2</v>
      </c>
      <c r="K13" s="51">
        <v>5303</v>
      </c>
      <c r="L13" s="51">
        <v>0</v>
      </c>
      <c r="M13" s="51">
        <v>32.9</v>
      </c>
      <c r="N13" s="51">
        <v>54</v>
      </c>
      <c r="O13" s="51">
        <v>54</v>
      </c>
      <c r="P13" s="51">
        <v>53.9</v>
      </c>
      <c r="Q13" s="51">
        <v>53.9</v>
      </c>
      <c r="R13" s="51">
        <v>53.9</v>
      </c>
      <c r="S13" s="51">
        <v>53.9</v>
      </c>
      <c r="T13" s="51">
        <v>53.9</v>
      </c>
      <c r="U13" s="51" t="s">
        <v>222</v>
      </c>
      <c r="V13" s="51">
        <v>53.9</v>
      </c>
      <c r="W13" s="51">
        <v>53.9</v>
      </c>
      <c r="X13" s="51">
        <v>53.9</v>
      </c>
      <c r="Y13" s="51">
        <v>53.9</v>
      </c>
      <c r="Z13" s="51">
        <v>53.9</v>
      </c>
      <c r="AA13" s="51">
        <v>53.9</v>
      </c>
      <c r="AB13" s="51">
        <v>54</v>
      </c>
      <c r="AC13" s="51">
        <v>54</v>
      </c>
      <c r="AD13" s="51">
        <v>54</v>
      </c>
      <c r="AE13" s="51">
        <v>54</v>
      </c>
      <c r="AF13" s="51">
        <v>54</v>
      </c>
      <c r="AG13" s="59">
        <v>52.4</v>
      </c>
      <c r="AH13" s="55">
        <f t="shared" si="2"/>
        <v>5303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</v>
      </c>
      <c r="C14" s="51">
        <v>50</v>
      </c>
      <c r="D14" s="51">
        <v>50</v>
      </c>
      <c r="E14" s="51">
        <v>50</v>
      </c>
      <c r="F14" s="51">
        <v>50</v>
      </c>
      <c r="G14" s="51">
        <v>50</v>
      </c>
      <c r="H14" s="51">
        <v>50</v>
      </c>
      <c r="I14" s="51">
        <v>50</v>
      </c>
      <c r="J14" s="51">
        <v>50</v>
      </c>
      <c r="K14" s="51">
        <v>50</v>
      </c>
      <c r="L14" s="51">
        <v>50</v>
      </c>
      <c r="M14" s="51">
        <v>50</v>
      </c>
      <c r="N14" s="51">
        <v>50</v>
      </c>
      <c r="O14" s="51">
        <v>50</v>
      </c>
      <c r="P14" s="51">
        <v>50.4</v>
      </c>
      <c r="Q14" s="51">
        <v>50.7</v>
      </c>
      <c r="R14" s="51">
        <v>50.7</v>
      </c>
      <c r="S14" s="51">
        <v>50.7</v>
      </c>
      <c r="T14" s="51">
        <v>50.7</v>
      </c>
      <c r="U14" s="51" t="s">
        <v>223</v>
      </c>
      <c r="V14" s="51">
        <v>50.7</v>
      </c>
      <c r="W14" s="51">
        <v>50.7</v>
      </c>
      <c r="X14" s="51">
        <v>50.7</v>
      </c>
      <c r="Y14" s="51">
        <v>50.7</v>
      </c>
      <c r="Z14" s="51">
        <v>50.7</v>
      </c>
      <c r="AA14" s="51">
        <v>50.7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9">
        <v>50</v>
      </c>
      <c r="AH14" s="55">
        <f t="shared" si="2"/>
        <v>50.7</v>
      </c>
      <c r="AI14" s="56">
        <f t="shared" si="3"/>
        <v>50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45.8</v>
      </c>
      <c r="C15" s="51">
        <v>45.8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45.5</v>
      </c>
      <c r="L15" s="51">
        <v>45.5</v>
      </c>
      <c r="M15" s="51">
        <v>45.5</v>
      </c>
      <c r="N15" s="51">
        <v>45.5</v>
      </c>
      <c r="O15" s="51">
        <v>45.5</v>
      </c>
      <c r="P15" s="51">
        <v>45.5</v>
      </c>
      <c r="Q15" s="51">
        <v>45.5</v>
      </c>
      <c r="R15" s="51">
        <v>45.5</v>
      </c>
      <c r="S15" s="51">
        <v>45.5</v>
      </c>
      <c r="T15" s="51">
        <v>45.5</v>
      </c>
      <c r="U15" s="51" t="s">
        <v>222</v>
      </c>
      <c r="V15" s="51">
        <v>45.5</v>
      </c>
      <c r="W15" s="51">
        <v>45.5</v>
      </c>
      <c r="X15" s="51">
        <v>45.5</v>
      </c>
      <c r="Y15" s="51">
        <v>45.5</v>
      </c>
      <c r="Z15" s="51">
        <v>45.5</v>
      </c>
      <c r="AA15" s="51">
        <v>45.5</v>
      </c>
      <c r="AB15" s="51">
        <v>45.9</v>
      </c>
      <c r="AC15" s="51">
        <v>45.9</v>
      </c>
      <c r="AD15" s="51">
        <v>45.9</v>
      </c>
      <c r="AE15" s="51">
        <v>45.9</v>
      </c>
      <c r="AF15" s="51">
        <v>45.9</v>
      </c>
      <c r="AG15" s="60">
        <v>45</v>
      </c>
      <c r="AH15" s="55">
        <f t="shared" si="2"/>
        <v>45.9</v>
      </c>
      <c r="AI15" s="56">
        <f t="shared" si="3"/>
        <v>45.5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24</v>
      </c>
      <c r="C16" s="51">
        <v>28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26</v>
      </c>
      <c r="J16" s="51">
        <v>26</v>
      </c>
      <c r="K16" s="51">
        <v>26</v>
      </c>
      <c r="L16" s="51">
        <v>40</v>
      </c>
      <c r="M16" s="51">
        <v>40</v>
      </c>
      <c r="N16" s="51">
        <v>40</v>
      </c>
      <c r="O16" s="51">
        <v>24</v>
      </c>
      <c r="P16" s="51">
        <v>24</v>
      </c>
      <c r="Q16" s="51">
        <v>24</v>
      </c>
      <c r="R16" s="51">
        <v>24</v>
      </c>
      <c r="S16" s="51">
        <v>24</v>
      </c>
      <c r="T16" s="51">
        <v>24</v>
      </c>
      <c r="U16" s="51" t="s">
        <v>226</v>
      </c>
      <c r="V16" s="51">
        <v>24</v>
      </c>
      <c r="W16" s="51">
        <v>25</v>
      </c>
      <c r="X16" s="51">
        <v>25</v>
      </c>
      <c r="Y16" s="51">
        <v>25</v>
      </c>
      <c r="Z16" s="51">
        <v>25</v>
      </c>
      <c r="AA16" s="51">
        <v>25</v>
      </c>
      <c r="AB16" s="51">
        <v>24</v>
      </c>
      <c r="AC16" s="51">
        <v>24</v>
      </c>
      <c r="AD16" s="51">
        <v>24</v>
      </c>
      <c r="AE16" s="51">
        <v>24</v>
      </c>
      <c r="AF16" s="51">
        <v>24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 t="s">
        <v>243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 t="s">
        <v>244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25</v>
      </c>
      <c r="C19" s="51">
        <v>25</v>
      </c>
      <c r="D19" s="51">
        <v>25</v>
      </c>
      <c r="E19" s="51">
        <v>25</v>
      </c>
      <c r="F19" s="51">
        <v>25</v>
      </c>
      <c r="G19" s="51">
        <v>25</v>
      </c>
      <c r="H19" s="51">
        <v>25</v>
      </c>
      <c r="I19" s="51">
        <v>0</v>
      </c>
      <c r="J19" s="51">
        <v>0</v>
      </c>
      <c r="K19" s="51">
        <v>0</v>
      </c>
      <c r="L19" s="51">
        <v>26</v>
      </c>
      <c r="M19" s="51">
        <v>26</v>
      </c>
      <c r="N19" s="51">
        <v>26</v>
      </c>
      <c r="O19" s="51">
        <v>26</v>
      </c>
      <c r="P19" s="51">
        <v>26</v>
      </c>
      <c r="Q19" s="51">
        <v>0</v>
      </c>
      <c r="R19" s="51">
        <v>26</v>
      </c>
      <c r="S19" s="51">
        <v>26</v>
      </c>
      <c r="T19" s="51">
        <v>26</v>
      </c>
      <c r="U19" s="51"/>
      <c r="V19" s="51">
        <v>25.8</v>
      </c>
      <c r="W19" s="51">
        <v>25.8</v>
      </c>
      <c r="X19" s="51">
        <v>25.8</v>
      </c>
      <c r="Y19" s="51">
        <v>25.8</v>
      </c>
      <c r="Z19" s="51">
        <v>25.8</v>
      </c>
      <c r="AA19" s="51">
        <v>25.8</v>
      </c>
      <c r="AB19" s="51">
        <v>25.8</v>
      </c>
      <c r="AC19" s="51">
        <v>25.8</v>
      </c>
      <c r="AD19" s="51">
        <v>26.1</v>
      </c>
      <c r="AE19" s="51">
        <v>26.1</v>
      </c>
      <c r="AF19" s="51">
        <v>26.1</v>
      </c>
      <c r="AG19" s="59">
        <v>30</v>
      </c>
      <c r="AH19" s="55">
        <f t="shared" si="2"/>
        <v>26.1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20</v>
      </c>
      <c r="C20" s="51">
        <v>20</v>
      </c>
      <c r="D20" s="51">
        <v>20</v>
      </c>
      <c r="E20" s="51">
        <v>20</v>
      </c>
      <c r="F20" s="51">
        <v>20</v>
      </c>
      <c r="G20" s="51">
        <v>20</v>
      </c>
      <c r="H20" s="51">
        <v>20</v>
      </c>
      <c r="I20" s="51">
        <v>20</v>
      </c>
      <c r="J20" s="51">
        <v>20</v>
      </c>
      <c r="K20" s="51">
        <v>20</v>
      </c>
      <c r="L20" s="51">
        <v>20</v>
      </c>
      <c r="M20" s="51">
        <v>20</v>
      </c>
      <c r="N20" s="51">
        <v>20</v>
      </c>
      <c r="O20" s="51">
        <v>20</v>
      </c>
      <c r="P20" s="51">
        <v>20</v>
      </c>
      <c r="Q20" s="51">
        <v>20</v>
      </c>
      <c r="R20" s="51">
        <v>20</v>
      </c>
      <c r="S20" s="51">
        <v>20</v>
      </c>
      <c r="T20" s="51">
        <v>20</v>
      </c>
      <c r="U20" s="51" t="s">
        <v>249</v>
      </c>
      <c r="V20" s="51">
        <v>20</v>
      </c>
      <c r="W20" s="51">
        <v>20</v>
      </c>
      <c r="X20" s="51">
        <v>20</v>
      </c>
      <c r="Y20" s="51">
        <v>20</v>
      </c>
      <c r="Z20" s="51">
        <v>20</v>
      </c>
      <c r="AA20" s="51">
        <v>20</v>
      </c>
      <c r="AB20" s="51">
        <v>19.2</v>
      </c>
      <c r="AC20" s="51">
        <v>19.2</v>
      </c>
      <c r="AD20" s="51">
        <v>19.2</v>
      </c>
      <c r="AE20" s="51">
        <v>19.2</v>
      </c>
      <c r="AF20" s="51">
        <v>19.2</v>
      </c>
      <c r="AG20" s="59">
        <v>27</v>
      </c>
      <c r="AH20" s="55">
        <f t="shared" si="2"/>
        <v>20</v>
      </c>
      <c r="AI20" s="56">
        <f t="shared" si="3"/>
        <v>19.2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 t="s">
        <v>250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 t="s">
        <v>247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 t="s">
        <v>247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25</v>
      </c>
      <c r="S24" s="51">
        <v>25</v>
      </c>
      <c r="T24" s="51">
        <v>25</v>
      </c>
      <c r="U24" s="51" t="s">
        <v>246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25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 t="s">
        <v>245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5</v>
      </c>
      <c r="D26" s="51">
        <v>5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5</v>
      </c>
      <c r="N26" s="51">
        <v>5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 t="s">
        <v>222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5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7.5</v>
      </c>
      <c r="C27" s="51">
        <v>7.5</v>
      </c>
      <c r="D27" s="51">
        <v>7.5</v>
      </c>
      <c r="E27" s="51">
        <v>7.5</v>
      </c>
      <c r="F27" s="51">
        <v>7.5</v>
      </c>
      <c r="G27" s="51">
        <v>7.5</v>
      </c>
      <c r="H27" s="51">
        <v>7.5</v>
      </c>
      <c r="I27" s="51">
        <v>7.5</v>
      </c>
      <c r="J27" s="51">
        <v>7.5</v>
      </c>
      <c r="K27" s="51">
        <v>7.5</v>
      </c>
      <c r="L27" s="51">
        <v>7.5</v>
      </c>
      <c r="M27" s="51">
        <v>7.5</v>
      </c>
      <c r="N27" s="51">
        <v>7.5</v>
      </c>
      <c r="O27" s="51">
        <v>7.5</v>
      </c>
      <c r="P27" s="51">
        <v>7.5</v>
      </c>
      <c r="Q27" s="51">
        <v>7.5</v>
      </c>
      <c r="R27" s="51">
        <v>7.5</v>
      </c>
      <c r="S27" s="51">
        <v>7.5</v>
      </c>
      <c r="T27" s="51">
        <v>7.5</v>
      </c>
      <c r="U27" s="51" t="s">
        <v>243</v>
      </c>
      <c r="V27" s="51">
        <v>7.5</v>
      </c>
      <c r="W27" s="51">
        <v>7.5</v>
      </c>
      <c r="X27" s="51">
        <v>7.5</v>
      </c>
      <c r="Y27" s="51">
        <v>7.5</v>
      </c>
      <c r="Z27" s="51">
        <v>7.5</v>
      </c>
      <c r="AA27" s="51">
        <v>0</v>
      </c>
      <c r="AB27" s="51">
        <v>0</v>
      </c>
      <c r="AC27" s="51">
        <v>0</v>
      </c>
      <c r="AD27" s="51">
        <v>8</v>
      </c>
      <c r="AE27" s="51">
        <v>8</v>
      </c>
      <c r="AF27" s="51">
        <v>8</v>
      </c>
      <c r="AG27" s="59">
        <v>23.5</v>
      </c>
      <c r="AH27" s="55">
        <f t="shared" si="2"/>
        <v>8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8</v>
      </c>
      <c r="C28" s="51">
        <v>8</v>
      </c>
      <c r="D28" s="51">
        <v>8</v>
      </c>
      <c r="E28" s="51">
        <v>8</v>
      </c>
      <c r="F28" s="51">
        <v>8</v>
      </c>
      <c r="G28" s="51">
        <v>8</v>
      </c>
      <c r="H28" s="51">
        <v>8</v>
      </c>
      <c r="I28" s="51">
        <v>8</v>
      </c>
      <c r="J28" s="51">
        <v>8</v>
      </c>
      <c r="K28" s="51">
        <v>8</v>
      </c>
      <c r="L28" s="51">
        <v>8</v>
      </c>
      <c r="M28" s="51">
        <v>8</v>
      </c>
      <c r="N28" s="51">
        <v>8</v>
      </c>
      <c r="O28" s="51">
        <v>8</v>
      </c>
      <c r="P28" s="51">
        <v>8</v>
      </c>
      <c r="Q28" s="51">
        <v>8</v>
      </c>
      <c r="R28" s="51">
        <v>8</v>
      </c>
      <c r="S28" s="51">
        <v>8</v>
      </c>
      <c r="T28" s="51">
        <v>8</v>
      </c>
      <c r="U28" s="51"/>
      <c r="V28" s="51">
        <v>8</v>
      </c>
      <c r="W28" s="51">
        <v>8</v>
      </c>
      <c r="X28" s="51">
        <v>8</v>
      </c>
      <c r="Y28" s="51">
        <v>8</v>
      </c>
      <c r="Z28" s="51">
        <v>8</v>
      </c>
      <c r="AA28" s="51">
        <v>8</v>
      </c>
      <c r="AB28" s="51">
        <v>8</v>
      </c>
      <c r="AC28" s="51">
        <v>8</v>
      </c>
      <c r="AD28" s="51">
        <v>8</v>
      </c>
      <c r="AE28" s="51">
        <v>8</v>
      </c>
      <c r="AF28" s="51">
        <v>8</v>
      </c>
      <c r="AG28" s="59">
        <v>22.2</v>
      </c>
      <c r="AH28" s="55">
        <f t="shared" si="2"/>
        <v>8</v>
      </c>
      <c r="AI28" s="56">
        <f t="shared" si="3"/>
        <v>8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/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12</v>
      </c>
      <c r="S30" s="51">
        <v>12</v>
      </c>
      <c r="T30" s="51">
        <v>12</v>
      </c>
      <c r="U30" s="51"/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/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2"/>
        <v>5.7</v>
      </c>
      <c r="AI31" s="56">
        <f t="shared" si="3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10</v>
      </c>
      <c r="C32" s="51">
        <v>10</v>
      </c>
      <c r="D32" s="51">
        <v>10</v>
      </c>
      <c r="E32" s="51">
        <v>10</v>
      </c>
      <c r="F32" s="51">
        <v>10</v>
      </c>
      <c r="G32" s="51">
        <v>10</v>
      </c>
      <c r="H32" s="51">
        <v>10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/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4">
        <v>22</v>
      </c>
      <c r="AH32" s="55">
        <f t="shared" si="2"/>
        <v>10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/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10</v>
      </c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1">
        <v>10</v>
      </c>
      <c r="S34" s="51">
        <v>10</v>
      </c>
      <c r="T34" s="51">
        <v>10</v>
      </c>
      <c r="U34" s="51"/>
      <c r="V34" s="51">
        <v>10</v>
      </c>
      <c r="W34" s="51">
        <v>10</v>
      </c>
      <c r="X34" s="51">
        <v>10</v>
      </c>
      <c r="Y34" s="51"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64">
        <v>20</v>
      </c>
      <c r="AH34" s="55">
        <f t="shared" si="2"/>
        <v>10</v>
      </c>
      <c r="AI34" s="56">
        <f t="shared" si="3"/>
        <v>10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/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120</v>
      </c>
      <c r="C37" s="68">
        <v>120</v>
      </c>
      <c r="D37" s="66">
        <v>121.6</v>
      </c>
      <c r="E37" s="66">
        <f>36+85</f>
        <v>121</v>
      </c>
      <c r="F37" s="66">
        <f>35+83</f>
        <v>118</v>
      </c>
      <c r="G37" s="66">
        <f>37+83</f>
        <v>120</v>
      </c>
      <c r="H37" s="66">
        <v>114</v>
      </c>
      <c r="I37" s="66">
        <v>107</v>
      </c>
      <c r="J37" s="66">
        <v>105</v>
      </c>
      <c r="K37" s="66">
        <v>105</v>
      </c>
      <c r="L37" s="66"/>
      <c r="M37" s="66">
        <f>35.9+82</f>
        <v>117.9</v>
      </c>
      <c r="N37" s="66">
        <f>36.2+83.3</f>
        <v>119.5</v>
      </c>
      <c r="O37" s="66">
        <f>36.3+83.9</f>
        <v>120.2</v>
      </c>
      <c r="P37" s="66">
        <f>87.7+37.5</f>
        <v>125.2</v>
      </c>
      <c r="Q37" s="66">
        <f>38+59.2</f>
        <v>97.2</v>
      </c>
      <c r="R37" s="66">
        <f>92.1+38.4</f>
        <v>130.5</v>
      </c>
      <c r="S37" s="68">
        <f>38.1+90</f>
        <v>128.1</v>
      </c>
      <c r="T37" s="68">
        <f>39.3+93</f>
        <v>132.30000000000001</v>
      </c>
      <c r="U37" s="68"/>
      <c r="V37" s="68">
        <f>33.3+84.7</f>
        <v>118</v>
      </c>
      <c r="W37" s="68">
        <f>36.6+87</f>
        <v>123.6</v>
      </c>
      <c r="X37" s="68">
        <f>28.7+74.6</f>
        <v>103.3</v>
      </c>
      <c r="Y37" s="68">
        <f>32+82</f>
        <v>114</v>
      </c>
      <c r="Z37" s="68">
        <f>35+88</f>
        <v>123</v>
      </c>
      <c r="AA37" s="68">
        <f>27.5+81.3</f>
        <v>108.8</v>
      </c>
      <c r="AB37" s="68">
        <v>104</v>
      </c>
      <c r="AC37" s="68">
        <v>112</v>
      </c>
      <c r="AD37" s="68">
        <v>115</v>
      </c>
      <c r="AE37" s="68">
        <v>120</v>
      </c>
      <c r="AF37" s="68">
        <v>130</v>
      </c>
      <c r="AG37" s="64">
        <v>240</v>
      </c>
      <c r="AH37" s="55">
        <f t="shared" si="2"/>
        <v>132.30000000000001</v>
      </c>
      <c r="AI37" s="56">
        <f t="shared" si="3"/>
        <v>97.2</v>
      </c>
      <c r="AK37" s="57"/>
    </row>
    <row r="38" spans="1:88" ht="15.75" thickBot="1" x14ac:dyDescent="0.3">
      <c r="A38" s="69" t="s">
        <v>46</v>
      </c>
      <c r="B38" s="70">
        <f>SUM(B11:B36)</f>
        <v>1226.7</v>
      </c>
      <c r="C38" s="70">
        <f>SUM(C11:C36)</f>
        <v>1230.7</v>
      </c>
      <c r="D38" s="70">
        <f t="shared" ref="D38:AF38" si="4">SUM(D11:D36)</f>
        <v>1202.7</v>
      </c>
      <c r="E38" s="70">
        <f t="shared" si="4"/>
        <v>1151.7</v>
      </c>
      <c r="F38" s="70">
        <f t="shared" si="4"/>
        <v>1197.7</v>
      </c>
      <c r="G38" s="70">
        <f t="shared" si="4"/>
        <v>1197.7</v>
      </c>
      <c r="H38" s="70">
        <f t="shared" si="4"/>
        <v>1167.7</v>
      </c>
      <c r="I38" s="70">
        <f t="shared" si="4"/>
        <v>1158.7</v>
      </c>
      <c r="J38" s="70">
        <f t="shared" si="4"/>
        <v>1158.7</v>
      </c>
      <c r="K38" s="70">
        <f t="shared" si="4"/>
        <v>6416.2</v>
      </c>
      <c r="L38" s="70">
        <f t="shared" si="4"/>
        <v>1153.2</v>
      </c>
      <c r="M38" s="70">
        <f t="shared" si="4"/>
        <v>1179.0999999999999</v>
      </c>
      <c r="N38" s="70">
        <f t="shared" si="4"/>
        <v>1200.2</v>
      </c>
      <c r="O38" s="70">
        <f t="shared" si="4"/>
        <v>1179.2</v>
      </c>
      <c r="P38" s="70">
        <f t="shared" si="4"/>
        <v>1179.5</v>
      </c>
      <c r="Q38" s="70">
        <f t="shared" si="4"/>
        <v>1153.8000000000002</v>
      </c>
      <c r="R38" s="70">
        <f t="shared" si="4"/>
        <v>1216.8000000000002</v>
      </c>
      <c r="S38" s="70">
        <f t="shared" si="4"/>
        <v>1216.8000000000002</v>
      </c>
      <c r="T38" s="70">
        <f t="shared" si="4"/>
        <v>1216.8000000000002</v>
      </c>
      <c r="U38" s="70">
        <f t="shared" si="4"/>
        <v>300</v>
      </c>
      <c r="V38" s="70">
        <f t="shared" si="4"/>
        <v>1165.5999999999999</v>
      </c>
      <c r="W38" s="70">
        <f t="shared" si="4"/>
        <v>1106.5999999999999</v>
      </c>
      <c r="X38" s="70">
        <f t="shared" si="4"/>
        <v>1156.5999999999999</v>
      </c>
      <c r="Y38" s="70">
        <f t="shared" si="4"/>
        <v>1192.5999999999999</v>
      </c>
      <c r="Z38" s="70">
        <f t="shared" si="4"/>
        <v>1192.5999999999999</v>
      </c>
      <c r="AA38" s="70">
        <f t="shared" si="4"/>
        <v>1195.0999999999999</v>
      </c>
      <c r="AB38" s="70">
        <f t="shared" si="4"/>
        <v>1215.5999999999999</v>
      </c>
      <c r="AC38" s="70">
        <f t="shared" si="4"/>
        <v>1215.5999999999999</v>
      </c>
      <c r="AD38" s="70">
        <f t="shared" si="4"/>
        <v>1223.9000000000001</v>
      </c>
      <c r="AE38" s="70">
        <f t="shared" si="4"/>
        <v>1223.9000000000001</v>
      </c>
      <c r="AF38" s="70">
        <f t="shared" si="4"/>
        <v>1218.9000000000001</v>
      </c>
      <c r="AG38" s="64">
        <f>SUM(AG11:AG37)</f>
        <v>1492.8299999999997</v>
      </c>
      <c r="AH38" s="55">
        <f t="shared" si="2"/>
        <v>6416.2</v>
      </c>
      <c r="AI38" s="56">
        <f t="shared" si="3"/>
        <v>300</v>
      </c>
      <c r="AK38" s="57"/>
    </row>
    <row r="39" spans="1:88" x14ac:dyDescent="0.25">
      <c r="A39" s="58" t="s">
        <v>47</v>
      </c>
      <c r="B39" s="51">
        <v>100</v>
      </c>
      <c r="C39" s="51">
        <v>60</v>
      </c>
      <c r="D39" s="51">
        <v>60</v>
      </c>
      <c r="E39" s="51">
        <v>0</v>
      </c>
      <c r="F39" s="51">
        <v>27</v>
      </c>
      <c r="G39" s="51">
        <v>27</v>
      </c>
      <c r="H39" s="51">
        <v>60</v>
      </c>
      <c r="I39" s="51">
        <v>85</v>
      </c>
      <c r="J39" s="51">
        <v>115</v>
      </c>
      <c r="K39" s="51">
        <v>103</v>
      </c>
      <c r="L39" s="51">
        <v>60</v>
      </c>
      <c r="M39" s="51">
        <v>0</v>
      </c>
      <c r="N39" s="51">
        <v>0</v>
      </c>
      <c r="O39" s="51">
        <v>111</v>
      </c>
      <c r="P39" s="51">
        <v>111.3</v>
      </c>
      <c r="Q39" s="51">
        <v>111.2</v>
      </c>
      <c r="R39" s="51">
        <v>94.9</v>
      </c>
      <c r="S39" s="51">
        <v>121.6</v>
      </c>
      <c r="T39" s="51">
        <v>121.6</v>
      </c>
      <c r="U39" s="51"/>
      <c r="V39" s="51">
        <v>121.6</v>
      </c>
      <c r="W39" s="51">
        <v>121.6</v>
      </c>
      <c r="X39" s="51">
        <v>121.6</v>
      </c>
      <c r="Y39" s="51">
        <v>134</v>
      </c>
      <c r="Z39" s="51">
        <v>140</v>
      </c>
      <c r="AA39" s="51">
        <v>140</v>
      </c>
      <c r="AB39" s="51">
        <v>140</v>
      </c>
      <c r="AC39" s="51">
        <v>140</v>
      </c>
      <c r="AD39" s="51">
        <v>140</v>
      </c>
      <c r="AE39" s="51">
        <v>138.6</v>
      </c>
      <c r="AF39" s="51">
        <v>138.6</v>
      </c>
      <c r="AG39" s="60">
        <v>144</v>
      </c>
      <c r="AH39" s="55">
        <f t="shared" si="2"/>
        <v>140</v>
      </c>
      <c r="AI39" s="56">
        <f t="shared" si="3"/>
        <v>0</v>
      </c>
      <c r="AK39" s="57"/>
    </row>
    <row r="40" spans="1:88" x14ac:dyDescent="0.25">
      <c r="A40" s="63" t="s">
        <v>48</v>
      </c>
      <c r="B40" s="49">
        <v>71.599999999999994</v>
      </c>
      <c r="C40" s="49">
        <v>71.599999999999994</v>
      </c>
      <c r="D40" s="49">
        <v>71.599999999999994</v>
      </c>
      <c r="E40" s="49">
        <v>43</v>
      </c>
      <c r="F40" s="49">
        <v>43</v>
      </c>
      <c r="G40" s="49">
        <v>46</v>
      </c>
      <c r="H40" s="49">
        <v>51</v>
      </c>
      <c r="I40" s="49">
        <v>67</v>
      </c>
      <c r="J40" s="49">
        <v>71</v>
      </c>
      <c r="K40" s="49">
        <v>71</v>
      </c>
      <c r="L40" s="49">
        <v>73</v>
      </c>
      <c r="M40" s="49">
        <v>72.5</v>
      </c>
      <c r="N40" s="49">
        <v>72.5</v>
      </c>
      <c r="O40" s="51">
        <v>73</v>
      </c>
      <c r="P40" s="51">
        <v>73.2</v>
      </c>
      <c r="Q40" s="51">
        <v>73.5</v>
      </c>
      <c r="R40" s="51">
        <v>73.5</v>
      </c>
      <c r="S40" s="51">
        <v>73.5</v>
      </c>
      <c r="T40" s="51">
        <v>73.5</v>
      </c>
      <c r="U40" s="51"/>
      <c r="V40" s="51">
        <v>73.5</v>
      </c>
      <c r="W40" s="51">
        <v>48.7</v>
      </c>
      <c r="X40" s="51">
        <v>48.7</v>
      </c>
      <c r="Y40" s="51">
        <v>73</v>
      </c>
      <c r="Z40" s="51">
        <v>73</v>
      </c>
      <c r="AA40" s="51">
        <v>71</v>
      </c>
      <c r="AB40" s="51">
        <v>71.599999999999994</v>
      </c>
      <c r="AC40" s="51">
        <v>71.599999999999994</v>
      </c>
      <c r="AD40" s="51">
        <v>71.599999999999994</v>
      </c>
      <c r="AE40" s="49">
        <v>70.8</v>
      </c>
      <c r="AF40" s="49">
        <v>70.8</v>
      </c>
      <c r="AG40" s="64">
        <v>70</v>
      </c>
      <c r="AH40" s="55">
        <f t="shared" si="2"/>
        <v>73.5</v>
      </c>
      <c r="AI40" s="56">
        <f t="shared" si="3"/>
        <v>43</v>
      </c>
      <c r="AK40" s="57"/>
    </row>
    <row r="41" spans="1:88" x14ac:dyDescent="0.25">
      <c r="A41" s="63" t="s">
        <v>49</v>
      </c>
      <c r="B41" s="49">
        <v>62.3</v>
      </c>
      <c r="C41" s="49">
        <v>62.3</v>
      </c>
      <c r="D41" s="49">
        <v>62.3</v>
      </c>
      <c r="E41" s="49">
        <v>52</v>
      </c>
      <c r="F41" s="49">
        <v>51</v>
      </c>
      <c r="G41" s="49">
        <v>50</v>
      </c>
      <c r="H41" s="49">
        <v>50</v>
      </c>
      <c r="I41" s="49">
        <v>57</v>
      </c>
      <c r="J41" s="49">
        <v>60</v>
      </c>
      <c r="K41" s="49">
        <v>60</v>
      </c>
      <c r="L41" s="49">
        <v>59</v>
      </c>
      <c r="M41" s="49">
        <v>59.7</v>
      </c>
      <c r="N41" s="49">
        <v>59.7</v>
      </c>
      <c r="O41" s="51">
        <v>60.3</v>
      </c>
      <c r="P41" s="51">
        <v>60.1</v>
      </c>
      <c r="Q41" s="51">
        <v>60.3</v>
      </c>
      <c r="R41" s="51">
        <v>60.3</v>
      </c>
      <c r="S41" s="51">
        <v>60.3</v>
      </c>
      <c r="T41" s="51">
        <v>60.3</v>
      </c>
      <c r="U41" s="51"/>
      <c r="V41" s="51">
        <v>60.3</v>
      </c>
      <c r="W41" s="51">
        <v>63</v>
      </c>
      <c r="X41" s="51">
        <v>63</v>
      </c>
      <c r="Y41" s="51">
        <v>63</v>
      </c>
      <c r="Z41" s="51">
        <v>63</v>
      </c>
      <c r="AA41" s="51">
        <v>63</v>
      </c>
      <c r="AB41" s="51">
        <v>61.8</v>
      </c>
      <c r="AC41" s="51">
        <v>61.8</v>
      </c>
      <c r="AD41" s="51">
        <v>61.8</v>
      </c>
      <c r="AE41" s="49">
        <v>61.9</v>
      </c>
      <c r="AF41" s="49">
        <v>61.9</v>
      </c>
      <c r="AG41" s="64">
        <v>69</v>
      </c>
      <c r="AH41" s="55">
        <f t="shared" si="2"/>
        <v>63</v>
      </c>
      <c r="AI41" s="56">
        <f t="shared" si="3"/>
        <v>50</v>
      </c>
      <c r="AK41" s="57"/>
    </row>
    <row r="42" spans="1:88" x14ac:dyDescent="0.25">
      <c r="A42" s="63" t="s">
        <v>50</v>
      </c>
      <c r="B42" s="66">
        <v>60.9</v>
      </c>
      <c r="C42" s="66">
        <v>60</v>
      </c>
      <c r="D42" s="66">
        <v>0</v>
      </c>
      <c r="E42" s="66">
        <v>42</v>
      </c>
      <c r="F42" s="66">
        <v>42</v>
      </c>
      <c r="G42" s="66">
        <v>42</v>
      </c>
      <c r="H42" s="66">
        <v>42</v>
      </c>
      <c r="I42" s="66">
        <v>42</v>
      </c>
      <c r="J42" s="66">
        <v>42</v>
      </c>
      <c r="K42" s="66">
        <v>61.7</v>
      </c>
      <c r="L42" s="66">
        <v>61.7</v>
      </c>
      <c r="M42" s="51">
        <v>61.7</v>
      </c>
      <c r="N42" s="51">
        <v>61.7</v>
      </c>
      <c r="O42" s="51">
        <v>61.7</v>
      </c>
      <c r="P42" s="51">
        <v>61.7</v>
      </c>
      <c r="Q42" s="51">
        <v>62.3</v>
      </c>
      <c r="R42" s="51">
        <v>62.3</v>
      </c>
      <c r="S42" s="51">
        <v>62.3</v>
      </c>
      <c r="T42" s="51">
        <v>62.3</v>
      </c>
      <c r="U42" s="51"/>
      <c r="V42" s="51">
        <v>62.3</v>
      </c>
      <c r="W42" s="51">
        <v>60.4</v>
      </c>
      <c r="X42" s="51">
        <v>60.4</v>
      </c>
      <c r="Y42" s="51">
        <v>60.4</v>
      </c>
      <c r="Z42" s="51">
        <v>60.4</v>
      </c>
      <c r="AA42" s="51">
        <v>60.4</v>
      </c>
      <c r="AB42" s="51">
        <v>60.4</v>
      </c>
      <c r="AC42" s="51">
        <v>60.4</v>
      </c>
      <c r="AD42" s="51">
        <v>60.4</v>
      </c>
      <c r="AE42" s="51">
        <v>60.4</v>
      </c>
      <c r="AF42" s="51">
        <v>60.4</v>
      </c>
      <c r="AG42" s="64">
        <v>60</v>
      </c>
      <c r="AH42" s="55">
        <f t="shared" si="2"/>
        <v>62.3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15</v>
      </c>
      <c r="C43" s="66">
        <v>15</v>
      </c>
      <c r="D43" s="66">
        <v>0</v>
      </c>
      <c r="E43" s="66">
        <v>15</v>
      </c>
      <c r="F43" s="66">
        <v>28</v>
      </c>
      <c r="G43" s="66">
        <v>28</v>
      </c>
      <c r="H43" s="66">
        <v>15</v>
      </c>
      <c r="I43" s="66">
        <v>28</v>
      </c>
      <c r="J43" s="66">
        <v>28</v>
      </c>
      <c r="K43" s="66">
        <v>0</v>
      </c>
      <c r="L43" s="66">
        <v>0</v>
      </c>
      <c r="M43" s="51">
        <v>0</v>
      </c>
      <c r="N43" s="51">
        <v>30</v>
      </c>
      <c r="O43" s="51">
        <v>29.3</v>
      </c>
      <c r="P43" s="51">
        <v>29.4</v>
      </c>
      <c r="Q43" s="51">
        <v>29.4</v>
      </c>
      <c r="R43" s="51">
        <v>29.4</v>
      </c>
      <c r="S43" s="51">
        <v>29.4</v>
      </c>
      <c r="T43" s="51">
        <v>29.4</v>
      </c>
      <c r="U43" s="51"/>
      <c r="V43" s="51">
        <v>29.4</v>
      </c>
      <c r="W43" s="51">
        <v>29.4</v>
      </c>
      <c r="X43" s="51">
        <v>29.4</v>
      </c>
      <c r="Y43" s="51">
        <v>29.4</v>
      </c>
      <c r="Z43" s="51">
        <v>29.4</v>
      </c>
      <c r="AA43" s="51">
        <v>29.4</v>
      </c>
      <c r="AB43" s="51">
        <v>29.2</v>
      </c>
      <c r="AC43" s="51">
        <v>29.2</v>
      </c>
      <c r="AD43" s="51">
        <v>29.2</v>
      </c>
      <c r="AE43" s="51">
        <v>29.2</v>
      </c>
      <c r="AF43" s="51">
        <v>29.2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7</v>
      </c>
      <c r="N44" s="51">
        <v>7</v>
      </c>
      <c r="O44" s="51">
        <v>7</v>
      </c>
      <c r="P44" s="51">
        <v>7</v>
      </c>
      <c r="Q44" s="51">
        <v>7</v>
      </c>
      <c r="R44" s="51">
        <v>7</v>
      </c>
      <c r="S44" s="51">
        <v>7</v>
      </c>
      <c r="T44" s="51">
        <v>7</v>
      </c>
      <c r="U44" s="51"/>
      <c r="V44" s="51">
        <v>7</v>
      </c>
      <c r="W44" s="51">
        <v>7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7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13.5</v>
      </c>
      <c r="C45" s="49">
        <v>13.5</v>
      </c>
      <c r="D45" s="49">
        <v>13.5</v>
      </c>
      <c r="E45" s="49">
        <v>13.5</v>
      </c>
      <c r="F45" s="49">
        <v>15.2</v>
      </c>
      <c r="G45" s="49">
        <v>15.2</v>
      </c>
      <c r="H45" s="49">
        <v>15.2</v>
      </c>
      <c r="I45" s="49">
        <v>3.1</v>
      </c>
      <c r="J45" s="49">
        <v>0</v>
      </c>
      <c r="K45" s="49">
        <v>0</v>
      </c>
      <c r="L45" s="49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/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64">
        <v>24</v>
      </c>
      <c r="AH45" s="55">
        <f t="shared" si="2"/>
        <v>15.2</v>
      </c>
      <c r="AI45" s="56">
        <f t="shared" si="3"/>
        <v>0</v>
      </c>
      <c r="AK45" s="57"/>
    </row>
    <row r="46" spans="1:88" x14ac:dyDescent="0.25">
      <c r="A46" s="63" t="s">
        <v>54</v>
      </c>
      <c r="B46" s="49">
        <v>2.25</v>
      </c>
      <c r="C46" s="49">
        <v>2.25</v>
      </c>
      <c r="D46" s="49">
        <v>2.25</v>
      </c>
      <c r="E46" s="49">
        <v>2.25</v>
      </c>
      <c r="F46" s="49">
        <v>2.2999999999999998</v>
      </c>
      <c r="G46" s="49">
        <v>2.2999999999999998</v>
      </c>
      <c r="H46" s="49">
        <v>2.2999999999999998</v>
      </c>
      <c r="I46" s="49">
        <v>2.2999999999999998</v>
      </c>
      <c r="J46" s="49">
        <v>2.2999999999999998</v>
      </c>
      <c r="K46" s="49">
        <v>2.2999999999999998</v>
      </c>
      <c r="L46" s="49">
        <v>2.2999999999999998</v>
      </c>
      <c r="M46" s="49">
        <v>2.2999999999999998</v>
      </c>
      <c r="N46" s="49">
        <v>2.2999999999999998</v>
      </c>
      <c r="O46" s="51">
        <v>2.2999999999999998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/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4">
        <v>15</v>
      </c>
      <c r="AH46" s="55">
        <f t="shared" si="2"/>
        <v>2.2999999999999998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11</v>
      </c>
      <c r="C47" s="49">
        <v>11</v>
      </c>
      <c r="D47" s="49">
        <v>11</v>
      </c>
      <c r="E47" s="49">
        <v>11</v>
      </c>
      <c r="F47" s="49">
        <v>10</v>
      </c>
      <c r="G47" s="49">
        <v>10</v>
      </c>
      <c r="H47" s="49">
        <v>10</v>
      </c>
      <c r="I47" s="49">
        <v>10.199999999999999</v>
      </c>
      <c r="J47" s="49">
        <v>9.8000000000000007</v>
      </c>
      <c r="K47" s="49">
        <v>0</v>
      </c>
      <c r="L47" s="49">
        <v>0</v>
      </c>
      <c r="M47" s="49">
        <v>0</v>
      </c>
      <c r="N47" s="49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/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64">
        <v>14.1</v>
      </c>
      <c r="AH47" s="55">
        <f t="shared" si="2"/>
        <v>11</v>
      </c>
      <c r="AI47" s="56">
        <f t="shared" si="3"/>
        <v>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13.5</v>
      </c>
      <c r="C48" s="49">
        <v>13.5</v>
      </c>
      <c r="D48" s="49">
        <v>0</v>
      </c>
      <c r="E48" s="49">
        <v>0</v>
      </c>
      <c r="F48" s="49">
        <v>13.6</v>
      </c>
      <c r="G48" s="49">
        <v>13.6</v>
      </c>
      <c r="H48" s="49">
        <v>13.6</v>
      </c>
      <c r="I48" s="49">
        <v>13.5</v>
      </c>
      <c r="J48" s="49">
        <v>13.5</v>
      </c>
      <c r="K48" s="49">
        <v>13.5</v>
      </c>
      <c r="L48" s="49">
        <v>13.5</v>
      </c>
      <c r="M48" s="49">
        <v>0</v>
      </c>
      <c r="N48" s="49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1"/>
      <c r="V48" s="51">
        <v>10</v>
      </c>
      <c r="W48" s="51">
        <v>10</v>
      </c>
      <c r="X48" s="51">
        <v>10</v>
      </c>
      <c r="Y48" s="51">
        <v>10</v>
      </c>
      <c r="Z48" s="51">
        <v>10</v>
      </c>
      <c r="AA48" s="51">
        <v>10</v>
      </c>
      <c r="AB48" s="51">
        <v>10</v>
      </c>
      <c r="AC48" s="51">
        <v>10</v>
      </c>
      <c r="AD48" s="51">
        <v>10</v>
      </c>
      <c r="AE48" s="51">
        <v>10</v>
      </c>
      <c r="AF48" s="51">
        <v>4</v>
      </c>
      <c r="AG48" s="64">
        <v>14</v>
      </c>
      <c r="AH48" s="55">
        <f t="shared" si="2"/>
        <v>13.6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9.5</v>
      </c>
      <c r="F49" s="49">
        <v>9.3000000000000007</v>
      </c>
      <c r="G49" s="49">
        <v>9.3000000000000007</v>
      </c>
      <c r="H49" s="49">
        <v>9.3000000000000007</v>
      </c>
      <c r="I49" s="49">
        <v>9.5</v>
      </c>
      <c r="J49" s="49">
        <v>9.5</v>
      </c>
      <c r="K49" s="49">
        <v>9.5</v>
      </c>
      <c r="L49" s="49">
        <v>9.5</v>
      </c>
      <c r="M49" s="49">
        <v>9.5</v>
      </c>
      <c r="N49" s="49">
        <v>9.5</v>
      </c>
      <c r="O49" s="51">
        <v>9.5</v>
      </c>
      <c r="P49" s="51">
        <v>9.5</v>
      </c>
      <c r="Q49" s="51">
        <v>9.5</v>
      </c>
      <c r="R49" s="51">
        <v>9.5</v>
      </c>
      <c r="S49" s="51">
        <v>9.5</v>
      </c>
      <c r="T49" s="51">
        <v>9.5</v>
      </c>
      <c r="U49" s="51"/>
      <c r="V49" s="51">
        <v>9.5</v>
      </c>
      <c r="W49" s="51">
        <v>9.5</v>
      </c>
      <c r="X49" s="51">
        <v>9.5</v>
      </c>
      <c r="Y49" s="51">
        <v>9.5</v>
      </c>
      <c r="Z49" s="51">
        <v>9.5</v>
      </c>
      <c r="AA49" s="51">
        <v>9.5</v>
      </c>
      <c r="AB49" s="51">
        <v>9.5</v>
      </c>
      <c r="AC49" s="51">
        <v>9.5</v>
      </c>
      <c r="AD49" s="51">
        <v>9.5</v>
      </c>
      <c r="AE49" s="51">
        <v>9.5</v>
      </c>
      <c r="AF49" s="51">
        <v>9.5</v>
      </c>
      <c r="AG49" s="64">
        <v>10.050000000000001</v>
      </c>
      <c r="AH49" s="55">
        <f t="shared" si="2"/>
        <v>9.5</v>
      </c>
      <c r="AI49" s="56">
        <f t="shared" si="3"/>
        <v>9.3000000000000007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49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/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51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369.09</v>
      </c>
      <c r="C52" s="70">
        <f t="shared" ref="C52:AF52" si="6">SUM(C39:C51)</f>
        <v>328.19</v>
      </c>
      <c r="D52" s="70">
        <f t="shared" si="6"/>
        <v>239.68999999999997</v>
      </c>
      <c r="E52" s="70">
        <f t="shared" si="6"/>
        <v>197.79</v>
      </c>
      <c r="F52" s="70">
        <f t="shared" si="6"/>
        <v>250.94</v>
      </c>
      <c r="G52" s="70">
        <f t="shared" si="6"/>
        <v>252.94</v>
      </c>
      <c r="H52" s="70">
        <f t="shared" si="6"/>
        <v>277.94000000000005</v>
      </c>
      <c r="I52" s="70">
        <f t="shared" si="6"/>
        <v>327.14000000000004</v>
      </c>
      <c r="J52" s="70">
        <f t="shared" si="6"/>
        <v>360.64000000000004</v>
      </c>
      <c r="K52" s="70">
        <f t="shared" si="6"/>
        <v>330.54</v>
      </c>
      <c r="L52" s="70">
        <f t="shared" si="6"/>
        <v>288.54000000000002</v>
      </c>
      <c r="M52" s="70">
        <f t="shared" si="6"/>
        <v>222.23999999999998</v>
      </c>
      <c r="N52" s="70">
        <f t="shared" si="6"/>
        <v>252.23999999999998</v>
      </c>
      <c r="O52" s="70">
        <f t="shared" si="6"/>
        <v>363.64000000000004</v>
      </c>
      <c r="P52" s="70">
        <f t="shared" si="6"/>
        <v>361.74</v>
      </c>
      <c r="Q52" s="70">
        <f t="shared" si="6"/>
        <v>362.74</v>
      </c>
      <c r="R52" s="70">
        <f t="shared" si="6"/>
        <v>346.44</v>
      </c>
      <c r="S52" s="70">
        <f t="shared" si="6"/>
        <v>373.14</v>
      </c>
      <c r="T52" s="70">
        <f t="shared" si="6"/>
        <v>373.14</v>
      </c>
      <c r="U52" s="70">
        <f t="shared" si="6"/>
        <v>3.54</v>
      </c>
      <c r="V52" s="70">
        <f t="shared" si="6"/>
        <v>383.14</v>
      </c>
      <c r="W52" s="70">
        <f t="shared" si="6"/>
        <v>359.14</v>
      </c>
      <c r="X52" s="70">
        <f t="shared" si="6"/>
        <v>352.14</v>
      </c>
      <c r="Y52" s="70">
        <f t="shared" si="6"/>
        <v>388.84</v>
      </c>
      <c r="Z52" s="70">
        <f t="shared" si="6"/>
        <v>394.84</v>
      </c>
      <c r="AA52" s="70">
        <f t="shared" si="6"/>
        <v>392.84</v>
      </c>
      <c r="AB52" s="70">
        <f t="shared" si="6"/>
        <v>392.03999999999996</v>
      </c>
      <c r="AC52" s="70">
        <f t="shared" si="6"/>
        <v>392.03999999999996</v>
      </c>
      <c r="AD52" s="70">
        <f t="shared" si="6"/>
        <v>392.03999999999996</v>
      </c>
      <c r="AE52" s="70">
        <f t="shared" si="6"/>
        <v>389.93999999999994</v>
      </c>
      <c r="AF52" s="70">
        <f t="shared" si="6"/>
        <v>383.93999999999994</v>
      </c>
      <c r="AG52" s="74">
        <f>SUM(AG39:AG51)</f>
        <v>489.91</v>
      </c>
      <c r="AH52" s="55">
        <f t="shared" si="2"/>
        <v>394.84</v>
      </c>
      <c r="AI52" s="56">
        <f t="shared" si="3"/>
        <v>3.54</v>
      </c>
      <c r="AK52" s="57"/>
    </row>
    <row r="53" spans="1:37" x14ac:dyDescent="0.25">
      <c r="A53" s="58" t="s">
        <v>61</v>
      </c>
      <c r="B53" s="51">
        <v>10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/>
      <c r="M53" s="51">
        <v>60</v>
      </c>
      <c r="N53" s="51">
        <v>13.4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/>
      <c r="V53" s="51">
        <v>0</v>
      </c>
      <c r="W53" s="51">
        <v>0</v>
      </c>
      <c r="X53" s="51">
        <v>0</v>
      </c>
      <c r="Y53" s="51">
        <v>0</v>
      </c>
      <c r="Z53" s="51">
        <v>50</v>
      </c>
      <c r="AA53" s="51">
        <v>10.199999999999999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7.2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/>
      <c r="M54" s="49">
        <v>31.2</v>
      </c>
      <c r="N54" s="49">
        <v>13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/>
      <c r="V54" s="49">
        <v>0</v>
      </c>
      <c r="W54" s="49">
        <v>0</v>
      </c>
      <c r="X54" s="49">
        <v>0</v>
      </c>
      <c r="Y54" s="49">
        <v>0</v>
      </c>
      <c r="Z54" s="49">
        <v>5.3</v>
      </c>
      <c r="AA54" s="49">
        <v>4.9000000000000004</v>
      </c>
      <c r="AB54" s="49">
        <v>0</v>
      </c>
      <c r="AC54" s="49">
        <v>0</v>
      </c>
      <c r="AD54" s="49">
        <v>0</v>
      </c>
      <c r="AE54" s="49">
        <v>0</v>
      </c>
      <c r="AF54" s="49">
        <v>0</v>
      </c>
      <c r="AG54" s="64">
        <v>32</v>
      </c>
      <c r="AH54" s="55">
        <f t="shared" si="2"/>
        <v>31.2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2.6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/>
      <c r="M55" s="75">
        <v>11.4</v>
      </c>
      <c r="N55" s="75">
        <v>4.5999999999999996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/>
      <c r="V55" s="75">
        <v>0</v>
      </c>
      <c r="W55" s="75">
        <v>0</v>
      </c>
      <c r="X55" s="75">
        <v>0</v>
      </c>
      <c r="Y55" s="75">
        <v>0</v>
      </c>
      <c r="Z55" s="75">
        <v>1.9</v>
      </c>
      <c r="AA55" s="75">
        <v>1.8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6">
        <v>14</v>
      </c>
      <c r="AH55" s="55">
        <f t="shared" si="2"/>
        <v>11.4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>SUM(B53:B55)</f>
        <v>19.8</v>
      </c>
      <c r="C56" s="70">
        <f t="shared" ref="C56:AF56" si="7">SUM(C53:C55)</f>
        <v>0</v>
      </c>
      <c r="D56" s="70">
        <f t="shared" si="7"/>
        <v>0</v>
      </c>
      <c r="E56" s="70">
        <f t="shared" si="7"/>
        <v>0</v>
      </c>
      <c r="F56" s="70">
        <f t="shared" si="7"/>
        <v>0</v>
      </c>
      <c r="G56" s="70">
        <f t="shared" si="7"/>
        <v>0</v>
      </c>
      <c r="H56" s="70">
        <f t="shared" si="7"/>
        <v>0</v>
      </c>
      <c r="I56" s="70">
        <f t="shared" si="7"/>
        <v>0</v>
      </c>
      <c r="J56" s="70">
        <f t="shared" si="7"/>
        <v>0</v>
      </c>
      <c r="K56" s="70">
        <f t="shared" si="7"/>
        <v>0</v>
      </c>
      <c r="L56" s="70">
        <f t="shared" si="7"/>
        <v>0</v>
      </c>
      <c r="M56" s="70">
        <f t="shared" si="7"/>
        <v>102.60000000000001</v>
      </c>
      <c r="N56" s="70">
        <f t="shared" si="7"/>
        <v>31</v>
      </c>
      <c r="O56" s="70">
        <f t="shared" si="7"/>
        <v>0</v>
      </c>
      <c r="P56" s="70">
        <f t="shared" si="7"/>
        <v>0</v>
      </c>
      <c r="Q56" s="70">
        <f t="shared" si="7"/>
        <v>0</v>
      </c>
      <c r="R56" s="70">
        <f t="shared" si="7"/>
        <v>0</v>
      </c>
      <c r="S56" s="70">
        <f t="shared" si="7"/>
        <v>0</v>
      </c>
      <c r="T56" s="70">
        <f t="shared" si="7"/>
        <v>0</v>
      </c>
      <c r="U56" s="70">
        <f t="shared" si="7"/>
        <v>0</v>
      </c>
      <c r="V56" s="70">
        <f t="shared" si="7"/>
        <v>0</v>
      </c>
      <c r="W56" s="70">
        <f t="shared" si="7"/>
        <v>0</v>
      </c>
      <c r="X56" s="70">
        <f t="shared" si="7"/>
        <v>0</v>
      </c>
      <c r="Y56" s="70">
        <f t="shared" si="7"/>
        <v>0</v>
      </c>
      <c r="Z56" s="70">
        <f t="shared" si="7"/>
        <v>57.199999999999996</v>
      </c>
      <c r="AA56" s="70">
        <f t="shared" si="7"/>
        <v>16.899999999999999</v>
      </c>
      <c r="AB56" s="70">
        <f t="shared" si="7"/>
        <v>0</v>
      </c>
      <c r="AC56" s="70">
        <f t="shared" si="7"/>
        <v>0</v>
      </c>
      <c r="AD56" s="70">
        <f t="shared" si="7"/>
        <v>0</v>
      </c>
      <c r="AE56" s="70">
        <f t="shared" si="7"/>
        <v>0</v>
      </c>
      <c r="AF56" s="70">
        <f t="shared" si="7"/>
        <v>0</v>
      </c>
      <c r="AG56" s="74">
        <f>SUM(AG53:AG55)</f>
        <v>106</v>
      </c>
      <c r="AH56" s="55">
        <f t="shared" si="2"/>
        <v>102.60000000000001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29</v>
      </c>
      <c r="C57" s="51">
        <v>26</v>
      </c>
      <c r="D57" s="51">
        <v>29</v>
      </c>
      <c r="E57" s="51">
        <v>34</v>
      </c>
      <c r="F57" s="51">
        <v>4</v>
      </c>
      <c r="G57" s="51">
        <v>-6</v>
      </c>
      <c r="H57" s="51">
        <v>14</v>
      </c>
      <c r="I57" s="51">
        <v>2</v>
      </c>
      <c r="J57" s="51">
        <v>3</v>
      </c>
      <c r="K57" s="51">
        <v>32</v>
      </c>
      <c r="L57" s="51"/>
      <c r="M57" s="51">
        <v>63</v>
      </c>
      <c r="N57" s="51">
        <v>43.5</v>
      </c>
      <c r="O57" s="51">
        <v>37</v>
      </c>
      <c r="P57" s="51">
        <v>20.3</v>
      </c>
      <c r="Q57" s="51">
        <v>26</v>
      </c>
      <c r="R57" s="51">
        <v>35.700000000000003</v>
      </c>
      <c r="S57" s="51">
        <v>36.1</v>
      </c>
      <c r="T57" s="51">
        <v>18.100000000000001</v>
      </c>
      <c r="U57" s="51"/>
      <c r="V57" s="51">
        <v>8.1999999999999993</v>
      </c>
      <c r="W57" s="51">
        <v>33.799999999999997</v>
      </c>
      <c r="X57" s="51">
        <v>32.1</v>
      </c>
      <c r="Y57" s="51">
        <v>28</v>
      </c>
      <c r="Z57" s="51">
        <v>37</v>
      </c>
      <c r="AA57" s="51">
        <v>38.299999999999997</v>
      </c>
      <c r="AB57" s="51">
        <v>39</v>
      </c>
      <c r="AC57" s="51">
        <v>40</v>
      </c>
      <c r="AD57" s="51">
        <v>29.2</v>
      </c>
      <c r="AE57" s="51">
        <v>29.2</v>
      </c>
      <c r="AF57" s="51">
        <v>29</v>
      </c>
      <c r="AG57" s="60"/>
      <c r="AH57" s="55">
        <f t="shared" si="2"/>
        <v>63</v>
      </c>
      <c r="AI57" s="56">
        <f t="shared" si="3"/>
        <v>-6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/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/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-398</v>
      </c>
      <c r="C59" s="49">
        <v>-398</v>
      </c>
      <c r="D59" s="49">
        <v>-363</v>
      </c>
      <c r="E59" s="49">
        <v>-410</v>
      </c>
      <c r="F59" s="49">
        <v>-443</v>
      </c>
      <c r="G59" s="49">
        <v>-450</v>
      </c>
      <c r="H59" s="49">
        <v>-443</v>
      </c>
      <c r="I59" s="49">
        <v>-430</v>
      </c>
      <c r="J59" s="49">
        <v>-416</v>
      </c>
      <c r="K59" s="49">
        <v>-398</v>
      </c>
      <c r="L59" s="49"/>
      <c r="M59" s="49">
        <v>-416</v>
      </c>
      <c r="N59" s="49">
        <v>-384</v>
      </c>
      <c r="O59" s="49">
        <v>-350</v>
      </c>
      <c r="P59" s="49">
        <v>-376</v>
      </c>
      <c r="Q59" s="49">
        <v>-357.2</v>
      </c>
      <c r="R59" s="49">
        <v>-396</v>
      </c>
      <c r="S59" s="49">
        <v>-427</v>
      </c>
      <c r="T59" s="49">
        <v>-416</v>
      </c>
      <c r="U59" s="49"/>
      <c r="V59" s="49">
        <v>-377</v>
      </c>
      <c r="W59" s="49">
        <v>-301</v>
      </c>
      <c r="X59" s="49">
        <v>-342</v>
      </c>
      <c r="Y59" s="49">
        <v>-352</v>
      </c>
      <c r="Z59" s="49">
        <v>-360</v>
      </c>
      <c r="AA59" s="49">
        <v>-239</v>
      </c>
      <c r="AB59" s="49">
        <v>-228</v>
      </c>
      <c r="AC59" s="49">
        <v>-260</v>
      </c>
      <c r="AD59" s="49">
        <v>-285.3</v>
      </c>
      <c r="AE59" s="49">
        <v>-366</v>
      </c>
      <c r="AF59" s="49">
        <v>-410</v>
      </c>
      <c r="AG59" s="77"/>
      <c r="AH59" s="55">
        <f t="shared" si="2"/>
        <v>-228</v>
      </c>
      <c r="AI59" s="56">
        <f t="shared" si="3"/>
        <v>-450</v>
      </c>
      <c r="AK59" s="57"/>
    </row>
    <row r="60" spans="1:37" x14ac:dyDescent="0.25">
      <c r="A60" s="63" t="s">
        <v>68</v>
      </c>
      <c r="B60" s="78">
        <v>10</v>
      </c>
      <c r="C60" s="78">
        <v>10</v>
      </c>
      <c r="D60" s="78">
        <v>10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/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/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10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/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/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4</v>
      </c>
      <c r="C62" s="79">
        <v>4</v>
      </c>
      <c r="D62" s="79">
        <v>4</v>
      </c>
      <c r="E62" s="79">
        <v>4</v>
      </c>
      <c r="F62" s="79">
        <v>4</v>
      </c>
      <c r="G62" s="79">
        <v>4</v>
      </c>
      <c r="H62" s="79">
        <v>4</v>
      </c>
      <c r="I62" s="79">
        <v>4</v>
      </c>
      <c r="J62" s="79">
        <v>4</v>
      </c>
      <c r="K62" s="79">
        <v>4</v>
      </c>
      <c r="L62" s="79"/>
      <c r="M62" s="79">
        <v>4</v>
      </c>
      <c r="N62" s="79">
        <v>4</v>
      </c>
      <c r="O62" s="79">
        <v>4</v>
      </c>
      <c r="P62" s="79">
        <v>4</v>
      </c>
      <c r="Q62" s="79">
        <v>4</v>
      </c>
      <c r="R62" s="79">
        <v>4</v>
      </c>
      <c r="S62" s="79">
        <v>0</v>
      </c>
      <c r="T62" s="79">
        <v>0</v>
      </c>
      <c r="U62" s="79"/>
      <c r="V62" s="79">
        <v>10</v>
      </c>
      <c r="W62" s="79">
        <v>10</v>
      </c>
      <c r="X62" s="79">
        <v>10</v>
      </c>
      <c r="Y62" s="79">
        <v>10</v>
      </c>
      <c r="Z62" s="79">
        <v>10</v>
      </c>
      <c r="AA62" s="79">
        <v>10</v>
      </c>
      <c r="AB62" s="79">
        <v>10</v>
      </c>
      <c r="AC62" s="79">
        <v>8</v>
      </c>
      <c r="AD62" s="79">
        <v>8</v>
      </c>
      <c r="AE62" s="79">
        <v>8</v>
      </c>
      <c r="AF62" s="79">
        <v>7</v>
      </c>
      <c r="AG62" s="77"/>
      <c r="AH62" s="55">
        <f t="shared" si="2"/>
        <v>10</v>
      </c>
      <c r="AI62" s="56">
        <f t="shared" si="3"/>
        <v>0</v>
      </c>
      <c r="AJ62" s="1" t="s">
        <v>251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/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/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/>
      <c r="M64" s="78">
        <v>0</v>
      </c>
      <c r="N64" s="78">
        <v>0</v>
      </c>
      <c r="O64" s="79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/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/>
      <c r="M65" s="78">
        <v>0</v>
      </c>
      <c r="N65" s="78">
        <v>0</v>
      </c>
      <c r="O65" s="79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/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/>
      <c r="M66" s="81">
        <v>0</v>
      </c>
      <c r="N66" s="81">
        <v>0</v>
      </c>
      <c r="O66" s="79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/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79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43</v>
      </c>
      <c r="C68" s="70">
        <f t="shared" ref="C68:AF68" si="8">SUMIF(C57:C67,"&gt;0")</f>
        <v>40</v>
      </c>
      <c r="D68" s="70">
        <f t="shared" si="8"/>
        <v>43</v>
      </c>
      <c r="E68" s="70">
        <f t="shared" si="8"/>
        <v>38</v>
      </c>
      <c r="F68" s="70">
        <f t="shared" si="8"/>
        <v>8</v>
      </c>
      <c r="G68" s="70">
        <f t="shared" si="8"/>
        <v>4</v>
      </c>
      <c r="H68" s="70">
        <f t="shared" si="8"/>
        <v>18</v>
      </c>
      <c r="I68" s="70">
        <f t="shared" si="8"/>
        <v>6</v>
      </c>
      <c r="J68" s="70">
        <f t="shared" si="8"/>
        <v>7</v>
      </c>
      <c r="K68" s="70">
        <f t="shared" si="8"/>
        <v>36</v>
      </c>
      <c r="L68" s="70">
        <f t="shared" si="8"/>
        <v>0</v>
      </c>
      <c r="M68" s="70">
        <f t="shared" si="8"/>
        <v>67</v>
      </c>
      <c r="N68" s="70">
        <f t="shared" si="8"/>
        <v>47.5</v>
      </c>
      <c r="O68" s="70">
        <f t="shared" si="8"/>
        <v>41</v>
      </c>
      <c r="P68" s="70">
        <f t="shared" si="8"/>
        <v>24.3</v>
      </c>
      <c r="Q68" s="70">
        <f t="shared" si="8"/>
        <v>30</v>
      </c>
      <c r="R68" s="70">
        <f t="shared" si="8"/>
        <v>39.700000000000003</v>
      </c>
      <c r="S68" s="70">
        <f t="shared" si="8"/>
        <v>36.1</v>
      </c>
      <c r="T68" s="70">
        <f t="shared" si="8"/>
        <v>18.100000000000001</v>
      </c>
      <c r="U68" s="70">
        <f t="shared" si="8"/>
        <v>0</v>
      </c>
      <c r="V68" s="70">
        <f t="shared" si="8"/>
        <v>18.2</v>
      </c>
      <c r="W68" s="70">
        <f t="shared" si="8"/>
        <v>43.8</v>
      </c>
      <c r="X68" s="70">
        <f t="shared" si="8"/>
        <v>42.1</v>
      </c>
      <c r="Y68" s="70">
        <f t="shared" si="8"/>
        <v>38</v>
      </c>
      <c r="Z68" s="70">
        <f t="shared" si="8"/>
        <v>47</v>
      </c>
      <c r="AA68" s="70">
        <f t="shared" si="8"/>
        <v>48.3</v>
      </c>
      <c r="AB68" s="70">
        <f t="shared" si="8"/>
        <v>49</v>
      </c>
      <c r="AC68" s="70">
        <f t="shared" si="8"/>
        <v>48</v>
      </c>
      <c r="AD68" s="70">
        <f t="shared" si="8"/>
        <v>37.200000000000003</v>
      </c>
      <c r="AE68" s="70">
        <f t="shared" si="8"/>
        <v>37.200000000000003</v>
      </c>
      <c r="AF68" s="70">
        <f t="shared" si="8"/>
        <v>36</v>
      </c>
      <c r="AG68" s="74">
        <f>SUM(AG57:AG67)</f>
        <v>0</v>
      </c>
      <c r="AH68" s="55">
        <f t="shared" si="2"/>
        <v>67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:AF73" si="9">B38+B52+B68+B72</f>
        <v>1638.79</v>
      </c>
      <c r="C73" s="84">
        <f t="shared" si="9"/>
        <v>1598.89</v>
      </c>
      <c r="D73" s="84">
        <f t="shared" si="9"/>
        <v>1485.39</v>
      </c>
      <c r="E73" s="84">
        <f t="shared" si="9"/>
        <v>1387.49</v>
      </c>
      <c r="F73" s="84">
        <f t="shared" si="9"/>
        <v>1456.64</v>
      </c>
      <c r="G73" s="84">
        <f t="shared" si="9"/>
        <v>1454.64</v>
      </c>
      <c r="H73" s="84">
        <f t="shared" si="9"/>
        <v>1463.64</v>
      </c>
      <c r="I73" s="84">
        <f t="shared" si="9"/>
        <v>1491.8400000000001</v>
      </c>
      <c r="J73" s="84">
        <f t="shared" si="9"/>
        <v>1526.3400000000001</v>
      </c>
      <c r="K73" s="84">
        <f t="shared" si="9"/>
        <v>6782.74</v>
      </c>
      <c r="L73" s="84">
        <f t="shared" si="9"/>
        <v>1441.74</v>
      </c>
      <c r="M73" s="84">
        <f t="shared" si="9"/>
        <v>1468.34</v>
      </c>
      <c r="N73" s="84">
        <f t="shared" si="9"/>
        <v>1499.94</v>
      </c>
      <c r="O73" s="84">
        <f t="shared" si="9"/>
        <v>1583.8400000000001</v>
      </c>
      <c r="P73" s="84">
        <f t="shared" si="9"/>
        <v>1565.54</v>
      </c>
      <c r="Q73" s="84">
        <f t="shared" si="9"/>
        <v>1546.5400000000002</v>
      </c>
      <c r="R73" s="84">
        <f t="shared" si="9"/>
        <v>1602.9400000000003</v>
      </c>
      <c r="S73" s="84">
        <f t="shared" si="9"/>
        <v>1626.04</v>
      </c>
      <c r="T73" s="84">
        <f t="shared" si="9"/>
        <v>1608.04</v>
      </c>
      <c r="U73" s="84">
        <f t="shared" si="9"/>
        <v>303.54000000000002</v>
      </c>
      <c r="V73" s="84">
        <f t="shared" si="9"/>
        <v>1566.9399999999998</v>
      </c>
      <c r="W73" s="84">
        <f t="shared" si="9"/>
        <v>1509.5399999999997</v>
      </c>
      <c r="X73" s="84">
        <f t="shared" si="9"/>
        <v>1550.8399999999997</v>
      </c>
      <c r="Y73" s="84">
        <f t="shared" si="9"/>
        <v>1619.4399999999998</v>
      </c>
      <c r="Z73" s="84">
        <f t="shared" si="9"/>
        <v>1634.4399999999998</v>
      </c>
      <c r="AA73" s="84">
        <f t="shared" si="9"/>
        <v>1636.2399999999998</v>
      </c>
      <c r="AB73" s="84">
        <f t="shared" si="9"/>
        <v>1656.6399999999999</v>
      </c>
      <c r="AC73" s="84">
        <f t="shared" si="9"/>
        <v>1655.6399999999999</v>
      </c>
      <c r="AD73" s="84">
        <f t="shared" si="9"/>
        <v>1653.14</v>
      </c>
      <c r="AE73" s="84">
        <f t="shared" si="9"/>
        <v>1651.0400000000002</v>
      </c>
      <c r="AF73" s="84">
        <f t="shared" si="9"/>
        <v>1638.8400000000001</v>
      </c>
      <c r="AG73" s="84">
        <f t="shared" ref="AG73" si="10">AG68+AG56+AG52+AG38+AG72</f>
        <v>2144.14</v>
      </c>
      <c r="AH73" s="55">
        <f t="shared" si="2"/>
        <v>6782.74</v>
      </c>
      <c r="AI73" s="56">
        <f t="shared" si="3"/>
        <v>303.54000000000002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:AF75" si="11">B73+B74</f>
        <v>1638.79</v>
      </c>
      <c r="C75" s="84">
        <f t="shared" si="11"/>
        <v>1598.89</v>
      </c>
      <c r="D75" s="84">
        <f t="shared" si="11"/>
        <v>1485.39</v>
      </c>
      <c r="E75" s="84">
        <f t="shared" si="11"/>
        <v>1387.49</v>
      </c>
      <c r="F75" s="84">
        <f t="shared" si="11"/>
        <v>1456.64</v>
      </c>
      <c r="G75" s="84">
        <f t="shared" si="11"/>
        <v>1454.64</v>
      </c>
      <c r="H75" s="84">
        <f t="shared" si="11"/>
        <v>1463.64</v>
      </c>
      <c r="I75" s="84">
        <f t="shared" si="11"/>
        <v>1491.8400000000001</v>
      </c>
      <c r="J75" s="84">
        <f t="shared" si="11"/>
        <v>1526.3400000000001</v>
      </c>
      <c r="K75" s="84">
        <f t="shared" si="11"/>
        <v>6782.74</v>
      </c>
      <c r="L75" s="84">
        <f t="shared" si="11"/>
        <v>1441.74</v>
      </c>
      <c r="M75" s="84">
        <f t="shared" si="11"/>
        <v>1468.34</v>
      </c>
      <c r="N75" s="84">
        <f t="shared" si="11"/>
        <v>1499.94</v>
      </c>
      <c r="O75" s="84">
        <f t="shared" si="11"/>
        <v>1583.8400000000001</v>
      </c>
      <c r="P75" s="84">
        <f t="shared" si="11"/>
        <v>1565.54</v>
      </c>
      <c r="Q75" s="84">
        <f t="shared" si="11"/>
        <v>1546.5400000000002</v>
      </c>
      <c r="R75" s="84">
        <f t="shared" si="11"/>
        <v>1602.9400000000003</v>
      </c>
      <c r="S75" s="84">
        <f t="shared" si="11"/>
        <v>1626.04</v>
      </c>
      <c r="T75" s="84">
        <f t="shared" si="11"/>
        <v>1608.04</v>
      </c>
      <c r="U75" s="84">
        <f t="shared" si="11"/>
        <v>303.54000000000002</v>
      </c>
      <c r="V75" s="84">
        <f t="shared" si="11"/>
        <v>1566.9399999999998</v>
      </c>
      <c r="W75" s="84">
        <f t="shared" si="11"/>
        <v>1509.5399999999997</v>
      </c>
      <c r="X75" s="84">
        <f t="shared" si="11"/>
        <v>1550.8399999999997</v>
      </c>
      <c r="Y75" s="84">
        <f t="shared" si="11"/>
        <v>1619.4399999999998</v>
      </c>
      <c r="Z75" s="84">
        <f t="shared" si="11"/>
        <v>1634.4399999999998</v>
      </c>
      <c r="AA75" s="84">
        <f t="shared" si="11"/>
        <v>1636.2399999999998</v>
      </c>
      <c r="AB75" s="84">
        <f t="shared" si="11"/>
        <v>1656.6399999999999</v>
      </c>
      <c r="AC75" s="84">
        <f t="shared" si="11"/>
        <v>1655.6399999999999</v>
      </c>
      <c r="AD75" s="84">
        <f t="shared" si="11"/>
        <v>1653.14</v>
      </c>
      <c r="AE75" s="84">
        <f t="shared" si="11"/>
        <v>1651.0400000000002</v>
      </c>
      <c r="AF75" s="84">
        <f t="shared" si="11"/>
        <v>1638.8400000000001</v>
      </c>
      <c r="AG75" s="74">
        <f>AG72+AG68+AG56+AG52+AG38+AG74</f>
        <v>2144.14</v>
      </c>
      <c r="AH75" s="55">
        <f t="shared" si="2"/>
        <v>6782.74</v>
      </c>
      <c r="AI75" s="56">
        <f t="shared" si="3"/>
        <v>303.54000000000002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v>0</v>
      </c>
      <c r="C76" s="78">
        <f t="shared" ref="C76:AF76" si="12">IF(C60&lt;0,C60*-1,0)</f>
        <v>0</v>
      </c>
      <c r="D76" s="78">
        <f t="shared" si="12"/>
        <v>0</v>
      </c>
      <c r="E76" s="78">
        <f t="shared" si="12"/>
        <v>0</v>
      </c>
      <c r="F76" s="78">
        <f t="shared" si="12"/>
        <v>0</v>
      </c>
      <c r="G76" s="78">
        <f t="shared" si="12"/>
        <v>0</v>
      </c>
      <c r="H76" s="78">
        <f t="shared" si="12"/>
        <v>0</v>
      </c>
      <c r="I76" s="78">
        <f t="shared" si="12"/>
        <v>0</v>
      </c>
      <c r="J76" s="78">
        <f t="shared" si="12"/>
        <v>0</v>
      </c>
      <c r="K76" s="78">
        <f t="shared" si="12"/>
        <v>0</v>
      </c>
      <c r="L76" s="78">
        <f t="shared" si="12"/>
        <v>0</v>
      </c>
      <c r="M76" s="78">
        <f t="shared" si="12"/>
        <v>0</v>
      </c>
      <c r="N76" s="78">
        <f t="shared" si="12"/>
        <v>0</v>
      </c>
      <c r="O76" s="78">
        <f t="shared" si="12"/>
        <v>0</v>
      </c>
      <c r="P76" s="78">
        <f t="shared" si="12"/>
        <v>0</v>
      </c>
      <c r="Q76" s="78">
        <f t="shared" si="12"/>
        <v>0</v>
      </c>
      <c r="R76" s="78">
        <f t="shared" si="12"/>
        <v>0</v>
      </c>
      <c r="S76" s="78">
        <f t="shared" si="12"/>
        <v>0</v>
      </c>
      <c r="T76" s="78">
        <f t="shared" si="12"/>
        <v>0</v>
      </c>
      <c r="U76" s="78">
        <f t="shared" si="12"/>
        <v>0</v>
      </c>
      <c r="V76" s="78">
        <f t="shared" si="12"/>
        <v>0</v>
      </c>
      <c r="W76" s="78">
        <f t="shared" si="12"/>
        <v>0</v>
      </c>
      <c r="X76" s="78">
        <f t="shared" si="12"/>
        <v>0</v>
      </c>
      <c r="Y76" s="78">
        <f t="shared" si="12"/>
        <v>0</v>
      </c>
      <c r="Z76" s="78">
        <f t="shared" si="12"/>
        <v>0</v>
      </c>
      <c r="AA76" s="78">
        <f t="shared" si="12"/>
        <v>0</v>
      </c>
      <c r="AB76" s="78">
        <f t="shared" si="12"/>
        <v>0</v>
      </c>
      <c r="AC76" s="78">
        <f t="shared" si="12"/>
        <v>0</v>
      </c>
      <c r="AD76" s="78">
        <f t="shared" si="12"/>
        <v>0</v>
      </c>
      <c r="AE76" s="78">
        <f t="shared" si="12"/>
        <v>0</v>
      </c>
      <c r="AF76" s="78">
        <f t="shared" si="12"/>
        <v>0</v>
      </c>
      <c r="AG76" s="60"/>
      <c r="AH76" s="55">
        <f t="shared" ref="AH76:AH83" si="13">MAX(B76:AF76)</f>
        <v>0</v>
      </c>
      <c r="AI76" s="56">
        <f t="shared" ref="AI76:AI83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v>0</v>
      </c>
      <c r="C77" s="78">
        <f t="shared" ref="C77:AF77" si="15">IF(C58&lt;0,C58*-1,0)</f>
        <v>0</v>
      </c>
      <c r="D77" s="78">
        <f t="shared" si="15"/>
        <v>0</v>
      </c>
      <c r="E77" s="78">
        <f t="shared" si="15"/>
        <v>0</v>
      </c>
      <c r="F77" s="78">
        <f t="shared" si="15"/>
        <v>0</v>
      </c>
      <c r="G77" s="78">
        <f t="shared" si="15"/>
        <v>0</v>
      </c>
      <c r="H77" s="78">
        <f t="shared" si="15"/>
        <v>0</v>
      </c>
      <c r="I77" s="78">
        <f t="shared" si="15"/>
        <v>0</v>
      </c>
      <c r="J77" s="78">
        <f t="shared" si="15"/>
        <v>0</v>
      </c>
      <c r="K77" s="78">
        <f t="shared" si="15"/>
        <v>0</v>
      </c>
      <c r="L77" s="78">
        <f t="shared" si="15"/>
        <v>0</v>
      </c>
      <c r="M77" s="78">
        <f t="shared" si="15"/>
        <v>0</v>
      </c>
      <c r="N77" s="78">
        <f t="shared" si="15"/>
        <v>0</v>
      </c>
      <c r="O77" s="78">
        <f t="shared" si="15"/>
        <v>0</v>
      </c>
      <c r="P77" s="78">
        <f t="shared" si="15"/>
        <v>0</v>
      </c>
      <c r="Q77" s="78">
        <f t="shared" si="15"/>
        <v>0</v>
      </c>
      <c r="R77" s="78">
        <f t="shared" si="15"/>
        <v>0</v>
      </c>
      <c r="S77" s="78">
        <f t="shared" si="15"/>
        <v>0</v>
      </c>
      <c r="T77" s="78">
        <f t="shared" si="15"/>
        <v>0</v>
      </c>
      <c r="U77" s="78">
        <f t="shared" si="15"/>
        <v>0</v>
      </c>
      <c r="V77" s="78">
        <f t="shared" si="15"/>
        <v>0</v>
      </c>
      <c r="W77" s="78">
        <f t="shared" si="15"/>
        <v>0</v>
      </c>
      <c r="X77" s="78">
        <f t="shared" si="15"/>
        <v>0</v>
      </c>
      <c r="Y77" s="78">
        <f t="shared" si="15"/>
        <v>0</v>
      </c>
      <c r="Z77" s="78">
        <f t="shared" si="15"/>
        <v>0</v>
      </c>
      <c r="AA77" s="78">
        <f t="shared" si="15"/>
        <v>0</v>
      </c>
      <c r="AB77" s="78">
        <f t="shared" si="15"/>
        <v>0</v>
      </c>
      <c r="AC77" s="78">
        <f t="shared" si="15"/>
        <v>0</v>
      </c>
      <c r="AD77" s="78">
        <f t="shared" si="15"/>
        <v>0</v>
      </c>
      <c r="AE77" s="78">
        <f t="shared" si="15"/>
        <v>0</v>
      </c>
      <c r="AF77" s="78">
        <f t="shared" si="15"/>
        <v>0</v>
      </c>
      <c r="AG77" s="64"/>
      <c r="AH77" s="55">
        <f t="shared" si="13"/>
        <v>0</v>
      </c>
      <c r="AI77" s="56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f t="shared" ref="C78:AF78" si="16">IF(C61&lt;0,C61*-1,0)</f>
        <v>0</v>
      </c>
      <c r="D78" s="78">
        <f t="shared" si="16"/>
        <v>0</v>
      </c>
      <c r="E78" s="78">
        <f t="shared" si="16"/>
        <v>0</v>
      </c>
      <c r="F78" s="78">
        <f t="shared" si="16"/>
        <v>0</v>
      </c>
      <c r="G78" s="78">
        <f t="shared" si="16"/>
        <v>0</v>
      </c>
      <c r="H78" s="78">
        <f t="shared" si="16"/>
        <v>0</v>
      </c>
      <c r="I78" s="78">
        <f t="shared" si="16"/>
        <v>0</v>
      </c>
      <c r="J78" s="78">
        <f t="shared" si="16"/>
        <v>0</v>
      </c>
      <c r="K78" s="78">
        <f t="shared" si="16"/>
        <v>0</v>
      </c>
      <c r="L78" s="78">
        <f t="shared" si="16"/>
        <v>0</v>
      </c>
      <c r="M78" s="78">
        <f t="shared" si="16"/>
        <v>0</v>
      </c>
      <c r="N78" s="78">
        <f t="shared" si="16"/>
        <v>0</v>
      </c>
      <c r="O78" s="78">
        <f t="shared" si="16"/>
        <v>0</v>
      </c>
      <c r="P78" s="78">
        <f t="shared" si="16"/>
        <v>0</v>
      </c>
      <c r="Q78" s="78">
        <f t="shared" si="16"/>
        <v>0</v>
      </c>
      <c r="R78" s="78">
        <f t="shared" si="16"/>
        <v>0</v>
      </c>
      <c r="S78" s="78">
        <f t="shared" si="16"/>
        <v>0</v>
      </c>
      <c r="T78" s="78">
        <f t="shared" si="16"/>
        <v>0</v>
      </c>
      <c r="U78" s="78">
        <f t="shared" si="16"/>
        <v>0</v>
      </c>
      <c r="V78" s="78">
        <f t="shared" si="16"/>
        <v>0</v>
      </c>
      <c r="W78" s="78">
        <f t="shared" si="16"/>
        <v>0</v>
      </c>
      <c r="X78" s="78">
        <f t="shared" si="16"/>
        <v>0</v>
      </c>
      <c r="Y78" s="78">
        <f t="shared" si="16"/>
        <v>0</v>
      </c>
      <c r="Z78" s="78">
        <f t="shared" si="16"/>
        <v>0</v>
      </c>
      <c r="AA78" s="78">
        <f t="shared" si="16"/>
        <v>0</v>
      </c>
      <c r="AB78" s="78">
        <f t="shared" si="16"/>
        <v>0</v>
      </c>
      <c r="AC78" s="78">
        <f t="shared" si="16"/>
        <v>0</v>
      </c>
      <c r="AD78" s="78">
        <f t="shared" si="16"/>
        <v>0</v>
      </c>
      <c r="AE78" s="78">
        <f t="shared" si="16"/>
        <v>0</v>
      </c>
      <c r="AF78" s="78">
        <f t="shared" si="16"/>
        <v>0</v>
      </c>
      <c r="AG78" s="87"/>
      <c r="AH78" s="55">
        <f t="shared" si="13"/>
        <v>0</v>
      </c>
      <c r="AI78" s="56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v>0</v>
      </c>
      <c r="C79" s="78">
        <f t="shared" ref="C79:AF79" si="17">IF(C59&lt;0,C59*-1,0)</f>
        <v>398</v>
      </c>
      <c r="D79" s="78">
        <f t="shared" si="17"/>
        <v>363</v>
      </c>
      <c r="E79" s="78">
        <f t="shared" si="17"/>
        <v>410</v>
      </c>
      <c r="F79" s="78">
        <f t="shared" si="17"/>
        <v>443</v>
      </c>
      <c r="G79" s="78">
        <f t="shared" si="17"/>
        <v>450</v>
      </c>
      <c r="H79" s="78">
        <f t="shared" si="17"/>
        <v>443</v>
      </c>
      <c r="I79" s="78">
        <f t="shared" si="17"/>
        <v>430</v>
      </c>
      <c r="J79" s="78">
        <f t="shared" si="17"/>
        <v>416</v>
      </c>
      <c r="K79" s="78">
        <f t="shared" si="17"/>
        <v>398</v>
      </c>
      <c r="L79" s="78">
        <f t="shared" si="17"/>
        <v>0</v>
      </c>
      <c r="M79" s="78">
        <f t="shared" si="17"/>
        <v>416</v>
      </c>
      <c r="N79" s="78">
        <f t="shared" si="17"/>
        <v>384</v>
      </c>
      <c r="O79" s="78">
        <f t="shared" si="17"/>
        <v>350</v>
      </c>
      <c r="P79" s="78">
        <f t="shared" si="17"/>
        <v>376</v>
      </c>
      <c r="Q79" s="78">
        <f t="shared" si="17"/>
        <v>357.2</v>
      </c>
      <c r="R79" s="78">
        <f t="shared" si="17"/>
        <v>396</v>
      </c>
      <c r="S79" s="78">
        <f t="shared" si="17"/>
        <v>427</v>
      </c>
      <c r="T79" s="78">
        <f t="shared" si="17"/>
        <v>416</v>
      </c>
      <c r="U79" s="78">
        <f t="shared" si="17"/>
        <v>0</v>
      </c>
      <c r="V79" s="78">
        <f t="shared" si="17"/>
        <v>377</v>
      </c>
      <c r="W79" s="78">
        <f t="shared" si="17"/>
        <v>301</v>
      </c>
      <c r="X79" s="78">
        <f t="shared" si="17"/>
        <v>342</v>
      </c>
      <c r="Y79" s="78">
        <f t="shared" si="17"/>
        <v>352</v>
      </c>
      <c r="Z79" s="78">
        <f t="shared" si="17"/>
        <v>360</v>
      </c>
      <c r="AA79" s="78">
        <f t="shared" si="17"/>
        <v>239</v>
      </c>
      <c r="AB79" s="78">
        <f t="shared" si="17"/>
        <v>228</v>
      </c>
      <c r="AC79" s="78">
        <f t="shared" si="17"/>
        <v>260</v>
      </c>
      <c r="AD79" s="78">
        <f t="shared" si="17"/>
        <v>285.3</v>
      </c>
      <c r="AE79" s="78">
        <f t="shared" si="17"/>
        <v>366</v>
      </c>
      <c r="AF79" s="78">
        <f t="shared" si="17"/>
        <v>410</v>
      </c>
      <c r="AG79" s="87"/>
      <c r="AH79" s="55">
        <f t="shared" si="13"/>
        <v>450</v>
      </c>
      <c r="AI79" s="56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f t="shared" ref="C80:AF80" si="18">IF(C57&lt;0,C57*-1,0)</f>
        <v>0</v>
      </c>
      <c r="D80" s="78">
        <f t="shared" si="18"/>
        <v>0</v>
      </c>
      <c r="E80" s="78">
        <f t="shared" si="18"/>
        <v>0</v>
      </c>
      <c r="F80" s="78">
        <f t="shared" si="18"/>
        <v>0</v>
      </c>
      <c r="G80" s="78">
        <f t="shared" si="18"/>
        <v>6</v>
      </c>
      <c r="H80" s="78">
        <f t="shared" si="18"/>
        <v>0</v>
      </c>
      <c r="I80" s="78">
        <f t="shared" si="18"/>
        <v>0</v>
      </c>
      <c r="J80" s="78">
        <f t="shared" si="18"/>
        <v>0</v>
      </c>
      <c r="K80" s="78">
        <f t="shared" si="18"/>
        <v>0</v>
      </c>
      <c r="L80" s="78">
        <f t="shared" si="18"/>
        <v>0</v>
      </c>
      <c r="M80" s="78">
        <f t="shared" si="18"/>
        <v>0</v>
      </c>
      <c r="N80" s="78">
        <f t="shared" si="18"/>
        <v>0</v>
      </c>
      <c r="O80" s="78">
        <f t="shared" si="18"/>
        <v>0</v>
      </c>
      <c r="P80" s="78">
        <f t="shared" si="18"/>
        <v>0</v>
      </c>
      <c r="Q80" s="78">
        <f t="shared" si="18"/>
        <v>0</v>
      </c>
      <c r="R80" s="78">
        <f t="shared" si="18"/>
        <v>0</v>
      </c>
      <c r="S80" s="78">
        <f t="shared" si="18"/>
        <v>0</v>
      </c>
      <c r="T80" s="78">
        <f t="shared" si="18"/>
        <v>0</v>
      </c>
      <c r="U80" s="78">
        <f t="shared" si="18"/>
        <v>0</v>
      </c>
      <c r="V80" s="78">
        <f t="shared" si="18"/>
        <v>0</v>
      </c>
      <c r="W80" s="78">
        <f t="shared" si="18"/>
        <v>0</v>
      </c>
      <c r="X80" s="78">
        <f t="shared" si="18"/>
        <v>0</v>
      </c>
      <c r="Y80" s="78">
        <f t="shared" si="18"/>
        <v>0</v>
      </c>
      <c r="Z80" s="78">
        <f t="shared" si="18"/>
        <v>0</v>
      </c>
      <c r="AA80" s="78">
        <f t="shared" si="18"/>
        <v>0</v>
      </c>
      <c r="AB80" s="78">
        <f t="shared" si="18"/>
        <v>0</v>
      </c>
      <c r="AC80" s="78">
        <f t="shared" si="18"/>
        <v>0</v>
      </c>
      <c r="AD80" s="78">
        <f t="shared" si="18"/>
        <v>0</v>
      </c>
      <c r="AE80" s="78">
        <f t="shared" si="18"/>
        <v>0</v>
      </c>
      <c r="AF80" s="78">
        <f t="shared" si="18"/>
        <v>0</v>
      </c>
      <c r="AG80" s="87"/>
      <c r="AH80" s="55">
        <f t="shared" si="13"/>
        <v>6</v>
      </c>
      <c r="AI80" s="56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>
        <v>0</v>
      </c>
      <c r="AG81" s="82"/>
      <c r="AH81" s="55">
        <f t="shared" si="13"/>
        <v>0</v>
      </c>
      <c r="AI81" s="56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v>0</v>
      </c>
      <c r="C82" s="70">
        <f t="shared" ref="C82:AG82" si="19">SUM(C76:C81)</f>
        <v>398</v>
      </c>
      <c r="D82" s="70">
        <f t="shared" si="19"/>
        <v>363</v>
      </c>
      <c r="E82" s="70">
        <f t="shared" si="19"/>
        <v>410</v>
      </c>
      <c r="F82" s="70">
        <f t="shared" si="19"/>
        <v>443</v>
      </c>
      <c r="G82" s="70">
        <f t="shared" si="19"/>
        <v>456</v>
      </c>
      <c r="H82" s="70">
        <f t="shared" si="19"/>
        <v>443</v>
      </c>
      <c r="I82" s="70">
        <f t="shared" si="19"/>
        <v>430</v>
      </c>
      <c r="J82" s="70">
        <f t="shared" si="19"/>
        <v>416</v>
      </c>
      <c r="K82" s="70">
        <f t="shared" si="19"/>
        <v>398</v>
      </c>
      <c r="L82" s="70">
        <f t="shared" si="19"/>
        <v>0</v>
      </c>
      <c r="M82" s="70">
        <f t="shared" si="19"/>
        <v>416</v>
      </c>
      <c r="N82" s="70">
        <f t="shared" si="19"/>
        <v>384</v>
      </c>
      <c r="O82" s="70">
        <f t="shared" si="19"/>
        <v>350</v>
      </c>
      <c r="P82" s="70">
        <f t="shared" si="19"/>
        <v>376</v>
      </c>
      <c r="Q82" s="70">
        <f t="shared" si="19"/>
        <v>357.2</v>
      </c>
      <c r="R82" s="70">
        <f t="shared" si="19"/>
        <v>396</v>
      </c>
      <c r="S82" s="70">
        <f t="shared" si="19"/>
        <v>427</v>
      </c>
      <c r="T82" s="70">
        <f t="shared" si="19"/>
        <v>416</v>
      </c>
      <c r="U82" s="70">
        <f t="shared" si="19"/>
        <v>0</v>
      </c>
      <c r="V82" s="70">
        <f t="shared" si="19"/>
        <v>377</v>
      </c>
      <c r="W82" s="70">
        <f t="shared" si="19"/>
        <v>301</v>
      </c>
      <c r="X82" s="70">
        <f t="shared" si="19"/>
        <v>342</v>
      </c>
      <c r="Y82" s="70">
        <f t="shared" si="19"/>
        <v>352</v>
      </c>
      <c r="Z82" s="70">
        <f t="shared" si="19"/>
        <v>360</v>
      </c>
      <c r="AA82" s="70">
        <f t="shared" si="19"/>
        <v>239</v>
      </c>
      <c r="AB82" s="70">
        <f t="shared" si="19"/>
        <v>228</v>
      </c>
      <c r="AC82" s="70">
        <f t="shared" si="19"/>
        <v>260</v>
      </c>
      <c r="AD82" s="70">
        <f t="shared" si="19"/>
        <v>285.3</v>
      </c>
      <c r="AE82" s="70">
        <f t="shared" si="19"/>
        <v>366</v>
      </c>
      <c r="AF82" s="70">
        <f t="shared" si="19"/>
        <v>410</v>
      </c>
      <c r="AG82" s="74">
        <f t="shared" si="19"/>
        <v>0</v>
      </c>
      <c r="AH82" s="55">
        <f t="shared" si="13"/>
        <v>456</v>
      </c>
      <c r="AI82" s="56">
        <f t="shared" si="14"/>
        <v>0</v>
      </c>
      <c r="AK82" s="57"/>
    </row>
    <row r="83" spans="1:88" s="1" customFormat="1" ht="15.75" thickBot="1" x14ac:dyDescent="0.3">
      <c r="A83" s="69" t="s">
        <v>88</v>
      </c>
      <c r="B83" s="70">
        <v>405</v>
      </c>
      <c r="C83" s="70">
        <f t="shared" ref="C83:AF83" si="20">C68-C82</f>
        <v>-358</v>
      </c>
      <c r="D83" s="70">
        <f t="shared" si="20"/>
        <v>-320</v>
      </c>
      <c r="E83" s="70">
        <f t="shared" si="20"/>
        <v>-372</v>
      </c>
      <c r="F83" s="70">
        <f t="shared" si="20"/>
        <v>-435</v>
      </c>
      <c r="G83" s="70">
        <f t="shared" si="20"/>
        <v>-452</v>
      </c>
      <c r="H83" s="70">
        <f t="shared" si="20"/>
        <v>-425</v>
      </c>
      <c r="I83" s="70">
        <f t="shared" si="20"/>
        <v>-424</v>
      </c>
      <c r="J83" s="70">
        <f t="shared" si="20"/>
        <v>-409</v>
      </c>
      <c r="K83" s="70">
        <f t="shared" si="20"/>
        <v>-362</v>
      </c>
      <c r="L83" s="70">
        <f t="shared" si="20"/>
        <v>0</v>
      </c>
      <c r="M83" s="70">
        <f t="shared" si="20"/>
        <v>-349</v>
      </c>
      <c r="N83" s="70">
        <f t="shared" si="20"/>
        <v>-336.5</v>
      </c>
      <c r="O83" s="70">
        <f t="shared" si="20"/>
        <v>-309</v>
      </c>
      <c r="P83" s="70">
        <f t="shared" si="20"/>
        <v>-351.7</v>
      </c>
      <c r="Q83" s="70">
        <f t="shared" si="20"/>
        <v>-327.2</v>
      </c>
      <c r="R83" s="70">
        <f t="shared" si="20"/>
        <v>-356.3</v>
      </c>
      <c r="S83" s="70">
        <f t="shared" si="20"/>
        <v>-390.9</v>
      </c>
      <c r="T83" s="70">
        <f t="shared" si="20"/>
        <v>-397.9</v>
      </c>
      <c r="U83" s="70">
        <f t="shared" si="20"/>
        <v>0</v>
      </c>
      <c r="V83" s="70">
        <f t="shared" si="20"/>
        <v>-358.8</v>
      </c>
      <c r="W83" s="70">
        <f t="shared" si="20"/>
        <v>-257.2</v>
      </c>
      <c r="X83" s="70">
        <f t="shared" si="20"/>
        <v>-299.89999999999998</v>
      </c>
      <c r="Y83" s="70">
        <f t="shared" si="20"/>
        <v>-314</v>
      </c>
      <c r="Z83" s="70">
        <f t="shared" si="20"/>
        <v>-313</v>
      </c>
      <c r="AA83" s="70">
        <f t="shared" si="20"/>
        <v>-190.7</v>
      </c>
      <c r="AB83" s="70">
        <f t="shared" si="20"/>
        <v>-179</v>
      </c>
      <c r="AC83" s="70">
        <f t="shared" si="20"/>
        <v>-212</v>
      </c>
      <c r="AD83" s="70">
        <f t="shared" si="20"/>
        <v>-248.10000000000002</v>
      </c>
      <c r="AE83" s="70">
        <f t="shared" si="20"/>
        <v>-328.8</v>
      </c>
      <c r="AF83" s="70">
        <f t="shared" si="20"/>
        <v>-374</v>
      </c>
      <c r="AG83" s="74">
        <f t="shared" ref="AG83" si="21">SUM(AG70:AG82)</f>
        <v>4360.08</v>
      </c>
      <c r="AH83" s="55">
        <f t="shared" si="13"/>
        <v>405</v>
      </c>
      <c r="AI83" s="56">
        <f t="shared" si="14"/>
        <v>-452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50.02</v>
      </c>
      <c r="C84" s="90">
        <v>50.02</v>
      </c>
      <c r="D84" s="90">
        <v>49.999000000000002</v>
      </c>
      <c r="E84" s="90">
        <v>49.999000000000002</v>
      </c>
      <c r="F84" s="90">
        <v>49.999000000000002</v>
      </c>
      <c r="G84" s="90">
        <v>49.999000000000002</v>
      </c>
      <c r="H84" s="90">
        <v>50.031999999999996</v>
      </c>
      <c r="I84" s="90">
        <v>50.030999999999999</v>
      </c>
      <c r="J84" s="90">
        <v>50.021999999999998</v>
      </c>
      <c r="K84" s="90">
        <v>50.015999999999998</v>
      </c>
      <c r="L84" s="90"/>
      <c r="M84" s="90">
        <v>50.01</v>
      </c>
      <c r="N84" s="90">
        <v>50.04</v>
      </c>
      <c r="O84" s="90">
        <v>50.03</v>
      </c>
      <c r="P84" s="90">
        <v>50.04</v>
      </c>
      <c r="Q84" s="90">
        <v>49.970999999999997</v>
      </c>
      <c r="R84" s="90">
        <v>50</v>
      </c>
      <c r="S84" s="90">
        <v>50.024999999999999</v>
      </c>
      <c r="T84" s="90">
        <v>50.015000000000001</v>
      </c>
      <c r="U84" s="90"/>
      <c r="V84" s="90">
        <v>49.935000000000002</v>
      </c>
      <c r="W84" s="90">
        <v>50.057000000000002</v>
      </c>
      <c r="X84" s="90">
        <v>50.027999999999999</v>
      </c>
      <c r="Y84" s="90">
        <v>50.02</v>
      </c>
      <c r="Z84" s="90">
        <v>49.881</v>
      </c>
      <c r="AA84" s="90">
        <v>50.01</v>
      </c>
      <c r="AB84" s="90">
        <v>50.045000000000002</v>
      </c>
      <c r="AC84" s="90">
        <v>50</v>
      </c>
      <c r="AD84" s="90">
        <v>50.018000000000001</v>
      </c>
      <c r="AE84" s="90">
        <v>50.05</v>
      </c>
      <c r="AF84" s="90">
        <v>50</v>
      </c>
      <c r="AG84" s="91"/>
      <c r="AH84" s="55">
        <f t="shared" ref="AH84:AH91" si="22">MAX(B84:AF84)</f>
        <v>50.057000000000002</v>
      </c>
      <c r="AI84" s="56">
        <f t="shared" ref="AI84:AI91" si="23">MIN(B84:AF84)</f>
        <v>49.881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126.7</v>
      </c>
      <c r="C85" s="49">
        <v>126.7</v>
      </c>
      <c r="D85" s="49">
        <v>126</v>
      </c>
      <c r="E85" s="49">
        <v>126</v>
      </c>
      <c r="F85" s="49">
        <v>126</v>
      </c>
      <c r="G85" s="49">
        <v>126</v>
      </c>
      <c r="H85" s="49">
        <v>127</v>
      </c>
      <c r="I85" s="49">
        <v>127</v>
      </c>
      <c r="J85" s="49">
        <v>127</v>
      </c>
      <c r="K85" s="49">
        <v>125</v>
      </c>
      <c r="L85" s="49"/>
      <c r="M85" s="49">
        <v>126.6</v>
      </c>
      <c r="N85" s="49">
        <v>125.7</v>
      </c>
      <c r="O85" s="49">
        <v>123.1</v>
      </c>
      <c r="P85" s="49">
        <v>123.8</v>
      </c>
      <c r="Q85" s="49">
        <v>124.7</v>
      </c>
      <c r="R85" s="49">
        <v>125.3</v>
      </c>
      <c r="S85" s="49">
        <v>125.7</v>
      </c>
      <c r="T85" s="49">
        <v>124.6</v>
      </c>
      <c r="U85" s="49"/>
      <c r="V85" s="49">
        <v>124.7</v>
      </c>
      <c r="W85" s="49">
        <v>124.3</v>
      </c>
      <c r="X85" s="49">
        <v>126.4</v>
      </c>
      <c r="Y85" s="49">
        <v>124.6</v>
      </c>
      <c r="Z85" s="49">
        <v>126.2</v>
      </c>
      <c r="AA85" s="49">
        <v>124.1</v>
      </c>
      <c r="AB85" s="49">
        <v>125</v>
      </c>
      <c r="AC85" s="49">
        <v>125</v>
      </c>
      <c r="AD85" s="49">
        <v>125</v>
      </c>
      <c r="AE85" s="49">
        <v>125</v>
      </c>
      <c r="AF85" s="49">
        <v>125.9</v>
      </c>
      <c r="AG85" s="93"/>
      <c r="AH85" s="55">
        <f t="shared" si="22"/>
        <v>127</v>
      </c>
      <c r="AI85" s="56">
        <f t="shared" si="23"/>
        <v>123.1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130.9</v>
      </c>
      <c r="C86" s="49">
        <v>130.9</v>
      </c>
      <c r="D86" s="49">
        <v>131.19999999999999</v>
      </c>
      <c r="E86" s="49">
        <v>131.19999999999999</v>
      </c>
      <c r="F86" s="49">
        <v>131.19999999999999</v>
      </c>
      <c r="G86" s="49">
        <v>131.19999999999999</v>
      </c>
      <c r="H86" s="49">
        <v>131</v>
      </c>
      <c r="I86" s="49">
        <v>130</v>
      </c>
      <c r="J86" s="49">
        <v>130</v>
      </c>
      <c r="K86" s="49">
        <v>128</v>
      </c>
      <c r="L86" s="49"/>
      <c r="M86" s="49">
        <v>129.69999999999999</v>
      </c>
      <c r="N86" s="49">
        <v>128.6</v>
      </c>
      <c r="O86" s="49">
        <v>126.6</v>
      </c>
      <c r="P86" s="49">
        <v>127</v>
      </c>
      <c r="Q86" s="49">
        <v>127.5</v>
      </c>
      <c r="R86" s="49">
        <v>128.30000000000001</v>
      </c>
      <c r="S86" s="49">
        <v>128.6</v>
      </c>
      <c r="T86" s="49">
        <v>128</v>
      </c>
      <c r="U86" s="49"/>
      <c r="V86" s="49">
        <v>127.8</v>
      </c>
      <c r="W86" s="49">
        <v>127.5</v>
      </c>
      <c r="X86" s="49">
        <v>128.69999999999999</v>
      </c>
      <c r="Y86" s="49">
        <v>128</v>
      </c>
      <c r="Z86" s="49">
        <v>129</v>
      </c>
      <c r="AA86" s="49">
        <v>127.1</v>
      </c>
      <c r="AB86" s="49">
        <v>128</v>
      </c>
      <c r="AC86" s="49">
        <v>128</v>
      </c>
      <c r="AD86" s="49">
        <v>128.80000000000001</v>
      </c>
      <c r="AE86" s="49">
        <v>128.80000000000001</v>
      </c>
      <c r="AF86" s="49">
        <v>130</v>
      </c>
      <c r="AG86" s="93"/>
      <c r="AH86" s="55">
        <f t="shared" si="22"/>
        <v>131.19999999999999</v>
      </c>
      <c r="AI86" s="56">
        <f t="shared" si="23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131.19999999999999</v>
      </c>
      <c r="C87" s="49">
        <v>131.19999999999999</v>
      </c>
      <c r="D87" s="49">
        <v>131.30000000000001</v>
      </c>
      <c r="E87" s="49">
        <v>131.30000000000001</v>
      </c>
      <c r="F87" s="49">
        <v>131.30000000000001</v>
      </c>
      <c r="G87" s="49">
        <v>131.30000000000001</v>
      </c>
      <c r="H87" s="49">
        <v>132</v>
      </c>
      <c r="I87" s="49">
        <v>131</v>
      </c>
      <c r="J87" s="49">
        <v>131</v>
      </c>
      <c r="K87" s="49">
        <v>128</v>
      </c>
      <c r="L87" s="49"/>
      <c r="M87" s="49"/>
      <c r="N87" s="49"/>
      <c r="O87" s="49">
        <v>126.2</v>
      </c>
      <c r="P87" s="49">
        <v>128.9</v>
      </c>
      <c r="Q87" s="49">
        <v>129.5</v>
      </c>
      <c r="R87" s="49">
        <v>129.69999999999999</v>
      </c>
      <c r="S87" s="49">
        <v>128.6</v>
      </c>
      <c r="T87" s="49">
        <v>127.5</v>
      </c>
      <c r="U87" s="49"/>
      <c r="V87" s="49">
        <v>128.4</v>
      </c>
      <c r="W87" s="49">
        <v>129.80000000000001</v>
      </c>
      <c r="X87" s="49">
        <v>132.1</v>
      </c>
      <c r="Y87" s="49">
        <v>130</v>
      </c>
      <c r="Z87" s="49">
        <v>128.19999999999999</v>
      </c>
      <c r="AA87" s="49">
        <v>126.6</v>
      </c>
      <c r="AB87" s="49">
        <v>129</v>
      </c>
      <c r="AC87" s="49">
        <v>129</v>
      </c>
      <c r="AD87" s="49">
        <v>128.69999999999999</v>
      </c>
      <c r="AE87" s="49">
        <v>128.69999999999999</v>
      </c>
      <c r="AF87" s="49">
        <v>130</v>
      </c>
      <c r="AG87" s="93"/>
      <c r="AH87" s="55">
        <f t="shared" si="22"/>
        <v>132.1</v>
      </c>
      <c r="AI87" s="56">
        <f t="shared" si="23"/>
        <v>126.2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22"/>
        <v>0</v>
      </c>
      <c r="AI88" s="56">
        <f t="shared" si="23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134.69999999999999</v>
      </c>
      <c r="C89" s="95">
        <v>134.69999999999999</v>
      </c>
      <c r="D89" s="95">
        <v>133.19999999999999</v>
      </c>
      <c r="E89" s="95">
        <v>133.19999999999999</v>
      </c>
      <c r="F89" s="95">
        <v>133.19999999999999</v>
      </c>
      <c r="G89" s="95">
        <v>133.19999999999999</v>
      </c>
      <c r="H89" s="95">
        <v>133</v>
      </c>
      <c r="I89" s="95">
        <v>133</v>
      </c>
      <c r="J89" s="95">
        <v>133</v>
      </c>
      <c r="K89" s="95">
        <v>132</v>
      </c>
      <c r="L89" s="95"/>
      <c r="M89" s="95">
        <v>129.69999999999999</v>
      </c>
      <c r="N89" s="95">
        <v>129.80000000000001</v>
      </c>
      <c r="O89" s="95">
        <v>130.4</v>
      </c>
      <c r="P89" s="95">
        <v>130</v>
      </c>
      <c r="Q89" s="95">
        <v>130</v>
      </c>
      <c r="R89" s="95">
        <v>132</v>
      </c>
      <c r="S89" s="95">
        <v>133.69999999999999</v>
      </c>
      <c r="T89" s="95">
        <v>132</v>
      </c>
      <c r="U89" s="95"/>
      <c r="V89" s="95">
        <v>132.9</v>
      </c>
      <c r="W89" s="95">
        <v>132.30000000000001</v>
      </c>
      <c r="X89" s="95">
        <v>134.1</v>
      </c>
      <c r="Y89" s="95">
        <v>132</v>
      </c>
      <c r="Z89" s="95">
        <v>134.5</v>
      </c>
      <c r="AA89" s="95">
        <v>130.6</v>
      </c>
      <c r="AB89" s="95">
        <v>133</v>
      </c>
      <c r="AC89" s="95">
        <v>133</v>
      </c>
      <c r="AD89" s="95">
        <v>130.80000000000001</v>
      </c>
      <c r="AE89" s="95">
        <v>130.80000000000001</v>
      </c>
      <c r="AF89" s="95">
        <v>133.6</v>
      </c>
      <c r="AG89" s="96"/>
      <c r="AH89" s="55">
        <f t="shared" si="22"/>
        <v>134.69999999999999</v>
      </c>
      <c r="AI89" s="56">
        <f t="shared" si="23"/>
        <v>129.69999999999999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129.80000000000001</v>
      </c>
      <c r="C90" s="49">
        <v>129.80000000000001</v>
      </c>
      <c r="D90" s="49">
        <v>136</v>
      </c>
      <c r="E90" s="49">
        <v>136</v>
      </c>
      <c r="F90" s="49">
        <v>136</v>
      </c>
      <c r="G90" s="49">
        <v>136</v>
      </c>
      <c r="H90" s="49">
        <v>131</v>
      </c>
      <c r="I90" s="49">
        <v>133</v>
      </c>
      <c r="J90" s="49">
        <v>133</v>
      </c>
      <c r="K90" s="49">
        <v>135</v>
      </c>
      <c r="L90" s="49"/>
      <c r="M90" s="49">
        <v>133.69999999999999</v>
      </c>
      <c r="N90" s="49">
        <v>130.30000000000001</v>
      </c>
      <c r="O90" s="49">
        <v>126</v>
      </c>
      <c r="P90" s="49">
        <v>132.30000000000001</v>
      </c>
      <c r="Q90" s="49">
        <v>127.4</v>
      </c>
      <c r="R90" s="49">
        <v>127</v>
      </c>
      <c r="S90" s="49">
        <v>132.4</v>
      </c>
      <c r="T90" s="49">
        <v>128.6</v>
      </c>
      <c r="U90" s="49"/>
      <c r="V90" s="49">
        <v>132.4</v>
      </c>
      <c r="W90" s="49">
        <v>132.1</v>
      </c>
      <c r="X90" s="49">
        <v>132.80000000000001</v>
      </c>
      <c r="Y90" s="49">
        <v>125</v>
      </c>
      <c r="Z90" s="49">
        <v>133</v>
      </c>
      <c r="AA90" s="49">
        <v>127.1</v>
      </c>
      <c r="AB90" s="49">
        <v>130</v>
      </c>
      <c r="AC90" s="49">
        <v>130</v>
      </c>
      <c r="AD90" s="49">
        <v>130</v>
      </c>
      <c r="AE90" s="49">
        <v>130</v>
      </c>
      <c r="AF90" s="49">
        <v>133.9</v>
      </c>
      <c r="AG90" s="93"/>
      <c r="AH90" s="55">
        <f t="shared" si="22"/>
        <v>136</v>
      </c>
      <c r="AI90" s="56">
        <f t="shared" si="23"/>
        <v>125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66.2</v>
      </c>
      <c r="C91" s="97">
        <v>66.2</v>
      </c>
      <c r="D91" s="97">
        <v>65.900000000000006</v>
      </c>
      <c r="E91" s="97">
        <v>65.900000000000006</v>
      </c>
      <c r="F91" s="97">
        <v>65.900000000000006</v>
      </c>
      <c r="G91" s="97">
        <v>65.900000000000006</v>
      </c>
      <c r="H91" s="97">
        <v>66</v>
      </c>
      <c r="I91" s="97">
        <v>65.5</v>
      </c>
      <c r="J91" s="97">
        <v>65.5</v>
      </c>
      <c r="K91" s="97">
        <v>65</v>
      </c>
      <c r="L91" s="97"/>
      <c r="M91" s="97">
        <v>65.3</v>
      </c>
      <c r="N91" s="97">
        <v>65.2</v>
      </c>
      <c r="O91" s="97">
        <v>63.3</v>
      </c>
      <c r="P91" s="97">
        <v>63.7</v>
      </c>
      <c r="Q91" s="97">
        <v>63.7</v>
      </c>
      <c r="R91" s="97">
        <v>64.7</v>
      </c>
      <c r="S91" s="97">
        <v>64.599999999999994</v>
      </c>
      <c r="T91" s="97">
        <v>64.3</v>
      </c>
      <c r="U91" s="97"/>
      <c r="V91" s="97">
        <v>64.400000000000006</v>
      </c>
      <c r="W91" s="97">
        <v>64.5</v>
      </c>
      <c r="X91" s="97">
        <v>65.099999999999994</v>
      </c>
      <c r="Y91" s="97">
        <v>64.3</v>
      </c>
      <c r="Z91" s="97">
        <v>65</v>
      </c>
      <c r="AA91" s="97">
        <v>64</v>
      </c>
      <c r="AB91" s="97">
        <v>64.599999999999994</v>
      </c>
      <c r="AC91" s="97">
        <v>64.599999999999994</v>
      </c>
      <c r="AD91" s="97">
        <v>65.2</v>
      </c>
      <c r="AE91" s="97">
        <v>65.2</v>
      </c>
      <c r="AF91" s="97">
        <v>65.8</v>
      </c>
      <c r="AG91" s="98"/>
      <c r="AH91" s="55">
        <f t="shared" si="22"/>
        <v>66.2</v>
      </c>
      <c r="AI91" s="56">
        <f t="shared" si="23"/>
        <v>63.3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SUM(B15,B18,B21:B22,B42,B44:B45,B47,B49,B94:B97,B103,B109,B115,B124,B126,B138,B145,B148:B149,B156,B158,B160,B164:B166,B168:B170,B175,B181:B182,B184:B186,B194,B199)</f>
        <v>159.73999999999998</v>
      </c>
      <c r="C93" s="103">
        <f t="shared" si="24"/>
        <v>187.03999999999996</v>
      </c>
      <c r="D93" s="103">
        <f t="shared" si="24"/>
        <v>127.04</v>
      </c>
      <c r="E93" s="103">
        <f t="shared" si="24"/>
        <v>222.64</v>
      </c>
      <c r="F93" s="103">
        <f t="shared" si="24"/>
        <v>120.83999999999999</v>
      </c>
      <c r="G93" s="103">
        <f t="shared" si="24"/>
        <v>128.84</v>
      </c>
      <c r="H93" s="103">
        <f t="shared" si="24"/>
        <v>132.54</v>
      </c>
      <c r="I93" s="103">
        <f t="shared" si="24"/>
        <v>154.03999999999996</v>
      </c>
      <c r="J93" s="103">
        <f t="shared" si="24"/>
        <v>176.94</v>
      </c>
      <c r="K93" s="103">
        <f t="shared" si="24"/>
        <v>205.53999999999996</v>
      </c>
      <c r="L93" s="103">
        <f t="shared" si="24"/>
        <v>217.53999999999996</v>
      </c>
      <c r="M93" s="103">
        <f t="shared" si="24"/>
        <v>258.74000000000007</v>
      </c>
      <c r="N93" s="103">
        <f t="shared" si="24"/>
        <v>247.14</v>
      </c>
      <c r="O93" s="103">
        <f t="shared" si="24"/>
        <v>243.03999999999996</v>
      </c>
      <c r="P93" s="103">
        <f t="shared" si="24"/>
        <v>239.03999999999996</v>
      </c>
      <c r="Q93" s="103">
        <f t="shared" si="24"/>
        <v>244.43999999999997</v>
      </c>
      <c r="R93" s="103">
        <f t="shared" si="24"/>
        <v>241.04</v>
      </c>
      <c r="S93" s="103">
        <f t="shared" si="24"/>
        <v>239.93999999999997</v>
      </c>
      <c r="T93" s="103">
        <f t="shared" si="24"/>
        <v>238.64</v>
      </c>
      <c r="U93" s="103">
        <f t="shared" si="24"/>
        <v>34.840000000000003</v>
      </c>
      <c r="V93" s="103">
        <f t="shared" si="24"/>
        <v>236.53999999999996</v>
      </c>
      <c r="W93" s="103">
        <f>SUM(W15,W18,W21:W22,W42,W44:W45,W47,W49,W94:W97,W103,W109,W115,W124,W126,W138,W145,W148:W149,W156,W158,W160,W164:W166,W168:W170,W175,W181:W182,W184:W186,W194,W199)</f>
        <v>232.03999999999996</v>
      </c>
      <c r="X93" s="103">
        <f>SUM(X15,X18,X21:X22,X42,X44:X45,X47,X49,X94:X97,X103,X109,X115,X124,X126,X138,X145,X148:X149,X156,X158,X160,X164:X166,X168:X170,X175,X181:X182,X184:X186,X194,X199)</f>
        <v>229.64</v>
      </c>
      <c r="Y93" s="103">
        <f t="shared" si="24"/>
        <v>247.83999999999997</v>
      </c>
      <c r="Z93" s="103">
        <f t="shared" si="24"/>
        <v>252.03999999999996</v>
      </c>
      <c r="AA93" s="103">
        <f t="shared" si="24"/>
        <v>288.34000000000003</v>
      </c>
      <c r="AB93" s="103">
        <f t="shared" si="24"/>
        <v>296.64000000000004</v>
      </c>
      <c r="AC93" s="103">
        <f t="shared" si="24"/>
        <v>296.64000000000004</v>
      </c>
      <c r="AD93" s="103">
        <f t="shared" si="24"/>
        <v>267.84000000000003</v>
      </c>
      <c r="AE93" s="103">
        <f t="shared" si="24"/>
        <v>169.64</v>
      </c>
      <c r="AF93" s="103">
        <f t="shared" si="24"/>
        <v>167.14</v>
      </c>
      <c r="AG93" s="104"/>
      <c r="AH93" s="55">
        <f>MAX(C93:AF93)</f>
        <v>296.64000000000004</v>
      </c>
      <c r="AI93" s="56">
        <f>MIN(C93:AF93)</f>
        <v>34.840000000000003</v>
      </c>
    </row>
    <row r="94" spans="1:88" x14ac:dyDescent="0.25">
      <c r="A94" s="105" t="s">
        <v>98</v>
      </c>
      <c r="B94" s="106">
        <v>36</v>
      </c>
      <c r="C94" s="106">
        <v>1.2</v>
      </c>
      <c r="D94" s="106">
        <v>1.2</v>
      </c>
      <c r="E94" s="106"/>
      <c r="F94" s="106">
        <v>5.7</v>
      </c>
      <c r="G94" s="106">
        <v>9.3000000000000007</v>
      </c>
      <c r="H94" s="106">
        <v>11</v>
      </c>
      <c r="I94" s="106">
        <v>18</v>
      </c>
      <c r="J94" s="106">
        <v>25</v>
      </c>
      <c r="K94" s="106">
        <v>27</v>
      </c>
      <c r="L94" s="106"/>
      <c r="M94" s="106">
        <v>13</v>
      </c>
      <c r="N94" s="106">
        <v>14.8</v>
      </c>
      <c r="O94" s="106">
        <v>31</v>
      </c>
      <c r="P94" s="106">
        <v>25.2</v>
      </c>
      <c r="Q94" s="106">
        <v>14.7</v>
      </c>
      <c r="R94" s="106">
        <v>16.899999999999999</v>
      </c>
      <c r="S94" s="106">
        <v>28.2</v>
      </c>
      <c r="T94" s="106">
        <v>26</v>
      </c>
      <c r="U94" s="106"/>
      <c r="V94" s="106">
        <v>29.6</v>
      </c>
      <c r="W94" s="106">
        <v>24.6</v>
      </c>
      <c r="X94" s="106">
        <v>24.8</v>
      </c>
      <c r="Y94" s="106">
        <v>34</v>
      </c>
      <c r="Z94" s="106">
        <v>29.7</v>
      </c>
      <c r="AA94" s="106">
        <v>23.5</v>
      </c>
      <c r="AB94" s="106">
        <v>70</v>
      </c>
      <c r="AC94" s="106">
        <v>70</v>
      </c>
      <c r="AD94" s="106">
        <v>70</v>
      </c>
      <c r="AE94" s="106">
        <v>66</v>
      </c>
      <c r="AF94" s="106">
        <v>63</v>
      </c>
      <c r="AG94" s="107">
        <v>75</v>
      </c>
      <c r="AH94" s="55">
        <f t="shared" ref="AH94:AH100" si="25">IF(ABS(MAX(C94:AF94))&gt;ABS(MIN(C94:AF94)),MAX(C94:AF94),MIN(C94:AF94))</f>
        <v>70</v>
      </c>
      <c r="AI94" s="108">
        <f t="shared" ref="AI94:AI100" si="26">INDEX($C$9:$AF$9,1,MATCH(AH94,C94:AF94,0))</f>
        <v>0.83333333333333337</v>
      </c>
    </row>
    <row r="95" spans="1:88" x14ac:dyDescent="0.25">
      <c r="A95" s="109" t="s">
        <v>99</v>
      </c>
      <c r="B95" s="110">
        <v>-122.6</v>
      </c>
      <c r="C95" s="110">
        <v>-58</v>
      </c>
      <c r="D95" s="110">
        <v>-58</v>
      </c>
      <c r="E95" s="110"/>
      <c r="F95" s="110">
        <v>-104</v>
      </c>
      <c r="G95" s="110">
        <v>-100</v>
      </c>
      <c r="H95" s="110">
        <v>-100</v>
      </c>
      <c r="I95" s="110">
        <v>-78</v>
      </c>
      <c r="J95" s="110">
        <v>-62</v>
      </c>
      <c r="K95" s="110">
        <v>-39</v>
      </c>
      <c r="L95" s="110"/>
      <c r="M95" s="110">
        <f>-23.8-35.4</f>
        <v>-59.2</v>
      </c>
      <c r="N95" s="110">
        <f>-27.6-34</f>
        <v>-61.6</v>
      </c>
      <c r="O95" s="110">
        <f>-36.7-39.8</f>
        <v>-76.5</v>
      </c>
      <c r="P95" s="110">
        <f>-33.8-35.6</f>
        <v>-69.400000000000006</v>
      </c>
      <c r="Q95" s="110">
        <v>-67</v>
      </c>
      <c r="R95" s="110">
        <f>-33.6-36.3</f>
        <v>-69.900000000000006</v>
      </c>
      <c r="S95" s="110">
        <f>-36.7-40.2</f>
        <v>-76.900000000000006</v>
      </c>
      <c r="T95" s="110">
        <f>-34-40</f>
        <v>-74</v>
      </c>
      <c r="U95" s="110"/>
      <c r="V95" s="110">
        <f>-34-37</f>
        <v>-71</v>
      </c>
      <c r="W95" s="110">
        <f>-35-36</f>
        <v>-71</v>
      </c>
      <c r="X95" s="110">
        <f>-34-37</f>
        <v>-71</v>
      </c>
      <c r="Y95" s="110">
        <f>-33-35</f>
        <v>-68</v>
      </c>
      <c r="Z95" s="110">
        <f>-34.3-40.6</f>
        <v>-74.900000000000006</v>
      </c>
      <c r="AA95" s="110">
        <f>-26.4-31.1</f>
        <v>-57.5</v>
      </c>
      <c r="AB95" s="110">
        <v>-76</v>
      </c>
      <c r="AC95" s="110">
        <v>-76</v>
      </c>
      <c r="AD95" s="110">
        <v>-90</v>
      </c>
      <c r="AE95" s="110">
        <v>-120</v>
      </c>
      <c r="AF95" s="110">
        <v>-110</v>
      </c>
      <c r="AG95" s="107">
        <v>240</v>
      </c>
      <c r="AH95" s="55">
        <f t="shared" si="25"/>
        <v>-120</v>
      </c>
      <c r="AI95" s="108">
        <f t="shared" si="26"/>
        <v>0.91666666666666696</v>
      </c>
    </row>
    <row r="96" spans="1:88" x14ac:dyDescent="0.25">
      <c r="A96" s="109" t="s">
        <v>100</v>
      </c>
      <c r="B96" s="110">
        <v>4.8</v>
      </c>
      <c r="C96" s="110">
        <v>3.2</v>
      </c>
      <c r="D96" s="110">
        <v>3.2</v>
      </c>
      <c r="E96" s="110"/>
      <c r="F96" s="110">
        <v>-4</v>
      </c>
      <c r="G96" s="110">
        <v>-3.6</v>
      </c>
      <c r="H96" s="110">
        <v>-1.6</v>
      </c>
      <c r="I96" s="110">
        <v>2.6</v>
      </c>
      <c r="J96" s="110">
        <v>6</v>
      </c>
      <c r="K96" s="110">
        <v>0</v>
      </c>
      <c r="L96" s="110"/>
      <c r="M96" s="110">
        <v>28</v>
      </c>
      <c r="N96" s="110">
        <v>2.8</v>
      </c>
      <c r="O96" s="110">
        <v>-5</v>
      </c>
      <c r="P96" s="110">
        <v>-5</v>
      </c>
      <c r="Q96" s="110">
        <v>-3</v>
      </c>
      <c r="R96" s="110">
        <v>2.8</v>
      </c>
      <c r="S96" s="110">
        <v>7</v>
      </c>
      <c r="T96" s="110">
        <v>6.8</v>
      </c>
      <c r="U96" s="110"/>
      <c r="V96" s="110">
        <v>12.2</v>
      </c>
      <c r="W96" s="110">
        <v>8.6999999999999993</v>
      </c>
      <c r="X96" s="110">
        <v>11</v>
      </c>
      <c r="Y96" s="110">
        <v>9.6</v>
      </c>
      <c r="Z96" s="110">
        <v>32</v>
      </c>
      <c r="AA96" s="110">
        <v>21</v>
      </c>
      <c r="AB96" s="110">
        <v>11</v>
      </c>
      <c r="AC96" s="110">
        <v>11</v>
      </c>
      <c r="AD96" s="110">
        <v>7.4</v>
      </c>
      <c r="AE96" s="110">
        <v>-22</v>
      </c>
      <c r="AF96" s="110">
        <v>-2.5</v>
      </c>
      <c r="AG96" s="107">
        <v>60</v>
      </c>
      <c r="AH96" s="55">
        <f t="shared" si="25"/>
        <v>32</v>
      </c>
      <c r="AI96" s="108">
        <f t="shared" si="26"/>
        <v>0.79166666666666663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/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/>
      <c r="M97" s="112">
        <v>52.4</v>
      </c>
      <c r="N97" s="112">
        <v>66.599999999999994</v>
      </c>
      <c r="O97" s="112">
        <v>69</v>
      </c>
      <c r="P97" s="112">
        <v>63.7</v>
      </c>
      <c r="Q97" s="112">
        <v>74.599999999999994</v>
      </c>
      <c r="R97" s="112">
        <v>66.099999999999994</v>
      </c>
      <c r="S97" s="112">
        <v>56.5</v>
      </c>
      <c r="T97" s="112">
        <v>54.7</v>
      </c>
      <c r="U97" s="112"/>
      <c r="V97" s="112">
        <v>40.6</v>
      </c>
      <c r="W97" s="112">
        <v>46.5</v>
      </c>
      <c r="X97" s="112">
        <v>48.6</v>
      </c>
      <c r="Y97" s="112">
        <v>56</v>
      </c>
      <c r="Z97" s="112">
        <v>49</v>
      </c>
      <c r="AA97" s="112">
        <v>85.1</v>
      </c>
      <c r="AB97" s="112">
        <v>75</v>
      </c>
      <c r="AC97" s="112">
        <v>75</v>
      </c>
      <c r="AD97" s="112">
        <v>63.8</v>
      </c>
      <c r="AE97" s="112">
        <v>29</v>
      </c>
      <c r="AF97" s="112">
        <v>0</v>
      </c>
      <c r="AG97" s="113">
        <v>120</v>
      </c>
      <c r="AH97" s="55">
        <f t="shared" si="25"/>
        <v>85.1</v>
      </c>
      <c r="AI97" s="108">
        <f t="shared" si="26"/>
        <v>0.8125</v>
      </c>
    </row>
    <row r="98" spans="1:37" x14ac:dyDescent="0.25">
      <c r="A98" s="111" t="s">
        <v>102</v>
      </c>
      <c r="B98" s="112">
        <v>41</v>
      </c>
      <c r="C98" s="112">
        <v>81.2</v>
      </c>
      <c r="D98" s="112">
        <v>81.2</v>
      </c>
      <c r="E98" s="112"/>
      <c r="F98" s="112">
        <v>46</v>
      </c>
      <c r="G98" s="112">
        <v>25</v>
      </c>
      <c r="H98" s="112">
        <v>38</v>
      </c>
      <c r="I98" s="112">
        <v>40</v>
      </c>
      <c r="J98" s="112">
        <v>48</v>
      </c>
      <c r="K98" s="112">
        <v>71</v>
      </c>
      <c r="L98" s="112"/>
      <c r="M98" s="112">
        <v>31.5</v>
      </c>
      <c r="N98" s="112">
        <v>48.7</v>
      </c>
      <c r="O98" s="112">
        <v>57.2</v>
      </c>
      <c r="P98" s="112">
        <v>49.3</v>
      </c>
      <c r="Q98" s="112">
        <v>61.2</v>
      </c>
      <c r="R98" s="112">
        <v>51</v>
      </c>
      <c r="S98" s="112">
        <v>37.5</v>
      </c>
      <c r="T98" s="112">
        <v>38</v>
      </c>
      <c r="U98" s="112"/>
      <c r="V98" s="112">
        <v>33</v>
      </c>
      <c r="W98" s="112">
        <v>41</v>
      </c>
      <c r="X98" s="112">
        <v>40.1</v>
      </c>
      <c r="Y98" s="112">
        <v>44</v>
      </c>
      <c r="Z98" s="112">
        <v>36.4</v>
      </c>
      <c r="AA98" s="112">
        <v>74</v>
      </c>
      <c r="AB98" s="112">
        <v>66</v>
      </c>
      <c r="AC98" s="112">
        <v>66</v>
      </c>
      <c r="AD98" s="112">
        <v>54.7</v>
      </c>
      <c r="AE98" s="112">
        <v>20</v>
      </c>
      <c r="AF98" s="112">
        <v>35</v>
      </c>
      <c r="AG98" s="113"/>
      <c r="AH98" s="55">
        <f t="shared" si="25"/>
        <v>81.2</v>
      </c>
      <c r="AI98" s="108">
        <f t="shared" si="26"/>
        <v>4.1666666666666664E-2</v>
      </c>
    </row>
    <row r="99" spans="1:37" x14ac:dyDescent="0.25">
      <c r="A99" s="111" t="s">
        <v>248</v>
      </c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4"/>
      <c r="AH99" s="55">
        <f t="shared" si="25"/>
        <v>0</v>
      </c>
      <c r="AI99" s="108" t="e">
        <f t="shared" si="26"/>
        <v>#N/A</v>
      </c>
    </row>
    <row r="100" spans="1:37" ht="15.75" thickBot="1" x14ac:dyDescent="0.3">
      <c r="A100" s="115" t="s">
        <v>104</v>
      </c>
      <c r="B100" s="95">
        <v>17.5</v>
      </c>
      <c r="C100" s="95">
        <v>-1.7</v>
      </c>
      <c r="D100" s="95">
        <v>-1.7</v>
      </c>
      <c r="E100" s="95"/>
      <c r="F100" s="95">
        <v>-2</v>
      </c>
      <c r="G100" s="95">
        <v>1.4</v>
      </c>
      <c r="H100" s="95">
        <v>2</v>
      </c>
      <c r="I100" s="95">
        <v>2</v>
      </c>
      <c r="J100" s="95">
        <v>4</v>
      </c>
      <c r="K100" s="95">
        <v>1</v>
      </c>
      <c r="L100" s="95"/>
      <c r="M100" s="95">
        <v>15.4</v>
      </c>
      <c r="N100" s="95">
        <v>10.9</v>
      </c>
      <c r="O100" s="95">
        <v>10.6</v>
      </c>
      <c r="P100" s="95">
        <v>8.4</v>
      </c>
      <c r="Q100" s="95">
        <v>6.8</v>
      </c>
      <c r="R100" s="95">
        <v>1.2</v>
      </c>
      <c r="S100" s="95">
        <v>0.2</v>
      </c>
      <c r="T100" s="95">
        <v>-1.2</v>
      </c>
      <c r="U100" s="95"/>
      <c r="V100" s="95">
        <v>19</v>
      </c>
      <c r="W100" s="95">
        <v>18</v>
      </c>
      <c r="X100" s="95">
        <v>20</v>
      </c>
      <c r="Y100" s="95">
        <v>24</v>
      </c>
      <c r="Z100" s="95">
        <v>35.4</v>
      </c>
      <c r="AA100" s="95">
        <v>43.3</v>
      </c>
      <c r="AB100" s="95">
        <v>44</v>
      </c>
      <c r="AC100" s="95">
        <v>44</v>
      </c>
      <c r="AD100" s="95">
        <v>35.6</v>
      </c>
      <c r="AE100" s="95">
        <v>33</v>
      </c>
      <c r="AF100" s="95">
        <v>11</v>
      </c>
      <c r="AG100" s="114"/>
      <c r="AH100" s="55">
        <f t="shared" si="25"/>
        <v>44</v>
      </c>
      <c r="AI100" s="108">
        <f t="shared" si="26"/>
        <v>0.83333333333333337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7">AF102</f>
        <v>9.9</v>
      </c>
      <c r="C102" s="54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130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3"/>
        <v>0.04</v>
      </c>
      <c r="C190" s="54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3"/>
        <v>2.3E-2</v>
      </c>
      <c r="C191" s="54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6782.74</v>
      </c>
      <c r="C209" s="151">
        <f>INDEX(G9:N9,1,MATCH(MAX(G75:N75),G75:N75,0))</f>
        <v>0.29166666666666669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15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2079/03/15)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2079/03/15)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3">B75</f>
        <v>1638.79</v>
      </c>
      <c r="U214" s="161">
        <f t="shared" si="63"/>
        <v>1598.89</v>
      </c>
      <c r="V214" s="161">
        <f t="shared" si="63"/>
        <v>1485.39</v>
      </c>
      <c r="W214" s="161">
        <f t="shared" si="63"/>
        <v>1387.49</v>
      </c>
      <c r="X214" s="161">
        <f t="shared" si="63"/>
        <v>1456.64</v>
      </c>
      <c r="Y214" s="161">
        <f t="shared" si="63"/>
        <v>1454.64</v>
      </c>
      <c r="Z214" s="161">
        <f t="shared" si="63"/>
        <v>1463.64</v>
      </c>
      <c r="AA214" s="161">
        <f t="shared" si="63"/>
        <v>1491.8400000000001</v>
      </c>
      <c r="AB214" s="161">
        <f t="shared" si="63"/>
        <v>1526.3400000000001</v>
      </c>
      <c r="AC214" s="161">
        <f t="shared" si="63"/>
        <v>6782.74</v>
      </c>
      <c r="AD214" s="161">
        <f t="shared" si="63"/>
        <v>1441.74</v>
      </c>
      <c r="AE214" s="161">
        <f t="shared" si="63"/>
        <v>1468.34</v>
      </c>
      <c r="AF214" s="161">
        <f t="shared" si="63"/>
        <v>1499.94</v>
      </c>
      <c r="AG214" s="161">
        <f t="shared" si="63"/>
        <v>1583.8400000000001</v>
      </c>
      <c r="AH214" s="161">
        <f t="shared" si="63"/>
        <v>1565.54</v>
      </c>
      <c r="AI214" s="161">
        <f t="shared" si="63"/>
        <v>1546.5400000000002</v>
      </c>
      <c r="AJ214" s="161">
        <f t="shared" si="63"/>
        <v>1602.9400000000003</v>
      </c>
      <c r="AK214" s="161">
        <f t="shared" si="63"/>
        <v>1626.04</v>
      </c>
      <c r="AL214" s="161">
        <f t="shared" si="63"/>
        <v>1608.04</v>
      </c>
      <c r="AM214" s="161">
        <f t="shared" si="63"/>
        <v>303.54000000000002</v>
      </c>
      <c r="AN214" s="161">
        <f t="shared" si="63"/>
        <v>1566.9399999999998</v>
      </c>
      <c r="AO214" s="161">
        <f t="shared" si="63"/>
        <v>1509.5399999999997</v>
      </c>
      <c r="AP214" s="161">
        <f t="shared" si="63"/>
        <v>1550.8399999999997</v>
      </c>
      <c r="AQ214" s="161">
        <f t="shared" si="63"/>
        <v>1619.4399999999998</v>
      </c>
      <c r="AR214" s="161">
        <f t="shared" si="63"/>
        <v>1634.4399999999998</v>
      </c>
      <c r="AS214" s="161">
        <f t="shared" si="63"/>
        <v>1636.2399999999998</v>
      </c>
      <c r="AT214" s="161">
        <f t="shared" si="63"/>
        <v>1656.6399999999999</v>
      </c>
      <c r="AU214" s="161">
        <f t="shared" si="63"/>
        <v>1655.6399999999999</v>
      </c>
      <c r="AV214" s="161">
        <f t="shared" si="63"/>
        <v>1653.14</v>
      </c>
      <c r="AW214" s="161">
        <f t="shared" si="63"/>
        <v>1651.0400000000002</v>
      </c>
      <c r="AX214" s="161">
        <f t="shared" si="63"/>
        <v>1638.8400000000001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Y11:AF11">
    <cfRule type="expression" dxfId="3941" priority="179">
      <formula>B$9&gt;=20/24</formula>
    </cfRule>
    <cfRule type="expression" dxfId="3940" priority="180">
      <formula>AND(B$9&gt;=14/24,B$9&lt;20/24)</formula>
    </cfRule>
    <cfRule type="expression" dxfId="3939" priority="181">
      <formula>AND(B$9&gt;=8/24,B$9&lt;14/24)</formula>
    </cfRule>
    <cfRule type="expression" dxfId="3938" priority="182">
      <formula>B$9&lt;8/24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937" priority="174">
      <formula>S$9&gt;=20/24</formula>
    </cfRule>
    <cfRule type="expression" dxfId="3936" priority="175">
      <formula>AND(S$9&gt;=14/24,S$9&lt;20/24)</formula>
    </cfRule>
    <cfRule type="expression" dxfId="3935" priority="176">
      <formula>AND(S$9&gt;=8/24,S$9&lt;14/24)</formula>
    </cfRule>
    <cfRule type="expression" dxfId="3934" priority="177">
      <formula>S$9&lt;8/24</formula>
    </cfRule>
  </conditionalFormatting>
  <conditionalFormatting sqref="AG51 S37:AF37 Q11:AF11">
    <cfRule type="expression" dxfId="3933" priority="173">
      <formula>Q11&gt;$AG11</formula>
    </cfRule>
  </conditionalFormatting>
  <conditionalFormatting sqref="A101:A157 A84:A97 A11:A14 A16:A32 A45:A72 A80:A82 A74:A78 A35:A43 A170:A200">
    <cfRule type="expression" dxfId="3932" priority="172">
      <formula>$AH11=0</formula>
    </cfRule>
  </conditionalFormatting>
  <conditionalFormatting sqref="A98">
    <cfRule type="expression" dxfId="3931" priority="171">
      <formula>$AH98=0</formula>
    </cfRule>
  </conditionalFormatting>
  <conditionalFormatting sqref="AL32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930" priority="169">
      <formula>$AH34=0</formula>
    </cfRule>
  </conditionalFormatting>
  <conditionalFormatting sqref="A83">
    <cfRule type="expression" dxfId="3929" priority="168">
      <formula>$AH83=0</formula>
    </cfRule>
  </conditionalFormatting>
  <conditionalFormatting sqref="A15">
    <cfRule type="expression" dxfId="3928" priority="167">
      <formula>$AH15=0</formula>
    </cfRule>
  </conditionalFormatting>
  <conditionalFormatting sqref="A164:A169">
    <cfRule type="expression" dxfId="3927" priority="166">
      <formula>$AH164=0</formula>
    </cfRule>
  </conditionalFormatting>
  <conditionalFormatting sqref="A158:A163">
    <cfRule type="expression" dxfId="3926" priority="165">
      <formula>$AH158=0</formula>
    </cfRule>
  </conditionalFormatting>
  <conditionalFormatting sqref="A44">
    <cfRule type="expression" dxfId="3925" priority="164">
      <formula>$AH44=0</formula>
    </cfRule>
  </conditionalFormatting>
  <conditionalFormatting sqref="A79">
    <cfRule type="expression" dxfId="3924" priority="163">
      <formula>$AH79=0</formula>
    </cfRule>
  </conditionalFormatting>
  <conditionalFormatting sqref="A73">
    <cfRule type="expression" dxfId="3923" priority="162">
      <formula>$AH73=0</formula>
    </cfRule>
  </conditionalFormatting>
  <conditionalFormatting sqref="AL34:AL35 AL7:AL31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3922" priority="158">
      <formula>D$9&gt;=20/24</formula>
    </cfRule>
    <cfRule type="expression" dxfId="3921" priority="159">
      <formula>AND(D$9&gt;=14/24,D$9&lt;20/24)</formula>
    </cfRule>
    <cfRule type="expression" dxfId="3920" priority="160">
      <formula>AND(D$9&gt;=8/24,D$9&lt;14/24)</formula>
    </cfRule>
    <cfRule type="expression" dxfId="3919" priority="161">
      <formula>D$9&lt;8/24</formula>
    </cfRule>
  </conditionalFormatting>
  <conditionalFormatting sqref="AL33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18" priority="186">
      <formula>C$9&gt;=20/24</formula>
    </cfRule>
    <cfRule type="expression" dxfId="3917" priority="187">
      <formula>AND(C$9&gt;=14/24,C$9&lt;20/24)</formula>
    </cfRule>
    <cfRule type="expression" dxfId="3916" priority="188">
      <formula>AND(C$9&gt;=8/24,C$9&lt;14/24)</formula>
    </cfRule>
    <cfRule type="expression" dxfId="3915" priority="189">
      <formula>C$9&lt;8/24</formula>
    </cfRule>
  </conditionalFormatting>
  <conditionalFormatting sqref="A201">
    <cfRule type="expression" dxfId="3914" priority="190">
      <formula>$AH201=0</formula>
    </cfRule>
  </conditionalFormatting>
  <conditionalFormatting sqref="AG213">
    <cfRule type="expression" dxfId="3913" priority="191">
      <formula>B$9&gt;=20/24</formula>
    </cfRule>
    <cfRule type="expression" dxfId="3912" priority="192">
      <formula>AND(B$9&gt;=14/24,B$9&lt;20/24)</formula>
    </cfRule>
    <cfRule type="expression" dxfId="3911" priority="193">
      <formula>AND(B$9&gt;=8/24,B$9&lt;14/24)</formula>
    </cfRule>
    <cfRule type="expression" dxfId="3910" priority="194">
      <formula>B$9&lt;8/24</formula>
    </cfRule>
  </conditionalFormatting>
  <conditionalFormatting sqref="S8">
    <cfRule type="expression" dxfId="3909" priority="153">
      <formula>U$9&gt;=20/24</formula>
    </cfRule>
    <cfRule type="expression" dxfId="3908" priority="154">
      <formula>AND(U$9&gt;=14/24,U$9&lt;20/24)</formula>
    </cfRule>
    <cfRule type="expression" dxfId="3907" priority="155">
      <formula>AND(U$9&gt;=8/24,U$9&lt;14/24)</formula>
    </cfRule>
    <cfRule type="expression" dxfId="3906" priority="156">
      <formula>U$9&lt;8/24</formula>
    </cfRule>
  </conditionalFormatting>
  <conditionalFormatting sqref="AB8">
    <cfRule type="expression" dxfId="3905" priority="149">
      <formula>AD$9&gt;=20/24</formula>
    </cfRule>
    <cfRule type="expression" dxfId="3904" priority="150">
      <formula>AND(AD$9&gt;=14/24,AD$9&lt;20/24)</formula>
    </cfRule>
    <cfRule type="expression" dxfId="3903" priority="151">
      <formula>AND(AD$9&gt;=8/24,AD$9&lt;14/24)</formula>
    </cfRule>
    <cfRule type="expression" dxfId="3902" priority="152">
      <formula>AD$9&lt;8/24</formula>
    </cfRule>
  </conditionalFormatting>
  <conditionalFormatting sqref="AH213:AX213">
    <cfRule type="expression" dxfId="3901" priority="195">
      <formula>AG$9&gt;=20/24</formula>
    </cfRule>
    <cfRule type="expression" dxfId="3900" priority="196">
      <formula>AND(AG$9&gt;=14/24,AG$9&lt;20/24)</formula>
    </cfRule>
    <cfRule type="expression" dxfId="3899" priority="197">
      <formula>AND(AG$9&gt;=8/24,AG$9&lt;14/24)</formula>
    </cfRule>
    <cfRule type="expression" dxfId="3898" priority="198">
      <formula>AG$9&lt;8/24</formula>
    </cfRule>
  </conditionalFormatting>
  <conditionalFormatting sqref="T213">
    <cfRule type="expression" dxfId="3897" priority="199">
      <formula>AX$9&gt;=20/24</formula>
    </cfRule>
    <cfRule type="expression" dxfId="3896" priority="200">
      <formula>AND(AX$9&gt;=14/24,AX$9&lt;20/24)</formula>
    </cfRule>
    <cfRule type="expression" dxfId="3895" priority="201">
      <formula>AND(AX$9&gt;=8/24,AX$9&lt;14/24)</formula>
    </cfRule>
    <cfRule type="expression" dxfId="3894" priority="202">
      <formula>AX$9&lt;8/24</formula>
    </cfRule>
  </conditionalFormatting>
  <conditionalFormatting sqref="A99:A100">
    <cfRule type="expression" dxfId="3893" priority="148">
      <formula>$AH99=0</formula>
    </cfRule>
  </conditionalFormatting>
  <conditionalFormatting sqref="F40:N41 E11:P11 C57:AF57 AE40:AF41">
    <cfRule type="expression" dxfId="3892" priority="144">
      <formula>C$9&gt;=20/24</formula>
    </cfRule>
    <cfRule type="expression" dxfId="3891" priority="145">
      <formula>AND(C$9&gt;=14/24,C$9&lt;20/24)</formula>
    </cfRule>
    <cfRule type="expression" dxfId="3890" priority="146">
      <formula>AND(C$9&gt;=8/24,C$9&lt;14/24)</formula>
    </cfRule>
    <cfRule type="expression" dxfId="3889" priority="147">
      <formula>C$9&lt;8/24</formula>
    </cfRule>
  </conditionalFormatting>
  <conditionalFormatting sqref="F39:N39 AE39:AF39">
    <cfRule type="expression" dxfId="3888" priority="140">
      <formula>F$9&gt;=20/24</formula>
    </cfRule>
    <cfRule type="expression" dxfId="3887" priority="141">
      <formula>AND(F$9&gt;=14/24,F$9&lt;20/24)</formula>
    </cfRule>
    <cfRule type="expression" dxfId="3886" priority="142">
      <formula>AND(F$9&gt;=8/24,F$9&lt;14/24)</formula>
    </cfRule>
    <cfRule type="expression" dxfId="3885" priority="143">
      <formula>F$9&lt;8/24</formula>
    </cfRule>
  </conditionalFormatting>
  <conditionalFormatting sqref="F39:N41 E11:P11 AE39:AF41">
    <cfRule type="expression" dxfId="3884" priority="139">
      <formula>E11&gt;$AG11</formula>
    </cfRule>
  </conditionalFormatting>
  <conditionalFormatting sqref="C81:AF81 C69:AF72 M64:M66 L62:M63 L61:O61 N62:O67 AA26:AB26 B56 F67:M67 C58:R60 Q11 K12:Q14 P61:R67 R11:S14 AB24:AB25 F36:AF36 D85:AF91 AB16:AF16 AB18:AF22 T12:AF14 AC24:AF26 C53:AF56 S58:AF67 AB28:AF31">
    <cfRule type="expression" dxfId="3883" priority="135">
      <formula>B$9&gt;=20/24</formula>
    </cfRule>
    <cfRule type="expression" dxfId="3882" priority="136">
      <formula>AND(B$9&gt;=14/24,B$9&lt;20/24)</formula>
    </cfRule>
    <cfRule type="expression" dxfId="3881" priority="137">
      <formula>AND(B$9&gt;=8/24,B$9&lt;14/24)</formula>
    </cfRule>
    <cfRule type="expression" dxfId="3880" priority="138">
      <formula>B$9&lt;8/24</formula>
    </cfRule>
  </conditionalFormatting>
  <conditionalFormatting sqref="AB32:AF32">
    <cfRule type="expression" dxfId="3879" priority="131">
      <formula>AB$9&gt;=20/24</formula>
    </cfRule>
    <cfRule type="expression" dxfId="3878" priority="132">
      <formula>AND(AB$9&gt;=14/24,AB$9&lt;20/24)</formula>
    </cfRule>
    <cfRule type="expression" dxfId="3877" priority="133">
      <formula>AND(AB$9&gt;=8/24,AB$9&lt;14/24)</formula>
    </cfRule>
    <cfRule type="expression" dxfId="3876" priority="134">
      <formula>AB$9&lt;8/24</formula>
    </cfRule>
  </conditionalFormatting>
  <conditionalFormatting sqref="Q35:AF35">
    <cfRule type="expression" dxfId="3875" priority="127">
      <formula>Q$9&gt;=20/24</formula>
    </cfRule>
    <cfRule type="expression" dxfId="3874" priority="128">
      <formula>AND(Q$9&gt;=14/24,Q$9&lt;20/24)</formula>
    </cfRule>
    <cfRule type="expression" dxfId="3873" priority="129">
      <formula>AND(Q$9&gt;=8/24,Q$9&lt;14/24)</formula>
    </cfRule>
    <cfRule type="expression" dxfId="3872" priority="130">
      <formula>Q$9&lt;8/24</formula>
    </cfRule>
  </conditionalFormatting>
  <conditionalFormatting sqref="C51:AF51 D37:M37 F36:M36 Q11 AA26:AB27 B56 F42:L44 N36:P37 K12:Q15 Q35:R37 R11:S15 AB24:AB25 T12:AA15 AB28:AB32 S35:AD36 AB34:AD34 AB18:AF22 AB12:AF16 AE34:AF36 C53:AF56 AC24:AF32">
    <cfRule type="expression" dxfId="3871" priority="126">
      <formula>B11&gt;$AG11</formula>
    </cfRule>
  </conditionalFormatting>
  <conditionalFormatting sqref="AB34:AF34">
    <cfRule type="expression" dxfId="3870" priority="122">
      <formula>AB$9&gt;=20/24</formula>
    </cfRule>
    <cfRule type="expression" dxfId="3869" priority="123">
      <formula>AND(AB$9&gt;=14/24,AB$9&lt;20/24)</formula>
    </cfRule>
    <cfRule type="expression" dxfId="3868" priority="124">
      <formula>AND(AB$9&gt;=8/24,AB$9&lt;14/24)</formula>
    </cfRule>
    <cfRule type="expression" dxfId="3867" priority="125">
      <formula>AB$9&lt;8/24</formula>
    </cfRule>
  </conditionalFormatting>
  <conditionalFormatting sqref="K15:AF15">
    <cfRule type="expression" dxfId="3866" priority="118">
      <formula>K$9&gt;=20/24</formula>
    </cfRule>
    <cfRule type="expression" dxfId="3865" priority="119">
      <formula>AND(K$9&gt;=14/24,K$9&lt;20/24)</formula>
    </cfRule>
    <cfRule type="expression" dxfId="3864" priority="120">
      <formula>AND(K$9&gt;=8/24,K$9&lt;14/24)</formula>
    </cfRule>
    <cfRule type="expression" dxfId="3863" priority="121">
      <formula>K$9&lt;8/24</formula>
    </cfRule>
  </conditionalFormatting>
  <conditionalFormatting sqref="AB33:AF33">
    <cfRule type="expression" dxfId="3862" priority="114">
      <formula>AB$9&gt;=20/24</formula>
    </cfRule>
    <cfRule type="expression" dxfId="3861" priority="115">
      <formula>AND(AB$9&gt;=14/24,AB$9&lt;20/24)</formula>
    </cfRule>
    <cfRule type="expression" dxfId="3860" priority="116">
      <formula>AND(AB$9&gt;=8/24,AB$9&lt;14/24)</formula>
    </cfRule>
    <cfRule type="expression" dxfId="3859" priority="117">
      <formula>AB$9&lt;8/24</formula>
    </cfRule>
  </conditionalFormatting>
  <conditionalFormatting sqref="AB33:AF33">
    <cfRule type="expression" dxfId="3858" priority="113">
      <formula>AB33&gt;$AG33</formula>
    </cfRule>
  </conditionalFormatting>
  <conditionalFormatting sqref="T11:X11">
    <cfRule type="expression" dxfId="3857" priority="109">
      <formula>T$9&gt;=20/24</formula>
    </cfRule>
    <cfRule type="expression" dxfId="3856" priority="110">
      <formula>AND(T$9&gt;=14/24,T$9&lt;20/24)</formula>
    </cfRule>
    <cfRule type="expression" dxfId="3855" priority="111">
      <formula>AND(T$9&gt;=8/24,T$9&lt;14/24)</formula>
    </cfRule>
    <cfRule type="expression" dxfId="3854" priority="112">
      <formula>T$9&lt;8/24</formula>
    </cfRule>
  </conditionalFormatting>
  <conditionalFormatting sqref="M44:N44 AE42:AF50 O39:AD50">
    <cfRule type="expression" dxfId="3853" priority="100">
      <formula>M$9&gt;=20/24</formula>
    </cfRule>
    <cfRule type="expression" dxfId="3852" priority="101">
      <formula>AND(M$9&gt;=14/24,M$9&lt;20/24)</formula>
    </cfRule>
    <cfRule type="expression" dxfId="3851" priority="102">
      <formula>AND(M$9&gt;=8/24,M$9&lt;14/24)</formula>
    </cfRule>
    <cfRule type="expression" dxfId="3850" priority="103">
      <formula>M$9&lt;8/24</formula>
    </cfRule>
  </conditionalFormatting>
  <conditionalFormatting sqref="M44:N44 AE42:AF50 O39:AD50">
    <cfRule type="expression" dxfId="3849" priority="99">
      <formula>M39&gt;$AG39</formula>
    </cfRule>
  </conditionalFormatting>
  <conditionalFormatting sqref="AA27:AF27">
    <cfRule type="expression" dxfId="3848" priority="95">
      <formula>AA$9&gt;=20/24</formula>
    </cfRule>
    <cfRule type="expression" dxfId="3847" priority="96">
      <formula>AND(AA$9&gt;=14/24,AA$9&lt;20/24)</formula>
    </cfRule>
    <cfRule type="expression" dxfId="3846" priority="97">
      <formula>AND(AA$9&gt;=8/24,AA$9&lt;14/24)</formula>
    </cfRule>
    <cfRule type="expression" dxfId="3845" priority="98">
      <formula>AA$9&lt;8/24</formula>
    </cfRule>
  </conditionalFormatting>
  <conditionalFormatting sqref="K16:AA17 AB23:AF23 AB17:AF17">
    <cfRule type="expression" dxfId="3844" priority="91">
      <formula>K$9&gt;=20/24</formula>
    </cfRule>
    <cfRule type="expression" dxfId="3843" priority="92">
      <formula>AND(K$9&gt;=14/24,K$9&lt;20/24)</formula>
    </cfRule>
    <cfRule type="expression" dxfId="3842" priority="93">
      <formula>AND(K$9&gt;=8/24,K$9&lt;14/24)</formula>
    </cfRule>
    <cfRule type="expression" dxfId="3841" priority="94">
      <formula>K$9&lt;8/24</formula>
    </cfRule>
  </conditionalFormatting>
  <conditionalFormatting sqref="F35:P35">
    <cfRule type="expression" dxfId="3840" priority="87">
      <formula>F$9&gt;=20/24</formula>
    </cfRule>
    <cfRule type="expression" dxfId="3839" priority="88">
      <formula>AND(F$9&gt;=14/24,F$9&lt;20/24)</formula>
    </cfRule>
    <cfRule type="expression" dxfId="3838" priority="89">
      <formula>AND(F$9&gt;=8/24,F$9&lt;14/24)</formula>
    </cfRule>
    <cfRule type="expression" dxfId="3837" priority="90">
      <formula>F$9&lt;8/24</formula>
    </cfRule>
  </conditionalFormatting>
  <conditionalFormatting sqref="F35:P35 K16:AA17 AB23:AF23 AB17:AF17">
    <cfRule type="expression" dxfId="3836" priority="86">
      <formula>F16&gt;$AG16</formula>
    </cfRule>
  </conditionalFormatting>
  <conditionalFormatting sqref="L64:L66 J66:K66">
    <cfRule type="expression" dxfId="3835" priority="82">
      <formula>J$9&gt;=20/24</formula>
    </cfRule>
    <cfRule type="expression" dxfId="3834" priority="83">
      <formula>AND(J$9&gt;=14/24,J$9&lt;20/24)</formula>
    </cfRule>
    <cfRule type="expression" dxfId="3833" priority="84">
      <formula>AND(J$9&gt;=8/24,J$9&lt;14/24)</formula>
    </cfRule>
    <cfRule type="expression" dxfId="3832" priority="85">
      <formula>J$9&lt;8/24</formula>
    </cfRule>
  </conditionalFormatting>
  <conditionalFormatting sqref="B46:E46 F45:L50 M46:N50">
    <cfRule type="expression" dxfId="3831" priority="78">
      <formula>B$9&gt;=20/24</formula>
    </cfRule>
    <cfRule type="expression" dxfId="3830" priority="79">
      <formula>AND(B$9&gt;=14/24,B$9&lt;20/24)</formula>
    </cfRule>
    <cfRule type="expression" dxfId="3829" priority="80">
      <formula>AND(B$9&gt;=8/24,B$9&lt;14/24)</formula>
    </cfRule>
    <cfRule type="expression" dxfId="3828" priority="81">
      <formula>B$9&lt;8/24</formula>
    </cfRule>
  </conditionalFormatting>
  <conditionalFormatting sqref="B46:E46 F45:L50 M46:N50">
    <cfRule type="expression" dxfId="3827" priority="77">
      <formula>B45&gt;$AG45</formula>
    </cfRule>
  </conditionalFormatting>
  <conditionalFormatting sqref="B94:B100 B74:AF74 B82:AF82 B11:D11">
    <cfRule type="expression" dxfId="3826" priority="73">
      <formula>B$9&gt;=20/24</formula>
    </cfRule>
    <cfRule type="expression" dxfId="3825" priority="74">
      <formula>AND(B$9&gt;=14/24,B$9&lt;20/24)</formula>
    </cfRule>
    <cfRule type="expression" dxfId="3824" priority="75">
      <formula>AND(B$9&gt;=8/24,B$9&lt;14/24)</formula>
    </cfRule>
    <cfRule type="expression" dxfId="3823" priority="76">
      <formula>B$9&lt;8/24</formula>
    </cfRule>
  </conditionalFormatting>
  <conditionalFormatting sqref="B37:C37">
    <cfRule type="expression" dxfId="3822" priority="69">
      <formula>B$9&gt;=20/24</formula>
    </cfRule>
    <cfRule type="expression" dxfId="3821" priority="70">
      <formula>AND(B$9&gt;=14/24,B$9&lt;20/24)</formula>
    </cfRule>
    <cfRule type="expression" dxfId="3820" priority="71">
      <formula>AND(B$9&gt;=8/24,B$9&lt;14/24)</formula>
    </cfRule>
    <cfRule type="expression" dxfId="3819" priority="72">
      <formula>B$9&lt;8/24</formula>
    </cfRule>
  </conditionalFormatting>
  <conditionalFormatting sqref="B11:D11 B37:C37">
    <cfRule type="expression" dxfId="3818" priority="68">
      <formula>B11&gt;$AG11</formula>
    </cfRule>
  </conditionalFormatting>
  <conditionalFormatting sqref="B84:C84">
    <cfRule type="expression" dxfId="3817" priority="64">
      <formula>B$9&gt;=20/24</formula>
    </cfRule>
    <cfRule type="expression" dxfId="3816" priority="65">
      <formula>AND(B$9&gt;=14/24,B$9&lt;20/24)</formula>
    </cfRule>
    <cfRule type="expression" dxfId="3815" priority="66">
      <formula>AND(B$9&gt;=8/24,B$9&lt;14/24)</formula>
    </cfRule>
    <cfRule type="expression" dxfId="3814" priority="67">
      <formula>B$9&lt;8/24</formula>
    </cfRule>
  </conditionalFormatting>
  <conditionalFormatting sqref="B57 B36:E36 B40:E41">
    <cfRule type="expression" dxfId="3813" priority="60">
      <formula>B$9&gt;=20/24</formula>
    </cfRule>
    <cfRule type="expression" dxfId="3812" priority="61">
      <formula>AND(B$9&gt;=14/24,B$9&lt;20/24)</formula>
    </cfRule>
    <cfRule type="expression" dxfId="3811" priority="62">
      <formula>AND(B$9&gt;=8/24,B$9&lt;14/24)</formula>
    </cfRule>
    <cfRule type="expression" dxfId="3810" priority="63">
      <formula>B$9&lt;8/24</formula>
    </cfRule>
  </conditionalFormatting>
  <conditionalFormatting sqref="B39:E39">
    <cfRule type="expression" dxfId="3809" priority="56">
      <formula>B$9&gt;=20/24</formula>
    </cfRule>
    <cfRule type="expression" dxfId="3808" priority="57">
      <formula>AND(B$9&gt;=14/24,B$9&lt;20/24)</formula>
    </cfRule>
    <cfRule type="expression" dxfId="3807" priority="58">
      <formula>AND(B$9&gt;=8/24,B$9&lt;14/24)</formula>
    </cfRule>
    <cfRule type="expression" dxfId="3806" priority="59">
      <formula>B$9&lt;8/24</formula>
    </cfRule>
  </conditionalFormatting>
  <conditionalFormatting sqref="B36:E36 B39:E41">
    <cfRule type="expression" dxfId="3805" priority="55">
      <formula>B36&gt;$AG36</formula>
    </cfRule>
  </conditionalFormatting>
  <conditionalFormatting sqref="B53:B55 B58:B67 B69:B73 B81 B83:AF83 B73:AF73 B75:AF75 B85:C91 C61:E67 F61:I66 B12:J14 B16:J16 J61:K65 AA24:AA25 B28:AA31 B18:AA22 B24:Z26">
    <cfRule type="expression" dxfId="3804" priority="51">
      <formula>B$9&gt;=20/24</formula>
    </cfRule>
    <cfRule type="expression" dxfId="3803" priority="52">
      <formula>AND(B$9&gt;=14/24,B$9&lt;20/24)</formula>
    </cfRule>
    <cfRule type="expression" dxfId="3802" priority="53">
      <formula>AND(B$9&gt;=8/24,B$9&lt;14/24)</formula>
    </cfRule>
    <cfRule type="expression" dxfId="3801" priority="54">
      <formula>B$9&lt;8/24</formula>
    </cfRule>
  </conditionalFormatting>
  <conditionalFormatting sqref="B32:AA32">
    <cfRule type="expression" dxfId="3800" priority="47">
      <formula>B$9&gt;=20/24</formula>
    </cfRule>
    <cfRule type="expression" dxfId="3799" priority="48">
      <formula>AND(B$9&gt;=14/24,B$9&lt;20/24)</formula>
    </cfRule>
    <cfRule type="expression" dxfId="3798" priority="49">
      <formula>AND(B$9&gt;=8/24,B$9&lt;14/24)</formula>
    </cfRule>
    <cfRule type="expression" dxfId="3797" priority="50">
      <formula>B$9&lt;8/24</formula>
    </cfRule>
  </conditionalFormatting>
  <conditionalFormatting sqref="B35:E35">
    <cfRule type="expression" dxfId="3796" priority="43">
      <formula>B$9&gt;=20/24</formula>
    </cfRule>
    <cfRule type="expression" dxfId="3795" priority="44">
      <formula>AND(B$9&gt;=14/24,B$9&lt;20/24)</formula>
    </cfRule>
    <cfRule type="expression" dxfId="3794" priority="45">
      <formula>AND(B$9&gt;=8/24,B$9&lt;14/24)</formula>
    </cfRule>
    <cfRule type="expression" dxfId="3793" priority="46">
      <formula>B$9&lt;8/24</formula>
    </cfRule>
  </conditionalFormatting>
  <conditionalFormatting sqref="B51:B55 B38:AF38 B52:AF52 B42:E43 B34:E35 B12:J16 AA24:AA25 F34:AA34 AA28:AA32 X30:AA30 B18:AA22 B24:Z32">
    <cfRule type="expression" dxfId="3792" priority="42">
      <formula>B12&gt;$AG12</formula>
    </cfRule>
  </conditionalFormatting>
  <conditionalFormatting sqref="B34:AA34">
    <cfRule type="expression" dxfId="3791" priority="38">
      <formula>B$9&gt;=20/24</formula>
    </cfRule>
    <cfRule type="expression" dxfId="3790" priority="39">
      <formula>AND(B$9&gt;=14/24,B$9&lt;20/24)</formula>
    </cfRule>
    <cfRule type="expression" dxfId="3789" priority="40">
      <formula>AND(B$9&gt;=8/24,B$9&lt;14/24)</formula>
    </cfRule>
    <cfRule type="expression" dxfId="3788" priority="41">
      <formula>B$9&lt;8/24</formula>
    </cfRule>
  </conditionalFormatting>
  <conditionalFormatting sqref="B15:J15">
    <cfRule type="expression" dxfId="3787" priority="34">
      <formula>B$9&gt;=20/24</formula>
    </cfRule>
    <cfRule type="expression" dxfId="3786" priority="35">
      <formula>AND(B$9&gt;=14/24,B$9&lt;20/24)</formula>
    </cfRule>
    <cfRule type="expression" dxfId="3785" priority="36">
      <formula>AND(B$9&gt;=8/24,B$9&lt;14/24)</formula>
    </cfRule>
    <cfRule type="expression" dxfId="3784" priority="37">
      <formula>B$9&lt;8/24</formula>
    </cfRule>
  </conditionalFormatting>
  <conditionalFormatting sqref="B33:AA33">
    <cfRule type="expression" dxfId="3783" priority="30">
      <formula>B$9&gt;=20/24</formula>
    </cfRule>
    <cfRule type="expression" dxfId="3782" priority="31">
      <formula>AND(B$9&gt;=14/24,B$9&lt;20/24)</formula>
    </cfRule>
    <cfRule type="expression" dxfId="3781" priority="32">
      <formula>AND(B$9&gt;=8/24,B$9&lt;14/24)</formula>
    </cfRule>
    <cfRule type="expression" dxfId="3780" priority="33">
      <formula>B$9&lt;8/24</formula>
    </cfRule>
  </conditionalFormatting>
  <conditionalFormatting sqref="B33:AA33">
    <cfRule type="expression" dxfId="3779" priority="29">
      <formula>B33&gt;$AG33</formula>
    </cfRule>
  </conditionalFormatting>
  <conditionalFormatting sqref="B44:E45 B47:E50">
    <cfRule type="expression" dxfId="3778" priority="25">
      <formula>B$9&gt;=20/24</formula>
    </cfRule>
    <cfRule type="expression" dxfId="3777" priority="26">
      <formula>AND(B$9&gt;=14/24,B$9&lt;20/24)</formula>
    </cfRule>
    <cfRule type="expression" dxfId="3776" priority="27">
      <formula>AND(B$9&gt;=8/24,B$9&lt;14/24)</formula>
    </cfRule>
    <cfRule type="expression" dxfId="3775" priority="28">
      <formula>B$9&lt;8/24</formula>
    </cfRule>
  </conditionalFormatting>
  <conditionalFormatting sqref="B44:E45 B47:E50">
    <cfRule type="expression" dxfId="3774" priority="24">
      <formula>B44&gt;$AG44</formula>
    </cfRule>
  </conditionalFormatting>
  <conditionalFormatting sqref="B27:Z27">
    <cfRule type="expression" dxfId="3773" priority="20">
      <formula>B$9&gt;=20/24</formula>
    </cfRule>
    <cfRule type="expression" dxfId="3772" priority="21">
      <formula>AND(B$9&gt;=14/24,B$9&lt;20/24)</formula>
    </cfRule>
    <cfRule type="expression" dxfId="3771" priority="22">
      <formula>AND(B$9&gt;=8/24,B$9&lt;14/24)</formula>
    </cfRule>
    <cfRule type="expression" dxfId="3770" priority="23">
      <formula>B$9&lt;8/24</formula>
    </cfRule>
  </conditionalFormatting>
  <conditionalFormatting sqref="B17:J17 B23:AA23">
    <cfRule type="expression" dxfId="3769" priority="16">
      <formula>B$9&gt;=20/24</formula>
    </cfRule>
    <cfRule type="expression" dxfId="3768" priority="17">
      <formula>AND(B$9&gt;=14/24,B$9&lt;20/24)</formula>
    </cfRule>
    <cfRule type="expression" dxfId="3767" priority="18">
      <formula>AND(B$9&gt;=8/24,B$9&lt;14/24)</formula>
    </cfRule>
    <cfRule type="expression" dxfId="3766" priority="19">
      <formula>B$9&lt;8/24</formula>
    </cfRule>
  </conditionalFormatting>
  <conditionalFormatting sqref="B17:J17 B23:AA23">
    <cfRule type="expression" dxfId="3765" priority="15">
      <formula>B17&gt;$AG17</formula>
    </cfRule>
  </conditionalFormatting>
  <conditionalFormatting sqref="A33">
    <cfRule type="expression" dxfId="3764" priority="14">
      <formula>$AH33=0</formula>
    </cfRule>
  </conditionalFormatting>
  <conditionalFormatting sqref="B68:AF68">
    <cfRule type="expression" dxfId="3763" priority="10">
      <formula>B$9&gt;=20/24</formula>
    </cfRule>
    <cfRule type="expression" dxfId="3762" priority="11">
      <formula>AND(B$9&gt;=14/24,B$9&lt;20/24)</formula>
    </cfRule>
    <cfRule type="expression" dxfId="3761" priority="12">
      <formula>AND(B$9&gt;=8/24,B$9&lt;14/24)</formula>
    </cfRule>
    <cfRule type="expression" dxfId="3760" priority="13">
      <formula>B$9&lt;8/24</formula>
    </cfRule>
  </conditionalFormatting>
  <conditionalFormatting sqref="B76:AF80">
    <cfRule type="expression" dxfId="3759" priority="6">
      <formula>B$9&gt;=20/24</formula>
    </cfRule>
    <cfRule type="expression" dxfId="3758" priority="7">
      <formula>AND(B$9&gt;=14/24,B$9&lt;20/24)</formula>
    </cfRule>
    <cfRule type="expression" dxfId="3757" priority="8">
      <formula>AND(B$9&gt;=8/24,B$9&lt;14/24)</formula>
    </cfRule>
    <cfRule type="expression" dxfId="3756" priority="9">
      <formula>B$9&lt;8/24</formula>
    </cfRule>
  </conditionalFormatting>
  <conditionalFormatting sqref="M42:N43 M45:N45">
    <cfRule type="expression" dxfId="3755" priority="2">
      <formula>M$9&gt;=20/24</formula>
    </cfRule>
    <cfRule type="expression" dxfId="3754" priority="3">
      <formula>AND(M$9&gt;=14/24,M$9&lt;20/24)</formula>
    </cfRule>
    <cfRule type="expression" dxfId="3753" priority="4">
      <formula>AND(M$9&gt;=8/24,M$9&lt;14/24)</formula>
    </cfRule>
    <cfRule type="expression" dxfId="3752" priority="5">
      <formula>M$9&lt;8/24</formula>
    </cfRule>
  </conditionalFormatting>
  <conditionalFormatting sqref="M42:N43 M45:N45">
    <cfRule type="expression" dxfId="3751" priority="1">
      <formula>M42&gt;$AG42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26" sqref="L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2" width="9.28515625" customWidth="1"/>
    <col min="23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2079/02/16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</v>
      </c>
      <c r="C5" s="32">
        <f t="shared" si="0"/>
        <v>7</v>
      </c>
      <c r="D5" s="32">
        <f t="shared" si="0"/>
        <v>10.3</v>
      </c>
      <c r="E5" s="32">
        <f t="shared" si="0"/>
        <v>11.9</v>
      </c>
      <c r="F5" s="32">
        <f t="shared" si="0"/>
        <v>11.6</v>
      </c>
      <c r="G5" s="32">
        <f t="shared" si="0"/>
        <v>11.1</v>
      </c>
      <c r="H5" s="32">
        <f t="shared" si="0"/>
        <v>7</v>
      </c>
      <c r="I5" s="32">
        <f t="shared" si="0"/>
        <v>10.3</v>
      </c>
      <c r="J5" s="32">
        <f t="shared" si="0"/>
        <v>16.100000000000001</v>
      </c>
      <c r="K5" s="32">
        <f t="shared" si="0"/>
        <v>23.3</v>
      </c>
      <c r="L5" s="32">
        <f t="shared" si="0"/>
        <v>25.5</v>
      </c>
      <c r="M5" s="32">
        <f t="shared" si="0"/>
        <v>26.7</v>
      </c>
      <c r="N5" s="32">
        <f t="shared" si="0"/>
        <v>33</v>
      </c>
      <c r="O5" s="32">
        <f t="shared" si="0"/>
        <v>29.4</v>
      </c>
      <c r="P5" s="32">
        <f t="shared" si="0"/>
        <v>55</v>
      </c>
      <c r="Q5" s="32">
        <f t="shared" si="0"/>
        <v>47.2</v>
      </c>
      <c r="R5" s="32">
        <f t="shared" si="0"/>
        <v>46.2</v>
      </c>
      <c r="S5" s="32">
        <f t="shared" si="0"/>
        <v>29.4</v>
      </c>
      <c r="T5" s="32">
        <f t="shared" si="0"/>
        <v>33.4</v>
      </c>
      <c r="U5" s="32">
        <f t="shared" si="0"/>
        <v>39.5</v>
      </c>
      <c r="V5" s="32">
        <f t="shared" si="0"/>
        <v>35.1</v>
      </c>
      <c r="W5" s="32">
        <f t="shared" si="0"/>
        <v>31.3</v>
      </c>
      <c r="X5" s="32">
        <f t="shared" si="0"/>
        <v>32</v>
      </c>
      <c r="Y5" s="32">
        <f t="shared" si="0"/>
        <v>29</v>
      </c>
      <c r="Z5" s="32">
        <f t="shared" si="0"/>
        <v>33</v>
      </c>
      <c r="AA5" s="32">
        <f t="shared" si="0"/>
        <v>45.1</v>
      </c>
      <c r="AB5" s="32">
        <f t="shared" si="0"/>
        <v>53.9</v>
      </c>
      <c r="AC5" s="32">
        <f t="shared" si="0"/>
        <v>52.2</v>
      </c>
      <c r="AD5" s="32">
        <f t="shared" si="0"/>
        <v>32.700000000000003</v>
      </c>
      <c r="AE5" s="32">
        <f t="shared" si="0"/>
        <v>47.8</v>
      </c>
      <c r="AF5" s="32">
        <f>B68</f>
        <v>11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1655MW at 8:00hr</v>
      </c>
      <c r="M6" s="11"/>
      <c r="N6" s="11"/>
      <c r="O6" s="11"/>
      <c r="P6" s="11"/>
      <c r="Q6" s="11"/>
      <c r="R6" s="11"/>
      <c r="S6" s="11"/>
      <c r="T6" s="11"/>
      <c r="U6" s="11"/>
      <c r="V6" s="37">
        <f>V7+V83</f>
        <v>1331.04</v>
      </c>
      <c r="W6" s="37">
        <f>W7+W83</f>
        <v>1327.7399999999998</v>
      </c>
      <c r="X6" s="37">
        <f t="shared" ref="X6:AA6" si="1">X7+X83</f>
        <v>1327.24</v>
      </c>
      <c r="Y6" s="37">
        <f t="shared" si="1"/>
        <v>1323.04</v>
      </c>
      <c r="Z6" s="37">
        <f t="shared" si="1"/>
        <v>1334.04</v>
      </c>
      <c r="AA6" s="37">
        <f t="shared" si="1"/>
        <v>1451.74</v>
      </c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Load=1476</v>
      </c>
      <c r="B7" s="37">
        <f>B75</f>
        <v>1591.54</v>
      </c>
      <c r="C7" s="37">
        <f t="shared" ref="C7:AF7" si="2">C75</f>
        <v>1566.14</v>
      </c>
      <c r="D7" s="37">
        <f t="shared" si="2"/>
        <v>1551.3400000000001</v>
      </c>
      <c r="E7" s="37">
        <f t="shared" si="2"/>
        <v>1476.04</v>
      </c>
      <c r="F7" s="37">
        <f t="shared" si="2"/>
        <v>1477.64</v>
      </c>
      <c r="G7" s="37">
        <f t="shared" si="2"/>
        <v>1481.1399999999999</v>
      </c>
      <c r="H7" s="37">
        <f t="shared" si="2"/>
        <v>1491.24</v>
      </c>
      <c r="I7" s="37">
        <f t="shared" si="2"/>
        <v>1506.74</v>
      </c>
      <c r="J7" s="37">
        <f t="shared" si="2"/>
        <v>1593.34</v>
      </c>
      <c r="K7" s="37">
        <f t="shared" si="2"/>
        <v>1616.74</v>
      </c>
      <c r="L7" s="37">
        <f t="shared" si="2"/>
        <v>1631.04</v>
      </c>
      <c r="M7" s="37">
        <f t="shared" si="2"/>
        <v>1655.1399999999999</v>
      </c>
      <c r="N7" s="37">
        <f t="shared" si="2"/>
        <v>1627.0400000000002</v>
      </c>
      <c r="O7" s="37">
        <f t="shared" si="2"/>
        <v>1647.94</v>
      </c>
      <c r="P7" s="37">
        <f t="shared" si="2"/>
        <v>1657.6400000000003</v>
      </c>
      <c r="Q7" s="37">
        <f t="shared" si="2"/>
        <v>1675.2400000000002</v>
      </c>
      <c r="R7" s="37">
        <f t="shared" si="2"/>
        <v>1676.8400000000001</v>
      </c>
      <c r="S7" s="37">
        <f t="shared" si="2"/>
        <v>1672.14</v>
      </c>
      <c r="T7" s="37">
        <f t="shared" si="2"/>
        <v>1658.3400000000001</v>
      </c>
      <c r="U7" s="37">
        <f t="shared" si="2"/>
        <v>1661.94</v>
      </c>
      <c r="V7" s="37">
        <f t="shared" si="2"/>
        <v>1668.54</v>
      </c>
      <c r="W7" s="37">
        <f t="shared" si="2"/>
        <v>1664.9399999999998</v>
      </c>
      <c r="X7" s="37">
        <f t="shared" si="2"/>
        <v>1661.94</v>
      </c>
      <c r="Y7" s="37">
        <f t="shared" si="2"/>
        <v>1667.04</v>
      </c>
      <c r="Z7" s="37">
        <f t="shared" si="2"/>
        <v>1664.04</v>
      </c>
      <c r="AA7" s="37">
        <f t="shared" si="2"/>
        <v>1668.74</v>
      </c>
      <c r="AB7" s="37">
        <f t="shared" si="2"/>
        <v>1687.84</v>
      </c>
      <c r="AC7" s="37">
        <f t="shared" si="2"/>
        <v>1696.64</v>
      </c>
      <c r="AD7" s="37">
        <f t="shared" si="2"/>
        <v>1694.94</v>
      </c>
      <c r="AE7" s="37">
        <f t="shared" si="2"/>
        <v>1597.44</v>
      </c>
      <c r="AF7" s="37">
        <f t="shared" si="2"/>
        <v>1567.54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51">
        <v>400</v>
      </c>
      <c r="F11" s="51">
        <v>400</v>
      </c>
      <c r="G11" s="51">
        <v>400</v>
      </c>
      <c r="H11" s="51">
        <v>400</v>
      </c>
      <c r="I11" s="51">
        <v>400</v>
      </c>
      <c r="J11" s="52">
        <v>456</v>
      </c>
      <c r="K11" s="52">
        <v>456</v>
      </c>
      <c r="L11" s="52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1">
        <v>456</v>
      </c>
      <c r="Y11" s="51">
        <v>456</v>
      </c>
      <c r="Z11" s="51">
        <v>456</v>
      </c>
      <c r="AA11" s="51">
        <v>455</v>
      </c>
      <c r="AB11" s="51">
        <v>455</v>
      </c>
      <c r="AC11" s="51">
        <v>455</v>
      </c>
      <c r="AD11" s="51">
        <v>455</v>
      </c>
      <c r="AE11" s="51">
        <v>380</v>
      </c>
      <c r="AF11" s="51">
        <v>380</v>
      </c>
      <c r="AG11" s="54">
        <v>456</v>
      </c>
      <c r="AH11" s="55">
        <f>MAX(B11:AF11)</f>
        <v>456</v>
      </c>
      <c r="AI11" s="56">
        <f>MIN(B11:AF11)</f>
        <v>380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48</v>
      </c>
      <c r="P12" s="51">
        <v>48</v>
      </c>
      <c r="Q12" s="51">
        <v>48</v>
      </c>
      <c r="R12" s="51">
        <v>48</v>
      </c>
      <c r="S12" s="51">
        <v>48</v>
      </c>
      <c r="T12" s="51">
        <v>48</v>
      </c>
      <c r="U12" s="51">
        <v>48</v>
      </c>
      <c r="V12" s="51">
        <v>48</v>
      </c>
      <c r="W12" s="51">
        <v>48</v>
      </c>
      <c r="X12" s="51">
        <v>48</v>
      </c>
      <c r="Y12" s="51">
        <v>48</v>
      </c>
      <c r="Z12" s="51">
        <v>48</v>
      </c>
      <c r="AA12" s="51">
        <v>48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3">MAX(B12:AF12)</f>
        <v>60</v>
      </c>
      <c r="AI12" s="56">
        <f t="shared" ref="AI12:AI75" si="4">MIN(B12:AF12)</f>
        <v>48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</v>
      </c>
      <c r="C13" s="51">
        <v>54</v>
      </c>
      <c r="D13" s="51">
        <v>54</v>
      </c>
      <c r="E13" s="51">
        <v>53.8</v>
      </c>
      <c r="F13" s="51">
        <v>53.8</v>
      </c>
      <c r="G13" s="51">
        <v>53.8</v>
      </c>
      <c r="H13" s="51">
        <v>53.8</v>
      </c>
      <c r="I13" s="51">
        <v>53.8</v>
      </c>
      <c r="J13" s="51">
        <v>53.8</v>
      </c>
      <c r="K13" s="51">
        <v>53.8</v>
      </c>
      <c r="L13" s="51">
        <v>53.8</v>
      </c>
      <c r="M13" s="51">
        <v>53.7</v>
      </c>
      <c r="N13" s="51">
        <v>53.7</v>
      </c>
      <c r="O13" s="51">
        <v>53.7</v>
      </c>
      <c r="P13" s="51">
        <v>53.7</v>
      </c>
      <c r="Q13" s="51">
        <v>53.7</v>
      </c>
      <c r="R13" s="51">
        <v>53.8</v>
      </c>
      <c r="S13" s="51">
        <v>53.8</v>
      </c>
      <c r="T13" s="51">
        <v>53.8</v>
      </c>
      <c r="U13" s="51">
        <v>53.8</v>
      </c>
      <c r="V13" s="51">
        <v>53.8</v>
      </c>
      <c r="W13" s="51">
        <v>53.6</v>
      </c>
      <c r="X13" s="51">
        <v>53.6</v>
      </c>
      <c r="Y13" s="51">
        <v>53.6</v>
      </c>
      <c r="Z13" s="51">
        <v>53.6</v>
      </c>
      <c r="AA13" s="51">
        <v>53.6</v>
      </c>
      <c r="AB13" s="51">
        <v>53.6</v>
      </c>
      <c r="AC13" s="51">
        <v>53.6</v>
      </c>
      <c r="AD13" s="51">
        <v>53.6</v>
      </c>
      <c r="AE13" s="51">
        <v>53.6</v>
      </c>
      <c r="AF13" s="51">
        <v>53.6</v>
      </c>
      <c r="AG13" s="59">
        <v>52.4</v>
      </c>
      <c r="AH13" s="55">
        <f t="shared" si="3"/>
        <v>54</v>
      </c>
      <c r="AI13" s="56">
        <f t="shared" si="4"/>
        <v>53.6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50.5</v>
      </c>
      <c r="D14" s="51">
        <v>50.5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50.5</v>
      </c>
      <c r="N14" s="51">
        <v>50.5</v>
      </c>
      <c r="O14" s="51">
        <v>50.4</v>
      </c>
      <c r="P14" s="51">
        <v>50.4</v>
      </c>
      <c r="Q14" s="51">
        <v>50.4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9">
        <v>50</v>
      </c>
      <c r="AH14" s="55">
        <f t="shared" si="3"/>
        <v>50.5</v>
      </c>
      <c r="AI14" s="56">
        <f t="shared" si="4"/>
        <v>50.3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45.9</v>
      </c>
      <c r="C15" s="51">
        <v>45.9</v>
      </c>
      <c r="D15" s="51">
        <v>45.9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45.9</v>
      </c>
      <c r="P15" s="51">
        <v>45.9</v>
      </c>
      <c r="Q15" s="51">
        <v>45.9</v>
      </c>
      <c r="R15" s="51">
        <v>45.8</v>
      </c>
      <c r="S15" s="51">
        <v>45.8</v>
      </c>
      <c r="T15" s="51">
        <v>45.8</v>
      </c>
      <c r="U15" s="51">
        <v>45.8</v>
      </c>
      <c r="V15" s="51">
        <v>45.8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60">
        <v>45</v>
      </c>
      <c r="AH15" s="55">
        <f t="shared" si="3"/>
        <v>45.9</v>
      </c>
      <c r="AI15" s="56">
        <f t="shared" si="4"/>
        <v>45.7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24</v>
      </c>
      <c r="C16" s="51">
        <v>24</v>
      </c>
      <c r="D16" s="51">
        <v>24</v>
      </c>
      <c r="E16" s="51">
        <v>24</v>
      </c>
      <c r="F16" s="51">
        <v>24</v>
      </c>
      <c r="G16" s="51">
        <v>24</v>
      </c>
      <c r="H16" s="51">
        <v>24</v>
      </c>
      <c r="I16" s="51">
        <v>24</v>
      </c>
      <c r="J16" s="51">
        <v>24</v>
      </c>
      <c r="K16" s="51">
        <v>24</v>
      </c>
      <c r="L16" s="51">
        <v>28</v>
      </c>
      <c r="M16" s="51">
        <v>28</v>
      </c>
      <c r="N16" s="51">
        <v>28</v>
      </c>
      <c r="O16" s="51">
        <v>35</v>
      </c>
      <c r="P16" s="51">
        <v>35</v>
      </c>
      <c r="Q16" s="51">
        <v>35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3"/>
        <v>40</v>
      </c>
      <c r="AI16" s="56">
        <f t="shared" si="4"/>
        <v>24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9">
        <v>42</v>
      </c>
      <c r="AH17" s="55">
        <f t="shared" si="3"/>
        <v>0</v>
      </c>
      <c r="AI17" s="56">
        <f t="shared" si="4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3"/>
        <v>25</v>
      </c>
      <c r="AI18" s="56">
        <f t="shared" si="4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26.1</v>
      </c>
      <c r="C19" s="51">
        <v>26.1</v>
      </c>
      <c r="D19" s="51">
        <v>26.1</v>
      </c>
      <c r="E19" s="51">
        <v>25.8</v>
      </c>
      <c r="F19" s="51">
        <v>25.8</v>
      </c>
      <c r="G19" s="51">
        <v>25.8</v>
      </c>
      <c r="H19" s="51">
        <v>25.8</v>
      </c>
      <c r="I19" s="51">
        <v>25.8</v>
      </c>
      <c r="J19" s="51">
        <v>25.8</v>
      </c>
      <c r="K19" s="51">
        <v>25.8</v>
      </c>
      <c r="L19" s="51">
        <v>25.8</v>
      </c>
      <c r="M19" s="51">
        <v>25.8</v>
      </c>
      <c r="N19" s="51">
        <v>0</v>
      </c>
      <c r="O19" s="51">
        <v>26</v>
      </c>
      <c r="P19" s="51">
        <v>26</v>
      </c>
      <c r="Q19" s="51">
        <v>26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>
        <v>26</v>
      </c>
      <c r="Z19" s="51">
        <v>26</v>
      </c>
      <c r="AA19" s="51">
        <v>26</v>
      </c>
      <c r="AB19" s="51">
        <v>26</v>
      </c>
      <c r="AC19" s="51">
        <v>26</v>
      </c>
      <c r="AD19" s="51">
        <v>26</v>
      </c>
      <c r="AE19" s="51">
        <v>26</v>
      </c>
      <c r="AF19" s="51">
        <v>26</v>
      </c>
      <c r="AG19" s="59">
        <v>30</v>
      </c>
      <c r="AH19" s="55">
        <f t="shared" si="3"/>
        <v>26.1</v>
      </c>
      <c r="AI19" s="56">
        <f t="shared" si="4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19.2</v>
      </c>
      <c r="C20" s="51">
        <v>19.2</v>
      </c>
      <c r="D20" s="51">
        <v>19.2</v>
      </c>
      <c r="E20" s="51">
        <v>19.600000000000001</v>
      </c>
      <c r="F20" s="51">
        <v>19.600000000000001</v>
      </c>
      <c r="G20" s="51">
        <v>19.600000000000001</v>
      </c>
      <c r="H20" s="51">
        <v>19.600000000000001</v>
      </c>
      <c r="I20" s="51">
        <v>19.600000000000001</v>
      </c>
      <c r="J20" s="51">
        <v>19.600000000000001</v>
      </c>
      <c r="K20" s="51">
        <v>19.600000000000001</v>
      </c>
      <c r="L20" s="51">
        <v>19.600000000000001</v>
      </c>
      <c r="M20" s="51">
        <v>19.600000000000001</v>
      </c>
      <c r="N20" s="51">
        <v>19.600000000000001</v>
      </c>
      <c r="O20" s="51">
        <v>19.600000000000001</v>
      </c>
      <c r="P20" s="51">
        <v>19.600000000000001</v>
      </c>
      <c r="Q20" s="51">
        <v>19.600000000000001</v>
      </c>
      <c r="R20" s="51">
        <v>19.600000000000001</v>
      </c>
      <c r="S20" s="51">
        <v>19.600000000000001</v>
      </c>
      <c r="T20" s="51">
        <v>19.600000000000001</v>
      </c>
      <c r="U20" s="51">
        <v>19.600000000000001</v>
      </c>
      <c r="V20" s="51">
        <v>19.600000000000001</v>
      </c>
      <c r="W20" s="51">
        <v>19.600000000000001</v>
      </c>
      <c r="X20" s="51">
        <v>19.600000000000001</v>
      </c>
      <c r="Y20" s="51">
        <v>19.600000000000001</v>
      </c>
      <c r="Z20" s="51">
        <v>19.600000000000001</v>
      </c>
      <c r="AA20" s="51">
        <v>19.600000000000001</v>
      </c>
      <c r="AB20" s="51">
        <v>19.600000000000001</v>
      </c>
      <c r="AC20" s="51">
        <v>19.600000000000001</v>
      </c>
      <c r="AD20" s="51">
        <v>19.600000000000001</v>
      </c>
      <c r="AE20" s="51">
        <v>19.600000000000001</v>
      </c>
      <c r="AF20" s="51">
        <v>19.600000000000001</v>
      </c>
      <c r="AG20" s="59">
        <v>27</v>
      </c>
      <c r="AH20" s="55">
        <f t="shared" si="3"/>
        <v>19.600000000000001</v>
      </c>
      <c r="AI20" s="56">
        <f t="shared" si="4"/>
        <v>19.2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3"/>
        <v>19</v>
      </c>
      <c r="AI21" s="56">
        <f t="shared" si="4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3"/>
        <v>22</v>
      </c>
      <c r="AI22" s="56">
        <f t="shared" si="4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17</v>
      </c>
      <c r="O23" s="51">
        <v>9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3"/>
        <v>22</v>
      </c>
      <c r="AI23" s="56">
        <f t="shared" si="4"/>
        <v>9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3"/>
        <v>22</v>
      </c>
      <c r="AI24" s="56">
        <f t="shared" si="4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3"/>
        <v>22</v>
      </c>
      <c r="AI25" s="56">
        <f t="shared" si="4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5</v>
      </c>
      <c r="AG26" s="59">
        <v>20</v>
      </c>
      <c r="AH26" s="55">
        <f t="shared" si="3"/>
        <v>10</v>
      </c>
      <c r="AI26" s="56">
        <f t="shared" si="4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8</v>
      </c>
      <c r="N27" s="51">
        <v>8</v>
      </c>
      <c r="O27" s="51">
        <v>8</v>
      </c>
      <c r="P27" s="51">
        <v>8</v>
      </c>
      <c r="Q27" s="51">
        <v>0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3"/>
        <v>14</v>
      </c>
      <c r="AI27" s="56">
        <f t="shared" si="4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8</v>
      </c>
      <c r="C28" s="51">
        <v>8</v>
      </c>
      <c r="D28" s="51">
        <v>8</v>
      </c>
      <c r="E28" s="51">
        <v>8</v>
      </c>
      <c r="F28" s="51">
        <v>8</v>
      </c>
      <c r="G28" s="51">
        <v>8</v>
      </c>
      <c r="H28" s="51">
        <v>8</v>
      </c>
      <c r="I28" s="51">
        <v>8</v>
      </c>
      <c r="J28" s="51">
        <v>8</v>
      </c>
      <c r="K28" s="51">
        <v>8</v>
      </c>
      <c r="L28" s="51">
        <v>8</v>
      </c>
      <c r="M28" s="51">
        <v>8</v>
      </c>
      <c r="N28" s="51">
        <v>8</v>
      </c>
      <c r="O28" s="51">
        <v>8</v>
      </c>
      <c r="P28" s="51">
        <v>8</v>
      </c>
      <c r="Q28" s="51">
        <v>8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59">
        <v>22.2</v>
      </c>
      <c r="AH28" s="55">
        <f t="shared" si="3"/>
        <v>8</v>
      </c>
      <c r="AI28" s="56">
        <f t="shared" si="4"/>
        <v>5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3"/>
        <v>0</v>
      </c>
      <c r="AI29" s="56">
        <f t="shared" si="4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3"/>
        <v>12</v>
      </c>
      <c r="AI30" s="56">
        <f t="shared" si="4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5.7</v>
      </c>
      <c r="Q31" s="51">
        <v>5.7</v>
      </c>
      <c r="R31" s="51">
        <v>5.7</v>
      </c>
      <c r="S31" s="51">
        <v>5.7</v>
      </c>
      <c r="T31" s="51">
        <v>5.7</v>
      </c>
      <c r="U31" s="51">
        <v>5.7</v>
      </c>
      <c r="V31" s="51">
        <v>5.7</v>
      </c>
      <c r="W31" s="51">
        <v>5.7</v>
      </c>
      <c r="X31" s="51">
        <v>5.7</v>
      </c>
      <c r="Y31" s="51">
        <v>5.7</v>
      </c>
      <c r="Z31" s="51">
        <v>5.7</v>
      </c>
      <c r="AA31" s="51">
        <v>5.7</v>
      </c>
      <c r="AB31" s="51">
        <v>5.7</v>
      </c>
      <c r="AC31" s="51">
        <v>5.7</v>
      </c>
      <c r="AD31" s="51">
        <v>5.7</v>
      </c>
      <c r="AE31" s="51">
        <v>5.7</v>
      </c>
      <c r="AF31" s="51">
        <v>5.7</v>
      </c>
      <c r="AG31" s="60">
        <v>22</v>
      </c>
      <c r="AH31" s="55">
        <f t="shared" si="3"/>
        <v>5.7</v>
      </c>
      <c r="AI31" s="56">
        <f t="shared" si="4"/>
        <v>5.7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4">
        <v>22</v>
      </c>
      <c r="AH32" s="55">
        <f t="shared" si="3"/>
        <v>0</v>
      </c>
      <c r="AI32" s="56">
        <f t="shared" si="4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3"/>
        <v>2.5</v>
      </c>
      <c r="AI33" s="56">
        <f t="shared" si="4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10</v>
      </c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1">
        <v>10</v>
      </c>
      <c r="S34" s="51">
        <v>10</v>
      </c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1"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64">
        <v>20</v>
      </c>
      <c r="AH34" s="55">
        <f t="shared" si="3"/>
        <v>10</v>
      </c>
      <c r="AI34" s="56">
        <f t="shared" si="4"/>
        <v>10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3"/>
        <v>0</v>
      </c>
      <c r="AI35" s="56">
        <f t="shared" si="4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3"/>
        <v>300</v>
      </c>
      <c r="AI36" s="56">
        <f t="shared" si="4"/>
        <v>300</v>
      </c>
      <c r="AK36" s="57"/>
    </row>
    <row r="37" spans="1:88" ht="15.75" thickBot="1" x14ac:dyDescent="0.3">
      <c r="A37" s="67" t="s">
        <v>45</v>
      </c>
      <c r="B37" s="68">
        <v>130</v>
      </c>
      <c r="C37" s="68">
        <v>130</v>
      </c>
      <c r="D37" s="68">
        <v>125</v>
      </c>
      <c r="E37" s="66">
        <f>39.7+93.5</f>
        <v>133.19999999999999</v>
      </c>
      <c r="F37" s="66">
        <f>39.7+93.2</f>
        <v>132.9</v>
      </c>
      <c r="G37" s="66">
        <f>39.6+92.9</f>
        <v>132.5</v>
      </c>
      <c r="H37" s="66">
        <f>39.3+92.5</f>
        <v>131.80000000000001</v>
      </c>
      <c r="I37" s="66">
        <f>38.7+90.4</f>
        <v>129.10000000000002</v>
      </c>
      <c r="J37" s="66">
        <f>35+86.3</f>
        <v>121.3</v>
      </c>
      <c r="K37" s="66">
        <f>34.3+82.5</f>
        <v>116.8</v>
      </c>
      <c r="L37" s="66">
        <f>33.6+86.1</f>
        <v>119.69999999999999</v>
      </c>
      <c r="M37" s="66">
        <f>83.6+34.4</f>
        <v>118</v>
      </c>
      <c r="N37" s="66">
        <f>85.4+36.5</f>
        <v>121.9</v>
      </c>
      <c r="O37" s="66">
        <f>83.9+32.1</f>
        <v>116</v>
      </c>
      <c r="P37" s="66">
        <f>89.3+34.9</f>
        <v>124.19999999999999</v>
      </c>
      <c r="Q37" s="66">
        <f>90.5+35.3</f>
        <v>125.8</v>
      </c>
      <c r="R37" s="66">
        <f>93.1+39.1</f>
        <v>132.19999999999999</v>
      </c>
      <c r="S37" s="66">
        <f>39.4+84.8</f>
        <v>124.19999999999999</v>
      </c>
      <c r="T37" s="66">
        <f>40.2+87</f>
        <v>127.2</v>
      </c>
      <c r="U37" s="66">
        <f>42.7+95.9</f>
        <v>138.60000000000002</v>
      </c>
      <c r="V37" s="66">
        <f>39.5+86</f>
        <v>125.5</v>
      </c>
      <c r="W37" s="66">
        <f>39.4+85.6</f>
        <v>125</v>
      </c>
      <c r="X37" s="66">
        <f>39+84.6</f>
        <v>123.6</v>
      </c>
      <c r="Y37" s="66">
        <f>38.6+84</f>
        <v>122.6</v>
      </c>
      <c r="Z37" s="66">
        <f>39.4+87.3</f>
        <v>126.69999999999999</v>
      </c>
      <c r="AA37" s="66">
        <f>41.2+93.1</f>
        <v>134.30000000000001</v>
      </c>
      <c r="AB37" s="68">
        <f>41.3+93.1</f>
        <v>134.39999999999998</v>
      </c>
      <c r="AC37" s="68">
        <f>41.3+93.5</f>
        <v>134.80000000000001</v>
      </c>
      <c r="AD37" s="68">
        <f>40+93.2</f>
        <v>133.19999999999999</v>
      </c>
      <c r="AE37" s="68">
        <f>41.7+94.6</f>
        <v>136.30000000000001</v>
      </c>
      <c r="AF37" s="68">
        <f>41+91</f>
        <v>132</v>
      </c>
      <c r="AG37" s="64">
        <v>240</v>
      </c>
      <c r="AH37" s="55">
        <f t="shared" si="3"/>
        <v>138.60000000000002</v>
      </c>
      <c r="AI37" s="56">
        <f t="shared" si="4"/>
        <v>116</v>
      </c>
      <c r="AK37" s="57"/>
    </row>
    <row r="38" spans="1:88" ht="15.75" thickBot="1" x14ac:dyDescent="0.3">
      <c r="A38" s="69" t="s">
        <v>46</v>
      </c>
      <c r="B38" s="70">
        <f>SUM(B11:B36)</f>
        <v>1205.9000000000001</v>
      </c>
      <c r="C38" s="70">
        <f t="shared" ref="C38:AF38" si="5">SUM(C11:C36)</f>
        <v>1205.9000000000001</v>
      </c>
      <c r="D38" s="70">
        <f t="shared" si="5"/>
        <v>1205.9000000000001</v>
      </c>
      <c r="E38" s="70">
        <f t="shared" si="5"/>
        <v>1149.5</v>
      </c>
      <c r="F38" s="70">
        <f t="shared" si="5"/>
        <v>1149.5</v>
      </c>
      <c r="G38" s="70">
        <f t="shared" si="5"/>
        <v>1149.5</v>
      </c>
      <c r="H38" s="70">
        <f t="shared" si="5"/>
        <v>1149.5</v>
      </c>
      <c r="I38" s="70">
        <f t="shared" si="5"/>
        <v>1149.5</v>
      </c>
      <c r="J38" s="70">
        <f t="shared" si="5"/>
        <v>1205.5</v>
      </c>
      <c r="K38" s="70">
        <f t="shared" si="5"/>
        <v>1205.5</v>
      </c>
      <c r="L38" s="70">
        <f t="shared" si="5"/>
        <v>1209.5</v>
      </c>
      <c r="M38" s="70">
        <f t="shared" si="5"/>
        <v>1227.5999999999999</v>
      </c>
      <c r="N38" s="70">
        <f t="shared" si="5"/>
        <v>1196.8000000000002</v>
      </c>
      <c r="O38" s="70">
        <f t="shared" si="5"/>
        <v>1209.8000000000002</v>
      </c>
      <c r="P38" s="70">
        <f t="shared" si="5"/>
        <v>1222.8000000000002</v>
      </c>
      <c r="Q38" s="70">
        <f t="shared" si="5"/>
        <v>1214.8000000000002</v>
      </c>
      <c r="R38" s="70">
        <f t="shared" si="5"/>
        <v>1230.9000000000001</v>
      </c>
      <c r="S38" s="70">
        <f t="shared" si="5"/>
        <v>1230.9000000000001</v>
      </c>
      <c r="T38" s="70">
        <f t="shared" si="5"/>
        <v>1230.9000000000001</v>
      </c>
      <c r="U38" s="70">
        <f t="shared" si="5"/>
        <v>1230.9000000000001</v>
      </c>
      <c r="V38" s="70">
        <f t="shared" si="5"/>
        <v>1230.9000000000001</v>
      </c>
      <c r="W38" s="70">
        <f t="shared" si="5"/>
        <v>1230.5</v>
      </c>
      <c r="X38" s="70">
        <f t="shared" si="5"/>
        <v>1230.5</v>
      </c>
      <c r="Y38" s="70">
        <f t="shared" si="5"/>
        <v>1230.5</v>
      </c>
      <c r="Z38" s="70">
        <f t="shared" si="5"/>
        <v>1230.5</v>
      </c>
      <c r="AA38" s="70">
        <f t="shared" si="5"/>
        <v>1229.5</v>
      </c>
      <c r="AB38" s="70">
        <f t="shared" si="5"/>
        <v>1241.5</v>
      </c>
      <c r="AC38" s="70">
        <f t="shared" si="5"/>
        <v>1241.5</v>
      </c>
      <c r="AD38" s="70">
        <f t="shared" si="5"/>
        <v>1241.5</v>
      </c>
      <c r="AE38" s="70">
        <f t="shared" si="5"/>
        <v>1166.5</v>
      </c>
      <c r="AF38" s="70">
        <f t="shared" si="5"/>
        <v>1161.5</v>
      </c>
      <c r="AG38" s="64">
        <f>SUM(AG11:AG37)</f>
        <v>1492.8299999999997</v>
      </c>
      <c r="AH38" s="55">
        <f t="shared" si="3"/>
        <v>1241.5</v>
      </c>
      <c r="AI38" s="56">
        <f t="shared" si="4"/>
        <v>1149.5</v>
      </c>
      <c r="AK38" s="57"/>
    </row>
    <row r="39" spans="1:88" x14ac:dyDescent="0.25">
      <c r="A39" s="58" t="s">
        <v>47</v>
      </c>
      <c r="B39" s="51">
        <v>131</v>
      </c>
      <c r="C39" s="51">
        <v>131</v>
      </c>
      <c r="D39" s="51">
        <v>131</v>
      </c>
      <c r="E39" s="51">
        <v>110</v>
      </c>
      <c r="F39" s="51">
        <v>110</v>
      </c>
      <c r="G39" s="51">
        <v>112.3</v>
      </c>
      <c r="H39" s="51">
        <v>112.2</v>
      </c>
      <c r="I39" s="51">
        <v>132.1</v>
      </c>
      <c r="J39" s="51">
        <v>140</v>
      </c>
      <c r="K39" s="51">
        <v>140</v>
      </c>
      <c r="L39" s="51">
        <v>140</v>
      </c>
      <c r="M39" s="51">
        <v>140.6</v>
      </c>
      <c r="N39" s="51">
        <v>140.6</v>
      </c>
      <c r="O39" s="51">
        <v>141</v>
      </c>
      <c r="P39" s="51">
        <v>141.69999999999999</v>
      </c>
      <c r="Q39" s="51">
        <v>141.30000000000001</v>
      </c>
      <c r="R39" s="51">
        <v>141.30000000000001</v>
      </c>
      <c r="S39" s="51">
        <v>138.69999999999999</v>
      </c>
      <c r="T39" s="51">
        <v>139</v>
      </c>
      <c r="U39" s="51">
        <v>138.6</v>
      </c>
      <c r="V39" s="51">
        <v>139.4</v>
      </c>
      <c r="W39" s="51">
        <v>140.6</v>
      </c>
      <c r="X39" s="51">
        <v>141.1</v>
      </c>
      <c r="Y39" s="51">
        <v>141.9</v>
      </c>
      <c r="Z39" s="51">
        <v>141.9</v>
      </c>
      <c r="AA39" s="51">
        <v>142.5</v>
      </c>
      <c r="AB39" s="51">
        <v>142.5</v>
      </c>
      <c r="AC39" s="51">
        <v>142.5</v>
      </c>
      <c r="AD39" s="51">
        <v>142.5</v>
      </c>
      <c r="AE39" s="51">
        <v>142.5</v>
      </c>
      <c r="AF39" s="51">
        <v>142</v>
      </c>
      <c r="AG39" s="60">
        <v>144</v>
      </c>
      <c r="AH39" s="55">
        <f t="shared" si="3"/>
        <v>142.5</v>
      </c>
      <c r="AI39" s="56">
        <f t="shared" si="4"/>
        <v>110</v>
      </c>
      <c r="AK39" s="57"/>
    </row>
    <row r="40" spans="1:88" x14ac:dyDescent="0.25">
      <c r="A40" s="63" t="s">
        <v>48</v>
      </c>
      <c r="B40" s="49">
        <v>70.5</v>
      </c>
      <c r="C40" s="49">
        <v>60</v>
      </c>
      <c r="D40" s="49">
        <v>60</v>
      </c>
      <c r="E40" s="49">
        <v>60</v>
      </c>
      <c r="F40" s="49">
        <v>60</v>
      </c>
      <c r="G40" s="49">
        <v>60.7</v>
      </c>
      <c r="H40" s="49">
        <v>71.5</v>
      </c>
      <c r="I40" s="49">
        <v>70.8</v>
      </c>
      <c r="J40" s="49">
        <v>71.400000000000006</v>
      </c>
      <c r="K40" s="49">
        <v>70.8</v>
      </c>
      <c r="L40" s="49">
        <v>73</v>
      </c>
      <c r="M40" s="51">
        <v>71.099999999999994</v>
      </c>
      <c r="N40" s="51">
        <v>73</v>
      </c>
      <c r="O40" s="51">
        <v>73.099999999999994</v>
      </c>
      <c r="P40" s="51">
        <v>72.900000000000006</v>
      </c>
      <c r="Q40" s="51">
        <v>72.7</v>
      </c>
      <c r="R40" s="51">
        <v>70.3</v>
      </c>
      <c r="S40" s="51">
        <v>71</v>
      </c>
      <c r="T40" s="49">
        <v>71.2</v>
      </c>
      <c r="U40" s="49">
        <v>71.2</v>
      </c>
      <c r="V40" s="49">
        <v>70.5</v>
      </c>
      <c r="W40" s="49">
        <v>70.5</v>
      </c>
      <c r="X40" s="49">
        <v>70.7</v>
      </c>
      <c r="Y40" s="49">
        <v>71.599999999999994</v>
      </c>
      <c r="Z40" s="49">
        <v>71.599999999999994</v>
      </c>
      <c r="AA40" s="49">
        <v>72.7</v>
      </c>
      <c r="AB40" s="49">
        <v>72.7</v>
      </c>
      <c r="AC40" s="49">
        <v>72.7</v>
      </c>
      <c r="AD40" s="49">
        <v>72.7</v>
      </c>
      <c r="AE40" s="49">
        <v>70.599999999999994</v>
      </c>
      <c r="AF40" s="49">
        <v>70.599999999999994</v>
      </c>
      <c r="AG40" s="64">
        <v>70</v>
      </c>
      <c r="AH40" s="55">
        <f t="shared" si="3"/>
        <v>73.099999999999994</v>
      </c>
      <c r="AI40" s="56">
        <f t="shared" si="4"/>
        <v>60</v>
      </c>
      <c r="AK40" s="57"/>
    </row>
    <row r="41" spans="1:88" x14ac:dyDescent="0.25">
      <c r="A41" s="63" t="s">
        <v>49</v>
      </c>
      <c r="B41" s="49">
        <v>61.9</v>
      </c>
      <c r="C41" s="49">
        <v>53</v>
      </c>
      <c r="D41" s="49">
        <v>53</v>
      </c>
      <c r="E41" s="49">
        <v>52.7</v>
      </c>
      <c r="F41" s="49">
        <v>52.7</v>
      </c>
      <c r="G41" s="49">
        <v>53</v>
      </c>
      <c r="H41" s="49">
        <v>53</v>
      </c>
      <c r="I41" s="49">
        <v>53.1</v>
      </c>
      <c r="J41" s="49">
        <v>62</v>
      </c>
      <c r="K41" s="49">
        <v>62.1</v>
      </c>
      <c r="L41" s="49">
        <v>62.2</v>
      </c>
      <c r="M41" s="51">
        <v>62.4</v>
      </c>
      <c r="N41" s="51">
        <v>62</v>
      </c>
      <c r="O41" s="51">
        <v>62.3</v>
      </c>
      <c r="P41" s="51">
        <v>62.1</v>
      </c>
      <c r="Q41" s="51">
        <v>62.5</v>
      </c>
      <c r="R41" s="51">
        <v>62.9</v>
      </c>
      <c r="S41" s="51">
        <v>60.8</v>
      </c>
      <c r="T41" s="49">
        <v>62.7</v>
      </c>
      <c r="U41" s="49">
        <v>62.7</v>
      </c>
      <c r="V41" s="49">
        <v>63.1</v>
      </c>
      <c r="W41" s="49">
        <v>63.1</v>
      </c>
      <c r="X41" s="49">
        <v>63</v>
      </c>
      <c r="Y41" s="49">
        <v>62.5</v>
      </c>
      <c r="Z41" s="49">
        <v>62.5</v>
      </c>
      <c r="AA41" s="49">
        <v>62.4</v>
      </c>
      <c r="AB41" s="49">
        <v>62.4</v>
      </c>
      <c r="AC41" s="49">
        <v>62.4</v>
      </c>
      <c r="AD41" s="49">
        <v>62.4</v>
      </c>
      <c r="AE41" s="49">
        <v>62.4</v>
      </c>
      <c r="AF41" s="49">
        <v>62.4</v>
      </c>
      <c r="AG41" s="64">
        <v>69</v>
      </c>
      <c r="AH41" s="55">
        <f t="shared" si="3"/>
        <v>63.1</v>
      </c>
      <c r="AI41" s="56">
        <f t="shared" si="4"/>
        <v>52.7</v>
      </c>
      <c r="AK41" s="57"/>
    </row>
    <row r="42" spans="1:88" x14ac:dyDescent="0.25">
      <c r="A42" s="63" t="s">
        <v>50</v>
      </c>
      <c r="B42" s="66">
        <v>60.2</v>
      </c>
      <c r="C42" s="66">
        <v>60.2</v>
      </c>
      <c r="D42" s="66">
        <v>51.4</v>
      </c>
      <c r="E42" s="66">
        <v>50.9</v>
      </c>
      <c r="F42" s="66">
        <v>50.9</v>
      </c>
      <c r="G42" s="66">
        <v>51.4</v>
      </c>
      <c r="H42" s="66">
        <v>51.1</v>
      </c>
      <c r="I42" s="66">
        <v>51.4</v>
      </c>
      <c r="J42" s="66">
        <v>61.2</v>
      </c>
      <c r="K42" s="66">
        <v>61.2</v>
      </c>
      <c r="L42" s="66">
        <v>61.4</v>
      </c>
      <c r="M42" s="51">
        <v>61.4</v>
      </c>
      <c r="N42" s="51">
        <v>61.4</v>
      </c>
      <c r="O42" s="51">
        <v>61.2</v>
      </c>
      <c r="P42" s="51">
        <v>61.2</v>
      </c>
      <c r="Q42" s="51">
        <v>61.4</v>
      </c>
      <c r="R42" s="51">
        <v>60.9</v>
      </c>
      <c r="S42" s="51">
        <v>61</v>
      </c>
      <c r="T42" s="51">
        <v>61.4</v>
      </c>
      <c r="U42" s="51">
        <v>61.4</v>
      </c>
      <c r="V42" s="51">
        <v>61.4</v>
      </c>
      <c r="W42" s="51">
        <v>61.4</v>
      </c>
      <c r="X42" s="49">
        <v>61.4</v>
      </c>
      <c r="Y42" s="49">
        <v>61.4</v>
      </c>
      <c r="Z42" s="49">
        <v>61.4</v>
      </c>
      <c r="AA42" s="49">
        <v>61.4</v>
      </c>
      <c r="AB42" s="49">
        <v>61.4</v>
      </c>
      <c r="AC42" s="49">
        <v>61.4</v>
      </c>
      <c r="AD42" s="49">
        <v>61.4</v>
      </c>
      <c r="AE42" s="49">
        <v>61.4</v>
      </c>
      <c r="AF42" s="49">
        <v>50.6</v>
      </c>
      <c r="AG42" s="64">
        <v>60</v>
      </c>
      <c r="AH42" s="55">
        <f t="shared" si="3"/>
        <v>61.4</v>
      </c>
      <c r="AI42" s="56">
        <f t="shared" si="4"/>
        <v>50.6</v>
      </c>
      <c r="AK42" s="57"/>
    </row>
    <row r="43" spans="1:88" x14ac:dyDescent="0.25">
      <c r="A43" s="63" t="s">
        <v>51</v>
      </c>
      <c r="B43" s="66">
        <v>18</v>
      </c>
      <c r="C43" s="66">
        <v>16</v>
      </c>
      <c r="D43" s="66">
        <v>10</v>
      </c>
      <c r="E43" s="66">
        <v>10</v>
      </c>
      <c r="F43" s="66">
        <v>10</v>
      </c>
      <c r="G43" s="66">
        <v>10</v>
      </c>
      <c r="H43" s="66">
        <v>10.1</v>
      </c>
      <c r="I43" s="66">
        <v>10.1</v>
      </c>
      <c r="J43" s="66">
        <v>10.3</v>
      </c>
      <c r="K43" s="66">
        <v>28.4</v>
      </c>
      <c r="L43" s="66">
        <v>29</v>
      </c>
      <c r="M43" s="51">
        <v>30</v>
      </c>
      <c r="N43" s="51">
        <v>30</v>
      </c>
      <c r="O43" s="51">
        <v>30</v>
      </c>
      <c r="P43" s="51">
        <v>30</v>
      </c>
      <c r="Q43" s="51">
        <v>30</v>
      </c>
      <c r="R43" s="51">
        <v>29</v>
      </c>
      <c r="S43" s="51">
        <v>29.2</v>
      </c>
      <c r="T43" s="51">
        <v>29.4</v>
      </c>
      <c r="U43" s="51">
        <v>29.4</v>
      </c>
      <c r="V43" s="51">
        <v>29.4</v>
      </c>
      <c r="W43" s="51">
        <v>29.4</v>
      </c>
      <c r="X43" s="49">
        <v>29.6</v>
      </c>
      <c r="Y43" s="49">
        <v>29.5</v>
      </c>
      <c r="Z43" s="49">
        <v>29.5</v>
      </c>
      <c r="AA43" s="49">
        <v>29.6</v>
      </c>
      <c r="AB43" s="49">
        <v>29.6</v>
      </c>
      <c r="AC43" s="49">
        <v>29.6</v>
      </c>
      <c r="AD43" s="49">
        <v>29.6</v>
      </c>
      <c r="AE43" s="49">
        <v>28.7</v>
      </c>
      <c r="AF43" s="49">
        <v>0</v>
      </c>
      <c r="AG43" s="64">
        <v>30</v>
      </c>
      <c r="AH43" s="55">
        <f t="shared" si="3"/>
        <v>30</v>
      </c>
      <c r="AI43" s="56">
        <f t="shared" si="4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4</v>
      </c>
      <c r="N44" s="51">
        <v>4</v>
      </c>
      <c r="O44" s="51">
        <v>5</v>
      </c>
      <c r="P44" s="51">
        <v>5</v>
      </c>
      <c r="Q44" s="51">
        <v>5</v>
      </c>
      <c r="R44" s="51">
        <v>5</v>
      </c>
      <c r="S44" s="51">
        <v>5</v>
      </c>
      <c r="T44" s="51">
        <v>5</v>
      </c>
      <c r="U44" s="51">
        <v>5</v>
      </c>
      <c r="V44" s="51">
        <v>5</v>
      </c>
      <c r="W44" s="51">
        <v>5</v>
      </c>
      <c r="X44" s="51">
        <v>5</v>
      </c>
      <c r="Y44" s="51">
        <v>5</v>
      </c>
      <c r="Z44" s="51">
        <v>5</v>
      </c>
      <c r="AA44" s="51">
        <v>5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3"/>
        <v>5</v>
      </c>
      <c r="AI44" s="56">
        <f t="shared" si="4"/>
        <v>0</v>
      </c>
      <c r="AK44" s="57"/>
    </row>
    <row r="45" spans="1:88" x14ac:dyDescent="0.25">
      <c r="A45" s="63" t="s">
        <v>53</v>
      </c>
      <c r="B45" s="49">
        <v>0</v>
      </c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64">
        <v>24</v>
      </c>
      <c r="AH45" s="55">
        <f t="shared" si="3"/>
        <v>0</v>
      </c>
      <c r="AI45" s="56">
        <f t="shared" si="4"/>
        <v>0</v>
      </c>
      <c r="AK45" s="57"/>
    </row>
    <row r="46" spans="1:88" x14ac:dyDescent="0.25">
      <c r="A46" s="63" t="s">
        <v>54</v>
      </c>
      <c r="B46" s="49">
        <v>0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49">
        <v>0</v>
      </c>
      <c r="AA46" s="49">
        <v>0</v>
      </c>
      <c r="AB46" s="49">
        <v>0</v>
      </c>
      <c r="AC46" s="49">
        <v>0</v>
      </c>
      <c r="AD46" s="49">
        <v>0</v>
      </c>
      <c r="AE46" s="49">
        <v>0</v>
      </c>
      <c r="AF46" s="51">
        <v>0</v>
      </c>
      <c r="AG46" s="64">
        <v>15</v>
      </c>
      <c r="AH46" s="55">
        <f t="shared" si="3"/>
        <v>0</v>
      </c>
      <c r="AI46" s="56">
        <f t="shared" si="4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0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64">
        <v>14.1</v>
      </c>
      <c r="AH47" s="55">
        <f t="shared" si="3"/>
        <v>0</v>
      </c>
      <c r="AI47" s="56">
        <f t="shared" si="4"/>
        <v>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14</v>
      </c>
      <c r="C48" s="49">
        <v>14</v>
      </c>
      <c r="D48" s="49">
        <v>14</v>
      </c>
      <c r="E48" s="49">
        <v>13.8</v>
      </c>
      <c r="F48" s="49">
        <v>13.8</v>
      </c>
      <c r="G48" s="49">
        <v>13.8</v>
      </c>
      <c r="H48" s="49">
        <v>13.8</v>
      </c>
      <c r="I48" s="49">
        <v>13.8</v>
      </c>
      <c r="J48" s="49">
        <v>13.8</v>
      </c>
      <c r="K48" s="49">
        <v>13.8</v>
      </c>
      <c r="L48" s="49">
        <v>13.8</v>
      </c>
      <c r="M48" s="49">
        <v>13.7</v>
      </c>
      <c r="N48" s="49">
        <v>13.7</v>
      </c>
      <c r="O48" s="49">
        <v>13.7</v>
      </c>
      <c r="P48" s="49">
        <v>13.7</v>
      </c>
      <c r="Q48" s="49">
        <v>13.7</v>
      </c>
      <c r="R48" s="51">
        <v>13.7</v>
      </c>
      <c r="S48" s="51">
        <v>13.7</v>
      </c>
      <c r="T48" s="51">
        <v>13.7</v>
      </c>
      <c r="U48" s="51">
        <v>13.7</v>
      </c>
      <c r="V48" s="51">
        <v>13.7</v>
      </c>
      <c r="W48" s="51">
        <v>13.7</v>
      </c>
      <c r="X48" s="51">
        <v>13.7</v>
      </c>
      <c r="Y48" s="51">
        <v>13.7</v>
      </c>
      <c r="Z48" s="51">
        <v>13.7</v>
      </c>
      <c r="AA48" s="51">
        <v>13.7</v>
      </c>
      <c r="AB48" s="51">
        <v>13.7</v>
      </c>
      <c r="AC48" s="51">
        <v>13.7</v>
      </c>
      <c r="AD48" s="51">
        <v>13.7</v>
      </c>
      <c r="AE48" s="51">
        <v>13.7</v>
      </c>
      <c r="AF48" s="51">
        <v>13.7</v>
      </c>
      <c r="AG48" s="64">
        <v>14</v>
      </c>
      <c r="AH48" s="55">
        <f t="shared" si="3"/>
        <v>14</v>
      </c>
      <c r="AI48" s="56">
        <f t="shared" si="4"/>
        <v>13.7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9.3000000000000007</v>
      </c>
      <c r="F49" s="49">
        <v>9.3000000000000007</v>
      </c>
      <c r="G49" s="49">
        <v>9.3000000000000007</v>
      </c>
      <c r="H49" s="49">
        <v>9.4</v>
      </c>
      <c r="I49" s="49">
        <v>9.4</v>
      </c>
      <c r="J49" s="49">
        <v>9.3000000000000007</v>
      </c>
      <c r="K49" s="49">
        <v>9.3000000000000007</v>
      </c>
      <c r="L49" s="49">
        <v>9.3000000000000007</v>
      </c>
      <c r="M49" s="49">
        <v>9.3000000000000007</v>
      </c>
      <c r="N49" s="49">
        <v>9.3000000000000007</v>
      </c>
      <c r="O49" s="49">
        <v>9.3000000000000007</v>
      </c>
      <c r="P49" s="49">
        <v>9.3000000000000007</v>
      </c>
      <c r="Q49" s="49">
        <v>9.3000000000000007</v>
      </c>
      <c r="R49" s="51">
        <v>6.1</v>
      </c>
      <c r="S49" s="51">
        <v>6.1</v>
      </c>
      <c r="T49" s="51">
        <v>6.1</v>
      </c>
      <c r="U49" s="51">
        <v>6.1</v>
      </c>
      <c r="V49" s="51">
        <v>6.1</v>
      </c>
      <c r="W49" s="51">
        <v>6.1</v>
      </c>
      <c r="X49" s="51">
        <v>6.1</v>
      </c>
      <c r="Y49" s="51">
        <v>9.4</v>
      </c>
      <c r="Z49" s="51">
        <v>9.4</v>
      </c>
      <c r="AA49" s="51">
        <v>9.4</v>
      </c>
      <c r="AB49" s="51">
        <v>9.4</v>
      </c>
      <c r="AC49" s="51">
        <v>9.4</v>
      </c>
      <c r="AD49" s="51">
        <v>9.4</v>
      </c>
      <c r="AE49" s="51">
        <v>9.4</v>
      </c>
      <c r="AF49" s="51">
        <v>9.4</v>
      </c>
      <c r="AG49" s="64">
        <v>10.050000000000001</v>
      </c>
      <c r="AH49" s="55">
        <f t="shared" si="3"/>
        <v>9.5</v>
      </c>
      <c r="AI49" s="56">
        <f t="shared" si="4"/>
        <v>6.1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49">
        <v>6</v>
      </c>
      <c r="O50" s="49">
        <v>6</v>
      </c>
      <c r="P50" s="49">
        <v>6</v>
      </c>
      <c r="Q50" s="49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51">
        <v>6</v>
      </c>
      <c r="AG50" s="64">
        <v>6.2</v>
      </c>
      <c r="AH50" s="55">
        <f t="shared" si="3"/>
        <v>6</v>
      </c>
      <c r="AI50" s="56">
        <f t="shared" si="4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5">
        <f t="shared" si="3"/>
        <v>3.54</v>
      </c>
      <c r="AI51" s="56">
        <f t="shared" si="4"/>
        <v>3.54</v>
      </c>
      <c r="AK51" s="57"/>
    </row>
    <row r="52" spans="1:37" ht="15.75" thickBot="1" x14ac:dyDescent="0.3">
      <c r="A52" s="69" t="s">
        <v>60</v>
      </c>
      <c r="B52" s="70">
        <f>SUM(B39:B51)</f>
        <v>374.64</v>
      </c>
      <c r="C52" s="70">
        <f t="shared" ref="C52:AF52" si="7">SUM(C39:C51)</f>
        <v>353.24</v>
      </c>
      <c r="D52" s="70">
        <f t="shared" si="7"/>
        <v>338.44</v>
      </c>
      <c r="E52" s="70">
        <f t="shared" si="7"/>
        <v>316.24</v>
      </c>
      <c r="F52" s="70">
        <f t="shared" si="7"/>
        <v>316.24</v>
      </c>
      <c r="G52" s="70">
        <f t="shared" si="7"/>
        <v>320.04000000000002</v>
      </c>
      <c r="H52" s="70">
        <f t="shared" si="7"/>
        <v>330.64000000000004</v>
      </c>
      <c r="I52" s="70">
        <f t="shared" si="7"/>
        <v>350.24</v>
      </c>
      <c r="J52" s="70">
        <f t="shared" si="7"/>
        <v>377.54</v>
      </c>
      <c r="K52" s="70">
        <f t="shared" si="7"/>
        <v>395.14000000000004</v>
      </c>
      <c r="L52" s="70">
        <f t="shared" si="7"/>
        <v>398.24</v>
      </c>
      <c r="M52" s="70">
        <f t="shared" si="7"/>
        <v>402.03999999999996</v>
      </c>
      <c r="N52" s="70">
        <f t="shared" si="7"/>
        <v>403.54</v>
      </c>
      <c r="O52" s="70">
        <f t="shared" si="7"/>
        <v>405.14</v>
      </c>
      <c r="P52" s="70">
        <f t="shared" si="7"/>
        <v>405.44</v>
      </c>
      <c r="Q52" s="70">
        <f t="shared" si="7"/>
        <v>405.44</v>
      </c>
      <c r="R52" s="70">
        <f t="shared" si="7"/>
        <v>398.74</v>
      </c>
      <c r="S52" s="70">
        <f t="shared" si="7"/>
        <v>395.04</v>
      </c>
      <c r="T52" s="70">
        <f t="shared" si="7"/>
        <v>398.03999999999996</v>
      </c>
      <c r="U52" s="70">
        <f t="shared" si="7"/>
        <v>397.64</v>
      </c>
      <c r="V52" s="70">
        <f t="shared" si="7"/>
        <v>398.14</v>
      </c>
      <c r="W52" s="70">
        <f t="shared" si="7"/>
        <v>399.34</v>
      </c>
      <c r="X52" s="70">
        <f t="shared" si="7"/>
        <v>400.14000000000004</v>
      </c>
      <c r="Y52" s="70">
        <f t="shared" si="7"/>
        <v>404.53999999999996</v>
      </c>
      <c r="Z52" s="70">
        <f t="shared" si="7"/>
        <v>404.53999999999996</v>
      </c>
      <c r="AA52" s="70">
        <f t="shared" si="7"/>
        <v>406.23999999999995</v>
      </c>
      <c r="AB52" s="70">
        <f t="shared" si="7"/>
        <v>401.23999999999995</v>
      </c>
      <c r="AC52" s="70">
        <f t="shared" si="7"/>
        <v>401.23999999999995</v>
      </c>
      <c r="AD52" s="70">
        <f t="shared" si="7"/>
        <v>401.23999999999995</v>
      </c>
      <c r="AE52" s="70">
        <f t="shared" si="7"/>
        <v>398.23999999999995</v>
      </c>
      <c r="AF52" s="70">
        <f t="shared" si="7"/>
        <v>358.24</v>
      </c>
      <c r="AG52" s="74">
        <f>SUM(AG39:AG51)</f>
        <v>489.91</v>
      </c>
      <c r="AH52" s="55">
        <f t="shared" si="3"/>
        <v>406.23999999999995</v>
      </c>
      <c r="AI52" s="56">
        <f t="shared" si="4"/>
        <v>316.24</v>
      </c>
      <c r="AK52" s="57"/>
    </row>
    <row r="53" spans="1:37" x14ac:dyDescent="0.25">
      <c r="A53" s="58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14.4</v>
      </c>
      <c r="N53" s="51">
        <v>29.7</v>
      </c>
      <c r="O53" s="51">
        <v>10</v>
      </c>
      <c r="P53" s="51">
        <v>30</v>
      </c>
      <c r="Q53" s="51">
        <v>20.6</v>
      </c>
      <c r="R53" s="51">
        <v>33.5</v>
      </c>
      <c r="S53" s="51">
        <v>49.6</v>
      </c>
      <c r="T53" s="51">
        <v>44.4</v>
      </c>
      <c r="U53" s="51">
        <v>35.4</v>
      </c>
      <c r="V53" s="51">
        <v>39.4</v>
      </c>
      <c r="W53" s="51">
        <v>47</v>
      </c>
      <c r="X53" s="51">
        <v>35</v>
      </c>
      <c r="Y53" s="51">
        <v>43.8</v>
      </c>
      <c r="Z53" s="51">
        <v>59.8</v>
      </c>
      <c r="AA53" s="51">
        <v>39.5</v>
      </c>
      <c r="AB53" s="51">
        <v>59.5</v>
      </c>
      <c r="AC53" s="51">
        <v>48.8</v>
      </c>
      <c r="AD53" s="51">
        <v>49.7</v>
      </c>
      <c r="AE53" s="51">
        <v>49.6</v>
      </c>
      <c r="AF53" s="51">
        <v>20</v>
      </c>
      <c r="AG53" s="60">
        <v>60</v>
      </c>
      <c r="AH53" s="55">
        <f t="shared" si="3"/>
        <v>59.8</v>
      </c>
      <c r="AI53" s="56">
        <f t="shared" si="4"/>
        <v>0</v>
      </c>
      <c r="AK53" s="57"/>
    </row>
    <row r="54" spans="1:37" x14ac:dyDescent="0.25">
      <c r="A54" s="63" t="s">
        <v>62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4.8</v>
      </c>
      <c r="N54" s="49">
        <v>6.7</v>
      </c>
      <c r="O54" s="49">
        <v>4.9000000000000004</v>
      </c>
      <c r="P54" s="49">
        <v>14.2</v>
      </c>
      <c r="Q54" s="49">
        <v>4.3</v>
      </c>
      <c r="R54" s="49">
        <v>12</v>
      </c>
      <c r="S54" s="49">
        <v>23.6</v>
      </c>
      <c r="T54" s="49">
        <v>19.100000000000001</v>
      </c>
      <c r="U54" s="49">
        <v>14.7</v>
      </c>
      <c r="V54" s="49">
        <v>13.4</v>
      </c>
      <c r="W54" s="49">
        <v>12.7</v>
      </c>
      <c r="X54" s="49">
        <v>16.600000000000001</v>
      </c>
      <c r="Y54" s="49">
        <v>22.9</v>
      </c>
      <c r="Z54" s="49">
        <v>30.8</v>
      </c>
      <c r="AA54" s="49">
        <v>15.9</v>
      </c>
      <c r="AB54" s="49">
        <v>29</v>
      </c>
      <c r="AC54" s="49">
        <v>24.3</v>
      </c>
      <c r="AD54" s="49">
        <v>24</v>
      </c>
      <c r="AE54" s="49">
        <v>19.399999999999999</v>
      </c>
      <c r="AF54" s="49">
        <v>14.1</v>
      </c>
      <c r="AG54" s="64">
        <v>32</v>
      </c>
      <c r="AH54" s="55">
        <f t="shared" si="3"/>
        <v>30.8</v>
      </c>
      <c r="AI54" s="56">
        <f t="shared" si="4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1.8</v>
      </c>
      <c r="N55" s="75">
        <v>2.4</v>
      </c>
      <c r="O55" s="75">
        <v>1.8</v>
      </c>
      <c r="P55" s="75">
        <v>5.2</v>
      </c>
      <c r="Q55" s="75">
        <v>1.6</v>
      </c>
      <c r="R55" s="75">
        <v>4.4000000000000004</v>
      </c>
      <c r="S55" s="75">
        <v>8.6</v>
      </c>
      <c r="T55" s="75">
        <v>6.9</v>
      </c>
      <c r="U55" s="75">
        <v>5.3</v>
      </c>
      <c r="V55" s="75">
        <v>4.9000000000000004</v>
      </c>
      <c r="W55" s="75">
        <v>4.8</v>
      </c>
      <c r="X55" s="75">
        <v>6.1</v>
      </c>
      <c r="Y55" s="75">
        <v>8.4</v>
      </c>
      <c r="Z55" s="75">
        <v>11.2</v>
      </c>
      <c r="AA55" s="75">
        <v>5.8</v>
      </c>
      <c r="AB55" s="75">
        <v>10.6</v>
      </c>
      <c r="AC55" s="75">
        <v>8.9</v>
      </c>
      <c r="AD55" s="75">
        <v>8.6999999999999993</v>
      </c>
      <c r="AE55" s="75">
        <v>7.1</v>
      </c>
      <c r="AF55" s="75">
        <v>5.0999999999999996</v>
      </c>
      <c r="AG55" s="76">
        <v>14</v>
      </c>
      <c r="AH55" s="55">
        <f t="shared" si="3"/>
        <v>11.2</v>
      </c>
      <c r="AI55" s="56">
        <f t="shared" si="4"/>
        <v>0</v>
      </c>
      <c r="AK55" s="57"/>
    </row>
    <row r="56" spans="1:37" ht="15.75" thickBot="1" x14ac:dyDescent="0.3">
      <c r="A56" s="69" t="s">
        <v>64</v>
      </c>
      <c r="B56" s="70">
        <f t="shared" ref="B56:AF56" si="8">SUM(B53:B55)</f>
        <v>0</v>
      </c>
      <c r="C56" s="70">
        <f t="shared" si="8"/>
        <v>0</v>
      </c>
      <c r="D56" s="70">
        <f t="shared" si="8"/>
        <v>0</v>
      </c>
      <c r="E56" s="70">
        <f t="shared" si="8"/>
        <v>0</v>
      </c>
      <c r="F56" s="70">
        <f t="shared" si="8"/>
        <v>0</v>
      </c>
      <c r="G56" s="70">
        <f t="shared" si="8"/>
        <v>0</v>
      </c>
      <c r="H56" s="70">
        <f t="shared" si="8"/>
        <v>0</v>
      </c>
      <c r="I56" s="70">
        <f t="shared" si="8"/>
        <v>0</v>
      </c>
      <c r="J56" s="70">
        <f t="shared" si="8"/>
        <v>0</v>
      </c>
      <c r="K56" s="70">
        <f t="shared" si="8"/>
        <v>0</v>
      </c>
      <c r="L56" s="70">
        <f t="shared" si="8"/>
        <v>0</v>
      </c>
      <c r="M56" s="70">
        <f t="shared" si="8"/>
        <v>21</v>
      </c>
      <c r="N56" s="70">
        <f t="shared" si="8"/>
        <v>38.799999999999997</v>
      </c>
      <c r="O56" s="70">
        <f t="shared" si="8"/>
        <v>16.7</v>
      </c>
      <c r="P56" s="70">
        <f t="shared" si="8"/>
        <v>49.400000000000006</v>
      </c>
      <c r="Q56" s="70">
        <f t="shared" si="8"/>
        <v>26.500000000000004</v>
      </c>
      <c r="R56" s="70">
        <f t="shared" si="8"/>
        <v>49.9</v>
      </c>
      <c r="S56" s="70">
        <f t="shared" si="8"/>
        <v>81.8</v>
      </c>
      <c r="T56" s="70">
        <f t="shared" si="8"/>
        <v>70.400000000000006</v>
      </c>
      <c r="U56" s="70">
        <f t="shared" si="8"/>
        <v>55.399999999999991</v>
      </c>
      <c r="V56" s="70">
        <f t="shared" si="8"/>
        <v>57.699999999999996</v>
      </c>
      <c r="W56" s="70">
        <f t="shared" si="8"/>
        <v>64.5</v>
      </c>
      <c r="X56" s="70">
        <f t="shared" si="8"/>
        <v>57.7</v>
      </c>
      <c r="Y56" s="70">
        <f t="shared" si="8"/>
        <v>75.099999999999994</v>
      </c>
      <c r="Z56" s="70">
        <f t="shared" si="8"/>
        <v>101.8</v>
      </c>
      <c r="AA56" s="70">
        <f t="shared" si="8"/>
        <v>61.199999999999996</v>
      </c>
      <c r="AB56" s="70">
        <f t="shared" si="8"/>
        <v>99.1</v>
      </c>
      <c r="AC56" s="70">
        <f t="shared" si="8"/>
        <v>82</v>
      </c>
      <c r="AD56" s="70">
        <f t="shared" si="8"/>
        <v>82.4</v>
      </c>
      <c r="AE56" s="70">
        <f t="shared" si="8"/>
        <v>76.099999999999994</v>
      </c>
      <c r="AF56" s="70">
        <f t="shared" si="8"/>
        <v>39.200000000000003</v>
      </c>
      <c r="AG56" s="74">
        <f>SUM(AG53:AG55)</f>
        <v>106</v>
      </c>
      <c r="AH56" s="55">
        <f t="shared" si="3"/>
        <v>101.8</v>
      </c>
      <c r="AI56" s="56">
        <f t="shared" si="4"/>
        <v>0</v>
      </c>
      <c r="AK56" s="57"/>
    </row>
    <row r="57" spans="1:37" x14ac:dyDescent="0.25">
      <c r="A57" s="58" t="s">
        <v>65</v>
      </c>
      <c r="B57" s="51">
        <v>5</v>
      </c>
      <c r="C57" s="51">
        <v>2</v>
      </c>
      <c r="D57" s="51">
        <v>2</v>
      </c>
      <c r="E57" s="51">
        <v>5.3</v>
      </c>
      <c r="F57" s="51">
        <v>6.9</v>
      </c>
      <c r="G57" s="51">
        <v>6.6</v>
      </c>
      <c r="H57" s="51">
        <v>6.1</v>
      </c>
      <c r="I57" s="51">
        <v>2</v>
      </c>
      <c r="J57" s="51">
        <v>5.3</v>
      </c>
      <c r="K57" s="51">
        <v>11.1</v>
      </c>
      <c r="L57" s="51">
        <v>18.3</v>
      </c>
      <c r="M57" s="51">
        <v>20.5</v>
      </c>
      <c r="N57" s="51">
        <v>21.7</v>
      </c>
      <c r="O57" s="51">
        <v>28</v>
      </c>
      <c r="P57" s="51">
        <v>24.4</v>
      </c>
      <c r="Q57" s="51">
        <v>50</v>
      </c>
      <c r="R57" s="51">
        <v>42.2</v>
      </c>
      <c r="S57" s="51">
        <v>41.2</v>
      </c>
      <c r="T57" s="51">
        <v>24.4</v>
      </c>
      <c r="U57" s="51">
        <v>28.4</v>
      </c>
      <c r="V57" s="51">
        <v>34.5</v>
      </c>
      <c r="W57" s="51">
        <v>30.1</v>
      </c>
      <c r="X57" s="51">
        <v>26.3</v>
      </c>
      <c r="Y57" s="51">
        <v>27</v>
      </c>
      <c r="Z57" s="51">
        <v>24</v>
      </c>
      <c r="AA57" s="51">
        <v>28</v>
      </c>
      <c r="AB57" s="51">
        <v>40.1</v>
      </c>
      <c r="AC57" s="51">
        <v>48.9</v>
      </c>
      <c r="AD57" s="51">
        <v>47.2</v>
      </c>
      <c r="AE57" s="51">
        <v>27.7</v>
      </c>
      <c r="AF57" s="51">
        <v>42.8</v>
      </c>
      <c r="AG57" s="60"/>
      <c r="AH57" s="55">
        <f t="shared" si="3"/>
        <v>50</v>
      </c>
      <c r="AI57" s="56">
        <f t="shared" si="4"/>
        <v>2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3"/>
        <v>0</v>
      </c>
      <c r="AI58" s="56">
        <f t="shared" si="4"/>
        <v>0</v>
      </c>
      <c r="AK58" s="57"/>
    </row>
    <row r="59" spans="1:37" x14ac:dyDescent="0.25">
      <c r="A59" s="63" t="s">
        <v>67</v>
      </c>
      <c r="B59" s="49">
        <v>-440</v>
      </c>
      <c r="C59" s="49">
        <v>-437</v>
      </c>
      <c r="D59" s="49">
        <v>-453</v>
      </c>
      <c r="E59" s="49">
        <v>-400.4</v>
      </c>
      <c r="F59" s="49">
        <v>-404.6</v>
      </c>
      <c r="G59" s="49">
        <v>-395.7</v>
      </c>
      <c r="H59" s="49">
        <v>-406.2</v>
      </c>
      <c r="I59" s="49">
        <v>-377.2</v>
      </c>
      <c r="J59" s="49">
        <v>-385</v>
      </c>
      <c r="K59" s="49">
        <v>-384.1</v>
      </c>
      <c r="L59" s="49">
        <v>-365</v>
      </c>
      <c r="M59" s="49">
        <v>-376.5</v>
      </c>
      <c r="N59" s="49">
        <v>-375.6</v>
      </c>
      <c r="O59" s="49">
        <v>-379.9</v>
      </c>
      <c r="P59" s="49">
        <v>-393.5</v>
      </c>
      <c r="Q59" s="49">
        <v>-373.4</v>
      </c>
      <c r="R59" s="49">
        <v>-380</v>
      </c>
      <c r="S59" s="49">
        <v>-366</v>
      </c>
      <c r="T59" s="49">
        <v>-363</v>
      </c>
      <c r="U59" s="49">
        <v>-368</v>
      </c>
      <c r="V59" s="49">
        <v>-377</v>
      </c>
      <c r="W59" s="49">
        <v>-372.3</v>
      </c>
      <c r="X59" s="49">
        <v>-366</v>
      </c>
      <c r="Y59" s="49">
        <v>-376</v>
      </c>
      <c r="Z59" s="49">
        <v>-359</v>
      </c>
      <c r="AA59" s="49">
        <v>-250</v>
      </c>
      <c r="AB59" s="49">
        <v>-270.3</v>
      </c>
      <c r="AC59" s="49">
        <v>-275</v>
      </c>
      <c r="AD59" s="49">
        <v>-281</v>
      </c>
      <c r="AE59" s="49">
        <v>-254</v>
      </c>
      <c r="AF59" s="49">
        <v>-283</v>
      </c>
      <c r="AG59" s="77"/>
      <c r="AH59" s="55">
        <f t="shared" si="3"/>
        <v>-250</v>
      </c>
      <c r="AI59" s="56">
        <f t="shared" si="4"/>
        <v>-453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3"/>
        <v>0</v>
      </c>
      <c r="AI60" s="56">
        <f t="shared" si="4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3"/>
        <v>0</v>
      </c>
      <c r="AI61" s="56">
        <f t="shared" si="4"/>
        <v>0</v>
      </c>
      <c r="AK61" s="57"/>
    </row>
    <row r="62" spans="1:37" x14ac:dyDescent="0.25">
      <c r="A62" s="63" t="s">
        <v>70</v>
      </c>
      <c r="B62" s="79">
        <v>6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3"/>
        <v>6</v>
      </c>
      <c r="AI62" s="56">
        <f t="shared" si="4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3"/>
        <v>0</v>
      </c>
      <c r="AI63" s="56">
        <f t="shared" si="4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3"/>
        <v>0</v>
      </c>
      <c r="AI64" s="56">
        <f t="shared" si="4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3"/>
        <v>0</v>
      </c>
      <c r="AI65" s="56">
        <f t="shared" si="4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3"/>
        <v>0</v>
      </c>
      <c r="AI66" s="56">
        <f t="shared" si="4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3"/>
        <v>0</v>
      </c>
      <c r="AI67" s="56">
        <f t="shared" si="4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11</v>
      </c>
      <c r="C68" s="70">
        <f t="shared" ref="C68:AF68" si="9">SUMIF(C57:C67,"&gt;0")</f>
        <v>7</v>
      </c>
      <c r="D68" s="70">
        <f t="shared" si="9"/>
        <v>7</v>
      </c>
      <c r="E68" s="70">
        <f t="shared" si="9"/>
        <v>10.3</v>
      </c>
      <c r="F68" s="70">
        <f t="shared" si="9"/>
        <v>11.9</v>
      </c>
      <c r="G68" s="70">
        <f t="shared" si="9"/>
        <v>11.6</v>
      </c>
      <c r="H68" s="70">
        <f t="shared" si="9"/>
        <v>11.1</v>
      </c>
      <c r="I68" s="70">
        <f t="shared" si="9"/>
        <v>7</v>
      </c>
      <c r="J68" s="70">
        <f t="shared" si="9"/>
        <v>10.3</v>
      </c>
      <c r="K68" s="70">
        <f t="shared" si="9"/>
        <v>16.100000000000001</v>
      </c>
      <c r="L68" s="70">
        <f t="shared" si="9"/>
        <v>23.3</v>
      </c>
      <c r="M68" s="70">
        <f t="shared" si="9"/>
        <v>25.5</v>
      </c>
      <c r="N68" s="70">
        <f t="shared" si="9"/>
        <v>26.7</v>
      </c>
      <c r="O68" s="70">
        <f t="shared" si="9"/>
        <v>33</v>
      </c>
      <c r="P68" s="70">
        <f t="shared" si="9"/>
        <v>29.4</v>
      </c>
      <c r="Q68" s="70">
        <f t="shared" si="9"/>
        <v>55</v>
      </c>
      <c r="R68" s="70">
        <f t="shared" si="9"/>
        <v>47.2</v>
      </c>
      <c r="S68" s="70">
        <f t="shared" si="9"/>
        <v>46.2</v>
      </c>
      <c r="T68" s="70">
        <f t="shared" si="9"/>
        <v>29.4</v>
      </c>
      <c r="U68" s="70">
        <f t="shared" si="9"/>
        <v>33.4</v>
      </c>
      <c r="V68" s="70">
        <f t="shared" si="9"/>
        <v>39.5</v>
      </c>
      <c r="W68" s="70">
        <f t="shared" si="9"/>
        <v>35.1</v>
      </c>
      <c r="X68" s="70">
        <f t="shared" si="9"/>
        <v>31.3</v>
      </c>
      <c r="Y68" s="70">
        <f t="shared" si="9"/>
        <v>32</v>
      </c>
      <c r="Z68" s="70">
        <f t="shared" si="9"/>
        <v>29</v>
      </c>
      <c r="AA68" s="70">
        <f t="shared" si="9"/>
        <v>33</v>
      </c>
      <c r="AB68" s="70">
        <f t="shared" si="9"/>
        <v>45.1</v>
      </c>
      <c r="AC68" s="70">
        <f t="shared" si="9"/>
        <v>53.9</v>
      </c>
      <c r="AD68" s="70">
        <f t="shared" si="9"/>
        <v>52.2</v>
      </c>
      <c r="AE68" s="70">
        <f t="shared" si="9"/>
        <v>32.700000000000003</v>
      </c>
      <c r="AF68" s="70">
        <f t="shared" si="9"/>
        <v>47.8</v>
      </c>
      <c r="AG68" s="74">
        <f>SUM(AG57:AG67)</f>
        <v>0</v>
      </c>
      <c r="AH68" s="55">
        <f t="shared" si="3"/>
        <v>55</v>
      </c>
      <c r="AI68" s="56">
        <f t="shared" si="4"/>
        <v>7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3"/>
        <v>0</v>
      </c>
      <c r="AI69" s="56">
        <f t="shared" si="4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3"/>
        <v>0</v>
      </c>
      <c r="AI70" s="56">
        <f t="shared" si="4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3"/>
        <v>0</v>
      </c>
      <c r="AI71" s="56">
        <f t="shared" si="4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3"/>
        <v>0</v>
      </c>
      <c r="AI72" s="56">
        <f t="shared" si="4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1591.54</v>
      </c>
      <c r="C73" s="84">
        <f t="shared" ref="C73:AF73" si="10">C38+C52+C68+C72</f>
        <v>1566.14</v>
      </c>
      <c r="D73" s="84">
        <f t="shared" si="10"/>
        <v>1551.3400000000001</v>
      </c>
      <c r="E73" s="84">
        <f t="shared" si="10"/>
        <v>1476.04</v>
      </c>
      <c r="F73" s="84">
        <f t="shared" si="10"/>
        <v>1477.64</v>
      </c>
      <c r="G73" s="84">
        <f t="shared" si="10"/>
        <v>1481.1399999999999</v>
      </c>
      <c r="H73" s="84">
        <f t="shared" si="10"/>
        <v>1491.24</v>
      </c>
      <c r="I73" s="84">
        <f t="shared" si="10"/>
        <v>1506.74</v>
      </c>
      <c r="J73" s="84">
        <f t="shared" si="10"/>
        <v>1593.34</v>
      </c>
      <c r="K73" s="84">
        <f t="shared" si="10"/>
        <v>1616.74</v>
      </c>
      <c r="L73" s="84">
        <f t="shared" si="10"/>
        <v>1631.04</v>
      </c>
      <c r="M73" s="84">
        <f t="shared" si="10"/>
        <v>1655.1399999999999</v>
      </c>
      <c r="N73" s="84">
        <f t="shared" si="10"/>
        <v>1627.0400000000002</v>
      </c>
      <c r="O73" s="84">
        <f t="shared" si="10"/>
        <v>1647.94</v>
      </c>
      <c r="P73" s="84">
        <f t="shared" si="10"/>
        <v>1657.6400000000003</v>
      </c>
      <c r="Q73" s="84">
        <f t="shared" si="10"/>
        <v>1675.2400000000002</v>
      </c>
      <c r="R73" s="84">
        <f t="shared" si="10"/>
        <v>1676.8400000000001</v>
      </c>
      <c r="S73" s="84">
        <f t="shared" si="10"/>
        <v>1672.14</v>
      </c>
      <c r="T73" s="84">
        <f t="shared" si="10"/>
        <v>1658.3400000000001</v>
      </c>
      <c r="U73" s="84">
        <f t="shared" si="10"/>
        <v>1661.94</v>
      </c>
      <c r="V73" s="84">
        <f t="shared" si="10"/>
        <v>1668.54</v>
      </c>
      <c r="W73" s="84">
        <f t="shared" si="10"/>
        <v>1664.9399999999998</v>
      </c>
      <c r="X73" s="84">
        <f t="shared" si="10"/>
        <v>1661.94</v>
      </c>
      <c r="Y73" s="84">
        <f t="shared" si="10"/>
        <v>1667.04</v>
      </c>
      <c r="Z73" s="84">
        <f t="shared" si="10"/>
        <v>1664.04</v>
      </c>
      <c r="AA73" s="84">
        <f t="shared" si="10"/>
        <v>1668.74</v>
      </c>
      <c r="AB73" s="84">
        <f t="shared" si="10"/>
        <v>1687.84</v>
      </c>
      <c r="AC73" s="84">
        <f t="shared" si="10"/>
        <v>1696.64</v>
      </c>
      <c r="AD73" s="84">
        <f t="shared" si="10"/>
        <v>1694.94</v>
      </c>
      <c r="AE73" s="84">
        <f t="shared" si="10"/>
        <v>1597.44</v>
      </c>
      <c r="AF73" s="84">
        <f t="shared" si="10"/>
        <v>1567.54</v>
      </c>
      <c r="AG73" s="84">
        <f t="shared" ref="AG73" si="11">AG68+AG56+AG52+AG38+AG72</f>
        <v>2144.14</v>
      </c>
      <c r="AH73" s="55">
        <f t="shared" si="3"/>
        <v>1696.64</v>
      </c>
      <c r="AI73" s="56">
        <f t="shared" si="4"/>
        <v>1476.04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3"/>
        <v>0</v>
      </c>
      <c r="AI74" s="56">
        <f t="shared" si="4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1591.54</v>
      </c>
      <c r="C75" s="84">
        <f t="shared" ref="C75:AF75" si="12">C73+C74</f>
        <v>1566.14</v>
      </c>
      <c r="D75" s="84">
        <f t="shared" si="12"/>
        <v>1551.3400000000001</v>
      </c>
      <c r="E75" s="84">
        <f t="shared" si="12"/>
        <v>1476.04</v>
      </c>
      <c r="F75" s="84">
        <f t="shared" si="12"/>
        <v>1477.64</v>
      </c>
      <c r="G75" s="84">
        <f t="shared" si="12"/>
        <v>1481.1399999999999</v>
      </c>
      <c r="H75" s="84">
        <f t="shared" si="12"/>
        <v>1491.24</v>
      </c>
      <c r="I75" s="84">
        <f t="shared" si="12"/>
        <v>1506.74</v>
      </c>
      <c r="J75" s="84">
        <f t="shared" si="12"/>
        <v>1593.34</v>
      </c>
      <c r="K75" s="84">
        <f t="shared" si="12"/>
        <v>1616.74</v>
      </c>
      <c r="L75" s="84">
        <f t="shared" si="12"/>
        <v>1631.04</v>
      </c>
      <c r="M75" s="84">
        <f t="shared" si="12"/>
        <v>1655.1399999999999</v>
      </c>
      <c r="N75" s="84">
        <f t="shared" si="12"/>
        <v>1627.0400000000002</v>
      </c>
      <c r="O75" s="84">
        <f t="shared" si="12"/>
        <v>1647.94</v>
      </c>
      <c r="P75" s="84">
        <f t="shared" si="12"/>
        <v>1657.6400000000003</v>
      </c>
      <c r="Q75" s="84">
        <f t="shared" si="12"/>
        <v>1675.2400000000002</v>
      </c>
      <c r="R75" s="84">
        <f t="shared" si="12"/>
        <v>1676.8400000000001</v>
      </c>
      <c r="S75" s="84">
        <f t="shared" si="12"/>
        <v>1672.14</v>
      </c>
      <c r="T75" s="84">
        <f t="shared" si="12"/>
        <v>1658.3400000000001</v>
      </c>
      <c r="U75" s="84">
        <f t="shared" si="12"/>
        <v>1661.94</v>
      </c>
      <c r="V75" s="84">
        <f t="shared" si="12"/>
        <v>1668.54</v>
      </c>
      <c r="W75" s="84">
        <f t="shared" si="12"/>
        <v>1664.9399999999998</v>
      </c>
      <c r="X75" s="84">
        <f t="shared" si="12"/>
        <v>1661.94</v>
      </c>
      <c r="Y75" s="84">
        <f t="shared" si="12"/>
        <v>1667.04</v>
      </c>
      <c r="Z75" s="84">
        <f t="shared" si="12"/>
        <v>1664.04</v>
      </c>
      <c r="AA75" s="84">
        <f t="shared" si="12"/>
        <v>1668.74</v>
      </c>
      <c r="AB75" s="84">
        <f t="shared" si="12"/>
        <v>1687.84</v>
      </c>
      <c r="AC75" s="84">
        <f t="shared" si="12"/>
        <v>1696.64</v>
      </c>
      <c r="AD75" s="84">
        <f t="shared" si="12"/>
        <v>1694.94</v>
      </c>
      <c r="AE75" s="84">
        <f t="shared" si="12"/>
        <v>1597.44</v>
      </c>
      <c r="AF75" s="84">
        <f t="shared" si="12"/>
        <v>1567.54</v>
      </c>
      <c r="AG75" s="74">
        <f>AG72+AG68+AG56+AG52+AG38+AG74</f>
        <v>2144.14</v>
      </c>
      <c r="AH75" s="55">
        <f t="shared" si="3"/>
        <v>1696.64</v>
      </c>
      <c r="AI75" s="56">
        <f t="shared" si="4"/>
        <v>1476.04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3">IF(C60&lt;0,C60*-1,0)</f>
        <v>0</v>
      </c>
      <c r="D76" s="78">
        <f t="shared" si="13"/>
        <v>0</v>
      </c>
      <c r="E76" s="78">
        <f t="shared" si="13"/>
        <v>0</v>
      </c>
      <c r="F76" s="78">
        <f t="shared" si="13"/>
        <v>0</v>
      </c>
      <c r="G76" s="78">
        <f t="shared" si="13"/>
        <v>0</v>
      </c>
      <c r="H76" s="78">
        <f t="shared" si="13"/>
        <v>0</v>
      </c>
      <c r="I76" s="78">
        <f t="shared" si="13"/>
        <v>0</v>
      </c>
      <c r="J76" s="78">
        <f t="shared" si="13"/>
        <v>0</v>
      </c>
      <c r="K76" s="78">
        <f t="shared" si="13"/>
        <v>0</v>
      </c>
      <c r="L76" s="78">
        <f t="shared" si="13"/>
        <v>0</v>
      </c>
      <c r="M76" s="78">
        <f t="shared" si="13"/>
        <v>0</v>
      </c>
      <c r="N76" s="78">
        <f t="shared" si="13"/>
        <v>0</v>
      </c>
      <c r="O76" s="78">
        <f t="shared" si="13"/>
        <v>0</v>
      </c>
      <c r="P76" s="78">
        <f t="shared" si="13"/>
        <v>0</v>
      </c>
      <c r="Q76" s="78">
        <f t="shared" si="13"/>
        <v>0</v>
      </c>
      <c r="R76" s="78">
        <f t="shared" si="13"/>
        <v>0</v>
      </c>
      <c r="S76" s="78">
        <f t="shared" si="13"/>
        <v>0</v>
      </c>
      <c r="T76" s="78">
        <f t="shared" si="13"/>
        <v>0</v>
      </c>
      <c r="U76" s="78">
        <f t="shared" si="13"/>
        <v>0</v>
      </c>
      <c r="V76" s="78">
        <f t="shared" si="13"/>
        <v>0</v>
      </c>
      <c r="W76" s="78">
        <f t="shared" si="13"/>
        <v>0</v>
      </c>
      <c r="X76" s="78">
        <f t="shared" si="13"/>
        <v>0</v>
      </c>
      <c r="Y76" s="78">
        <f t="shared" si="13"/>
        <v>0</v>
      </c>
      <c r="Z76" s="78">
        <f t="shared" si="13"/>
        <v>0</v>
      </c>
      <c r="AA76" s="78">
        <f t="shared" si="13"/>
        <v>0</v>
      </c>
      <c r="AB76" s="78">
        <f t="shared" si="13"/>
        <v>0</v>
      </c>
      <c r="AC76" s="78">
        <f t="shared" si="13"/>
        <v>0</v>
      </c>
      <c r="AD76" s="78">
        <f t="shared" si="13"/>
        <v>0</v>
      </c>
      <c r="AE76" s="78">
        <f t="shared" si="13"/>
        <v>0</v>
      </c>
      <c r="AF76" s="78">
        <f t="shared" si="13"/>
        <v>0</v>
      </c>
      <c r="AG76" s="60"/>
      <c r="AH76" s="55">
        <f t="shared" ref="AH76:AH91" si="14">MAX(B76:AF76)</f>
        <v>0</v>
      </c>
      <c r="AI76" s="56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6">IF(C58&lt;0,C58*-1,0)</f>
        <v>0</v>
      </c>
      <c r="D77" s="78">
        <f t="shared" si="16"/>
        <v>0</v>
      </c>
      <c r="E77" s="78">
        <f t="shared" si="16"/>
        <v>0</v>
      </c>
      <c r="F77" s="78">
        <f t="shared" si="16"/>
        <v>0</v>
      </c>
      <c r="G77" s="78">
        <f t="shared" si="16"/>
        <v>0</v>
      </c>
      <c r="H77" s="78">
        <f t="shared" si="16"/>
        <v>0</v>
      </c>
      <c r="I77" s="78">
        <f t="shared" si="16"/>
        <v>0</v>
      </c>
      <c r="J77" s="78">
        <f t="shared" si="16"/>
        <v>0</v>
      </c>
      <c r="K77" s="78">
        <f t="shared" si="16"/>
        <v>0</v>
      </c>
      <c r="L77" s="78">
        <f t="shared" si="16"/>
        <v>0</v>
      </c>
      <c r="M77" s="78">
        <f t="shared" si="16"/>
        <v>0</v>
      </c>
      <c r="N77" s="78">
        <f t="shared" si="16"/>
        <v>0</v>
      </c>
      <c r="O77" s="78">
        <f t="shared" si="16"/>
        <v>0</v>
      </c>
      <c r="P77" s="78">
        <f t="shared" si="16"/>
        <v>0</v>
      </c>
      <c r="Q77" s="78">
        <f t="shared" si="16"/>
        <v>0</v>
      </c>
      <c r="R77" s="78">
        <f t="shared" si="16"/>
        <v>0</v>
      </c>
      <c r="S77" s="78">
        <f t="shared" si="16"/>
        <v>0</v>
      </c>
      <c r="T77" s="78">
        <f t="shared" si="16"/>
        <v>0</v>
      </c>
      <c r="U77" s="78">
        <f t="shared" si="16"/>
        <v>0</v>
      </c>
      <c r="V77" s="78">
        <f t="shared" si="16"/>
        <v>0</v>
      </c>
      <c r="W77" s="78">
        <f t="shared" si="16"/>
        <v>0</v>
      </c>
      <c r="X77" s="78">
        <f t="shared" si="16"/>
        <v>0</v>
      </c>
      <c r="Y77" s="78">
        <f t="shared" si="16"/>
        <v>0</v>
      </c>
      <c r="Z77" s="78">
        <f t="shared" si="16"/>
        <v>0</v>
      </c>
      <c r="AA77" s="78">
        <f t="shared" si="16"/>
        <v>0</v>
      </c>
      <c r="AB77" s="78">
        <f t="shared" si="16"/>
        <v>0</v>
      </c>
      <c r="AC77" s="78">
        <f t="shared" si="16"/>
        <v>0</v>
      </c>
      <c r="AD77" s="78">
        <f t="shared" si="16"/>
        <v>0</v>
      </c>
      <c r="AE77" s="78">
        <f t="shared" si="16"/>
        <v>0</v>
      </c>
      <c r="AF77" s="78">
        <f t="shared" si="16"/>
        <v>0</v>
      </c>
      <c r="AG77" s="64"/>
      <c r="AH77" s="55">
        <f t="shared" si="14"/>
        <v>0</v>
      </c>
      <c r="AI77" s="56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7">IF(C61&lt;0,C61*-1,0)</f>
        <v>0</v>
      </c>
      <c r="D78" s="78">
        <f t="shared" si="17"/>
        <v>0</v>
      </c>
      <c r="E78" s="78">
        <f t="shared" si="17"/>
        <v>0</v>
      </c>
      <c r="F78" s="78">
        <f t="shared" si="17"/>
        <v>0</v>
      </c>
      <c r="G78" s="78">
        <f t="shared" si="17"/>
        <v>0</v>
      </c>
      <c r="H78" s="78">
        <f t="shared" si="17"/>
        <v>0</v>
      </c>
      <c r="I78" s="78">
        <f t="shared" si="17"/>
        <v>0</v>
      </c>
      <c r="J78" s="78">
        <f t="shared" si="17"/>
        <v>0</v>
      </c>
      <c r="K78" s="78">
        <f t="shared" si="17"/>
        <v>0</v>
      </c>
      <c r="L78" s="78">
        <f t="shared" si="17"/>
        <v>0</v>
      </c>
      <c r="M78" s="78">
        <f t="shared" si="17"/>
        <v>0</v>
      </c>
      <c r="N78" s="78">
        <f t="shared" si="17"/>
        <v>0</v>
      </c>
      <c r="O78" s="78">
        <f t="shared" si="17"/>
        <v>0</v>
      </c>
      <c r="P78" s="78">
        <f t="shared" si="17"/>
        <v>0</v>
      </c>
      <c r="Q78" s="78">
        <f t="shared" si="17"/>
        <v>0</v>
      </c>
      <c r="R78" s="78">
        <f t="shared" si="17"/>
        <v>0</v>
      </c>
      <c r="S78" s="78">
        <f t="shared" si="17"/>
        <v>0</v>
      </c>
      <c r="T78" s="78">
        <f t="shared" si="17"/>
        <v>0</v>
      </c>
      <c r="U78" s="78">
        <f t="shared" si="17"/>
        <v>0</v>
      </c>
      <c r="V78" s="78">
        <f t="shared" si="17"/>
        <v>0</v>
      </c>
      <c r="W78" s="78">
        <f t="shared" si="17"/>
        <v>0</v>
      </c>
      <c r="X78" s="78">
        <f t="shared" si="17"/>
        <v>0</v>
      </c>
      <c r="Y78" s="78">
        <f t="shared" si="17"/>
        <v>0</v>
      </c>
      <c r="Z78" s="78">
        <f t="shared" si="17"/>
        <v>0</v>
      </c>
      <c r="AA78" s="78">
        <f t="shared" si="17"/>
        <v>0</v>
      </c>
      <c r="AB78" s="78">
        <f t="shared" si="17"/>
        <v>0</v>
      </c>
      <c r="AC78" s="78">
        <f t="shared" si="17"/>
        <v>0</v>
      </c>
      <c r="AD78" s="78">
        <f t="shared" si="17"/>
        <v>0</v>
      </c>
      <c r="AE78" s="78">
        <f t="shared" si="17"/>
        <v>0</v>
      </c>
      <c r="AF78" s="78">
        <f t="shared" si="17"/>
        <v>0</v>
      </c>
      <c r="AG78" s="87"/>
      <c r="AH78" s="55">
        <f t="shared" si="14"/>
        <v>0</v>
      </c>
      <c r="AI78" s="56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440</v>
      </c>
      <c r="C79" s="78">
        <f t="shared" ref="C79:AF79" si="18">IF(C59&lt;0,C59*-1,0)</f>
        <v>437</v>
      </c>
      <c r="D79" s="78">
        <f t="shared" si="18"/>
        <v>453</v>
      </c>
      <c r="E79" s="78">
        <f t="shared" si="18"/>
        <v>400.4</v>
      </c>
      <c r="F79" s="78">
        <f t="shared" si="18"/>
        <v>404.6</v>
      </c>
      <c r="G79" s="78">
        <f t="shared" si="18"/>
        <v>395.7</v>
      </c>
      <c r="H79" s="78">
        <f t="shared" si="18"/>
        <v>406.2</v>
      </c>
      <c r="I79" s="78">
        <f t="shared" si="18"/>
        <v>377.2</v>
      </c>
      <c r="J79" s="78">
        <f t="shared" si="18"/>
        <v>385</v>
      </c>
      <c r="K79" s="78">
        <f t="shared" si="18"/>
        <v>384.1</v>
      </c>
      <c r="L79" s="78">
        <f t="shared" si="18"/>
        <v>365</v>
      </c>
      <c r="M79" s="78">
        <f t="shared" si="18"/>
        <v>376.5</v>
      </c>
      <c r="N79" s="78">
        <f t="shared" si="18"/>
        <v>375.6</v>
      </c>
      <c r="O79" s="78">
        <f t="shared" si="18"/>
        <v>379.9</v>
      </c>
      <c r="P79" s="78">
        <f t="shared" si="18"/>
        <v>393.5</v>
      </c>
      <c r="Q79" s="78">
        <f t="shared" si="18"/>
        <v>373.4</v>
      </c>
      <c r="R79" s="78">
        <f t="shared" si="18"/>
        <v>380</v>
      </c>
      <c r="S79" s="78">
        <f t="shared" si="18"/>
        <v>366</v>
      </c>
      <c r="T79" s="78">
        <f t="shared" si="18"/>
        <v>363</v>
      </c>
      <c r="U79" s="78">
        <f t="shared" si="18"/>
        <v>368</v>
      </c>
      <c r="V79" s="78">
        <f t="shared" si="18"/>
        <v>377</v>
      </c>
      <c r="W79" s="78">
        <f t="shared" si="18"/>
        <v>372.3</v>
      </c>
      <c r="X79" s="78">
        <f t="shared" si="18"/>
        <v>366</v>
      </c>
      <c r="Y79" s="78">
        <f t="shared" si="18"/>
        <v>376</v>
      </c>
      <c r="Z79" s="78">
        <f t="shared" si="18"/>
        <v>359</v>
      </c>
      <c r="AA79" s="78">
        <f t="shared" si="18"/>
        <v>250</v>
      </c>
      <c r="AB79" s="78">
        <f t="shared" si="18"/>
        <v>270.3</v>
      </c>
      <c r="AC79" s="78">
        <f t="shared" si="18"/>
        <v>275</v>
      </c>
      <c r="AD79" s="78">
        <f t="shared" si="18"/>
        <v>281</v>
      </c>
      <c r="AE79" s="78">
        <f t="shared" si="18"/>
        <v>254</v>
      </c>
      <c r="AF79" s="78">
        <f t="shared" si="18"/>
        <v>283</v>
      </c>
      <c r="AG79" s="87"/>
      <c r="AH79" s="55">
        <f t="shared" si="14"/>
        <v>453</v>
      </c>
      <c r="AI79" s="56">
        <f t="shared" si="15"/>
        <v>250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19">IF(C57&lt;0,C57*-1,0)</f>
        <v>0</v>
      </c>
      <c r="D80" s="78">
        <f t="shared" si="19"/>
        <v>0</v>
      </c>
      <c r="E80" s="78">
        <f t="shared" si="19"/>
        <v>0</v>
      </c>
      <c r="F80" s="78">
        <f t="shared" si="19"/>
        <v>0</v>
      </c>
      <c r="G80" s="78">
        <f t="shared" si="19"/>
        <v>0</v>
      </c>
      <c r="H80" s="78">
        <f t="shared" si="19"/>
        <v>0</v>
      </c>
      <c r="I80" s="78">
        <f t="shared" si="19"/>
        <v>0</v>
      </c>
      <c r="J80" s="78">
        <f t="shared" si="19"/>
        <v>0</v>
      </c>
      <c r="K80" s="78">
        <f t="shared" si="19"/>
        <v>0</v>
      </c>
      <c r="L80" s="78">
        <f t="shared" si="19"/>
        <v>0</v>
      </c>
      <c r="M80" s="78">
        <f t="shared" si="19"/>
        <v>0</v>
      </c>
      <c r="N80" s="78">
        <f t="shared" si="19"/>
        <v>0</v>
      </c>
      <c r="O80" s="78">
        <f t="shared" si="19"/>
        <v>0</v>
      </c>
      <c r="P80" s="78">
        <f t="shared" si="19"/>
        <v>0</v>
      </c>
      <c r="Q80" s="78">
        <f t="shared" si="19"/>
        <v>0</v>
      </c>
      <c r="R80" s="78">
        <f t="shared" si="19"/>
        <v>0</v>
      </c>
      <c r="S80" s="78">
        <f t="shared" si="19"/>
        <v>0</v>
      </c>
      <c r="T80" s="78">
        <f t="shared" si="19"/>
        <v>0</v>
      </c>
      <c r="U80" s="78">
        <f t="shared" si="19"/>
        <v>0</v>
      </c>
      <c r="V80" s="78">
        <f t="shared" si="19"/>
        <v>0</v>
      </c>
      <c r="W80" s="78">
        <f t="shared" si="19"/>
        <v>0</v>
      </c>
      <c r="X80" s="78">
        <f t="shared" si="19"/>
        <v>0</v>
      </c>
      <c r="Y80" s="78">
        <f t="shared" si="19"/>
        <v>0</v>
      </c>
      <c r="Z80" s="78">
        <f t="shared" si="19"/>
        <v>0</v>
      </c>
      <c r="AA80" s="78">
        <f t="shared" si="19"/>
        <v>0</v>
      </c>
      <c r="AB80" s="78">
        <f t="shared" si="19"/>
        <v>0</v>
      </c>
      <c r="AC80" s="78">
        <f t="shared" si="19"/>
        <v>0</v>
      </c>
      <c r="AD80" s="78">
        <f t="shared" si="19"/>
        <v>0</v>
      </c>
      <c r="AE80" s="78">
        <f t="shared" si="19"/>
        <v>0</v>
      </c>
      <c r="AF80" s="78">
        <f t="shared" si="19"/>
        <v>0</v>
      </c>
      <c r="AG80" s="87"/>
      <c r="AH80" s="55">
        <f t="shared" si="14"/>
        <v>0</v>
      </c>
      <c r="AI80" s="56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4"/>
        <v>0</v>
      </c>
      <c r="AI81" s="56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440</v>
      </c>
      <c r="C82" s="70">
        <f t="shared" ref="C82:AG82" si="20">SUM(C76:C81)</f>
        <v>437</v>
      </c>
      <c r="D82" s="70">
        <f t="shared" si="20"/>
        <v>453</v>
      </c>
      <c r="E82" s="70">
        <f t="shared" si="20"/>
        <v>400.4</v>
      </c>
      <c r="F82" s="70">
        <f t="shared" si="20"/>
        <v>404.6</v>
      </c>
      <c r="G82" s="70">
        <f t="shared" si="20"/>
        <v>395.7</v>
      </c>
      <c r="H82" s="70">
        <f t="shared" si="20"/>
        <v>406.2</v>
      </c>
      <c r="I82" s="70">
        <f t="shared" si="20"/>
        <v>377.2</v>
      </c>
      <c r="J82" s="70">
        <f t="shared" si="20"/>
        <v>385</v>
      </c>
      <c r="K82" s="70">
        <f t="shared" si="20"/>
        <v>384.1</v>
      </c>
      <c r="L82" s="70">
        <f t="shared" si="20"/>
        <v>365</v>
      </c>
      <c r="M82" s="70">
        <f t="shared" si="20"/>
        <v>376.5</v>
      </c>
      <c r="N82" s="70">
        <f t="shared" si="20"/>
        <v>375.6</v>
      </c>
      <c r="O82" s="70">
        <f t="shared" si="20"/>
        <v>379.9</v>
      </c>
      <c r="P82" s="70">
        <f t="shared" si="20"/>
        <v>393.5</v>
      </c>
      <c r="Q82" s="70">
        <f t="shared" si="20"/>
        <v>373.4</v>
      </c>
      <c r="R82" s="70">
        <f t="shared" si="20"/>
        <v>380</v>
      </c>
      <c r="S82" s="70">
        <f t="shared" si="20"/>
        <v>366</v>
      </c>
      <c r="T82" s="70">
        <f t="shared" si="20"/>
        <v>363</v>
      </c>
      <c r="U82" s="70">
        <f t="shared" si="20"/>
        <v>368</v>
      </c>
      <c r="V82" s="70">
        <f t="shared" si="20"/>
        <v>377</v>
      </c>
      <c r="W82" s="70">
        <f t="shared" si="20"/>
        <v>372.3</v>
      </c>
      <c r="X82" s="70">
        <f t="shared" si="20"/>
        <v>366</v>
      </c>
      <c r="Y82" s="70">
        <f t="shared" si="20"/>
        <v>376</v>
      </c>
      <c r="Z82" s="70">
        <f t="shared" si="20"/>
        <v>359</v>
      </c>
      <c r="AA82" s="70">
        <f t="shared" si="20"/>
        <v>250</v>
      </c>
      <c r="AB82" s="70">
        <f t="shared" si="20"/>
        <v>270.3</v>
      </c>
      <c r="AC82" s="70">
        <f t="shared" si="20"/>
        <v>275</v>
      </c>
      <c r="AD82" s="70">
        <f t="shared" si="20"/>
        <v>281</v>
      </c>
      <c r="AE82" s="70">
        <f t="shared" si="20"/>
        <v>254</v>
      </c>
      <c r="AF82" s="70">
        <f t="shared" si="20"/>
        <v>283</v>
      </c>
      <c r="AG82" s="74">
        <f t="shared" si="20"/>
        <v>0</v>
      </c>
      <c r="AH82" s="55">
        <f t="shared" si="14"/>
        <v>453</v>
      </c>
      <c r="AI82" s="56">
        <f t="shared" si="15"/>
        <v>250</v>
      </c>
      <c r="AK82" s="57"/>
    </row>
    <row r="83" spans="1:88" s="1" customFormat="1" ht="15.75" thickBot="1" x14ac:dyDescent="0.3">
      <c r="A83" s="69" t="s">
        <v>88</v>
      </c>
      <c r="B83" s="70">
        <f>B68-B82</f>
        <v>-429</v>
      </c>
      <c r="C83" s="70">
        <f t="shared" ref="C83:AF83" si="21">C68-C82</f>
        <v>-430</v>
      </c>
      <c r="D83" s="70">
        <f t="shared" si="21"/>
        <v>-446</v>
      </c>
      <c r="E83" s="70">
        <f t="shared" si="21"/>
        <v>-390.09999999999997</v>
      </c>
      <c r="F83" s="70">
        <f t="shared" si="21"/>
        <v>-392.70000000000005</v>
      </c>
      <c r="G83" s="70">
        <f t="shared" si="21"/>
        <v>-384.09999999999997</v>
      </c>
      <c r="H83" s="70">
        <f t="shared" si="21"/>
        <v>-395.09999999999997</v>
      </c>
      <c r="I83" s="70">
        <f t="shared" si="21"/>
        <v>-370.2</v>
      </c>
      <c r="J83" s="70">
        <f t="shared" si="21"/>
        <v>-374.7</v>
      </c>
      <c r="K83" s="70">
        <f t="shared" si="21"/>
        <v>-368</v>
      </c>
      <c r="L83" s="70">
        <f t="shared" si="21"/>
        <v>-341.7</v>
      </c>
      <c r="M83" s="70">
        <f t="shared" si="21"/>
        <v>-351</v>
      </c>
      <c r="N83" s="70">
        <f t="shared" si="21"/>
        <v>-348.90000000000003</v>
      </c>
      <c r="O83" s="70">
        <f t="shared" si="21"/>
        <v>-346.9</v>
      </c>
      <c r="P83" s="70">
        <f t="shared" si="21"/>
        <v>-364.1</v>
      </c>
      <c r="Q83" s="70">
        <f t="shared" si="21"/>
        <v>-318.39999999999998</v>
      </c>
      <c r="R83" s="70">
        <f t="shared" si="21"/>
        <v>-332.8</v>
      </c>
      <c r="S83" s="70">
        <f t="shared" si="21"/>
        <v>-319.8</v>
      </c>
      <c r="T83" s="70">
        <f t="shared" si="21"/>
        <v>-333.6</v>
      </c>
      <c r="U83" s="70">
        <f t="shared" si="21"/>
        <v>-334.6</v>
      </c>
      <c r="V83" s="70">
        <f t="shared" si="21"/>
        <v>-337.5</v>
      </c>
      <c r="W83" s="70">
        <f t="shared" si="21"/>
        <v>-337.2</v>
      </c>
      <c r="X83" s="70">
        <f t="shared" si="21"/>
        <v>-334.7</v>
      </c>
      <c r="Y83" s="70">
        <f t="shared" si="21"/>
        <v>-344</v>
      </c>
      <c r="Z83" s="70">
        <f t="shared" si="21"/>
        <v>-330</v>
      </c>
      <c r="AA83" s="70">
        <f t="shared" si="21"/>
        <v>-217</v>
      </c>
      <c r="AB83" s="70">
        <f t="shared" si="21"/>
        <v>-225.20000000000002</v>
      </c>
      <c r="AC83" s="70">
        <f t="shared" si="21"/>
        <v>-221.1</v>
      </c>
      <c r="AD83" s="70">
        <f t="shared" si="21"/>
        <v>-228.8</v>
      </c>
      <c r="AE83" s="70">
        <f t="shared" si="21"/>
        <v>-221.3</v>
      </c>
      <c r="AF83" s="70">
        <f t="shared" si="21"/>
        <v>-235.2</v>
      </c>
      <c r="AG83" s="74">
        <f t="shared" ref="AG83" si="22">SUM(AG70:AG82)</f>
        <v>4360.08</v>
      </c>
      <c r="AH83" s="55">
        <f t="shared" si="14"/>
        <v>-217</v>
      </c>
      <c r="AI83" s="56">
        <f t="shared" si="15"/>
        <v>-446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50.04</v>
      </c>
      <c r="C84" s="90">
        <v>50.02</v>
      </c>
      <c r="D84" s="90">
        <v>49.98</v>
      </c>
      <c r="E84" s="90">
        <v>50.009</v>
      </c>
      <c r="F84" s="90">
        <v>50.037999999999997</v>
      </c>
      <c r="G84" s="90">
        <v>50.045000000000002</v>
      </c>
      <c r="H84" s="90">
        <v>49.962000000000003</v>
      </c>
      <c r="I84" s="90">
        <v>50.061</v>
      </c>
      <c r="J84" s="90">
        <v>49.924999999999997</v>
      </c>
      <c r="K84" s="90">
        <v>50.000999999999998</v>
      </c>
      <c r="L84" s="90">
        <v>50.003</v>
      </c>
      <c r="M84" s="90">
        <v>50.113</v>
      </c>
      <c r="N84" s="90">
        <v>50.1</v>
      </c>
      <c r="O84" s="90">
        <v>50.029000000000003</v>
      </c>
      <c r="P84" s="90">
        <v>50.026000000000003</v>
      </c>
      <c r="Q84" s="90">
        <v>49.963000000000001</v>
      </c>
      <c r="R84" s="90">
        <v>50.072000000000003</v>
      </c>
      <c r="S84" s="90">
        <v>50.03</v>
      </c>
      <c r="T84" s="90">
        <v>50.03</v>
      </c>
      <c r="U84" s="90">
        <v>50.04</v>
      </c>
      <c r="V84" s="90">
        <v>50.04</v>
      </c>
      <c r="W84" s="90">
        <v>50.04</v>
      </c>
      <c r="X84" s="90">
        <v>50.05</v>
      </c>
      <c r="Y84" s="90">
        <v>50.03</v>
      </c>
      <c r="Z84" s="90">
        <v>50.05</v>
      </c>
      <c r="AA84" s="90">
        <v>50</v>
      </c>
      <c r="AB84" s="90">
        <v>49.87</v>
      </c>
      <c r="AC84" s="90">
        <v>50.037999999999997</v>
      </c>
      <c r="AD84" s="90">
        <v>50.021999999999998</v>
      </c>
      <c r="AE84" s="90">
        <v>50.054000000000002</v>
      </c>
      <c r="AF84" s="90">
        <v>50.063000000000002</v>
      </c>
      <c r="AG84" s="91"/>
      <c r="AH84" s="55">
        <f t="shared" si="14"/>
        <v>50.113</v>
      </c>
      <c r="AI84" s="56">
        <f t="shared" si="15"/>
        <v>49.87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125.9</v>
      </c>
      <c r="C85" s="49">
        <v>125.9</v>
      </c>
      <c r="D85" s="49">
        <v>125.6</v>
      </c>
      <c r="E85" s="49">
        <v>126.2</v>
      </c>
      <c r="F85" s="49">
        <v>126.7</v>
      </c>
      <c r="G85" s="49">
        <v>126.5</v>
      </c>
      <c r="H85" s="49">
        <v>125.6</v>
      </c>
      <c r="I85" s="49">
        <v>125.2</v>
      </c>
      <c r="J85" s="49">
        <v>123</v>
      </c>
      <c r="K85" s="49">
        <v>124</v>
      </c>
      <c r="L85" s="49">
        <v>122.8</v>
      </c>
      <c r="M85" s="49">
        <v>123.1</v>
      </c>
      <c r="N85" s="49">
        <v>123.6</v>
      </c>
      <c r="O85" s="49">
        <v>124.3</v>
      </c>
      <c r="P85" s="49">
        <v>124.1</v>
      </c>
      <c r="Q85" s="49">
        <v>123.2</v>
      </c>
      <c r="R85" s="49">
        <v>123.6</v>
      </c>
      <c r="S85" s="49">
        <v>123.2</v>
      </c>
      <c r="T85" s="49">
        <v>123.2</v>
      </c>
      <c r="U85" s="49">
        <v>123.6</v>
      </c>
      <c r="V85" s="49">
        <v>124.4</v>
      </c>
      <c r="W85" s="49">
        <v>124.4</v>
      </c>
      <c r="X85" s="49">
        <v>125.2</v>
      </c>
      <c r="Y85" s="49">
        <v>125</v>
      </c>
      <c r="Z85" s="49">
        <v>125.3</v>
      </c>
      <c r="AA85" s="49">
        <v>124.9</v>
      </c>
      <c r="AB85" s="49">
        <v>124.2</v>
      </c>
      <c r="AC85" s="49">
        <v>124.6</v>
      </c>
      <c r="AD85" s="49">
        <v>124.5</v>
      </c>
      <c r="AE85" s="49">
        <v>124.6</v>
      </c>
      <c r="AF85" s="49">
        <v>124.2</v>
      </c>
      <c r="AG85" s="93"/>
      <c r="AH85" s="55">
        <f t="shared" si="14"/>
        <v>126.7</v>
      </c>
      <c r="AI85" s="56">
        <f t="shared" si="15"/>
        <v>122.8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131</v>
      </c>
      <c r="C86" s="49">
        <v>131</v>
      </c>
      <c r="D86" s="49">
        <v>130.4</v>
      </c>
      <c r="E86" s="49">
        <v>130.5</v>
      </c>
      <c r="F86" s="49">
        <v>131.1</v>
      </c>
      <c r="G86" s="49">
        <v>130.4</v>
      </c>
      <c r="H86" s="49">
        <v>129.4</v>
      </c>
      <c r="I86" s="49">
        <v>129.1</v>
      </c>
      <c r="J86" s="49">
        <v>126.6</v>
      </c>
      <c r="K86" s="49">
        <v>127.7</v>
      </c>
      <c r="L86" s="49">
        <v>126.1</v>
      </c>
      <c r="M86" s="49">
        <v>126.6</v>
      </c>
      <c r="N86" s="49">
        <v>127.3</v>
      </c>
      <c r="O86" s="49">
        <v>127.4</v>
      </c>
      <c r="P86" s="49">
        <v>127.8</v>
      </c>
      <c r="Q86" s="49">
        <v>127</v>
      </c>
      <c r="R86" s="49">
        <v>127.2</v>
      </c>
      <c r="S86" s="49">
        <v>126.6</v>
      </c>
      <c r="T86" s="49">
        <v>127</v>
      </c>
      <c r="U86" s="49">
        <v>127.2</v>
      </c>
      <c r="V86" s="49">
        <v>128.4</v>
      </c>
      <c r="W86" s="49">
        <v>128.5</v>
      </c>
      <c r="X86" s="49">
        <v>129.4</v>
      </c>
      <c r="Y86" s="49">
        <v>129</v>
      </c>
      <c r="Z86" s="49">
        <v>129</v>
      </c>
      <c r="AA86" s="49">
        <v>128.5</v>
      </c>
      <c r="AB86" s="49">
        <v>128.19999999999999</v>
      </c>
      <c r="AC86" s="49">
        <v>129</v>
      </c>
      <c r="AD86" s="49">
        <v>128.6</v>
      </c>
      <c r="AE86" s="49">
        <v>129.5</v>
      </c>
      <c r="AF86" s="49">
        <v>128.6</v>
      </c>
      <c r="AG86" s="93"/>
      <c r="AH86" s="55">
        <f t="shared" si="14"/>
        <v>131.1</v>
      </c>
      <c r="AI86" s="56">
        <f t="shared" si="15"/>
        <v>126.1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131</v>
      </c>
      <c r="C87" s="49">
        <v>131</v>
      </c>
      <c r="D87" s="49">
        <v>131</v>
      </c>
      <c r="E87" s="49">
        <v>129.5</v>
      </c>
      <c r="F87" s="49">
        <v>129.9</v>
      </c>
      <c r="G87" s="49">
        <v>129.9</v>
      </c>
      <c r="H87" s="49">
        <v>129.4</v>
      </c>
      <c r="I87" s="49">
        <v>128.69999999999999</v>
      </c>
      <c r="J87" s="49">
        <v>127.6</v>
      </c>
      <c r="K87" s="49">
        <v>128.69999999999999</v>
      </c>
      <c r="L87" s="49">
        <v>126.8</v>
      </c>
      <c r="M87" s="49">
        <v>128.1</v>
      </c>
      <c r="N87" s="49">
        <v>127.5</v>
      </c>
      <c r="O87" s="49">
        <v>126.3</v>
      </c>
      <c r="P87" s="49">
        <v>126.3</v>
      </c>
      <c r="Q87" s="49">
        <v>128.19999999999999</v>
      </c>
      <c r="R87" s="49">
        <v>129.19999999999999</v>
      </c>
      <c r="S87" s="49">
        <v>125</v>
      </c>
      <c r="T87" s="49">
        <v>127.4</v>
      </c>
      <c r="U87" s="49">
        <v>126.8</v>
      </c>
      <c r="V87" s="49"/>
      <c r="W87" s="49"/>
      <c r="X87" s="49"/>
      <c r="Y87" s="49">
        <v>126.4</v>
      </c>
      <c r="Z87" s="49">
        <v>127.6</v>
      </c>
      <c r="AA87" s="49">
        <v>124.7</v>
      </c>
      <c r="AB87" s="49">
        <v>123.7</v>
      </c>
      <c r="AC87" s="49">
        <v>124.4</v>
      </c>
      <c r="AD87" s="49">
        <v>124</v>
      </c>
      <c r="AE87" s="49">
        <v>125.5</v>
      </c>
      <c r="AF87" s="49">
        <v>124.5</v>
      </c>
      <c r="AG87" s="93"/>
      <c r="AH87" s="55">
        <f t="shared" si="14"/>
        <v>131</v>
      </c>
      <c r="AI87" s="56">
        <f t="shared" si="15"/>
        <v>123.7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4"/>
        <v>0</v>
      </c>
      <c r="AI88" s="56">
        <f t="shared" si="15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135</v>
      </c>
      <c r="C89" s="95">
        <v>132</v>
      </c>
      <c r="D89" s="95">
        <v>132</v>
      </c>
      <c r="E89" s="95">
        <v>132.9</v>
      </c>
      <c r="F89" s="95">
        <v>135</v>
      </c>
      <c r="G89" s="95">
        <v>132</v>
      </c>
      <c r="H89" s="95">
        <v>132</v>
      </c>
      <c r="I89" s="95">
        <v>131.4</v>
      </c>
      <c r="J89" s="95">
        <v>130.80000000000001</v>
      </c>
      <c r="K89" s="95">
        <v>133</v>
      </c>
      <c r="L89" s="95">
        <v>130</v>
      </c>
      <c r="M89" s="95">
        <v>132.1</v>
      </c>
      <c r="N89" s="95">
        <v>135.80000000000001</v>
      </c>
      <c r="O89" s="95">
        <v>134</v>
      </c>
      <c r="P89" s="95">
        <v>132.9</v>
      </c>
      <c r="Q89" s="95">
        <v>134</v>
      </c>
      <c r="R89" s="95">
        <v>130.19999999999999</v>
      </c>
      <c r="S89" s="95">
        <v>133.6</v>
      </c>
      <c r="T89" s="95">
        <v>133.4</v>
      </c>
      <c r="U89" s="95">
        <v>131.19999999999999</v>
      </c>
      <c r="V89" s="95">
        <v>134</v>
      </c>
      <c r="W89" s="95">
        <v>132.6</v>
      </c>
      <c r="X89" s="95">
        <v>133.80000000000001</v>
      </c>
      <c r="Y89" s="95">
        <v>132.5</v>
      </c>
      <c r="Z89" s="95">
        <v>132</v>
      </c>
      <c r="AA89" s="95">
        <v>133.6</v>
      </c>
      <c r="AB89" s="95">
        <v>134.5</v>
      </c>
      <c r="AC89" s="95">
        <v>132</v>
      </c>
      <c r="AD89" s="95">
        <v>134.6</v>
      </c>
      <c r="AE89" s="95">
        <v>134</v>
      </c>
      <c r="AF89" s="95">
        <v>134.30000000000001</v>
      </c>
      <c r="AG89" s="96"/>
      <c r="AH89" s="55">
        <f t="shared" si="14"/>
        <v>135.80000000000001</v>
      </c>
      <c r="AI89" s="56">
        <f t="shared" si="15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135</v>
      </c>
      <c r="C90" s="49">
        <v>135</v>
      </c>
      <c r="D90" s="49">
        <v>131</v>
      </c>
      <c r="E90" s="49">
        <v>132.30000000000001</v>
      </c>
      <c r="F90" s="49">
        <v>137.80000000000001</v>
      </c>
      <c r="G90" s="49">
        <v>131.4</v>
      </c>
      <c r="H90" s="49">
        <v>131.19999999999999</v>
      </c>
      <c r="I90" s="49">
        <v>130</v>
      </c>
      <c r="J90" s="49">
        <v>128.6</v>
      </c>
      <c r="K90" s="49">
        <v>131.80000000000001</v>
      </c>
      <c r="L90" s="49">
        <v>125.8</v>
      </c>
      <c r="M90" s="49">
        <v>135.30000000000001</v>
      </c>
      <c r="N90" s="49">
        <v>132.80000000000001</v>
      </c>
      <c r="O90" s="49">
        <v>133</v>
      </c>
      <c r="P90" s="49">
        <v>131.6</v>
      </c>
      <c r="Q90" s="49">
        <v>125.1</v>
      </c>
      <c r="R90" s="49">
        <v>131.1</v>
      </c>
      <c r="S90" s="49">
        <v>131</v>
      </c>
      <c r="T90" s="49">
        <v>130.9</v>
      </c>
      <c r="U90" s="49">
        <v>129.9</v>
      </c>
      <c r="V90" s="49">
        <v>130.1</v>
      </c>
      <c r="W90" s="49">
        <v>130.1</v>
      </c>
      <c r="X90" s="49">
        <v>132.4</v>
      </c>
      <c r="Y90" s="49">
        <v>132</v>
      </c>
      <c r="Z90" s="49">
        <v>130.9</v>
      </c>
      <c r="AA90" s="49">
        <v>131.69999999999999</v>
      </c>
      <c r="AB90" s="49">
        <v>133.1</v>
      </c>
      <c r="AC90" s="49">
        <v>129.69999999999999</v>
      </c>
      <c r="AD90" s="49">
        <v>132.5</v>
      </c>
      <c r="AE90" s="49">
        <v>135.19999999999999</v>
      </c>
      <c r="AF90" s="49">
        <v>134.69999999999999</v>
      </c>
      <c r="AG90" s="93"/>
      <c r="AH90" s="55">
        <f t="shared" si="14"/>
        <v>137.80000000000001</v>
      </c>
      <c r="AI90" s="56">
        <f t="shared" si="15"/>
        <v>125.1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66.2</v>
      </c>
      <c r="C91" s="97">
        <v>65.7</v>
      </c>
      <c r="D91" s="97">
        <v>66</v>
      </c>
      <c r="E91" s="97">
        <v>66.2</v>
      </c>
      <c r="F91" s="97">
        <v>66.5</v>
      </c>
      <c r="G91" s="97">
        <v>66</v>
      </c>
      <c r="H91" s="97">
        <v>65.3</v>
      </c>
      <c r="I91" s="97">
        <v>65</v>
      </c>
      <c r="J91" s="97">
        <v>63.7</v>
      </c>
      <c r="K91" s="97">
        <v>64.400000000000006</v>
      </c>
      <c r="L91" s="97">
        <v>64.099999999999994</v>
      </c>
      <c r="M91" s="97">
        <v>64</v>
      </c>
      <c r="N91" s="97">
        <v>64.099999999999994</v>
      </c>
      <c r="O91" s="97">
        <v>63.9</v>
      </c>
      <c r="P91" s="97">
        <v>64.400000000000006</v>
      </c>
      <c r="Q91" s="97">
        <v>64</v>
      </c>
      <c r="R91" s="97">
        <v>64</v>
      </c>
      <c r="S91" s="97">
        <v>63.8</v>
      </c>
      <c r="T91" s="97">
        <v>64</v>
      </c>
      <c r="U91" s="97">
        <v>64</v>
      </c>
      <c r="V91" s="97">
        <v>64.8</v>
      </c>
      <c r="W91" s="97">
        <v>64.5</v>
      </c>
      <c r="X91" s="97">
        <v>65.400000000000006</v>
      </c>
      <c r="Y91" s="97">
        <v>65</v>
      </c>
      <c r="Z91" s="97">
        <v>65.099999999999994</v>
      </c>
      <c r="AA91" s="97">
        <v>64.8</v>
      </c>
      <c r="AB91" s="97">
        <v>64.8</v>
      </c>
      <c r="AC91" s="97">
        <v>65.2</v>
      </c>
      <c r="AD91" s="97">
        <v>65</v>
      </c>
      <c r="AE91" s="97">
        <v>65.599999999999994</v>
      </c>
      <c r="AF91" s="97">
        <v>65</v>
      </c>
      <c r="AG91" s="98"/>
      <c r="AH91" s="55">
        <f t="shared" si="14"/>
        <v>66.5</v>
      </c>
      <c r="AI91" s="56">
        <f t="shared" si="15"/>
        <v>63.7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3">SUM(B15,B18,B21:B22,B42,B44:B45,B47,B49,B94:B97,B103,B109,B115,B124,B126,B138,B145,B148:B149,B156,B158,B160,B164:B166,B168:B170,B175,B181:B182,B184:B186,B194,B199)</f>
        <v>151.23999999999998</v>
      </c>
      <c r="C93" s="103">
        <f t="shared" si="23"/>
        <v>140.24</v>
      </c>
      <c r="D93" s="103">
        <f t="shared" si="23"/>
        <v>138.63999999999999</v>
      </c>
      <c r="E93" s="103">
        <f t="shared" si="23"/>
        <v>100.63999999999997</v>
      </c>
      <c r="F93" s="103">
        <f t="shared" si="23"/>
        <v>102.24</v>
      </c>
      <c r="G93" s="103">
        <f t="shared" si="23"/>
        <v>134.13999999999999</v>
      </c>
      <c r="H93" s="103">
        <f t="shared" si="23"/>
        <v>147.33999999999997</v>
      </c>
      <c r="I93" s="103">
        <f t="shared" si="23"/>
        <v>170.64</v>
      </c>
      <c r="J93" s="103">
        <f t="shared" si="23"/>
        <v>207.64</v>
      </c>
      <c r="K93" s="103">
        <f t="shared" si="23"/>
        <v>218.44</v>
      </c>
      <c r="L93" s="103">
        <f t="shared" si="23"/>
        <v>239.83999999999997</v>
      </c>
      <c r="M93" s="103">
        <f t="shared" si="23"/>
        <v>226.64</v>
      </c>
      <c r="N93" s="103">
        <f t="shared" si="23"/>
        <v>231.44</v>
      </c>
      <c r="O93" s="103">
        <f t="shared" si="23"/>
        <v>317.84000000000003</v>
      </c>
      <c r="P93" s="103">
        <f t="shared" si="23"/>
        <v>322.24000000000007</v>
      </c>
      <c r="Q93" s="103">
        <f t="shared" si="23"/>
        <v>206.74</v>
      </c>
      <c r="R93" s="103">
        <f t="shared" si="23"/>
        <v>338.04000000000008</v>
      </c>
      <c r="S93" s="103">
        <f t="shared" si="23"/>
        <v>238.93999999999997</v>
      </c>
      <c r="T93" s="103">
        <f t="shared" si="23"/>
        <v>228.33999999999995</v>
      </c>
      <c r="U93" s="103">
        <f t="shared" si="23"/>
        <v>210.83999999999992</v>
      </c>
      <c r="V93" s="103">
        <f t="shared" si="23"/>
        <v>218.73999999999995</v>
      </c>
      <c r="W93" s="103">
        <f>SUM(W15,W18,W21:W22,W42,W44:W45,W47,W49,W94:W97,W103,W109,W115,W124,W126,W138,W145,W148:W149,W156,W158,W160,W164:W166,W168:W170,W175,W181:W182,W184:W186,W194,W199)</f>
        <v>241.03999999999996</v>
      </c>
      <c r="X93" s="103">
        <f>SUM(X15,X18,X21:X22,X42,X44:X45,X47,X49,X94:X97,X103,X109,X115,X124,X126,X138,X145,X148:X149,X156,X158,X160,X164:X166,X168:X170,X175,X181:X182,X184:X186,X194,X199)</f>
        <v>232.23999999999995</v>
      </c>
      <c r="Y93" s="103">
        <f t="shared" si="23"/>
        <v>216.23999999999998</v>
      </c>
      <c r="Z93" s="103">
        <f t="shared" si="23"/>
        <v>231.54</v>
      </c>
      <c r="AA93" s="103">
        <f t="shared" si="23"/>
        <v>283.84000000000003</v>
      </c>
      <c r="AB93" s="103">
        <f t="shared" si="23"/>
        <v>266.64</v>
      </c>
      <c r="AC93" s="103">
        <f t="shared" si="23"/>
        <v>235.83999999999997</v>
      </c>
      <c r="AD93" s="103">
        <f t="shared" si="23"/>
        <v>217.04</v>
      </c>
      <c r="AE93" s="103">
        <f t="shared" si="23"/>
        <v>152.23999999999998</v>
      </c>
      <c r="AF93" s="103">
        <f t="shared" si="23"/>
        <v>112.84000000000002</v>
      </c>
      <c r="AG93" s="104"/>
      <c r="AH93" s="55">
        <f>MAX(C93:AF93)</f>
        <v>338.04000000000008</v>
      </c>
      <c r="AI93" s="56">
        <f>MIN(C93:AF93)</f>
        <v>100.63999999999997</v>
      </c>
    </row>
    <row r="94" spans="1:88" x14ac:dyDescent="0.25">
      <c r="A94" s="105" t="s">
        <v>98</v>
      </c>
      <c r="B94" s="106">
        <v>57</v>
      </c>
      <c r="C94" s="106">
        <v>45</v>
      </c>
      <c r="D94" s="106">
        <v>50</v>
      </c>
      <c r="E94" s="106">
        <v>13.2</v>
      </c>
      <c r="F94" s="106">
        <v>15.2</v>
      </c>
      <c r="G94" s="106">
        <v>17.600000000000001</v>
      </c>
      <c r="H94" s="106">
        <v>20.100000000000001</v>
      </c>
      <c r="I94" s="106">
        <v>25</v>
      </c>
      <c r="J94" s="106">
        <v>29.1</v>
      </c>
      <c r="K94" s="106">
        <v>30.4</v>
      </c>
      <c r="L94" s="106">
        <v>27.6</v>
      </c>
      <c r="M94" s="106">
        <v>39</v>
      </c>
      <c r="N94" s="106">
        <v>32.299999999999997</v>
      </c>
      <c r="O94" s="106">
        <v>37.200000000000003</v>
      </c>
      <c r="P94" s="106">
        <v>36.5</v>
      </c>
      <c r="Q94" s="106">
        <v>39.200000000000003</v>
      </c>
      <c r="R94" s="106">
        <v>41.2</v>
      </c>
      <c r="S94" s="106">
        <v>31.6</v>
      </c>
      <c r="T94" s="106">
        <v>32.1</v>
      </c>
      <c r="U94" s="106">
        <v>32.299999999999997</v>
      </c>
      <c r="V94" s="106">
        <v>36.299999999999997</v>
      </c>
      <c r="W94" s="106">
        <v>38.799999999999997</v>
      </c>
      <c r="X94" s="106">
        <v>34.4</v>
      </c>
      <c r="Y94" s="106">
        <v>37.299999999999997</v>
      </c>
      <c r="Z94" s="106">
        <v>35.4</v>
      </c>
      <c r="AA94" s="106">
        <v>27.2</v>
      </c>
      <c r="AB94" s="106">
        <v>26</v>
      </c>
      <c r="AC94" s="106">
        <v>32.5</v>
      </c>
      <c r="AD94" s="106">
        <v>28.4</v>
      </c>
      <c r="AE94" s="106">
        <v>24.3</v>
      </c>
      <c r="AF94" s="106">
        <v>20.100000000000001</v>
      </c>
      <c r="AG94" s="107">
        <v>75</v>
      </c>
      <c r="AH94" s="55">
        <f t="shared" ref="AH94:AH100" si="24">IF(ABS(MAX(C94:AF94))&gt;ABS(MIN(C94:AF94)),MAX(C94:AF94),MIN(C94:AF94))</f>
        <v>50</v>
      </c>
      <c r="AI94" s="108">
        <f t="shared" ref="AI94:AI100" si="25">INDEX($C$9:$AF$9,1,MATCH(AH94,C94:AF94,0))</f>
        <v>8.3333333333333301E-2</v>
      </c>
    </row>
    <row r="95" spans="1:88" x14ac:dyDescent="0.25">
      <c r="A95" s="109" t="s">
        <v>99</v>
      </c>
      <c r="B95" s="110">
        <v>-120</v>
      </c>
      <c r="C95" s="110">
        <v>-120</v>
      </c>
      <c r="D95" s="110">
        <v>-120</v>
      </c>
      <c r="E95" s="110">
        <v>-115</v>
      </c>
      <c r="F95" s="110">
        <v>-116</v>
      </c>
      <c r="G95" s="110">
        <v>-95</v>
      </c>
      <c r="H95" s="110">
        <v>-85.7</v>
      </c>
      <c r="I95" s="110">
        <v>-72.099999999999994</v>
      </c>
      <c r="J95" s="110">
        <v>-91</v>
      </c>
      <c r="K95" s="110">
        <v>-87.1</v>
      </c>
      <c r="L95" s="110">
        <v>-80</v>
      </c>
      <c r="M95" s="110">
        <f>-43.8-47.9</f>
        <v>-91.699999999999989</v>
      </c>
      <c r="N95" s="110">
        <f>-41.7-46.3</f>
        <v>-88</v>
      </c>
      <c r="O95" s="110"/>
      <c r="P95" s="110"/>
      <c r="Q95" s="110">
        <f>-49-55.3</f>
        <v>-104.3</v>
      </c>
      <c r="R95" s="110">
        <v>31.3</v>
      </c>
      <c r="S95" s="110">
        <f>-41.9-51.2</f>
        <v>-93.1</v>
      </c>
      <c r="T95" s="110">
        <f>-45.2-54</f>
        <v>-99.2</v>
      </c>
      <c r="U95" s="110">
        <f>-64.7-51.2</f>
        <v>-115.9</v>
      </c>
      <c r="V95" s="110">
        <f>-47.1-54.6</f>
        <v>-101.7</v>
      </c>
      <c r="W95" s="110">
        <f>-47.1-54.2</f>
        <v>-101.30000000000001</v>
      </c>
      <c r="X95" s="110">
        <f>-44-52.7</f>
        <v>-96.7</v>
      </c>
      <c r="Y95" s="110">
        <f>-72.2-51.5</f>
        <v>-123.7</v>
      </c>
      <c r="Z95" s="110">
        <f>-68.1-43.1</f>
        <v>-111.19999999999999</v>
      </c>
      <c r="AA95" s="110">
        <f>-33.3-40.8</f>
        <v>-74.099999999999994</v>
      </c>
      <c r="AB95" s="110">
        <f>-35.7-45.9</f>
        <v>-81.599999999999994</v>
      </c>
      <c r="AC95" s="110">
        <f>-25-34</f>
        <v>-59</v>
      </c>
      <c r="AD95" s="110">
        <f>-31-41.3</f>
        <v>-72.3</v>
      </c>
      <c r="AE95" s="110">
        <f>-54.5-65</f>
        <v>-119.5</v>
      </c>
      <c r="AF95" s="110">
        <f>-60-67</f>
        <v>-127</v>
      </c>
      <c r="AG95" s="107">
        <v>240</v>
      </c>
      <c r="AH95" s="55">
        <f t="shared" si="24"/>
        <v>-127</v>
      </c>
      <c r="AI95" s="108">
        <f t="shared" si="25"/>
        <v>0.95833333333333304</v>
      </c>
    </row>
    <row r="96" spans="1:88" x14ac:dyDescent="0.25">
      <c r="A96" s="109" t="s">
        <v>100</v>
      </c>
      <c r="B96" s="110">
        <v>-2.2000000000000002</v>
      </c>
      <c r="C96" s="110">
        <v>-1.2</v>
      </c>
      <c r="D96" s="110">
        <v>1</v>
      </c>
      <c r="E96" s="110">
        <v>-4.4000000000000004</v>
      </c>
      <c r="F96" s="110">
        <v>-3.8</v>
      </c>
      <c r="G96" s="110">
        <v>4.2</v>
      </c>
      <c r="H96" s="110">
        <v>5.8</v>
      </c>
      <c r="I96" s="110">
        <v>10.3</v>
      </c>
      <c r="J96" s="110">
        <v>5.8</v>
      </c>
      <c r="K96" s="110">
        <v>5.3</v>
      </c>
      <c r="L96" s="110">
        <v>11.3</v>
      </c>
      <c r="M96" s="110">
        <v>14.3</v>
      </c>
      <c r="N96" s="110">
        <v>18.8</v>
      </c>
      <c r="O96" s="110">
        <v>20.9</v>
      </c>
      <c r="P96" s="110">
        <v>31.8</v>
      </c>
      <c r="Q96" s="110">
        <v>23.6</v>
      </c>
      <c r="R96" s="110">
        <v>22.3</v>
      </c>
      <c r="S96" s="110">
        <v>45.6</v>
      </c>
      <c r="T96" s="110">
        <v>37.799999999999997</v>
      </c>
      <c r="U96" s="110">
        <v>34.6</v>
      </c>
      <c r="V96" s="110">
        <v>31.8</v>
      </c>
      <c r="W96" s="110">
        <v>48.7</v>
      </c>
      <c r="X96" s="110">
        <v>34.5</v>
      </c>
      <c r="Y96" s="110">
        <v>41.4</v>
      </c>
      <c r="Z96" s="110">
        <v>29.5</v>
      </c>
      <c r="AA96" s="110">
        <v>39.6</v>
      </c>
      <c r="AB96" s="110">
        <v>47.8</v>
      </c>
      <c r="AC96" s="110">
        <v>45</v>
      </c>
      <c r="AD96" s="110">
        <v>43.6</v>
      </c>
      <c r="AE96" s="110">
        <v>30.1</v>
      </c>
      <c r="AF96" s="110">
        <v>13.2</v>
      </c>
      <c r="AG96" s="107">
        <v>60</v>
      </c>
      <c r="AH96" s="55">
        <f t="shared" si="24"/>
        <v>48.7</v>
      </c>
      <c r="AI96" s="108">
        <f t="shared" si="25"/>
        <v>0.72916666666666663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46.6</v>
      </c>
      <c r="K97" s="112">
        <v>52.7</v>
      </c>
      <c r="L97" s="112">
        <v>63.6</v>
      </c>
      <c r="M97" s="112">
        <v>43.7</v>
      </c>
      <c r="N97" s="112">
        <v>47</v>
      </c>
      <c r="O97" s="112">
        <v>37.5</v>
      </c>
      <c r="P97" s="112">
        <v>31.7</v>
      </c>
      <c r="Q97" s="112">
        <v>25.8</v>
      </c>
      <c r="R97" s="112">
        <v>24.6</v>
      </c>
      <c r="S97" s="112">
        <v>36.1</v>
      </c>
      <c r="T97" s="112">
        <v>38.5</v>
      </c>
      <c r="U97" s="112">
        <v>40.700000000000003</v>
      </c>
      <c r="V97" s="112">
        <v>33.200000000000003</v>
      </c>
      <c r="W97" s="112">
        <v>35.799999999999997</v>
      </c>
      <c r="X97" s="112">
        <v>41</v>
      </c>
      <c r="Y97" s="112">
        <v>38.9</v>
      </c>
      <c r="Z97" s="112">
        <v>55.5</v>
      </c>
      <c r="AA97" s="112">
        <v>68.8</v>
      </c>
      <c r="AB97" s="112">
        <v>57.1</v>
      </c>
      <c r="AC97" s="112">
        <v>0</v>
      </c>
      <c r="AD97" s="112">
        <v>0</v>
      </c>
      <c r="AE97" s="112">
        <v>0</v>
      </c>
      <c r="AF97" s="112">
        <v>0</v>
      </c>
      <c r="AG97" s="113">
        <v>120</v>
      </c>
      <c r="AH97" s="55">
        <f t="shared" si="24"/>
        <v>68.8</v>
      </c>
      <c r="AI97" s="108">
        <f t="shared" si="25"/>
        <v>0.8125</v>
      </c>
    </row>
    <row r="98" spans="1:37" x14ac:dyDescent="0.25">
      <c r="A98" s="111" t="s">
        <v>102</v>
      </c>
      <c r="B98" s="112">
        <v>32</v>
      </c>
      <c r="C98" s="112">
        <v>35</v>
      </c>
      <c r="D98" s="112">
        <v>40</v>
      </c>
      <c r="E98" s="112">
        <v>37.4</v>
      </c>
      <c r="F98" s="112">
        <v>32</v>
      </c>
      <c r="G98" s="112">
        <v>45</v>
      </c>
      <c r="H98" s="112">
        <v>48.5</v>
      </c>
      <c r="I98" s="112">
        <v>53.6</v>
      </c>
      <c r="J98" s="112">
        <v>40</v>
      </c>
      <c r="K98" s="112">
        <v>47.1</v>
      </c>
      <c r="L98" s="112">
        <v>53.7</v>
      </c>
      <c r="M98" s="112">
        <v>37.700000000000003</v>
      </c>
      <c r="N98" s="112">
        <v>45.5</v>
      </c>
      <c r="O98" s="112">
        <v>32</v>
      </c>
      <c r="P98" s="112">
        <v>29.7</v>
      </c>
      <c r="Q98" s="112">
        <v>29.7</v>
      </c>
      <c r="R98" s="112">
        <v>24.6</v>
      </c>
      <c r="S98" s="112">
        <v>31.2</v>
      </c>
      <c r="T98" s="112">
        <v>26.9</v>
      </c>
      <c r="U98" s="112">
        <v>39.5</v>
      </c>
      <c r="V98" s="112">
        <v>27.8</v>
      </c>
      <c r="W98" s="112">
        <v>21.6</v>
      </c>
      <c r="X98" s="112">
        <v>-4.9000000000000004</v>
      </c>
      <c r="Y98" s="112">
        <v>-32.4</v>
      </c>
      <c r="Z98" s="112">
        <v>45.9</v>
      </c>
      <c r="AA98" s="112">
        <v>60.9</v>
      </c>
      <c r="AB98" s="112">
        <v>51.3</v>
      </c>
      <c r="AC98" s="112">
        <v>60.2</v>
      </c>
      <c r="AD98" s="112">
        <v>60.2</v>
      </c>
      <c r="AE98" s="112">
        <v>31.3</v>
      </c>
      <c r="AF98" s="112">
        <v>30</v>
      </c>
      <c r="AG98" s="113"/>
      <c r="AH98" s="55">
        <f t="shared" si="24"/>
        <v>60.9</v>
      </c>
      <c r="AI98" s="108">
        <f t="shared" si="25"/>
        <v>0.8125</v>
      </c>
    </row>
    <row r="99" spans="1:37" x14ac:dyDescent="0.25">
      <c r="A99" s="111" t="s">
        <v>252</v>
      </c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>
        <v>30.7</v>
      </c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4"/>
      <c r="AH99" s="55">
        <f t="shared" si="24"/>
        <v>30.7</v>
      </c>
      <c r="AI99" s="108">
        <f t="shared" si="25"/>
        <v>0.54166666666666696</v>
      </c>
    </row>
    <row r="100" spans="1:37" ht="15.75" thickBot="1" x14ac:dyDescent="0.3">
      <c r="A100" s="115" t="s">
        <v>104</v>
      </c>
      <c r="B100" s="95">
        <v>5</v>
      </c>
      <c r="C100" s="95">
        <v>5</v>
      </c>
      <c r="D100" s="95">
        <v>2</v>
      </c>
      <c r="E100" s="95">
        <v>0.2</v>
      </c>
      <c r="F100" s="95">
        <v>0.1</v>
      </c>
      <c r="G100" s="95">
        <v>-2.2999999999999998</v>
      </c>
      <c r="H100" s="95">
        <v>-5.3</v>
      </c>
      <c r="I100" s="95">
        <v>0.4</v>
      </c>
      <c r="J100" s="95">
        <v>9</v>
      </c>
      <c r="K100" s="95">
        <v>12.8</v>
      </c>
      <c r="L100" s="95">
        <v>21.8</v>
      </c>
      <c r="M100" s="95">
        <v>24.3</v>
      </c>
      <c r="N100" s="95">
        <v>23.8</v>
      </c>
      <c r="O100" s="95">
        <v>29</v>
      </c>
      <c r="P100" s="95">
        <v>18.600000000000001</v>
      </c>
      <c r="Q100" s="95">
        <v>24.4</v>
      </c>
      <c r="R100" s="95">
        <v>30.9</v>
      </c>
      <c r="S100" s="95">
        <v>32.9</v>
      </c>
      <c r="T100" s="95">
        <v>25.3</v>
      </c>
      <c r="U100" s="95">
        <v>22.6</v>
      </c>
      <c r="V100" s="95">
        <v>27.4</v>
      </c>
      <c r="W100" s="95">
        <v>33.200000000000003</v>
      </c>
      <c r="X100" s="95">
        <v>23.6</v>
      </c>
      <c r="Y100" s="95">
        <v>25.8</v>
      </c>
      <c r="Z100" s="95">
        <v>35</v>
      </c>
      <c r="AA100" s="95">
        <v>35.799999999999997</v>
      </c>
      <c r="AB100" s="95">
        <v>43</v>
      </c>
      <c r="AC100" s="95">
        <v>54.3</v>
      </c>
      <c r="AD100" s="95">
        <v>48.4</v>
      </c>
      <c r="AE100" s="95">
        <v>53.4</v>
      </c>
      <c r="AF100" s="95">
        <v>48</v>
      </c>
      <c r="AG100" s="114"/>
      <c r="AH100" s="55">
        <f t="shared" si="24"/>
        <v>54.3</v>
      </c>
      <c r="AI100" s="108">
        <f t="shared" si="25"/>
        <v>0.85416666666666663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6">AF102</f>
        <v>9.9</v>
      </c>
      <c r="C102" s="54">
        <v>9.9</v>
      </c>
      <c r="D102" s="121">
        <f t="shared" ref="D102:S107" si="27">C102</f>
        <v>9.9</v>
      </c>
      <c r="E102" s="121">
        <f t="shared" si="27"/>
        <v>9.9</v>
      </c>
      <c r="F102" s="121">
        <f t="shared" si="27"/>
        <v>9.9</v>
      </c>
      <c r="G102" s="121">
        <f t="shared" si="27"/>
        <v>9.9</v>
      </c>
      <c r="H102" s="121">
        <f t="shared" si="27"/>
        <v>9.9</v>
      </c>
      <c r="I102" s="121">
        <f t="shared" si="27"/>
        <v>9.9</v>
      </c>
      <c r="J102" s="121">
        <f t="shared" si="27"/>
        <v>9.9</v>
      </c>
      <c r="K102" s="121">
        <f t="shared" si="27"/>
        <v>9.9</v>
      </c>
      <c r="L102" s="121">
        <f t="shared" si="27"/>
        <v>9.9</v>
      </c>
      <c r="M102" s="121">
        <f t="shared" si="27"/>
        <v>9.9</v>
      </c>
      <c r="N102" s="121">
        <f t="shared" si="27"/>
        <v>9.9</v>
      </c>
      <c r="O102" s="121">
        <f t="shared" si="27"/>
        <v>9.9</v>
      </c>
      <c r="P102" s="121">
        <f t="shared" si="27"/>
        <v>9.9</v>
      </c>
      <c r="Q102" s="121">
        <f t="shared" si="27"/>
        <v>9.9</v>
      </c>
      <c r="R102" s="121">
        <f t="shared" si="27"/>
        <v>9.9</v>
      </c>
      <c r="S102" s="121">
        <f t="shared" si="27"/>
        <v>9.9</v>
      </c>
      <c r="T102" s="121">
        <f t="shared" ref="T102:AF107" si="28">S102</f>
        <v>9.9</v>
      </c>
      <c r="U102" s="121">
        <f t="shared" si="28"/>
        <v>9.9</v>
      </c>
      <c r="V102" s="121">
        <f t="shared" si="28"/>
        <v>9.9</v>
      </c>
      <c r="W102" s="121">
        <f t="shared" si="28"/>
        <v>9.9</v>
      </c>
      <c r="X102" s="121">
        <f t="shared" si="28"/>
        <v>9.9</v>
      </c>
      <c r="Y102" s="121">
        <f t="shared" si="28"/>
        <v>9.9</v>
      </c>
      <c r="Z102" s="121">
        <f t="shared" si="28"/>
        <v>9.9</v>
      </c>
      <c r="AA102" s="121">
        <f t="shared" si="28"/>
        <v>9.9</v>
      </c>
      <c r="AB102" s="121">
        <f t="shared" si="28"/>
        <v>9.9</v>
      </c>
      <c r="AC102" s="121">
        <f t="shared" si="28"/>
        <v>9.9</v>
      </c>
      <c r="AD102" s="121">
        <f t="shared" si="28"/>
        <v>9.9</v>
      </c>
      <c r="AE102" s="121">
        <f t="shared" si="28"/>
        <v>9.9</v>
      </c>
      <c r="AF102" s="121">
        <f t="shared" si="28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6"/>
        <v>9.6</v>
      </c>
      <c r="C103" s="124">
        <v>9.6</v>
      </c>
      <c r="D103" s="123">
        <f t="shared" si="27"/>
        <v>9.6</v>
      </c>
      <c r="E103" s="123">
        <f t="shared" si="27"/>
        <v>9.6</v>
      </c>
      <c r="F103" s="123">
        <f t="shared" si="27"/>
        <v>9.6</v>
      </c>
      <c r="G103" s="123">
        <f t="shared" si="27"/>
        <v>9.6</v>
      </c>
      <c r="H103" s="123">
        <f t="shared" si="27"/>
        <v>9.6</v>
      </c>
      <c r="I103" s="123">
        <f t="shared" si="27"/>
        <v>9.6</v>
      </c>
      <c r="J103" s="123">
        <f t="shared" si="27"/>
        <v>9.6</v>
      </c>
      <c r="K103" s="123">
        <f t="shared" si="27"/>
        <v>9.6</v>
      </c>
      <c r="L103" s="123">
        <f t="shared" si="27"/>
        <v>9.6</v>
      </c>
      <c r="M103" s="123">
        <f t="shared" si="27"/>
        <v>9.6</v>
      </c>
      <c r="N103" s="123">
        <f t="shared" si="27"/>
        <v>9.6</v>
      </c>
      <c r="O103" s="123">
        <f t="shared" si="27"/>
        <v>9.6</v>
      </c>
      <c r="P103" s="123">
        <f t="shared" si="27"/>
        <v>9.6</v>
      </c>
      <c r="Q103" s="123">
        <f t="shared" si="27"/>
        <v>9.6</v>
      </c>
      <c r="R103" s="123">
        <f t="shared" si="27"/>
        <v>9.6</v>
      </c>
      <c r="S103" s="123">
        <f t="shared" si="27"/>
        <v>9.6</v>
      </c>
      <c r="T103" s="123">
        <f t="shared" si="28"/>
        <v>9.6</v>
      </c>
      <c r="U103" s="123">
        <f t="shared" si="28"/>
        <v>9.6</v>
      </c>
      <c r="V103" s="123">
        <f t="shared" si="28"/>
        <v>9.6</v>
      </c>
      <c r="W103" s="123">
        <f t="shared" si="28"/>
        <v>9.6</v>
      </c>
      <c r="X103" s="123">
        <f t="shared" si="28"/>
        <v>9.6</v>
      </c>
      <c r="Y103" s="123">
        <f t="shared" si="28"/>
        <v>9.6</v>
      </c>
      <c r="Z103" s="123">
        <f t="shared" si="28"/>
        <v>9.6</v>
      </c>
      <c r="AA103" s="123">
        <f t="shared" si="28"/>
        <v>9.6</v>
      </c>
      <c r="AB103" s="123">
        <f t="shared" si="28"/>
        <v>9.6</v>
      </c>
      <c r="AC103" s="123">
        <f t="shared" si="28"/>
        <v>9.6</v>
      </c>
      <c r="AD103" s="123">
        <f t="shared" si="28"/>
        <v>9.6</v>
      </c>
      <c r="AE103" s="123">
        <f t="shared" si="28"/>
        <v>9.6</v>
      </c>
      <c r="AF103" s="123">
        <f t="shared" si="28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6"/>
        <v>9.98</v>
      </c>
      <c r="C104" s="124">
        <v>9.98</v>
      </c>
      <c r="D104" s="123">
        <f t="shared" si="27"/>
        <v>9.98</v>
      </c>
      <c r="E104" s="123">
        <f t="shared" si="27"/>
        <v>9.98</v>
      </c>
      <c r="F104" s="123">
        <f t="shared" si="27"/>
        <v>9.98</v>
      </c>
      <c r="G104" s="123">
        <f t="shared" si="27"/>
        <v>9.98</v>
      </c>
      <c r="H104" s="123">
        <f t="shared" si="27"/>
        <v>9.98</v>
      </c>
      <c r="I104" s="123">
        <f t="shared" si="27"/>
        <v>9.98</v>
      </c>
      <c r="J104" s="123">
        <f t="shared" si="27"/>
        <v>9.98</v>
      </c>
      <c r="K104" s="123">
        <f t="shared" si="27"/>
        <v>9.98</v>
      </c>
      <c r="L104" s="123">
        <f t="shared" si="27"/>
        <v>9.98</v>
      </c>
      <c r="M104" s="123">
        <f t="shared" si="27"/>
        <v>9.98</v>
      </c>
      <c r="N104" s="123">
        <f t="shared" si="27"/>
        <v>9.98</v>
      </c>
      <c r="O104" s="123">
        <f t="shared" si="27"/>
        <v>9.98</v>
      </c>
      <c r="P104" s="123">
        <f t="shared" si="27"/>
        <v>9.98</v>
      </c>
      <c r="Q104" s="123">
        <f t="shared" si="27"/>
        <v>9.98</v>
      </c>
      <c r="R104" s="123">
        <f t="shared" si="27"/>
        <v>9.98</v>
      </c>
      <c r="S104" s="123">
        <f t="shared" si="27"/>
        <v>9.98</v>
      </c>
      <c r="T104" s="123">
        <f t="shared" si="28"/>
        <v>9.98</v>
      </c>
      <c r="U104" s="123">
        <f t="shared" si="28"/>
        <v>9.98</v>
      </c>
      <c r="V104" s="123">
        <f t="shared" si="28"/>
        <v>9.98</v>
      </c>
      <c r="W104" s="123">
        <f t="shared" si="28"/>
        <v>9.98</v>
      </c>
      <c r="X104" s="123">
        <f t="shared" si="28"/>
        <v>9.98</v>
      </c>
      <c r="Y104" s="123">
        <f t="shared" si="28"/>
        <v>9.98</v>
      </c>
      <c r="Z104" s="123">
        <f t="shared" si="28"/>
        <v>9.98</v>
      </c>
      <c r="AA104" s="123">
        <f t="shared" si="28"/>
        <v>9.98</v>
      </c>
      <c r="AB104" s="123">
        <f t="shared" si="28"/>
        <v>9.98</v>
      </c>
      <c r="AC104" s="123">
        <f t="shared" si="28"/>
        <v>9.98</v>
      </c>
      <c r="AD104" s="123">
        <f t="shared" si="28"/>
        <v>9.98</v>
      </c>
      <c r="AE104" s="123">
        <f t="shared" si="28"/>
        <v>9.98</v>
      </c>
      <c r="AF104" s="123">
        <f t="shared" si="28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6"/>
        <v>9.1</v>
      </c>
      <c r="C105" s="124">
        <v>9.1</v>
      </c>
      <c r="D105" s="123">
        <f t="shared" si="27"/>
        <v>9.1</v>
      </c>
      <c r="E105" s="123">
        <f t="shared" si="27"/>
        <v>9.1</v>
      </c>
      <c r="F105" s="123">
        <f t="shared" si="27"/>
        <v>9.1</v>
      </c>
      <c r="G105" s="123">
        <f t="shared" si="27"/>
        <v>9.1</v>
      </c>
      <c r="H105" s="123">
        <f t="shared" si="27"/>
        <v>9.1</v>
      </c>
      <c r="I105" s="123">
        <f t="shared" si="27"/>
        <v>9.1</v>
      </c>
      <c r="J105" s="123">
        <f t="shared" si="27"/>
        <v>9.1</v>
      </c>
      <c r="K105" s="123">
        <f t="shared" si="27"/>
        <v>9.1</v>
      </c>
      <c r="L105" s="123">
        <f t="shared" si="27"/>
        <v>9.1</v>
      </c>
      <c r="M105" s="123">
        <f t="shared" si="27"/>
        <v>9.1</v>
      </c>
      <c r="N105" s="123">
        <f t="shared" si="27"/>
        <v>9.1</v>
      </c>
      <c r="O105" s="123">
        <f t="shared" si="27"/>
        <v>9.1</v>
      </c>
      <c r="P105" s="123">
        <f t="shared" si="27"/>
        <v>9.1</v>
      </c>
      <c r="Q105" s="123">
        <f t="shared" si="27"/>
        <v>9.1</v>
      </c>
      <c r="R105" s="123">
        <f t="shared" si="27"/>
        <v>9.1</v>
      </c>
      <c r="S105" s="123">
        <f t="shared" si="27"/>
        <v>9.1</v>
      </c>
      <c r="T105" s="123">
        <f t="shared" si="28"/>
        <v>9.1</v>
      </c>
      <c r="U105" s="123">
        <f t="shared" si="28"/>
        <v>9.1</v>
      </c>
      <c r="V105" s="123">
        <f t="shared" si="28"/>
        <v>9.1</v>
      </c>
      <c r="W105" s="123">
        <f t="shared" si="28"/>
        <v>9.1</v>
      </c>
      <c r="X105" s="123">
        <f t="shared" si="28"/>
        <v>9.1</v>
      </c>
      <c r="Y105" s="123">
        <f t="shared" si="28"/>
        <v>9.1</v>
      </c>
      <c r="Z105" s="123">
        <f t="shared" si="28"/>
        <v>9.1</v>
      </c>
      <c r="AA105" s="123">
        <f t="shared" si="28"/>
        <v>9.1</v>
      </c>
      <c r="AB105" s="123">
        <f t="shared" si="28"/>
        <v>9.1</v>
      </c>
      <c r="AC105" s="123">
        <f t="shared" si="28"/>
        <v>9.1</v>
      </c>
      <c r="AD105" s="123">
        <f t="shared" si="28"/>
        <v>9.1</v>
      </c>
      <c r="AE105" s="123">
        <f t="shared" si="28"/>
        <v>9.1</v>
      </c>
      <c r="AF105" s="123">
        <f t="shared" si="28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6"/>
        <v>9.18</v>
      </c>
      <c r="C106" s="124">
        <v>9.18</v>
      </c>
      <c r="D106" s="123">
        <f t="shared" si="27"/>
        <v>9.18</v>
      </c>
      <c r="E106" s="123">
        <f t="shared" si="27"/>
        <v>9.18</v>
      </c>
      <c r="F106" s="123">
        <f t="shared" si="27"/>
        <v>9.18</v>
      </c>
      <c r="G106" s="123">
        <f t="shared" si="27"/>
        <v>9.18</v>
      </c>
      <c r="H106" s="123">
        <f t="shared" si="27"/>
        <v>9.18</v>
      </c>
      <c r="I106" s="123">
        <f t="shared" si="27"/>
        <v>9.18</v>
      </c>
      <c r="J106" s="123">
        <f t="shared" si="27"/>
        <v>9.18</v>
      </c>
      <c r="K106" s="123">
        <f t="shared" si="27"/>
        <v>9.18</v>
      </c>
      <c r="L106" s="123">
        <f t="shared" si="27"/>
        <v>9.18</v>
      </c>
      <c r="M106" s="123">
        <f t="shared" si="27"/>
        <v>9.18</v>
      </c>
      <c r="N106" s="123">
        <f t="shared" si="27"/>
        <v>9.18</v>
      </c>
      <c r="O106" s="123">
        <f t="shared" si="27"/>
        <v>9.18</v>
      </c>
      <c r="P106" s="123">
        <f t="shared" si="27"/>
        <v>9.18</v>
      </c>
      <c r="Q106" s="123">
        <f t="shared" si="27"/>
        <v>9.18</v>
      </c>
      <c r="R106" s="123">
        <f t="shared" si="27"/>
        <v>9.18</v>
      </c>
      <c r="S106" s="123">
        <f t="shared" si="27"/>
        <v>9.18</v>
      </c>
      <c r="T106" s="123">
        <f t="shared" si="28"/>
        <v>9.18</v>
      </c>
      <c r="U106" s="123">
        <f t="shared" si="28"/>
        <v>9.18</v>
      </c>
      <c r="V106" s="123">
        <f t="shared" si="28"/>
        <v>9.18</v>
      </c>
      <c r="W106" s="123">
        <f t="shared" si="28"/>
        <v>9.18</v>
      </c>
      <c r="X106" s="123">
        <f t="shared" si="28"/>
        <v>9.18</v>
      </c>
      <c r="Y106" s="123">
        <f t="shared" si="28"/>
        <v>9.18</v>
      </c>
      <c r="Z106" s="123">
        <f t="shared" si="28"/>
        <v>9.18</v>
      </c>
      <c r="AA106" s="123">
        <f t="shared" si="28"/>
        <v>9.18</v>
      </c>
      <c r="AB106" s="123">
        <f t="shared" si="28"/>
        <v>9.18</v>
      </c>
      <c r="AC106" s="123">
        <f t="shared" si="28"/>
        <v>9.18</v>
      </c>
      <c r="AD106" s="123">
        <f t="shared" si="28"/>
        <v>9.18</v>
      </c>
      <c r="AE106" s="123">
        <f t="shared" si="28"/>
        <v>9.18</v>
      </c>
      <c r="AF106" s="123">
        <f t="shared" si="28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6"/>
        <v>7</v>
      </c>
      <c r="C107" s="124">
        <v>7</v>
      </c>
      <c r="D107" s="123">
        <f t="shared" si="27"/>
        <v>7</v>
      </c>
      <c r="E107" s="123">
        <f t="shared" si="27"/>
        <v>7</v>
      </c>
      <c r="F107" s="123">
        <f t="shared" si="27"/>
        <v>7</v>
      </c>
      <c r="G107" s="123">
        <f t="shared" si="27"/>
        <v>7</v>
      </c>
      <c r="H107" s="123">
        <f t="shared" si="27"/>
        <v>7</v>
      </c>
      <c r="I107" s="123">
        <f t="shared" si="27"/>
        <v>7</v>
      </c>
      <c r="J107" s="123">
        <f t="shared" si="27"/>
        <v>7</v>
      </c>
      <c r="K107" s="123">
        <f t="shared" si="27"/>
        <v>7</v>
      </c>
      <c r="L107" s="123">
        <f t="shared" si="27"/>
        <v>7</v>
      </c>
      <c r="M107" s="123">
        <f t="shared" si="27"/>
        <v>7</v>
      </c>
      <c r="N107" s="123">
        <f t="shared" si="27"/>
        <v>7</v>
      </c>
      <c r="O107" s="123">
        <f t="shared" si="27"/>
        <v>7</v>
      </c>
      <c r="P107" s="123">
        <f t="shared" si="27"/>
        <v>7</v>
      </c>
      <c r="Q107" s="123">
        <f t="shared" si="27"/>
        <v>7</v>
      </c>
      <c r="R107" s="123">
        <f t="shared" si="27"/>
        <v>7</v>
      </c>
      <c r="S107" s="123">
        <f t="shared" si="27"/>
        <v>7</v>
      </c>
      <c r="T107" s="123">
        <f t="shared" si="28"/>
        <v>7</v>
      </c>
      <c r="U107" s="123">
        <f t="shared" si="28"/>
        <v>7</v>
      </c>
      <c r="V107" s="123">
        <f t="shared" si="28"/>
        <v>7</v>
      </c>
      <c r="W107" s="123">
        <f t="shared" si="28"/>
        <v>7</v>
      </c>
      <c r="X107" s="123">
        <f t="shared" si="28"/>
        <v>7</v>
      </c>
      <c r="Y107" s="123">
        <f t="shared" si="28"/>
        <v>7</v>
      </c>
      <c r="Z107" s="123">
        <f t="shared" si="28"/>
        <v>7</v>
      </c>
      <c r="AA107" s="123">
        <f t="shared" si="28"/>
        <v>7</v>
      </c>
      <c r="AB107" s="123">
        <f t="shared" si="28"/>
        <v>7</v>
      </c>
      <c r="AC107" s="123">
        <f t="shared" si="28"/>
        <v>7</v>
      </c>
      <c r="AD107" s="123">
        <f t="shared" si="28"/>
        <v>7</v>
      </c>
      <c r="AE107" s="123">
        <f t="shared" si="28"/>
        <v>7</v>
      </c>
      <c r="AF107" s="123">
        <f t="shared" si="28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29">C109</f>
        <v>2.25</v>
      </c>
      <c r="E109" s="123">
        <f t="shared" si="29"/>
        <v>2.25</v>
      </c>
      <c r="F109" s="123">
        <f t="shared" si="29"/>
        <v>2.25</v>
      </c>
      <c r="G109" s="123">
        <f t="shared" si="29"/>
        <v>2.25</v>
      </c>
      <c r="H109" s="123">
        <f t="shared" si="29"/>
        <v>2.25</v>
      </c>
      <c r="I109" s="123">
        <f t="shared" si="29"/>
        <v>2.25</v>
      </c>
      <c r="J109" s="123">
        <f t="shared" si="29"/>
        <v>2.25</v>
      </c>
      <c r="K109" s="123">
        <f t="shared" si="29"/>
        <v>2.25</v>
      </c>
      <c r="L109" s="123">
        <f t="shared" si="29"/>
        <v>2.25</v>
      </c>
      <c r="M109" s="123">
        <f t="shared" si="29"/>
        <v>2.25</v>
      </c>
      <c r="N109" s="123">
        <f t="shared" si="29"/>
        <v>2.25</v>
      </c>
      <c r="O109" s="123">
        <f t="shared" si="29"/>
        <v>2.25</v>
      </c>
      <c r="P109" s="123">
        <f t="shared" si="29"/>
        <v>2.25</v>
      </c>
      <c r="Q109" s="123">
        <f t="shared" si="29"/>
        <v>2.25</v>
      </c>
      <c r="R109" s="123">
        <f t="shared" si="29"/>
        <v>2.25</v>
      </c>
      <c r="S109" s="123">
        <f t="shared" si="29"/>
        <v>2.25</v>
      </c>
      <c r="T109" s="123">
        <f t="shared" ref="T109:AF110" si="30">S109</f>
        <v>2.25</v>
      </c>
      <c r="U109" s="123">
        <f t="shared" si="30"/>
        <v>2.25</v>
      </c>
      <c r="V109" s="123">
        <f t="shared" si="30"/>
        <v>2.25</v>
      </c>
      <c r="W109" s="123">
        <f t="shared" si="30"/>
        <v>2.25</v>
      </c>
      <c r="X109" s="123">
        <f t="shared" si="30"/>
        <v>2.25</v>
      </c>
      <c r="Y109" s="123">
        <f t="shared" si="30"/>
        <v>2.25</v>
      </c>
      <c r="Z109" s="123">
        <f t="shared" si="30"/>
        <v>2.25</v>
      </c>
      <c r="AA109" s="123">
        <f t="shared" si="30"/>
        <v>2.25</v>
      </c>
      <c r="AB109" s="123">
        <f t="shared" si="30"/>
        <v>2.25</v>
      </c>
      <c r="AC109" s="123">
        <f t="shared" si="30"/>
        <v>2.25</v>
      </c>
      <c r="AD109" s="123">
        <f t="shared" si="30"/>
        <v>2.25</v>
      </c>
      <c r="AE109" s="123">
        <f t="shared" si="30"/>
        <v>2.25</v>
      </c>
      <c r="AF109" s="123">
        <f t="shared" si="30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29"/>
        <v>1.64</v>
      </c>
      <c r="E110" s="123">
        <f t="shared" si="29"/>
        <v>1.64</v>
      </c>
      <c r="F110" s="123">
        <f t="shared" si="29"/>
        <v>1.64</v>
      </c>
      <c r="G110" s="123">
        <f t="shared" si="29"/>
        <v>1.64</v>
      </c>
      <c r="H110" s="123">
        <f t="shared" si="29"/>
        <v>1.64</v>
      </c>
      <c r="I110" s="123">
        <f t="shared" si="29"/>
        <v>1.64</v>
      </c>
      <c r="J110" s="123">
        <f t="shared" si="29"/>
        <v>1.64</v>
      </c>
      <c r="K110" s="123">
        <f t="shared" si="29"/>
        <v>1.64</v>
      </c>
      <c r="L110" s="123">
        <f t="shared" si="29"/>
        <v>1.64</v>
      </c>
      <c r="M110" s="123">
        <f t="shared" si="29"/>
        <v>1.64</v>
      </c>
      <c r="N110" s="123">
        <f t="shared" si="29"/>
        <v>1.64</v>
      </c>
      <c r="O110" s="123">
        <f t="shared" si="29"/>
        <v>1.64</v>
      </c>
      <c r="P110" s="123">
        <f t="shared" si="29"/>
        <v>1.64</v>
      </c>
      <c r="Q110" s="123">
        <f t="shared" si="29"/>
        <v>1.64</v>
      </c>
      <c r="R110" s="123">
        <f t="shared" si="29"/>
        <v>1.64</v>
      </c>
      <c r="S110" s="123">
        <f t="shared" si="29"/>
        <v>1.64</v>
      </c>
      <c r="T110" s="123">
        <f t="shared" si="30"/>
        <v>1.64</v>
      </c>
      <c r="U110" s="123">
        <f t="shared" si="30"/>
        <v>1.64</v>
      </c>
      <c r="V110" s="123">
        <f t="shared" si="30"/>
        <v>1.64</v>
      </c>
      <c r="W110" s="123">
        <f t="shared" si="30"/>
        <v>1.64</v>
      </c>
      <c r="X110" s="123">
        <f t="shared" si="30"/>
        <v>1.64</v>
      </c>
      <c r="Y110" s="123">
        <f t="shared" si="30"/>
        <v>1.64</v>
      </c>
      <c r="Z110" s="123">
        <f t="shared" si="30"/>
        <v>1.64</v>
      </c>
      <c r="AA110" s="123">
        <f t="shared" si="30"/>
        <v>1.64</v>
      </c>
      <c r="AB110" s="123">
        <f t="shared" si="30"/>
        <v>1.64</v>
      </c>
      <c r="AC110" s="123">
        <f t="shared" si="30"/>
        <v>1.64</v>
      </c>
      <c r="AD110" s="123">
        <f t="shared" si="30"/>
        <v>1.64</v>
      </c>
      <c r="AE110" s="123">
        <f t="shared" si="30"/>
        <v>1.64</v>
      </c>
      <c r="AF110" s="123">
        <f t="shared" si="30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1">AF112</f>
        <v>1.62</v>
      </c>
      <c r="C112" s="124">
        <v>1.62</v>
      </c>
      <c r="D112" s="123">
        <f t="shared" ref="D112:S119" si="32">C112</f>
        <v>1.62</v>
      </c>
      <c r="E112" s="123">
        <f t="shared" si="32"/>
        <v>1.62</v>
      </c>
      <c r="F112" s="123">
        <f t="shared" si="32"/>
        <v>1.62</v>
      </c>
      <c r="G112" s="123">
        <f t="shared" si="32"/>
        <v>1.62</v>
      </c>
      <c r="H112" s="123">
        <f t="shared" si="32"/>
        <v>1.62</v>
      </c>
      <c r="I112" s="123">
        <f t="shared" si="32"/>
        <v>1.62</v>
      </c>
      <c r="J112" s="123">
        <f t="shared" si="32"/>
        <v>1.62</v>
      </c>
      <c r="K112" s="123">
        <f t="shared" si="32"/>
        <v>1.62</v>
      </c>
      <c r="L112" s="123">
        <f t="shared" si="32"/>
        <v>1.62</v>
      </c>
      <c r="M112" s="123">
        <f t="shared" si="32"/>
        <v>1.62</v>
      </c>
      <c r="N112" s="123">
        <f t="shared" si="32"/>
        <v>1.62</v>
      </c>
      <c r="O112" s="123">
        <f t="shared" si="32"/>
        <v>1.62</v>
      </c>
      <c r="P112" s="123">
        <f t="shared" si="32"/>
        <v>1.62</v>
      </c>
      <c r="Q112" s="123">
        <f t="shared" si="32"/>
        <v>1.62</v>
      </c>
      <c r="R112" s="123">
        <f t="shared" si="32"/>
        <v>1.62</v>
      </c>
      <c r="S112" s="123">
        <f t="shared" si="32"/>
        <v>1.62</v>
      </c>
      <c r="T112" s="123">
        <f t="shared" ref="T112:AF127" si="33">S112</f>
        <v>1.62</v>
      </c>
      <c r="U112" s="123">
        <f t="shared" si="33"/>
        <v>1.62</v>
      </c>
      <c r="V112" s="123">
        <f t="shared" si="33"/>
        <v>1.62</v>
      </c>
      <c r="W112" s="123">
        <f t="shared" si="33"/>
        <v>1.62</v>
      </c>
      <c r="X112" s="123">
        <f t="shared" si="33"/>
        <v>1.62</v>
      </c>
      <c r="Y112" s="123">
        <f t="shared" si="33"/>
        <v>1.62</v>
      </c>
      <c r="Z112" s="123">
        <f t="shared" si="33"/>
        <v>1.62</v>
      </c>
      <c r="AA112" s="123">
        <f t="shared" si="33"/>
        <v>1.62</v>
      </c>
      <c r="AB112" s="123">
        <f t="shared" si="33"/>
        <v>1.62</v>
      </c>
      <c r="AC112" s="123">
        <f t="shared" si="33"/>
        <v>1.62</v>
      </c>
      <c r="AD112" s="123">
        <f t="shared" si="33"/>
        <v>1.62</v>
      </c>
      <c r="AE112" s="123">
        <f t="shared" si="33"/>
        <v>1.62</v>
      </c>
      <c r="AF112" s="123">
        <f t="shared" si="33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1"/>
        <v>8.36</v>
      </c>
      <c r="C113" s="124">
        <v>8.36</v>
      </c>
      <c r="D113" s="123">
        <f t="shared" si="32"/>
        <v>8.36</v>
      </c>
      <c r="E113" s="123">
        <f t="shared" si="32"/>
        <v>8.36</v>
      </c>
      <c r="F113" s="123">
        <f t="shared" si="32"/>
        <v>8.36</v>
      </c>
      <c r="G113" s="123">
        <f t="shared" si="32"/>
        <v>8.36</v>
      </c>
      <c r="H113" s="123">
        <f t="shared" si="32"/>
        <v>8.36</v>
      </c>
      <c r="I113" s="123">
        <f t="shared" si="32"/>
        <v>8.36</v>
      </c>
      <c r="J113" s="123">
        <f t="shared" si="32"/>
        <v>8.36</v>
      </c>
      <c r="K113" s="123">
        <f t="shared" si="32"/>
        <v>8.36</v>
      </c>
      <c r="L113" s="123">
        <f t="shared" si="32"/>
        <v>8.36</v>
      </c>
      <c r="M113" s="123">
        <f t="shared" si="32"/>
        <v>8.36</v>
      </c>
      <c r="N113" s="123">
        <f t="shared" si="32"/>
        <v>8.36</v>
      </c>
      <c r="O113" s="123">
        <f t="shared" si="32"/>
        <v>8.36</v>
      </c>
      <c r="P113" s="123">
        <f t="shared" si="32"/>
        <v>8.36</v>
      </c>
      <c r="Q113" s="123">
        <f t="shared" si="32"/>
        <v>8.36</v>
      </c>
      <c r="R113" s="123">
        <f t="shared" si="32"/>
        <v>8.36</v>
      </c>
      <c r="S113" s="123">
        <f t="shared" si="32"/>
        <v>8.36</v>
      </c>
      <c r="T113" s="123">
        <f t="shared" si="33"/>
        <v>8.36</v>
      </c>
      <c r="U113" s="123">
        <f t="shared" si="33"/>
        <v>8.36</v>
      </c>
      <c r="V113" s="123">
        <f t="shared" si="33"/>
        <v>8.36</v>
      </c>
      <c r="W113" s="123">
        <f t="shared" si="33"/>
        <v>8.36</v>
      </c>
      <c r="X113" s="123">
        <f t="shared" si="33"/>
        <v>8.36</v>
      </c>
      <c r="Y113" s="123">
        <f t="shared" si="33"/>
        <v>8.36</v>
      </c>
      <c r="Z113" s="123">
        <f t="shared" si="33"/>
        <v>8.36</v>
      </c>
      <c r="AA113" s="123">
        <f t="shared" si="33"/>
        <v>8.36</v>
      </c>
      <c r="AB113" s="123">
        <f t="shared" si="33"/>
        <v>8.36</v>
      </c>
      <c r="AC113" s="123">
        <f t="shared" si="33"/>
        <v>8.36</v>
      </c>
      <c r="AD113" s="123">
        <f t="shared" si="33"/>
        <v>8.36</v>
      </c>
      <c r="AE113" s="123">
        <f t="shared" si="33"/>
        <v>8.36</v>
      </c>
      <c r="AF113" s="123">
        <f t="shared" si="33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1"/>
        <v>5.4</v>
      </c>
      <c r="C114" s="124">
        <v>8</v>
      </c>
      <c r="D114" s="123">
        <f t="shared" si="32"/>
        <v>8</v>
      </c>
      <c r="E114" s="123">
        <f t="shared" si="32"/>
        <v>8</v>
      </c>
      <c r="F114" s="123">
        <f t="shared" si="32"/>
        <v>8</v>
      </c>
      <c r="G114" s="123">
        <f t="shared" si="32"/>
        <v>8</v>
      </c>
      <c r="H114" s="123">
        <f t="shared" si="32"/>
        <v>8</v>
      </c>
      <c r="I114" s="123">
        <f t="shared" si="32"/>
        <v>8</v>
      </c>
      <c r="J114" s="123">
        <v>5.4</v>
      </c>
      <c r="K114" s="123">
        <f t="shared" si="32"/>
        <v>5.4</v>
      </c>
      <c r="L114" s="123">
        <f t="shared" si="32"/>
        <v>5.4</v>
      </c>
      <c r="M114" s="123">
        <f t="shared" si="32"/>
        <v>5.4</v>
      </c>
      <c r="N114" s="123">
        <f t="shared" si="32"/>
        <v>5.4</v>
      </c>
      <c r="O114" s="123">
        <f t="shared" si="32"/>
        <v>5.4</v>
      </c>
      <c r="P114" s="123">
        <f t="shared" si="32"/>
        <v>5.4</v>
      </c>
      <c r="Q114" s="123">
        <f t="shared" si="32"/>
        <v>5.4</v>
      </c>
      <c r="R114" s="123">
        <f t="shared" si="32"/>
        <v>5.4</v>
      </c>
      <c r="S114" s="123">
        <f t="shared" si="32"/>
        <v>5.4</v>
      </c>
      <c r="T114" s="123">
        <f t="shared" si="33"/>
        <v>5.4</v>
      </c>
      <c r="U114" s="123">
        <f t="shared" si="33"/>
        <v>5.4</v>
      </c>
      <c r="V114" s="123">
        <f t="shared" si="33"/>
        <v>5.4</v>
      </c>
      <c r="W114" s="123">
        <f t="shared" si="33"/>
        <v>5.4</v>
      </c>
      <c r="X114" s="123">
        <f t="shared" si="33"/>
        <v>5.4</v>
      </c>
      <c r="Y114" s="123">
        <f t="shared" si="33"/>
        <v>5.4</v>
      </c>
      <c r="Z114" s="123">
        <f t="shared" si="33"/>
        <v>5.4</v>
      </c>
      <c r="AA114" s="123">
        <f t="shared" si="33"/>
        <v>5.4</v>
      </c>
      <c r="AB114" s="123">
        <f t="shared" si="33"/>
        <v>5.4</v>
      </c>
      <c r="AC114" s="123">
        <f t="shared" si="33"/>
        <v>5.4</v>
      </c>
      <c r="AD114" s="123">
        <f t="shared" si="33"/>
        <v>5.4</v>
      </c>
      <c r="AE114" s="123">
        <f t="shared" si="33"/>
        <v>5.4</v>
      </c>
      <c r="AF114" s="123">
        <f t="shared" si="33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1"/>
        <v>6.57</v>
      </c>
      <c r="C115" s="124">
        <v>6.57</v>
      </c>
      <c r="D115" s="123">
        <f t="shared" si="32"/>
        <v>6.57</v>
      </c>
      <c r="E115" s="123">
        <f t="shared" si="32"/>
        <v>6.57</v>
      </c>
      <c r="F115" s="123">
        <f t="shared" si="32"/>
        <v>6.57</v>
      </c>
      <c r="G115" s="123">
        <f t="shared" si="32"/>
        <v>6.57</v>
      </c>
      <c r="H115" s="123">
        <f t="shared" si="32"/>
        <v>6.57</v>
      </c>
      <c r="I115" s="123">
        <f t="shared" si="32"/>
        <v>6.57</v>
      </c>
      <c r="J115" s="123">
        <f t="shared" si="32"/>
        <v>6.57</v>
      </c>
      <c r="K115" s="123">
        <f t="shared" si="32"/>
        <v>6.57</v>
      </c>
      <c r="L115" s="123">
        <f t="shared" si="32"/>
        <v>6.57</v>
      </c>
      <c r="M115" s="123">
        <f t="shared" si="32"/>
        <v>6.57</v>
      </c>
      <c r="N115" s="123">
        <f t="shared" si="32"/>
        <v>6.57</v>
      </c>
      <c r="O115" s="123">
        <f t="shared" si="32"/>
        <v>6.57</v>
      </c>
      <c r="P115" s="123">
        <f t="shared" si="32"/>
        <v>6.57</v>
      </c>
      <c r="Q115" s="123">
        <f t="shared" si="32"/>
        <v>6.57</v>
      </c>
      <c r="R115" s="123">
        <f t="shared" si="32"/>
        <v>6.57</v>
      </c>
      <c r="S115" s="123">
        <f t="shared" si="32"/>
        <v>6.57</v>
      </c>
      <c r="T115" s="123">
        <f t="shared" si="33"/>
        <v>6.57</v>
      </c>
      <c r="U115" s="123">
        <f t="shared" si="33"/>
        <v>6.57</v>
      </c>
      <c r="V115" s="123">
        <f t="shared" si="33"/>
        <v>6.57</v>
      </c>
      <c r="W115" s="123">
        <f t="shared" si="33"/>
        <v>6.57</v>
      </c>
      <c r="X115" s="123">
        <f t="shared" si="33"/>
        <v>6.57</v>
      </c>
      <c r="Y115" s="123">
        <f t="shared" si="33"/>
        <v>6.57</v>
      </c>
      <c r="Z115" s="123">
        <f t="shared" si="33"/>
        <v>6.57</v>
      </c>
      <c r="AA115" s="123">
        <f t="shared" si="33"/>
        <v>6.57</v>
      </c>
      <c r="AB115" s="123">
        <f t="shared" si="33"/>
        <v>6.57</v>
      </c>
      <c r="AC115" s="123">
        <f t="shared" si="33"/>
        <v>6.57</v>
      </c>
      <c r="AD115" s="123">
        <f t="shared" si="33"/>
        <v>6.57</v>
      </c>
      <c r="AE115" s="123">
        <f t="shared" si="33"/>
        <v>6.57</v>
      </c>
      <c r="AF115" s="123">
        <f t="shared" si="33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1"/>
        <v>3.43</v>
      </c>
      <c r="C116" s="124">
        <v>3.43</v>
      </c>
      <c r="D116" s="123">
        <f t="shared" si="32"/>
        <v>3.43</v>
      </c>
      <c r="E116" s="123">
        <f t="shared" si="32"/>
        <v>3.43</v>
      </c>
      <c r="F116" s="123">
        <f t="shared" si="32"/>
        <v>3.43</v>
      </c>
      <c r="G116" s="123">
        <f t="shared" si="32"/>
        <v>3.43</v>
      </c>
      <c r="H116" s="123">
        <f t="shared" si="32"/>
        <v>3.43</v>
      </c>
      <c r="I116" s="123">
        <f t="shared" si="32"/>
        <v>3.43</v>
      </c>
      <c r="J116" s="123">
        <f t="shared" si="32"/>
        <v>3.43</v>
      </c>
      <c r="K116" s="123">
        <f t="shared" si="32"/>
        <v>3.43</v>
      </c>
      <c r="L116" s="123">
        <f t="shared" si="32"/>
        <v>3.43</v>
      </c>
      <c r="M116" s="123">
        <f t="shared" si="32"/>
        <v>3.43</v>
      </c>
      <c r="N116" s="123">
        <f t="shared" si="32"/>
        <v>3.43</v>
      </c>
      <c r="O116" s="123">
        <f t="shared" si="32"/>
        <v>3.43</v>
      </c>
      <c r="P116" s="123">
        <f t="shared" si="32"/>
        <v>3.43</v>
      </c>
      <c r="Q116" s="123">
        <f t="shared" si="32"/>
        <v>3.43</v>
      </c>
      <c r="R116" s="123">
        <f t="shared" si="32"/>
        <v>3.43</v>
      </c>
      <c r="S116" s="123">
        <f t="shared" si="32"/>
        <v>3.43</v>
      </c>
      <c r="T116" s="123">
        <f t="shared" si="33"/>
        <v>3.43</v>
      </c>
      <c r="U116" s="123">
        <f t="shared" si="33"/>
        <v>3.43</v>
      </c>
      <c r="V116" s="123">
        <f t="shared" si="33"/>
        <v>3.43</v>
      </c>
      <c r="W116" s="123">
        <f t="shared" si="33"/>
        <v>3.43</v>
      </c>
      <c r="X116" s="123">
        <f t="shared" si="33"/>
        <v>3.43</v>
      </c>
      <c r="Y116" s="123">
        <f t="shared" si="33"/>
        <v>3.43</v>
      </c>
      <c r="Z116" s="123">
        <f t="shared" si="33"/>
        <v>3.43</v>
      </c>
      <c r="AA116" s="123">
        <f t="shared" si="33"/>
        <v>3.43</v>
      </c>
      <c r="AB116" s="123">
        <f t="shared" si="33"/>
        <v>3.43</v>
      </c>
      <c r="AC116" s="123">
        <f t="shared" si="33"/>
        <v>3.43</v>
      </c>
      <c r="AD116" s="123">
        <f t="shared" si="33"/>
        <v>3.43</v>
      </c>
      <c r="AE116" s="123">
        <f t="shared" si="33"/>
        <v>3.43</v>
      </c>
      <c r="AF116" s="123">
        <f t="shared" si="33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1"/>
        <v>2.96</v>
      </c>
      <c r="C117" s="124">
        <v>2.96</v>
      </c>
      <c r="D117" s="123">
        <f t="shared" si="32"/>
        <v>2.96</v>
      </c>
      <c r="E117" s="123">
        <f t="shared" si="32"/>
        <v>2.96</v>
      </c>
      <c r="F117" s="123">
        <f t="shared" si="32"/>
        <v>2.96</v>
      </c>
      <c r="G117" s="123">
        <f t="shared" si="32"/>
        <v>2.96</v>
      </c>
      <c r="H117" s="123">
        <f t="shared" si="32"/>
        <v>2.96</v>
      </c>
      <c r="I117" s="123">
        <f t="shared" si="32"/>
        <v>2.96</v>
      </c>
      <c r="J117" s="123">
        <f t="shared" si="32"/>
        <v>2.96</v>
      </c>
      <c r="K117" s="123">
        <f t="shared" si="32"/>
        <v>2.96</v>
      </c>
      <c r="L117" s="123">
        <f t="shared" si="32"/>
        <v>2.96</v>
      </c>
      <c r="M117" s="123">
        <f t="shared" si="32"/>
        <v>2.96</v>
      </c>
      <c r="N117" s="123">
        <f t="shared" si="32"/>
        <v>2.96</v>
      </c>
      <c r="O117" s="123">
        <f t="shared" si="32"/>
        <v>2.96</v>
      </c>
      <c r="P117" s="123">
        <f t="shared" si="32"/>
        <v>2.96</v>
      </c>
      <c r="Q117" s="123">
        <f t="shared" si="32"/>
        <v>2.96</v>
      </c>
      <c r="R117" s="123">
        <f t="shared" si="32"/>
        <v>2.96</v>
      </c>
      <c r="S117" s="123">
        <f t="shared" si="32"/>
        <v>2.96</v>
      </c>
      <c r="T117" s="123">
        <f t="shared" si="33"/>
        <v>2.96</v>
      </c>
      <c r="U117" s="123">
        <f t="shared" si="33"/>
        <v>2.96</v>
      </c>
      <c r="V117" s="123">
        <f t="shared" si="33"/>
        <v>2.96</v>
      </c>
      <c r="W117" s="123">
        <f t="shared" si="33"/>
        <v>2.96</v>
      </c>
      <c r="X117" s="123">
        <f t="shared" si="33"/>
        <v>2.96</v>
      </c>
      <c r="Y117" s="123">
        <f t="shared" si="33"/>
        <v>2.96</v>
      </c>
      <c r="Z117" s="123">
        <f t="shared" si="33"/>
        <v>2.96</v>
      </c>
      <c r="AA117" s="123">
        <f t="shared" si="33"/>
        <v>2.96</v>
      </c>
      <c r="AB117" s="123">
        <f t="shared" si="33"/>
        <v>2.96</v>
      </c>
      <c r="AC117" s="123">
        <f t="shared" si="33"/>
        <v>2.96</v>
      </c>
      <c r="AD117" s="123">
        <f t="shared" si="33"/>
        <v>2.96</v>
      </c>
      <c r="AE117" s="123">
        <f t="shared" si="33"/>
        <v>2.96</v>
      </c>
      <c r="AF117" s="123">
        <f t="shared" si="33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1"/>
        <v>8</v>
      </c>
      <c r="C118" s="124">
        <v>8</v>
      </c>
      <c r="D118" s="123">
        <f t="shared" si="32"/>
        <v>8</v>
      </c>
      <c r="E118" s="123">
        <f t="shared" si="32"/>
        <v>8</v>
      </c>
      <c r="F118" s="123">
        <f t="shared" si="32"/>
        <v>8</v>
      </c>
      <c r="G118" s="123">
        <f t="shared" si="32"/>
        <v>8</v>
      </c>
      <c r="H118" s="123">
        <f t="shared" si="32"/>
        <v>8</v>
      </c>
      <c r="I118" s="123">
        <f t="shared" si="32"/>
        <v>8</v>
      </c>
      <c r="J118" s="123">
        <f t="shared" si="32"/>
        <v>8</v>
      </c>
      <c r="K118" s="123">
        <f t="shared" si="32"/>
        <v>8</v>
      </c>
      <c r="L118" s="123">
        <f t="shared" si="32"/>
        <v>8</v>
      </c>
      <c r="M118" s="123">
        <f t="shared" si="32"/>
        <v>8</v>
      </c>
      <c r="N118" s="123">
        <f t="shared" si="32"/>
        <v>8</v>
      </c>
      <c r="O118" s="123">
        <f t="shared" si="32"/>
        <v>8</v>
      </c>
      <c r="P118" s="123">
        <f t="shared" si="32"/>
        <v>8</v>
      </c>
      <c r="Q118" s="123">
        <f t="shared" si="32"/>
        <v>8</v>
      </c>
      <c r="R118" s="123">
        <f t="shared" si="32"/>
        <v>8</v>
      </c>
      <c r="S118" s="123">
        <f t="shared" si="32"/>
        <v>8</v>
      </c>
      <c r="T118" s="123">
        <f t="shared" si="33"/>
        <v>8</v>
      </c>
      <c r="U118" s="123">
        <f t="shared" si="33"/>
        <v>8</v>
      </c>
      <c r="V118" s="123">
        <f t="shared" si="33"/>
        <v>8</v>
      </c>
      <c r="W118" s="123">
        <f t="shared" si="33"/>
        <v>8</v>
      </c>
      <c r="X118" s="123">
        <f t="shared" si="33"/>
        <v>8</v>
      </c>
      <c r="Y118" s="123">
        <f t="shared" si="33"/>
        <v>8</v>
      </c>
      <c r="Z118" s="123">
        <f t="shared" si="33"/>
        <v>8</v>
      </c>
      <c r="AA118" s="123">
        <f t="shared" si="33"/>
        <v>8</v>
      </c>
      <c r="AB118" s="123">
        <f t="shared" si="33"/>
        <v>8</v>
      </c>
      <c r="AC118" s="123">
        <f t="shared" si="33"/>
        <v>8</v>
      </c>
      <c r="AD118" s="123">
        <f t="shared" si="33"/>
        <v>8</v>
      </c>
      <c r="AE118" s="123">
        <f t="shared" si="33"/>
        <v>8</v>
      </c>
      <c r="AF118" s="123">
        <f t="shared" si="33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1"/>
        <v>7</v>
      </c>
      <c r="C119" s="124">
        <v>7</v>
      </c>
      <c r="D119" s="123">
        <f>C119</f>
        <v>7</v>
      </c>
      <c r="E119" s="123">
        <f t="shared" si="32"/>
        <v>7</v>
      </c>
      <c r="F119" s="123">
        <f t="shared" si="32"/>
        <v>7</v>
      </c>
      <c r="G119" s="123">
        <f t="shared" si="32"/>
        <v>7</v>
      </c>
      <c r="H119" s="123">
        <f t="shared" si="32"/>
        <v>7</v>
      </c>
      <c r="I119" s="123">
        <f t="shared" si="32"/>
        <v>7</v>
      </c>
      <c r="J119" s="123">
        <f t="shared" si="32"/>
        <v>7</v>
      </c>
      <c r="K119" s="123">
        <f t="shared" si="32"/>
        <v>7</v>
      </c>
      <c r="L119" s="123">
        <f t="shared" si="32"/>
        <v>7</v>
      </c>
      <c r="M119" s="123">
        <f t="shared" si="32"/>
        <v>7</v>
      </c>
      <c r="N119" s="123">
        <f t="shared" si="32"/>
        <v>7</v>
      </c>
      <c r="O119" s="123">
        <f t="shared" si="32"/>
        <v>7</v>
      </c>
      <c r="P119" s="123">
        <f t="shared" si="32"/>
        <v>7</v>
      </c>
      <c r="Q119" s="123">
        <f t="shared" si="32"/>
        <v>7</v>
      </c>
      <c r="R119" s="123">
        <f t="shared" si="32"/>
        <v>7</v>
      </c>
      <c r="S119" s="123">
        <f t="shared" si="32"/>
        <v>7</v>
      </c>
      <c r="T119" s="123">
        <f t="shared" si="33"/>
        <v>7</v>
      </c>
      <c r="U119" s="123">
        <f t="shared" si="33"/>
        <v>7</v>
      </c>
      <c r="V119" s="123">
        <f t="shared" si="33"/>
        <v>7</v>
      </c>
      <c r="W119" s="123">
        <f t="shared" si="33"/>
        <v>7</v>
      </c>
      <c r="X119" s="123">
        <f t="shared" si="33"/>
        <v>7</v>
      </c>
      <c r="Y119" s="123">
        <f t="shared" si="33"/>
        <v>7</v>
      </c>
      <c r="Z119" s="123">
        <f t="shared" si="33"/>
        <v>7</v>
      </c>
      <c r="AA119" s="123">
        <f t="shared" si="33"/>
        <v>7</v>
      </c>
      <c r="AB119" s="123">
        <f t="shared" si="33"/>
        <v>7</v>
      </c>
      <c r="AC119" s="123">
        <f t="shared" si="33"/>
        <v>7</v>
      </c>
      <c r="AD119" s="123">
        <f t="shared" si="33"/>
        <v>7</v>
      </c>
      <c r="AE119" s="123">
        <f t="shared" si="33"/>
        <v>7</v>
      </c>
      <c r="AF119" s="123">
        <f t="shared" si="33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1"/>
        <v>3.47</v>
      </c>
      <c r="C120" s="124">
        <v>3.47</v>
      </c>
      <c r="D120" s="123">
        <f t="shared" ref="D120:S129" si="34">C120</f>
        <v>3.47</v>
      </c>
      <c r="E120" s="123">
        <f t="shared" si="34"/>
        <v>3.47</v>
      </c>
      <c r="F120" s="123">
        <f t="shared" si="34"/>
        <v>3.47</v>
      </c>
      <c r="G120" s="123">
        <f t="shared" si="34"/>
        <v>3.47</v>
      </c>
      <c r="H120" s="123">
        <f t="shared" si="34"/>
        <v>3.47</v>
      </c>
      <c r="I120" s="123">
        <f t="shared" si="34"/>
        <v>3.47</v>
      </c>
      <c r="J120" s="123">
        <f t="shared" si="34"/>
        <v>3.47</v>
      </c>
      <c r="K120" s="123">
        <f t="shared" si="34"/>
        <v>3.47</v>
      </c>
      <c r="L120" s="123">
        <f t="shared" si="34"/>
        <v>3.47</v>
      </c>
      <c r="M120" s="123">
        <f t="shared" si="34"/>
        <v>3.47</v>
      </c>
      <c r="N120" s="123">
        <f t="shared" si="34"/>
        <v>3.47</v>
      </c>
      <c r="O120" s="123">
        <f t="shared" si="34"/>
        <v>3.47</v>
      </c>
      <c r="P120" s="123">
        <f t="shared" si="34"/>
        <v>3.47</v>
      </c>
      <c r="Q120" s="123">
        <f t="shared" si="34"/>
        <v>3.47</v>
      </c>
      <c r="R120" s="123">
        <f t="shared" si="34"/>
        <v>3.47</v>
      </c>
      <c r="S120" s="123">
        <f t="shared" si="34"/>
        <v>3.47</v>
      </c>
      <c r="T120" s="123">
        <f t="shared" si="33"/>
        <v>3.47</v>
      </c>
      <c r="U120" s="123">
        <f t="shared" si="33"/>
        <v>3.47</v>
      </c>
      <c r="V120" s="123">
        <f t="shared" si="33"/>
        <v>3.47</v>
      </c>
      <c r="W120" s="123">
        <f t="shared" si="33"/>
        <v>3.47</v>
      </c>
      <c r="X120" s="123">
        <f t="shared" si="33"/>
        <v>3.47</v>
      </c>
      <c r="Y120" s="123">
        <f t="shared" si="33"/>
        <v>3.47</v>
      </c>
      <c r="Z120" s="123">
        <f t="shared" si="33"/>
        <v>3.47</v>
      </c>
      <c r="AA120" s="123">
        <f t="shared" si="33"/>
        <v>3.47</v>
      </c>
      <c r="AB120" s="123">
        <f t="shared" si="33"/>
        <v>3.47</v>
      </c>
      <c r="AC120" s="123">
        <f t="shared" si="33"/>
        <v>3.47</v>
      </c>
      <c r="AD120" s="123">
        <f t="shared" si="33"/>
        <v>3.47</v>
      </c>
      <c r="AE120" s="123">
        <f t="shared" si="33"/>
        <v>3.47</v>
      </c>
      <c r="AF120" s="123">
        <f t="shared" si="33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1"/>
        <v>2.1</v>
      </c>
      <c r="C121" s="124">
        <v>2.1</v>
      </c>
      <c r="D121" s="123">
        <f t="shared" si="34"/>
        <v>2.1</v>
      </c>
      <c r="E121" s="123">
        <f t="shared" si="34"/>
        <v>2.1</v>
      </c>
      <c r="F121" s="123">
        <f t="shared" si="34"/>
        <v>2.1</v>
      </c>
      <c r="G121" s="123">
        <f t="shared" si="34"/>
        <v>2.1</v>
      </c>
      <c r="H121" s="123">
        <f t="shared" si="34"/>
        <v>2.1</v>
      </c>
      <c r="I121" s="123">
        <f t="shared" si="34"/>
        <v>2.1</v>
      </c>
      <c r="J121" s="123">
        <f t="shared" si="34"/>
        <v>2.1</v>
      </c>
      <c r="K121" s="123">
        <f t="shared" si="34"/>
        <v>2.1</v>
      </c>
      <c r="L121" s="123">
        <f t="shared" si="34"/>
        <v>2.1</v>
      </c>
      <c r="M121" s="123">
        <f t="shared" si="34"/>
        <v>2.1</v>
      </c>
      <c r="N121" s="123">
        <f t="shared" si="34"/>
        <v>2.1</v>
      </c>
      <c r="O121" s="123">
        <f t="shared" si="34"/>
        <v>2.1</v>
      </c>
      <c r="P121" s="123">
        <f t="shared" si="34"/>
        <v>2.1</v>
      </c>
      <c r="Q121" s="123">
        <f t="shared" si="34"/>
        <v>2.1</v>
      </c>
      <c r="R121" s="123">
        <f t="shared" si="34"/>
        <v>2.1</v>
      </c>
      <c r="S121" s="123">
        <f t="shared" si="34"/>
        <v>2.1</v>
      </c>
      <c r="T121" s="123">
        <f t="shared" si="33"/>
        <v>2.1</v>
      </c>
      <c r="U121" s="123">
        <f t="shared" si="33"/>
        <v>2.1</v>
      </c>
      <c r="V121" s="123">
        <f t="shared" si="33"/>
        <v>2.1</v>
      </c>
      <c r="W121" s="123">
        <f t="shared" si="33"/>
        <v>2.1</v>
      </c>
      <c r="X121" s="123">
        <f t="shared" si="33"/>
        <v>2.1</v>
      </c>
      <c r="Y121" s="123">
        <f t="shared" si="33"/>
        <v>2.1</v>
      </c>
      <c r="Z121" s="123">
        <f t="shared" si="33"/>
        <v>2.1</v>
      </c>
      <c r="AA121" s="123">
        <f t="shared" si="33"/>
        <v>2.1</v>
      </c>
      <c r="AB121" s="123">
        <f t="shared" si="33"/>
        <v>2.1</v>
      </c>
      <c r="AC121" s="123">
        <f t="shared" si="33"/>
        <v>2.1</v>
      </c>
      <c r="AD121" s="123">
        <f t="shared" si="33"/>
        <v>2.1</v>
      </c>
      <c r="AE121" s="123">
        <f t="shared" si="33"/>
        <v>2.1</v>
      </c>
      <c r="AF121" s="123">
        <f t="shared" si="33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1"/>
        <v>9.3000000000000007</v>
      </c>
      <c r="C122" s="124">
        <v>9.3000000000000007</v>
      </c>
      <c r="D122" s="123">
        <f t="shared" si="34"/>
        <v>9.3000000000000007</v>
      </c>
      <c r="E122" s="123">
        <f t="shared" si="34"/>
        <v>9.3000000000000007</v>
      </c>
      <c r="F122" s="123">
        <f t="shared" si="34"/>
        <v>9.3000000000000007</v>
      </c>
      <c r="G122" s="123">
        <f t="shared" si="34"/>
        <v>9.3000000000000007</v>
      </c>
      <c r="H122" s="123">
        <f t="shared" si="34"/>
        <v>9.3000000000000007</v>
      </c>
      <c r="I122" s="123">
        <f t="shared" si="34"/>
        <v>9.3000000000000007</v>
      </c>
      <c r="J122" s="123">
        <f t="shared" si="34"/>
        <v>9.3000000000000007</v>
      </c>
      <c r="K122" s="123">
        <f t="shared" si="34"/>
        <v>9.3000000000000007</v>
      </c>
      <c r="L122" s="123">
        <f t="shared" si="34"/>
        <v>9.3000000000000007</v>
      </c>
      <c r="M122" s="123">
        <f t="shared" si="34"/>
        <v>9.3000000000000007</v>
      </c>
      <c r="N122" s="123">
        <f t="shared" si="34"/>
        <v>9.3000000000000007</v>
      </c>
      <c r="O122" s="123">
        <f t="shared" si="34"/>
        <v>9.3000000000000007</v>
      </c>
      <c r="P122" s="123">
        <f t="shared" si="34"/>
        <v>9.3000000000000007</v>
      </c>
      <c r="Q122" s="123">
        <f t="shared" si="34"/>
        <v>9.3000000000000007</v>
      </c>
      <c r="R122" s="123">
        <f t="shared" si="34"/>
        <v>9.3000000000000007</v>
      </c>
      <c r="S122" s="123">
        <f t="shared" si="34"/>
        <v>9.3000000000000007</v>
      </c>
      <c r="T122" s="123">
        <f t="shared" si="33"/>
        <v>9.3000000000000007</v>
      </c>
      <c r="U122" s="123">
        <f t="shared" si="33"/>
        <v>9.3000000000000007</v>
      </c>
      <c r="V122" s="123">
        <f t="shared" si="33"/>
        <v>9.3000000000000007</v>
      </c>
      <c r="W122" s="123">
        <f t="shared" si="33"/>
        <v>9.3000000000000007</v>
      </c>
      <c r="X122" s="123">
        <f t="shared" si="33"/>
        <v>9.3000000000000007</v>
      </c>
      <c r="Y122" s="123">
        <f t="shared" si="33"/>
        <v>9.3000000000000007</v>
      </c>
      <c r="Z122" s="123">
        <f t="shared" si="33"/>
        <v>9.3000000000000007</v>
      </c>
      <c r="AA122" s="123">
        <f t="shared" si="33"/>
        <v>9.3000000000000007</v>
      </c>
      <c r="AB122" s="123">
        <f t="shared" si="33"/>
        <v>9.3000000000000007</v>
      </c>
      <c r="AC122" s="123">
        <f t="shared" si="33"/>
        <v>9.3000000000000007</v>
      </c>
      <c r="AD122" s="123">
        <f t="shared" si="33"/>
        <v>9.3000000000000007</v>
      </c>
      <c r="AE122" s="123">
        <f t="shared" si="33"/>
        <v>9.3000000000000007</v>
      </c>
      <c r="AF122" s="123">
        <f t="shared" si="33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1"/>
        <v>0</v>
      </c>
      <c r="C123" s="124">
        <v>0</v>
      </c>
      <c r="D123" s="123">
        <f t="shared" si="34"/>
        <v>0</v>
      </c>
      <c r="E123" s="123">
        <f t="shared" si="34"/>
        <v>0</v>
      </c>
      <c r="F123" s="123">
        <f t="shared" si="34"/>
        <v>0</v>
      </c>
      <c r="G123" s="123">
        <f t="shared" si="34"/>
        <v>0</v>
      </c>
      <c r="H123" s="123">
        <f t="shared" si="34"/>
        <v>0</v>
      </c>
      <c r="I123" s="123">
        <f t="shared" si="34"/>
        <v>0</v>
      </c>
      <c r="J123" s="123">
        <f t="shared" si="34"/>
        <v>0</v>
      </c>
      <c r="K123" s="123">
        <f t="shared" si="34"/>
        <v>0</v>
      </c>
      <c r="L123" s="123">
        <f t="shared" si="34"/>
        <v>0</v>
      </c>
      <c r="M123" s="123">
        <f t="shared" si="34"/>
        <v>0</v>
      </c>
      <c r="N123" s="123">
        <f t="shared" si="34"/>
        <v>0</v>
      </c>
      <c r="O123" s="123">
        <f t="shared" si="34"/>
        <v>0</v>
      </c>
      <c r="P123" s="123">
        <f t="shared" si="34"/>
        <v>0</v>
      </c>
      <c r="Q123" s="123">
        <f t="shared" si="34"/>
        <v>0</v>
      </c>
      <c r="R123" s="123">
        <f t="shared" si="34"/>
        <v>0</v>
      </c>
      <c r="S123" s="123">
        <f t="shared" si="34"/>
        <v>0</v>
      </c>
      <c r="T123" s="123">
        <f t="shared" si="33"/>
        <v>0</v>
      </c>
      <c r="U123" s="123">
        <f t="shared" si="33"/>
        <v>0</v>
      </c>
      <c r="V123" s="123">
        <f t="shared" si="33"/>
        <v>0</v>
      </c>
      <c r="W123" s="123">
        <f t="shared" si="33"/>
        <v>0</v>
      </c>
      <c r="X123" s="123">
        <f t="shared" si="33"/>
        <v>0</v>
      </c>
      <c r="Y123" s="123">
        <f t="shared" si="33"/>
        <v>0</v>
      </c>
      <c r="Z123" s="123">
        <f t="shared" si="33"/>
        <v>0</v>
      </c>
      <c r="AA123" s="123">
        <f t="shared" si="33"/>
        <v>0</v>
      </c>
      <c r="AB123" s="123">
        <f t="shared" si="33"/>
        <v>0</v>
      </c>
      <c r="AC123" s="123">
        <f t="shared" si="33"/>
        <v>0</v>
      </c>
      <c r="AD123" s="123">
        <f t="shared" si="33"/>
        <v>0</v>
      </c>
      <c r="AE123" s="123">
        <f t="shared" si="33"/>
        <v>0</v>
      </c>
      <c r="AF123" s="123">
        <f t="shared" si="33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1"/>
        <v>;/</v>
      </c>
      <c r="C125" s="124">
        <v>5</v>
      </c>
      <c r="D125" s="123">
        <f t="shared" si="34"/>
        <v>5</v>
      </c>
      <c r="E125" s="123">
        <f t="shared" si="34"/>
        <v>5</v>
      </c>
      <c r="F125" s="123">
        <f t="shared" si="34"/>
        <v>5</v>
      </c>
      <c r="G125" s="123">
        <f t="shared" si="34"/>
        <v>5</v>
      </c>
      <c r="H125" s="123">
        <f t="shared" si="34"/>
        <v>5</v>
      </c>
      <c r="I125" s="123" t="s">
        <v>130</v>
      </c>
      <c r="J125" s="123" t="str">
        <f t="shared" si="34"/>
        <v>;/</v>
      </c>
      <c r="K125" s="123" t="str">
        <f t="shared" si="34"/>
        <v>;/</v>
      </c>
      <c r="L125" s="123" t="str">
        <f t="shared" si="34"/>
        <v>;/</v>
      </c>
      <c r="M125" s="123" t="str">
        <f t="shared" si="34"/>
        <v>;/</v>
      </c>
      <c r="N125" s="123" t="str">
        <f t="shared" si="34"/>
        <v>;/</v>
      </c>
      <c r="O125" s="123" t="str">
        <f t="shared" si="34"/>
        <v>;/</v>
      </c>
      <c r="P125" s="123" t="str">
        <f t="shared" si="34"/>
        <v>;/</v>
      </c>
      <c r="Q125" s="123" t="str">
        <f t="shared" si="34"/>
        <v>;/</v>
      </c>
      <c r="R125" s="123" t="str">
        <f t="shared" si="34"/>
        <v>;/</v>
      </c>
      <c r="S125" s="123" t="str">
        <f t="shared" si="34"/>
        <v>;/</v>
      </c>
      <c r="T125" s="123" t="str">
        <f t="shared" si="33"/>
        <v>;/</v>
      </c>
      <c r="U125" s="123" t="str">
        <f t="shared" si="33"/>
        <v>;/</v>
      </c>
      <c r="V125" s="123" t="str">
        <f t="shared" si="33"/>
        <v>;/</v>
      </c>
      <c r="W125" s="123" t="str">
        <f t="shared" si="33"/>
        <v>;/</v>
      </c>
      <c r="X125" s="123" t="str">
        <f t="shared" si="33"/>
        <v>;/</v>
      </c>
      <c r="Y125" s="123" t="str">
        <f t="shared" si="33"/>
        <v>;/</v>
      </c>
      <c r="Z125" s="123" t="str">
        <f t="shared" si="33"/>
        <v>;/</v>
      </c>
      <c r="AA125" s="123" t="str">
        <f t="shared" si="33"/>
        <v>;/</v>
      </c>
      <c r="AB125" s="123" t="str">
        <f t="shared" si="33"/>
        <v>;/</v>
      </c>
      <c r="AC125" s="123" t="str">
        <f t="shared" si="33"/>
        <v>;/</v>
      </c>
      <c r="AD125" s="123" t="str">
        <f t="shared" si="33"/>
        <v>;/</v>
      </c>
      <c r="AE125" s="123" t="str">
        <f t="shared" si="33"/>
        <v>;/</v>
      </c>
      <c r="AF125" s="123" t="str">
        <f t="shared" si="33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1"/>
        <v>1</v>
      </c>
      <c r="C126" s="124">
        <v>1</v>
      </c>
      <c r="D126" s="123">
        <f t="shared" si="34"/>
        <v>1</v>
      </c>
      <c r="E126" s="123">
        <f t="shared" si="34"/>
        <v>1</v>
      </c>
      <c r="F126" s="123">
        <f t="shared" si="34"/>
        <v>1</v>
      </c>
      <c r="G126" s="123">
        <f t="shared" si="34"/>
        <v>1</v>
      </c>
      <c r="H126" s="123">
        <f t="shared" si="34"/>
        <v>1</v>
      </c>
      <c r="I126" s="123">
        <f t="shared" si="34"/>
        <v>1</v>
      </c>
      <c r="J126" s="123">
        <f t="shared" si="34"/>
        <v>1</v>
      </c>
      <c r="K126" s="123">
        <f t="shared" si="34"/>
        <v>1</v>
      </c>
      <c r="L126" s="123">
        <f t="shared" si="34"/>
        <v>1</v>
      </c>
      <c r="M126" s="123">
        <f t="shared" si="34"/>
        <v>1</v>
      </c>
      <c r="N126" s="123">
        <f t="shared" si="34"/>
        <v>1</v>
      </c>
      <c r="O126" s="123">
        <f t="shared" si="34"/>
        <v>1</v>
      </c>
      <c r="P126" s="123">
        <f t="shared" si="34"/>
        <v>1</v>
      </c>
      <c r="Q126" s="123">
        <f t="shared" si="34"/>
        <v>1</v>
      </c>
      <c r="R126" s="123">
        <f t="shared" si="34"/>
        <v>1</v>
      </c>
      <c r="S126" s="123">
        <f t="shared" si="34"/>
        <v>1</v>
      </c>
      <c r="T126" s="123">
        <f t="shared" si="33"/>
        <v>1</v>
      </c>
      <c r="U126" s="123">
        <f t="shared" si="33"/>
        <v>1</v>
      </c>
      <c r="V126" s="123">
        <f t="shared" si="33"/>
        <v>1</v>
      </c>
      <c r="W126" s="123">
        <f t="shared" si="33"/>
        <v>1</v>
      </c>
      <c r="X126" s="123">
        <f t="shared" si="33"/>
        <v>1</v>
      </c>
      <c r="Y126" s="123">
        <f t="shared" si="33"/>
        <v>1</v>
      </c>
      <c r="Z126" s="123">
        <f t="shared" si="33"/>
        <v>1</v>
      </c>
      <c r="AA126" s="123">
        <f t="shared" si="33"/>
        <v>1</v>
      </c>
      <c r="AB126" s="123">
        <f t="shared" si="33"/>
        <v>1</v>
      </c>
      <c r="AC126" s="123">
        <f t="shared" si="33"/>
        <v>1</v>
      </c>
      <c r="AD126" s="123">
        <f t="shared" si="33"/>
        <v>1</v>
      </c>
      <c r="AE126" s="123">
        <f t="shared" si="33"/>
        <v>1</v>
      </c>
      <c r="AF126" s="123">
        <f t="shared" si="33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1"/>
        <v>1.58</v>
      </c>
      <c r="C127" s="124">
        <v>1.58</v>
      </c>
      <c r="D127" s="123">
        <f t="shared" si="34"/>
        <v>1.58</v>
      </c>
      <c r="E127" s="123">
        <f t="shared" si="34"/>
        <v>1.58</v>
      </c>
      <c r="F127" s="123">
        <f t="shared" si="34"/>
        <v>1.58</v>
      </c>
      <c r="G127" s="123">
        <f t="shared" si="34"/>
        <v>1.58</v>
      </c>
      <c r="H127" s="123">
        <f t="shared" si="34"/>
        <v>1.58</v>
      </c>
      <c r="I127" s="123">
        <f t="shared" si="34"/>
        <v>1.58</v>
      </c>
      <c r="J127" s="123">
        <f t="shared" si="34"/>
        <v>1.58</v>
      </c>
      <c r="K127" s="123">
        <f t="shared" si="34"/>
        <v>1.58</v>
      </c>
      <c r="L127" s="123">
        <f t="shared" si="34"/>
        <v>1.58</v>
      </c>
      <c r="M127" s="123">
        <f t="shared" si="34"/>
        <v>1.58</v>
      </c>
      <c r="N127" s="123">
        <f t="shared" si="34"/>
        <v>1.58</v>
      </c>
      <c r="O127" s="123">
        <f t="shared" si="34"/>
        <v>1.58</v>
      </c>
      <c r="P127" s="123">
        <f t="shared" si="34"/>
        <v>1.58</v>
      </c>
      <c r="Q127" s="123">
        <f t="shared" si="34"/>
        <v>1.58</v>
      </c>
      <c r="R127" s="123">
        <f t="shared" si="34"/>
        <v>1.58</v>
      </c>
      <c r="S127" s="123">
        <f t="shared" si="34"/>
        <v>1.58</v>
      </c>
      <c r="T127" s="123">
        <f t="shared" si="33"/>
        <v>1.58</v>
      </c>
      <c r="U127" s="123">
        <f t="shared" si="33"/>
        <v>1.58</v>
      </c>
      <c r="V127" s="123">
        <f t="shared" si="33"/>
        <v>1.58</v>
      </c>
      <c r="W127" s="123">
        <f t="shared" si="33"/>
        <v>1.58</v>
      </c>
      <c r="X127" s="123">
        <f t="shared" si="33"/>
        <v>1.58</v>
      </c>
      <c r="Y127" s="123">
        <f t="shared" si="33"/>
        <v>1.58</v>
      </c>
      <c r="Z127" s="123">
        <f t="shared" si="33"/>
        <v>1.58</v>
      </c>
      <c r="AA127" s="123">
        <f t="shared" si="33"/>
        <v>1.58</v>
      </c>
      <c r="AB127" s="123">
        <f t="shared" si="33"/>
        <v>1.58</v>
      </c>
      <c r="AC127" s="123">
        <f t="shared" si="33"/>
        <v>1.58</v>
      </c>
      <c r="AD127" s="123">
        <f t="shared" si="33"/>
        <v>1.58</v>
      </c>
      <c r="AE127" s="123">
        <f t="shared" si="33"/>
        <v>1.58</v>
      </c>
      <c r="AF127" s="123">
        <f t="shared" si="33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1"/>
        <v>1.46</v>
      </c>
      <c r="C128" s="124">
        <v>1.46</v>
      </c>
      <c r="D128" s="123">
        <f t="shared" si="34"/>
        <v>1.46</v>
      </c>
      <c r="E128" s="123">
        <f t="shared" si="34"/>
        <v>1.46</v>
      </c>
      <c r="F128" s="123">
        <f t="shared" si="34"/>
        <v>1.46</v>
      </c>
      <c r="G128" s="123">
        <f t="shared" si="34"/>
        <v>1.46</v>
      </c>
      <c r="H128" s="123">
        <f t="shared" si="34"/>
        <v>1.46</v>
      </c>
      <c r="I128" s="123">
        <f t="shared" si="34"/>
        <v>1.46</v>
      </c>
      <c r="J128" s="123">
        <f t="shared" si="34"/>
        <v>1.46</v>
      </c>
      <c r="K128" s="123">
        <f t="shared" si="34"/>
        <v>1.46</v>
      </c>
      <c r="L128" s="123">
        <f t="shared" si="34"/>
        <v>1.46</v>
      </c>
      <c r="M128" s="123">
        <f t="shared" si="34"/>
        <v>1.46</v>
      </c>
      <c r="N128" s="123">
        <f t="shared" si="34"/>
        <v>1.46</v>
      </c>
      <c r="O128" s="123">
        <f t="shared" si="34"/>
        <v>1.46</v>
      </c>
      <c r="P128" s="123">
        <f t="shared" si="34"/>
        <v>1.46</v>
      </c>
      <c r="Q128" s="123">
        <f t="shared" si="34"/>
        <v>1.46</v>
      </c>
      <c r="R128" s="123">
        <f t="shared" si="34"/>
        <v>1.46</v>
      </c>
      <c r="S128" s="123">
        <f t="shared" si="34"/>
        <v>1.46</v>
      </c>
      <c r="T128" s="123">
        <f t="shared" ref="T128:AF129" si="35">S128</f>
        <v>1.46</v>
      </c>
      <c r="U128" s="123">
        <f t="shared" si="35"/>
        <v>1.46</v>
      </c>
      <c r="V128" s="123">
        <f t="shared" si="35"/>
        <v>1.46</v>
      </c>
      <c r="W128" s="123">
        <f t="shared" si="35"/>
        <v>1.46</v>
      </c>
      <c r="X128" s="123">
        <f t="shared" si="35"/>
        <v>1.46</v>
      </c>
      <c r="Y128" s="123">
        <f t="shared" si="35"/>
        <v>1.46</v>
      </c>
      <c r="Z128" s="123">
        <f t="shared" si="35"/>
        <v>1.46</v>
      </c>
      <c r="AA128" s="123">
        <f t="shared" si="35"/>
        <v>1.46</v>
      </c>
      <c r="AB128" s="123">
        <f t="shared" si="35"/>
        <v>1.46</v>
      </c>
      <c r="AC128" s="123">
        <f t="shared" si="35"/>
        <v>1.46</v>
      </c>
      <c r="AD128" s="123">
        <f t="shared" si="35"/>
        <v>1.46</v>
      </c>
      <c r="AE128" s="123">
        <f t="shared" si="35"/>
        <v>1.46</v>
      </c>
      <c r="AF128" s="123">
        <f t="shared" si="35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1"/>
        <v>1.48</v>
      </c>
      <c r="C129" s="124">
        <v>1.48</v>
      </c>
      <c r="D129" s="123">
        <f t="shared" si="34"/>
        <v>1.48</v>
      </c>
      <c r="E129" s="123">
        <f t="shared" si="34"/>
        <v>1.48</v>
      </c>
      <c r="F129" s="123">
        <f t="shared" si="34"/>
        <v>1.48</v>
      </c>
      <c r="G129" s="123">
        <f t="shared" si="34"/>
        <v>1.48</v>
      </c>
      <c r="H129" s="123">
        <f t="shared" si="34"/>
        <v>1.48</v>
      </c>
      <c r="I129" s="123">
        <f t="shared" si="34"/>
        <v>1.48</v>
      </c>
      <c r="J129" s="123">
        <f t="shared" si="34"/>
        <v>1.48</v>
      </c>
      <c r="K129" s="123">
        <f t="shared" si="34"/>
        <v>1.48</v>
      </c>
      <c r="L129" s="123">
        <f t="shared" si="34"/>
        <v>1.48</v>
      </c>
      <c r="M129" s="123">
        <f t="shared" si="34"/>
        <v>1.48</v>
      </c>
      <c r="N129" s="123">
        <f t="shared" si="34"/>
        <v>1.48</v>
      </c>
      <c r="O129" s="123">
        <f t="shared" si="34"/>
        <v>1.48</v>
      </c>
      <c r="P129" s="123">
        <f t="shared" si="34"/>
        <v>1.48</v>
      </c>
      <c r="Q129" s="123">
        <f t="shared" si="34"/>
        <v>1.48</v>
      </c>
      <c r="R129" s="123">
        <f t="shared" si="34"/>
        <v>1.48</v>
      </c>
      <c r="S129" s="123">
        <f t="shared" si="34"/>
        <v>1.48</v>
      </c>
      <c r="T129" s="123">
        <f t="shared" si="35"/>
        <v>1.48</v>
      </c>
      <c r="U129" s="123">
        <f t="shared" si="35"/>
        <v>1.48</v>
      </c>
      <c r="V129" s="123">
        <f t="shared" si="35"/>
        <v>1.48</v>
      </c>
      <c r="W129" s="123">
        <f t="shared" si="35"/>
        <v>1.48</v>
      </c>
      <c r="X129" s="123">
        <f t="shared" si="35"/>
        <v>1.48</v>
      </c>
      <c r="Y129" s="123">
        <f t="shared" si="35"/>
        <v>1.48</v>
      </c>
      <c r="Z129" s="123">
        <f t="shared" si="35"/>
        <v>1.48</v>
      </c>
      <c r="AA129" s="123">
        <f t="shared" si="35"/>
        <v>1.48</v>
      </c>
      <c r="AB129" s="123">
        <f t="shared" si="35"/>
        <v>1.48</v>
      </c>
      <c r="AC129" s="123">
        <f t="shared" si="35"/>
        <v>1.48</v>
      </c>
      <c r="AD129" s="123">
        <f t="shared" si="35"/>
        <v>1.48</v>
      </c>
      <c r="AE129" s="123">
        <f t="shared" si="35"/>
        <v>1.48</v>
      </c>
      <c r="AF129" s="123">
        <f t="shared" si="35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6">AF131</f>
        <v>2.2000000000000002</v>
      </c>
      <c r="C131" s="124">
        <v>2.2000000000000002</v>
      </c>
      <c r="D131" s="123">
        <f t="shared" ref="D131:S138" si="37">C131</f>
        <v>2.2000000000000002</v>
      </c>
      <c r="E131" s="123">
        <f t="shared" si="37"/>
        <v>2.2000000000000002</v>
      </c>
      <c r="F131" s="123">
        <f t="shared" si="37"/>
        <v>2.2000000000000002</v>
      </c>
      <c r="G131" s="123">
        <f t="shared" si="37"/>
        <v>2.2000000000000002</v>
      </c>
      <c r="H131" s="123">
        <f t="shared" si="37"/>
        <v>2.2000000000000002</v>
      </c>
      <c r="I131" s="123">
        <f t="shared" si="37"/>
        <v>2.2000000000000002</v>
      </c>
      <c r="J131" s="123">
        <f t="shared" si="37"/>
        <v>2.2000000000000002</v>
      </c>
      <c r="K131" s="123">
        <f t="shared" si="37"/>
        <v>2.2000000000000002</v>
      </c>
      <c r="L131" s="123">
        <f t="shared" si="37"/>
        <v>2.2000000000000002</v>
      </c>
      <c r="M131" s="123">
        <f t="shared" si="37"/>
        <v>2.2000000000000002</v>
      </c>
      <c r="N131" s="123">
        <f t="shared" si="37"/>
        <v>2.2000000000000002</v>
      </c>
      <c r="O131" s="123">
        <f t="shared" si="37"/>
        <v>2.2000000000000002</v>
      </c>
      <c r="P131" s="123">
        <f t="shared" si="37"/>
        <v>2.2000000000000002</v>
      </c>
      <c r="Q131" s="123">
        <f t="shared" si="37"/>
        <v>2.2000000000000002</v>
      </c>
      <c r="R131" s="123">
        <f t="shared" si="37"/>
        <v>2.2000000000000002</v>
      </c>
      <c r="S131" s="123">
        <f t="shared" si="37"/>
        <v>2.2000000000000002</v>
      </c>
      <c r="T131" s="123">
        <f t="shared" ref="T131:AF138" si="38">S131</f>
        <v>2.2000000000000002</v>
      </c>
      <c r="U131" s="123">
        <f t="shared" si="38"/>
        <v>2.2000000000000002</v>
      </c>
      <c r="V131" s="123">
        <f t="shared" si="38"/>
        <v>2.2000000000000002</v>
      </c>
      <c r="W131" s="123">
        <f t="shared" si="38"/>
        <v>2.2000000000000002</v>
      </c>
      <c r="X131" s="123">
        <f t="shared" si="38"/>
        <v>2.2000000000000002</v>
      </c>
      <c r="Y131" s="123">
        <f t="shared" si="38"/>
        <v>2.2000000000000002</v>
      </c>
      <c r="Z131" s="123">
        <f t="shared" si="38"/>
        <v>2.2000000000000002</v>
      </c>
      <c r="AA131" s="123">
        <f t="shared" si="38"/>
        <v>2.2000000000000002</v>
      </c>
      <c r="AB131" s="123">
        <f t="shared" si="38"/>
        <v>2.2000000000000002</v>
      </c>
      <c r="AC131" s="123">
        <f t="shared" si="38"/>
        <v>2.2000000000000002</v>
      </c>
      <c r="AD131" s="123">
        <f t="shared" si="38"/>
        <v>2.2000000000000002</v>
      </c>
      <c r="AE131" s="123">
        <f t="shared" si="38"/>
        <v>2.2000000000000002</v>
      </c>
      <c r="AF131" s="123">
        <f t="shared" si="38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6"/>
        <v>2</v>
      </c>
      <c r="C132" s="124">
        <v>2</v>
      </c>
      <c r="D132" s="123">
        <f t="shared" si="37"/>
        <v>2</v>
      </c>
      <c r="E132" s="123">
        <f t="shared" si="37"/>
        <v>2</v>
      </c>
      <c r="F132" s="123">
        <f t="shared" si="37"/>
        <v>2</v>
      </c>
      <c r="G132" s="123">
        <f t="shared" si="37"/>
        <v>2</v>
      </c>
      <c r="H132" s="123">
        <f t="shared" si="37"/>
        <v>2</v>
      </c>
      <c r="I132" s="123">
        <f t="shared" si="37"/>
        <v>2</v>
      </c>
      <c r="J132" s="123">
        <f t="shared" si="37"/>
        <v>2</v>
      </c>
      <c r="K132" s="123">
        <f t="shared" si="37"/>
        <v>2</v>
      </c>
      <c r="L132" s="123">
        <f t="shared" si="37"/>
        <v>2</v>
      </c>
      <c r="M132" s="123">
        <f t="shared" si="37"/>
        <v>2</v>
      </c>
      <c r="N132" s="123">
        <f t="shared" si="37"/>
        <v>2</v>
      </c>
      <c r="O132" s="123">
        <f t="shared" si="37"/>
        <v>2</v>
      </c>
      <c r="P132" s="123">
        <f t="shared" si="37"/>
        <v>2</v>
      </c>
      <c r="Q132" s="123">
        <f t="shared" si="37"/>
        <v>2</v>
      </c>
      <c r="R132" s="123">
        <f t="shared" si="37"/>
        <v>2</v>
      </c>
      <c r="S132" s="123">
        <f t="shared" si="37"/>
        <v>2</v>
      </c>
      <c r="T132" s="123">
        <f t="shared" si="38"/>
        <v>2</v>
      </c>
      <c r="U132" s="123">
        <f t="shared" si="38"/>
        <v>2</v>
      </c>
      <c r="V132" s="123">
        <f t="shared" si="38"/>
        <v>2</v>
      </c>
      <c r="W132" s="123">
        <f t="shared" si="38"/>
        <v>2</v>
      </c>
      <c r="X132" s="123">
        <f t="shared" si="38"/>
        <v>2</v>
      </c>
      <c r="Y132" s="123">
        <f t="shared" si="38"/>
        <v>2</v>
      </c>
      <c r="Z132" s="123">
        <f t="shared" si="38"/>
        <v>2</v>
      </c>
      <c r="AA132" s="123">
        <f t="shared" si="38"/>
        <v>2</v>
      </c>
      <c r="AB132" s="123">
        <f t="shared" si="38"/>
        <v>2</v>
      </c>
      <c r="AC132" s="123">
        <f t="shared" si="38"/>
        <v>2</v>
      </c>
      <c r="AD132" s="123">
        <f t="shared" si="38"/>
        <v>2</v>
      </c>
      <c r="AE132" s="123">
        <f t="shared" si="38"/>
        <v>2</v>
      </c>
      <c r="AF132" s="123">
        <f t="shared" si="38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6"/>
        <v>1.25</v>
      </c>
      <c r="C133" s="124">
        <v>1.25</v>
      </c>
      <c r="D133" s="123">
        <f t="shared" si="37"/>
        <v>1.25</v>
      </c>
      <c r="E133" s="123">
        <f t="shared" si="37"/>
        <v>1.25</v>
      </c>
      <c r="F133" s="123">
        <f t="shared" si="37"/>
        <v>1.25</v>
      </c>
      <c r="G133" s="123">
        <f t="shared" si="37"/>
        <v>1.25</v>
      </c>
      <c r="H133" s="123">
        <f t="shared" si="37"/>
        <v>1.25</v>
      </c>
      <c r="I133" s="123">
        <f t="shared" si="37"/>
        <v>1.25</v>
      </c>
      <c r="J133" s="123">
        <f t="shared" si="37"/>
        <v>1.25</v>
      </c>
      <c r="K133" s="123">
        <f t="shared" si="37"/>
        <v>1.25</v>
      </c>
      <c r="L133" s="123">
        <f t="shared" si="37"/>
        <v>1.25</v>
      </c>
      <c r="M133" s="123">
        <f t="shared" si="37"/>
        <v>1.25</v>
      </c>
      <c r="N133" s="123">
        <f t="shared" si="37"/>
        <v>1.25</v>
      </c>
      <c r="O133" s="123">
        <f t="shared" si="37"/>
        <v>1.25</v>
      </c>
      <c r="P133" s="123">
        <f t="shared" si="37"/>
        <v>1.25</v>
      </c>
      <c r="Q133" s="123">
        <f t="shared" si="37"/>
        <v>1.25</v>
      </c>
      <c r="R133" s="123">
        <f t="shared" si="37"/>
        <v>1.25</v>
      </c>
      <c r="S133" s="123">
        <f t="shared" si="37"/>
        <v>1.25</v>
      </c>
      <c r="T133" s="123">
        <f t="shared" si="38"/>
        <v>1.25</v>
      </c>
      <c r="U133" s="123">
        <f t="shared" si="38"/>
        <v>1.25</v>
      </c>
      <c r="V133" s="123">
        <f t="shared" si="38"/>
        <v>1.25</v>
      </c>
      <c r="W133" s="123">
        <f t="shared" si="38"/>
        <v>1.25</v>
      </c>
      <c r="X133" s="123">
        <f t="shared" si="38"/>
        <v>1.25</v>
      </c>
      <c r="Y133" s="123">
        <f t="shared" si="38"/>
        <v>1.25</v>
      </c>
      <c r="Z133" s="123">
        <f t="shared" si="38"/>
        <v>1.25</v>
      </c>
      <c r="AA133" s="123">
        <f t="shared" si="38"/>
        <v>1.25</v>
      </c>
      <c r="AB133" s="123">
        <f t="shared" si="38"/>
        <v>1.25</v>
      </c>
      <c r="AC133" s="123">
        <f t="shared" si="38"/>
        <v>1.25</v>
      </c>
      <c r="AD133" s="123">
        <f t="shared" si="38"/>
        <v>1.25</v>
      </c>
      <c r="AE133" s="123">
        <f t="shared" si="38"/>
        <v>1.25</v>
      </c>
      <c r="AF133" s="123">
        <f t="shared" si="38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6"/>
        <v>1.1499999999999999</v>
      </c>
      <c r="C134" s="124">
        <v>1.1499999999999999</v>
      </c>
      <c r="D134" s="123">
        <f t="shared" si="37"/>
        <v>1.1499999999999999</v>
      </c>
      <c r="E134" s="123">
        <f t="shared" si="37"/>
        <v>1.1499999999999999</v>
      </c>
      <c r="F134" s="123">
        <f t="shared" si="37"/>
        <v>1.1499999999999999</v>
      </c>
      <c r="G134" s="123">
        <f t="shared" si="37"/>
        <v>1.1499999999999999</v>
      </c>
      <c r="H134" s="123">
        <f t="shared" si="37"/>
        <v>1.1499999999999999</v>
      </c>
      <c r="I134" s="123">
        <f t="shared" si="37"/>
        <v>1.1499999999999999</v>
      </c>
      <c r="J134" s="123">
        <f t="shared" si="37"/>
        <v>1.1499999999999999</v>
      </c>
      <c r="K134" s="123">
        <f t="shared" si="37"/>
        <v>1.1499999999999999</v>
      </c>
      <c r="L134" s="123">
        <f t="shared" si="37"/>
        <v>1.1499999999999999</v>
      </c>
      <c r="M134" s="123">
        <f t="shared" si="37"/>
        <v>1.1499999999999999</v>
      </c>
      <c r="N134" s="123">
        <f t="shared" si="37"/>
        <v>1.1499999999999999</v>
      </c>
      <c r="O134" s="123">
        <f t="shared" si="37"/>
        <v>1.1499999999999999</v>
      </c>
      <c r="P134" s="123">
        <f t="shared" si="37"/>
        <v>1.1499999999999999</v>
      </c>
      <c r="Q134" s="123">
        <f t="shared" si="37"/>
        <v>1.1499999999999999</v>
      </c>
      <c r="R134" s="123">
        <f t="shared" si="37"/>
        <v>1.1499999999999999</v>
      </c>
      <c r="S134" s="123">
        <f t="shared" si="37"/>
        <v>1.1499999999999999</v>
      </c>
      <c r="T134" s="123">
        <f t="shared" si="38"/>
        <v>1.1499999999999999</v>
      </c>
      <c r="U134" s="123">
        <f t="shared" si="38"/>
        <v>1.1499999999999999</v>
      </c>
      <c r="V134" s="123">
        <f t="shared" si="38"/>
        <v>1.1499999999999999</v>
      </c>
      <c r="W134" s="123">
        <f t="shared" si="38"/>
        <v>1.1499999999999999</v>
      </c>
      <c r="X134" s="123">
        <f t="shared" si="38"/>
        <v>1.1499999999999999</v>
      </c>
      <c r="Y134" s="123">
        <f t="shared" si="38"/>
        <v>1.1499999999999999</v>
      </c>
      <c r="Z134" s="123">
        <f t="shared" si="38"/>
        <v>1.1499999999999999</v>
      </c>
      <c r="AA134" s="123">
        <f t="shared" si="38"/>
        <v>1.1499999999999999</v>
      </c>
      <c r="AB134" s="123">
        <f t="shared" si="38"/>
        <v>1.1499999999999999</v>
      </c>
      <c r="AC134" s="123">
        <f t="shared" si="38"/>
        <v>1.1499999999999999</v>
      </c>
      <c r="AD134" s="123">
        <f t="shared" si="38"/>
        <v>1.1499999999999999</v>
      </c>
      <c r="AE134" s="123">
        <f t="shared" si="38"/>
        <v>1.1499999999999999</v>
      </c>
      <c r="AF134" s="123">
        <f t="shared" si="38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6"/>
        <v>2.133</v>
      </c>
      <c r="C135" s="124">
        <v>2.133</v>
      </c>
      <c r="D135" s="123">
        <f t="shared" si="37"/>
        <v>2.133</v>
      </c>
      <c r="E135" s="123">
        <f t="shared" si="37"/>
        <v>2.133</v>
      </c>
      <c r="F135" s="123">
        <f t="shared" si="37"/>
        <v>2.133</v>
      </c>
      <c r="G135" s="123">
        <f t="shared" si="37"/>
        <v>2.133</v>
      </c>
      <c r="H135" s="123">
        <f t="shared" si="37"/>
        <v>2.133</v>
      </c>
      <c r="I135" s="123">
        <f t="shared" si="37"/>
        <v>2.133</v>
      </c>
      <c r="J135" s="123">
        <f t="shared" si="37"/>
        <v>2.133</v>
      </c>
      <c r="K135" s="123">
        <f t="shared" si="37"/>
        <v>2.133</v>
      </c>
      <c r="L135" s="123">
        <f t="shared" si="37"/>
        <v>2.133</v>
      </c>
      <c r="M135" s="123">
        <f t="shared" si="37"/>
        <v>2.133</v>
      </c>
      <c r="N135" s="123">
        <f t="shared" si="37"/>
        <v>2.133</v>
      </c>
      <c r="O135" s="123">
        <f t="shared" si="37"/>
        <v>2.133</v>
      </c>
      <c r="P135" s="123">
        <f t="shared" si="37"/>
        <v>2.133</v>
      </c>
      <c r="Q135" s="123">
        <f t="shared" si="37"/>
        <v>2.133</v>
      </c>
      <c r="R135" s="123">
        <f t="shared" si="37"/>
        <v>2.133</v>
      </c>
      <c r="S135" s="123">
        <f t="shared" si="37"/>
        <v>2.133</v>
      </c>
      <c r="T135" s="123">
        <f t="shared" si="38"/>
        <v>2.133</v>
      </c>
      <c r="U135" s="123">
        <f t="shared" si="38"/>
        <v>2.133</v>
      </c>
      <c r="V135" s="123">
        <f t="shared" si="38"/>
        <v>2.133</v>
      </c>
      <c r="W135" s="123">
        <f t="shared" si="38"/>
        <v>2.133</v>
      </c>
      <c r="X135" s="123">
        <f t="shared" si="38"/>
        <v>2.133</v>
      </c>
      <c r="Y135" s="123">
        <f t="shared" si="38"/>
        <v>2.133</v>
      </c>
      <c r="Z135" s="123">
        <f t="shared" si="38"/>
        <v>2.133</v>
      </c>
      <c r="AA135" s="123">
        <f t="shared" si="38"/>
        <v>2.133</v>
      </c>
      <c r="AB135" s="123">
        <f t="shared" si="38"/>
        <v>2.133</v>
      </c>
      <c r="AC135" s="123">
        <f t="shared" si="38"/>
        <v>2.133</v>
      </c>
      <c r="AD135" s="123">
        <f t="shared" si="38"/>
        <v>2.133</v>
      </c>
      <c r="AE135" s="123">
        <f t="shared" si="38"/>
        <v>2.133</v>
      </c>
      <c r="AF135" s="123">
        <f t="shared" si="38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6"/>
        <v>2.09</v>
      </c>
      <c r="C136" s="124">
        <v>2.09</v>
      </c>
      <c r="D136" s="123">
        <f t="shared" si="37"/>
        <v>2.09</v>
      </c>
      <c r="E136" s="123">
        <f t="shared" si="37"/>
        <v>2.09</v>
      </c>
      <c r="F136" s="123">
        <f t="shared" si="37"/>
        <v>2.09</v>
      </c>
      <c r="G136" s="123">
        <f t="shared" si="37"/>
        <v>2.09</v>
      </c>
      <c r="H136" s="123">
        <f t="shared" si="37"/>
        <v>2.09</v>
      </c>
      <c r="I136" s="123">
        <f t="shared" si="37"/>
        <v>2.09</v>
      </c>
      <c r="J136" s="123">
        <f t="shared" si="37"/>
        <v>2.09</v>
      </c>
      <c r="K136" s="123">
        <f t="shared" si="37"/>
        <v>2.09</v>
      </c>
      <c r="L136" s="123">
        <f t="shared" si="37"/>
        <v>2.09</v>
      </c>
      <c r="M136" s="123">
        <f t="shared" si="37"/>
        <v>2.09</v>
      </c>
      <c r="N136" s="123">
        <f t="shared" si="37"/>
        <v>2.09</v>
      </c>
      <c r="O136" s="123">
        <f t="shared" si="37"/>
        <v>2.09</v>
      </c>
      <c r="P136" s="123">
        <f t="shared" si="37"/>
        <v>2.09</v>
      </c>
      <c r="Q136" s="123">
        <f t="shared" si="37"/>
        <v>2.09</v>
      </c>
      <c r="R136" s="123">
        <f t="shared" si="37"/>
        <v>2.09</v>
      </c>
      <c r="S136" s="123">
        <f t="shared" si="37"/>
        <v>2.09</v>
      </c>
      <c r="T136" s="123">
        <f t="shared" si="38"/>
        <v>2.09</v>
      </c>
      <c r="U136" s="123">
        <f t="shared" si="38"/>
        <v>2.09</v>
      </c>
      <c r="V136" s="123">
        <f t="shared" si="38"/>
        <v>2.09</v>
      </c>
      <c r="W136" s="123">
        <f t="shared" si="38"/>
        <v>2.09</v>
      </c>
      <c r="X136" s="123">
        <f t="shared" si="38"/>
        <v>2.09</v>
      </c>
      <c r="Y136" s="123">
        <f t="shared" si="38"/>
        <v>2.09</v>
      </c>
      <c r="Z136" s="123">
        <f t="shared" si="38"/>
        <v>2.09</v>
      </c>
      <c r="AA136" s="123">
        <f t="shared" si="38"/>
        <v>2.09</v>
      </c>
      <c r="AB136" s="123">
        <f t="shared" si="38"/>
        <v>2.09</v>
      </c>
      <c r="AC136" s="123">
        <f t="shared" si="38"/>
        <v>2.09</v>
      </c>
      <c r="AD136" s="123">
        <f t="shared" si="38"/>
        <v>2.09</v>
      </c>
      <c r="AE136" s="123">
        <f t="shared" si="38"/>
        <v>2.09</v>
      </c>
      <c r="AF136" s="123">
        <f t="shared" si="38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6"/>
        <v>1.1399999999999999</v>
      </c>
      <c r="C137" s="124">
        <v>1.1399999999999999</v>
      </c>
      <c r="D137" s="123">
        <f t="shared" si="37"/>
        <v>1.1399999999999999</v>
      </c>
      <c r="E137" s="123">
        <f t="shared" si="37"/>
        <v>1.1399999999999999</v>
      </c>
      <c r="F137" s="123">
        <f t="shared" si="37"/>
        <v>1.1399999999999999</v>
      </c>
      <c r="G137" s="123">
        <f t="shared" si="37"/>
        <v>1.1399999999999999</v>
      </c>
      <c r="H137" s="123">
        <f t="shared" si="37"/>
        <v>1.1399999999999999</v>
      </c>
      <c r="I137" s="123">
        <f t="shared" si="37"/>
        <v>1.1399999999999999</v>
      </c>
      <c r="J137" s="123">
        <f t="shared" si="37"/>
        <v>1.1399999999999999</v>
      </c>
      <c r="K137" s="123">
        <f t="shared" si="37"/>
        <v>1.1399999999999999</v>
      </c>
      <c r="L137" s="123">
        <f t="shared" si="37"/>
        <v>1.1399999999999999</v>
      </c>
      <c r="M137" s="123">
        <f t="shared" si="37"/>
        <v>1.1399999999999999</v>
      </c>
      <c r="N137" s="123">
        <f t="shared" si="37"/>
        <v>1.1399999999999999</v>
      </c>
      <c r="O137" s="123">
        <f t="shared" si="37"/>
        <v>1.1399999999999999</v>
      </c>
      <c r="P137" s="123">
        <f t="shared" si="37"/>
        <v>1.1399999999999999</v>
      </c>
      <c r="Q137" s="123">
        <f t="shared" si="37"/>
        <v>1.1399999999999999</v>
      </c>
      <c r="R137" s="123">
        <f t="shared" si="37"/>
        <v>1.1399999999999999</v>
      </c>
      <c r="S137" s="123">
        <f t="shared" si="37"/>
        <v>1.1399999999999999</v>
      </c>
      <c r="T137" s="123">
        <f t="shared" si="38"/>
        <v>1.1399999999999999</v>
      </c>
      <c r="U137" s="123">
        <f t="shared" si="38"/>
        <v>1.1399999999999999</v>
      </c>
      <c r="V137" s="123">
        <f t="shared" si="38"/>
        <v>1.1399999999999999</v>
      </c>
      <c r="W137" s="123">
        <f t="shared" si="38"/>
        <v>1.1399999999999999</v>
      </c>
      <c r="X137" s="123">
        <f t="shared" si="38"/>
        <v>1.1399999999999999</v>
      </c>
      <c r="Y137" s="123">
        <f t="shared" si="38"/>
        <v>1.1399999999999999</v>
      </c>
      <c r="Z137" s="123">
        <f t="shared" si="38"/>
        <v>1.1399999999999999</v>
      </c>
      <c r="AA137" s="123">
        <f t="shared" si="38"/>
        <v>1.1399999999999999</v>
      </c>
      <c r="AB137" s="123">
        <f t="shared" si="38"/>
        <v>1.1399999999999999</v>
      </c>
      <c r="AC137" s="123">
        <f t="shared" si="38"/>
        <v>1.1399999999999999</v>
      </c>
      <c r="AD137" s="123">
        <f t="shared" si="38"/>
        <v>1.1399999999999999</v>
      </c>
      <c r="AE137" s="123">
        <f t="shared" si="38"/>
        <v>1.1399999999999999</v>
      </c>
      <c r="AF137" s="123">
        <f t="shared" si="38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6"/>
        <v>0.82</v>
      </c>
      <c r="C138" s="124">
        <v>0.82</v>
      </c>
      <c r="D138" s="123">
        <f t="shared" si="37"/>
        <v>0.82</v>
      </c>
      <c r="E138" s="123">
        <f t="shared" si="37"/>
        <v>0.82</v>
      </c>
      <c r="F138" s="123">
        <f t="shared" si="37"/>
        <v>0.82</v>
      </c>
      <c r="G138" s="123">
        <f t="shared" si="37"/>
        <v>0.82</v>
      </c>
      <c r="H138" s="123">
        <f t="shared" si="37"/>
        <v>0.82</v>
      </c>
      <c r="I138" s="123">
        <f t="shared" si="37"/>
        <v>0.82</v>
      </c>
      <c r="J138" s="123">
        <f t="shared" si="37"/>
        <v>0.82</v>
      </c>
      <c r="K138" s="123">
        <f t="shared" si="37"/>
        <v>0.82</v>
      </c>
      <c r="L138" s="123">
        <f t="shared" si="37"/>
        <v>0.82</v>
      </c>
      <c r="M138" s="123">
        <f t="shared" si="37"/>
        <v>0.82</v>
      </c>
      <c r="N138" s="123">
        <f t="shared" si="37"/>
        <v>0.82</v>
      </c>
      <c r="O138" s="123">
        <f t="shared" si="37"/>
        <v>0.82</v>
      </c>
      <c r="P138" s="123">
        <f t="shared" si="37"/>
        <v>0.82</v>
      </c>
      <c r="Q138" s="123">
        <f t="shared" si="37"/>
        <v>0.82</v>
      </c>
      <c r="R138" s="123">
        <f t="shared" si="37"/>
        <v>0.82</v>
      </c>
      <c r="S138" s="123">
        <f t="shared" si="37"/>
        <v>0.82</v>
      </c>
      <c r="T138" s="123">
        <f t="shared" si="38"/>
        <v>0.82</v>
      </c>
      <c r="U138" s="123">
        <f t="shared" si="38"/>
        <v>0.82</v>
      </c>
      <c r="V138" s="123">
        <f t="shared" si="38"/>
        <v>0.82</v>
      </c>
      <c r="W138" s="123">
        <f t="shared" si="38"/>
        <v>0.82</v>
      </c>
      <c r="X138" s="123">
        <f t="shared" si="38"/>
        <v>0.82</v>
      </c>
      <c r="Y138" s="123">
        <f t="shared" si="38"/>
        <v>0.82</v>
      </c>
      <c r="Z138" s="123">
        <f t="shared" si="38"/>
        <v>0.82</v>
      </c>
      <c r="AA138" s="123">
        <f t="shared" si="38"/>
        <v>0.82</v>
      </c>
      <c r="AB138" s="123">
        <f t="shared" si="38"/>
        <v>0.82</v>
      </c>
      <c r="AC138" s="123">
        <f t="shared" si="38"/>
        <v>0.82</v>
      </c>
      <c r="AD138" s="123">
        <f t="shared" si="38"/>
        <v>0.82</v>
      </c>
      <c r="AE138" s="123">
        <f t="shared" si="38"/>
        <v>0.82</v>
      </c>
      <c r="AF138" s="123">
        <f t="shared" si="38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39">AF140</f>
        <v>2</v>
      </c>
      <c r="C140" s="124">
        <v>2</v>
      </c>
      <c r="D140" s="123">
        <f t="shared" ref="D140:S146" si="40">C140</f>
        <v>2</v>
      </c>
      <c r="E140" s="123">
        <f t="shared" si="40"/>
        <v>2</v>
      </c>
      <c r="F140" s="123">
        <f t="shared" si="40"/>
        <v>2</v>
      </c>
      <c r="G140" s="123">
        <f t="shared" si="40"/>
        <v>2</v>
      </c>
      <c r="H140" s="123">
        <f t="shared" si="40"/>
        <v>2</v>
      </c>
      <c r="I140" s="123">
        <f t="shared" si="40"/>
        <v>2</v>
      </c>
      <c r="J140" s="123">
        <f t="shared" si="40"/>
        <v>2</v>
      </c>
      <c r="K140" s="123">
        <f t="shared" si="40"/>
        <v>2</v>
      </c>
      <c r="L140" s="123">
        <f t="shared" si="40"/>
        <v>2</v>
      </c>
      <c r="M140" s="123">
        <f t="shared" si="40"/>
        <v>2</v>
      </c>
      <c r="N140" s="123">
        <f t="shared" si="40"/>
        <v>2</v>
      </c>
      <c r="O140" s="123">
        <f t="shared" si="40"/>
        <v>2</v>
      </c>
      <c r="P140" s="123">
        <f t="shared" si="40"/>
        <v>2</v>
      </c>
      <c r="Q140" s="123">
        <f t="shared" si="40"/>
        <v>2</v>
      </c>
      <c r="R140" s="123">
        <f t="shared" si="40"/>
        <v>2</v>
      </c>
      <c r="S140" s="123">
        <f t="shared" si="40"/>
        <v>2</v>
      </c>
      <c r="T140" s="123">
        <f t="shared" ref="T140:AF146" si="41">S140</f>
        <v>2</v>
      </c>
      <c r="U140" s="123">
        <f t="shared" si="41"/>
        <v>2</v>
      </c>
      <c r="V140" s="123">
        <f t="shared" si="41"/>
        <v>2</v>
      </c>
      <c r="W140" s="123">
        <f t="shared" si="41"/>
        <v>2</v>
      </c>
      <c r="X140" s="123">
        <f t="shared" si="41"/>
        <v>2</v>
      </c>
      <c r="Y140" s="123">
        <f t="shared" si="41"/>
        <v>2</v>
      </c>
      <c r="Z140" s="123">
        <f t="shared" si="41"/>
        <v>2</v>
      </c>
      <c r="AA140" s="123">
        <f t="shared" si="41"/>
        <v>2</v>
      </c>
      <c r="AB140" s="123">
        <f t="shared" si="41"/>
        <v>2</v>
      </c>
      <c r="AC140" s="123">
        <f t="shared" si="41"/>
        <v>2</v>
      </c>
      <c r="AD140" s="123">
        <f t="shared" si="41"/>
        <v>2</v>
      </c>
      <c r="AE140" s="123">
        <f t="shared" si="41"/>
        <v>2</v>
      </c>
      <c r="AF140" s="123">
        <f t="shared" si="41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39"/>
        <v>5.61</v>
      </c>
      <c r="C141" s="124">
        <v>5.61</v>
      </c>
      <c r="D141" s="123">
        <f t="shared" si="40"/>
        <v>5.61</v>
      </c>
      <c r="E141" s="123">
        <f t="shared" si="40"/>
        <v>5.61</v>
      </c>
      <c r="F141" s="123">
        <f t="shared" si="40"/>
        <v>5.61</v>
      </c>
      <c r="G141" s="123">
        <f t="shared" si="40"/>
        <v>5.61</v>
      </c>
      <c r="H141" s="123">
        <f t="shared" si="40"/>
        <v>5.61</v>
      </c>
      <c r="I141" s="123">
        <f t="shared" si="40"/>
        <v>5.61</v>
      </c>
      <c r="J141" s="123">
        <f t="shared" si="40"/>
        <v>5.61</v>
      </c>
      <c r="K141" s="123">
        <f t="shared" si="40"/>
        <v>5.61</v>
      </c>
      <c r="L141" s="123">
        <f t="shared" si="40"/>
        <v>5.61</v>
      </c>
      <c r="M141" s="123">
        <f t="shared" si="40"/>
        <v>5.61</v>
      </c>
      <c r="N141" s="123">
        <f t="shared" si="40"/>
        <v>5.61</v>
      </c>
      <c r="O141" s="123">
        <f t="shared" si="40"/>
        <v>5.61</v>
      </c>
      <c r="P141" s="123">
        <f t="shared" si="40"/>
        <v>5.61</v>
      </c>
      <c r="Q141" s="123">
        <f t="shared" si="40"/>
        <v>5.61</v>
      </c>
      <c r="R141" s="123">
        <f t="shared" si="40"/>
        <v>5.61</v>
      </c>
      <c r="S141" s="123">
        <f t="shared" si="40"/>
        <v>5.61</v>
      </c>
      <c r="T141" s="123">
        <f t="shared" si="41"/>
        <v>5.61</v>
      </c>
      <c r="U141" s="123">
        <f t="shared" si="41"/>
        <v>5.61</v>
      </c>
      <c r="V141" s="123">
        <f t="shared" si="41"/>
        <v>5.61</v>
      </c>
      <c r="W141" s="123">
        <f t="shared" si="41"/>
        <v>5.61</v>
      </c>
      <c r="X141" s="123">
        <f t="shared" si="41"/>
        <v>5.61</v>
      </c>
      <c r="Y141" s="123">
        <f t="shared" si="41"/>
        <v>5.61</v>
      </c>
      <c r="Z141" s="123">
        <f t="shared" si="41"/>
        <v>5.61</v>
      </c>
      <c r="AA141" s="123">
        <f t="shared" si="41"/>
        <v>5.61</v>
      </c>
      <c r="AB141" s="123">
        <f t="shared" si="41"/>
        <v>5.61</v>
      </c>
      <c r="AC141" s="123">
        <f t="shared" si="41"/>
        <v>5.61</v>
      </c>
      <c r="AD141" s="123">
        <f t="shared" si="41"/>
        <v>5.61</v>
      </c>
      <c r="AE141" s="123">
        <f t="shared" si="41"/>
        <v>5.61</v>
      </c>
      <c r="AF141" s="123">
        <f t="shared" si="41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39"/>
        <v>1.25</v>
      </c>
      <c r="C142" s="124">
        <v>1.25</v>
      </c>
      <c r="D142" s="123">
        <f t="shared" si="40"/>
        <v>1.25</v>
      </c>
      <c r="E142" s="123">
        <f t="shared" si="40"/>
        <v>1.25</v>
      </c>
      <c r="F142" s="123">
        <f t="shared" si="40"/>
        <v>1.25</v>
      </c>
      <c r="G142" s="123">
        <f t="shared" si="40"/>
        <v>1.25</v>
      </c>
      <c r="H142" s="123">
        <f t="shared" si="40"/>
        <v>1.25</v>
      </c>
      <c r="I142" s="123">
        <f t="shared" si="40"/>
        <v>1.25</v>
      </c>
      <c r="J142" s="123">
        <f t="shared" si="40"/>
        <v>1.25</v>
      </c>
      <c r="K142" s="123">
        <f t="shared" si="40"/>
        <v>1.25</v>
      </c>
      <c r="L142" s="123">
        <f t="shared" si="40"/>
        <v>1.25</v>
      </c>
      <c r="M142" s="123">
        <f t="shared" si="40"/>
        <v>1.25</v>
      </c>
      <c r="N142" s="123">
        <f t="shared" si="40"/>
        <v>1.25</v>
      </c>
      <c r="O142" s="123">
        <f t="shared" si="40"/>
        <v>1.25</v>
      </c>
      <c r="P142" s="123">
        <f t="shared" si="40"/>
        <v>1.25</v>
      </c>
      <c r="Q142" s="123">
        <f t="shared" si="40"/>
        <v>1.25</v>
      </c>
      <c r="R142" s="123">
        <f t="shared" si="40"/>
        <v>1.25</v>
      </c>
      <c r="S142" s="123">
        <f t="shared" si="40"/>
        <v>1.25</v>
      </c>
      <c r="T142" s="123">
        <f t="shared" si="41"/>
        <v>1.25</v>
      </c>
      <c r="U142" s="123">
        <f t="shared" si="41"/>
        <v>1.25</v>
      </c>
      <c r="V142" s="123">
        <f t="shared" si="41"/>
        <v>1.25</v>
      </c>
      <c r="W142" s="123">
        <f t="shared" si="41"/>
        <v>1.25</v>
      </c>
      <c r="X142" s="123">
        <f t="shared" si="41"/>
        <v>1.25</v>
      </c>
      <c r="Y142" s="123">
        <f t="shared" si="41"/>
        <v>1.25</v>
      </c>
      <c r="Z142" s="123">
        <f t="shared" si="41"/>
        <v>1.25</v>
      </c>
      <c r="AA142" s="123">
        <f t="shared" si="41"/>
        <v>1.25</v>
      </c>
      <c r="AB142" s="123">
        <f t="shared" si="41"/>
        <v>1.25</v>
      </c>
      <c r="AC142" s="123">
        <f t="shared" si="41"/>
        <v>1.25</v>
      </c>
      <c r="AD142" s="123">
        <f t="shared" si="41"/>
        <v>1.25</v>
      </c>
      <c r="AE142" s="123">
        <f t="shared" si="41"/>
        <v>1.25</v>
      </c>
      <c r="AF142" s="123">
        <f t="shared" si="41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39"/>
        <v>1.46</v>
      </c>
      <c r="C144" s="124">
        <v>1.46</v>
      </c>
      <c r="D144" s="123">
        <f t="shared" si="40"/>
        <v>1.46</v>
      </c>
      <c r="E144" s="123">
        <f t="shared" si="40"/>
        <v>1.46</v>
      </c>
      <c r="F144" s="123">
        <f t="shared" si="40"/>
        <v>1.46</v>
      </c>
      <c r="G144" s="123">
        <f t="shared" si="40"/>
        <v>1.46</v>
      </c>
      <c r="H144" s="123">
        <f t="shared" si="40"/>
        <v>1.46</v>
      </c>
      <c r="I144" s="123">
        <f t="shared" si="40"/>
        <v>1.46</v>
      </c>
      <c r="J144" s="123">
        <f t="shared" si="40"/>
        <v>1.46</v>
      </c>
      <c r="K144" s="123">
        <f t="shared" si="40"/>
        <v>1.46</v>
      </c>
      <c r="L144" s="123">
        <f t="shared" si="40"/>
        <v>1.46</v>
      </c>
      <c r="M144" s="123">
        <f t="shared" si="40"/>
        <v>1.46</v>
      </c>
      <c r="N144" s="123">
        <f t="shared" si="40"/>
        <v>1.46</v>
      </c>
      <c r="O144" s="123">
        <f t="shared" si="40"/>
        <v>1.46</v>
      </c>
      <c r="P144" s="123">
        <f t="shared" si="40"/>
        <v>1.46</v>
      </c>
      <c r="Q144" s="123">
        <f t="shared" si="40"/>
        <v>1.46</v>
      </c>
      <c r="R144" s="123">
        <f t="shared" si="40"/>
        <v>1.46</v>
      </c>
      <c r="S144" s="123">
        <f t="shared" si="40"/>
        <v>1.46</v>
      </c>
      <c r="T144" s="123">
        <f t="shared" si="41"/>
        <v>1.46</v>
      </c>
      <c r="U144" s="123">
        <f t="shared" si="41"/>
        <v>1.46</v>
      </c>
      <c r="V144" s="123">
        <f t="shared" si="41"/>
        <v>1.46</v>
      </c>
      <c r="W144" s="123">
        <f t="shared" si="41"/>
        <v>1.46</v>
      </c>
      <c r="X144" s="123">
        <f t="shared" si="41"/>
        <v>1.46</v>
      </c>
      <c r="Y144" s="123">
        <f t="shared" si="41"/>
        <v>1.46</v>
      </c>
      <c r="Z144" s="123">
        <f t="shared" si="41"/>
        <v>1.46</v>
      </c>
      <c r="AA144" s="123">
        <f t="shared" si="41"/>
        <v>1.46</v>
      </c>
      <c r="AB144" s="123">
        <f t="shared" si="41"/>
        <v>1.46</v>
      </c>
      <c r="AC144" s="123">
        <f t="shared" si="41"/>
        <v>1.46</v>
      </c>
      <c r="AD144" s="123">
        <f t="shared" si="41"/>
        <v>1.46</v>
      </c>
      <c r="AE144" s="123">
        <f t="shared" si="41"/>
        <v>1.46</v>
      </c>
      <c r="AF144" s="123">
        <f t="shared" si="41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39"/>
        <v>3</v>
      </c>
      <c r="C145" s="124">
        <v>3</v>
      </c>
      <c r="D145" s="123">
        <f t="shared" si="40"/>
        <v>3</v>
      </c>
      <c r="E145" s="123">
        <f t="shared" si="40"/>
        <v>3</v>
      </c>
      <c r="F145" s="123">
        <f t="shared" si="40"/>
        <v>3</v>
      </c>
      <c r="G145" s="123">
        <f t="shared" si="40"/>
        <v>3</v>
      </c>
      <c r="H145" s="123">
        <f t="shared" si="40"/>
        <v>3</v>
      </c>
      <c r="I145" s="123">
        <f t="shared" si="40"/>
        <v>3</v>
      </c>
      <c r="J145" s="123">
        <f t="shared" si="40"/>
        <v>3</v>
      </c>
      <c r="K145" s="123">
        <f t="shared" si="40"/>
        <v>3</v>
      </c>
      <c r="L145" s="123">
        <f t="shared" si="40"/>
        <v>3</v>
      </c>
      <c r="M145" s="123">
        <f t="shared" si="40"/>
        <v>3</v>
      </c>
      <c r="N145" s="123">
        <f t="shared" si="40"/>
        <v>3</v>
      </c>
      <c r="O145" s="123">
        <f t="shared" si="40"/>
        <v>3</v>
      </c>
      <c r="P145" s="123">
        <f t="shared" si="40"/>
        <v>3</v>
      </c>
      <c r="Q145" s="123">
        <f t="shared" si="40"/>
        <v>3</v>
      </c>
      <c r="R145" s="123">
        <f t="shared" si="40"/>
        <v>3</v>
      </c>
      <c r="S145" s="123">
        <f t="shared" si="40"/>
        <v>3</v>
      </c>
      <c r="T145" s="123">
        <f t="shared" si="41"/>
        <v>3</v>
      </c>
      <c r="U145" s="123">
        <f t="shared" si="41"/>
        <v>3</v>
      </c>
      <c r="V145" s="123">
        <f t="shared" si="41"/>
        <v>3</v>
      </c>
      <c r="W145" s="123">
        <f t="shared" si="41"/>
        <v>3</v>
      </c>
      <c r="X145" s="123">
        <f t="shared" si="41"/>
        <v>3</v>
      </c>
      <c r="Y145" s="123">
        <f t="shared" si="41"/>
        <v>3</v>
      </c>
      <c r="Z145" s="123">
        <f t="shared" si="41"/>
        <v>3</v>
      </c>
      <c r="AA145" s="123">
        <f t="shared" si="41"/>
        <v>3</v>
      </c>
      <c r="AB145" s="123">
        <f t="shared" si="41"/>
        <v>3</v>
      </c>
      <c r="AC145" s="123">
        <f t="shared" si="41"/>
        <v>3</v>
      </c>
      <c r="AD145" s="123">
        <f t="shared" si="41"/>
        <v>3</v>
      </c>
      <c r="AE145" s="123">
        <f t="shared" si="41"/>
        <v>3</v>
      </c>
      <c r="AF145" s="123">
        <f t="shared" si="41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39"/>
        <v>3.3</v>
      </c>
      <c r="C146" s="124">
        <v>3.3</v>
      </c>
      <c r="D146" s="123">
        <f t="shared" si="40"/>
        <v>3.3</v>
      </c>
      <c r="E146" s="123">
        <f t="shared" si="40"/>
        <v>3.3</v>
      </c>
      <c r="F146" s="123">
        <f t="shared" si="40"/>
        <v>3.3</v>
      </c>
      <c r="G146" s="123">
        <f t="shared" si="40"/>
        <v>3.3</v>
      </c>
      <c r="H146" s="123">
        <f t="shared" si="40"/>
        <v>3.3</v>
      </c>
      <c r="I146" s="123">
        <f t="shared" si="40"/>
        <v>3.3</v>
      </c>
      <c r="J146" s="123">
        <f t="shared" si="40"/>
        <v>3.3</v>
      </c>
      <c r="K146" s="123">
        <f t="shared" si="40"/>
        <v>3.3</v>
      </c>
      <c r="L146" s="123">
        <f t="shared" si="40"/>
        <v>3.3</v>
      </c>
      <c r="M146" s="123">
        <f t="shared" si="40"/>
        <v>3.3</v>
      </c>
      <c r="N146" s="123">
        <f t="shared" si="40"/>
        <v>3.3</v>
      </c>
      <c r="O146" s="123">
        <f t="shared" si="40"/>
        <v>3.3</v>
      </c>
      <c r="P146" s="123">
        <f t="shared" si="40"/>
        <v>3.3</v>
      </c>
      <c r="Q146" s="123">
        <f t="shared" si="40"/>
        <v>3.3</v>
      </c>
      <c r="R146" s="123">
        <f t="shared" si="40"/>
        <v>3.3</v>
      </c>
      <c r="S146" s="123">
        <f t="shared" si="40"/>
        <v>3.3</v>
      </c>
      <c r="T146" s="123">
        <f t="shared" si="41"/>
        <v>3.3</v>
      </c>
      <c r="U146" s="123">
        <f t="shared" si="41"/>
        <v>3.3</v>
      </c>
      <c r="V146" s="123">
        <f t="shared" si="41"/>
        <v>3.3</v>
      </c>
      <c r="W146" s="123">
        <f t="shared" si="41"/>
        <v>3.3</v>
      </c>
      <c r="X146" s="123">
        <f t="shared" si="41"/>
        <v>3.3</v>
      </c>
      <c r="Y146" s="123">
        <f t="shared" si="41"/>
        <v>3.3</v>
      </c>
      <c r="Z146" s="123">
        <f t="shared" si="41"/>
        <v>3.3</v>
      </c>
      <c r="AA146" s="123">
        <f t="shared" si="41"/>
        <v>3.3</v>
      </c>
      <c r="AB146" s="123">
        <f t="shared" si="41"/>
        <v>3.3</v>
      </c>
      <c r="AC146" s="123">
        <f t="shared" si="41"/>
        <v>3.3</v>
      </c>
      <c r="AD146" s="123">
        <f t="shared" si="41"/>
        <v>3.3</v>
      </c>
      <c r="AE146" s="123">
        <f t="shared" si="41"/>
        <v>3.3</v>
      </c>
      <c r="AF146" s="123">
        <f t="shared" si="41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2">C148</f>
        <v>1.76</v>
      </c>
      <c r="E148" s="123">
        <f t="shared" si="42"/>
        <v>1.76</v>
      </c>
      <c r="F148" s="123">
        <f t="shared" si="42"/>
        <v>1.76</v>
      </c>
      <c r="G148" s="123">
        <f t="shared" si="42"/>
        <v>1.76</v>
      </c>
      <c r="H148" s="123">
        <f t="shared" si="42"/>
        <v>1.76</v>
      </c>
      <c r="I148" s="123">
        <f t="shared" si="42"/>
        <v>1.76</v>
      </c>
      <c r="J148" s="123">
        <f t="shared" si="42"/>
        <v>1.76</v>
      </c>
      <c r="K148" s="123">
        <f t="shared" si="42"/>
        <v>1.76</v>
      </c>
      <c r="L148" s="123">
        <f t="shared" si="42"/>
        <v>1.76</v>
      </c>
      <c r="M148" s="123">
        <f t="shared" si="42"/>
        <v>1.76</v>
      </c>
      <c r="N148" s="123">
        <f t="shared" si="42"/>
        <v>1.76</v>
      </c>
      <c r="O148" s="123">
        <f t="shared" si="42"/>
        <v>1.76</v>
      </c>
      <c r="P148" s="123">
        <f t="shared" si="42"/>
        <v>1.76</v>
      </c>
      <c r="Q148" s="123">
        <f t="shared" si="42"/>
        <v>1.76</v>
      </c>
      <c r="R148" s="123">
        <f t="shared" si="42"/>
        <v>1.76</v>
      </c>
      <c r="S148" s="123">
        <f t="shared" si="42"/>
        <v>1.76</v>
      </c>
      <c r="T148" s="123">
        <f t="shared" ref="T148:AF149" si="43">S148</f>
        <v>1.76</v>
      </c>
      <c r="U148" s="123">
        <f t="shared" si="43"/>
        <v>1.76</v>
      </c>
      <c r="V148" s="123">
        <f t="shared" si="43"/>
        <v>1.76</v>
      </c>
      <c r="W148" s="123">
        <f t="shared" si="43"/>
        <v>1.76</v>
      </c>
      <c r="X148" s="123">
        <f t="shared" si="43"/>
        <v>1.76</v>
      </c>
      <c r="Y148" s="123">
        <f t="shared" si="43"/>
        <v>1.76</v>
      </c>
      <c r="Z148" s="123">
        <f t="shared" si="43"/>
        <v>1.76</v>
      </c>
      <c r="AA148" s="123">
        <f t="shared" si="43"/>
        <v>1.76</v>
      </c>
      <c r="AB148" s="123">
        <f t="shared" si="43"/>
        <v>1.76</v>
      </c>
      <c r="AC148" s="123">
        <f t="shared" si="43"/>
        <v>1.76</v>
      </c>
      <c r="AD148" s="123">
        <f t="shared" si="43"/>
        <v>1.76</v>
      </c>
      <c r="AE148" s="123">
        <f t="shared" si="43"/>
        <v>1.76</v>
      </c>
      <c r="AF148" s="123">
        <f t="shared" si="43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2"/>
        <v>0</v>
      </c>
      <c r="E149" s="123">
        <f t="shared" si="42"/>
        <v>0</v>
      </c>
      <c r="F149" s="123">
        <f t="shared" si="42"/>
        <v>0</v>
      </c>
      <c r="G149" s="123">
        <f t="shared" si="42"/>
        <v>0</v>
      </c>
      <c r="H149" s="123">
        <f t="shared" si="42"/>
        <v>0</v>
      </c>
      <c r="I149" s="123">
        <f t="shared" si="42"/>
        <v>0</v>
      </c>
      <c r="J149" s="123">
        <f t="shared" si="42"/>
        <v>0</v>
      </c>
      <c r="K149" s="123">
        <f t="shared" si="42"/>
        <v>0</v>
      </c>
      <c r="L149" s="123">
        <f t="shared" si="42"/>
        <v>0</v>
      </c>
      <c r="M149" s="123">
        <f t="shared" si="42"/>
        <v>0</v>
      </c>
      <c r="N149" s="123">
        <f t="shared" si="42"/>
        <v>0</v>
      </c>
      <c r="O149" s="123">
        <f t="shared" si="42"/>
        <v>0</v>
      </c>
      <c r="P149" s="123">
        <f t="shared" si="42"/>
        <v>0</v>
      </c>
      <c r="Q149" s="123">
        <f t="shared" si="42"/>
        <v>0</v>
      </c>
      <c r="R149" s="123">
        <f t="shared" si="42"/>
        <v>0</v>
      </c>
      <c r="S149" s="123">
        <f t="shared" si="42"/>
        <v>0</v>
      </c>
      <c r="T149" s="123">
        <f t="shared" si="43"/>
        <v>0</v>
      </c>
      <c r="U149" s="123">
        <f t="shared" si="43"/>
        <v>0</v>
      </c>
      <c r="V149" s="123">
        <f t="shared" si="43"/>
        <v>0</v>
      </c>
      <c r="W149" s="123">
        <f t="shared" si="43"/>
        <v>0</v>
      </c>
      <c r="X149" s="123">
        <f t="shared" si="43"/>
        <v>0</v>
      </c>
      <c r="Y149" s="123">
        <f t="shared" si="43"/>
        <v>0</v>
      </c>
      <c r="Z149" s="123">
        <f t="shared" si="43"/>
        <v>0</v>
      </c>
      <c r="AA149" s="123">
        <f t="shared" si="43"/>
        <v>0</v>
      </c>
      <c r="AB149" s="123">
        <f t="shared" si="43"/>
        <v>0</v>
      </c>
      <c r="AC149" s="123">
        <f t="shared" si="43"/>
        <v>0</v>
      </c>
      <c r="AD149" s="123">
        <f t="shared" si="43"/>
        <v>0</v>
      </c>
      <c r="AE149" s="123">
        <f t="shared" si="43"/>
        <v>0</v>
      </c>
      <c r="AF149" s="123">
        <f t="shared" si="43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4">C151</f>
        <v>0.1</v>
      </c>
      <c r="E151" s="123">
        <f t="shared" si="44"/>
        <v>0.1</v>
      </c>
      <c r="F151" s="123">
        <f t="shared" si="44"/>
        <v>0.1</v>
      </c>
      <c r="G151" s="123">
        <f t="shared" si="44"/>
        <v>0.1</v>
      </c>
      <c r="H151" s="123">
        <f t="shared" si="44"/>
        <v>0.1</v>
      </c>
      <c r="I151" s="123">
        <f t="shared" si="44"/>
        <v>0.1</v>
      </c>
      <c r="J151" s="123">
        <f t="shared" si="44"/>
        <v>0.1</v>
      </c>
      <c r="K151" s="123">
        <f t="shared" si="44"/>
        <v>0.1</v>
      </c>
      <c r="L151" s="123">
        <f t="shared" si="44"/>
        <v>0.1</v>
      </c>
      <c r="M151" s="123">
        <f t="shared" si="44"/>
        <v>0.1</v>
      </c>
      <c r="N151" s="123">
        <f t="shared" si="44"/>
        <v>0.1</v>
      </c>
      <c r="O151" s="123">
        <f t="shared" si="44"/>
        <v>0.1</v>
      </c>
      <c r="P151" s="123">
        <f t="shared" si="44"/>
        <v>0.1</v>
      </c>
      <c r="Q151" s="123">
        <f t="shared" si="44"/>
        <v>0.1</v>
      </c>
      <c r="R151" s="123">
        <f t="shared" si="44"/>
        <v>0.1</v>
      </c>
      <c r="S151" s="123">
        <f t="shared" si="44"/>
        <v>0.1</v>
      </c>
      <c r="T151" s="123">
        <f t="shared" ref="T151:AF154" si="45">S151</f>
        <v>0.1</v>
      </c>
      <c r="U151" s="123">
        <f t="shared" si="45"/>
        <v>0.1</v>
      </c>
      <c r="V151" s="123">
        <f t="shared" si="45"/>
        <v>0.1</v>
      </c>
      <c r="W151" s="123">
        <f t="shared" si="45"/>
        <v>0.1</v>
      </c>
      <c r="X151" s="123">
        <f t="shared" si="45"/>
        <v>0.1</v>
      </c>
      <c r="Y151" s="123">
        <f t="shared" si="45"/>
        <v>0.1</v>
      </c>
      <c r="Z151" s="123">
        <f t="shared" si="45"/>
        <v>0.1</v>
      </c>
      <c r="AA151" s="123">
        <f t="shared" si="45"/>
        <v>0.1</v>
      </c>
      <c r="AB151" s="123">
        <f t="shared" si="45"/>
        <v>0.1</v>
      </c>
      <c r="AC151" s="123">
        <f t="shared" si="45"/>
        <v>0.1</v>
      </c>
      <c r="AD151" s="123">
        <f t="shared" si="45"/>
        <v>0.1</v>
      </c>
      <c r="AE151" s="123">
        <f t="shared" si="45"/>
        <v>0.1</v>
      </c>
      <c r="AF151" s="123">
        <f t="shared" si="45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4"/>
        <v>2.0499999999999998</v>
      </c>
      <c r="E152" s="123">
        <f t="shared" si="44"/>
        <v>2.0499999999999998</v>
      </c>
      <c r="F152" s="123">
        <f t="shared" si="44"/>
        <v>2.0499999999999998</v>
      </c>
      <c r="G152" s="123">
        <f t="shared" si="44"/>
        <v>2.0499999999999998</v>
      </c>
      <c r="H152" s="123">
        <f t="shared" si="44"/>
        <v>2.0499999999999998</v>
      </c>
      <c r="I152" s="123">
        <f t="shared" si="44"/>
        <v>2.0499999999999998</v>
      </c>
      <c r="J152" s="123">
        <f t="shared" si="44"/>
        <v>2.0499999999999998</v>
      </c>
      <c r="K152" s="123">
        <f t="shared" si="44"/>
        <v>2.0499999999999998</v>
      </c>
      <c r="L152" s="123">
        <f t="shared" si="44"/>
        <v>2.0499999999999998</v>
      </c>
      <c r="M152" s="123">
        <f t="shared" si="44"/>
        <v>2.0499999999999998</v>
      </c>
      <c r="N152" s="123">
        <f t="shared" si="44"/>
        <v>2.0499999999999998</v>
      </c>
      <c r="O152" s="123">
        <f t="shared" si="44"/>
        <v>2.0499999999999998</v>
      </c>
      <c r="P152" s="123">
        <f t="shared" si="44"/>
        <v>2.0499999999999998</v>
      </c>
      <c r="Q152" s="123">
        <f t="shared" si="44"/>
        <v>2.0499999999999998</v>
      </c>
      <c r="R152" s="123">
        <f t="shared" si="44"/>
        <v>2.0499999999999998</v>
      </c>
      <c r="S152" s="123">
        <f t="shared" si="44"/>
        <v>2.0499999999999998</v>
      </c>
      <c r="T152" s="123">
        <f t="shared" si="45"/>
        <v>2.0499999999999998</v>
      </c>
      <c r="U152" s="123">
        <f t="shared" si="45"/>
        <v>2.0499999999999998</v>
      </c>
      <c r="V152" s="123">
        <f t="shared" si="45"/>
        <v>2.0499999999999998</v>
      </c>
      <c r="W152" s="123">
        <f t="shared" si="45"/>
        <v>2.0499999999999998</v>
      </c>
      <c r="X152" s="123">
        <f t="shared" si="45"/>
        <v>2.0499999999999998</v>
      </c>
      <c r="Y152" s="123">
        <f t="shared" si="45"/>
        <v>2.0499999999999998</v>
      </c>
      <c r="Z152" s="123">
        <f t="shared" si="45"/>
        <v>2.0499999999999998</v>
      </c>
      <c r="AA152" s="123">
        <f t="shared" si="45"/>
        <v>2.0499999999999998</v>
      </c>
      <c r="AB152" s="123">
        <f t="shared" si="45"/>
        <v>2.0499999999999998</v>
      </c>
      <c r="AC152" s="123">
        <f t="shared" si="45"/>
        <v>2.0499999999999998</v>
      </c>
      <c r="AD152" s="123">
        <f t="shared" si="45"/>
        <v>2.0499999999999998</v>
      </c>
      <c r="AE152" s="123">
        <f t="shared" si="45"/>
        <v>2.0499999999999998</v>
      </c>
      <c r="AF152" s="123">
        <f t="shared" si="45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4"/>
        <v>2.7</v>
      </c>
      <c r="E153" s="123">
        <f t="shared" si="44"/>
        <v>2.7</v>
      </c>
      <c r="F153" s="123">
        <f t="shared" si="44"/>
        <v>2.7</v>
      </c>
      <c r="G153" s="123">
        <f t="shared" si="44"/>
        <v>2.7</v>
      </c>
      <c r="H153" s="123">
        <f t="shared" si="44"/>
        <v>2.7</v>
      </c>
      <c r="I153" s="123">
        <f t="shared" si="44"/>
        <v>2.7</v>
      </c>
      <c r="J153" s="123">
        <f t="shared" si="44"/>
        <v>2.7</v>
      </c>
      <c r="K153" s="123">
        <f t="shared" si="44"/>
        <v>2.7</v>
      </c>
      <c r="L153" s="123">
        <f t="shared" si="44"/>
        <v>2.7</v>
      </c>
      <c r="M153" s="123">
        <f t="shared" si="44"/>
        <v>2.7</v>
      </c>
      <c r="N153" s="123">
        <f t="shared" si="44"/>
        <v>2.7</v>
      </c>
      <c r="O153" s="123">
        <f t="shared" si="44"/>
        <v>2.7</v>
      </c>
      <c r="P153" s="123">
        <f t="shared" si="44"/>
        <v>2.7</v>
      </c>
      <c r="Q153" s="123">
        <f t="shared" si="44"/>
        <v>2.7</v>
      </c>
      <c r="R153" s="123">
        <f t="shared" si="44"/>
        <v>2.7</v>
      </c>
      <c r="S153" s="123">
        <f t="shared" si="44"/>
        <v>2.7</v>
      </c>
      <c r="T153" s="123">
        <f t="shared" si="45"/>
        <v>2.7</v>
      </c>
      <c r="U153" s="123">
        <f t="shared" si="45"/>
        <v>2.7</v>
      </c>
      <c r="V153" s="123">
        <f t="shared" si="45"/>
        <v>2.7</v>
      </c>
      <c r="W153" s="123">
        <f t="shared" si="45"/>
        <v>2.7</v>
      </c>
      <c r="X153" s="123">
        <f t="shared" si="45"/>
        <v>2.7</v>
      </c>
      <c r="Y153" s="123">
        <f t="shared" si="45"/>
        <v>2.7</v>
      </c>
      <c r="Z153" s="123">
        <f t="shared" si="45"/>
        <v>2.7</v>
      </c>
      <c r="AA153" s="123">
        <f t="shared" si="45"/>
        <v>2.7</v>
      </c>
      <c r="AB153" s="123">
        <f t="shared" si="45"/>
        <v>2.7</v>
      </c>
      <c r="AC153" s="123">
        <f t="shared" si="45"/>
        <v>2.7</v>
      </c>
      <c r="AD153" s="123">
        <f t="shared" si="45"/>
        <v>2.7</v>
      </c>
      <c r="AE153" s="123">
        <f t="shared" si="45"/>
        <v>2.7</v>
      </c>
      <c r="AF153" s="123">
        <f t="shared" si="45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4"/>
        <v>2.15</v>
      </c>
      <c r="E154" s="123">
        <f t="shared" si="44"/>
        <v>2.15</v>
      </c>
      <c r="F154" s="123">
        <f t="shared" si="44"/>
        <v>2.15</v>
      </c>
      <c r="G154" s="123">
        <f t="shared" si="44"/>
        <v>2.15</v>
      </c>
      <c r="H154" s="123">
        <f t="shared" si="44"/>
        <v>2.15</v>
      </c>
      <c r="I154" s="123">
        <f t="shared" si="44"/>
        <v>2.15</v>
      </c>
      <c r="J154" s="123">
        <f t="shared" si="44"/>
        <v>2.15</v>
      </c>
      <c r="K154" s="123">
        <f t="shared" si="44"/>
        <v>2.15</v>
      </c>
      <c r="L154" s="123">
        <f t="shared" si="44"/>
        <v>2.15</v>
      </c>
      <c r="M154" s="123">
        <f t="shared" si="44"/>
        <v>2.15</v>
      </c>
      <c r="N154" s="123">
        <f t="shared" si="44"/>
        <v>2.15</v>
      </c>
      <c r="O154" s="123">
        <f t="shared" si="44"/>
        <v>2.15</v>
      </c>
      <c r="P154" s="123">
        <f t="shared" si="44"/>
        <v>2.15</v>
      </c>
      <c r="Q154" s="123">
        <f t="shared" si="44"/>
        <v>2.15</v>
      </c>
      <c r="R154" s="123">
        <f t="shared" si="44"/>
        <v>2.15</v>
      </c>
      <c r="S154" s="123">
        <f t="shared" si="44"/>
        <v>2.15</v>
      </c>
      <c r="T154" s="123">
        <f t="shared" si="45"/>
        <v>2.15</v>
      </c>
      <c r="U154" s="123">
        <f t="shared" si="45"/>
        <v>2.15</v>
      </c>
      <c r="V154" s="123">
        <f t="shared" si="45"/>
        <v>2.15</v>
      </c>
      <c r="W154" s="123">
        <f t="shared" si="45"/>
        <v>2.15</v>
      </c>
      <c r="X154" s="123">
        <f t="shared" si="45"/>
        <v>2.15</v>
      </c>
      <c r="Y154" s="123">
        <f t="shared" si="45"/>
        <v>2.15</v>
      </c>
      <c r="Z154" s="123">
        <f t="shared" si="45"/>
        <v>2.15</v>
      </c>
      <c r="AA154" s="123">
        <f t="shared" si="45"/>
        <v>2.15</v>
      </c>
      <c r="AB154" s="123">
        <f t="shared" si="45"/>
        <v>2.15</v>
      </c>
      <c r="AC154" s="123">
        <f t="shared" si="45"/>
        <v>2.15</v>
      </c>
      <c r="AD154" s="123">
        <f t="shared" si="45"/>
        <v>2.15</v>
      </c>
      <c r="AE154" s="123">
        <f t="shared" si="45"/>
        <v>2.15</v>
      </c>
      <c r="AF154" s="123">
        <f t="shared" si="45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6">AF156</f>
        <v>0.9</v>
      </c>
      <c r="C156" s="124">
        <v>0.9</v>
      </c>
      <c r="D156" s="123">
        <f t="shared" ref="D156:S168" si="47">C156</f>
        <v>0.9</v>
      </c>
      <c r="E156" s="123">
        <f t="shared" si="47"/>
        <v>0.9</v>
      </c>
      <c r="F156" s="123">
        <f t="shared" si="47"/>
        <v>0.9</v>
      </c>
      <c r="G156" s="123">
        <f t="shared" si="47"/>
        <v>0.9</v>
      </c>
      <c r="H156" s="123">
        <f t="shared" si="47"/>
        <v>0.9</v>
      </c>
      <c r="I156" s="123">
        <f t="shared" si="47"/>
        <v>0.9</v>
      </c>
      <c r="J156" s="123">
        <f t="shared" si="47"/>
        <v>0.9</v>
      </c>
      <c r="K156" s="123">
        <f t="shared" si="47"/>
        <v>0.9</v>
      </c>
      <c r="L156" s="123">
        <f t="shared" si="47"/>
        <v>0.9</v>
      </c>
      <c r="M156" s="123">
        <f t="shared" si="47"/>
        <v>0.9</v>
      </c>
      <c r="N156" s="123">
        <f t="shared" si="47"/>
        <v>0.9</v>
      </c>
      <c r="O156" s="123">
        <f t="shared" si="47"/>
        <v>0.9</v>
      </c>
      <c r="P156" s="123">
        <f t="shared" si="47"/>
        <v>0.9</v>
      </c>
      <c r="Q156" s="123">
        <f t="shared" si="47"/>
        <v>0.9</v>
      </c>
      <c r="R156" s="123">
        <f t="shared" si="47"/>
        <v>0.9</v>
      </c>
      <c r="S156" s="123">
        <f t="shared" si="47"/>
        <v>0.9</v>
      </c>
      <c r="T156" s="123">
        <f t="shared" ref="S156:AF168" si="48">S156</f>
        <v>0.9</v>
      </c>
      <c r="U156" s="123">
        <f t="shared" si="48"/>
        <v>0.9</v>
      </c>
      <c r="V156" s="123">
        <f t="shared" si="48"/>
        <v>0.9</v>
      </c>
      <c r="W156" s="123">
        <f t="shared" si="48"/>
        <v>0.9</v>
      </c>
      <c r="X156" s="123">
        <f t="shared" si="48"/>
        <v>0.9</v>
      </c>
      <c r="Y156" s="123">
        <f t="shared" si="48"/>
        <v>0.9</v>
      </c>
      <c r="Z156" s="123">
        <f t="shared" si="48"/>
        <v>0.9</v>
      </c>
      <c r="AA156" s="123">
        <f t="shared" si="48"/>
        <v>0.9</v>
      </c>
      <c r="AB156" s="123">
        <f t="shared" si="48"/>
        <v>0.9</v>
      </c>
      <c r="AC156" s="123">
        <f t="shared" si="48"/>
        <v>0.9</v>
      </c>
      <c r="AD156" s="123">
        <f t="shared" si="48"/>
        <v>0.9</v>
      </c>
      <c r="AE156" s="123">
        <f t="shared" si="48"/>
        <v>0.9</v>
      </c>
      <c r="AF156" s="123">
        <f t="shared" si="48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6"/>
        <v>1.08</v>
      </c>
      <c r="C157" s="124">
        <v>1.08</v>
      </c>
      <c r="D157" s="123">
        <f t="shared" si="47"/>
        <v>1.08</v>
      </c>
      <c r="E157" s="123">
        <f t="shared" si="47"/>
        <v>1.08</v>
      </c>
      <c r="F157" s="123">
        <f t="shared" si="47"/>
        <v>1.08</v>
      </c>
      <c r="G157" s="123">
        <f t="shared" si="47"/>
        <v>1.08</v>
      </c>
      <c r="H157" s="123">
        <f t="shared" si="47"/>
        <v>1.08</v>
      </c>
      <c r="I157" s="123">
        <f t="shared" si="47"/>
        <v>1.08</v>
      </c>
      <c r="J157" s="123">
        <f t="shared" si="47"/>
        <v>1.08</v>
      </c>
      <c r="K157" s="123">
        <f t="shared" si="47"/>
        <v>1.08</v>
      </c>
      <c r="L157" s="123">
        <f t="shared" si="47"/>
        <v>1.08</v>
      </c>
      <c r="M157" s="123">
        <f t="shared" si="47"/>
        <v>1.08</v>
      </c>
      <c r="N157" s="123">
        <f t="shared" si="47"/>
        <v>1.08</v>
      </c>
      <c r="O157" s="123">
        <f t="shared" si="47"/>
        <v>1.08</v>
      </c>
      <c r="P157" s="123">
        <f t="shared" si="47"/>
        <v>1.08</v>
      </c>
      <c r="Q157" s="123">
        <f t="shared" si="47"/>
        <v>1.08</v>
      </c>
      <c r="R157" s="123">
        <f t="shared" si="47"/>
        <v>1.08</v>
      </c>
      <c r="S157" s="123">
        <f t="shared" si="47"/>
        <v>1.08</v>
      </c>
      <c r="T157" s="123">
        <f t="shared" si="48"/>
        <v>1.08</v>
      </c>
      <c r="U157" s="123">
        <f t="shared" si="48"/>
        <v>1.08</v>
      </c>
      <c r="V157" s="123">
        <f t="shared" si="48"/>
        <v>1.08</v>
      </c>
      <c r="W157" s="123">
        <f t="shared" si="48"/>
        <v>1.08</v>
      </c>
      <c r="X157" s="123">
        <f t="shared" si="48"/>
        <v>1.08</v>
      </c>
      <c r="Y157" s="123">
        <f t="shared" si="48"/>
        <v>1.08</v>
      </c>
      <c r="Z157" s="123">
        <f t="shared" si="48"/>
        <v>1.08</v>
      </c>
      <c r="AA157" s="123">
        <f t="shared" si="48"/>
        <v>1.08</v>
      </c>
      <c r="AB157" s="123">
        <f t="shared" si="48"/>
        <v>1.08</v>
      </c>
      <c r="AC157" s="123">
        <f t="shared" si="48"/>
        <v>1.08</v>
      </c>
      <c r="AD157" s="123">
        <f t="shared" si="48"/>
        <v>1.08</v>
      </c>
      <c r="AE157" s="123">
        <f t="shared" si="48"/>
        <v>1.08</v>
      </c>
      <c r="AF157" s="123">
        <f t="shared" si="48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6"/>
        <v>2.37</v>
      </c>
      <c r="C158" s="124">
        <v>2.37</v>
      </c>
      <c r="D158" s="123">
        <f t="shared" si="47"/>
        <v>2.37</v>
      </c>
      <c r="E158" s="123">
        <f t="shared" si="47"/>
        <v>2.37</v>
      </c>
      <c r="F158" s="123">
        <f t="shared" si="47"/>
        <v>2.37</v>
      </c>
      <c r="G158" s="123">
        <f t="shared" si="47"/>
        <v>2.37</v>
      </c>
      <c r="H158" s="123">
        <f t="shared" si="47"/>
        <v>2.37</v>
      </c>
      <c r="I158" s="123">
        <f t="shared" si="47"/>
        <v>2.37</v>
      </c>
      <c r="J158" s="123">
        <f t="shared" si="47"/>
        <v>2.37</v>
      </c>
      <c r="K158" s="123">
        <f t="shared" si="47"/>
        <v>2.37</v>
      </c>
      <c r="L158" s="123">
        <f t="shared" si="47"/>
        <v>2.37</v>
      </c>
      <c r="M158" s="123">
        <f t="shared" si="47"/>
        <v>2.37</v>
      </c>
      <c r="N158" s="123">
        <f t="shared" si="47"/>
        <v>2.37</v>
      </c>
      <c r="O158" s="123">
        <f t="shared" si="47"/>
        <v>2.37</v>
      </c>
      <c r="P158" s="123">
        <f t="shared" si="47"/>
        <v>2.37</v>
      </c>
      <c r="Q158" s="123">
        <f t="shared" si="47"/>
        <v>2.37</v>
      </c>
      <c r="R158" s="123">
        <f t="shared" si="47"/>
        <v>2.37</v>
      </c>
      <c r="S158" s="123">
        <f t="shared" si="47"/>
        <v>2.37</v>
      </c>
      <c r="T158" s="123">
        <f t="shared" si="48"/>
        <v>2.37</v>
      </c>
      <c r="U158" s="123">
        <f t="shared" si="48"/>
        <v>2.37</v>
      </c>
      <c r="V158" s="123">
        <f t="shared" si="48"/>
        <v>2.37</v>
      </c>
      <c r="W158" s="123">
        <f t="shared" si="48"/>
        <v>2.37</v>
      </c>
      <c r="X158" s="123">
        <f t="shared" si="48"/>
        <v>2.37</v>
      </c>
      <c r="Y158" s="123">
        <f t="shared" si="48"/>
        <v>2.37</v>
      </c>
      <c r="Z158" s="123">
        <f t="shared" si="48"/>
        <v>2.37</v>
      </c>
      <c r="AA158" s="123">
        <f t="shared" si="48"/>
        <v>2.37</v>
      </c>
      <c r="AB158" s="123">
        <f t="shared" si="48"/>
        <v>2.37</v>
      </c>
      <c r="AC158" s="123">
        <f t="shared" si="48"/>
        <v>2.37</v>
      </c>
      <c r="AD158" s="123">
        <f t="shared" si="48"/>
        <v>2.37</v>
      </c>
      <c r="AE158" s="123">
        <f t="shared" si="48"/>
        <v>2.37</v>
      </c>
      <c r="AF158" s="123">
        <f t="shared" si="48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6"/>
        <v>1.81</v>
      </c>
      <c r="C159" s="124">
        <v>1.81</v>
      </c>
      <c r="D159" s="123">
        <f t="shared" si="47"/>
        <v>1.81</v>
      </c>
      <c r="E159" s="123">
        <f t="shared" si="47"/>
        <v>1.81</v>
      </c>
      <c r="F159" s="123">
        <f t="shared" si="47"/>
        <v>1.81</v>
      </c>
      <c r="G159" s="123">
        <f t="shared" si="47"/>
        <v>1.81</v>
      </c>
      <c r="H159" s="123">
        <f t="shared" si="47"/>
        <v>1.81</v>
      </c>
      <c r="I159" s="123">
        <f t="shared" si="47"/>
        <v>1.81</v>
      </c>
      <c r="J159" s="123">
        <f t="shared" si="47"/>
        <v>1.81</v>
      </c>
      <c r="K159" s="123">
        <f t="shared" si="47"/>
        <v>1.81</v>
      </c>
      <c r="L159" s="123">
        <f t="shared" si="47"/>
        <v>1.81</v>
      </c>
      <c r="M159" s="123">
        <f t="shared" si="47"/>
        <v>1.81</v>
      </c>
      <c r="N159" s="123">
        <f t="shared" si="47"/>
        <v>1.81</v>
      </c>
      <c r="O159" s="123">
        <f t="shared" si="47"/>
        <v>1.81</v>
      </c>
      <c r="P159" s="123">
        <f t="shared" si="47"/>
        <v>1.81</v>
      </c>
      <c r="Q159" s="123">
        <f t="shared" si="47"/>
        <v>1.81</v>
      </c>
      <c r="R159" s="123">
        <f t="shared" si="47"/>
        <v>1.81</v>
      </c>
      <c r="S159" s="123">
        <f t="shared" si="47"/>
        <v>1.81</v>
      </c>
      <c r="T159" s="123">
        <f t="shared" si="48"/>
        <v>1.81</v>
      </c>
      <c r="U159" s="123">
        <f t="shared" si="48"/>
        <v>1.81</v>
      </c>
      <c r="V159" s="123">
        <f t="shared" si="48"/>
        <v>1.81</v>
      </c>
      <c r="W159" s="123">
        <f t="shared" si="48"/>
        <v>1.81</v>
      </c>
      <c r="X159" s="123">
        <f t="shared" si="48"/>
        <v>1.81</v>
      </c>
      <c r="Y159" s="123">
        <f t="shared" si="48"/>
        <v>1.81</v>
      </c>
      <c r="Z159" s="123">
        <f t="shared" si="48"/>
        <v>1.81</v>
      </c>
      <c r="AA159" s="123">
        <f t="shared" si="48"/>
        <v>1.81</v>
      </c>
      <c r="AB159" s="123">
        <f t="shared" si="48"/>
        <v>1.81</v>
      </c>
      <c r="AC159" s="123">
        <f t="shared" si="48"/>
        <v>1.81</v>
      </c>
      <c r="AD159" s="123">
        <f t="shared" si="48"/>
        <v>1.81</v>
      </c>
      <c r="AE159" s="123">
        <f t="shared" si="48"/>
        <v>1.81</v>
      </c>
      <c r="AF159" s="123">
        <f t="shared" si="48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6"/>
        <v>1.0900000000000001</v>
      </c>
      <c r="C160" s="124">
        <v>1.0900000000000001</v>
      </c>
      <c r="D160" s="123">
        <f t="shared" si="47"/>
        <v>1.0900000000000001</v>
      </c>
      <c r="E160" s="123">
        <f t="shared" si="47"/>
        <v>1.0900000000000001</v>
      </c>
      <c r="F160" s="123">
        <f t="shared" si="47"/>
        <v>1.0900000000000001</v>
      </c>
      <c r="G160" s="123">
        <f t="shared" si="47"/>
        <v>1.0900000000000001</v>
      </c>
      <c r="H160" s="123">
        <f t="shared" si="47"/>
        <v>1.0900000000000001</v>
      </c>
      <c r="I160" s="123">
        <f t="shared" si="47"/>
        <v>1.0900000000000001</v>
      </c>
      <c r="J160" s="123">
        <f t="shared" si="47"/>
        <v>1.0900000000000001</v>
      </c>
      <c r="K160" s="123">
        <f t="shared" si="47"/>
        <v>1.0900000000000001</v>
      </c>
      <c r="L160" s="123">
        <f t="shared" si="47"/>
        <v>1.0900000000000001</v>
      </c>
      <c r="M160" s="123">
        <f t="shared" si="47"/>
        <v>1.0900000000000001</v>
      </c>
      <c r="N160" s="123">
        <f t="shared" si="47"/>
        <v>1.0900000000000001</v>
      </c>
      <c r="O160" s="123">
        <f t="shared" si="47"/>
        <v>1.0900000000000001</v>
      </c>
      <c r="P160" s="123">
        <f t="shared" si="47"/>
        <v>1.0900000000000001</v>
      </c>
      <c r="Q160" s="123">
        <f t="shared" si="47"/>
        <v>1.0900000000000001</v>
      </c>
      <c r="R160" s="123">
        <f t="shared" si="47"/>
        <v>1.0900000000000001</v>
      </c>
      <c r="S160" s="123">
        <f t="shared" si="47"/>
        <v>1.0900000000000001</v>
      </c>
      <c r="T160" s="123">
        <f t="shared" si="48"/>
        <v>1.0900000000000001</v>
      </c>
      <c r="U160" s="123">
        <f t="shared" si="48"/>
        <v>1.0900000000000001</v>
      </c>
      <c r="V160" s="123">
        <f t="shared" si="48"/>
        <v>1.0900000000000001</v>
      </c>
      <c r="W160" s="123">
        <f t="shared" si="48"/>
        <v>1.0900000000000001</v>
      </c>
      <c r="X160" s="123">
        <f t="shared" si="48"/>
        <v>1.0900000000000001</v>
      </c>
      <c r="Y160" s="123">
        <f t="shared" si="48"/>
        <v>1.0900000000000001</v>
      </c>
      <c r="Z160" s="123">
        <f t="shared" si="48"/>
        <v>1.0900000000000001</v>
      </c>
      <c r="AA160" s="123">
        <f t="shared" si="48"/>
        <v>1.0900000000000001</v>
      </c>
      <c r="AB160" s="123">
        <f t="shared" si="48"/>
        <v>1.0900000000000001</v>
      </c>
      <c r="AC160" s="123">
        <f t="shared" si="48"/>
        <v>1.0900000000000001</v>
      </c>
      <c r="AD160" s="123">
        <f t="shared" si="48"/>
        <v>1.0900000000000001</v>
      </c>
      <c r="AE160" s="123">
        <f t="shared" si="48"/>
        <v>1.0900000000000001</v>
      </c>
      <c r="AF160" s="123">
        <f t="shared" si="48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6"/>
        <v>1.58</v>
      </c>
      <c r="C161" s="124">
        <v>1.58</v>
      </c>
      <c r="D161" s="123">
        <f t="shared" si="47"/>
        <v>1.58</v>
      </c>
      <c r="E161" s="123">
        <f t="shared" si="47"/>
        <v>1.58</v>
      </c>
      <c r="F161" s="123">
        <f t="shared" si="47"/>
        <v>1.58</v>
      </c>
      <c r="G161" s="123">
        <f t="shared" si="47"/>
        <v>1.58</v>
      </c>
      <c r="H161" s="123">
        <f t="shared" si="47"/>
        <v>1.58</v>
      </c>
      <c r="I161" s="123">
        <f t="shared" si="47"/>
        <v>1.58</v>
      </c>
      <c r="J161" s="123">
        <f t="shared" si="47"/>
        <v>1.58</v>
      </c>
      <c r="K161" s="123">
        <f t="shared" si="47"/>
        <v>1.58</v>
      </c>
      <c r="L161" s="123">
        <f t="shared" si="47"/>
        <v>1.58</v>
      </c>
      <c r="M161" s="123">
        <f t="shared" si="47"/>
        <v>1.58</v>
      </c>
      <c r="N161" s="123">
        <f t="shared" si="47"/>
        <v>1.58</v>
      </c>
      <c r="O161" s="123">
        <f t="shared" si="47"/>
        <v>1.58</v>
      </c>
      <c r="P161" s="123">
        <f t="shared" si="47"/>
        <v>1.58</v>
      </c>
      <c r="Q161" s="123">
        <f t="shared" si="47"/>
        <v>1.58</v>
      </c>
      <c r="R161" s="123">
        <f t="shared" si="47"/>
        <v>1.58</v>
      </c>
      <c r="S161" s="123">
        <f t="shared" si="47"/>
        <v>1.58</v>
      </c>
      <c r="T161" s="123">
        <f t="shared" si="48"/>
        <v>1.58</v>
      </c>
      <c r="U161" s="123">
        <f t="shared" si="48"/>
        <v>1.58</v>
      </c>
      <c r="V161" s="123">
        <f t="shared" si="48"/>
        <v>1.58</v>
      </c>
      <c r="W161" s="123">
        <f t="shared" si="48"/>
        <v>1.58</v>
      </c>
      <c r="X161" s="123">
        <f t="shared" si="48"/>
        <v>1.58</v>
      </c>
      <c r="Y161" s="123">
        <f t="shared" si="48"/>
        <v>1.58</v>
      </c>
      <c r="Z161" s="123">
        <f t="shared" si="48"/>
        <v>1.58</v>
      </c>
      <c r="AA161" s="123">
        <f t="shared" si="48"/>
        <v>1.58</v>
      </c>
      <c r="AB161" s="123">
        <f t="shared" si="48"/>
        <v>1.58</v>
      </c>
      <c r="AC161" s="123">
        <f t="shared" si="48"/>
        <v>1.58</v>
      </c>
      <c r="AD161" s="123">
        <f t="shared" si="48"/>
        <v>1.58</v>
      </c>
      <c r="AE161" s="123">
        <f t="shared" si="48"/>
        <v>1.58</v>
      </c>
      <c r="AF161" s="123">
        <f t="shared" si="48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6"/>
        <v>2</v>
      </c>
      <c r="C162" s="124">
        <v>2</v>
      </c>
      <c r="D162" s="123">
        <f t="shared" si="47"/>
        <v>2</v>
      </c>
      <c r="E162" s="123">
        <f t="shared" si="47"/>
        <v>2</v>
      </c>
      <c r="F162" s="123">
        <f t="shared" si="47"/>
        <v>2</v>
      </c>
      <c r="G162" s="123">
        <f t="shared" si="47"/>
        <v>2</v>
      </c>
      <c r="H162" s="123">
        <f t="shared" si="47"/>
        <v>2</v>
      </c>
      <c r="I162" s="123">
        <f t="shared" si="47"/>
        <v>2</v>
      </c>
      <c r="J162" s="123">
        <f t="shared" si="47"/>
        <v>2</v>
      </c>
      <c r="K162" s="123">
        <f t="shared" si="47"/>
        <v>2</v>
      </c>
      <c r="L162" s="123">
        <f t="shared" si="47"/>
        <v>2</v>
      </c>
      <c r="M162" s="123">
        <f t="shared" si="47"/>
        <v>2</v>
      </c>
      <c r="N162" s="123">
        <f t="shared" si="47"/>
        <v>2</v>
      </c>
      <c r="O162" s="123">
        <f t="shared" si="47"/>
        <v>2</v>
      </c>
      <c r="P162" s="123">
        <f t="shared" si="47"/>
        <v>2</v>
      </c>
      <c r="Q162" s="123">
        <f t="shared" si="47"/>
        <v>2</v>
      </c>
      <c r="R162" s="123">
        <f t="shared" si="47"/>
        <v>2</v>
      </c>
      <c r="S162" s="123">
        <f t="shared" si="47"/>
        <v>2</v>
      </c>
      <c r="T162" s="123">
        <f t="shared" si="48"/>
        <v>2</v>
      </c>
      <c r="U162" s="123">
        <f t="shared" si="48"/>
        <v>2</v>
      </c>
      <c r="V162" s="123">
        <f t="shared" si="48"/>
        <v>2</v>
      </c>
      <c r="W162" s="123">
        <f t="shared" si="48"/>
        <v>2</v>
      </c>
      <c r="X162" s="123">
        <f t="shared" si="48"/>
        <v>2</v>
      </c>
      <c r="Y162" s="123">
        <f t="shared" si="48"/>
        <v>2</v>
      </c>
      <c r="Z162" s="123">
        <f t="shared" si="48"/>
        <v>2</v>
      </c>
      <c r="AA162" s="123">
        <f t="shared" si="48"/>
        <v>2</v>
      </c>
      <c r="AB162" s="123">
        <f t="shared" si="48"/>
        <v>2</v>
      </c>
      <c r="AC162" s="123">
        <f t="shared" si="48"/>
        <v>2</v>
      </c>
      <c r="AD162" s="123">
        <f t="shared" si="48"/>
        <v>2</v>
      </c>
      <c r="AE162" s="123">
        <f t="shared" si="48"/>
        <v>2</v>
      </c>
      <c r="AF162" s="123">
        <f t="shared" si="48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6"/>
        <v>0.47</v>
      </c>
      <c r="C163" s="124">
        <v>0.47</v>
      </c>
      <c r="D163" s="123">
        <f t="shared" si="47"/>
        <v>0.47</v>
      </c>
      <c r="E163" s="123">
        <f t="shared" si="47"/>
        <v>0.47</v>
      </c>
      <c r="F163" s="123">
        <f t="shared" si="47"/>
        <v>0.47</v>
      </c>
      <c r="G163" s="123">
        <f t="shared" si="47"/>
        <v>0.47</v>
      </c>
      <c r="H163" s="123">
        <f t="shared" si="47"/>
        <v>0.47</v>
      </c>
      <c r="I163" s="123">
        <f t="shared" si="47"/>
        <v>0.47</v>
      </c>
      <c r="J163" s="123">
        <f t="shared" si="47"/>
        <v>0.47</v>
      </c>
      <c r="K163" s="123">
        <f t="shared" si="47"/>
        <v>0.47</v>
      </c>
      <c r="L163" s="123">
        <f t="shared" si="47"/>
        <v>0.47</v>
      </c>
      <c r="M163" s="123">
        <f t="shared" si="47"/>
        <v>0.47</v>
      </c>
      <c r="N163" s="123">
        <f t="shared" si="47"/>
        <v>0.47</v>
      </c>
      <c r="O163" s="123">
        <f t="shared" si="47"/>
        <v>0.47</v>
      </c>
      <c r="P163" s="123">
        <f t="shared" si="47"/>
        <v>0.47</v>
      </c>
      <c r="Q163" s="123">
        <f t="shared" si="47"/>
        <v>0.47</v>
      </c>
      <c r="R163" s="123">
        <f t="shared" si="47"/>
        <v>0.47</v>
      </c>
      <c r="S163" s="123">
        <f t="shared" si="47"/>
        <v>0.47</v>
      </c>
      <c r="T163" s="123">
        <f t="shared" si="48"/>
        <v>0.47</v>
      </c>
      <c r="U163" s="123">
        <f t="shared" si="48"/>
        <v>0.47</v>
      </c>
      <c r="V163" s="123">
        <f t="shared" si="48"/>
        <v>0.47</v>
      </c>
      <c r="W163" s="123">
        <f t="shared" si="48"/>
        <v>0.47</v>
      </c>
      <c r="X163" s="123">
        <f t="shared" si="48"/>
        <v>0.47</v>
      </c>
      <c r="Y163" s="123">
        <f t="shared" si="48"/>
        <v>0.47</v>
      </c>
      <c r="Z163" s="123">
        <f t="shared" si="48"/>
        <v>0.47</v>
      </c>
      <c r="AA163" s="123">
        <f t="shared" si="48"/>
        <v>0.47</v>
      </c>
      <c r="AB163" s="123">
        <f t="shared" si="48"/>
        <v>0.47</v>
      </c>
      <c r="AC163" s="123">
        <f t="shared" si="48"/>
        <v>0.47</v>
      </c>
      <c r="AD163" s="123">
        <f t="shared" si="48"/>
        <v>0.47</v>
      </c>
      <c r="AE163" s="123">
        <f t="shared" si="48"/>
        <v>0.47</v>
      </c>
      <c r="AF163" s="123">
        <f t="shared" si="48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6"/>
        <v>0</v>
      </c>
      <c r="C164" s="124">
        <v>0</v>
      </c>
      <c r="D164" s="123">
        <f t="shared" si="47"/>
        <v>0</v>
      </c>
      <c r="E164" s="123">
        <f t="shared" si="47"/>
        <v>0</v>
      </c>
      <c r="F164" s="123">
        <f t="shared" si="47"/>
        <v>0</v>
      </c>
      <c r="G164" s="123">
        <f t="shared" si="47"/>
        <v>0</v>
      </c>
      <c r="H164" s="123">
        <f t="shared" si="47"/>
        <v>0</v>
      </c>
      <c r="I164" s="123">
        <f t="shared" si="47"/>
        <v>0</v>
      </c>
      <c r="J164" s="123">
        <f t="shared" si="47"/>
        <v>0</v>
      </c>
      <c r="K164" s="123">
        <f t="shared" si="47"/>
        <v>0</v>
      </c>
      <c r="L164" s="123">
        <f t="shared" si="47"/>
        <v>0</v>
      </c>
      <c r="M164" s="123">
        <f t="shared" si="47"/>
        <v>0</v>
      </c>
      <c r="N164" s="123">
        <f t="shared" si="47"/>
        <v>0</v>
      </c>
      <c r="O164" s="123">
        <f t="shared" si="47"/>
        <v>0</v>
      </c>
      <c r="P164" s="123">
        <f t="shared" si="47"/>
        <v>0</v>
      </c>
      <c r="Q164" s="123">
        <f t="shared" si="47"/>
        <v>0</v>
      </c>
      <c r="R164" s="123">
        <f t="shared" si="47"/>
        <v>0</v>
      </c>
      <c r="S164" s="123">
        <f t="shared" si="47"/>
        <v>0</v>
      </c>
      <c r="T164" s="123">
        <f t="shared" si="48"/>
        <v>0</v>
      </c>
      <c r="U164" s="123">
        <f t="shared" si="48"/>
        <v>0</v>
      </c>
      <c r="V164" s="123">
        <f t="shared" si="48"/>
        <v>0</v>
      </c>
      <c r="W164" s="123">
        <f t="shared" si="48"/>
        <v>0</v>
      </c>
      <c r="X164" s="123">
        <f t="shared" si="48"/>
        <v>0</v>
      </c>
      <c r="Y164" s="123">
        <f t="shared" si="48"/>
        <v>0</v>
      </c>
      <c r="Z164" s="123">
        <f t="shared" si="48"/>
        <v>0</v>
      </c>
      <c r="AA164" s="123">
        <f t="shared" si="48"/>
        <v>0</v>
      </c>
      <c r="AB164" s="123">
        <f t="shared" si="48"/>
        <v>0</v>
      </c>
      <c r="AC164" s="123">
        <f t="shared" si="48"/>
        <v>0</v>
      </c>
      <c r="AD164" s="123">
        <f t="shared" si="48"/>
        <v>0</v>
      </c>
      <c r="AE164" s="123">
        <f t="shared" si="48"/>
        <v>0</v>
      </c>
      <c r="AF164" s="123">
        <f t="shared" si="48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8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6"/>
        <v>0.8</v>
      </c>
      <c r="C166" s="124">
        <v>0.8</v>
      </c>
      <c r="D166" s="123">
        <f t="shared" si="47"/>
        <v>0.8</v>
      </c>
      <c r="E166" s="123">
        <f t="shared" si="47"/>
        <v>0.8</v>
      </c>
      <c r="F166" s="123">
        <f t="shared" si="47"/>
        <v>0.8</v>
      </c>
      <c r="G166" s="123">
        <f t="shared" si="47"/>
        <v>0.8</v>
      </c>
      <c r="H166" s="123">
        <f t="shared" si="47"/>
        <v>0.8</v>
      </c>
      <c r="I166" s="123">
        <f t="shared" si="47"/>
        <v>0.8</v>
      </c>
      <c r="J166" s="123">
        <f t="shared" si="47"/>
        <v>0.8</v>
      </c>
      <c r="K166" s="123">
        <f t="shared" si="47"/>
        <v>0.8</v>
      </c>
      <c r="L166" s="123">
        <f t="shared" si="47"/>
        <v>0.8</v>
      </c>
      <c r="M166" s="123">
        <f t="shared" si="47"/>
        <v>0.8</v>
      </c>
      <c r="N166" s="123">
        <f t="shared" si="47"/>
        <v>0.8</v>
      </c>
      <c r="O166" s="123">
        <f t="shared" si="47"/>
        <v>0.8</v>
      </c>
      <c r="P166" s="123">
        <f t="shared" si="47"/>
        <v>0.8</v>
      </c>
      <c r="Q166" s="123">
        <f t="shared" si="47"/>
        <v>0.8</v>
      </c>
      <c r="R166" s="123">
        <f t="shared" si="47"/>
        <v>0.8</v>
      </c>
      <c r="S166" s="123">
        <f t="shared" si="48"/>
        <v>0.8</v>
      </c>
      <c r="T166" s="123">
        <f t="shared" si="48"/>
        <v>0.8</v>
      </c>
      <c r="U166" s="123">
        <f t="shared" si="48"/>
        <v>0.8</v>
      </c>
      <c r="V166" s="123">
        <f t="shared" si="48"/>
        <v>0.8</v>
      </c>
      <c r="W166" s="123">
        <f t="shared" si="48"/>
        <v>0.8</v>
      </c>
      <c r="X166" s="123">
        <f t="shared" si="48"/>
        <v>0.8</v>
      </c>
      <c r="Y166" s="123">
        <f t="shared" si="48"/>
        <v>0.8</v>
      </c>
      <c r="Z166" s="123">
        <f t="shared" si="48"/>
        <v>0.8</v>
      </c>
      <c r="AA166" s="123">
        <f t="shared" si="48"/>
        <v>0.8</v>
      </c>
      <c r="AB166" s="123">
        <f t="shared" si="48"/>
        <v>0.8</v>
      </c>
      <c r="AC166" s="123">
        <f t="shared" si="48"/>
        <v>0.8</v>
      </c>
      <c r="AD166" s="123">
        <f t="shared" si="48"/>
        <v>0.8</v>
      </c>
      <c r="AE166" s="123">
        <f t="shared" si="48"/>
        <v>0.8</v>
      </c>
      <c r="AF166" s="123">
        <f t="shared" si="48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6"/>
        <v>1.5</v>
      </c>
      <c r="C167" s="124">
        <v>1.5</v>
      </c>
      <c r="D167" s="123">
        <f t="shared" si="47"/>
        <v>1.5</v>
      </c>
      <c r="E167" s="123">
        <f t="shared" si="47"/>
        <v>1.5</v>
      </c>
      <c r="F167" s="123">
        <f t="shared" si="47"/>
        <v>1.5</v>
      </c>
      <c r="G167" s="123">
        <f t="shared" si="47"/>
        <v>1.5</v>
      </c>
      <c r="H167" s="123">
        <f t="shared" si="47"/>
        <v>1.5</v>
      </c>
      <c r="I167" s="123">
        <f t="shared" si="47"/>
        <v>1.5</v>
      </c>
      <c r="J167" s="123">
        <f t="shared" si="47"/>
        <v>1.5</v>
      </c>
      <c r="K167" s="123">
        <f t="shared" si="47"/>
        <v>1.5</v>
      </c>
      <c r="L167" s="123">
        <f t="shared" si="47"/>
        <v>1.5</v>
      </c>
      <c r="M167" s="123">
        <f t="shared" si="47"/>
        <v>1.5</v>
      </c>
      <c r="N167" s="123">
        <f t="shared" si="47"/>
        <v>1.5</v>
      </c>
      <c r="O167" s="123">
        <f t="shared" si="47"/>
        <v>1.5</v>
      </c>
      <c r="P167" s="123">
        <f t="shared" si="47"/>
        <v>1.5</v>
      </c>
      <c r="Q167" s="123">
        <f t="shared" si="47"/>
        <v>1.5</v>
      </c>
      <c r="R167" s="123">
        <f t="shared" si="47"/>
        <v>1.5</v>
      </c>
      <c r="S167" s="123">
        <f t="shared" si="48"/>
        <v>1.5</v>
      </c>
      <c r="T167" s="123">
        <f t="shared" si="48"/>
        <v>1.5</v>
      </c>
      <c r="U167" s="123">
        <f t="shared" si="48"/>
        <v>1.5</v>
      </c>
      <c r="V167" s="123">
        <f t="shared" si="48"/>
        <v>1.5</v>
      </c>
      <c r="W167" s="123">
        <f t="shared" si="48"/>
        <v>1.5</v>
      </c>
      <c r="X167" s="123">
        <f t="shared" si="48"/>
        <v>1.5</v>
      </c>
      <c r="Y167" s="123">
        <f t="shared" si="48"/>
        <v>1.5</v>
      </c>
      <c r="Z167" s="123">
        <f t="shared" si="48"/>
        <v>1.5</v>
      </c>
      <c r="AA167" s="123">
        <f t="shared" si="48"/>
        <v>1.5</v>
      </c>
      <c r="AB167" s="123">
        <f t="shared" si="48"/>
        <v>1.5</v>
      </c>
      <c r="AC167" s="123">
        <f t="shared" si="48"/>
        <v>1.5</v>
      </c>
      <c r="AD167" s="123">
        <f t="shared" si="48"/>
        <v>1.5</v>
      </c>
      <c r="AE167" s="123">
        <f t="shared" si="48"/>
        <v>1.5</v>
      </c>
      <c r="AF167" s="123">
        <f t="shared" si="48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6"/>
        <v>1</v>
      </c>
      <c r="C168" s="124">
        <v>1</v>
      </c>
      <c r="D168" s="123">
        <f t="shared" si="47"/>
        <v>1</v>
      </c>
      <c r="E168" s="123">
        <f t="shared" si="47"/>
        <v>1</v>
      </c>
      <c r="F168" s="123">
        <f t="shared" si="47"/>
        <v>1</v>
      </c>
      <c r="G168" s="123">
        <f t="shared" si="47"/>
        <v>1</v>
      </c>
      <c r="H168" s="123">
        <f t="shared" si="47"/>
        <v>1</v>
      </c>
      <c r="I168" s="123">
        <f t="shared" si="47"/>
        <v>1</v>
      </c>
      <c r="J168" s="123">
        <f t="shared" si="47"/>
        <v>1</v>
      </c>
      <c r="K168" s="123">
        <f t="shared" si="47"/>
        <v>1</v>
      </c>
      <c r="L168" s="123">
        <f t="shared" si="47"/>
        <v>1</v>
      </c>
      <c r="M168" s="123">
        <f t="shared" si="47"/>
        <v>1</v>
      </c>
      <c r="N168" s="123">
        <f t="shared" si="47"/>
        <v>1</v>
      </c>
      <c r="O168" s="123">
        <f t="shared" si="47"/>
        <v>1</v>
      </c>
      <c r="P168" s="123">
        <f t="shared" si="47"/>
        <v>1</v>
      </c>
      <c r="Q168" s="123">
        <f t="shared" si="47"/>
        <v>1</v>
      </c>
      <c r="R168" s="123">
        <f t="shared" si="47"/>
        <v>1</v>
      </c>
      <c r="S168" s="123">
        <f t="shared" si="48"/>
        <v>1</v>
      </c>
      <c r="T168" s="123">
        <f t="shared" si="48"/>
        <v>1</v>
      </c>
      <c r="U168" s="123">
        <f t="shared" si="48"/>
        <v>1</v>
      </c>
      <c r="V168" s="123">
        <f t="shared" si="48"/>
        <v>1</v>
      </c>
      <c r="W168" s="123">
        <f t="shared" si="48"/>
        <v>1</v>
      </c>
      <c r="X168" s="123">
        <f t="shared" si="48"/>
        <v>1</v>
      </c>
      <c r="Y168" s="123">
        <f t="shared" si="48"/>
        <v>1</v>
      </c>
      <c r="Z168" s="123">
        <f t="shared" si="48"/>
        <v>1</v>
      </c>
      <c r="AA168" s="123">
        <f t="shared" si="48"/>
        <v>1</v>
      </c>
      <c r="AB168" s="123">
        <f t="shared" si="48"/>
        <v>1</v>
      </c>
      <c r="AC168" s="123">
        <f t="shared" si="48"/>
        <v>1</v>
      </c>
      <c r="AD168" s="123">
        <f t="shared" si="48"/>
        <v>1</v>
      </c>
      <c r="AE168" s="123">
        <f t="shared" si="48"/>
        <v>1</v>
      </c>
      <c r="AF168" s="123">
        <f t="shared" si="48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49">AF170</f>
        <v>1</v>
      </c>
      <c r="C170" s="124">
        <v>1</v>
      </c>
      <c r="D170" s="123">
        <f t="shared" ref="D170:S177" si="50">C170</f>
        <v>1</v>
      </c>
      <c r="E170" s="123">
        <f t="shared" si="50"/>
        <v>1</v>
      </c>
      <c r="F170" s="123">
        <f t="shared" si="50"/>
        <v>1</v>
      </c>
      <c r="G170" s="123">
        <f t="shared" si="50"/>
        <v>1</v>
      </c>
      <c r="H170" s="123">
        <f t="shared" si="50"/>
        <v>1</v>
      </c>
      <c r="I170" s="123">
        <f t="shared" si="50"/>
        <v>1</v>
      </c>
      <c r="J170" s="123">
        <f t="shared" si="50"/>
        <v>1</v>
      </c>
      <c r="K170" s="123">
        <f t="shared" si="50"/>
        <v>1</v>
      </c>
      <c r="L170" s="123">
        <f t="shared" si="50"/>
        <v>1</v>
      </c>
      <c r="M170" s="123">
        <f t="shared" si="50"/>
        <v>1</v>
      </c>
      <c r="N170" s="123">
        <f t="shared" si="50"/>
        <v>1</v>
      </c>
      <c r="O170" s="123">
        <f t="shared" si="50"/>
        <v>1</v>
      </c>
      <c r="P170" s="123">
        <f t="shared" si="50"/>
        <v>1</v>
      </c>
      <c r="Q170" s="123">
        <f t="shared" si="50"/>
        <v>1</v>
      </c>
      <c r="R170" s="123">
        <f t="shared" si="50"/>
        <v>1</v>
      </c>
      <c r="S170" s="123">
        <f t="shared" si="50"/>
        <v>1</v>
      </c>
      <c r="T170" s="123">
        <f t="shared" ref="S170:AF177" si="51">S170</f>
        <v>1</v>
      </c>
      <c r="U170" s="123">
        <f t="shared" si="51"/>
        <v>1</v>
      </c>
      <c r="V170" s="123">
        <f t="shared" si="51"/>
        <v>1</v>
      </c>
      <c r="W170" s="123">
        <f t="shared" si="51"/>
        <v>1</v>
      </c>
      <c r="X170" s="123">
        <f t="shared" si="51"/>
        <v>1</v>
      </c>
      <c r="Y170" s="123">
        <f t="shared" si="51"/>
        <v>1</v>
      </c>
      <c r="Z170" s="123">
        <f t="shared" si="51"/>
        <v>1</v>
      </c>
      <c r="AA170" s="123">
        <f t="shared" si="51"/>
        <v>1</v>
      </c>
      <c r="AB170" s="123">
        <f t="shared" si="51"/>
        <v>1</v>
      </c>
      <c r="AC170" s="123">
        <f t="shared" si="51"/>
        <v>1</v>
      </c>
      <c r="AD170" s="123">
        <f t="shared" si="51"/>
        <v>1</v>
      </c>
      <c r="AE170" s="123">
        <f t="shared" si="51"/>
        <v>1</v>
      </c>
      <c r="AF170" s="123">
        <f t="shared" si="51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49"/>
        <v>0.42</v>
      </c>
      <c r="C171" s="124">
        <v>0.42</v>
      </c>
      <c r="D171" s="123">
        <f t="shared" si="50"/>
        <v>0.42</v>
      </c>
      <c r="E171" s="123">
        <f t="shared" si="50"/>
        <v>0.42</v>
      </c>
      <c r="F171" s="123">
        <f t="shared" si="50"/>
        <v>0.42</v>
      </c>
      <c r="G171" s="123">
        <f t="shared" si="50"/>
        <v>0.42</v>
      </c>
      <c r="H171" s="123">
        <f t="shared" si="50"/>
        <v>0.42</v>
      </c>
      <c r="I171" s="123">
        <f t="shared" si="50"/>
        <v>0.42</v>
      </c>
      <c r="J171" s="123">
        <f t="shared" si="50"/>
        <v>0.42</v>
      </c>
      <c r="K171" s="123">
        <f t="shared" si="50"/>
        <v>0.42</v>
      </c>
      <c r="L171" s="123">
        <f t="shared" si="50"/>
        <v>0.42</v>
      </c>
      <c r="M171" s="123">
        <f t="shared" si="50"/>
        <v>0.42</v>
      </c>
      <c r="N171" s="123">
        <f t="shared" si="50"/>
        <v>0.42</v>
      </c>
      <c r="O171" s="123">
        <f t="shared" si="50"/>
        <v>0.42</v>
      </c>
      <c r="P171" s="123">
        <f t="shared" si="50"/>
        <v>0.42</v>
      </c>
      <c r="Q171" s="123">
        <f t="shared" si="50"/>
        <v>0.42</v>
      </c>
      <c r="R171" s="123">
        <f t="shared" si="50"/>
        <v>0.42</v>
      </c>
      <c r="S171" s="123">
        <f t="shared" si="51"/>
        <v>0.42</v>
      </c>
      <c r="T171" s="123">
        <f t="shared" si="51"/>
        <v>0.42</v>
      </c>
      <c r="U171" s="123">
        <f t="shared" si="51"/>
        <v>0.42</v>
      </c>
      <c r="V171" s="123">
        <f t="shared" si="51"/>
        <v>0.42</v>
      </c>
      <c r="W171" s="123">
        <f t="shared" si="51"/>
        <v>0.42</v>
      </c>
      <c r="X171" s="123">
        <f t="shared" si="51"/>
        <v>0.42</v>
      </c>
      <c r="Y171" s="123">
        <f t="shared" si="51"/>
        <v>0.42</v>
      </c>
      <c r="Z171" s="123">
        <f t="shared" si="51"/>
        <v>0.42</v>
      </c>
      <c r="AA171" s="123">
        <f t="shared" si="51"/>
        <v>0.42</v>
      </c>
      <c r="AB171" s="123">
        <f t="shared" si="51"/>
        <v>0.42</v>
      </c>
      <c r="AC171" s="123">
        <f t="shared" si="51"/>
        <v>0.42</v>
      </c>
      <c r="AD171" s="123">
        <f t="shared" si="51"/>
        <v>0.42</v>
      </c>
      <c r="AE171" s="123">
        <f t="shared" si="51"/>
        <v>0.42</v>
      </c>
      <c r="AF171" s="123">
        <f t="shared" si="51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49"/>
        <v>0.46</v>
      </c>
      <c r="C172" s="124">
        <v>0.46</v>
      </c>
      <c r="D172" s="123">
        <f t="shared" si="50"/>
        <v>0.46</v>
      </c>
      <c r="E172" s="123">
        <f t="shared" si="50"/>
        <v>0.46</v>
      </c>
      <c r="F172" s="123">
        <f t="shared" si="50"/>
        <v>0.46</v>
      </c>
      <c r="G172" s="123">
        <f t="shared" si="50"/>
        <v>0.46</v>
      </c>
      <c r="H172" s="123">
        <f t="shared" si="50"/>
        <v>0.46</v>
      </c>
      <c r="I172" s="123">
        <f t="shared" si="50"/>
        <v>0.46</v>
      </c>
      <c r="J172" s="123">
        <f t="shared" si="50"/>
        <v>0.46</v>
      </c>
      <c r="K172" s="123">
        <f t="shared" si="50"/>
        <v>0.46</v>
      </c>
      <c r="L172" s="123">
        <f t="shared" si="50"/>
        <v>0.46</v>
      </c>
      <c r="M172" s="123">
        <f t="shared" si="50"/>
        <v>0.46</v>
      </c>
      <c r="N172" s="123">
        <f t="shared" si="50"/>
        <v>0.46</v>
      </c>
      <c r="O172" s="123">
        <f t="shared" si="50"/>
        <v>0.46</v>
      </c>
      <c r="P172" s="123">
        <f t="shared" si="50"/>
        <v>0.46</v>
      </c>
      <c r="Q172" s="123">
        <f t="shared" si="50"/>
        <v>0.46</v>
      </c>
      <c r="R172" s="123">
        <f t="shared" si="50"/>
        <v>0.46</v>
      </c>
      <c r="S172" s="123">
        <f t="shared" si="51"/>
        <v>0.46</v>
      </c>
      <c r="T172" s="123">
        <f t="shared" si="51"/>
        <v>0.46</v>
      </c>
      <c r="U172" s="123">
        <f t="shared" si="51"/>
        <v>0.46</v>
      </c>
      <c r="V172" s="123">
        <f t="shared" si="51"/>
        <v>0.46</v>
      </c>
      <c r="W172" s="123">
        <f t="shared" si="51"/>
        <v>0.46</v>
      </c>
      <c r="X172" s="123">
        <f t="shared" si="51"/>
        <v>0.46</v>
      </c>
      <c r="Y172" s="123">
        <f t="shared" si="51"/>
        <v>0.46</v>
      </c>
      <c r="Z172" s="123">
        <f t="shared" si="51"/>
        <v>0.46</v>
      </c>
      <c r="AA172" s="123">
        <f t="shared" si="51"/>
        <v>0.46</v>
      </c>
      <c r="AB172" s="123">
        <f t="shared" si="51"/>
        <v>0.46</v>
      </c>
      <c r="AC172" s="123">
        <f t="shared" si="51"/>
        <v>0.46</v>
      </c>
      <c r="AD172" s="123">
        <f t="shared" si="51"/>
        <v>0.46</v>
      </c>
      <c r="AE172" s="123">
        <f t="shared" si="51"/>
        <v>0.46</v>
      </c>
      <c r="AF172" s="123">
        <f t="shared" si="51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49"/>
        <v>0.85</v>
      </c>
      <c r="C173" s="124">
        <v>0.85</v>
      </c>
      <c r="D173" s="123">
        <f t="shared" si="50"/>
        <v>0.85</v>
      </c>
      <c r="E173" s="123">
        <f t="shared" si="50"/>
        <v>0.85</v>
      </c>
      <c r="F173" s="123">
        <f t="shared" si="50"/>
        <v>0.85</v>
      </c>
      <c r="G173" s="123">
        <f t="shared" si="50"/>
        <v>0.85</v>
      </c>
      <c r="H173" s="123">
        <f t="shared" si="50"/>
        <v>0.85</v>
      </c>
      <c r="I173" s="123">
        <f t="shared" si="50"/>
        <v>0.85</v>
      </c>
      <c r="J173" s="123">
        <f t="shared" si="50"/>
        <v>0.85</v>
      </c>
      <c r="K173" s="123">
        <f t="shared" si="50"/>
        <v>0.85</v>
      </c>
      <c r="L173" s="123">
        <f t="shared" si="50"/>
        <v>0.85</v>
      </c>
      <c r="M173" s="123">
        <f t="shared" si="50"/>
        <v>0.85</v>
      </c>
      <c r="N173" s="123">
        <f t="shared" si="50"/>
        <v>0.85</v>
      </c>
      <c r="O173" s="123">
        <f t="shared" si="50"/>
        <v>0.85</v>
      </c>
      <c r="P173" s="123">
        <f t="shared" si="50"/>
        <v>0.85</v>
      </c>
      <c r="Q173" s="123">
        <f t="shared" si="50"/>
        <v>0.85</v>
      </c>
      <c r="R173" s="123">
        <f t="shared" si="50"/>
        <v>0.85</v>
      </c>
      <c r="S173" s="123">
        <f t="shared" si="51"/>
        <v>0.85</v>
      </c>
      <c r="T173" s="123">
        <f t="shared" si="51"/>
        <v>0.85</v>
      </c>
      <c r="U173" s="123">
        <f t="shared" si="51"/>
        <v>0.85</v>
      </c>
      <c r="V173" s="123">
        <f t="shared" si="51"/>
        <v>0.85</v>
      </c>
      <c r="W173" s="123">
        <f t="shared" si="51"/>
        <v>0.85</v>
      </c>
      <c r="X173" s="123">
        <f t="shared" si="51"/>
        <v>0.85</v>
      </c>
      <c r="Y173" s="123">
        <f t="shared" si="51"/>
        <v>0.85</v>
      </c>
      <c r="Z173" s="123">
        <f t="shared" si="51"/>
        <v>0.85</v>
      </c>
      <c r="AA173" s="123">
        <f t="shared" si="51"/>
        <v>0.85</v>
      </c>
      <c r="AB173" s="123">
        <f t="shared" si="51"/>
        <v>0.85</v>
      </c>
      <c r="AC173" s="123">
        <f t="shared" si="51"/>
        <v>0.85</v>
      </c>
      <c r="AD173" s="123">
        <f t="shared" si="51"/>
        <v>0.85</v>
      </c>
      <c r="AE173" s="123">
        <f t="shared" si="51"/>
        <v>0.85</v>
      </c>
      <c r="AF173" s="123">
        <f t="shared" si="51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49"/>
        <v>0.9</v>
      </c>
      <c r="C174" s="124">
        <v>0.9</v>
      </c>
      <c r="D174" s="123">
        <f t="shared" si="50"/>
        <v>0.9</v>
      </c>
      <c r="E174" s="123">
        <f t="shared" si="50"/>
        <v>0.9</v>
      </c>
      <c r="F174" s="123">
        <f t="shared" si="50"/>
        <v>0.9</v>
      </c>
      <c r="G174" s="123">
        <f t="shared" si="50"/>
        <v>0.9</v>
      </c>
      <c r="H174" s="123">
        <f t="shared" si="50"/>
        <v>0.9</v>
      </c>
      <c r="I174" s="123">
        <f t="shared" si="50"/>
        <v>0.9</v>
      </c>
      <c r="J174" s="123">
        <f t="shared" si="50"/>
        <v>0.9</v>
      </c>
      <c r="K174" s="123">
        <f t="shared" si="50"/>
        <v>0.9</v>
      </c>
      <c r="L174" s="123">
        <f t="shared" si="50"/>
        <v>0.9</v>
      </c>
      <c r="M174" s="123">
        <f t="shared" si="50"/>
        <v>0.9</v>
      </c>
      <c r="N174" s="123">
        <f t="shared" si="50"/>
        <v>0.9</v>
      </c>
      <c r="O174" s="123">
        <f t="shared" si="50"/>
        <v>0.9</v>
      </c>
      <c r="P174" s="123">
        <f t="shared" si="50"/>
        <v>0.9</v>
      </c>
      <c r="Q174" s="123">
        <f t="shared" si="50"/>
        <v>0.9</v>
      </c>
      <c r="R174" s="123">
        <f t="shared" si="50"/>
        <v>0.9</v>
      </c>
      <c r="S174" s="123">
        <f t="shared" si="51"/>
        <v>0.9</v>
      </c>
      <c r="T174" s="123">
        <f t="shared" si="51"/>
        <v>0.9</v>
      </c>
      <c r="U174" s="123">
        <f t="shared" si="51"/>
        <v>0.9</v>
      </c>
      <c r="V174" s="123">
        <f t="shared" si="51"/>
        <v>0.9</v>
      </c>
      <c r="W174" s="123">
        <f t="shared" si="51"/>
        <v>0.9</v>
      </c>
      <c r="X174" s="123">
        <f t="shared" si="51"/>
        <v>0.9</v>
      </c>
      <c r="Y174" s="123">
        <f t="shared" si="51"/>
        <v>0.9</v>
      </c>
      <c r="Z174" s="123">
        <f t="shared" si="51"/>
        <v>0.9</v>
      </c>
      <c r="AA174" s="123">
        <f t="shared" si="51"/>
        <v>0.9</v>
      </c>
      <c r="AB174" s="123">
        <f t="shared" si="51"/>
        <v>0.9</v>
      </c>
      <c r="AC174" s="123">
        <f t="shared" si="51"/>
        <v>0.9</v>
      </c>
      <c r="AD174" s="123">
        <f t="shared" si="51"/>
        <v>0.9</v>
      </c>
      <c r="AE174" s="123">
        <f t="shared" si="51"/>
        <v>0.9</v>
      </c>
      <c r="AF174" s="123">
        <f t="shared" si="51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49"/>
        <v>0.44</v>
      </c>
      <c r="C175" s="124">
        <v>0.44</v>
      </c>
      <c r="D175" s="123">
        <f t="shared" si="50"/>
        <v>0.44</v>
      </c>
      <c r="E175" s="123">
        <f t="shared" si="50"/>
        <v>0.44</v>
      </c>
      <c r="F175" s="123">
        <f t="shared" si="50"/>
        <v>0.44</v>
      </c>
      <c r="G175" s="123">
        <f t="shared" si="50"/>
        <v>0.44</v>
      </c>
      <c r="H175" s="123">
        <f t="shared" si="50"/>
        <v>0.44</v>
      </c>
      <c r="I175" s="123">
        <f t="shared" si="50"/>
        <v>0.44</v>
      </c>
      <c r="J175" s="123">
        <f t="shared" si="50"/>
        <v>0.44</v>
      </c>
      <c r="K175" s="123">
        <f t="shared" si="50"/>
        <v>0.44</v>
      </c>
      <c r="L175" s="123">
        <f t="shared" si="50"/>
        <v>0.44</v>
      </c>
      <c r="M175" s="123">
        <f t="shared" si="50"/>
        <v>0.44</v>
      </c>
      <c r="N175" s="123">
        <f t="shared" si="50"/>
        <v>0.44</v>
      </c>
      <c r="O175" s="123">
        <f t="shared" si="50"/>
        <v>0.44</v>
      </c>
      <c r="P175" s="123">
        <f t="shared" si="50"/>
        <v>0.44</v>
      </c>
      <c r="Q175" s="123">
        <f t="shared" si="50"/>
        <v>0.44</v>
      </c>
      <c r="R175" s="123">
        <f t="shared" si="50"/>
        <v>0.44</v>
      </c>
      <c r="S175" s="123">
        <f t="shared" si="51"/>
        <v>0.44</v>
      </c>
      <c r="T175" s="123">
        <f t="shared" si="51"/>
        <v>0.44</v>
      </c>
      <c r="U175" s="123">
        <f t="shared" si="51"/>
        <v>0.44</v>
      </c>
      <c r="V175" s="123">
        <f t="shared" si="51"/>
        <v>0.44</v>
      </c>
      <c r="W175" s="123">
        <f t="shared" si="51"/>
        <v>0.44</v>
      </c>
      <c r="X175" s="123">
        <f t="shared" si="51"/>
        <v>0.44</v>
      </c>
      <c r="Y175" s="123">
        <f t="shared" si="51"/>
        <v>0.44</v>
      </c>
      <c r="Z175" s="123">
        <f t="shared" si="51"/>
        <v>0.44</v>
      </c>
      <c r="AA175" s="123">
        <f t="shared" si="51"/>
        <v>0.44</v>
      </c>
      <c r="AB175" s="123">
        <f t="shared" si="51"/>
        <v>0.44</v>
      </c>
      <c r="AC175" s="123">
        <f t="shared" si="51"/>
        <v>0.44</v>
      </c>
      <c r="AD175" s="123">
        <f t="shared" si="51"/>
        <v>0.44</v>
      </c>
      <c r="AE175" s="123">
        <f t="shared" si="51"/>
        <v>0.44</v>
      </c>
      <c r="AF175" s="123">
        <f t="shared" si="51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49"/>
        <v>2.1</v>
      </c>
      <c r="C176" s="124">
        <v>2.1</v>
      </c>
      <c r="D176" s="123">
        <f t="shared" si="50"/>
        <v>2.1</v>
      </c>
      <c r="E176" s="123">
        <f t="shared" si="50"/>
        <v>2.1</v>
      </c>
      <c r="F176" s="123">
        <f t="shared" si="50"/>
        <v>2.1</v>
      </c>
      <c r="G176" s="123">
        <f t="shared" si="50"/>
        <v>2.1</v>
      </c>
      <c r="H176" s="123">
        <f t="shared" si="50"/>
        <v>2.1</v>
      </c>
      <c r="I176" s="123">
        <f t="shared" si="50"/>
        <v>2.1</v>
      </c>
      <c r="J176" s="123">
        <f t="shared" si="50"/>
        <v>2.1</v>
      </c>
      <c r="K176" s="123">
        <f t="shared" si="50"/>
        <v>2.1</v>
      </c>
      <c r="L176" s="123">
        <f t="shared" si="50"/>
        <v>2.1</v>
      </c>
      <c r="M176" s="123">
        <f t="shared" si="50"/>
        <v>2.1</v>
      </c>
      <c r="N176" s="123">
        <f t="shared" si="50"/>
        <v>2.1</v>
      </c>
      <c r="O176" s="123">
        <f t="shared" si="50"/>
        <v>2.1</v>
      </c>
      <c r="P176" s="123">
        <f t="shared" si="50"/>
        <v>2.1</v>
      </c>
      <c r="Q176" s="123">
        <f t="shared" si="50"/>
        <v>2.1</v>
      </c>
      <c r="R176" s="123">
        <f t="shared" si="50"/>
        <v>2.1</v>
      </c>
      <c r="S176" s="123">
        <f t="shared" si="51"/>
        <v>2.1</v>
      </c>
      <c r="T176" s="123">
        <f t="shared" si="51"/>
        <v>2.1</v>
      </c>
      <c r="U176" s="123">
        <f t="shared" si="51"/>
        <v>2.1</v>
      </c>
      <c r="V176" s="123">
        <f t="shared" si="51"/>
        <v>2.1</v>
      </c>
      <c r="W176" s="123">
        <f t="shared" si="51"/>
        <v>2.1</v>
      </c>
      <c r="X176" s="123">
        <f t="shared" si="51"/>
        <v>2.1</v>
      </c>
      <c r="Y176" s="123">
        <f t="shared" si="51"/>
        <v>2.1</v>
      </c>
      <c r="Z176" s="123">
        <f t="shared" si="51"/>
        <v>2.1</v>
      </c>
      <c r="AA176" s="123">
        <f t="shared" si="51"/>
        <v>2.1</v>
      </c>
      <c r="AB176" s="123">
        <f t="shared" si="51"/>
        <v>2.1</v>
      </c>
      <c r="AC176" s="123">
        <f t="shared" si="51"/>
        <v>2.1</v>
      </c>
      <c r="AD176" s="123">
        <f t="shared" si="51"/>
        <v>2.1</v>
      </c>
      <c r="AE176" s="123">
        <f t="shared" si="51"/>
        <v>2.1</v>
      </c>
      <c r="AF176" s="123">
        <f t="shared" si="51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49"/>
        <v>0.9</v>
      </c>
      <c r="C177" s="124">
        <v>0.9</v>
      </c>
      <c r="D177" s="123">
        <f t="shared" si="50"/>
        <v>0.9</v>
      </c>
      <c r="E177" s="123">
        <f t="shared" si="50"/>
        <v>0.9</v>
      </c>
      <c r="F177" s="123">
        <f t="shared" si="50"/>
        <v>0.9</v>
      </c>
      <c r="G177" s="123">
        <f t="shared" si="50"/>
        <v>0.9</v>
      </c>
      <c r="H177" s="123">
        <f t="shared" si="50"/>
        <v>0.9</v>
      </c>
      <c r="I177" s="123">
        <f t="shared" si="50"/>
        <v>0.9</v>
      </c>
      <c r="J177" s="123">
        <f t="shared" si="50"/>
        <v>0.9</v>
      </c>
      <c r="K177" s="123">
        <f t="shared" si="50"/>
        <v>0.9</v>
      </c>
      <c r="L177" s="123">
        <f t="shared" si="50"/>
        <v>0.9</v>
      </c>
      <c r="M177" s="123">
        <f t="shared" si="50"/>
        <v>0.9</v>
      </c>
      <c r="N177" s="123">
        <f t="shared" si="50"/>
        <v>0.9</v>
      </c>
      <c r="O177" s="123">
        <f t="shared" si="50"/>
        <v>0.9</v>
      </c>
      <c r="P177" s="123">
        <f t="shared" si="50"/>
        <v>0.9</v>
      </c>
      <c r="Q177" s="123">
        <f t="shared" si="50"/>
        <v>0.9</v>
      </c>
      <c r="R177" s="123">
        <f t="shared" si="50"/>
        <v>0.9</v>
      </c>
      <c r="S177" s="123">
        <f t="shared" si="51"/>
        <v>0.9</v>
      </c>
      <c r="T177" s="123">
        <f t="shared" si="51"/>
        <v>0.9</v>
      </c>
      <c r="U177" s="123">
        <f t="shared" si="51"/>
        <v>0.9</v>
      </c>
      <c r="V177" s="123">
        <f t="shared" si="51"/>
        <v>0.9</v>
      </c>
      <c r="W177" s="123">
        <f t="shared" si="51"/>
        <v>0.9</v>
      </c>
      <c r="X177" s="123">
        <f t="shared" si="51"/>
        <v>0.9</v>
      </c>
      <c r="Y177" s="123">
        <f t="shared" si="51"/>
        <v>0.9</v>
      </c>
      <c r="Z177" s="123">
        <f t="shared" si="51"/>
        <v>0.9</v>
      </c>
      <c r="AA177" s="123">
        <f t="shared" si="51"/>
        <v>0.9</v>
      </c>
      <c r="AB177" s="123">
        <f t="shared" si="51"/>
        <v>0.9</v>
      </c>
      <c r="AC177" s="123">
        <f t="shared" si="51"/>
        <v>0.9</v>
      </c>
      <c r="AD177" s="123">
        <f t="shared" si="51"/>
        <v>0.9</v>
      </c>
      <c r="AE177" s="123">
        <f t="shared" si="51"/>
        <v>0.9</v>
      </c>
      <c r="AF177" s="123">
        <f t="shared" si="51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2">AF179</f>
        <v>0.57999999999999996</v>
      </c>
      <c r="C179" s="124">
        <v>0.57999999999999996</v>
      </c>
      <c r="D179" s="123">
        <f t="shared" ref="D179:S191" si="53">C179</f>
        <v>0.57999999999999996</v>
      </c>
      <c r="E179" s="123">
        <f t="shared" si="53"/>
        <v>0.57999999999999996</v>
      </c>
      <c r="F179" s="123">
        <f t="shared" si="53"/>
        <v>0.57999999999999996</v>
      </c>
      <c r="G179" s="123">
        <f t="shared" si="53"/>
        <v>0.57999999999999996</v>
      </c>
      <c r="H179" s="123">
        <f t="shared" si="53"/>
        <v>0.57999999999999996</v>
      </c>
      <c r="I179" s="123">
        <f t="shared" si="53"/>
        <v>0.57999999999999996</v>
      </c>
      <c r="J179" s="123">
        <f t="shared" si="53"/>
        <v>0.57999999999999996</v>
      </c>
      <c r="K179" s="123">
        <f t="shared" si="53"/>
        <v>0.57999999999999996</v>
      </c>
      <c r="L179" s="123">
        <f t="shared" si="53"/>
        <v>0.57999999999999996</v>
      </c>
      <c r="M179" s="123">
        <f t="shared" si="53"/>
        <v>0.57999999999999996</v>
      </c>
      <c r="N179" s="123">
        <f t="shared" si="53"/>
        <v>0.57999999999999996</v>
      </c>
      <c r="O179" s="123">
        <f t="shared" si="53"/>
        <v>0.57999999999999996</v>
      </c>
      <c r="P179" s="123">
        <f t="shared" si="53"/>
        <v>0.57999999999999996</v>
      </c>
      <c r="Q179" s="123">
        <f t="shared" si="53"/>
        <v>0.57999999999999996</v>
      </c>
      <c r="R179" s="123">
        <f t="shared" si="53"/>
        <v>0.57999999999999996</v>
      </c>
      <c r="S179" s="123">
        <f t="shared" si="53"/>
        <v>0.57999999999999996</v>
      </c>
      <c r="T179" s="123">
        <f t="shared" ref="S179:AF191" si="54">S179</f>
        <v>0.57999999999999996</v>
      </c>
      <c r="U179" s="123">
        <f t="shared" si="54"/>
        <v>0.57999999999999996</v>
      </c>
      <c r="V179" s="123">
        <f t="shared" si="54"/>
        <v>0.57999999999999996</v>
      </c>
      <c r="W179" s="123">
        <f t="shared" si="54"/>
        <v>0.57999999999999996</v>
      </c>
      <c r="X179" s="123">
        <f t="shared" si="54"/>
        <v>0.57999999999999996</v>
      </c>
      <c r="Y179" s="123">
        <f t="shared" si="54"/>
        <v>0.57999999999999996</v>
      </c>
      <c r="Z179" s="123">
        <f t="shared" si="54"/>
        <v>0.57999999999999996</v>
      </c>
      <c r="AA179" s="123">
        <f t="shared" si="54"/>
        <v>0.57999999999999996</v>
      </c>
      <c r="AB179" s="123">
        <f t="shared" si="54"/>
        <v>0.57999999999999996</v>
      </c>
      <c r="AC179" s="123">
        <f t="shared" si="54"/>
        <v>0.57999999999999996</v>
      </c>
      <c r="AD179" s="123">
        <f t="shared" si="54"/>
        <v>0.57999999999999996</v>
      </c>
      <c r="AE179" s="123">
        <f t="shared" si="54"/>
        <v>0.57999999999999996</v>
      </c>
      <c r="AF179" s="123">
        <f t="shared" si="54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2"/>
        <v>0.8</v>
      </c>
      <c r="C180" s="124">
        <v>0.8</v>
      </c>
      <c r="D180" s="123">
        <f t="shared" si="53"/>
        <v>0.8</v>
      </c>
      <c r="E180" s="123">
        <f t="shared" si="53"/>
        <v>0.8</v>
      </c>
      <c r="F180" s="123">
        <f t="shared" si="53"/>
        <v>0.8</v>
      </c>
      <c r="G180" s="123">
        <f t="shared" si="53"/>
        <v>0.8</v>
      </c>
      <c r="H180" s="123">
        <f t="shared" si="53"/>
        <v>0.8</v>
      </c>
      <c r="I180" s="123">
        <f t="shared" si="53"/>
        <v>0.8</v>
      </c>
      <c r="J180" s="123">
        <f t="shared" si="53"/>
        <v>0.8</v>
      </c>
      <c r="K180" s="123">
        <f t="shared" si="53"/>
        <v>0.8</v>
      </c>
      <c r="L180" s="123">
        <f t="shared" si="53"/>
        <v>0.8</v>
      </c>
      <c r="M180" s="123">
        <f t="shared" si="53"/>
        <v>0.8</v>
      </c>
      <c r="N180" s="123">
        <f t="shared" si="53"/>
        <v>0.8</v>
      </c>
      <c r="O180" s="123">
        <f t="shared" si="53"/>
        <v>0.8</v>
      </c>
      <c r="P180" s="123">
        <f t="shared" si="53"/>
        <v>0.8</v>
      </c>
      <c r="Q180" s="123">
        <f t="shared" si="53"/>
        <v>0.8</v>
      </c>
      <c r="R180" s="123">
        <f t="shared" si="53"/>
        <v>0.8</v>
      </c>
      <c r="S180" s="123">
        <f t="shared" si="53"/>
        <v>0.8</v>
      </c>
      <c r="T180" s="123">
        <f t="shared" si="54"/>
        <v>0.8</v>
      </c>
      <c r="U180" s="123">
        <f t="shared" si="54"/>
        <v>0.8</v>
      </c>
      <c r="V180" s="123">
        <f t="shared" si="54"/>
        <v>0.8</v>
      </c>
      <c r="W180" s="123">
        <f t="shared" si="54"/>
        <v>0.8</v>
      </c>
      <c r="X180" s="123">
        <f t="shared" si="54"/>
        <v>0.8</v>
      </c>
      <c r="Y180" s="123">
        <f t="shared" si="54"/>
        <v>0.8</v>
      </c>
      <c r="Z180" s="123">
        <f t="shared" si="54"/>
        <v>0.8</v>
      </c>
      <c r="AA180" s="123">
        <f t="shared" si="54"/>
        <v>0.8</v>
      </c>
      <c r="AB180" s="123">
        <f t="shared" si="54"/>
        <v>0.8</v>
      </c>
      <c r="AC180" s="123">
        <f t="shared" si="54"/>
        <v>0.8</v>
      </c>
      <c r="AD180" s="123">
        <f t="shared" si="54"/>
        <v>0.8</v>
      </c>
      <c r="AE180" s="123">
        <f t="shared" si="54"/>
        <v>0.8</v>
      </c>
      <c r="AF180" s="123">
        <f t="shared" si="54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2"/>
        <v>0</v>
      </c>
      <c r="C181" s="124">
        <v>0</v>
      </c>
      <c r="D181" s="123">
        <f t="shared" si="53"/>
        <v>0</v>
      </c>
      <c r="E181" s="123">
        <f t="shared" si="53"/>
        <v>0</v>
      </c>
      <c r="F181" s="123">
        <f t="shared" si="53"/>
        <v>0</v>
      </c>
      <c r="G181" s="123">
        <f t="shared" si="53"/>
        <v>0</v>
      </c>
      <c r="H181" s="123">
        <f t="shared" si="53"/>
        <v>0</v>
      </c>
      <c r="I181" s="123">
        <f t="shared" si="53"/>
        <v>0</v>
      </c>
      <c r="J181" s="123">
        <f t="shared" si="53"/>
        <v>0</v>
      </c>
      <c r="K181" s="123">
        <f t="shared" si="53"/>
        <v>0</v>
      </c>
      <c r="L181" s="123">
        <f t="shared" si="53"/>
        <v>0</v>
      </c>
      <c r="M181" s="123">
        <f t="shared" si="53"/>
        <v>0</v>
      </c>
      <c r="N181" s="123">
        <f t="shared" si="53"/>
        <v>0</v>
      </c>
      <c r="O181" s="123">
        <f t="shared" si="53"/>
        <v>0</v>
      </c>
      <c r="P181" s="123">
        <f t="shared" si="53"/>
        <v>0</v>
      </c>
      <c r="Q181" s="123">
        <f t="shared" si="53"/>
        <v>0</v>
      </c>
      <c r="R181" s="123">
        <f t="shared" si="53"/>
        <v>0</v>
      </c>
      <c r="S181" s="123">
        <f t="shared" si="53"/>
        <v>0</v>
      </c>
      <c r="T181" s="123">
        <f t="shared" si="54"/>
        <v>0</v>
      </c>
      <c r="U181" s="123">
        <f t="shared" si="54"/>
        <v>0</v>
      </c>
      <c r="V181" s="123">
        <f t="shared" si="54"/>
        <v>0</v>
      </c>
      <c r="W181" s="123">
        <f t="shared" si="54"/>
        <v>0</v>
      </c>
      <c r="X181" s="123">
        <f t="shared" si="54"/>
        <v>0</v>
      </c>
      <c r="Y181" s="123">
        <f t="shared" si="54"/>
        <v>0</v>
      </c>
      <c r="Z181" s="123">
        <f t="shared" si="54"/>
        <v>0</v>
      </c>
      <c r="AA181" s="123">
        <f t="shared" si="54"/>
        <v>0</v>
      </c>
      <c r="AB181" s="123">
        <f t="shared" si="54"/>
        <v>0</v>
      </c>
      <c r="AC181" s="123">
        <f t="shared" si="54"/>
        <v>0</v>
      </c>
      <c r="AD181" s="123">
        <f t="shared" si="54"/>
        <v>0</v>
      </c>
      <c r="AE181" s="123">
        <f t="shared" si="54"/>
        <v>0</v>
      </c>
      <c r="AF181" s="123">
        <f t="shared" si="54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2"/>
        <v>0.6</v>
      </c>
      <c r="C182" s="124">
        <v>0.6</v>
      </c>
      <c r="D182" s="123">
        <f t="shared" si="53"/>
        <v>0.6</v>
      </c>
      <c r="E182" s="123">
        <f t="shared" si="53"/>
        <v>0.6</v>
      </c>
      <c r="F182" s="123">
        <f t="shared" si="53"/>
        <v>0.6</v>
      </c>
      <c r="G182" s="123">
        <f t="shared" si="53"/>
        <v>0.6</v>
      </c>
      <c r="H182" s="123">
        <f t="shared" si="53"/>
        <v>0.6</v>
      </c>
      <c r="I182" s="123">
        <f t="shared" si="53"/>
        <v>0.6</v>
      </c>
      <c r="J182" s="123">
        <f t="shared" si="53"/>
        <v>0.6</v>
      </c>
      <c r="K182" s="123">
        <f t="shared" si="53"/>
        <v>0.6</v>
      </c>
      <c r="L182" s="123">
        <f t="shared" si="53"/>
        <v>0.6</v>
      </c>
      <c r="M182" s="123">
        <f t="shared" si="53"/>
        <v>0.6</v>
      </c>
      <c r="N182" s="123">
        <f t="shared" si="53"/>
        <v>0.6</v>
      </c>
      <c r="O182" s="123">
        <f t="shared" si="53"/>
        <v>0.6</v>
      </c>
      <c r="P182" s="123">
        <f t="shared" si="53"/>
        <v>0.6</v>
      </c>
      <c r="Q182" s="123">
        <f t="shared" si="53"/>
        <v>0.6</v>
      </c>
      <c r="R182" s="123">
        <f t="shared" si="53"/>
        <v>0.6</v>
      </c>
      <c r="S182" s="123">
        <f t="shared" si="53"/>
        <v>0.6</v>
      </c>
      <c r="T182" s="123">
        <f t="shared" si="54"/>
        <v>0.6</v>
      </c>
      <c r="U182" s="123">
        <f t="shared" si="54"/>
        <v>0.6</v>
      </c>
      <c r="V182" s="123">
        <f t="shared" si="54"/>
        <v>0.6</v>
      </c>
      <c r="W182" s="123">
        <f t="shared" si="54"/>
        <v>0.6</v>
      </c>
      <c r="X182" s="123">
        <f t="shared" si="54"/>
        <v>0.6</v>
      </c>
      <c r="Y182" s="123">
        <f t="shared" si="54"/>
        <v>0.6</v>
      </c>
      <c r="Z182" s="123">
        <f t="shared" si="54"/>
        <v>0.6</v>
      </c>
      <c r="AA182" s="123">
        <f t="shared" si="54"/>
        <v>0.6</v>
      </c>
      <c r="AB182" s="123">
        <f t="shared" si="54"/>
        <v>0.6</v>
      </c>
      <c r="AC182" s="123">
        <f t="shared" si="54"/>
        <v>0.6</v>
      </c>
      <c r="AD182" s="123">
        <f t="shared" si="54"/>
        <v>0.6</v>
      </c>
      <c r="AE182" s="123">
        <f t="shared" si="54"/>
        <v>0.6</v>
      </c>
      <c r="AF182" s="123">
        <f t="shared" si="54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2"/>
        <v>0.35</v>
      </c>
      <c r="C184" s="124">
        <v>0.35</v>
      </c>
      <c r="D184" s="123">
        <f t="shared" si="53"/>
        <v>0.35</v>
      </c>
      <c r="E184" s="123">
        <f t="shared" si="53"/>
        <v>0.35</v>
      </c>
      <c r="F184" s="123">
        <f t="shared" si="53"/>
        <v>0.35</v>
      </c>
      <c r="G184" s="123">
        <f t="shared" si="53"/>
        <v>0.35</v>
      </c>
      <c r="H184" s="123">
        <f t="shared" si="53"/>
        <v>0.35</v>
      </c>
      <c r="I184" s="123">
        <f t="shared" si="53"/>
        <v>0.35</v>
      </c>
      <c r="J184" s="123">
        <f t="shared" si="53"/>
        <v>0.35</v>
      </c>
      <c r="K184" s="123">
        <f t="shared" si="53"/>
        <v>0.35</v>
      </c>
      <c r="L184" s="123">
        <f t="shared" si="53"/>
        <v>0.35</v>
      </c>
      <c r="M184" s="123">
        <f t="shared" si="53"/>
        <v>0.35</v>
      </c>
      <c r="N184" s="123">
        <f t="shared" si="53"/>
        <v>0.35</v>
      </c>
      <c r="O184" s="123">
        <f t="shared" si="53"/>
        <v>0.35</v>
      </c>
      <c r="P184" s="123">
        <f t="shared" si="53"/>
        <v>0.35</v>
      </c>
      <c r="Q184" s="123">
        <f t="shared" si="53"/>
        <v>0.35</v>
      </c>
      <c r="R184" s="123">
        <f t="shared" si="53"/>
        <v>0.35</v>
      </c>
      <c r="S184" s="123">
        <f t="shared" si="53"/>
        <v>0.35</v>
      </c>
      <c r="T184" s="123">
        <f t="shared" si="54"/>
        <v>0.35</v>
      </c>
      <c r="U184" s="123">
        <f t="shared" si="54"/>
        <v>0.35</v>
      </c>
      <c r="V184" s="123">
        <f t="shared" si="54"/>
        <v>0.35</v>
      </c>
      <c r="W184" s="123">
        <f t="shared" si="54"/>
        <v>0.35</v>
      </c>
      <c r="X184" s="123">
        <f t="shared" si="54"/>
        <v>0.35</v>
      </c>
      <c r="Y184" s="123">
        <f t="shared" si="54"/>
        <v>0.35</v>
      </c>
      <c r="Z184" s="123">
        <f t="shared" si="54"/>
        <v>0.35</v>
      </c>
      <c r="AA184" s="123">
        <f t="shared" si="54"/>
        <v>0.35</v>
      </c>
      <c r="AB184" s="123">
        <f t="shared" si="54"/>
        <v>0.35</v>
      </c>
      <c r="AC184" s="123">
        <f t="shared" si="54"/>
        <v>0.35</v>
      </c>
      <c r="AD184" s="123">
        <f t="shared" si="54"/>
        <v>0.35</v>
      </c>
      <c r="AE184" s="123">
        <f t="shared" si="54"/>
        <v>0.35</v>
      </c>
      <c r="AF184" s="123">
        <f t="shared" si="54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2"/>
        <v>0.28999999999999998</v>
      </c>
      <c r="C185" s="124">
        <v>0.28999999999999998</v>
      </c>
      <c r="D185" s="123">
        <f t="shared" si="53"/>
        <v>0.28999999999999998</v>
      </c>
      <c r="E185" s="123">
        <f t="shared" si="53"/>
        <v>0.28999999999999998</v>
      </c>
      <c r="F185" s="123">
        <f t="shared" si="53"/>
        <v>0.28999999999999998</v>
      </c>
      <c r="G185" s="123">
        <f t="shared" si="53"/>
        <v>0.28999999999999998</v>
      </c>
      <c r="H185" s="123">
        <f t="shared" si="53"/>
        <v>0.28999999999999998</v>
      </c>
      <c r="I185" s="123">
        <f t="shared" si="53"/>
        <v>0.28999999999999998</v>
      </c>
      <c r="J185" s="123">
        <f t="shared" si="53"/>
        <v>0.28999999999999998</v>
      </c>
      <c r="K185" s="123">
        <f t="shared" si="53"/>
        <v>0.28999999999999998</v>
      </c>
      <c r="L185" s="123">
        <f t="shared" si="53"/>
        <v>0.28999999999999998</v>
      </c>
      <c r="M185" s="123">
        <f t="shared" si="53"/>
        <v>0.28999999999999998</v>
      </c>
      <c r="N185" s="123">
        <f t="shared" si="53"/>
        <v>0.28999999999999998</v>
      </c>
      <c r="O185" s="123">
        <f t="shared" si="53"/>
        <v>0.28999999999999998</v>
      </c>
      <c r="P185" s="123">
        <f t="shared" si="53"/>
        <v>0.28999999999999998</v>
      </c>
      <c r="Q185" s="123">
        <f t="shared" si="53"/>
        <v>0.28999999999999998</v>
      </c>
      <c r="R185" s="123">
        <f t="shared" si="53"/>
        <v>0.28999999999999998</v>
      </c>
      <c r="S185" s="123">
        <f t="shared" si="53"/>
        <v>0.28999999999999998</v>
      </c>
      <c r="T185" s="123">
        <f t="shared" si="54"/>
        <v>0.28999999999999998</v>
      </c>
      <c r="U185" s="123">
        <f t="shared" si="54"/>
        <v>0.28999999999999998</v>
      </c>
      <c r="V185" s="123">
        <f t="shared" si="54"/>
        <v>0.28999999999999998</v>
      </c>
      <c r="W185" s="123">
        <f t="shared" si="54"/>
        <v>0.28999999999999998</v>
      </c>
      <c r="X185" s="123">
        <f t="shared" si="54"/>
        <v>0.28999999999999998</v>
      </c>
      <c r="Y185" s="123">
        <f t="shared" si="54"/>
        <v>0.28999999999999998</v>
      </c>
      <c r="Z185" s="123">
        <f t="shared" si="54"/>
        <v>0.28999999999999998</v>
      </c>
      <c r="AA185" s="123">
        <f t="shared" si="54"/>
        <v>0.28999999999999998</v>
      </c>
      <c r="AB185" s="123">
        <f t="shared" si="54"/>
        <v>0.28999999999999998</v>
      </c>
      <c r="AC185" s="123">
        <f t="shared" si="54"/>
        <v>0.28999999999999998</v>
      </c>
      <c r="AD185" s="123">
        <f t="shared" si="54"/>
        <v>0.28999999999999998</v>
      </c>
      <c r="AE185" s="123">
        <f t="shared" si="54"/>
        <v>0.28999999999999998</v>
      </c>
      <c r="AF185" s="123">
        <f t="shared" si="54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2"/>
        <v>0.06</v>
      </c>
      <c r="C186" s="124">
        <v>0.06</v>
      </c>
      <c r="D186" s="123">
        <f t="shared" si="53"/>
        <v>0.06</v>
      </c>
      <c r="E186" s="123">
        <f t="shared" si="53"/>
        <v>0.06</v>
      </c>
      <c r="F186" s="123">
        <f t="shared" si="53"/>
        <v>0.06</v>
      </c>
      <c r="G186" s="123">
        <f t="shared" si="53"/>
        <v>0.06</v>
      </c>
      <c r="H186" s="123">
        <f t="shared" si="53"/>
        <v>0.06</v>
      </c>
      <c r="I186" s="123">
        <f t="shared" si="53"/>
        <v>0.06</v>
      </c>
      <c r="J186" s="123">
        <f t="shared" si="53"/>
        <v>0.06</v>
      </c>
      <c r="K186" s="123">
        <f t="shared" si="53"/>
        <v>0.06</v>
      </c>
      <c r="L186" s="123">
        <f t="shared" si="53"/>
        <v>0.06</v>
      </c>
      <c r="M186" s="123">
        <f t="shared" si="53"/>
        <v>0.06</v>
      </c>
      <c r="N186" s="123">
        <f t="shared" si="53"/>
        <v>0.06</v>
      </c>
      <c r="O186" s="123">
        <f t="shared" si="53"/>
        <v>0.06</v>
      </c>
      <c r="P186" s="123">
        <f t="shared" si="53"/>
        <v>0.06</v>
      </c>
      <c r="Q186" s="123">
        <f t="shared" si="53"/>
        <v>0.06</v>
      </c>
      <c r="R186" s="123">
        <f t="shared" si="53"/>
        <v>0.06</v>
      </c>
      <c r="S186" s="123">
        <f t="shared" si="53"/>
        <v>0.06</v>
      </c>
      <c r="T186" s="123">
        <f t="shared" si="54"/>
        <v>0.06</v>
      </c>
      <c r="U186" s="123">
        <f t="shared" si="54"/>
        <v>0.06</v>
      </c>
      <c r="V186" s="123">
        <f t="shared" si="54"/>
        <v>0.06</v>
      </c>
      <c r="W186" s="123">
        <f t="shared" si="54"/>
        <v>0.06</v>
      </c>
      <c r="X186" s="123">
        <f t="shared" si="54"/>
        <v>0.06</v>
      </c>
      <c r="Y186" s="123">
        <f t="shared" si="54"/>
        <v>0.06</v>
      </c>
      <c r="Z186" s="123">
        <f t="shared" si="54"/>
        <v>0.06</v>
      </c>
      <c r="AA186" s="123">
        <f t="shared" si="54"/>
        <v>0.06</v>
      </c>
      <c r="AB186" s="123">
        <f t="shared" si="54"/>
        <v>0.06</v>
      </c>
      <c r="AC186" s="123">
        <f t="shared" si="54"/>
        <v>0.06</v>
      </c>
      <c r="AD186" s="123">
        <f t="shared" si="54"/>
        <v>0.06</v>
      </c>
      <c r="AE186" s="123">
        <f t="shared" si="54"/>
        <v>0.06</v>
      </c>
      <c r="AF186" s="123">
        <f t="shared" si="54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2"/>
        <v>0.11</v>
      </c>
      <c r="C187" s="124">
        <v>0.11</v>
      </c>
      <c r="D187" s="123">
        <f t="shared" si="53"/>
        <v>0.11</v>
      </c>
      <c r="E187" s="123">
        <f t="shared" si="53"/>
        <v>0.11</v>
      </c>
      <c r="F187" s="123">
        <f t="shared" si="53"/>
        <v>0.11</v>
      </c>
      <c r="G187" s="123">
        <f t="shared" si="53"/>
        <v>0.11</v>
      </c>
      <c r="H187" s="123">
        <f t="shared" si="53"/>
        <v>0.11</v>
      </c>
      <c r="I187" s="123">
        <f t="shared" si="53"/>
        <v>0.11</v>
      </c>
      <c r="J187" s="123">
        <f t="shared" si="53"/>
        <v>0.11</v>
      </c>
      <c r="K187" s="123">
        <f t="shared" si="53"/>
        <v>0.11</v>
      </c>
      <c r="L187" s="123">
        <f t="shared" si="53"/>
        <v>0.11</v>
      </c>
      <c r="M187" s="123">
        <f t="shared" si="53"/>
        <v>0.11</v>
      </c>
      <c r="N187" s="123">
        <f t="shared" si="53"/>
        <v>0.11</v>
      </c>
      <c r="O187" s="123">
        <f t="shared" si="53"/>
        <v>0.11</v>
      </c>
      <c r="P187" s="123">
        <f t="shared" si="53"/>
        <v>0.11</v>
      </c>
      <c r="Q187" s="123">
        <f t="shared" si="53"/>
        <v>0.11</v>
      </c>
      <c r="R187" s="123">
        <f t="shared" si="53"/>
        <v>0.11</v>
      </c>
      <c r="S187" s="123">
        <f t="shared" si="53"/>
        <v>0.11</v>
      </c>
      <c r="T187" s="123">
        <f t="shared" si="54"/>
        <v>0.11</v>
      </c>
      <c r="U187" s="123">
        <f t="shared" si="54"/>
        <v>0.11</v>
      </c>
      <c r="V187" s="123">
        <f t="shared" si="54"/>
        <v>0.11</v>
      </c>
      <c r="W187" s="123">
        <f t="shared" si="54"/>
        <v>0.11</v>
      </c>
      <c r="X187" s="123">
        <f t="shared" si="54"/>
        <v>0.11</v>
      </c>
      <c r="Y187" s="123">
        <f t="shared" si="54"/>
        <v>0.11</v>
      </c>
      <c r="Z187" s="123">
        <f t="shared" si="54"/>
        <v>0.11</v>
      </c>
      <c r="AA187" s="123">
        <f t="shared" si="54"/>
        <v>0.11</v>
      </c>
      <c r="AB187" s="123">
        <f t="shared" si="54"/>
        <v>0.11</v>
      </c>
      <c r="AC187" s="123">
        <f t="shared" si="54"/>
        <v>0.11</v>
      </c>
      <c r="AD187" s="123">
        <f t="shared" si="54"/>
        <v>0.11</v>
      </c>
      <c r="AE187" s="123">
        <f t="shared" si="54"/>
        <v>0.11</v>
      </c>
      <c r="AF187" s="123">
        <f t="shared" si="54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2"/>
        <v>0.1</v>
      </c>
      <c r="C188" s="124">
        <v>0.1</v>
      </c>
      <c r="D188" s="123">
        <f t="shared" si="53"/>
        <v>0.1</v>
      </c>
      <c r="E188" s="123">
        <f t="shared" si="53"/>
        <v>0.1</v>
      </c>
      <c r="F188" s="123">
        <f t="shared" si="53"/>
        <v>0.1</v>
      </c>
      <c r="G188" s="123">
        <f t="shared" si="53"/>
        <v>0.1</v>
      </c>
      <c r="H188" s="123">
        <f t="shared" si="53"/>
        <v>0.1</v>
      </c>
      <c r="I188" s="123">
        <f t="shared" si="53"/>
        <v>0.1</v>
      </c>
      <c r="J188" s="123">
        <f t="shared" si="53"/>
        <v>0.1</v>
      </c>
      <c r="K188" s="123">
        <f t="shared" si="53"/>
        <v>0.1</v>
      </c>
      <c r="L188" s="123">
        <f t="shared" si="53"/>
        <v>0.1</v>
      </c>
      <c r="M188" s="123">
        <f t="shared" si="53"/>
        <v>0.1</v>
      </c>
      <c r="N188" s="123">
        <f t="shared" si="53"/>
        <v>0.1</v>
      </c>
      <c r="O188" s="123">
        <f t="shared" si="53"/>
        <v>0.1</v>
      </c>
      <c r="P188" s="123">
        <f t="shared" si="53"/>
        <v>0.1</v>
      </c>
      <c r="Q188" s="123">
        <f t="shared" si="53"/>
        <v>0.1</v>
      </c>
      <c r="R188" s="123">
        <f t="shared" si="53"/>
        <v>0.1</v>
      </c>
      <c r="S188" s="123">
        <f t="shared" si="54"/>
        <v>0.1</v>
      </c>
      <c r="T188" s="123">
        <f t="shared" si="54"/>
        <v>0.1</v>
      </c>
      <c r="U188" s="123">
        <f t="shared" si="54"/>
        <v>0.1</v>
      </c>
      <c r="V188" s="123">
        <f t="shared" si="54"/>
        <v>0.1</v>
      </c>
      <c r="W188" s="123">
        <f t="shared" si="54"/>
        <v>0.1</v>
      </c>
      <c r="X188" s="123">
        <f t="shared" si="54"/>
        <v>0.1</v>
      </c>
      <c r="Y188" s="123">
        <f t="shared" si="54"/>
        <v>0.1</v>
      </c>
      <c r="Z188" s="123">
        <f t="shared" si="54"/>
        <v>0.1</v>
      </c>
      <c r="AA188" s="123">
        <f t="shared" si="54"/>
        <v>0.1</v>
      </c>
      <c r="AB188" s="123">
        <f t="shared" si="54"/>
        <v>0.1</v>
      </c>
      <c r="AC188" s="123">
        <f t="shared" si="54"/>
        <v>0.1</v>
      </c>
      <c r="AD188" s="123">
        <f t="shared" si="54"/>
        <v>0.1</v>
      </c>
      <c r="AE188" s="123">
        <f t="shared" si="54"/>
        <v>0.1</v>
      </c>
      <c r="AF188" s="123">
        <f t="shared" si="54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2"/>
        <v>0.09</v>
      </c>
      <c r="C189" s="124">
        <v>0.09</v>
      </c>
      <c r="D189" s="123">
        <f t="shared" si="53"/>
        <v>0.09</v>
      </c>
      <c r="E189" s="123">
        <f t="shared" si="53"/>
        <v>0.09</v>
      </c>
      <c r="F189" s="123">
        <f t="shared" si="53"/>
        <v>0.09</v>
      </c>
      <c r="G189" s="123">
        <f t="shared" si="53"/>
        <v>0.09</v>
      </c>
      <c r="H189" s="123">
        <f t="shared" si="53"/>
        <v>0.09</v>
      </c>
      <c r="I189" s="123">
        <f t="shared" si="53"/>
        <v>0.09</v>
      </c>
      <c r="J189" s="123">
        <f t="shared" si="53"/>
        <v>0.09</v>
      </c>
      <c r="K189" s="123">
        <f t="shared" si="53"/>
        <v>0.09</v>
      </c>
      <c r="L189" s="123">
        <f t="shared" si="53"/>
        <v>0.09</v>
      </c>
      <c r="M189" s="123">
        <f t="shared" si="53"/>
        <v>0.09</v>
      </c>
      <c r="N189" s="123">
        <f t="shared" si="53"/>
        <v>0.09</v>
      </c>
      <c r="O189" s="123">
        <f t="shared" si="53"/>
        <v>0.09</v>
      </c>
      <c r="P189" s="123">
        <f t="shared" si="53"/>
        <v>0.09</v>
      </c>
      <c r="Q189" s="123">
        <f t="shared" si="53"/>
        <v>0.09</v>
      </c>
      <c r="R189" s="123">
        <f t="shared" si="53"/>
        <v>0.09</v>
      </c>
      <c r="S189" s="123">
        <f t="shared" si="54"/>
        <v>0.09</v>
      </c>
      <c r="T189" s="123">
        <f t="shared" si="54"/>
        <v>0.09</v>
      </c>
      <c r="U189" s="123">
        <f t="shared" si="54"/>
        <v>0.09</v>
      </c>
      <c r="V189" s="123">
        <f t="shared" si="54"/>
        <v>0.09</v>
      </c>
      <c r="W189" s="123">
        <f t="shared" si="54"/>
        <v>0.09</v>
      </c>
      <c r="X189" s="123">
        <f t="shared" si="54"/>
        <v>0.09</v>
      </c>
      <c r="Y189" s="123">
        <f t="shared" si="54"/>
        <v>0.09</v>
      </c>
      <c r="Z189" s="123">
        <f t="shared" si="54"/>
        <v>0.09</v>
      </c>
      <c r="AA189" s="123">
        <f t="shared" si="54"/>
        <v>0.09</v>
      </c>
      <c r="AB189" s="123">
        <f t="shared" si="54"/>
        <v>0.09</v>
      </c>
      <c r="AC189" s="123">
        <f t="shared" si="54"/>
        <v>0.09</v>
      </c>
      <c r="AD189" s="123">
        <f t="shared" si="54"/>
        <v>0.09</v>
      </c>
      <c r="AE189" s="123">
        <f t="shared" si="54"/>
        <v>0.09</v>
      </c>
      <c r="AF189" s="123">
        <f t="shared" si="54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2"/>
        <v>0.04</v>
      </c>
      <c r="C190" s="54">
        <v>0.04</v>
      </c>
      <c r="D190" s="123">
        <f t="shared" si="53"/>
        <v>0.04</v>
      </c>
      <c r="E190" s="123">
        <f t="shared" si="53"/>
        <v>0.04</v>
      </c>
      <c r="F190" s="123">
        <f t="shared" si="53"/>
        <v>0.04</v>
      </c>
      <c r="G190" s="123">
        <f t="shared" si="53"/>
        <v>0.04</v>
      </c>
      <c r="H190" s="123">
        <f t="shared" si="53"/>
        <v>0.04</v>
      </c>
      <c r="I190" s="123">
        <f t="shared" si="53"/>
        <v>0.04</v>
      </c>
      <c r="J190" s="123">
        <f t="shared" si="53"/>
        <v>0.04</v>
      </c>
      <c r="K190" s="123">
        <f t="shared" si="53"/>
        <v>0.04</v>
      </c>
      <c r="L190" s="123">
        <f t="shared" si="53"/>
        <v>0.04</v>
      </c>
      <c r="M190" s="123">
        <f t="shared" si="53"/>
        <v>0.04</v>
      </c>
      <c r="N190" s="123">
        <f t="shared" si="53"/>
        <v>0.04</v>
      </c>
      <c r="O190" s="123">
        <f t="shared" si="53"/>
        <v>0.04</v>
      </c>
      <c r="P190" s="123">
        <f t="shared" si="53"/>
        <v>0.04</v>
      </c>
      <c r="Q190" s="123">
        <f t="shared" si="53"/>
        <v>0.04</v>
      </c>
      <c r="R190" s="123">
        <f t="shared" si="53"/>
        <v>0.04</v>
      </c>
      <c r="S190" s="123">
        <f t="shared" si="54"/>
        <v>0.04</v>
      </c>
      <c r="T190" s="123">
        <f t="shared" si="54"/>
        <v>0.04</v>
      </c>
      <c r="U190" s="123">
        <f t="shared" si="54"/>
        <v>0.04</v>
      </c>
      <c r="V190" s="123">
        <f t="shared" si="54"/>
        <v>0.04</v>
      </c>
      <c r="W190" s="123">
        <f t="shared" si="54"/>
        <v>0.04</v>
      </c>
      <c r="X190" s="123">
        <f t="shared" si="54"/>
        <v>0.04</v>
      </c>
      <c r="Y190" s="123">
        <f t="shared" si="54"/>
        <v>0.04</v>
      </c>
      <c r="Z190" s="123">
        <f t="shared" si="54"/>
        <v>0.04</v>
      </c>
      <c r="AA190" s="123">
        <f t="shared" si="54"/>
        <v>0.04</v>
      </c>
      <c r="AB190" s="123">
        <f t="shared" si="54"/>
        <v>0.04</v>
      </c>
      <c r="AC190" s="123">
        <f t="shared" si="54"/>
        <v>0.04</v>
      </c>
      <c r="AD190" s="123">
        <f t="shared" si="54"/>
        <v>0.04</v>
      </c>
      <c r="AE190" s="123">
        <f t="shared" si="54"/>
        <v>0.04</v>
      </c>
      <c r="AF190" s="123">
        <f t="shared" si="54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2"/>
        <v>2.3E-2</v>
      </c>
      <c r="C191" s="54">
        <v>2.3E-2</v>
      </c>
      <c r="D191" s="123">
        <f>C191</f>
        <v>2.3E-2</v>
      </c>
      <c r="E191" s="123">
        <f t="shared" si="53"/>
        <v>2.3E-2</v>
      </c>
      <c r="F191" s="123">
        <f t="shared" si="53"/>
        <v>2.3E-2</v>
      </c>
      <c r="G191" s="123">
        <f t="shared" si="53"/>
        <v>2.3E-2</v>
      </c>
      <c r="H191" s="123">
        <f t="shared" si="53"/>
        <v>2.3E-2</v>
      </c>
      <c r="I191" s="123">
        <f t="shared" si="53"/>
        <v>2.3E-2</v>
      </c>
      <c r="J191" s="123">
        <f t="shared" si="53"/>
        <v>2.3E-2</v>
      </c>
      <c r="K191" s="123">
        <f t="shared" si="53"/>
        <v>2.3E-2</v>
      </c>
      <c r="L191" s="123">
        <f t="shared" si="53"/>
        <v>2.3E-2</v>
      </c>
      <c r="M191" s="123">
        <f t="shared" si="53"/>
        <v>2.3E-2</v>
      </c>
      <c r="N191" s="123">
        <f t="shared" si="53"/>
        <v>2.3E-2</v>
      </c>
      <c r="O191" s="123">
        <f t="shared" si="53"/>
        <v>2.3E-2</v>
      </c>
      <c r="P191" s="123">
        <f t="shared" si="53"/>
        <v>2.3E-2</v>
      </c>
      <c r="Q191" s="123">
        <f t="shared" si="53"/>
        <v>2.3E-2</v>
      </c>
      <c r="R191" s="123">
        <f t="shared" si="53"/>
        <v>2.3E-2</v>
      </c>
      <c r="S191" s="123">
        <f t="shared" si="54"/>
        <v>2.3E-2</v>
      </c>
      <c r="T191" s="123">
        <f t="shared" si="54"/>
        <v>2.3E-2</v>
      </c>
      <c r="U191" s="123">
        <f t="shared" si="54"/>
        <v>2.3E-2</v>
      </c>
      <c r="V191" s="123">
        <f t="shared" si="54"/>
        <v>2.3E-2</v>
      </c>
      <c r="W191" s="123">
        <f t="shared" si="54"/>
        <v>2.3E-2</v>
      </c>
      <c r="X191" s="123">
        <f t="shared" si="54"/>
        <v>2.3E-2</v>
      </c>
      <c r="Y191" s="123">
        <f t="shared" si="54"/>
        <v>2.3E-2</v>
      </c>
      <c r="Z191" s="123">
        <f t="shared" si="54"/>
        <v>2.3E-2</v>
      </c>
      <c r="AA191" s="123">
        <f t="shared" si="54"/>
        <v>2.3E-2</v>
      </c>
      <c r="AB191" s="123">
        <f t="shared" si="54"/>
        <v>2.3E-2</v>
      </c>
      <c r="AC191" s="123">
        <f t="shared" si="54"/>
        <v>2.3E-2</v>
      </c>
      <c r="AD191" s="123">
        <f t="shared" si="54"/>
        <v>2.3E-2</v>
      </c>
      <c r="AE191" s="123">
        <f t="shared" si="54"/>
        <v>2.3E-2</v>
      </c>
      <c r="AF191" s="123">
        <f t="shared" si="54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5">SUM(C102:C191)</f>
        <v>194.70600000000002</v>
      </c>
      <c r="D192" s="128">
        <f t="shared" si="55"/>
        <v>194.70600000000002</v>
      </c>
      <c r="E192" s="128">
        <f t="shared" si="55"/>
        <v>194.70600000000002</v>
      </c>
      <c r="F192" s="128">
        <f t="shared" si="55"/>
        <v>194.70600000000002</v>
      </c>
      <c r="G192" s="128">
        <f t="shared" si="55"/>
        <v>194.70600000000002</v>
      </c>
      <c r="H192" s="128">
        <f t="shared" si="55"/>
        <v>194.70600000000002</v>
      </c>
      <c r="I192" s="128">
        <f t="shared" si="55"/>
        <v>189.70600000000005</v>
      </c>
      <c r="J192" s="128">
        <f t="shared" si="55"/>
        <v>187.10600000000005</v>
      </c>
      <c r="K192" s="128">
        <f t="shared" si="55"/>
        <v>187.10600000000005</v>
      </c>
      <c r="L192" s="128">
        <f t="shared" si="55"/>
        <v>187.10600000000005</v>
      </c>
      <c r="M192" s="128">
        <f t="shared" si="55"/>
        <v>187.10600000000005</v>
      </c>
      <c r="N192" s="128">
        <f t="shared" si="55"/>
        <v>187.10600000000005</v>
      </c>
      <c r="O192" s="128">
        <f t="shared" si="55"/>
        <v>187.10600000000005</v>
      </c>
      <c r="P192" s="128">
        <f t="shared" si="55"/>
        <v>187.10600000000005</v>
      </c>
      <c r="Q192" s="128">
        <f t="shared" si="55"/>
        <v>187.10600000000005</v>
      </c>
      <c r="R192" s="128">
        <f t="shared" si="55"/>
        <v>187.10600000000005</v>
      </c>
      <c r="S192" s="128">
        <f t="shared" si="55"/>
        <v>187.10600000000005</v>
      </c>
      <c r="T192" s="128">
        <f t="shared" si="55"/>
        <v>187.10600000000005</v>
      </c>
      <c r="U192" s="128">
        <f t="shared" si="55"/>
        <v>187.10600000000005</v>
      </c>
      <c r="V192" s="128">
        <f t="shared" si="55"/>
        <v>187.10600000000005</v>
      </c>
      <c r="W192" s="128">
        <f t="shared" si="55"/>
        <v>187.10600000000005</v>
      </c>
      <c r="X192" s="128">
        <f t="shared" si="55"/>
        <v>187.10600000000005</v>
      </c>
      <c r="Y192" s="128">
        <f t="shared" si="55"/>
        <v>187.10600000000005</v>
      </c>
      <c r="Z192" s="128">
        <f t="shared" si="55"/>
        <v>187.10600000000005</v>
      </c>
      <c r="AA192" s="128">
        <f t="shared" si="55"/>
        <v>187.10600000000005</v>
      </c>
      <c r="AB192" s="128">
        <f t="shared" si="55"/>
        <v>187.10600000000005</v>
      </c>
      <c r="AC192" s="128">
        <f t="shared" si="55"/>
        <v>187.10600000000005</v>
      </c>
      <c r="AD192" s="128">
        <f t="shared" si="55"/>
        <v>187.10600000000005</v>
      </c>
      <c r="AE192" s="128">
        <f t="shared" si="55"/>
        <v>187.10600000000005</v>
      </c>
      <c r="AF192" s="128">
        <f t="shared" si="55"/>
        <v>187.10600000000005</v>
      </c>
      <c r="AG192" s="129">
        <f t="shared" si="55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6">AF194</f>
        <v>0.3</v>
      </c>
      <c r="C194" s="130">
        <v>0.3</v>
      </c>
      <c r="D194" s="130">
        <f t="shared" ref="D194:S199" si="57">C194</f>
        <v>0.3</v>
      </c>
      <c r="E194" s="130">
        <f t="shared" si="57"/>
        <v>0.3</v>
      </c>
      <c r="F194" s="130">
        <f t="shared" si="57"/>
        <v>0.3</v>
      </c>
      <c r="G194" s="130">
        <f t="shared" si="57"/>
        <v>0.3</v>
      </c>
      <c r="H194" s="130">
        <f t="shared" si="57"/>
        <v>0.3</v>
      </c>
      <c r="I194" s="130">
        <f t="shared" si="57"/>
        <v>0.3</v>
      </c>
      <c r="J194" s="130">
        <f t="shared" si="57"/>
        <v>0.3</v>
      </c>
      <c r="K194" s="130">
        <f t="shared" si="57"/>
        <v>0.3</v>
      </c>
      <c r="L194" s="130">
        <f t="shared" si="57"/>
        <v>0.3</v>
      </c>
      <c r="M194" s="130">
        <f t="shared" si="57"/>
        <v>0.3</v>
      </c>
      <c r="N194" s="130">
        <f t="shared" si="57"/>
        <v>0.3</v>
      </c>
      <c r="O194" s="130">
        <f t="shared" si="57"/>
        <v>0.3</v>
      </c>
      <c r="P194" s="130">
        <f t="shared" si="57"/>
        <v>0.3</v>
      </c>
      <c r="Q194" s="130">
        <f t="shared" si="57"/>
        <v>0.3</v>
      </c>
      <c r="R194" s="130">
        <f t="shared" si="57"/>
        <v>0.3</v>
      </c>
      <c r="S194" s="130">
        <f t="shared" si="57"/>
        <v>0.3</v>
      </c>
      <c r="T194" s="130">
        <f t="shared" ref="T194:AF199" si="58">S194</f>
        <v>0.3</v>
      </c>
      <c r="U194" s="130">
        <f t="shared" si="58"/>
        <v>0.3</v>
      </c>
      <c r="V194" s="130">
        <f t="shared" si="58"/>
        <v>0.3</v>
      </c>
      <c r="W194" s="130">
        <f t="shared" si="58"/>
        <v>0.3</v>
      </c>
      <c r="X194" s="130">
        <f t="shared" si="58"/>
        <v>0.3</v>
      </c>
      <c r="Y194" s="130">
        <f t="shared" si="58"/>
        <v>0.3</v>
      </c>
      <c r="Z194" s="130">
        <f t="shared" si="58"/>
        <v>0.3</v>
      </c>
      <c r="AA194" s="130">
        <f t="shared" si="58"/>
        <v>0.3</v>
      </c>
      <c r="AB194" s="130">
        <f t="shared" si="58"/>
        <v>0.3</v>
      </c>
      <c r="AC194" s="130">
        <f t="shared" si="58"/>
        <v>0.3</v>
      </c>
      <c r="AD194" s="130">
        <f t="shared" si="58"/>
        <v>0.3</v>
      </c>
      <c r="AE194" s="130">
        <f t="shared" si="58"/>
        <v>0.3</v>
      </c>
      <c r="AF194" s="130">
        <f t="shared" si="58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6"/>
        <v>0.4</v>
      </c>
      <c r="C195" s="123">
        <v>0.4</v>
      </c>
      <c r="D195" s="123">
        <f t="shared" si="57"/>
        <v>0.4</v>
      </c>
      <c r="E195" s="123">
        <f t="shared" si="57"/>
        <v>0.4</v>
      </c>
      <c r="F195" s="123">
        <f t="shared" si="57"/>
        <v>0.4</v>
      </c>
      <c r="G195" s="123">
        <f t="shared" si="57"/>
        <v>0.4</v>
      </c>
      <c r="H195" s="123">
        <f t="shared" si="57"/>
        <v>0.4</v>
      </c>
      <c r="I195" s="123">
        <f t="shared" si="57"/>
        <v>0.4</v>
      </c>
      <c r="J195" s="123">
        <f t="shared" si="57"/>
        <v>0.4</v>
      </c>
      <c r="K195" s="123">
        <f t="shared" si="57"/>
        <v>0.4</v>
      </c>
      <c r="L195" s="123">
        <f t="shared" si="57"/>
        <v>0.4</v>
      </c>
      <c r="M195" s="123">
        <f t="shared" si="57"/>
        <v>0.4</v>
      </c>
      <c r="N195" s="123">
        <f t="shared" si="57"/>
        <v>0.4</v>
      </c>
      <c r="O195" s="123">
        <f t="shared" si="57"/>
        <v>0.4</v>
      </c>
      <c r="P195" s="123">
        <f t="shared" si="57"/>
        <v>0.4</v>
      </c>
      <c r="Q195" s="123">
        <f t="shared" si="57"/>
        <v>0.4</v>
      </c>
      <c r="R195" s="123">
        <f t="shared" si="57"/>
        <v>0.4</v>
      </c>
      <c r="S195" s="123">
        <f t="shared" si="57"/>
        <v>0.4</v>
      </c>
      <c r="T195" s="123">
        <f t="shared" si="58"/>
        <v>0.4</v>
      </c>
      <c r="U195" s="123">
        <f t="shared" si="58"/>
        <v>0.4</v>
      </c>
      <c r="V195" s="123">
        <f t="shared" si="58"/>
        <v>0.4</v>
      </c>
      <c r="W195" s="123">
        <f>V195</f>
        <v>0.4</v>
      </c>
      <c r="X195" s="123">
        <f>W195</f>
        <v>0.4</v>
      </c>
      <c r="Y195" s="123">
        <f t="shared" si="58"/>
        <v>0.4</v>
      </c>
      <c r="Z195" s="123">
        <f t="shared" si="58"/>
        <v>0.4</v>
      </c>
      <c r="AA195" s="123">
        <f t="shared" si="58"/>
        <v>0.4</v>
      </c>
      <c r="AB195" s="123">
        <f t="shared" si="58"/>
        <v>0.4</v>
      </c>
      <c r="AC195" s="123">
        <f t="shared" si="58"/>
        <v>0.4</v>
      </c>
      <c r="AD195" s="123">
        <f t="shared" si="58"/>
        <v>0.4</v>
      </c>
      <c r="AE195" s="123">
        <f t="shared" si="58"/>
        <v>0.4</v>
      </c>
      <c r="AF195" s="123">
        <f t="shared" si="58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6"/>
        <v>1.5</v>
      </c>
      <c r="C196" s="123">
        <v>1.5</v>
      </c>
      <c r="D196" s="123">
        <f t="shared" si="57"/>
        <v>1.5</v>
      </c>
      <c r="E196" s="123">
        <f t="shared" si="57"/>
        <v>1.5</v>
      </c>
      <c r="F196" s="123">
        <f t="shared" si="57"/>
        <v>1.5</v>
      </c>
      <c r="G196" s="123">
        <f t="shared" si="57"/>
        <v>1.5</v>
      </c>
      <c r="H196" s="123">
        <f t="shared" si="57"/>
        <v>1.5</v>
      </c>
      <c r="I196" s="123">
        <f t="shared" si="57"/>
        <v>1.5</v>
      </c>
      <c r="J196" s="123">
        <f t="shared" si="57"/>
        <v>1.5</v>
      </c>
      <c r="K196" s="123">
        <f t="shared" si="57"/>
        <v>1.5</v>
      </c>
      <c r="L196" s="123">
        <f t="shared" si="57"/>
        <v>1.5</v>
      </c>
      <c r="M196" s="123">
        <f t="shared" si="57"/>
        <v>1.5</v>
      </c>
      <c r="N196" s="123">
        <f t="shared" si="57"/>
        <v>1.5</v>
      </c>
      <c r="O196" s="123">
        <f t="shared" si="57"/>
        <v>1.5</v>
      </c>
      <c r="P196" s="123">
        <f t="shared" si="57"/>
        <v>1.5</v>
      </c>
      <c r="Q196" s="123">
        <f t="shared" si="57"/>
        <v>1.5</v>
      </c>
      <c r="R196" s="123">
        <f t="shared" si="57"/>
        <v>1.5</v>
      </c>
      <c r="S196" s="123">
        <f t="shared" si="57"/>
        <v>1.5</v>
      </c>
      <c r="T196" s="123">
        <f t="shared" si="58"/>
        <v>1.5</v>
      </c>
      <c r="U196" s="123">
        <f t="shared" si="58"/>
        <v>1.5</v>
      </c>
      <c r="V196" s="123">
        <f t="shared" si="58"/>
        <v>1.5</v>
      </c>
      <c r="W196" s="123">
        <f t="shared" si="58"/>
        <v>1.5</v>
      </c>
      <c r="X196" s="123">
        <f t="shared" si="58"/>
        <v>1.5</v>
      </c>
      <c r="Y196" s="123">
        <f t="shared" si="58"/>
        <v>1.5</v>
      </c>
      <c r="Z196" s="123">
        <f t="shared" si="58"/>
        <v>1.5</v>
      </c>
      <c r="AA196" s="123">
        <f t="shared" si="58"/>
        <v>1.5</v>
      </c>
      <c r="AB196" s="123">
        <f t="shared" si="58"/>
        <v>1.5</v>
      </c>
      <c r="AC196" s="123">
        <f t="shared" si="58"/>
        <v>1.5</v>
      </c>
      <c r="AD196" s="123">
        <f t="shared" si="58"/>
        <v>1.5</v>
      </c>
      <c r="AE196" s="123">
        <f t="shared" si="58"/>
        <v>1.5</v>
      </c>
      <c r="AF196" s="123">
        <f t="shared" si="58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6"/>
        <v>0.3</v>
      </c>
      <c r="C197" s="123">
        <v>0.3</v>
      </c>
      <c r="D197" s="123">
        <f t="shared" si="57"/>
        <v>0.3</v>
      </c>
      <c r="E197" s="123">
        <f t="shared" si="57"/>
        <v>0.3</v>
      </c>
      <c r="F197" s="123">
        <f t="shared" si="57"/>
        <v>0.3</v>
      </c>
      <c r="G197" s="123">
        <f t="shared" si="57"/>
        <v>0.3</v>
      </c>
      <c r="H197" s="123">
        <f t="shared" si="57"/>
        <v>0.3</v>
      </c>
      <c r="I197" s="123">
        <f t="shared" si="57"/>
        <v>0.3</v>
      </c>
      <c r="J197" s="123">
        <f t="shared" si="57"/>
        <v>0.3</v>
      </c>
      <c r="K197" s="123">
        <f t="shared" si="57"/>
        <v>0.3</v>
      </c>
      <c r="L197" s="123">
        <f t="shared" si="57"/>
        <v>0.3</v>
      </c>
      <c r="M197" s="123">
        <f t="shared" si="57"/>
        <v>0.3</v>
      </c>
      <c r="N197" s="123">
        <f t="shared" si="57"/>
        <v>0.3</v>
      </c>
      <c r="O197" s="123">
        <f t="shared" si="57"/>
        <v>0.3</v>
      </c>
      <c r="P197" s="123">
        <f t="shared" si="57"/>
        <v>0.3</v>
      </c>
      <c r="Q197" s="123">
        <f t="shared" si="57"/>
        <v>0.3</v>
      </c>
      <c r="R197" s="123">
        <f t="shared" si="57"/>
        <v>0.3</v>
      </c>
      <c r="S197" s="123">
        <f t="shared" si="57"/>
        <v>0.3</v>
      </c>
      <c r="T197" s="123">
        <f t="shared" si="58"/>
        <v>0.3</v>
      </c>
      <c r="U197" s="123">
        <f t="shared" si="58"/>
        <v>0.3</v>
      </c>
      <c r="V197" s="123">
        <f t="shared" si="58"/>
        <v>0.3</v>
      </c>
      <c r="W197" s="123">
        <f t="shared" si="58"/>
        <v>0.3</v>
      </c>
      <c r="X197" s="123">
        <f t="shared" si="58"/>
        <v>0.3</v>
      </c>
      <c r="Y197" s="123">
        <f t="shared" si="58"/>
        <v>0.3</v>
      </c>
      <c r="Z197" s="123">
        <f t="shared" si="58"/>
        <v>0.3</v>
      </c>
      <c r="AA197" s="123">
        <f t="shared" si="58"/>
        <v>0.3</v>
      </c>
      <c r="AB197" s="123">
        <f t="shared" si="58"/>
        <v>0.3</v>
      </c>
      <c r="AC197" s="123">
        <f t="shared" si="58"/>
        <v>0.3</v>
      </c>
      <c r="AD197" s="123">
        <f t="shared" si="58"/>
        <v>0.3</v>
      </c>
      <c r="AE197" s="123">
        <f t="shared" si="58"/>
        <v>0.3</v>
      </c>
      <c r="AF197" s="123">
        <f t="shared" si="58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6"/>
        <v>0.4</v>
      </c>
      <c r="C198" s="123">
        <v>0.4</v>
      </c>
      <c r="D198" s="123">
        <f t="shared" si="57"/>
        <v>0.4</v>
      </c>
      <c r="E198" s="123">
        <f t="shared" si="57"/>
        <v>0.4</v>
      </c>
      <c r="F198" s="123">
        <f t="shared" si="57"/>
        <v>0.4</v>
      </c>
      <c r="G198" s="123">
        <f t="shared" si="57"/>
        <v>0.4</v>
      </c>
      <c r="H198" s="123">
        <f t="shared" si="57"/>
        <v>0.4</v>
      </c>
      <c r="I198" s="123">
        <f t="shared" si="57"/>
        <v>0.4</v>
      </c>
      <c r="J198" s="123">
        <f t="shared" si="57"/>
        <v>0.4</v>
      </c>
      <c r="K198" s="123">
        <f t="shared" si="57"/>
        <v>0.4</v>
      </c>
      <c r="L198" s="123">
        <f t="shared" si="57"/>
        <v>0.4</v>
      </c>
      <c r="M198" s="123">
        <f t="shared" si="57"/>
        <v>0.4</v>
      </c>
      <c r="N198" s="123">
        <f t="shared" si="57"/>
        <v>0.4</v>
      </c>
      <c r="O198" s="123">
        <f t="shared" si="57"/>
        <v>0.4</v>
      </c>
      <c r="P198" s="123">
        <f t="shared" si="57"/>
        <v>0.4</v>
      </c>
      <c r="Q198" s="123">
        <f t="shared" si="57"/>
        <v>0.4</v>
      </c>
      <c r="R198" s="123">
        <f t="shared" si="57"/>
        <v>0.4</v>
      </c>
      <c r="S198" s="123">
        <f t="shared" si="57"/>
        <v>0.4</v>
      </c>
      <c r="T198" s="123">
        <f t="shared" si="58"/>
        <v>0.4</v>
      </c>
      <c r="U198" s="123">
        <f t="shared" si="58"/>
        <v>0.4</v>
      </c>
      <c r="V198" s="123">
        <f t="shared" si="58"/>
        <v>0.4</v>
      </c>
      <c r="W198" s="123">
        <f t="shared" si="58"/>
        <v>0.4</v>
      </c>
      <c r="X198" s="123">
        <f t="shared" si="58"/>
        <v>0.4</v>
      </c>
      <c r="Y198" s="123">
        <f t="shared" si="58"/>
        <v>0.4</v>
      </c>
      <c r="Z198" s="123">
        <f t="shared" si="58"/>
        <v>0.4</v>
      </c>
      <c r="AA198" s="123">
        <f t="shared" si="58"/>
        <v>0.4</v>
      </c>
      <c r="AB198" s="123">
        <f t="shared" si="58"/>
        <v>0.4</v>
      </c>
      <c r="AC198" s="123">
        <f t="shared" si="58"/>
        <v>0.4</v>
      </c>
      <c r="AD198" s="123">
        <f t="shared" si="58"/>
        <v>0.4</v>
      </c>
      <c r="AE198" s="123">
        <f t="shared" si="58"/>
        <v>0.4</v>
      </c>
      <c r="AF198" s="123">
        <f t="shared" si="58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6"/>
        <v>0.64</v>
      </c>
      <c r="C199" s="133">
        <v>0.64</v>
      </c>
      <c r="D199" s="133">
        <f t="shared" si="57"/>
        <v>0.64</v>
      </c>
      <c r="E199" s="133">
        <f t="shared" si="57"/>
        <v>0.64</v>
      </c>
      <c r="F199" s="133">
        <f t="shared" si="57"/>
        <v>0.64</v>
      </c>
      <c r="G199" s="133">
        <f t="shared" si="57"/>
        <v>0.64</v>
      </c>
      <c r="H199" s="133">
        <f t="shared" si="57"/>
        <v>0.64</v>
      </c>
      <c r="I199" s="133">
        <f t="shared" si="57"/>
        <v>0.64</v>
      </c>
      <c r="J199" s="133">
        <f t="shared" si="57"/>
        <v>0.64</v>
      </c>
      <c r="K199" s="133">
        <f t="shared" si="57"/>
        <v>0.64</v>
      </c>
      <c r="L199" s="133">
        <f t="shared" si="57"/>
        <v>0.64</v>
      </c>
      <c r="M199" s="133">
        <f t="shared" si="57"/>
        <v>0.64</v>
      </c>
      <c r="N199" s="133">
        <f t="shared" si="57"/>
        <v>0.64</v>
      </c>
      <c r="O199" s="133">
        <f t="shared" si="57"/>
        <v>0.64</v>
      </c>
      <c r="P199" s="133">
        <f t="shared" si="57"/>
        <v>0.64</v>
      </c>
      <c r="Q199" s="133">
        <f t="shared" si="57"/>
        <v>0.64</v>
      </c>
      <c r="R199" s="133">
        <f t="shared" si="57"/>
        <v>0.64</v>
      </c>
      <c r="S199" s="133">
        <f t="shared" si="57"/>
        <v>0.64</v>
      </c>
      <c r="T199" s="133">
        <f t="shared" si="58"/>
        <v>0.64</v>
      </c>
      <c r="U199" s="133">
        <f t="shared" si="58"/>
        <v>0.64</v>
      </c>
      <c r="V199" s="133">
        <f t="shared" si="58"/>
        <v>0.64</v>
      </c>
      <c r="W199" s="133">
        <f t="shared" si="58"/>
        <v>0.64</v>
      </c>
      <c r="X199" s="133">
        <f t="shared" si="58"/>
        <v>0.64</v>
      </c>
      <c r="Y199" s="133">
        <f t="shared" si="58"/>
        <v>0.64</v>
      </c>
      <c r="Z199" s="133">
        <f t="shared" si="58"/>
        <v>0.64</v>
      </c>
      <c r="AA199" s="133">
        <f t="shared" si="58"/>
        <v>0.64</v>
      </c>
      <c r="AB199" s="133">
        <f t="shared" si="58"/>
        <v>0.64</v>
      </c>
      <c r="AC199" s="133">
        <f t="shared" si="58"/>
        <v>0.64</v>
      </c>
      <c r="AD199" s="133">
        <f t="shared" si="58"/>
        <v>0.64</v>
      </c>
      <c r="AE199" s="133">
        <f t="shared" si="58"/>
        <v>0.64</v>
      </c>
      <c r="AF199" s="133">
        <f t="shared" si="58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9">SUM(D194:D199)</f>
        <v>3.54</v>
      </c>
      <c r="E200" s="136">
        <f t="shared" si="59"/>
        <v>3.54</v>
      </c>
      <c r="F200" s="136">
        <f t="shared" si="59"/>
        <v>3.54</v>
      </c>
      <c r="G200" s="136">
        <f t="shared" si="59"/>
        <v>3.54</v>
      </c>
      <c r="H200" s="136">
        <f t="shared" si="59"/>
        <v>3.54</v>
      </c>
      <c r="I200" s="136">
        <f t="shared" si="59"/>
        <v>3.54</v>
      </c>
      <c r="J200" s="136">
        <f t="shared" si="59"/>
        <v>3.54</v>
      </c>
      <c r="K200" s="136">
        <f t="shared" si="59"/>
        <v>3.54</v>
      </c>
      <c r="L200" s="136">
        <f t="shared" si="59"/>
        <v>3.54</v>
      </c>
      <c r="M200" s="136">
        <f>SUM(M194:M199)</f>
        <v>3.54</v>
      </c>
      <c r="N200" s="136">
        <f t="shared" ref="N200:S200" si="60">SUM(N194:N199)</f>
        <v>3.54</v>
      </c>
      <c r="O200" s="136">
        <f t="shared" si="60"/>
        <v>3.54</v>
      </c>
      <c r="P200" s="136">
        <f t="shared" si="60"/>
        <v>3.54</v>
      </c>
      <c r="Q200" s="136">
        <f t="shared" si="60"/>
        <v>3.54</v>
      </c>
      <c r="R200" s="136">
        <f t="shared" si="60"/>
        <v>3.54</v>
      </c>
      <c r="S200" s="136">
        <f t="shared" si="60"/>
        <v>3.54</v>
      </c>
      <c r="T200" s="136">
        <f>SUM(T194:T199)</f>
        <v>3.54</v>
      </c>
      <c r="U200" s="136">
        <f t="shared" ref="U200:AG200" si="61">SUM(U194:U199)</f>
        <v>3.54</v>
      </c>
      <c r="V200" s="136">
        <f t="shared" si="61"/>
        <v>3.54</v>
      </c>
      <c r="W200" s="136">
        <f t="shared" si="61"/>
        <v>3.54</v>
      </c>
      <c r="X200" s="136">
        <f t="shared" si="61"/>
        <v>3.54</v>
      </c>
      <c r="Y200" s="136">
        <f t="shared" si="61"/>
        <v>3.54</v>
      </c>
      <c r="Z200" s="136">
        <f t="shared" si="61"/>
        <v>3.54</v>
      </c>
      <c r="AA200" s="136">
        <f t="shared" si="61"/>
        <v>3.54</v>
      </c>
      <c r="AB200" s="136">
        <f t="shared" si="61"/>
        <v>3.54</v>
      </c>
      <c r="AC200" s="136">
        <f t="shared" si="61"/>
        <v>3.54</v>
      </c>
      <c r="AD200" s="136">
        <f t="shared" si="61"/>
        <v>3.54</v>
      </c>
      <c r="AE200" s="136">
        <f t="shared" si="61"/>
        <v>3.54</v>
      </c>
      <c r="AF200" s="136">
        <f t="shared" si="61"/>
        <v>3.54</v>
      </c>
      <c r="AG200" s="137">
        <f t="shared" si="61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1655.1399999999999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16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2079/02/16)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2079/02/16)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2">B75</f>
        <v>1591.54</v>
      </c>
      <c r="U214" s="161">
        <f t="shared" si="62"/>
        <v>1566.14</v>
      </c>
      <c r="V214" s="161">
        <f t="shared" si="62"/>
        <v>1551.3400000000001</v>
      </c>
      <c r="W214" s="161">
        <f t="shared" si="62"/>
        <v>1476.04</v>
      </c>
      <c r="X214" s="161">
        <f t="shared" si="62"/>
        <v>1477.64</v>
      </c>
      <c r="Y214" s="161">
        <f t="shared" si="62"/>
        <v>1481.1399999999999</v>
      </c>
      <c r="Z214" s="161">
        <f t="shared" si="62"/>
        <v>1491.24</v>
      </c>
      <c r="AA214" s="161">
        <f t="shared" si="62"/>
        <v>1506.74</v>
      </c>
      <c r="AB214" s="161">
        <f t="shared" si="62"/>
        <v>1593.34</v>
      </c>
      <c r="AC214" s="161">
        <f t="shared" si="62"/>
        <v>1616.74</v>
      </c>
      <c r="AD214" s="161">
        <f t="shared" si="62"/>
        <v>1631.04</v>
      </c>
      <c r="AE214" s="161">
        <f t="shared" si="62"/>
        <v>1655.1399999999999</v>
      </c>
      <c r="AF214" s="161">
        <f t="shared" si="62"/>
        <v>1627.0400000000002</v>
      </c>
      <c r="AG214" s="161">
        <f t="shared" si="62"/>
        <v>1647.94</v>
      </c>
      <c r="AH214" s="161">
        <f t="shared" si="62"/>
        <v>1657.6400000000003</v>
      </c>
      <c r="AI214" s="161">
        <f t="shared" si="62"/>
        <v>1675.2400000000002</v>
      </c>
      <c r="AJ214" s="161">
        <f t="shared" si="62"/>
        <v>1676.8400000000001</v>
      </c>
      <c r="AK214" s="161">
        <f t="shared" si="62"/>
        <v>1672.14</v>
      </c>
      <c r="AL214" s="161">
        <f t="shared" si="62"/>
        <v>1658.3400000000001</v>
      </c>
      <c r="AM214" s="161">
        <f t="shared" si="62"/>
        <v>1661.94</v>
      </c>
      <c r="AN214" s="161">
        <f t="shared" si="62"/>
        <v>1668.54</v>
      </c>
      <c r="AO214" s="161">
        <f t="shared" si="62"/>
        <v>1664.9399999999998</v>
      </c>
      <c r="AP214" s="161">
        <f t="shared" si="62"/>
        <v>1661.94</v>
      </c>
      <c r="AQ214" s="161">
        <f t="shared" si="62"/>
        <v>1667.04</v>
      </c>
      <c r="AR214" s="161">
        <f t="shared" si="62"/>
        <v>1664.04</v>
      </c>
      <c r="AS214" s="161">
        <f t="shared" si="62"/>
        <v>1668.74</v>
      </c>
      <c r="AT214" s="161">
        <f t="shared" si="62"/>
        <v>1687.84</v>
      </c>
      <c r="AU214" s="161">
        <f t="shared" si="62"/>
        <v>1696.64</v>
      </c>
      <c r="AV214" s="161">
        <f t="shared" si="62"/>
        <v>1694.94</v>
      </c>
      <c r="AW214" s="161">
        <f t="shared" si="62"/>
        <v>1597.44</v>
      </c>
      <c r="AX214" s="161">
        <f t="shared" si="62"/>
        <v>1567.54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3">C199</f>
        <v>0.64</v>
      </c>
      <c r="C235" s="164">
        <f t="shared" si="63"/>
        <v>0.64</v>
      </c>
      <c r="D235" s="164">
        <f t="shared" si="63"/>
        <v>0.64</v>
      </c>
      <c r="E235" s="164">
        <f t="shared" si="63"/>
        <v>0.64</v>
      </c>
      <c r="F235" s="164">
        <f t="shared" si="63"/>
        <v>0.64</v>
      </c>
      <c r="G235" s="164">
        <f t="shared" si="63"/>
        <v>0.64</v>
      </c>
      <c r="H235" s="164">
        <f t="shared" si="63"/>
        <v>0.64</v>
      </c>
      <c r="I235" s="164">
        <f t="shared" si="63"/>
        <v>0.64</v>
      </c>
      <c r="J235" s="164">
        <f t="shared" si="63"/>
        <v>0.64</v>
      </c>
      <c r="K235" s="164">
        <f t="shared" si="63"/>
        <v>0.64</v>
      </c>
      <c r="L235" s="164">
        <f t="shared" si="63"/>
        <v>0.64</v>
      </c>
      <c r="M235" s="164">
        <f t="shared" si="63"/>
        <v>0.64</v>
      </c>
      <c r="N235" s="164">
        <f t="shared" si="63"/>
        <v>0.64</v>
      </c>
      <c r="O235" s="164">
        <f t="shared" si="63"/>
        <v>0.64</v>
      </c>
      <c r="P235" s="164">
        <f t="shared" si="63"/>
        <v>0.64</v>
      </c>
      <c r="Q235" s="164">
        <f t="shared" si="63"/>
        <v>0.64</v>
      </c>
      <c r="R235" s="164">
        <f t="shared" si="63"/>
        <v>0.64</v>
      </c>
      <c r="S235" s="164">
        <f t="shared" si="63"/>
        <v>0.64</v>
      </c>
      <c r="T235" s="164">
        <f t="shared" si="63"/>
        <v>0.64</v>
      </c>
      <c r="U235" s="164">
        <f t="shared" si="63"/>
        <v>0.64</v>
      </c>
      <c r="V235" s="164">
        <f t="shared" si="63"/>
        <v>0.64</v>
      </c>
      <c r="W235" s="164">
        <f t="shared" si="63"/>
        <v>0.64</v>
      </c>
      <c r="X235" s="164">
        <f t="shared" si="63"/>
        <v>0.64</v>
      </c>
      <c r="Y235" s="164">
        <f t="shared" si="63"/>
        <v>0.64</v>
      </c>
      <c r="Z235" s="164">
        <f t="shared" si="63"/>
        <v>0.64</v>
      </c>
      <c r="AA235" s="164">
        <f t="shared" si="63"/>
        <v>0.64</v>
      </c>
      <c r="AB235" s="164">
        <f t="shared" si="63"/>
        <v>0.64</v>
      </c>
      <c r="AC235" s="164">
        <f t="shared" si="63"/>
        <v>0.64</v>
      </c>
      <c r="AD235" s="164">
        <f t="shared" si="63"/>
        <v>0.64</v>
      </c>
      <c r="AE235" s="164">
        <f t="shared" si="63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4">IF(C203&lt;100,"",C203-520)</f>
        <v/>
      </c>
      <c r="D236" s="107" t="str">
        <f t="shared" si="64"/>
        <v/>
      </c>
      <c r="E236" s="107" t="str">
        <f t="shared" si="64"/>
        <v/>
      </c>
      <c r="F236" s="107" t="str">
        <f t="shared" si="64"/>
        <v/>
      </c>
      <c r="G236" s="107" t="str">
        <f t="shared" si="64"/>
        <v/>
      </c>
      <c r="H236" s="107" t="str">
        <f t="shared" si="64"/>
        <v/>
      </c>
      <c r="I236" s="107" t="str">
        <f t="shared" si="64"/>
        <v/>
      </c>
      <c r="J236" s="107" t="str">
        <f t="shared" si="64"/>
        <v/>
      </c>
      <c r="K236" s="107" t="str">
        <f t="shared" si="64"/>
        <v/>
      </c>
      <c r="L236" s="107" t="str">
        <f t="shared" si="64"/>
        <v/>
      </c>
      <c r="M236" s="107" t="str">
        <f t="shared" si="64"/>
        <v/>
      </c>
      <c r="N236" s="107" t="str">
        <f t="shared" si="64"/>
        <v/>
      </c>
      <c r="O236" s="107" t="str">
        <f t="shared" si="64"/>
        <v/>
      </c>
      <c r="P236" s="107" t="str">
        <f t="shared" si="64"/>
        <v/>
      </c>
      <c r="Q236" s="107" t="str">
        <f t="shared" si="64"/>
        <v/>
      </c>
      <c r="R236" s="107" t="str">
        <f t="shared" si="64"/>
        <v/>
      </c>
      <c r="S236" s="107" t="str">
        <f t="shared" si="64"/>
        <v/>
      </c>
      <c r="T236" s="107" t="str">
        <f t="shared" si="64"/>
        <v/>
      </c>
      <c r="U236" s="107" t="str">
        <f t="shared" si="64"/>
        <v/>
      </c>
      <c r="V236" s="107" t="str">
        <f t="shared" si="64"/>
        <v/>
      </c>
      <c r="W236" s="107" t="str">
        <f t="shared" si="64"/>
        <v/>
      </c>
      <c r="X236" s="107" t="str">
        <f t="shared" si="64"/>
        <v/>
      </c>
      <c r="Y236" s="107" t="str">
        <f t="shared" si="64"/>
        <v/>
      </c>
      <c r="Z236" s="107" t="str">
        <f t="shared" si="64"/>
        <v/>
      </c>
      <c r="AA236" s="107" t="str">
        <f t="shared" si="64"/>
        <v/>
      </c>
      <c r="AB236" s="107" t="str">
        <f t="shared" si="64"/>
        <v/>
      </c>
      <c r="AC236" s="107" t="str">
        <f t="shared" si="64"/>
        <v/>
      </c>
      <c r="AD236" s="107" t="str">
        <f t="shared" si="64"/>
        <v/>
      </c>
      <c r="AE236" s="107" t="str">
        <f t="shared" si="64"/>
        <v/>
      </c>
      <c r="AF236" s="107" t="str">
        <f t="shared" si="64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5">IF(B204&lt;100,"",B204-620)</f>
        <v/>
      </c>
      <c r="C237" s="107" t="str">
        <f t="shared" si="65"/>
        <v/>
      </c>
      <c r="D237" s="107" t="str">
        <f t="shared" si="65"/>
        <v/>
      </c>
      <c r="E237" s="107" t="str">
        <f t="shared" si="65"/>
        <v/>
      </c>
      <c r="F237" s="107" t="str">
        <f t="shared" si="65"/>
        <v/>
      </c>
      <c r="G237" s="107" t="str">
        <f t="shared" si="65"/>
        <v/>
      </c>
      <c r="H237" s="107" t="str">
        <f t="shared" si="65"/>
        <v/>
      </c>
      <c r="I237" s="107" t="str">
        <f t="shared" si="65"/>
        <v/>
      </c>
      <c r="J237" s="107" t="str">
        <f t="shared" si="65"/>
        <v/>
      </c>
      <c r="K237" s="107" t="str">
        <f t="shared" si="65"/>
        <v/>
      </c>
      <c r="L237" s="107" t="str">
        <f t="shared" si="65"/>
        <v/>
      </c>
      <c r="M237" s="107" t="str">
        <f t="shared" si="65"/>
        <v/>
      </c>
      <c r="N237" s="107" t="str">
        <f t="shared" si="65"/>
        <v/>
      </c>
      <c r="O237" s="107" t="str">
        <f t="shared" si="65"/>
        <v/>
      </c>
      <c r="P237" s="107" t="str">
        <f t="shared" si="65"/>
        <v/>
      </c>
      <c r="Q237" s="107" t="str">
        <f t="shared" si="65"/>
        <v/>
      </c>
      <c r="R237" s="107" t="str">
        <f t="shared" si="65"/>
        <v/>
      </c>
      <c r="S237" s="107" t="str">
        <f t="shared" si="65"/>
        <v/>
      </c>
      <c r="T237" s="107" t="str">
        <f t="shared" si="65"/>
        <v/>
      </c>
      <c r="U237" s="107" t="str">
        <f t="shared" si="65"/>
        <v/>
      </c>
      <c r="V237" s="107" t="str">
        <f t="shared" si="65"/>
        <v/>
      </c>
      <c r="W237" s="107" t="str">
        <f t="shared" si="65"/>
        <v/>
      </c>
      <c r="X237" s="107" t="str">
        <f t="shared" si="65"/>
        <v/>
      </c>
      <c r="Y237" s="107" t="str">
        <f t="shared" si="65"/>
        <v/>
      </c>
      <c r="Z237" s="107" t="str">
        <f t="shared" si="65"/>
        <v/>
      </c>
      <c r="AA237" s="107" t="str">
        <f t="shared" si="65"/>
        <v/>
      </c>
      <c r="AB237" s="107" t="str">
        <f t="shared" si="65"/>
        <v/>
      </c>
      <c r="AC237" s="107" t="str">
        <f t="shared" si="65"/>
        <v/>
      </c>
      <c r="AD237" s="107" t="str">
        <f t="shared" si="65"/>
        <v/>
      </c>
      <c r="AE237" s="107" t="str">
        <f t="shared" si="65"/>
        <v/>
      </c>
      <c r="AF237" s="107" t="str">
        <f t="shared" si="65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6">IF(B205&lt;100,"",B205-330)</f>
        <v/>
      </c>
      <c r="C238" s="107" t="str">
        <f t="shared" si="66"/>
        <v/>
      </c>
      <c r="D238" s="107" t="str">
        <f t="shared" si="66"/>
        <v/>
      </c>
      <c r="E238" s="107" t="str">
        <f t="shared" si="66"/>
        <v/>
      </c>
      <c r="F238" s="107" t="str">
        <f t="shared" si="66"/>
        <v/>
      </c>
      <c r="G238" s="107" t="str">
        <f t="shared" si="66"/>
        <v/>
      </c>
      <c r="H238" s="107" t="str">
        <f t="shared" si="66"/>
        <v/>
      </c>
      <c r="I238" s="107" t="str">
        <f t="shared" si="66"/>
        <v/>
      </c>
      <c r="J238" s="107" t="str">
        <f t="shared" si="66"/>
        <v/>
      </c>
      <c r="K238" s="107" t="str">
        <f t="shared" si="66"/>
        <v/>
      </c>
      <c r="L238" s="107" t="str">
        <f t="shared" si="66"/>
        <v/>
      </c>
      <c r="M238" s="107" t="str">
        <f t="shared" si="66"/>
        <v/>
      </c>
      <c r="N238" s="107" t="str">
        <f t="shared" si="66"/>
        <v/>
      </c>
      <c r="O238" s="107" t="str">
        <f t="shared" si="66"/>
        <v/>
      </c>
      <c r="P238" s="107" t="str">
        <f t="shared" si="66"/>
        <v/>
      </c>
      <c r="Q238" s="107" t="str">
        <f t="shared" si="66"/>
        <v/>
      </c>
      <c r="R238" s="107" t="str">
        <f t="shared" si="66"/>
        <v/>
      </c>
      <c r="S238" s="107" t="str">
        <f t="shared" si="66"/>
        <v/>
      </c>
      <c r="T238" s="107" t="str">
        <f t="shared" si="66"/>
        <v/>
      </c>
      <c r="U238" s="107" t="str">
        <f t="shared" si="66"/>
        <v/>
      </c>
      <c r="V238" s="107" t="str">
        <f t="shared" si="66"/>
        <v/>
      </c>
      <c r="W238" s="107" t="str">
        <f t="shared" si="66"/>
        <v/>
      </c>
      <c r="X238" s="107" t="str">
        <f t="shared" si="66"/>
        <v/>
      </c>
      <c r="Y238" s="107" t="str">
        <f t="shared" si="66"/>
        <v/>
      </c>
      <c r="Z238" s="107" t="str">
        <f t="shared" si="66"/>
        <v/>
      </c>
      <c r="AA238" s="107" t="str">
        <f t="shared" si="66"/>
        <v/>
      </c>
      <c r="AB238" s="107" t="str">
        <f t="shared" si="66"/>
        <v/>
      </c>
      <c r="AC238" s="107" t="str">
        <f t="shared" si="66"/>
        <v/>
      </c>
      <c r="AD238" s="107" t="str">
        <f t="shared" si="66"/>
        <v/>
      </c>
      <c r="AE238" s="107" t="str">
        <f t="shared" si="66"/>
        <v/>
      </c>
      <c r="AF238" s="107" t="str">
        <f t="shared" si="66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7">IF(C206&lt;100,"",C206-1500)</f>
        <v/>
      </c>
      <c r="D239" s="107" t="str">
        <f t="shared" si="67"/>
        <v/>
      </c>
      <c r="E239" s="107" t="str">
        <f t="shared" si="67"/>
        <v/>
      </c>
      <c r="F239" s="107" t="str">
        <f t="shared" si="67"/>
        <v/>
      </c>
      <c r="G239" s="107" t="str">
        <f t="shared" si="67"/>
        <v/>
      </c>
      <c r="H239" s="107" t="str">
        <f t="shared" si="67"/>
        <v/>
      </c>
      <c r="I239" s="107" t="str">
        <f t="shared" si="67"/>
        <v/>
      </c>
      <c r="J239" s="107" t="str">
        <f t="shared" si="67"/>
        <v/>
      </c>
      <c r="K239" s="107" t="str">
        <f t="shared" si="67"/>
        <v/>
      </c>
      <c r="L239" s="107" t="str">
        <f t="shared" si="67"/>
        <v/>
      </c>
      <c r="M239" s="107" t="str">
        <f t="shared" si="67"/>
        <v/>
      </c>
      <c r="N239" s="107" t="str">
        <f t="shared" si="67"/>
        <v/>
      </c>
      <c r="O239" s="107" t="str">
        <f t="shared" si="67"/>
        <v/>
      </c>
      <c r="P239" s="107" t="str">
        <f t="shared" si="67"/>
        <v/>
      </c>
      <c r="Q239" s="107" t="str">
        <f t="shared" si="67"/>
        <v/>
      </c>
      <c r="R239" s="107" t="str">
        <f t="shared" si="67"/>
        <v/>
      </c>
      <c r="S239" s="107" t="str">
        <f t="shared" si="67"/>
        <v/>
      </c>
      <c r="T239" s="107" t="str">
        <f t="shared" si="67"/>
        <v/>
      </c>
      <c r="U239" s="107" t="str">
        <f t="shared" si="67"/>
        <v/>
      </c>
      <c r="V239" s="107" t="str">
        <f t="shared" si="67"/>
        <v/>
      </c>
      <c r="W239" s="107" t="str">
        <f t="shared" si="67"/>
        <v/>
      </c>
      <c r="X239" s="107" t="str">
        <f t="shared" si="67"/>
        <v/>
      </c>
      <c r="Y239" s="107" t="str">
        <f t="shared" si="67"/>
        <v/>
      </c>
      <c r="Z239" s="107" t="str">
        <f t="shared" si="67"/>
        <v/>
      </c>
      <c r="AA239" s="107" t="str">
        <f t="shared" si="67"/>
        <v/>
      </c>
      <c r="AB239" s="107" t="str">
        <f t="shared" si="67"/>
        <v/>
      </c>
      <c r="AC239" s="107" t="str">
        <f t="shared" si="67"/>
        <v/>
      </c>
      <c r="AD239" s="107" t="str">
        <f t="shared" si="67"/>
        <v/>
      </c>
      <c r="AE239" s="107" t="str">
        <f t="shared" si="67"/>
        <v/>
      </c>
      <c r="AF239" s="107" t="str">
        <f t="shared" si="67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">
    <cfRule type="expression" dxfId="3750" priority="211">
      <formula>B$9&gt;=20/24</formula>
    </cfRule>
    <cfRule type="expression" dxfId="3749" priority="212">
      <formula>AND(B$9&gt;=14/24,B$9&lt;20/24)</formula>
    </cfRule>
    <cfRule type="expression" dxfId="3748" priority="213">
      <formula>AND(B$9&gt;=8/24,B$9&lt;14/24)</formula>
    </cfRule>
    <cfRule type="expression" dxfId="3747" priority="214">
      <formula>B$9&lt;8/24</formula>
    </cfRule>
  </conditionalFormatting>
  <conditionalFormatting sqref="AL4:AL6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3746" priority="206">
      <formula>AB$9&gt;=20/24</formula>
    </cfRule>
    <cfRule type="expression" dxfId="3745" priority="207">
      <formula>AND(AB$9&gt;=14/24,AB$9&lt;20/24)</formula>
    </cfRule>
    <cfRule type="expression" dxfId="3744" priority="208">
      <formula>AND(AB$9&gt;=8/24,AB$9&lt;14/24)</formula>
    </cfRule>
    <cfRule type="expression" dxfId="3743" priority="209">
      <formula>AB$9&lt;8/24</formula>
    </cfRule>
  </conditionalFormatting>
  <conditionalFormatting sqref="AG51 AB37:AF37 J11:AF11">
    <cfRule type="expression" dxfId="3742" priority="205">
      <formula>J11&gt;$AG11</formula>
    </cfRule>
  </conditionalFormatting>
  <conditionalFormatting sqref="A101:A157 A84:A97 A11:A14 A16:A32 A45:A72 A80:A82 A74:A78 A35:A43 A170:A200">
    <cfRule type="expression" dxfId="3741" priority="204">
      <formula>$AH11=0</formula>
    </cfRule>
  </conditionalFormatting>
  <conditionalFormatting sqref="A98">
    <cfRule type="expression" dxfId="3740" priority="203">
      <formula>$AH98=0</formula>
    </cfRule>
  </conditionalFormatting>
  <conditionalFormatting sqref="AL32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739" priority="201">
      <formula>$AH34=0</formula>
    </cfRule>
  </conditionalFormatting>
  <conditionalFormatting sqref="A83">
    <cfRule type="expression" dxfId="3738" priority="200">
      <formula>$AH83=0</formula>
    </cfRule>
  </conditionalFormatting>
  <conditionalFormatting sqref="A15">
    <cfRule type="expression" dxfId="3737" priority="199">
      <formula>$AH15=0</formula>
    </cfRule>
  </conditionalFormatting>
  <conditionalFormatting sqref="A164:A169">
    <cfRule type="expression" dxfId="3736" priority="198">
      <formula>$AH164=0</formula>
    </cfRule>
  </conditionalFormatting>
  <conditionalFormatting sqref="A158:A163">
    <cfRule type="expression" dxfId="3735" priority="197">
      <formula>$AH158=0</formula>
    </cfRule>
  </conditionalFormatting>
  <conditionalFormatting sqref="A44">
    <cfRule type="expression" dxfId="3734" priority="196">
      <formula>$AH44=0</formula>
    </cfRule>
  </conditionalFormatting>
  <conditionalFormatting sqref="A79">
    <cfRule type="expression" dxfId="3733" priority="195">
      <formula>$AH79=0</formula>
    </cfRule>
  </conditionalFormatting>
  <conditionalFormatting sqref="A73">
    <cfRule type="expression" dxfId="3732" priority="194">
      <formula>$AH73=0</formula>
    </cfRule>
  </conditionalFormatting>
  <conditionalFormatting sqref="AL34:AL35 AL7:AL31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731" priority="190">
      <formula>C$9&gt;=20/24</formula>
    </cfRule>
    <cfRule type="expression" dxfId="3730" priority="191">
      <formula>AND(C$9&gt;=14/24,C$9&lt;20/24)</formula>
    </cfRule>
    <cfRule type="expression" dxfId="3729" priority="192">
      <formula>AND(C$9&gt;=8/24,C$9&lt;14/24)</formula>
    </cfRule>
    <cfRule type="expression" dxfId="3728" priority="193">
      <formula>C$9&lt;8/24</formula>
    </cfRule>
  </conditionalFormatting>
  <conditionalFormatting sqref="AL33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727" priority="218">
      <formula>C$9&gt;=20/24</formula>
    </cfRule>
    <cfRule type="expression" dxfId="3726" priority="219">
      <formula>AND(C$9&gt;=14/24,C$9&lt;20/24)</formula>
    </cfRule>
    <cfRule type="expression" dxfId="3725" priority="220">
      <formula>AND(C$9&gt;=8/24,C$9&lt;14/24)</formula>
    </cfRule>
    <cfRule type="expression" dxfId="3724" priority="221">
      <formula>C$9&lt;8/24</formula>
    </cfRule>
  </conditionalFormatting>
  <conditionalFormatting sqref="A201">
    <cfRule type="expression" dxfId="3723" priority="222">
      <formula>$AH201=0</formula>
    </cfRule>
  </conditionalFormatting>
  <conditionalFormatting sqref="AG213">
    <cfRule type="expression" dxfId="3722" priority="223">
      <formula>B$9&gt;=20/24</formula>
    </cfRule>
    <cfRule type="expression" dxfId="3721" priority="224">
      <formula>AND(B$9&gt;=14/24,B$9&lt;20/24)</formula>
    </cfRule>
    <cfRule type="expression" dxfId="3720" priority="225">
      <formula>AND(B$9&gt;=8/24,B$9&lt;14/24)</formula>
    </cfRule>
    <cfRule type="expression" dxfId="3719" priority="226">
      <formula>B$9&lt;8/24</formula>
    </cfRule>
  </conditionalFormatting>
  <conditionalFormatting sqref="S8">
    <cfRule type="expression" dxfId="3718" priority="185">
      <formula>U$9&gt;=20/24</formula>
    </cfRule>
    <cfRule type="expression" dxfId="3717" priority="186">
      <formula>AND(U$9&gt;=14/24,U$9&lt;20/24)</formula>
    </cfRule>
    <cfRule type="expression" dxfId="3716" priority="187">
      <formula>AND(U$9&gt;=8/24,U$9&lt;14/24)</formula>
    </cfRule>
    <cfRule type="expression" dxfId="3715" priority="188">
      <formula>U$9&lt;8/24</formula>
    </cfRule>
  </conditionalFormatting>
  <conditionalFormatting sqref="AB8">
    <cfRule type="expression" dxfId="3714" priority="181">
      <formula>AD$9&gt;=20/24</formula>
    </cfRule>
    <cfRule type="expression" dxfId="3713" priority="182">
      <formula>AND(AD$9&gt;=14/24,AD$9&lt;20/24)</formula>
    </cfRule>
    <cfRule type="expression" dxfId="3712" priority="183">
      <formula>AND(AD$9&gt;=8/24,AD$9&lt;14/24)</formula>
    </cfRule>
    <cfRule type="expression" dxfId="3711" priority="184">
      <formula>AD$9&lt;8/24</formula>
    </cfRule>
  </conditionalFormatting>
  <conditionalFormatting sqref="AH213:AX213">
    <cfRule type="expression" dxfId="3710" priority="227">
      <formula>AG$9&gt;=20/24</formula>
    </cfRule>
    <cfRule type="expression" dxfId="3709" priority="228">
      <formula>AND(AG$9&gt;=14/24,AG$9&lt;20/24)</formula>
    </cfRule>
    <cfRule type="expression" dxfId="3708" priority="229">
      <formula>AND(AG$9&gt;=8/24,AG$9&lt;14/24)</formula>
    </cfRule>
    <cfRule type="expression" dxfId="3707" priority="230">
      <formula>AG$9&lt;8/24</formula>
    </cfRule>
  </conditionalFormatting>
  <conditionalFormatting sqref="T213">
    <cfRule type="expression" dxfId="3706" priority="231">
      <formula>AX$9&gt;=20/24</formula>
    </cfRule>
    <cfRule type="expression" dxfId="3705" priority="232">
      <formula>AND(AX$9&gt;=14/24,AX$9&lt;20/24)</formula>
    </cfRule>
    <cfRule type="expression" dxfId="3704" priority="233">
      <formula>AND(AX$9&gt;=8/24,AX$9&lt;14/24)</formula>
    </cfRule>
    <cfRule type="expression" dxfId="3703" priority="234">
      <formula>AX$9&lt;8/24</formula>
    </cfRule>
  </conditionalFormatting>
  <conditionalFormatting sqref="A100">
    <cfRule type="expression" dxfId="3702" priority="180">
      <formula>$AH100=0</formula>
    </cfRule>
  </conditionalFormatting>
  <conditionalFormatting sqref="E11:I11 E40:L41 T40:W41 Y40:AF41 C57:AF57">
    <cfRule type="expression" dxfId="3701" priority="176">
      <formula>C$9&gt;=20/24</formula>
    </cfRule>
    <cfRule type="expression" dxfId="3700" priority="177">
      <formula>AND(C$9&gt;=14/24,C$9&lt;20/24)</formula>
    </cfRule>
    <cfRule type="expression" dxfId="3699" priority="178">
      <formula>AND(C$9&gt;=8/24,C$9&lt;14/24)</formula>
    </cfRule>
    <cfRule type="expression" dxfId="3698" priority="179">
      <formula>C$9&lt;8/24</formula>
    </cfRule>
  </conditionalFormatting>
  <conditionalFormatting sqref="E39:L39 T39:W39 Y39:AF39">
    <cfRule type="expression" dxfId="3697" priority="172">
      <formula>E$9&gt;=20/24</formula>
    </cfRule>
    <cfRule type="expression" dxfId="3696" priority="173">
      <formula>AND(E$9&gt;=14/24,E$9&lt;20/24)</formula>
    </cfRule>
    <cfRule type="expression" dxfId="3695" priority="174">
      <formula>AND(E$9&gt;=8/24,E$9&lt;14/24)</formula>
    </cfRule>
    <cfRule type="expression" dxfId="3694" priority="175">
      <formula>E$9&lt;8/24</formula>
    </cfRule>
  </conditionalFormatting>
  <conditionalFormatting sqref="E11:I11 E39:L41 T39:W41 Y39:AF41">
    <cfRule type="expression" dxfId="3693" priority="171">
      <formula>E11&gt;$AG11</formula>
    </cfRule>
  </conditionalFormatting>
  <conditionalFormatting sqref="M11 C81:AF81 C58:V59 C69:AF72 C53:AF56 E12:M14 R60:V67 N19:Q19 C67:Q67 C60:Q63 D85:AF91 R28:AF31 R24:AF26 R18:AF22 M16:AF16 E36:AF36 W58:AF67 N11:AF14">
    <cfRule type="expression" dxfId="3692" priority="167">
      <formula>C$9&gt;=20/24</formula>
    </cfRule>
    <cfRule type="expression" dxfId="3691" priority="168">
      <formula>AND(C$9&gt;=14/24,C$9&lt;20/24)</formula>
    </cfRule>
    <cfRule type="expression" dxfId="3690" priority="169">
      <formula>AND(C$9&gt;=8/24,C$9&lt;14/24)</formula>
    </cfRule>
    <cfRule type="expression" dxfId="3689" priority="170">
      <formula>C$9&lt;8/24</formula>
    </cfRule>
  </conditionalFormatting>
  <conditionalFormatting sqref="R32:AF32">
    <cfRule type="expression" dxfId="3688" priority="163">
      <formula>R$9&gt;=20/24</formula>
    </cfRule>
    <cfRule type="expression" dxfId="3687" priority="164">
      <formula>AND(R$9&gt;=14/24,R$9&lt;20/24)</formula>
    </cfRule>
    <cfRule type="expression" dxfId="3686" priority="165">
      <formula>AND(R$9&gt;=8/24,R$9&lt;14/24)</formula>
    </cfRule>
    <cfRule type="expression" dxfId="3685" priority="166">
      <formula>R$9&lt;8/24</formula>
    </cfRule>
  </conditionalFormatting>
  <conditionalFormatting sqref="R35:AF35">
    <cfRule type="expression" dxfId="3684" priority="159">
      <formula>R$9&gt;=20/24</formula>
    </cfRule>
    <cfRule type="expression" dxfId="3683" priority="160">
      <formula>AND(R$9&gt;=14/24,R$9&lt;20/24)</formula>
    </cfRule>
    <cfRule type="expression" dxfId="3682" priority="161">
      <formula>AND(R$9&gt;=8/24,R$9&lt;14/24)</formula>
    </cfRule>
    <cfRule type="expression" dxfId="3681" priority="162">
      <formula>R$9&lt;8/24</formula>
    </cfRule>
  </conditionalFormatting>
  <conditionalFormatting sqref="R34:R35 C51:AF51 C53:AF56 G42:L44 E42:F43 E12:L15 N19:Q19 E36:R37 S34:AA37 R18:AF22 AB34:AF36 M11:AF16 R24:AF32">
    <cfRule type="expression" dxfId="3680" priority="158">
      <formula>C11&gt;$AG11</formula>
    </cfRule>
  </conditionalFormatting>
  <conditionalFormatting sqref="R34:AF34">
    <cfRule type="expression" dxfId="3679" priority="154">
      <formula>R$9&gt;=20/24</formula>
    </cfRule>
    <cfRule type="expression" dxfId="3678" priority="155">
      <formula>AND(R$9&gt;=14/24,R$9&lt;20/24)</formula>
    </cfRule>
    <cfRule type="expression" dxfId="3677" priority="156">
      <formula>AND(R$9&gt;=8/24,R$9&lt;14/24)</formula>
    </cfRule>
    <cfRule type="expression" dxfId="3676" priority="157">
      <formula>R$9&lt;8/24</formula>
    </cfRule>
  </conditionalFormatting>
  <conditionalFormatting sqref="E15:AF15">
    <cfRule type="expression" dxfId="3675" priority="150">
      <formula>E$9&gt;=20/24</formula>
    </cfRule>
    <cfRule type="expression" dxfId="3674" priority="151">
      <formula>AND(E$9&gt;=14/24,E$9&lt;20/24)</formula>
    </cfRule>
    <cfRule type="expression" dxfId="3673" priority="152">
      <formula>AND(E$9&gt;=8/24,E$9&lt;14/24)</formula>
    </cfRule>
    <cfRule type="expression" dxfId="3672" priority="153">
      <formula>E$9&lt;8/24</formula>
    </cfRule>
  </conditionalFormatting>
  <conditionalFormatting sqref="R33:AF33">
    <cfRule type="expression" dxfId="3671" priority="146">
      <formula>R$9&gt;=20/24</formula>
    </cfRule>
    <cfRule type="expression" dxfId="3670" priority="147">
      <formula>AND(R$9&gt;=14/24,R$9&lt;20/24)</formula>
    </cfRule>
    <cfRule type="expression" dxfId="3669" priority="148">
      <formula>AND(R$9&gt;=8/24,R$9&lt;14/24)</formula>
    </cfRule>
    <cfRule type="expression" dxfId="3668" priority="149">
      <formula>R$9&lt;8/24</formula>
    </cfRule>
  </conditionalFormatting>
  <conditionalFormatting sqref="R33:AF33">
    <cfRule type="expression" dxfId="3667" priority="145">
      <formula>R33&gt;$AG33</formula>
    </cfRule>
  </conditionalFormatting>
  <conditionalFormatting sqref="X42:AF43">
    <cfRule type="expression" dxfId="3666" priority="137">
      <formula>X$9&gt;=20/24</formula>
    </cfRule>
    <cfRule type="expression" dxfId="3665" priority="138">
      <formula>AND(X$9&gt;=14/24,X$9&lt;20/24)</formula>
    </cfRule>
    <cfRule type="expression" dxfId="3664" priority="139">
      <formula>AND(X$9&gt;=8/24,X$9&lt;14/24)</formula>
    </cfRule>
    <cfRule type="expression" dxfId="3663" priority="140">
      <formula>X$9&lt;8/24</formula>
    </cfRule>
  </conditionalFormatting>
  <conditionalFormatting sqref="X42:AF43">
    <cfRule type="expression" dxfId="3662" priority="136">
      <formula>X42&gt;$AG42</formula>
    </cfRule>
  </conditionalFormatting>
  <conditionalFormatting sqref="M39:R41 Q42:R43 M42:P44 R44:R45 Q44 S39:S45 T42:W45 X44:AF45 AF46 R47:AF50">
    <cfRule type="expression" dxfId="3661" priority="132">
      <formula>M$9&gt;=20/24</formula>
    </cfRule>
    <cfRule type="expression" dxfId="3660" priority="133">
      <formula>AND(M$9&gt;=14/24,M$9&lt;20/24)</formula>
    </cfRule>
    <cfRule type="expression" dxfId="3659" priority="134">
      <formula>AND(M$9&gt;=8/24,M$9&lt;14/24)</formula>
    </cfRule>
    <cfRule type="expression" dxfId="3658" priority="135">
      <formula>M$9&lt;8/24</formula>
    </cfRule>
  </conditionalFormatting>
  <conditionalFormatting sqref="M39:R41 Q42:R43 M42:P44 R44:R45 Q44 S39:S45 T42:W45 X44:AF45 AF46 R47:AF50">
    <cfRule type="expression" dxfId="3657" priority="131">
      <formula>M39&gt;$AG39</formula>
    </cfRule>
  </conditionalFormatting>
  <conditionalFormatting sqref="R27:AF27">
    <cfRule type="expression" dxfId="3656" priority="127">
      <formula>R$9&gt;=20/24</formula>
    </cfRule>
    <cfRule type="expression" dxfId="3655" priority="128">
      <formula>AND(R$9&gt;=14/24,R$9&lt;20/24)</formula>
    </cfRule>
    <cfRule type="expression" dxfId="3654" priority="129">
      <formula>AND(R$9&gt;=8/24,R$9&lt;14/24)</formula>
    </cfRule>
    <cfRule type="expression" dxfId="3653" priority="130">
      <formula>R$9&lt;8/24</formula>
    </cfRule>
  </conditionalFormatting>
  <conditionalFormatting sqref="E16:L29 M17:M29 N17:Q18 N20:Q29 E31:Q31 R17:AF17 R23:AF23">
    <cfRule type="expression" dxfId="3652" priority="123">
      <formula>E$9&gt;=20/24</formula>
    </cfRule>
    <cfRule type="expression" dxfId="3651" priority="124">
      <formula>AND(E$9&gt;=14/24,E$9&lt;20/24)</formula>
    </cfRule>
    <cfRule type="expression" dxfId="3650" priority="125">
      <formula>AND(E$9&gt;=8/24,E$9&lt;14/24)</formula>
    </cfRule>
    <cfRule type="expression" dxfId="3649" priority="126">
      <formula>E$9&lt;8/24</formula>
    </cfRule>
  </conditionalFormatting>
  <conditionalFormatting sqref="E32:Q32">
    <cfRule type="expression" dxfId="3648" priority="119">
      <formula>E$9&gt;=20/24</formula>
    </cfRule>
    <cfRule type="expression" dxfId="3647" priority="120">
      <formula>AND(E$9&gt;=14/24,E$9&lt;20/24)</formula>
    </cfRule>
    <cfRule type="expression" dxfId="3646" priority="121">
      <formula>AND(E$9&gt;=8/24,E$9&lt;14/24)</formula>
    </cfRule>
    <cfRule type="expression" dxfId="3645" priority="122">
      <formula>E$9&lt;8/24</formula>
    </cfRule>
  </conditionalFormatting>
  <conditionalFormatting sqref="E35:Q35">
    <cfRule type="expression" dxfId="3644" priority="115">
      <formula>E$9&gt;=20/24</formula>
    </cfRule>
    <cfRule type="expression" dxfId="3643" priority="116">
      <formula>AND(E$9&gt;=14/24,E$9&lt;20/24)</formula>
    </cfRule>
    <cfRule type="expression" dxfId="3642" priority="117">
      <formula>AND(E$9&gt;=8/24,E$9&lt;14/24)</formula>
    </cfRule>
    <cfRule type="expression" dxfId="3641" priority="118">
      <formula>E$9&lt;8/24</formula>
    </cfRule>
  </conditionalFormatting>
  <conditionalFormatting sqref="E16:L29 M17:M29 N17:Q18 E34:Q35 N20:Q29 E31:Q32 R17:AF17 R23:AF23">
    <cfRule type="expression" dxfId="3640" priority="114">
      <formula>E16&gt;$AG16</formula>
    </cfRule>
  </conditionalFormatting>
  <conditionalFormatting sqref="E34:Q34">
    <cfRule type="expression" dxfId="3639" priority="110">
      <formula>E$9&gt;=20/24</formula>
    </cfRule>
    <cfRule type="expression" dxfId="3638" priority="111">
      <formula>AND(E$9&gt;=14/24,E$9&lt;20/24)</formula>
    </cfRule>
    <cfRule type="expression" dxfId="3637" priority="112">
      <formula>AND(E$9&gt;=8/24,E$9&lt;14/24)</formula>
    </cfRule>
    <cfRule type="expression" dxfId="3636" priority="113">
      <formula>E$9&lt;8/24</formula>
    </cfRule>
  </conditionalFormatting>
  <conditionalFormatting sqref="E33:Q33">
    <cfRule type="expression" dxfId="3635" priority="102">
      <formula>E$9&gt;=20/24</formula>
    </cfRule>
    <cfRule type="expression" dxfId="3634" priority="103">
      <formula>AND(E$9&gt;=14/24,E$9&lt;20/24)</formula>
    </cfRule>
    <cfRule type="expression" dxfId="3633" priority="104">
      <formula>AND(E$9&gt;=8/24,E$9&lt;14/24)</formula>
    </cfRule>
    <cfRule type="expression" dxfId="3632" priority="105">
      <formula>E$9&lt;8/24</formula>
    </cfRule>
  </conditionalFormatting>
  <conditionalFormatting sqref="E33:Q33">
    <cfRule type="expression" dxfId="3631" priority="101">
      <formula>E33&gt;$AG33</formula>
    </cfRule>
  </conditionalFormatting>
  <conditionalFormatting sqref="C40:D41">
    <cfRule type="expression" dxfId="3630" priority="97">
      <formula>C$9&gt;=20/24</formula>
    </cfRule>
    <cfRule type="expression" dxfId="3629" priority="98">
      <formula>AND(C$9&gt;=14/24,C$9&lt;20/24)</formula>
    </cfRule>
    <cfRule type="expression" dxfId="3628" priority="99">
      <formula>AND(C$9&gt;=8/24,C$9&lt;14/24)</formula>
    </cfRule>
    <cfRule type="expression" dxfId="3627" priority="100">
      <formula>C$9&lt;8/24</formula>
    </cfRule>
  </conditionalFormatting>
  <conditionalFormatting sqref="C39:D39">
    <cfRule type="expression" dxfId="3626" priority="93">
      <formula>C$9&gt;=20/24</formula>
    </cfRule>
    <cfRule type="expression" dxfId="3625" priority="94">
      <formula>AND(C$9&gt;=14/24,C$9&lt;20/24)</formula>
    </cfRule>
    <cfRule type="expression" dxfId="3624" priority="95">
      <formula>AND(C$9&gt;=8/24,C$9&lt;14/24)</formula>
    </cfRule>
    <cfRule type="expression" dxfId="3623" priority="96">
      <formula>C$9&lt;8/24</formula>
    </cfRule>
  </conditionalFormatting>
  <conditionalFormatting sqref="C39:D41">
    <cfRule type="expression" dxfId="3622" priority="92">
      <formula>C39&gt;$AG39</formula>
    </cfRule>
  </conditionalFormatting>
  <conditionalFormatting sqref="C64:Q66">
    <cfRule type="expression" dxfId="3621" priority="88">
      <formula>C$9&gt;=20/24</formula>
    </cfRule>
    <cfRule type="expression" dxfId="3620" priority="89">
      <formula>AND(C$9&gt;=14/24,C$9&lt;20/24)</formula>
    </cfRule>
    <cfRule type="expression" dxfId="3619" priority="90">
      <formula>AND(C$9&gt;=8/24,C$9&lt;14/24)</formula>
    </cfRule>
    <cfRule type="expression" dxfId="3618" priority="91">
      <formula>C$9&lt;8/24</formula>
    </cfRule>
  </conditionalFormatting>
  <conditionalFormatting sqref="E44:F50 G45:Q45 G47:Q50 G46:AE46">
    <cfRule type="expression" dxfId="3617" priority="83">
      <formula>E$9&gt;=20/24</formula>
    </cfRule>
    <cfRule type="expression" dxfId="3616" priority="84">
      <formula>AND(E$9&gt;=14/24,E$9&lt;20/24)</formula>
    </cfRule>
    <cfRule type="expression" dxfId="3615" priority="85">
      <formula>AND(E$9&gt;=8/24,E$9&lt;14/24)</formula>
    </cfRule>
    <cfRule type="expression" dxfId="3614" priority="86">
      <formula>E$9&lt;8/24</formula>
    </cfRule>
  </conditionalFormatting>
  <conditionalFormatting sqref="E44:F50 G45:Q45 G47:Q50 G46:AE46">
    <cfRule type="expression" dxfId="3613" priority="82">
      <formula>E44&gt;$AG44</formula>
    </cfRule>
  </conditionalFormatting>
  <conditionalFormatting sqref="X40:X41">
    <cfRule type="expression" dxfId="3612" priority="78">
      <formula>X$9&gt;=20/24</formula>
    </cfRule>
    <cfRule type="expression" dxfId="3611" priority="79">
      <formula>AND(X$9&gt;=14/24,X$9&lt;20/24)</formula>
    </cfRule>
    <cfRule type="expression" dxfId="3610" priority="80">
      <formula>AND(X$9&gt;=8/24,X$9&lt;14/24)</formula>
    </cfRule>
    <cfRule type="expression" dxfId="3609" priority="81">
      <formula>X$9&lt;8/24</formula>
    </cfRule>
  </conditionalFormatting>
  <conditionalFormatting sqref="X39">
    <cfRule type="expression" dxfId="3608" priority="74">
      <formula>X$9&gt;=20/24</formula>
    </cfRule>
    <cfRule type="expression" dxfId="3607" priority="75">
      <formula>AND(X$9&gt;=14/24,X$9&lt;20/24)</formula>
    </cfRule>
    <cfRule type="expression" dxfId="3606" priority="76">
      <formula>AND(X$9&gt;=8/24,X$9&lt;14/24)</formula>
    </cfRule>
    <cfRule type="expression" dxfId="3605" priority="77">
      <formula>X$9&lt;8/24</formula>
    </cfRule>
  </conditionalFormatting>
  <conditionalFormatting sqref="X39:X41">
    <cfRule type="expression" dxfId="3604" priority="73">
      <formula>X39&gt;$AG39</formula>
    </cfRule>
  </conditionalFormatting>
  <conditionalFormatting sqref="B94:B100 B74:AF74 B82:AF82 B11:D11">
    <cfRule type="expression" dxfId="3603" priority="69">
      <formula>B$9&gt;=20/24</formula>
    </cfRule>
    <cfRule type="expression" dxfId="3602" priority="70">
      <formula>AND(B$9&gt;=14/24,B$9&lt;20/24)</formula>
    </cfRule>
    <cfRule type="expression" dxfId="3601" priority="71">
      <formula>AND(B$9&gt;=8/24,B$9&lt;14/24)</formula>
    </cfRule>
    <cfRule type="expression" dxfId="3600" priority="72">
      <formula>B$9&lt;8/24</formula>
    </cfRule>
  </conditionalFormatting>
  <conditionalFormatting sqref="B37:D37">
    <cfRule type="expression" dxfId="3599" priority="65">
      <formula>B$9&gt;=20/24</formula>
    </cfRule>
    <cfRule type="expression" dxfId="3598" priority="66">
      <formula>AND(B$9&gt;=14/24,B$9&lt;20/24)</formula>
    </cfRule>
    <cfRule type="expression" dxfId="3597" priority="67">
      <formula>AND(B$9&gt;=8/24,B$9&lt;14/24)</formula>
    </cfRule>
    <cfRule type="expression" dxfId="3596" priority="68">
      <formula>B$9&lt;8/24</formula>
    </cfRule>
  </conditionalFormatting>
  <conditionalFormatting sqref="B37:D37 B11:D11">
    <cfRule type="expression" dxfId="3595" priority="64">
      <formula>B11&gt;$AG11</formula>
    </cfRule>
  </conditionalFormatting>
  <conditionalFormatting sqref="B84">
    <cfRule type="expression" dxfId="3594" priority="60">
      <formula>B$9&gt;=20/24</formula>
    </cfRule>
    <cfRule type="expression" dxfId="3593" priority="61">
      <formula>AND(B$9&gt;=14/24,B$9&lt;20/24)</formula>
    </cfRule>
    <cfRule type="expression" dxfId="3592" priority="62">
      <formula>AND(B$9&gt;=8/24,B$9&lt;14/24)</formula>
    </cfRule>
    <cfRule type="expression" dxfId="3591" priority="63">
      <formula>B$9&lt;8/24</formula>
    </cfRule>
  </conditionalFormatting>
  <conditionalFormatting sqref="B40:B41 B57 B36:D36">
    <cfRule type="expression" dxfId="3590" priority="56">
      <formula>B$9&gt;=20/24</formula>
    </cfRule>
    <cfRule type="expression" dxfId="3589" priority="57">
      <formula>AND(B$9&gt;=14/24,B$9&lt;20/24)</formula>
    </cfRule>
    <cfRule type="expression" dxfId="3588" priority="58">
      <formula>AND(B$9&gt;=8/24,B$9&lt;14/24)</formula>
    </cfRule>
    <cfRule type="expression" dxfId="3587" priority="59">
      <formula>B$9&lt;8/24</formula>
    </cfRule>
  </conditionalFormatting>
  <conditionalFormatting sqref="B39">
    <cfRule type="expression" dxfId="3586" priority="52">
      <formula>B$9&gt;=20/24</formula>
    </cfRule>
    <cfRule type="expression" dxfId="3585" priority="53">
      <formula>AND(B$9&gt;=14/24,B$9&lt;20/24)</formula>
    </cfRule>
    <cfRule type="expression" dxfId="3584" priority="54">
      <formula>AND(B$9&gt;=8/24,B$9&lt;14/24)</formula>
    </cfRule>
    <cfRule type="expression" dxfId="3583" priority="55">
      <formula>B$9&lt;8/24</formula>
    </cfRule>
  </conditionalFormatting>
  <conditionalFormatting sqref="B39:B41 B36:D36">
    <cfRule type="expression" dxfId="3582" priority="51">
      <formula>B36&gt;$AG36</formula>
    </cfRule>
  </conditionalFormatting>
  <conditionalFormatting sqref="B53:B56 B58:B67 B69:B73 B75:AF75 C73:AF73 B81 B83:AF83 B85:C91 B12:D14 B16:D16 B28:D29 B18:D22 B24:D26 B31:D31 B30:Q30">
    <cfRule type="expression" dxfId="3581" priority="47">
      <formula>B$9&gt;=20/24</formula>
    </cfRule>
    <cfRule type="expression" dxfId="3580" priority="48">
      <formula>AND(B$9&gt;=14/24,B$9&lt;20/24)</formula>
    </cfRule>
    <cfRule type="expression" dxfId="3579" priority="49">
      <formula>AND(B$9&gt;=8/24,B$9&lt;14/24)</formula>
    </cfRule>
    <cfRule type="expression" dxfId="3578" priority="50">
      <formula>B$9&lt;8/24</formula>
    </cfRule>
  </conditionalFormatting>
  <conditionalFormatting sqref="B32:D32">
    <cfRule type="expression" dxfId="3577" priority="43">
      <formula>B$9&gt;=20/24</formula>
    </cfRule>
    <cfRule type="expression" dxfId="3576" priority="44">
      <formula>AND(B$9&gt;=14/24,B$9&lt;20/24)</formula>
    </cfRule>
    <cfRule type="expression" dxfId="3575" priority="45">
      <formula>AND(B$9&gt;=8/24,B$9&lt;14/24)</formula>
    </cfRule>
    <cfRule type="expression" dxfId="3574" priority="46">
      <formula>B$9&lt;8/24</formula>
    </cfRule>
  </conditionalFormatting>
  <conditionalFormatting sqref="B35:D35">
    <cfRule type="expression" dxfId="3573" priority="39">
      <formula>B$9&gt;=20/24</formula>
    </cfRule>
    <cfRule type="expression" dxfId="3572" priority="40">
      <formula>AND(B$9&gt;=14/24,B$9&lt;20/24)</formula>
    </cfRule>
    <cfRule type="expression" dxfId="3571" priority="41">
      <formula>AND(B$9&gt;=8/24,B$9&lt;14/24)</formula>
    </cfRule>
    <cfRule type="expression" dxfId="3570" priority="42">
      <formula>B$9&lt;8/24</formula>
    </cfRule>
  </conditionalFormatting>
  <conditionalFormatting sqref="B51:B56 B38:AF38 C52:AF52 B34:D35 B12:D16 B18:D22 B24:D29 B42:D43 B31:D32 B30:Q30">
    <cfRule type="expression" dxfId="3569" priority="38">
      <formula>B12&gt;$AG12</formula>
    </cfRule>
  </conditionalFormatting>
  <conditionalFormatting sqref="B34:D34">
    <cfRule type="expression" dxfId="3568" priority="34">
      <formula>B$9&gt;=20/24</formula>
    </cfRule>
    <cfRule type="expression" dxfId="3567" priority="35">
      <formula>AND(B$9&gt;=14/24,B$9&lt;20/24)</formula>
    </cfRule>
    <cfRule type="expression" dxfId="3566" priority="36">
      <formula>AND(B$9&gt;=8/24,B$9&lt;14/24)</formula>
    </cfRule>
    <cfRule type="expression" dxfId="3565" priority="37">
      <formula>B$9&lt;8/24</formula>
    </cfRule>
  </conditionalFormatting>
  <conditionalFormatting sqref="B15:D15">
    <cfRule type="expression" dxfId="3564" priority="30">
      <formula>B$9&gt;=20/24</formula>
    </cfRule>
    <cfRule type="expression" dxfId="3563" priority="31">
      <formula>AND(B$9&gt;=14/24,B$9&lt;20/24)</formula>
    </cfRule>
    <cfRule type="expression" dxfId="3562" priority="32">
      <formula>AND(B$9&gt;=8/24,B$9&lt;14/24)</formula>
    </cfRule>
    <cfRule type="expression" dxfId="3561" priority="33">
      <formula>B$9&lt;8/24</formula>
    </cfRule>
  </conditionalFormatting>
  <conditionalFormatting sqref="B33:D33">
    <cfRule type="expression" dxfId="3560" priority="26">
      <formula>B$9&gt;=20/24</formula>
    </cfRule>
    <cfRule type="expression" dxfId="3559" priority="27">
      <formula>AND(B$9&gt;=14/24,B$9&lt;20/24)</formula>
    </cfRule>
    <cfRule type="expression" dxfId="3558" priority="28">
      <formula>AND(B$9&gt;=8/24,B$9&lt;14/24)</formula>
    </cfRule>
    <cfRule type="expression" dxfId="3557" priority="29">
      <formula>B$9&lt;8/24</formula>
    </cfRule>
  </conditionalFormatting>
  <conditionalFormatting sqref="B33:D33">
    <cfRule type="expression" dxfId="3556" priority="25">
      <formula>B33&gt;$AG33</formula>
    </cfRule>
  </conditionalFormatting>
  <conditionalFormatting sqref="B44:D50">
    <cfRule type="expression" dxfId="3555" priority="21">
      <formula>B$9&gt;=20/24</formula>
    </cfRule>
    <cfRule type="expression" dxfId="3554" priority="22">
      <formula>AND(B$9&gt;=14/24,B$9&lt;20/24)</formula>
    </cfRule>
    <cfRule type="expression" dxfId="3553" priority="23">
      <formula>AND(B$9&gt;=8/24,B$9&lt;14/24)</formula>
    </cfRule>
    <cfRule type="expression" dxfId="3552" priority="24">
      <formula>B$9&lt;8/24</formula>
    </cfRule>
  </conditionalFormatting>
  <conditionalFormatting sqref="B44:D50">
    <cfRule type="expression" dxfId="3551" priority="20">
      <formula>B44&gt;$AG44</formula>
    </cfRule>
  </conditionalFormatting>
  <conditionalFormatting sqref="B27:D27">
    <cfRule type="expression" dxfId="3550" priority="16">
      <formula>B$9&gt;=20/24</formula>
    </cfRule>
    <cfRule type="expression" dxfId="3549" priority="17">
      <formula>AND(B$9&gt;=14/24,B$9&lt;20/24)</formula>
    </cfRule>
    <cfRule type="expression" dxfId="3548" priority="18">
      <formula>AND(B$9&gt;=8/24,B$9&lt;14/24)</formula>
    </cfRule>
    <cfRule type="expression" dxfId="3547" priority="19">
      <formula>B$9&lt;8/24</formula>
    </cfRule>
  </conditionalFormatting>
  <conditionalFormatting sqref="B17:D17 B23:D23">
    <cfRule type="expression" dxfId="3546" priority="12">
      <formula>B$9&gt;=20/24</formula>
    </cfRule>
    <cfRule type="expression" dxfId="3545" priority="13">
      <formula>AND(B$9&gt;=14/24,B$9&lt;20/24)</formula>
    </cfRule>
    <cfRule type="expression" dxfId="3544" priority="14">
      <formula>AND(B$9&gt;=8/24,B$9&lt;14/24)</formula>
    </cfRule>
    <cfRule type="expression" dxfId="3543" priority="15">
      <formula>B$9&lt;8/24</formula>
    </cfRule>
  </conditionalFormatting>
  <conditionalFormatting sqref="B17:D17 B23:D23">
    <cfRule type="expression" dxfId="3542" priority="11">
      <formula>B17&gt;$AG17</formula>
    </cfRule>
  </conditionalFormatting>
  <conditionalFormatting sqref="A33">
    <cfRule type="expression" dxfId="3541" priority="10">
      <formula>$AH33=0</formula>
    </cfRule>
  </conditionalFormatting>
  <conditionalFormatting sqref="B68:AF68">
    <cfRule type="expression" dxfId="3540" priority="6">
      <formula>B$9&gt;=20/24</formula>
    </cfRule>
    <cfRule type="expression" dxfId="3539" priority="7">
      <formula>AND(B$9&gt;=14/24,B$9&lt;20/24)</formula>
    </cfRule>
    <cfRule type="expression" dxfId="3538" priority="8">
      <formula>AND(B$9&gt;=8/24,B$9&lt;14/24)</formula>
    </cfRule>
    <cfRule type="expression" dxfId="3537" priority="9">
      <formula>B$9&lt;8/24</formula>
    </cfRule>
  </conditionalFormatting>
  <conditionalFormatting sqref="B76:AF80">
    <cfRule type="expression" dxfId="3536" priority="2">
      <formula>B$9&gt;=20/24</formula>
    </cfRule>
    <cfRule type="expression" dxfId="3535" priority="3">
      <formula>AND(B$9&gt;=14/24,B$9&lt;20/24)</formula>
    </cfRule>
    <cfRule type="expression" dxfId="3534" priority="4">
      <formula>AND(B$9&gt;=8/24,B$9&lt;14/24)</formula>
    </cfRule>
    <cfRule type="expression" dxfId="3533" priority="5">
      <formula>B$9&lt;8/24</formula>
    </cfRule>
  </conditionalFormatting>
  <conditionalFormatting sqref="A99">
    <cfRule type="expression" dxfId="3532" priority="1">
      <formula>$AH99=0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3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U45" sqref="U4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2079/02/17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45.4</v>
      </c>
      <c r="C5" s="32">
        <f t="shared" si="0"/>
        <v>43.2</v>
      </c>
      <c r="D5" s="32">
        <f t="shared" si="0"/>
        <v>25.5</v>
      </c>
      <c r="E5" s="32">
        <f t="shared" si="0"/>
        <v>5</v>
      </c>
      <c r="F5" s="32">
        <f t="shared" si="0"/>
        <v>5</v>
      </c>
      <c r="G5" s="32">
        <f t="shared" si="0"/>
        <v>5</v>
      </c>
      <c r="H5" s="32">
        <f t="shared" si="0"/>
        <v>5</v>
      </c>
      <c r="I5" s="32">
        <f t="shared" si="0"/>
        <v>5</v>
      </c>
      <c r="J5" s="32">
        <f t="shared" si="0"/>
        <v>48.4</v>
      </c>
      <c r="K5" s="32">
        <f t="shared" si="0"/>
        <v>18.8</v>
      </c>
      <c r="L5" s="32">
        <f t="shared" si="0"/>
        <v>34.1</v>
      </c>
      <c r="M5" s="32">
        <f t="shared" si="0"/>
        <v>31.4</v>
      </c>
      <c r="N5" s="32">
        <f t="shared" si="0"/>
        <v>73.3</v>
      </c>
      <c r="O5" s="32">
        <f t="shared" si="0"/>
        <v>73.400000000000006</v>
      </c>
      <c r="P5" s="32">
        <f t="shared" si="0"/>
        <v>58.2</v>
      </c>
      <c r="Q5" s="32">
        <f t="shared" si="0"/>
        <v>72.900000000000006</v>
      </c>
      <c r="R5" s="32">
        <f t="shared" si="0"/>
        <v>86.1</v>
      </c>
      <c r="S5" s="32">
        <f t="shared" si="0"/>
        <v>73.8</v>
      </c>
      <c r="T5" s="32">
        <f t="shared" si="0"/>
        <v>47.4</v>
      </c>
      <c r="U5" s="32">
        <f t="shared" si="0"/>
        <v>57.8</v>
      </c>
      <c r="V5" s="32">
        <f t="shared" si="0"/>
        <v>38.1</v>
      </c>
      <c r="W5" s="32">
        <f t="shared" si="0"/>
        <v>32.200000000000003</v>
      </c>
      <c r="X5" s="32">
        <f t="shared" si="0"/>
        <v>29.1</v>
      </c>
      <c r="Y5" s="32">
        <f t="shared" si="0"/>
        <v>32.4</v>
      </c>
      <c r="Z5" s="32">
        <f t="shared" si="0"/>
        <v>48.2</v>
      </c>
      <c r="AA5" s="32">
        <f t="shared" si="0"/>
        <v>62</v>
      </c>
      <c r="AB5" s="32">
        <f t="shared" si="0"/>
        <v>72</v>
      </c>
      <c r="AC5" s="32">
        <f t="shared" si="0"/>
        <v>81</v>
      </c>
      <c r="AD5" s="32">
        <f t="shared" si="0"/>
        <v>73</v>
      </c>
      <c r="AE5" s="32">
        <f t="shared" si="0"/>
        <v>37</v>
      </c>
      <c r="AF5" s="32">
        <f>B68</f>
        <v>41.7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1684MW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Load=1569</v>
      </c>
      <c r="B7" s="37">
        <f>B75</f>
        <v>1646.84</v>
      </c>
      <c r="C7" s="37">
        <f t="shared" ref="C7:AF7" si="1">C75</f>
        <v>1590.54</v>
      </c>
      <c r="D7" s="37">
        <f t="shared" si="1"/>
        <v>1569.34</v>
      </c>
      <c r="E7" s="37">
        <f t="shared" si="1"/>
        <v>1602.04</v>
      </c>
      <c r="F7" s="37">
        <f t="shared" si="1"/>
        <v>1604.1399999999999</v>
      </c>
      <c r="G7" s="37">
        <f t="shared" si="1"/>
        <v>1605.04</v>
      </c>
      <c r="H7" s="37">
        <f t="shared" si="1"/>
        <v>1624.44</v>
      </c>
      <c r="I7" s="37">
        <f t="shared" si="1"/>
        <v>1625.74</v>
      </c>
      <c r="J7" s="37">
        <f t="shared" si="1"/>
        <v>1652.54</v>
      </c>
      <c r="K7" s="37">
        <f t="shared" si="1"/>
        <v>1665.94</v>
      </c>
      <c r="L7" s="37">
        <f t="shared" si="1"/>
        <v>1667.24</v>
      </c>
      <c r="M7" s="37">
        <f t="shared" si="1"/>
        <v>1684.24</v>
      </c>
      <c r="N7" s="37">
        <f t="shared" si="1"/>
        <v>1677.24</v>
      </c>
      <c r="O7" s="37">
        <f t="shared" si="1"/>
        <v>1721.0399999999997</v>
      </c>
      <c r="P7" s="37">
        <f t="shared" si="1"/>
        <v>1715.94</v>
      </c>
      <c r="Q7" s="37">
        <f t="shared" si="1"/>
        <v>1694.5400000000002</v>
      </c>
      <c r="R7" s="37">
        <f t="shared" si="1"/>
        <v>1710.74</v>
      </c>
      <c r="S7" s="37">
        <f t="shared" si="1"/>
        <v>1730.4399999999998</v>
      </c>
      <c r="T7" s="37">
        <f t="shared" si="1"/>
        <v>1712.9399999999998</v>
      </c>
      <c r="U7" s="37">
        <f t="shared" si="1"/>
        <v>1671.1399999999999</v>
      </c>
      <c r="V7" s="37">
        <f t="shared" si="1"/>
        <v>1721.5399999999997</v>
      </c>
      <c r="W7" s="37">
        <f t="shared" si="1"/>
        <v>1699.8399999999997</v>
      </c>
      <c r="X7" s="37">
        <f t="shared" si="1"/>
        <v>1692.4399999999998</v>
      </c>
      <c r="Y7" s="37">
        <f t="shared" si="1"/>
        <v>1703.3399999999997</v>
      </c>
      <c r="Z7" s="37">
        <f t="shared" si="1"/>
        <v>1699.2399999999998</v>
      </c>
      <c r="AA7" s="37">
        <f t="shared" si="1"/>
        <v>1720.34</v>
      </c>
      <c r="AB7" s="37">
        <f t="shared" si="1"/>
        <v>1734.8400000000001</v>
      </c>
      <c r="AC7" s="37">
        <f t="shared" si="1"/>
        <v>1746.1399999999999</v>
      </c>
      <c r="AD7" s="37">
        <f t="shared" si="1"/>
        <v>1753.3400000000001</v>
      </c>
      <c r="AE7" s="37">
        <f t="shared" si="1"/>
        <v>1704.54</v>
      </c>
      <c r="AF7" s="37">
        <f t="shared" si="1"/>
        <v>1729.1399999999999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51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1">
        <v>456</v>
      </c>
      <c r="L11" s="51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3">
        <v>450</v>
      </c>
      <c r="T11" s="53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450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53.6</v>
      </c>
      <c r="C13" s="51">
        <v>53.6</v>
      </c>
      <c r="D13" s="51">
        <v>53.6</v>
      </c>
      <c r="E13" s="51">
        <v>53.6</v>
      </c>
      <c r="F13" s="51">
        <v>53.6</v>
      </c>
      <c r="G13" s="51">
        <v>53.6</v>
      </c>
      <c r="H13" s="51">
        <v>53.6</v>
      </c>
      <c r="I13" s="51">
        <v>53.6</v>
      </c>
      <c r="J13" s="51">
        <v>53.6</v>
      </c>
      <c r="K13" s="51">
        <v>53.6</v>
      </c>
      <c r="L13" s="51">
        <v>53.6</v>
      </c>
      <c r="M13" s="51">
        <v>53.8</v>
      </c>
      <c r="N13" s="51">
        <v>54</v>
      </c>
      <c r="O13" s="51">
        <v>54</v>
      </c>
      <c r="P13" s="51">
        <v>54</v>
      </c>
      <c r="Q13" s="51">
        <v>54</v>
      </c>
      <c r="R13" s="51">
        <v>53.8</v>
      </c>
      <c r="S13" s="51">
        <v>53.8</v>
      </c>
      <c r="T13" s="51">
        <v>53.8</v>
      </c>
      <c r="U13" s="51">
        <v>53.8</v>
      </c>
      <c r="V13" s="51">
        <v>53.8</v>
      </c>
      <c r="W13" s="51">
        <v>53.8</v>
      </c>
      <c r="X13" s="51">
        <v>53.8</v>
      </c>
      <c r="Y13" s="51">
        <v>53.8</v>
      </c>
      <c r="Z13" s="51">
        <v>53.8</v>
      </c>
      <c r="AA13" s="51">
        <v>53.8</v>
      </c>
      <c r="AB13" s="51">
        <v>53.8</v>
      </c>
      <c r="AC13" s="51">
        <v>53.8</v>
      </c>
      <c r="AD13" s="51">
        <v>53.8</v>
      </c>
      <c r="AE13" s="51">
        <v>0</v>
      </c>
      <c r="AF13" s="51">
        <v>54.6</v>
      </c>
      <c r="AG13" s="59">
        <v>52.4</v>
      </c>
      <c r="AH13" s="55">
        <f t="shared" si="2"/>
        <v>54.6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50.4</v>
      </c>
      <c r="C14" s="51">
        <v>50.4</v>
      </c>
      <c r="D14" s="51">
        <v>50.4</v>
      </c>
      <c r="E14" s="51">
        <v>50.4</v>
      </c>
      <c r="F14" s="51">
        <v>50.4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50.3</v>
      </c>
      <c r="N14" s="51">
        <v>50.3</v>
      </c>
      <c r="O14" s="51">
        <v>50.3</v>
      </c>
      <c r="P14" s="51">
        <v>50.3</v>
      </c>
      <c r="Q14" s="51">
        <v>50.3</v>
      </c>
      <c r="R14" s="51">
        <v>50.3</v>
      </c>
      <c r="S14" s="51">
        <v>50.3</v>
      </c>
      <c r="T14" s="51">
        <v>50.3</v>
      </c>
      <c r="U14" s="51">
        <v>50.3</v>
      </c>
      <c r="V14" s="51">
        <v>50.3</v>
      </c>
      <c r="W14" s="51">
        <v>50.3</v>
      </c>
      <c r="X14" s="51">
        <v>50.3</v>
      </c>
      <c r="Y14" s="51">
        <v>50.3</v>
      </c>
      <c r="Z14" s="51">
        <v>50.3</v>
      </c>
      <c r="AA14" s="51">
        <v>50.3</v>
      </c>
      <c r="AB14" s="51">
        <v>50.6</v>
      </c>
      <c r="AC14" s="51">
        <v>50.3</v>
      </c>
      <c r="AD14" s="51">
        <v>50.6</v>
      </c>
      <c r="AE14" s="51">
        <v>50.6</v>
      </c>
      <c r="AF14" s="51">
        <v>50.6</v>
      </c>
      <c r="AG14" s="59">
        <v>50</v>
      </c>
      <c r="AH14" s="55">
        <f t="shared" si="2"/>
        <v>50.6</v>
      </c>
      <c r="AI14" s="56">
        <f t="shared" si="3"/>
        <v>50.3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45.8</v>
      </c>
      <c r="N15" s="51">
        <v>45.8</v>
      </c>
      <c r="O15" s="51">
        <v>45.8</v>
      </c>
      <c r="P15" s="51">
        <v>45.8</v>
      </c>
      <c r="Q15" s="51">
        <v>45.8</v>
      </c>
      <c r="R15" s="51">
        <v>45.8</v>
      </c>
      <c r="S15" s="51">
        <v>45.8</v>
      </c>
      <c r="T15" s="51">
        <v>45.8</v>
      </c>
      <c r="U15" s="51">
        <v>45.8</v>
      </c>
      <c r="V15" s="51">
        <v>45.8</v>
      </c>
      <c r="W15" s="51">
        <v>45.8</v>
      </c>
      <c r="X15" s="51">
        <v>45.8</v>
      </c>
      <c r="Y15" s="51">
        <v>45.8</v>
      </c>
      <c r="Z15" s="51">
        <v>45.8</v>
      </c>
      <c r="AA15" s="51">
        <v>45.8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60">
        <v>45</v>
      </c>
      <c r="AH15" s="55">
        <f t="shared" si="2"/>
        <v>45.8</v>
      </c>
      <c r="AI15" s="56">
        <f t="shared" si="3"/>
        <v>45.7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40</v>
      </c>
      <c r="D16" s="51">
        <v>26</v>
      </c>
      <c r="E16" s="51">
        <v>26</v>
      </c>
      <c r="F16" s="51">
        <v>26</v>
      </c>
      <c r="G16" s="51">
        <v>26</v>
      </c>
      <c r="H16" s="51">
        <v>30</v>
      </c>
      <c r="I16" s="51">
        <v>30</v>
      </c>
      <c r="J16" s="51">
        <v>40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35</v>
      </c>
      <c r="R16" s="51">
        <v>40</v>
      </c>
      <c r="S16" s="51">
        <v>40</v>
      </c>
      <c r="T16" s="51">
        <v>37</v>
      </c>
      <c r="U16" s="51">
        <v>37</v>
      </c>
      <c r="V16" s="51">
        <v>37</v>
      </c>
      <c r="W16" s="51">
        <v>37</v>
      </c>
      <c r="X16" s="51">
        <v>37</v>
      </c>
      <c r="Y16" s="51">
        <v>37</v>
      </c>
      <c r="Z16" s="51">
        <v>37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26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13</v>
      </c>
      <c r="AF17" s="51">
        <v>13</v>
      </c>
      <c r="AG17" s="59">
        <v>42</v>
      </c>
      <c r="AH17" s="55">
        <f t="shared" si="2"/>
        <v>13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</v>
      </c>
      <c r="C19" s="51">
        <v>26</v>
      </c>
      <c r="D19" s="51">
        <v>26</v>
      </c>
      <c r="E19" s="51">
        <v>25</v>
      </c>
      <c r="F19" s="51">
        <v>25</v>
      </c>
      <c r="G19" s="51">
        <v>25</v>
      </c>
      <c r="H19" s="51">
        <v>25</v>
      </c>
      <c r="I19" s="51">
        <v>25</v>
      </c>
      <c r="J19" s="51">
        <v>25</v>
      </c>
      <c r="K19" s="51">
        <v>25</v>
      </c>
      <c r="L19" s="51">
        <v>25</v>
      </c>
      <c r="M19" s="51">
        <v>23.6</v>
      </c>
      <c r="N19" s="51">
        <v>23.6</v>
      </c>
      <c r="O19" s="51">
        <v>26.1</v>
      </c>
      <c r="P19" s="51">
        <v>26.1</v>
      </c>
      <c r="Q19" s="51">
        <v>26.1</v>
      </c>
      <c r="R19" s="51">
        <v>26.1</v>
      </c>
      <c r="S19" s="51">
        <v>26.1</v>
      </c>
      <c r="T19" s="51">
        <v>26.1</v>
      </c>
      <c r="U19" s="51">
        <v>26.1</v>
      </c>
      <c r="V19" s="51">
        <v>26.1</v>
      </c>
      <c r="W19" s="51">
        <v>26.1</v>
      </c>
      <c r="X19" s="51">
        <v>26.1</v>
      </c>
      <c r="Y19" s="51">
        <v>26.1</v>
      </c>
      <c r="Z19" s="51">
        <v>26.1</v>
      </c>
      <c r="AA19" s="51">
        <v>25.4</v>
      </c>
      <c r="AB19" s="51">
        <v>25.9</v>
      </c>
      <c r="AC19" s="51">
        <v>26</v>
      </c>
      <c r="AD19" s="51">
        <v>25.9</v>
      </c>
      <c r="AE19" s="51">
        <v>25.9</v>
      </c>
      <c r="AF19" s="51">
        <v>25.9</v>
      </c>
      <c r="AG19" s="59">
        <v>30</v>
      </c>
      <c r="AH19" s="55">
        <f t="shared" si="2"/>
        <v>26.1</v>
      </c>
      <c r="AI19" s="56">
        <f t="shared" si="3"/>
        <v>23.6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19.600000000000001</v>
      </c>
      <c r="C20" s="51">
        <v>19.600000000000001</v>
      </c>
      <c r="D20" s="51">
        <v>19.600000000000001</v>
      </c>
      <c r="E20" s="51">
        <v>19.600000000000001</v>
      </c>
      <c r="F20" s="51">
        <v>19.600000000000001</v>
      </c>
      <c r="G20" s="51">
        <v>19.600000000000001</v>
      </c>
      <c r="H20" s="51">
        <v>19.600000000000001</v>
      </c>
      <c r="I20" s="51">
        <v>19.600000000000001</v>
      </c>
      <c r="J20" s="51">
        <v>19.600000000000001</v>
      </c>
      <c r="K20" s="51">
        <v>19.600000000000001</v>
      </c>
      <c r="L20" s="51">
        <v>19.600000000000001</v>
      </c>
      <c r="M20" s="51">
        <v>19.7</v>
      </c>
      <c r="N20" s="51">
        <v>19.7</v>
      </c>
      <c r="O20" s="51">
        <v>19.7</v>
      </c>
      <c r="P20" s="51">
        <v>19.7</v>
      </c>
      <c r="Q20" s="51">
        <v>19.7</v>
      </c>
      <c r="R20" s="51">
        <v>19.600000000000001</v>
      </c>
      <c r="S20" s="51">
        <v>19.600000000000001</v>
      </c>
      <c r="T20" s="51">
        <v>19.600000000000001</v>
      </c>
      <c r="U20" s="51">
        <v>19.600000000000001</v>
      </c>
      <c r="V20" s="51">
        <v>19.600000000000001</v>
      </c>
      <c r="W20" s="51">
        <v>19.600000000000001</v>
      </c>
      <c r="X20" s="51">
        <v>19.600000000000001</v>
      </c>
      <c r="Y20" s="51">
        <v>19.600000000000001</v>
      </c>
      <c r="Z20" s="51">
        <v>19.600000000000001</v>
      </c>
      <c r="AA20" s="51">
        <v>19.600000000000001</v>
      </c>
      <c r="AB20" s="51">
        <v>19.600000000000001</v>
      </c>
      <c r="AC20" s="51">
        <v>19.600000000000001</v>
      </c>
      <c r="AD20" s="51">
        <v>19.600000000000001</v>
      </c>
      <c r="AE20" s="51">
        <v>19.600000000000001</v>
      </c>
      <c r="AF20" s="51">
        <v>19.600000000000001</v>
      </c>
      <c r="AG20" s="59">
        <v>27</v>
      </c>
      <c r="AH20" s="55">
        <f t="shared" si="2"/>
        <v>19.7</v>
      </c>
      <c r="AI20" s="56">
        <f t="shared" si="3"/>
        <v>19.600000000000001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0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24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24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5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10.5</v>
      </c>
      <c r="K26" s="51">
        <v>10.5</v>
      </c>
      <c r="L26" s="51">
        <v>10.5</v>
      </c>
      <c r="M26" s="51">
        <v>10.5</v>
      </c>
      <c r="N26" s="51">
        <v>10.5</v>
      </c>
      <c r="O26" s="51">
        <v>10.5</v>
      </c>
      <c r="P26" s="51">
        <v>10.5</v>
      </c>
      <c r="Q26" s="51">
        <v>10.5</v>
      </c>
      <c r="R26" s="51">
        <v>10.5</v>
      </c>
      <c r="S26" s="51">
        <v>10.5</v>
      </c>
      <c r="T26" s="51">
        <v>10.5</v>
      </c>
      <c r="U26" s="51">
        <v>10.5</v>
      </c>
      <c r="V26" s="51">
        <v>9</v>
      </c>
      <c r="W26" s="51">
        <v>7</v>
      </c>
      <c r="X26" s="51">
        <v>7</v>
      </c>
      <c r="Y26" s="51">
        <v>7</v>
      </c>
      <c r="Z26" s="51">
        <v>7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10.5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14</v>
      </c>
      <c r="T27" s="51">
        <v>14</v>
      </c>
      <c r="U27" s="51">
        <v>14</v>
      </c>
      <c r="V27" s="51">
        <v>0</v>
      </c>
      <c r="W27" s="51">
        <v>0</v>
      </c>
      <c r="X27" s="51">
        <v>0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5</v>
      </c>
      <c r="H28" s="51">
        <v>5</v>
      </c>
      <c r="I28" s="51">
        <v>5</v>
      </c>
      <c r="J28" s="51">
        <v>5</v>
      </c>
      <c r="K28" s="51">
        <v>5</v>
      </c>
      <c r="L28" s="51">
        <v>5</v>
      </c>
      <c r="M28" s="51">
        <v>5</v>
      </c>
      <c r="N28" s="51">
        <v>5</v>
      </c>
      <c r="O28" s="51">
        <v>5</v>
      </c>
      <c r="P28" s="51">
        <v>5</v>
      </c>
      <c r="Q28" s="51">
        <v>5</v>
      </c>
      <c r="R28" s="51">
        <v>5</v>
      </c>
      <c r="S28" s="51">
        <v>13.6</v>
      </c>
      <c r="T28" s="51">
        <v>13.6</v>
      </c>
      <c r="U28" s="51">
        <v>13.6</v>
      </c>
      <c r="V28" s="51">
        <v>13.6</v>
      </c>
      <c r="W28" s="51">
        <v>13.6</v>
      </c>
      <c r="X28" s="51">
        <v>13.6</v>
      </c>
      <c r="Y28" s="51">
        <v>13.6</v>
      </c>
      <c r="Z28" s="51">
        <v>13.6</v>
      </c>
      <c r="AA28" s="51">
        <v>13.6</v>
      </c>
      <c r="AB28" s="51">
        <v>13.6</v>
      </c>
      <c r="AC28" s="51">
        <v>13.6</v>
      </c>
      <c r="AD28" s="51">
        <v>13.6</v>
      </c>
      <c r="AE28" s="51">
        <v>13.6</v>
      </c>
      <c r="AF28" s="51">
        <v>13.6</v>
      </c>
      <c r="AG28" s="59">
        <v>22.2</v>
      </c>
      <c r="AH28" s="55">
        <f t="shared" si="2"/>
        <v>13.6</v>
      </c>
      <c r="AI28" s="56">
        <f t="shared" si="3"/>
        <v>5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5.7</v>
      </c>
      <c r="C31" s="51">
        <v>5.7</v>
      </c>
      <c r="D31" s="51">
        <v>5.7</v>
      </c>
      <c r="E31" s="51">
        <v>5.7</v>
      </c>
      <c r="F31" s="51">
        <v>5.7</v>
      </c>
      <c r="G31" s="51">
        <v>5.7</v>
      </c>
      <c r="H31" s="51">
        <v>5.7</v>
      </c>
      <c r="I31" s="51">
        <v>5.7</v>
      </c>
      <c r="J31" s="51">
        <v>5.7</v>
      </c>
      <c r="K31" s="51">
        <v>5.7</v>
      </c>
      <c r="L31" s="51">
        <v>5.7</v>
      </c>
      <c r="M31" s="51">
        <v>5.7</v>
      </c>
      <c r="N31" s="51">
        <v>5.7</v>
      </c>
      <c r="O31" s="51">
        <v>5.7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0">
        <v>22</v>
      </c>
      <c r="AH31" s="55">
        <f t="shared" si="2"/>
        <v>5.7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6</v>
      </c>
      <c r="AG32" s="64">
        <v>22</v>
      </c>
      <c r="AH32" s="55">
        <f t="shared" si="2"/>
        <v>6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10</v>
      </c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1">
        <v>10</v>
      </c>
      <c r="S34" s="51">
        <v>10</v>
      </c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1"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64">
        <v>20</v>
      </c>
      <c r="AH34" s="55">
        <f t="shared" si="2"/>
        <v>10</v>
      </c>
      <c r="AI34" s="56">
        <f t="shared" si="3"/>
        <v>10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4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132</v>
      </c>
      <c r="C37" s="68">
        <f>43+96</f>
        <v>139</v>
      </c>
      <c r="D37" s="66">
        <f>42.2+95.5</f>
        <v>137.69999999999999</v>
      </c>
      <c r="E37" s="66">
        <f>42.3+95.6</f>
        <v>137.89999999999998</v>
      </c>
      <c r="F37" s="66">
        <f>42.1+95</f>
        <v>137.1</v>
      </c>
      <c r="G37" s="66">
        <f>42+94.8</f>
        <v>136.80000000000001</v>
      </c>
      <c r="H37" s="66">
        <f>42+94.5</f>
        <v>136.5</v>
      </c>
      <c r="I37" s="66">
        <f>41.8+94.3</f>
        <v>136.1</v>
      </c>
      <c r="J37" s="66">
        <f>39.8+92.1</f>
        <v>131.89999999999998</v>
      </c>
      <c r="K37" s="66">
        <f>40.7+92.8</f>
        <v>133.5</v>
      </c>
      <c r="L37" s="66">
        <f>41.4+93.2</f>
        <v>134.6</v>
      </c>
      <c r="M37" s="66">
        <f>95+41.8</f>
        <v>136.80000000000001</v>
      </c>
      <c r="N37" s="66">
        <f>92.7+38.8</f>
        <v>131.5</v>
      </c>
      <c r="O37" s="66">
        <f>75.3+34.3</f>
        <v>109.6</v>
      </c>
      <c r="P37" s="66">
        <f>72.4+33.2</f>
        <v>105.60000000000001</v>
      </c>
      <c r="Q37" s="66">
        <f>75+36.6</f>
        <v>111.6</v>
      </c>
      <c r="R37" s="66">
        <f>75.6+36.8</f>
        <v>112.39999999999999</v>
      </c>
      <c r="S37" s="68">
        <f>36+72.2</f>
        <v>108.2</v>
      </c>
      <c r="T37" s="68">
        <f>35.9+72.1</f>
        <v>108</v>
      </c>
      <c r="U37" s="68">
        <v>109</v>
      </c>
      <c r="V37" s="68">
        <f>29.7+69.9</f>
        <v>99.600000000000009</v>
      </c>
      <c r="W37" s="68">
        <f>29+67.6</f>
        <v>96.6</v>
      </c>
      <c r="X37" s="68">
        <f>28.7+66.8</f>
        <v>95.5</v>
      </c>
      <c r="Y37" s="68">
        <f>36.7+73.5</f>
        <v>110.2</v>
      </c>
      <c r="Z37" s="68">
        <f>38.3+80.6</f>
        <v>118.89999999999999</v>
      </c>
      <c r="AA37" s="68">
        <f>36.9+75.9</f>
        <v>112.80000000000001</v>
      </c>
      <c r="AB37" s="68">
        <v>117.6</v>
      </c>
      <c r="AC37" s="68">
        <v>119</v>
      </c>
      <c r="AD37" s="68">
        <v>120</v>
      </c>
      <c r="AE37" s="68">
        <v>135</v>
      </c>
      <c r="AF37" s="68">
        <v>140</v>
      </c>
      <c r="AG37" s="64">
        <v>240</v>
      </c>
      <c r="AH37" s="55">
        <f t="shared" si="2"/>
        <v>140</v>
      </c>
      <c r="AI37" s="56">
        <f t="shared" si="3"/>
        <v>95.5</v>
      </c>
      <c r="AK37" s="57"/>
    </row>
    <row r="38" spans="1:88" ht="15.75" thickBot="1" x14ac:dyDescent="0.3">
      <c r="A38" s="69" t="s">
        <v>46</v>
      </c>
      <c r="B38" s="70">
        <f>SUM(B11:B36)</f>
        <v>1237.5</v>
      </c>
      <c r="C38" s="70">
        <f t="shared" ref="C38:AF38" si="4">SUM(C11:C36)</f>
        <v>1237.5</v>
      </c>
      <c r="D38" s="70">
        <f t="shared" si="4"/>
        <v>1218.5</v>
      </c>
      <c r="E38" s="70">
        <f t="shared" si="4"/>
        <v>1217.5</v>
      </c>
      <c r="F38" s="70">
        <f t="shared" si="4"/>
        <v>1217.5</v>
      </c>
      <c r="G38" s="70">
        <f t="shared" si="4"/>
        <v>1217.5</v>
      </c>
      <c r="H38" s="70">
        <f t="shared" si="4"/>
        <v>1221.5</v>
      </c>
      <c r="I38" s="70">
        <f t="shared" si="4"/>
        <v>1221.5</v>
      </c>
      <c r="J38" s="70">
        <f t="shared" si="4"/>
        <v>1242</v>
      </c>
      <c r="K38" s="70">
        <f t="shared" si="4"/>
        <v>1242</v>
      </c>
      <c r="L38" s="70">
        <f t="shared" si="4"/>
        <v>1242</v>
      </c>
      <c r="M38" s="70">
        <f t="shared" si="4"/>
        <v>1244.9000000000001</v>
      </c>
      <c r="N38" s="70">
        <f t="shared" si="4"/>
        <v>1239.0999999999999</v>
      </c>
      <c r="O38" s="70">
        <f t="shared" si="4"/>
        <v>1241.5999999999999</v>
      </c>
      <c r="P38" s="70">
        <f t="shared" si="4"/>
        <v>1235.9000000000001</v>
      </c>
      <c r="Q38" s="70">
        <f t="shared" si="4"/>
        <v>1230.9000000000001</v>
      </c>
      <c r="R38" s="70">
        <f t="shared" si="4"/>
        <v>1235.5999999999999</v>
      </c>
      <c r="S38" s="70">
        <f t="shared" si="4"/>
        <v>1244.1999999999998</v>
      </c>
      <c r="T38" s="70">
        <f t="shared" si="4"/>
        <v>1247.1999999999998</v>
      </c>
      <c r="U38" s="70">
        <f t="shared" si="4"/>
        <v>1225.1999999999998</v>
      </c>
      <c r="V38" s="70">
        <f t="shared" si="4"/>
        <v>1231.6999999999998</v>
      </c>
      <c r="W38" s="70">
        <f t="shared" si="4"/>
        <v>1229.6999999999998</v>
      </c>
      <c r="X38" s="70">
        <f t="shared" si="4"/>
        <v>1229.6999999999998</v>
      </c>
      <c r="Y38" s="70">
        <f t="shared" si="4"/>
        <v>1243.6999999999998</v>
      </c>
      <c r="Z38" s="70">
        <f t="shared" si="4"/>
        <v>1239.6999999999998</v>
      </c>
      <c r="AA38" s="70">
        <f t="shared" si="4"/>
        <v>1245</v>
      </c>
      <c r="AB38" s="70">
        <f t="shared" si="4"/>
        <v>1245.7</v>
      </c>
      <c r="AC38" s="70">
        <f t="shared" si="4"/>
        <v>1247.5</v>
      </c>
      <c r="AD38" s="70">
        <f t="shared" si="4"/>
        <v>1245.7</v>
      </c>
      <c r="AE38" s="70">
        <f t="shared" si="4"/>
        <v>1204.9000000000001</v>
      </c>
      <c r="AF38" s="70">
        <f t="shared" si="4"/>
        <v>1265.5</v>
      </c>
      <c r="AG38" s="64">
        <f>SUM(AG11:AG37)</f>
        <v>1492.8299999999997</v>
      </c>
      <c r="AH38" s="55">
        <f t="shared" si="2"/>
        <v>1265.5</v>
      </c>
      <c r="AI38" s="56">
        <f t="shared" si="3"/>
        <v>1204.9000000000001</v>
      </c>
      <c r="AK38" s="57"/>
    </row>
    <row r="39" spans="1:88" x14ac:dyDescent="0.25">
      <c r="A39" s="58" t="s">
        <v>47</v>
      </c>
      <c r="B39" s="51">
        <v>142</v>
      </c>
      <c r="C39" s="51">
        <v>142</v>
      </c>
      <c r="D39" s="51">
        <v>142</v>
      </c>
      <c r="E39" s="51">
        <v>142.30000000000001</v>
      </c>
      <c r="F39" s="51">
        <v>142.4</v>
      </c>
      <c r="G39" s="51">
        <v>142.19999999999999</v>
      </c>
      <c r="H39" s="51">
        <v>142.1</v>
      </c>
      <c r="I39" s="51">
        <v>142.30000000000001</v>
      </c>
      <c r="J39" s="51">
        <v>142.1</v>
      </c>
      <c r="K39" s="51">
        <v>142</v>
      </c>
      <c r="L39" s="51">
        <v>141.9</v>
      </c>
      <c r="M39" s="51">
        <v>141.69999999999999</v>
      </c>
      <c r="N39" s="51">
        <v>142.6</v>
      </c>
      <c r="O39" s="51">
        <v>143</v>
      </c>
      <c r="P39" s="51">
        <v>142.1</v>
      </c>
      <c r="Q39" s="51">
        <v>141.69999999999999</v>
      </c>
      <c r="R39" s="51">
        <v>140.19999999999999</v>
      </c>
      <c r="S39" s="51">
        <v>140</v>
      </c>
      <c r="T39" s="51">
        <v>140.80000000000001</v>
      </c>
      <c r="U39" s="51">
        <v>141.19999999999999</v>
      </c>
      <c r="V39" s="51">
        <v>141.19999999999999</v>
      </c>
      <c r="W39" s="51">
        <v>141.19999999999999</v>
      </c>
      <c r="X39" s="51">
        <v>142.69999999999999</v>
      </c>
      <c r="Y39" s="51">
        <v>142.69999999999999</v>
      </c>
      <c r="Z39" s="51">
        <v>143.19999999999999</v>
      </c>
      <c r="AA39" s="51">
        <v>143.19999999999999</v>
      </c>
      <c r="AB39" s="51">
        <v>143.19999999999999</v>
      </c>
      <c r="AC39" s="51">
        <v>144</v>
      </c>
      <c r="AD39" s="51">
        <v>144</v>
      </c>
      <c r="AE39" s="51">
        <v>144</v>
      </c>
      <c r="AF39" s="51">
        <v>144</v>
      </c>
      <c r="AG39" s="60">
        <v>144</v>
      </c>
      <c r="AH39" s="55">
        <f t="shared" si="2"/>
        <v>144</v>
      </c>
      <c r="AI39" s="56">
        <f t="shared" si="3"/>
        <v>140</v>
      </c>
      <c r="AK39" s="57"/>
    </row>
    <row r="40" spans="1:88" x14ac:dyDescent="0.25">
      <c r="A40" s="63" t="s">
        <v>48</v>
      </c>
      <c r="B40" s="49">
        <v>70.599999999999994</v>
      </c>
      <c r="C40" s="49">
        <v>70.599999999999994</v>
      </c>
      <c r="D40" s="49">
        <v>70.599999999999994</v>
      </c>
      <c r="E40" s="49">
        <v>70</v>
      </c>
      <c r="F40" s="49">
        <v>70.599999999999994</v>
      </c>
      <c r="G40" s="49">
        <v>72</v>
      </c>
      <c r="H40" s="49">
        <v>71</v>
      </c>
      <c r="I40" s="49">
        <v>72</v>
      </c>
      <c r="J40" s="49">
        <v>71.2</v>
      </c>
      <c r="K40" s="49">
        <v>71.2</v>
      </c>
      <c r="L40" s="49">
        <v>73</v>
      </c>
      <c r="M40" s="51">
        <v>72.2</v>
      </c>
      <c r="N40" s="51">
        <v>72.400000000000006</v>
      </c>
      <c r="O40" s="51">
        <v>71.3</v>
      </c>
      <c r="P40" s="51">
        <v>71.900000000000006</v>
      </c>
      <c r="Q40" s="51">
        <v>70.599999999999994</v>
      </c>
      <c r="R40" s="51">
        <v>70.8</v>
      </c>
      <c r="S40" s="49">
        <v>70.900000000000006</v>
      </c>
      <c r="T40" s="49">
        <v>71.099999999999994</v>
      </c>
      <c r="U40" s="49">
        <v>69.7</v>
      </c>
      <c r="V40" s="49">
        <v>69.7</v>
      </c>
      <c r="W40" s="49">
        <v>69.7</v>
      </c>
      <c r="X40" s="49">
        <v>69.7</v>
      </c>
      <c r="Y40" s="49">
        <v>69.7</v>
      </c>
      <c r="Z40" s="49">
        <v>71</v>
      </c>
      <c r="AA40" s="49">
        <v>71</v>
      </c>
      <c r="AB40" s="49">
        <v>71</v>
      </c>
      <c r="AC40" s="49">
        <v>70.5</v>
      </c>
      <c r="AD40" s="49">
        <v>70.5</v>
      </c>
      <c r="AE40" s="49">
        <v>70.5</v>
      </c>
      <c r="AF40" s="49">
        <v>70.5</v>
      </c>
      <c r="AG40" s="64">
        <v>70</v>
      </c>
      <c r="AH40" s="55">
        <f t="shared" si="2"/>
        <v>73</v>
      </c>
      <c r="AI40" s="56">
        <f t="shared" si="3"/>
        <v>69.7</v>
      </c>
      <c r="AK40" s="57"/>
    </row>
    <row r="41" spans="1:88" x14ac:dyDescent="0.25">
      <c r="A41" s="63" t="s">
        <v>49</v>
      </c>
      <c r="B41" s="49">
        <v>62.4</v>
      </c>
      <c r="C41" s="49">
        <v>62.4</v>
      </c>
      <c r="D41" s="49">
        <v>62.4</v>
      </c>
      <c r="E41" s="49">
        <v>61.7</v>
      </c>
      <c r="F41" s="49">
        <v>62</v>
      </c>
      <c r="G41" s="49">
        <v>61.7</v>
      </c>
      <c r="H41" s="49">
        <v>62.1</v>
      </c>
      <c r="I41" s="49">
        <v>62.2</v>
      </c>
      <c r="J41" s="49">
        <v>62.3</v>
      </c>
      <c r="K41" s="49">
        <v>62.4</v>
      </c>
      <c r="L41" s="49">
        <v>62.3</v>
      </c>
      <c r="M41" s="51">
        <v>62.1</v>
      </c>
      <c r="N41" s="51">
        <v>62.2</v>
      </c>
      <c r="O41" s="51">
        <v>62.4</v>
      </c>
      <c r="P41" s="51">
        <v>62.3</v>
      </c>
      <c r="Q41" s="51">
        <v>62.7</v>
      </c>
      <c r="R41" s="51">
        <v>62.6</v>
      </c>
      <c r="S41" s="49">
        <v>62.2</v>
      </c>
      <c r="T41" s="49">
        <v>62.3</v>
      </c>
      <c r="U41" s="49">
        <v>62.6</v>
      </c>
      <c r="V41" s="49">
        <v>62.6</v>
      </c>
      <c r="W41" s="49">
        <v>62.6</v>
      </c>
      <c r="X41" s="49">
        <v>62.6</v>
      </c>
      <c r="Y41" s="49">
        <v>62.6</v>
      </c>
      <c r="Z41" s="49">
        <v>62.6</v>
      </c>
      <c r="AA41" s="49">
        <v>62.6</v>
      </c>
      <c r="AB41" s="49">
        <v>62.6</v>
      </c>
      <c r="AC41" s="49">
        <v>62</v>
      </c>
      <c r="AD41" s="49">
        <v>62</v>
      </c>
      <c r="AE41" s="49">
        <v>62</v>
      </c>
      <c r="AF41" s="49">
        <v>62</v>
      </c>
      <c r="AG41" s="64">
        <v>69</v>
      </c>
      <c r="AH41" s="55">
        <f t="shared" si="2"/>
        <v>62.7</v>
      </c>
      <c r="AI41" s="56">
        <f t="shared" si="3"/>
        <v>61.7</v>
      </c>
      <c r="AK41" s="57"/>
    </row>
    <row r="42" spans="1:88" x14ac:dyDescent="0.25">
      <c r="A42" s="63" t="s">
        <v>50</v>
      </c>
      <c r="B42" s="66">
        <v>60</v>
      </c>
      <c r="C42" s="66">
        <v>0</v>
      </c>
      <c r="D42" s="66">
        <v>0</v>
      </c>
      <c r="E42" s="66">
        <v>58.2</v>
      </c>
      <c r="F42" s="66">
        <v>59</v>
      </c>
      <c r="G42" s="66">
        <v>59</v>
      </c>
      <c r="H42" s="66">
        <v>60</v>
      </c>
      <c r="I42" s="66">
        <v>60</v>
      </c>
      <c r="J42" s="66">
        <v>60.2</v>
      </c>
      <c r="K42" s="66">
        <v>60.2</v>
      </c>
      <c r="L42" s="66">
        <v>60.2</v>
      </c>
      <c r="M42" s="51">
        <v>60.2</v>
      </c>
      <c r="N42" s="51">
        <v>60.2</v>
      </c>
      <c r="O42" s="51">
        <v>60.2</v>
      </c>
      <c r="P42" s="51">
        <v>60.2</v>
      </c>
      <c r="Q42" s="51">
        <v>60.2</v>
      </c>
      <c r="R42" s="51">
        <v>60.2</v>
      </c>
      <c r="S42" s="51">
        <v>60.2</v>
      </c>
      <c r="T42" s="51">
        <v>60.2</v>
      </c>
      <c r="U42" s="51">
        <v>60.2</v>
      </c>
      <c r="V42" s="51">
        <v>60.2</v>
      </c>
      <c r="W42" s="51">
        <v>60.2</v>
      </c>
      <c r="X42" s="51">
        <v>60.2</v>
      </c>
      <c r="Y42" s="51">
        <v>60.2</v>
      </c>
      <c r="Z42" s="49">
        <v>60.2</v>
      </c>
      <c r="AA42" s="49">
        <v>60.2</v>
      </c>
      <c r="AB42" s="66">
        <v>60.2</v>
      </c>
      <c r="AC42" s="66">
        <v>60.2</v>
      </c>
      <c r="AD42" s="66">
        <v>60.2</v>
      </c>
      <c r="AE42" s="66">
        <v>60.2</v>
      </c>
      <c r="AF42" s="66">
        <v>60.2</v>
      </c>
      <c r="AG42" s="64">
        <v>60</v>
      </c>
      <c r="AH42" s="55">
        <f t="shared" si="2"/>
        <v>60.2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0</v>
      </c>
      <c r="C43" s="66">
        <v>0</v>
      </c>
      <c r="D43" s="66">
        <v>0</v>
      </c>
      <c r="E43" s="66">
        <v>0</v>
      </c>
      <c r="F43" s="66">
        <v>15</v>
      </c>
      <c r="G43" s="66">
        <v>15</v>
      </c>
      <c r="H43" s="66">
        <v>30</v>
      </c>
      <c r="I43" s="66">
        <v>30</v>
      </c>
      <c r="J43" s="66">
        <v>30</v>
      </c>
      <c r="K43" s="66">
        <v>0</v>
      </c>
      <c r="L43" s="66">
        <v>29.3</v>
      </c>
      <c r="M43" s="51">
        <v>29.3</v>
      </c>
      <c r="N43" s="51">
        <v>29.5</v>
      </c>
      <c r="O43" s="51">
        <v>29.5</v>
      </c>
      <c r="P43" s="51">
        <v>29.4</v>
      </c>
      <c r="Q43" s="51">
        <v>29.5</v>
      </c>
      <c r="R43" s="51">
        <v>29.3</v>
      </c>
      <c r="S43" s="51">
        <v>29.5</v>
      </c>
      <c r="T43" s="51">
        <v>14.8</v>
      </c>
      <c r="U43" s="51">
        <v>14.5</v>
      </c>
      <c r="V43" s="51">
        <v>29</v>
      </c>
      <c r="W43" s="51">
        <v>29</v>
      </c>
      <c r="X43" s="51">
        <v>29</v>
      </c>
      <c r="Y43" s="51">
        <v>29</v>
      </c>
      <c r="Z43" s="49">
        <v>29.2</v>
      </c>
      <c r="AA43" s="49">
        <v>29.2</v>
      </c>
      <c r="AB43" s="66">
        <v>29.2</v>
      </c>
      <c r="AC43" s="66">
        <v>29</v>
      </c>
      <c r="AD43" s="66">
        <v>29</v>
      </c>
      <c r="AE43" s="66">
        <v>29</v>
      </c>
      <c r="AF43" s="66">
        <v>29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7</v>
      </c>
      <c r="K44" s="66">
        <v>7</v>
      </c>
      <c r="L44" s="66">
        <v>7</v>
      </c>
      <c r="M44" s="66">
        <v>7</v>
      </c>
      <c r="N44" s="51">
        <v>7</v>
      </c>
      <c r="O44" s="51">
        <v>7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5</v>
      </c>
      <c r="Y44" s="51">
        <v>5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0</v>
      </c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51">
        <v>0</v>
      </c>
      <c r="S45" s="51">
        <v>0</v>
      </c>
      <c r="T45" s="51">
        <v>0</v>
      </c>
      <c r="U45" s="51">
        <v>8</v>
      </c>
      <c r="V45" s="51">
        <v>17</v>
      </c>
      <c r="W45" s="51">
        <v>17</v>
      </c>
      <c r="X45" s="51">
        <v>17</v>
      </c>
      <c r="Y45" s="51">
        <v>17</v>
      </c>
      <c r="Z45" s="51">
        <v>17</v>
      </c>
      <c r="AA45" s="51">
        <v>17</v>
      </c>
      <c r="AB45" s="49">
        <v>17</v>
      </c>
      <c r="AC45" s="49">
        <v>17</v>
      </c>
      <c r="AD45" s="49">
        <v>17</v>
      </c>
      <c r="AE45" s="49">
        <v>17</v>
      </c>
      <c r="AF45" s="49">
        <v>17</v>
      </c>
      <c r="AG45" s="64">
        <v>24</v>
      </c>
      <c r="AH45" s="55">
        <f t="shared" si="2"/>
        <v>17</v>
      </c>
      <c r="AI45" s="56">
        <f t="shared" si="3"/>
        <v>0</v>
      </c>
      <c r="AK45" s="57"/>
    </row>
    <row r="46" spans="1:88" x14ac:dyDescent="0.25">
      <c r="A46" s="63" t="s">
        <v>54</v>
      </c>
      <c r="B46" s="49">
        <v>0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51">
        <v>0</v>
      </c>
      <c r="S46" s="51">
        <v>0</v>
      </c>
      <c r="T46" s="51">
        <v>2</v>
      </c>
      <c r="U46" s="51">
        <v>2</v>
      </c>
      <c r="V46" s="51">
        <v>2</v>
      </c>
      <c r="W46" s="51">
        <v>2</v>
      </c>
      <c r="X46" s="51">
        <v>2</v>
      </c>
      <c r="Y46" s="51">
        <v>2</v>
      </c>
      <c r="Z46" s="51">
        <v>2</v>
      </c>
      <c r="AA46" s="51">
        <v>2</v>
      </c>
      <c r="AB46" s="49">
        <v>2</v>
      </c>
      <c r="AC46" s="49">
        <v>2</v>
      </c>
      <c r="AD46" s="49">
        <v>2</v>
      </c>
      <c r="AE46" s="49">
        <v>2</v>
      </c>
      <c r="AF46" s="49">
        <v>2</v>
      </c>
      <c r="AG46" s="64">
        <v>15</v>
      </c>
      <c r="AH46" s="55">
        <f t="shared" si="2"/>
        <v>2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0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51">
        <v>0</v>
      </c>
      <c r="S47" s="51">
        <v>0</v>
      </c>
      <c r="T47" s="51">
        <v>0</v>
      </c>
      <c r="U47" s="51">
        <v>0</v>
      </c>
      <c r="V47" s="51">
        <v>10</v>
      </c>
      <c r="W47" s="51">
        <v>10</v>
      </c>
      <c r="X47" s="51">
        <v>10</v>
      </c>
      <c r="Y47" s="51">
        <v>10</v>
      </c>
      <c r="Z47" s="51">
        <v>10</v>
      </c>
      <c r="AA47" s="51">
        <v>10</v>
      </c>
      <c r="AB47" s="49">
        <v>10</v>
      </c>
      <c r="AC47" s="49">
        <v>10</v>
      </c>
      <c r="AD47" s="49">
        <v>10</v>
      </c>
      <c r="AE47" s="49">
        <v>10</v>
      </c>
      <c r="AF47" s="49">
        <v>10</v>
      </c>
      <c r="AG47" s="64">
        <v>14.1</v>
      </c>
      <c r="AH47" s="55">
        <f t="shared" si="2"/>
        <v>10</v>
      </c>
      <c r="AI47" s="56">
        <f t="shared" si="3"/>
        <v>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13.7</v>
      </c>
      <c r="C48" s="49">
        <v>13.7</v>
      </c>
      <c r="D48" s="49">
        <v>13.7</v>
      </c>
      <c r="E48" s="49">
        <v>7.9</v>
      </c>
      <c r="F48" s="49">
        <v>13.7</v>
      </c>
      <c r="G48" s="49">
        <v>13.7</v>
      </c>
      <c r="H48" s="49">
        <v>13.8</v>
      </c>
      <c r="I48" s="49">
        <v>13.8</v>
      </c>
      <c r="J48" s="49">
        <v>13.8</v>
      </c>
      <c r="K48" s="49">
        <v>13.8</v>
      </c>
      <c r="L48" s="49">
        <v>13.8</v>
      </c>
      <c r="M48" s="49">
        <v>13.8</v>
      </c>
      <c r="N48" s="49">
        <v>13.9</v>
      </c>
      <c r="O48" s="49">
        <v>13.8</v>
      </c>
      <c r="P48" s="49">
        <v>13.8</v>
      </c>
      <c r="Q48" s="49">
        <v>13.8</v>
      </c>
      <c r="R48" s="51">
        <v>13.8</v>
      </c>
      <c r="S48" s="51">
        <v>13.8</v>
      </c>
      <c r="T48" s="51">
        <v>13.8</v>
      </c>
      <c r="U48" s="51">
        <v>13.4</v>
      </c>
      <c r="V48" s="51">
        <v>13.4</v>
      </c>
      <c r="W48" s="51">
        <v>13.4</v>
      </c>
      <c r="X48" s="51">
        <v>13.4</v>
      </c>
      <c r="Y48" s="51">
        <v>13.4</v>
      </c>
      <c r="Z48" s="51">
        <v>13</v>
      </c>
      <c r="AA48" s="51">
        <v>13</v>
      </c>
      <c r="AB48" s="49">
        <v>13</v>
      </c>
      <c r="AC48" s="49">
        <v>13</v>
      </c>
      <c r="AD48" s="49">
        <v>13</v>
      </c>
      <c r="AE48" s="49">
        <v>13</v>
      </c>
      <c r="AF48" s="49">
        <v>13</v>
      </c>
      <c r="AG48" s="64">
        <v>14</v>
      </c>
      <c r="AH48" s="55">
        <f t="shared" si="2"/>
        <v>13.9</v>
      </c>
      <c r="AI48" s="56">
        <f t="shared" si="3"/>
        <v>7.9</v>
      </c>
      <c r="AK48" s="57"/>
    </row>
    <row r="49" spans="1:37" x14ac:dyDescent="0.25">
      <c r="A49" s="63" t="s">
        <v>57</v>
      </c>
      <c r="B49" s="49">
        <v>9.4</v>
      </c>
      <c r="C49" s="49">
        <v>9.4</v>
      </c>
      <c r="D49" s="49">
        <v>9.4</v>
      </c>
      <c r="E49" s="49">
        <v>9.4</v>
      </c>
      <c r="F49" s="49">
        <v>9.4</v>
      </c>
      <c r="G49" s="49">
        <v>9.4</v>
      </c>
      <c r="H49" s="49">
        <v>9.4</v>
      </c>
      <c r="I49" s="49">
        <v>9.4</v>
      </c>
      <c r="J49" s="49">
        <v>9.4</v>
      </c>
      <c r="K49" s="49">
        <v>9.4</v>
      </c>
      <c r="L49" s="49">
        <v>9.4</v>
      </c>
      <c r="M49" s="49">
        <v>9.4</v>
      </c>
      <c r="N49" s="49">
        <v>9.4</v>
      </c>
      <c r="O49" s="49">
        <v>9.4</v>
      </c>
      <c r="P49" s="49">
        <v>9.4</v>
      </c>
      <c r="Q49" s="49">
        <v>9.4</v>
      </c>
      <c r="R49" s="51">
        <v>7.8</v>
      </c>
      <c r="S49" s="51">
        <v>6</v>
      </c>
      <c r="T49" s="51">
        <v>9.4</v>
      </c>
      <c r="U49" s="51">
        <v>9.4</v>
      </c>
      <c r="V49" s="51">
        <v>9.4</v>
      </c>
      <c r="W49" s="51">
        <v>9.4</v>
      </c>
      <c r="X49" s="51">
        <v>9.4</v>
      </c>
      <c r="Y49" s="51">
        <v>9.4</v>
      </c>
      <c r="Z49" s="51">
        <v>9.4</v>
      </c>
      <c r="AA49" s="51">
        <v>9.4</v>
      </c>
      <c r="AB49" s="49">
        <v>9.4</v>
      </c>
      <c r="AC49" s="49">
        <v>9.4</v>
      </c>
      <c r="AD49" s="49">
        <v>9.4</v>
      </c>
      <c r="AE49" s="49">
        <v>9.4</v>
      </c>
      <c r="AF49" s="49">
        <v>9.4</v>
      </c>
      <c r="AG49" s="64">
        <v>10.050000000000001</v>
      </c>
      <c r="AH49" s="55">
        <f t="shared" si="2"/>
        <v>9.4</v>
      </c>
      <c r="AI49" s="56">
        <f t="shared" si="3"/>
        <v>6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49">
        <v>6</v>
      </c>
      <c r="O50" s="49">
        <v>6</v>
      </c>
      <c r="P50" s="49">
        <v>6</v>
      </c>
      <c r="Q50" s="49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49">
        <v>6</v>
      </c>
      <c r="AC50" s="49">
        <v>6</v>
      </c>
      <c r="AD50" s="49">
        <v>6</v>
      </c>
      <c r="AE50" s="49">
        <v>6</v>
      </c>
      <c r="AF50" s="49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AG201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367.64</v>
      </c>
      <c r="C52" s="70">
        <f t="shared" ref="C52:AF52" si="6">SUM(C39:C51)</f>
        <v>307.64</v>
      </c>
      <c r="D52" s="70">
        <f t="shared" si="6"/>
        <v>307.64</v>
      </c>
      <c r="E52" s="70">
        <f t="shared" si="6"/>
        <v>359.03999999999996</v>
      </c>
      <c r="F52" s="70">
        <f t="shared" si="6"/>
        <v>381.64</v>
      </c>
      <c r="G52" s="70">
        <f t="shared" si="6"/>
        <v>382.53999999999996</v>
      </c>
      <c r="H52" s="70">
        <f t="shared" si="6"/>
        <v>397.94</v>
      </c>
      <c r="I52" s="70">
        <f t="shared" si="6"/>
        <v>399.24</v>
      </c>
      <c r="J52" s="70">
        <f t="shared" si="6"/>
        <v>405.54</v>
      </c>
      <c r="K52" s="70">
        <f t="shared" si="6"/>
        <v>375.53999999999996</v>
      </c>
      <c r="L52" s="70">
        <f t="shared" si="6"/>
        <v>406.44</v>
      </c>
      <c r="M52" s="70">
        <f t="shared" si="6"/>
        <v>405.24</v>
      </c>
      <c r="N52" s="70">
        <f t="shared" si="6"/>
        <v>406.73999999999995</v>
      </c>
      <c r="O52" s="70">
        <f t="shared" si="6"/>
        <v>406.14</v>
      </c>
      <c r="P52" s="70">
        <f t="shared" si="6"/>
        <v>406.64</v>
      </c>
      <c r="Q52" s="70">
        <f t="shared" si="6"/>
        <v>405.44</v>
      </c>
      <c r="R52" s="70">
        <f t="shared" si="6"/>
        <v>402.24000000000007</v>
      </c>
      <c r="S52" s="70">
        <f t="shared" si="6"/>
        <v>400.14000000000004</v>
      </c>
      <c r="T52" s="70">
        <f t="shared" si="6"/>
        <v>391.94</v>
      </c>
      <c r="U52" s="70">
        <f t="shared" si="6"/>
        <v>398.53999999999996</v>
      </c>
      <c r="V52" s="70">
        <f t="shared" si="6"/>
        <v>432.03999999999996</v>
      </c>
      <c r="W52" s="70">
        <f t="shared" si="6"/>
        <v>432.03999999999996</v>
      </c>
      <c r="X52" s="70">
        <f t="shared" si="6"/>
        <v>430.53999999999996</v>
      </c>
      <c r="Y52" s="70">
        <f t="shared" si="6"/>
        <v>430.53999999999996</v>
      </c>
      <c r="Z52" s="70">
        <f t="shared" si="6"/>
        <v>427.14</v>
      </c>
      <c r="AA52" s="70">
        <f t="shared" si="6"/>
        <v>427.14</v>
      </c>
      <c r="AB52" s="70">
        <f t="shared" si="6"/>
        <v>427.14</v>
      </c>
      <c r="AC52" s="70">
        <f t="shared" si="6"/>
        <v>426.64</v>
      </c>
      <c r="AD52" s="70">
        <f t="shared" si="6"/>
        <v>426.64</v>
      </c>
      <c r="AE52" s="70">
        <f t="shared" si="6"/>
        <v>426.64</v>
      </c>
      <c r="AF52" s="70">
        <f t="shared" si="6"/>
        <v>426.64</v>
      </c>
      <c r="AG52" s="74">
        <f>SUM(AG39:AG51)</f>
        <v>489.91</v>
      </c>
      <c r="AH52" s="55">
        <f t="shared" si="2"/>
        <v>432.03999999999996</v>
      </c>
      <c r="AI52" s="56">
        <f t="shared" si="3"/>
        <v>307.64</v>
      </c>
      <c r="AK52" s="57"/>
    </row>
    <row r="53" spans="1:37" x14ac:dyDescent="0.25">
      <c r="A53" s="58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24.4</v>
      </c>
      <c r="L53" s="51">
        <v>30</v>
      </c>
      <c r="M53" s="51">
        <v>40</v>
      </c>
      <c r="N53" s="51">
        <v>60</v>
      </c>
      <c r="O53" s="51">
        <v>60</v>
      </c>
      <c r="P53" s="51">
        <v>60</v>
      </c>
      <c r="Q53" s="51">
        <v>60</v>
      </c>
      <c r="R53" s="51">
        <v>50</v>
      </c>
      <c r="S53" s="51">
        <v>49.6</v>
      </c>
      <c r="T53" s="51">
        <v>35</v>
      </c>
      <c r="U53" s="51">
        <v>58.3</v>
      </c>
      <c r="V53" s="51">
        <v>30.8</v>
      </c>
      <c r="W53" s="51">
        <v>14</v>
      </c>
      <c r="X53" s="51">
        <v>10.7</v>
      </c>
      <c r="Y53" s="51">
        <v>10.6</v>
      </c>
      <c r="Z53" s="51">
        <v>48.2</v>
      </c>
      <c r="AA53" s="51">
        <v>60</v>
      </c>
      <c r="AB53" s="51">
        <v>59.9</v>
      </c>
      <c r="AC53" s="51">
        <v>59.9</v>
      </c>
      <c r="AD53" s="51">
        <v>59.9</v>
      </c>
      <c r="AE53" s="51">
        <v>59.9</v>
      </c>
      <c r="AF53" s="51">
        <v>35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10.7</v>
      </c>
      <c r="L54" s="49">
        <v>12.8</v>
      </c>
      <c r="M54" s="49">
        <v>18.2</v>
      </c>
      <c r="N54" s="49">
        <v>26.7</v>
      </c>
      <c r="O54" s="49">
        <v>30.1</v>
      </c>
      <c r="P54" s="49">
        <v>30.1</v>
      </c>
      <c r="Q54" s="49">
        <v>28.9</v>
      </c>
      <c r="R54" s="49">
        <v>23.8</v>
      </c>
      <c r="S54" s="49">
        <v>24.6</v>
      </c>
      <c r="T54" s="49">
        <v>16.3</v>
      </c>
      <c r="U54" s="49">
        <v>30.1</v>
      </c>
      <c r="V54" s="49">
        <v>21.5</v>
      </c>
      <c r="W54" s="49">
        <v>6</v>
      </c>
      <c r="X54" s="49">
        <v>5.4</v>
      </c>
      <c r="Y54" s="49">
        <v>6.8</v>
      </c>
      <c r="Z54" s="49">
        <v>14.7</v>
      </c>
      <c r="AA54" s="49">
        <v>25.3</v>
      </c>
      <c r="AB54" s="49">
        <v>31.5</v>
      </c>
      <c r="AC54" s="49">
        <v>31.5</v>
      </c>
      <c r="AD54" s="49">
        <v>31.5</v>
      </c>
      <c r="AE54" s="49">
        <v>31.5</v>
      </c>
      <c r="AF54" s="49">
        <v>16</v>
      </c>
      <c r="AG54" s="64">
        <v>32</v>
      </c>
      <c r="AH54" s="55">
        <f t="shared" si="2"/>
        <v>31.5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3.9</v>
      </c>
      <c r="L55" s="75">
        <v>4.7</v>
      </c>
      <c r="M55" s="75">
        <v>6.7</v>
      </c>
      <c r="N55" s="75">
        <v>10</v>
      </c>
      <c r="O55" s="75">
        <v>11</v>
      </c>
      <c r="P55" s="75">
        <v>11</v>
      </c>
      <c r="Q55" s="75">
        <v>10.6</v>
      </c>
      <c r="R55" s="75">
        <v>8.6999999999999993</v>
      </c>
      <c r="S55" s="75">
        <v>9</v>
      </c>
      <c r="T55" s="75">
        <v>5.9</v>
      </c>
      <c r="U55" s="75">
        <v>11</v>
      </c>
      <c r="V55" s="75">
        <v>7.4</v>
      </c>
      <c r="W55" s="75">
        <v>2.2000000000000002</v>
      </c>
      <c r="X55" s="75">
        <v>2</v>
      </c>
      <c r="Y55" s="75">
        <v>2.5</v>
      </c>
      <c r="Z55" s="75">
        <v>5.3</v>
      </c>
      <c r="AA55" s="75">
        <v>9.1999999999999993</v>
      </c>
      <c r="AB55" s="75">
        <v>11.5</v>
      </c>
      <c r="AC55" s="75">
        <v>11.5</v>
      </c>
      <c r="AD55" s="75">
        <v>11.5</v>
      </c>
      <c r="AE55" s="75">
        <v>11.5</v>
      </c>
      <c r="AF55" s="75">
        <v>6</v>
      </c>
      <c r="AG55" s="76">
        <v>14</v>
      </c>
      <c r="AH55" s="55">
        <f t="shared" si="2"/>
        <v>11.5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7">SUM(B53:B55)</f>
        <v>0</v>
      </c>
      <c r="C56" s="70">
        <f t="shared" si="7"/>
        <v>0</v>
      </c>
      <c r="D56" s="70">
        <f t="shared" si="7"/>
        <v>0</v>
      </c>
      <c r="E56" s="70">
        <f t="shared" si="7"/>
        <v>0</v>
      </c>
      <c r="F56" s="70">
        <f t="shared" si="7"/>
        <v>0</v>
      </c>
      <c r="G56" s="70">
        <f t="shared" si="7"/>
        <v>0</v>
      </c>
      <c r="H56" s="70">
        <f t="shared" si="7"/>
        <v>0</v>
      </c>
      <c r="I56" s="70">
        <f t="shared" si="7"/>
        <v>0</v>
      </c>
      <c r="J56" s="70">
        <f t="shared" si="7"/>
        <v>0</v>
      </c>
      <c r="K56" s="70">
        <f t="shared" si="7"/>
        <v>38.999999999999993</v>
      </c>
      <c r="L56" s="70">
        <f t="shared" si="7"/>
        <v>47.5</v>
      </c>
      <c r="M56" s="70">
        <f t="shared" si="7"/>
        <v>64.900000000000006</v>
      </c>
      <c r="N56" s="70">
        <f t="shared" si="7"/>
        <v>96.7</v>
      </c>
      <c r="O56" s="70">
        <f t="shared" si="7"/>
        <v>101.1</v>
      </c>
      <c r="P56" s="70">
        <f t="shared" si="7"/>
        <v>101.1</v>
      </c>
      <c r="Q56" s="70">
        <f t="shared" si="7"/>
        <v>99.5</v>
      </c>
      <c r="R56" s="70">
        <f t="shared" si="7"/>
        <v>82.5</v>
      </c>
      <c r="S56" s="70">
        <f t="shared" si="7"/>
        <v>83.2</v>
      </c>
      <c r="T56" s="70">
        <f t="shared" si="7"/>
        <v>57.199999999999996</v>
      </c>
      <c r="U56" s="70">
        <f t="shared" si="7"/>
        <v>99.4</v>
      </c>
      <c r="V56" s="70">
        <f t="shared" si="7"/>
        <v>59.699999999999996</v>
      </c>
      <c r="W56" s="70">
        <f t="shared" si="7"/>
        <v>22.2</v>
      </c>
      <c r="X56" s="70">
        <f t="shared" si="7"/>
        <v>18.100000000000001</v>
      </c>
      <c r="Y56" s="70">
        <f t="shared" si="7"/>
        <v>19.899999999999999</v>
      </c>
      <c r="Z56" s="70">
        <f t="shared" si="7"/>
        <v>68.2</v>
      </c>
      <c r="AA56" s="70">
        <f t="shared" si="7"/>
        <v>94.5</v>
      </c>
      <c r="AB56" s="70">
        <f t="shared" si="7"/>
        <v>102.9</v>
      </c>
      <c r="AC56" s="70">
        <f t="shared" si="7"/>
        <v>102.9</v>
      </c>
      <c r="AD56" s="70">
        <f t="shared" si="7"/>
        <v>102.9</v>
      </c>
      <c r="AE56" s="70">
        <f t="shared" si="7"/>
        <v>102.9</v>
      </c>
      <c r="AF56" s="70">
        <f t="shared" si="7"/>
        <v>57</v>
      </c>
      <c r="AG56" s="74">
        <f>SUM(AG53:AG55)</f>
        <v>106</v>
      </c>
      <c r="AH56" s="55">
        <f t="shared" si="2"/>
        <v>102.9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36.700000000000003</v>
      </c>
      <c r="C57" s="51">
        <v>40.4</v>
      </c>
      <c r="D57" s="51">
        <v>38.200000000000003</v>
      </c>
      <c r="E57" s="51">
        <v>20.5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43.4</v>
      </c>
      <c r="L57" s="51">
        <v>13.8</v>
      </c>
      <c r="M57" s="51">
        <v>29.1</v>
      </c>
      <c r="N57" s="51">
        <v>26.4</v>
      </c>
      <c r="O57" s="51">
        <v>38.299999999999997</v>
      </c>
      <c r="P57" s="51">
        <v>38.4</v>
      </c>
      <c r="Q57" s="51">
        <v>39.200000000000003</v>
      </c>
      <c r="R57" s="51">
        <v>42.9</v>
      </c>
      <c r="S57" s="51">
        <v>48.4</v>
      </c>
      <c r="T57" s="51">
        <v>39.299999999999997</v>
      </c>
      <c r="U57" s="51">
        <v>15.9</v>
      </c>
      <c r="V57" s="51">
        <v>20.5</v>
      </c>
      <c r="W57" s="51">
        <v>20.100000000000001</v>
      </c>
      <c r="X57" s="51">
        <v>14.2</v>
      </c>
      <c r="Y57" s="51">
        <v>11.1</v>
      </c>
      <c r="Z57" s="51">
        <v>14.4</v>
      </c>
      <c r="AA57" s="51">
        <v>30.2</v>
      </c>
      <c r="AB57" s="51">
        <v>44</v>
      </c>
      <c r="AC57" s="51">
        <v>54</v>
      </c>
      <c r="AD57" s="51">
        <v>63</v>
      </c>
      <c r="AE57" s="51">
        <v>55</v>
      </c>
      <c r="AF57" s="51">
        <v>29</v>
      </c>
      <c r="AG57" s="60"/>
      <c r="AH57" s="55">
        <f t="shared" si="2"/>
        <v>63</v>
      </c>
      <c r="AI57" s="56">
        <f t="shared" si="3"/>
        <v>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-379</v>
      </c>
      <c r="C59" s="49">
        <v>-371</v>
      </c>
      <c r="D59" s="49">
        <v>-375</v>
      </c>
      <c r="E59" s="49">
        <v>-394</v>
      </c>
      <c r="F59" s="49">
        <v>-397</v>
      </c>
      <c r="G59" s="49">
        <v>-387</v>
      </c>
      <c r="H59" s="49">
        <v>-414</v>
      </c>
      <c r="I59" s="49">
        <v>-416.6</v>
      </c>
      <c r="J59" s="49">
        <v>-405</v>
      </c>
      <c r="K59" s="49">
        <v>-391.8</v>
      </c>
      <c r="L59" s="49">
        <v>-351</v>
      </c>
      <c r="M59" s="49">
        <v>-385.8</v>
      </c>
      <c r="N59" s="49">
        <v>-397</v>
      </c>
      <c r="O59" s="49">
        <v>-360.2</v>
      </c>
      <c r="P59" s="49">
        <v>-365</v>
      </c>
      <c r="Q59" s="49">
        <v>-334.5</v>
      </c>
      <c r="R59" s="49">
        <v>-355</v>
      </c>
      <c r="S59" s="49">
        <v>-304.2</v>
      </c>
      <c r="T59" s="49">
        <v>-328.4</v>
      </c>
      <c r="U59" s="49">
        <v>-345</v>
      </c>
      <c r="V59" s="49">
        <v>-367</v>
      </c>
      <c r="W59" s="49">
        <v>-375.8</v>
      </c>
      <c r="X59" s="49">
        <v>-365.3</v>
      </c>
      <c r="Y59" s="49">
        <v>-339.1</v>
      </c>
      <c r="Z59" s="49">
        <v>-311</v>
      </c>
      <c r="AA59" s="49">
        <v>-247.5</v>
      </c>
      <c r="AB59" s="49">
        <v>-255</v>
      </c>
      <c r="AC59" s="49">
        <v>-260</v>
      </c>
      <c r="AD59" s="49">
        <v>-298</v>
      </c>
      <c r="AE59" s="49">
        <v>-247</v>
      </c>
      <c r="AF59" s="49">
        <v>-342</v>
      </c>
      <c r="AG59" s="77"/>
      <c r="AH59" s="55">
        <f t="shared" si="2"/>
        <v>-247</v>
      </c>
      <c r="AI59" s="56">
        <f t="shared" si="3"/>
        <v>-416.6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30</v>
      </c>
      <c r="P60" s="78">
        <v>30</v>
      </c>
      <c r="Q60" s="78">
        <v>14</v>
      </c>
      <c r="R60" s="78">
        <v>25</v>
      </c>
      <c r="S60" s="78">
        <v>29.7</v>
      </c>
      <c r="T60" s="78">
        <v>26.5</v>
      </c>
      <c r="U60" s="78">
        <v>23.5</v>
      </c>
      <c r="V60" s="78">
        <v>29.3</v>
      </c>
      <c r="W60" s="78">
        <v>10</v>
      </c>
      <c r="X60" s="78">
        <v>10</v>
      </c>
      <c r="Y60" s="78">
        <v>10</v>
      </c>
      <c r="Z60" s="78">
        <v>10</v>
      </c>
      <c r="AA60" s="78">
        <v>10</v>
      </c>
      <c r="AB60" s="78">
        <v>10</v>
      </c>
      <c r="AC60" s="78">
        <v>10</v>
      </c>
      <c r="AD60" s="78">
        <v>10</v>
      </c>
      <c r="AE60" s="78">
        <v>10</v>
      </c>
      <c r="AF60" s="78">
        <v>0</v>
      </c>
      <c r="AG60" s="77"/>
      <c r="AH60" s="55">
        <f t="shared" si="2"/>
        <v>30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5">
        <f t="shared" si="2"/>
        <v>8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41.7</v>
      </c>
      <c r="C68" s="70">
        <f t="shared" ref="C68:AF68" si="8">SUMIF(C57:C67,"&gt;0")</f>
        <v>45.4</v>
      </c>
      <c r="D68" s="70">
        <f t="shared" si="8"/>
        <v>43.2</v>
      </c>
      <c r="E68" s="70">
        <f t="shared" si="8"/>
        <v>25.5</v>
      </c>
      <c r="F68" s="70">
        <f t="shared" si="8"/>
        <v>5</v>
      </c>
      <c r="G68" s="70">
        <f t="shared" si="8"/>
        <v>5</v>
      </c>
      <c r="H68" s="70">
        <f t="shared" si="8"/>
        <v>5</v>
      </c>
      <c r="I68" s="70">
        <f t="shared" si="8"/>
        <v>5</v>
      </c>
      <c r="J68" s="70">
        <f t="shared" si="8"/>
        <v>5</v>
      </c>
      <c r="K68" s="70">
        <f t="shared" si="8"/>
        <v>48.4</v>
      </c>
      <c r="L68" s="70">
        <f t="shared" si="8"/>
        <v>18.8</v>
      </c>
      <c r="M68" s="70">
        <f t="shared" si="8"/>
        <v>34.1</v>
      </c>
      <c r="N68" s="70">
        <f t="shared" si="8"/>
        <v>31.4</v>
      </c>
      <c r="O68" s="70">
        <f t="shared" si="8"/>
        <v>73.3</v>
      </c>
      <c r="P68" s="70">
        <f t="shared" si="8"/>
        <v>73.400000000000006</v>
      </c>
      <c r="Q68" s="70">
        <f t="shared" si="8"/>
        <v>58.2</v>
      </c>
      <c r="R68" s="70">
        <f t="shared" si="8"/>
        <v>72.900000000000006</v>
      </c>
      <c r="S68" s="70">
        <f t="shared" si="8"/>
        <v>86.1</v>
      </c>
      <c r="T68" s="70">
        <f t="shared" si="8"/>
        <v>73.8</v>
      </c>
      <c r="U68" s="70">
        <f t="shared" si="8"/>
        <v>47.4</v>
      </c>
      <c r="V68" s="70">
        <f t="shared" si="8"/>
        <v>57.8</v>
      </c>
      <c r="W68" s="70">
        <f t="shared" si="8"/>
        <v>38.1</v>
      </c>
      <c r="X68" s="70">
        <f t="shared" si="8"/>
        <v>32.200000000000003</v>
      </c>
      <c r="Y68" s="70">
        <f t="shared" si="8"/>
        <v>29.1</v>
      </c>
      <c r="Z68" s="70">
        <f t="shared" si="8"/>
        <v>32.4</v>
      </c>
      <c r="AA68" s="70">
        <f t="shared" si="8"/>
        <v>48.2</v>
      </c>
      <c r="AB68" s="70">
        <f t="shared" si="8"/>
        <v>62</v>
      </c>
      <c r="AC68" s="70">
        <f t="shared" si="8"/>
        <v>72</v>
      </c>
      <c r="AD68" s="70">
        <f t="shared" si="8"/>
        <v>81</v>
      </c>
      <c r="AE68" s="70">
        <f t="shared" si="8"/>
        <v>73</v>
      </c>
      <c r="AF68" s="70">
        <f t="shared" si="8"/>
        <v>37</v>
      </c>
      <c r="AG68" s="74">
        <f>SUM(AG57:AG67)</f>
        <v>0</v>
      </c>
      <c r="AH68" s="55">
        <f t="shared" si="2"/>
        <v>86.1</v>
      </c>
      <c r="AI68" s="56">
        <f t="shared" si="3"/>
        <v>5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1646.84</v>
      </c>
      <c r="C73" s="84">
        <f t="shared" ref="C73:AF73" si="9">C38+C52+C68+C72</f>
        <v>1590.54</v>
      </c>
      <c r="D73" s="84">
        <f t="shared" si="9"/>
        <v>1569.34</v>
      </c>
      <c r="E73" s="84">
        <f t="shared" si="9"/>
        <v>1602.04</v>
      </c>
      <c r="F73" s="84">
        <f t="shared" si="9"/>
        <v>1604.1399999999999</v>
      </c>
      <c r="G73" s="84">
        <f t="shared" si="9"/>
        <v>1605.04</v>
      </c>
      <c r="H73" s="84">
        <f t="shared" si="9"/>
        <v>1624.44</v>
      </c>
      <c r="I73" s="84">
        <f t="shared" si="9"/>
        <v>1625.74</v>
      </c>
      <c r="J73" s="84">
        <f t="shared" si="9"/>
        <v>1652.54</v>
      </c>
      <c r="K73" s="84">
        <f t="shared" si="9"/>
        <v>1665.94</v>
      </c>
      <c r="L73" s="84">
        <f t="shared" si="9"/>
        <v>1667.24</v>
      </c>
      <c r="M73" s="84">
        <f t="shared" si="9"/>
        <v>1684.24</v>
      </c>
      <c r="N73" s="84">
        <f t="shared" si="9"/>
        <v>1677.24</v>
      </c>
      <c r="O73" s="84">
        <f t="shared" si="9"/>
        <v>1721.0399999999997</v>
      </c>
      <c r="P73" s="84">
        <f t="shared" si="9"/>
        <v>1715.94</v>
      </c>
      <c r="Q73" s="84">
        <f t="shared" si="9"/>
        <v>1694.5400000000002</v>
      </c>
      <c r="R73" s="84">
        <f t="shared" si="9"/>
        <v>1710.74</v>
      </c>
      <c r="S73" s="84">
        <f t="shared" si="9"/>
        <v>1730.4399999999998</v>
      </c>
      <c r="T73" s="84">
        <f t="shared" si="9"/>
        <v>1712.9399999999998</v>
      </c>
      <c r="U73" s="84">
        <f t="shared" si="9"/>
        <v>1671.1399999999999</v>
      </c>
      <c r="V73" s="84">
        <f t="shared" si="9"/>
        <v>1721.5399999999997</v>
      </c>
      <c r="W73" s="84">
        <f t="shared" si="9"/>
        <v>1699.8399999999997</v>
      </c>
      <c r="X73" s="84">
        <f t="shared" si="9"/>
        <v>1692.4399999999998</v>
      </c>
      <c r="Y73" s="84">
        <f t="shared" si="9"/>
        <v>1703.3399999999997</v>
      </c>
      <c r="Z73" s="84">
        <f t="shared" si="9"/>
        <v>1699.2399999999998</v>
      </c>
      <c r="AA73" s="84">
        <f t="shared" si="9"/>
        <v>1720.34</v>
      </c>
      <c r="AB73" s="84">
        <f t="shared" si="9"/>
        <v>1734.8400000000001</v>
      </c>
      <c r="AC73" s="84">
        <f t="shared" si="9"/>
        <v>1746.1399999999999</v>
      </c>
      <c r="AD73" s="84">
        <f t="shared" si="9"/>
        <v>1753.3400000000001</v>
      </c>
      <c r="AE73" s="84">
        <f t="shared" si="9"/>
        <v>1704.54</v>
      </c>
      <c r="AF73" s="84">
        <f t="shared" si="9"/>
        <v>1729.1399999999999</v>
      </c>
      <c r="AG73" s="84">
        <f t="shared" ref="AG73" si="10">AG68+AG56+AG52+AG38+AG72</f>
        <v>2144.14</v>
      </c>
      <c r="AH73" s="55">
        <f t="shared" si="2"/>
        <v>1753.3400000000001</v>
      </c>
      <c r="AI73" s="56">
        <f t="shared" si="3"/>
        <v>1569.34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1646.84</v>
      </c>
      <c r="C75" s="84">
        <f t="shared" ref="C75:AF75" si="11">C73+C74</f>
        <v>1590.54</v>
      </c>
      <c r="D75" s="84">
        <f t="shared" si="11"/>
        <v>1569.34</v>
      </c>
      <c r="E75" s="84">
        <f t="shared" si="11"/>
        <v>1602.04</v>
      </c>
      <c r="F75" s="84">
        <f t="shared" si="11"/>
        <v>1604.1399999999999</v>
      </c>
      <c r="G75" s="84">
        <f t="shared" si="11"/>
        <v>1605.04</v>
      </c>
      <c r="H75" s="84">
        <f t="shared" si="11"/>
        <v>1624.44</v>
      </c>
      <c r="I75" s="84">
        <f t="shared" si="11"/>
        <v>1625.74</v>
      </c>
      <c r="J75" s="84">
        <f t="shared" si="11"/>
        <v>1652.54</v>
      </c>
      <c r="K75" s="84">
        <f t="shared" si="11"/>
        <v>1665.94</v>
      </c>
      <c r="L75" s="84">
        <f t="shared" si="11"/>
        <v>1667.24</v>
      </c>
      <c r="M75" s="84">
        <f t="shared" si="11"/>
        <v>1684.24</v>
      </c>
      <c r="N75" s="84">
        <f t="shared" si="11"/>
        <v>1677.24</v>
      </c>
      <c r="O75" s="84">
        <f t="shared" si="11"/>
        <v>1721.0399999999997</v>
      </c>
      <c r="P75" s="84">
        <f t="shared" si="11"/>
        <v>1715.94</v>
      </c>
      <c r="Q75" s="84">
        <f t="shared" si="11"/>
        <v>1694.5400000000002</v>
      </c>
      <c r="R75" s="84">
        <f t="shared" si="11"/>
        <v>1710.74</v>
      </c>
      <c r="S75" s="84">
        <f t="shared" si="11"/>
        <v>1730.4399999999998</v>
      </c>
      <c r="T75" s="84">
        <f t="shared" si="11"/>
        <v>1712.9399999999998</v>
      </c>
      <c r="U75" s="84">
        <f t="shared" si="11"/>
        <v>1671.1399999999999</v>
      </c>
      <c r="V75" s="84">
        <f t="shared" si="11"/>
        <v>1721.5399999999997</v>
      </c>
      <c r="W75" s="84">
        <f t="shared" si="11"/>
        <v>1699.8399999999997</v>
      </c>
      <c r="X75" s="84">
        <f t="shared" si="11"/>
        <v>1692.4399999999998</v>
      </c>
      <c r="Y75" s="84">
        <f t="shared" si="11"/>
        <v>1703.3399999999997</v>
      </c>
      <c r="Z75" s="84">
        <f t="shared" si="11"/>
        <v>1699.2399999999998</v>
      </c>
      <c r="AA75" s="84">
        <f t="shared" si="11"/>
        <v>1720.34</v>
      </c>
      <c r="AB75" s="84">
        <f t="shared" si="11"/>
        <v>1734.8400000000001</v>
      </c>
      <c r="AC75" s="84">
        <f t="shared" si="11"/>
        <v>1746.1399999999999</v>
      </c>
      <c r="AD75" s="84">
        <f t="shared" si="11"/>
        <v>1753.3400000000001</v>
      </c>
      <c r="AE75" s="84">
        <f t="shared" si="11"/>
        <v>1704.54</v>
      </c>
      <c r="AF75" s="84">
        <f t="shared" si="11"/>
        <v>1729.1399999999999</v>
      </c>
      <c r="AG75" s="74">
        <f>AG72+AG68+AG56+AG52+AG38+AG74</f>
        <v>2144.14</v>
      </c>
      <c r="AH75" s="55">
        <f t="shared" si="2"/>
        <v>1753.3400000000001</v>
      </c>
      <c r="AI75" s="56">
        <f t="shared" si="3"/>
        <v>1569.34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2">IF(C60&lt;0,C60*-1,0)</f>
        <v>0</v>
      </c>
      <c r="D76" s="78">
        <f t="shared" si="12"/>
        <v>0</v>
      </c>
      <c r="E76" s="78">
        <f t="shared" si="12"/>
        <v>0</v>
      </c>
      <c r="F76" s="78">
        <f t="shared" si="12"/>
        <v>0</v>
      </c>
      <c r="G76" s="78">
        <f t="shared" si="12"/>
        <v>0</v>
      </c>
      <c r="H76" s="78">
        <f t="shared" si="12"/>
        <v>0</v>
      </c>
      <c r="I76" s="78">
        <f t="shared" si="12"/>
        <v>0</v>
      </c>
      <c r="J76" s="78">
        <f t="shared" si="12"/>
        <v>0</v>
      </c>
      <c r="K76" s="78">
        <f t="shared" si="12"/>
        <v>0</v>
      </c>
      <c r="L76" s="78">
        <f t="shared" si="12"/>
        <v>0</v>
      </c>
      <c r="M76" s="78">
        <f t="shared" si="12"/>
        <v>0</v>
      </c>
      <c r="N76" s="78">
        <f t="shared" si="12"/>
        <v>0</v>
      </c>
      <c r="O76" s="78">
        <f t="shared" si="12"/>
        <v>0</v>
      </c>
      <c r="P76" s="78">
        <f t="shared" si="12"/>
        <v>0</v>
      </c>
      <c r="Q76" s="78">
        <f t="shared" si="12"/>
        <v>0</v>
      </c>
      <c r="R76" s="78">
        <f t="shared" si="12"/>
        <v>0</v>
      </c>
      <c r="S76" s="78">
        <f t="shared" si="12"/>
        <v>0</v>
      </c>
      <c r="T76" s="78">
        <f t="shared" si="12"/>
        <v>0</v>
      </c>
      <c r="U76" s="78">
        <f t="shared" si="12"/>
        <v>0</v>
      </c>
      <c r="V76" s="78">
        <f t="shared" si="12"/>
        <v>0</v>
      </c>
      <c r="W76" s="78">
        <f t="shared" si="12"/>
        <v>0</v>
      </c>
      <c r="X76" s="78">
        <f t="shared" si="12"/>
        <v>0</v>
      </c>
      <c r="Y76" s="78">
        <f t="shared" si="12"/>
        <v>0</v>
      </c>
      <c r="Z76" s="78">
        <f t="shared" si="12"/>
        <v>0</v>
      </c>
      <c r="AA76" s="78">
        <f t="shared" si="12"/>
        <v>0</v>
      </c>
      <c r="AB76" s="78">
        <f t="shared" si="12"/>
        <v>0</v>
      </c>
      <c r="AC76" s="78">
        <f t="shared" si="12"/>
        <v>0</v>
      </c>
      <c r="AD76" s="78">
        <f t="shared" si="12"/>
        <v>0</v>
      </c>
      <c r="AE76" s="78">
        <f t="shared" si="12"/>
        <v>0</v>
      </c>
      <c r="AF76" s="78">
        <f t="shared" si="12"/>
        <v>0</v>
      </c>
      <c r="AG76" s="60"/>
      <c r="AH76" s="55">
        <f t="shared" ref="AH76:AH91" si="13">MAX(B76:AF76)</f>
        <v>0</v>
      </c>
      <c r="AI76" s="56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5">IF(C58&lt;0,C58*-1,0)</f>
        <v>0</v>
      </c>
      <c r="D77" s="78">
        <f t="shared" si="15"/>
        <v>0</v>
      </c>
      <c r="E77" s="78">
        <f t="shared" si="15"/>
        <v>0</v>
      </c>
      <c r="F77" s="78">
        <f t="shared" si="15"/>
        <v>0</v>
      </c>
      <c r="G77" s="78">
        <f t="shared" si="15"/>
        <v>0</v>
      </c>
      <c r="H77" s="78">
        <f t="shared" si="15"/>
        <v>0</v>
      </c>
      <c r="I77" s="78">
        <f t="shared" si="15"/>
        <v>0</v>
      </c>
      <c r="J77" s="78">
        <f t="shared" si="15"/>
        <v>0</v>
      </c>
      <c r="K77" s="78">
        <f t="shared" si="15"/>
        <v>0</v>
      </c>
      <c r="L77" s="78">
        <f t="shared" si="15"/>
        <v>0</v>
      </c>
      <c r="M77" s="78">
        <f t="shared" si="15"/>
        <v>0</v>
      </c>
      <c r="N77" s="78">
        <f t="shared" si="15"/>
        <v>0</v>
      </c>
      <c r="O77" s="78">
        <f t="shared" si="15"/>
        <v>0</v>
      </c>
      <c r="P77" s="78">
        <f t="shared" si="15"/>
        <v>0</v>
      </c>
      <c r="Q77" s="78">
        <f t="shared" si="15"/>
        <v>0</v>
      </c>
      <c r="R77" s="78">
        <f t="shared" si="15"/>
        <v>0</v>
      </c>
      <c r="S77" s="78">
        <f t="shared" si="15"/>
        <v>0</v>
      </c>
      <c r="T77" s="78">
        <f t="shared" si="15"/>
        <v>0</v>
      </c>
      <c r="U77" s="78">
        <f t="shared" si="15"/>
        <v>0</v>
      </c>
      <c r="V77" s="78">
        <f t="shared" si="15"/>
        <v>0</v>
      </c>
      <c r="W77" s="78">
        <f t="shared" si="15"/>
        <v>0</v>
      </c>
      <c r="X77" s="78">
        <f t="shared" si="15"/>
        <v>0</v>
      </c>
      <c r="Y77" s="78">
        <f t="shared" si="15"/>
        <v>0</v>
      </c>
      <c r="Z77" s="78">
        <f t="shared" si="15"/>
        <v>0</v>
      </c>
      <c r="AA77" s="78">
        <f t="shared" si="15"/>
        <v>0</v>
      </c>
      <c r="AB77" s="78">
        <f t="shared" si="15"/>
        <v>0</v>
      </c>
      <c r="AC77" s="78">
        <f t="shared" si="15"/>
        <v>0</v>
      </c>
      <c r="AD77" s="78">
        <f t="shared" si="15"/>
        <v>0</v>
      </c>
      <c r="AE77" s="78">
        <f t="shared" si="15"/>
        <v>0</v>
      </c>
      <c r="AF77" s="78">
        <f t="shared" si="15"/>
        <v>0</v>
      </c>
      <c r="AG77" s="64"/>
      <c r="AH77" s="55">
        <f t="shared" si="13"/>
        <v>0</v>
      </c>
      <c r="AI77" s="56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6">IF(C61&lt;0,C61*-1,0)</f>
        <v>0</v>
      </c>
      <c r="D78" s="78">
        <f t="shared" si="16"/>
        <v>0</v>
      </c>
      <c r="E78" s="78">
        <f t="shared" si="16"/>
        <v>0</v>
      </c>
      <c r="F78" s="78">
        <f t="shared" si="16"/>
        <v>0</v>
      </c>
      <c r="G78" s="78">
        <f t="shared" si="16"/>
        <v>0</v>
      </c>
      <c r="H78" s="78">
        <f t="shared" si="16"/>
        <v>0</v>
      </c>
      <c r="I78" s="78">
        <f t="shared" si="16"/>
        <v>0</v>
      </c>
      <c r="J78" s="78">
        <f t="shared" si="16"/>
        <v>0</v>
      </c>
      <c r="K78" s="78">
        <f t="shared" si="16"/>
        <v>0</v>
      </c>
      <c r="L78" s="78">
        <f t="shared" si="16"/>
        <v>0</v>
      </c>
      <c r="M78" s="78">
        <f t="shared" si="16"/>
        <v>0</v>
      </c>
      <c r="N78" s="78">
        <f t="shared" si="16"/>
        <v>0</v>
      </c>
      <c r="O78" s="78">
        <f t="shared" si="16"/>
        <v>0</v>
      </c>
      <c r="P78" s="78">
        <f t="shared" si="16"/>
        <v>0</v>
      </c>
      <c r="Q78" s="78">
        <f t="shared" si="16"/>
        <v>0</v>
      </c>
      <c r="R78" s="78">
        <f t="shared" si="16"/>
        <v>0</v>
      </c>
      <c r="S78" s="78">
        <f t="shared" si="16"/>
        <v>0</v>
      </c>
      <c r="T78" s="78">
        <f t="shared" si="16"/>
        <v>0</v>
      </c>
      <c r="U78" s="78">
        <f t="shared" si="16"/>
        <v>0</v>
      </c>
      <c r="V78" s="78">
        <f t="shared" si="16"/>
        <v>0</v>
      </c>
      <c r="W78" s="78">
        <f t="shared" si="16"/>
        <v>0</v>
      </c>
      <c r="X78" s="78">
        <f t="shared" si="16"/>
        <v>0</v>
      </c>
      <c r="Y78" s="78">
        <f t="shared" si="16"/>
        <v>0</v>
      </c>
      <c r="Z78" s="78">
        <f t="shared" si="16"/>
        <v>0</v>
      </c>
      <c r="AA78" s="78">
        <f t="shared" si="16"/>
        <v>0</v>
      </c>
      <c r="AB78" s="78">
        <f t="shared" si="16"/>
        <v>0</v>
      </c>
      <c r="AC78" s="78">
        <f t="shared" si="16"/>
        <v>0</v>
      </c>
      <c r="AD78" s="78">
        <f t="shared" si="16"/>
        <v>0</v>
      </c>
      <c r="AE78" s="78">
        <f t="shared" si="16"/>
        <v>0</v>
      </c>
      <c r="AF78" s="78">
        <f t="shared" si="16"/>
        <v>0</v>
      </c>
      <c r="AG78" s="87"/>
      <c r="AH78" s="55">
        <f t="shared" si="13"/>
        <v>0</v>
      </c>
      <c r="AI78" s="56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379</v>
      </c>
      <c r="C79" s="78">
        <f t="shared" ref="C79:AF79" si="17">IF(C59&lt;0,C59*-1,0)</f>
        <v>371</v>
      </c>
      <c r="D79" s="78">
        <f t="shared" si="17"/>
        <v>375</v>
      </c>
      <c r="E79" s="78">
        <f t="shared" si="17"/>
        <v>394</v>
      </c>
      <c r="F79" s="78">
        <f t="shared" si="17"/>
        <v>397</v>
      </c>
      <c r="G79" s="78">
        <f t="shared" si="17"/>
        <v>387</v>
      </c>
      <c r="H79" s="78">
        <f t="shared" si="17"/>
        <v>414</v>
      </c>
      <c r="I79" s="78">
        <f t="shared" si="17"/>
        <v>416.6</v>
      </c>
      <c r="J79" s="78">
        <f t="shared" si="17"/>
        <v>405</v>
      </c>
      <c r="K79" s="78">
        <f t="shared" si="17"/>
        <v>391.8</v>
      </c>
      <c r="L79" s="78">
        <f t="shared" si="17"/>
        <v>351</v>
      </c>
      <c r="M79" s="78">
        <f t="shared" si="17"/>
        <v>385.8</v>
      </c>
      <c r="N79" s="78">
        <f t="shared" si="17"/>
        <v>397</v>
      </c>
      <c r="O79" s="78">
        <f t="shared" si="17"/>
        <v>360.2</v>
      </c>
      <c r="P79" s="78">
        <f t="shared" si="17"/>
        <v>365</v>
      </c>
      <c r="Q79" s="78">
        <f t="shared" si="17"/>
        <v>334.5</v>
      </c>
      <c r="R79" s="78">
        <f t="shared" si="17"/>
        <v>355</v>
      </c>
      <c r="S79" s="78">
        <f t="shared" si="17"/>
        <v>304.2</v>
      </c>
      <c r="T79" s="78">
        <f t="shared" si="17"/>
        <v>328.4</v>
      </c>
      <c r="U79" s="78">
        <f t="shared" si="17"/>
        <v>345</v>
      </c>
      <c r="V79" s="78">
        <f t="shared" si="17"/>
        <v>367</v>
      </c>
      <c r="W79" s="78">
        <f t="shared" si="17"/>
        <v>375.8</v>
      </c>
      <c r="X79" s="78">
        <f t="shared" si="17"/>
        <v>365.3</v>
      </c>
      <c r="Y79" s="78">
        <f t="shared" si="17"/>
        <v>339.1</v>
      </c>
      <c r="Z79" s="78">
        <f t="shared" si="17"/>
        <v>311</v>
      </c>
      <c r="AA79" s="78">
        <f t="shared" si="17"/>
        <v>247.5</v>
      </c>
      <c r="AB79" s="78">
        <f t="shared" si="17"/>
        <v>255</v>
      </c>
      <c r="AC79" s="78">
        <f t="shared" si="17"/>
        <v>260</v>
      </c>
      <c r="AD79" s="78">
        <f t="shared" si="17"/>
        <v>298</v>
      </c>
      <c r="AE79" s="78">
        <v>-260</v>
      </c>
      <c r="AF79" s="78">
        <f t="shared" si="17"/>
        <v>342</v>
      </c>
      <c r="AG79" s="87"/>
      <c r="AH79" s="55">
        <f t="shared" si="13"/>
        <v>416.6</v>
      </c>
      <c r="AI79" s="56">
        <f t="shared" si="14"/>
        <v>-260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18">IF(C57&lt;0,C57*-1,0)</f>
        <v>0</v>
      </c>
      <c r="D80" s="78">
        <f t="shared" si="18"/>
        <v>0</v>
      </c>
      <c r="E80" s="78">
        <f t="shared" si="18"/>
        <v>0</v>
      </c>
      <c r="F80" s="78">
        <f t="shared" si="18"/>
        <v>0</v>
      </c>
      <c r="G80" s="78">
        <f t="shared" si="18"/>
        <v>0</v>
      </c>
      <c r="H80" s="78">
        <f t="shared" si="18"/>
        <v>0</v>
      </c>
      <c r="I80" s="78">
        <f t="shared" si="18"/>
        <v>0</v>
      </c>
      <c r="J80" s="78">
        <f t="shared" si="18"/>
        <v>0</v>
      </c>
      <c r="K80" s="78">
        <f t="shared" si="18"/>
        <v>0</v>
      </c>
      <c r="L80" s="78">
        <f t="shared" si="18"/>
        <v>0</v>
      </c>
      <c r="M80" s="78">
        <f t="shared" si="18"/>
        <v>0</v>
      </c>
      <c r="N80" s="78">
        <f t="shared" si="18"/>
        <v>0</v>
      </c>
      <c r="O80" s="78">
        <f t="shared" si="18"/>
        <v>0</v>
      </c>
      <c r="P80" s="78">
        <f t="shared" si="18"/>
        <v>0</v>
      </c>
      <c r="Q80" s="78">
        <f t="shared" si="18"/>
        <v>0</v>
      </c>
      <c r="R80" s="78">
        <f t="shared" si="18"/>
        <v>0</v>
      </c>
      <c r="S80" s="78">
        <f t="shared" si="18"/>
        <v>0</v>
      </c>
      <c r="T80" s="78">
        <f t="shared" si="18"/>
        <v>0</v>
      </c>
      <c r="U80" s="78">
        <f t="shared" si="18"/>
        <v>0</v>
      </c>
      <c r="V80" s="78">
        <f t="shared" si="18"/>
        <v>0</v>
      </c>
      <c r="W80" s="78">
        <f t="shared" si="18"/>
        <v>0</v>
      </c>
      <c r="X80" s="78">
        <f t="shared" si="18"/>
        <v>0</v>
      </c>
      <c r="Y80" s="78">
        <f t="shared" si="18"/>
        <v>0</v>
      </c>
      <c r="Z80" s="78">
        <f t="shared" si="18"/>
        <v>0</v>
      </c>
      <c r="AA80" s="78">
        <f t="shared" si="18"/>
        <v>0</v>
      </c>
      <c r="AB80" s="78">
        <f t="shared" si="18"/>
        <v>0</v>
      </c>
      <c r="AC80" s="78">
        <f t="shared" si="18"/>
        <v>0</v>
      </c>
      <c r="AD80" s="78">
        <f t="shared" si="18"/>
        <v>0</v>
      </c>
      <c r="AE80" s="78">
        <f t="shared" si="18"/>
        <v>0</v>
      </c>
      <c r="AF80" s="78">
        <f t="shared" si="18"/>
        <v>0</v>
      </c>
      <c r="AG80" s="87"/>
      <c r="AH80" s="55">
        <f t="shared" si="13"/>
        <v>0</v>
      </c>
      <c r="AI80" s="56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3"/>
        <v>0</v>
      </c>
      <c r="AI81" s="56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379</v>
      </c>
      <c r="C82" s="70">
        <f t="shared" ref="C82:AG82" si="19">SUM(C76:C81)</f>
        <v>371</v>
      </c>
      <c r="D82" s="70">
        <f t="shared" si="19"/>
        <v>375</v>
      </c>
      <c r="E82" s="70">
        <f t="shared" si="19"/>
        <v>394</v>
      </c>
      <c r="F82" s="70">
        <f t="shared" si="19"/>
        <v>397</v>
      </c>
      <c r="G82" s="70">
        <f t="shared" si="19"/>
        <v>387</v>
      </c>
      <c r="H82" s="70">
        <f t="shared" si="19"/>
        <v>414</v>
      </c>
      <c r="I82" s="70">
        <f t="shared" si="19"/>
        <v>416.6</v>
      </c>
      <c r="J82" s="70">
        <f t="shared" si="19"/>
        <v>405</v>
      </c>
      <c r="K82" s="70">
        <f t="shared" si="19"/>
        <v>391.8</v>
      </c>
      <c r="L82" s="70">
        <f t="shared" si="19"/>
        <v>351</v>
      </c>
      <c r="M82" s="70">
        <f t="shared" si="19"/>
        <v>385.8</v>
      </c>
      <c r="N82" s="70">
        <f t="shared" si="19"/>
        <v>397</v>
      </c>
      <c r="O82" s="70">
        <f t="shared" si="19"/>
        <v>360.2</v>
      </c>
      <c r="P82" s="70">
        <f t="shared" si="19"/>
        <v>365</v>
      </c>
      <c r="Q82" s="70">
        <f t="shared" si="19"/>
        <v>334.5</v>
      </c>
      <c r="R82" s="70">
        <f t="shared" si="19"/>
        <v>355</v>
      </c>
      <c r="S82" s="70">
        <f t="shared" si="19"/>
        <v>304.2</v>
      </c>
      <c r="T82" s="70">
        <f t="shared" si="19"/>
        <v>328.4</v>
      </c>
      <c r="U82" s="70">
        <f t="shared" si="19"/>
        <v>345</v>
      </c>
      <c r="V82" s="70">
        <f t="shared" si="19"/>
        <v>367</v>
      </c>
      <c r="W82" s="70">
        <f t="shared" si="19"/>
        <v>375.8</v>
      </c>
      <c r="X82" s="70">
        <f t="shared" si="19"/>
        <v>365.3</v>
      </c>
      <c r="Y82" s="70">
        <f t="shared" si="19"/>
        <v>339.1</v>
      </c>
      <c r="Z82" s="70">
        <f t="shared" si="19"/>
        <v>311</v>
      </c>
      <c r="AA82" s="70">
        <f t="shared" si="19"/>
        <v>247.5</v>
      </c>
      <c r="AB82" s="70">
        <f t="shared" si="19"/>
        <v>255</v>
      </c>
      <c r="AC82" s="70">
        <f t="shared" si="19"/>
        <v>260</v>
      </c>
      <c r="AD82" s="70">
        <f t="shared" si="19"/>
        <v>298</v>
      </c>
      <c r="AE82" s="70">
        <f t="shared" si="19"/>
        <v>-260</v>
      </c>
      <c r="AF82" s="70">
        <f t="shared" si="19"/>
        <v>342</v>
      </c>
      <c r="AG82" s="74">
        <f t="shared" si="19"/>
        <v>0</v>
      </c>
      <c r="AH82" s="55">
        <f t="shared" si="13"/>
        <v>416.6</v>
      </c>
      <c r="AI82" s="56">
        <f t="shared" si="14"/>
        <v>-260</v>
      </c>
      <c r="AK82" s="57"/>
    </row>
    <row r="83" spans="1:88" s="1" customFormat="1" ht="15.75" thickBot="1" x14ac:dyDescent="0.3">
      <c r="A83" s="69" t="s">
        <v>88</v>
      </c>
      <c r="B83" s="70">
        <f>B68-B82</f>
        <v>-337.3</v>
      </c>
      <c r="C83" s="70">
        <f t="shared" ref="C83:AF83" si="20">C68-C82</f>
        <v>-325.60000000000002</v>
      </c>
      <c r="D83" s="70">
        <f t="shared" si="20"/>
        <v>-331.8</v>
      </c>
      <c r="E83" s="70">
        <f t="shared" si="20"/>
        <v>-368.5</v>
      </c>
      <c r="F83" s="70">
        <f t="shared" si="20"/>
        <v>-392</v>
      </c>
      <c r="G83" s="70">
        <f t="shared" si="20"/>
        <v>-382</v>
      </c>
      <c r="H83" s="70">
        <f t="shared" si="20"/>
        <v>-409</v>
      </c>
      <c r="I83" s="70">
        <f t="shared" si="20"/>
        <v>-411.6</v>
      </c>
      <c r="J83" s="70">
        <f t="shared" si="20"/>
        <v>-400</v>
      </c>
      <c r="K83" s="70">
        <f t="shared" si="20"/>
        <v>-343.40000000000003</v>
      </c>
      <c r="L83" s="70">
        <f t="shared" si="20"/>
        <v>-332.2</v>
      </c>
      <c r="M83" s="70">
        <f t="shared" si="20"/>
        <v>-351.7</v>
      </c>
      <c r="N83" s="70">
        <f t="shared" si="20"/>
        <v>-365.6</v>
      </c>
      <c r="O83" s="70">
        <f t="shared" si="20"/>
        <v>-286.89999999999998</v>
      </c>
      <c r="P83" s="70">
        <f t="shared" si="20"/>
        <v>-291.60000000000002</v>
      </c>
      <c r="Q83" s="70">
        <f t="shared" si="20"/>
        <v>-276.3</v>
      </c>
      <c r="R83" s="70">
        <f t="shared" si="20"/>
        <v>-282.10000000000002</v>
      </c>
      <c r="S83" s="70">
        <f t="shared" si="20"/>
        <v>-218.1</v>
      </c>
      <c r="T83" s="70">
        <f t="shared" si="20"/>
        <v>-254.59999999999997</v>
      </c>
      <c r="U83" s="70">
        <f t="shared" si="20"/>
        <v>-297.60000000000002</v>
      </c>
      <c r="V83" s="70">
        <f t="shared" si="20"/>
        <v>-309.2</v>
      </c>
      <c r="W83" s="70">
        <f t="shared" si="20"/>
        <v>-337.7</v>
      </c>
      <c r="X83" s="70">
        <f t="shared" si="20"/>
        <v>-333.1</v>
      </c>
      <c r="Y83" s="70">
        <f t="shared" si="20"/>
        <v>-310</v>
      </c>
      <c r="Z83" s="70">
        <f t="shared" si="20"/>
        <v>-278.60000000000002</v>
      </c>
      <c r="AA83" s="70">
        <f t="shared" si="20"/>
        <v>-199.3</v>
      </c>
      <c r="AB83" s="70">
        <f t="shared" si="20"/>
        <v>-193</v>
      </c>
      <c r="AC83" s="70">
        <f t="shared" si="20"/>
        <v>-188</v>
      </c>
      <c r="AD83" s="70">
        <f t="shared" si="20"/>
        <v>-217</v>
      </c>
      <c r="AE83" s="70">
        <f t="shared" si="20"/>
        <v>333</v>
      </c>
      <c r="AF83" s="70">
        <f t="shared" si="20"/>
        <v>-305</v>
      </c>
      <c r="AG83" s="74">
        <f t="shared" ref="AG83" si="21">SUM(AG70:AG82)</f>
        <v>4360.08</v>
      </c>
      <c r="AH83" s="55">
        <f t="shared" si="13"/>
        <v>333</v>
      </c>
      <c r="AI83" s="56">
        <f t="shared" si="14"/>
        <v>-411.6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50.067</v>
      </c>
      <c r="C84" s="90">
        <v>49.948999999999998</v>
      </c>
      <c r="D84" s="90">
        <v>49.968000000000004</v>
      </c>
      <c r="E84" s="90">
        <v>50.057000000000002</v>
      </c>
      <c r="F84" s="90">
        <v>49.988</v>
      </c>
      <c r="G84" s="90">
        <v>49.828000000000003</v>
      </c>
      <c r="H84" s="90">
        <v>50.033000000000001</v>
      </c>
      <c r="I84" s="90">
        <v>49.759</v>
      </c>
      <c r="J84" s="90">
        <v>49.908999999999999</v>
      </c>
      <c r="K84" s="90">
        <v>50.039000000000001</v>
      </c>
      <c r="L84" s="90">
        <v>50.024000000000001</v>
      </c>
      <c r="M84" s="90">
        <v>50.082000000000001</v>
      </c>
      <c r="N84" s="90">
        <v>49.790999999999997</v>
      </c>
      <c r="O84" s="90">
        <v>49.959000000000003</v>
      </c>
      <c r="P84" s="90">
        <v>50.05</v>
      </c>
      <c r="Q84" s="90">
        <v>50.067</v>
      </c>
      <c r="R84" s="90">
        <v>49.993000000000002</v>
      </c>
      <c r="S84" s="90">
        <v>49.994999999999997</v>
      </c>
      <c r="T84" s="90">
        <v>49.993000000000002</v>
      </c>
      <c r="U84" s="90">
        <v>50.103000000000002</v>
      </c>
      <c r="V84" s="90">
        <v>49.984999999999999</v>
      </c>
      <c r="W84" s="90">
        <v>49.991</v>
      </c>
      <c r="X84" s="90">
        <v>49.991</v>
      </c>
      <c r="Y84" s="90">
        <v>50.046999999999997</v>
      </c>
      <c r="Z84" s="90">
        <v>49.984999999999999</v>
      </c>
      <c r="AA84" s="90">
        <v>50.006</v>
      </c>
      <c r="AB84" s="90">
        <v>49.954999999999998</v>
      </c>
      <c r="AC84" s="90">
        <v>50.05</v>
      </c>
      <c r="AD84" s="90">
        <v>49.935000000000002</v>
      </c>
      <c r="AE84" s="90">
        <v>49.927</v>
      </c>
      <c r="AF84" s="90">
        <v>49.948</v>
      </c>
      <c r="AG84" s="91"/>
      <c r="AH84" s="55">
        <f t="shared" si="13"/>
        <v>50.103000000000002</v>
      </c>
      <c r="AI84" s="56">
        <f t="shared" si="14"/>
        <v>49.759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123.6</v>
      </c>
      <c r="C85" s="49">
        <v>123</v>
      </c>
      <c r="D85" s="49">
        <v>122.8</v>
      </c>
      <c r="E85" s="49">
        <v>122.9</v>
      </c>
      <c r="F85" s="49">
        <v>123.3</v>
      </c>
      <c r="G85" s="49">
        <v>122.9</v>
      </c>
      <c r="H85" s="49">
        <v>124.4</v>
      </c>
      <c r="I85" s="49">
        <v>125.1</v>
      </c>
      <c r="J85" s="49">
        <v>122</v>
      </c>
      <c r="K85" s="49">
        <v>124.1</v>
      </c>
      <c r="L85" s="49">
        <v>123.4</v>
      </c>
      <c r="M85" s="49">
        <v>123.4</v>
      </c>
      <c r="N85" s="49">
        <v>122.5</v>
      </c>
      <c r="O85" s="49">
        <v>121.7</v>
      </c>
      <c r="P85" s="49">
        <v>121.9</v>
      </c>
      <c r="Q85" s="49">
        <v>123.7</v>
      </c>
      <c r="R85" s="49">
        <v>122.6</v>
      </c>
      <c r="S85" s="49">
        <v>122</v>
      </c>
      <c r="T85" s="49">
        <v>122.9</v>
      </c>
      <c r="U85" s="49">
        <v>123.2</v>
      </c>
      <c r="V85" s="49">
        <v>124.2</v>
      </c>
      <c r="W85" s="49">
        <v>123.4</v>
      </c>
      <c r="X85" s="49">
        <v>123.2</v>
      </c>
      <c r="Y85" s="49">
        <v>123.2</v>
      </c>
      <c r="Z85" s="49">
        <v>124.2</v>
      </c>
      <c r="AA85" s="49">
        <v>124.3</v>
      </c>
      <c r="AB85" s="49">
        <v>124.8</v>
      </c>
      <c r="AC85" s="49">
        <v>125.7</v>
      </c>
      <c r="AD85" s="49">
        <v>125.7</v>
      </c>
      <c r="AE85" s="49">
        <v>124</v>
      </c>
      <c r="AF85" s="49">
        <v>124</v>
      </c>
      <c r="AG85" s="93"/>
      <c r="AH85" s="55">
        <f t="shared" si="13"/>
        <v>125.7</v>
      </c>
      <c r="AI85" s="56">
        <f t="shared" si="14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127.7</v>
      </c>
      <c r="C86" s="49">
        <v>126.5</v>
      </c>
      <c r="D86" s="49">
        <v>127.5</v>
      </c>
      <c r="E86" s="49">
        <v>127.7</v>
      </c>
      <c r="F86" s="49">
        <v>127.6</v>
      </c>
      <c r="G86" s="49">
        <v>127</v>
      </c>
      <c r="H86" s="49">
        <v>128.4</v>
      </c>
      <c r="I86" s="49">
        <v>128.30000000000001</v>
      </c>
      <c r="J86" s="49">
        <v>126</v>
      </c>
      <c r="K86" s="49">
        <v>127.9</v>
      </c>
      <c r="L86" s="49">
        <v>126.6</v>
      </c>
      <c r="M86" s="49">
        <v>127.3</v>
      </c>
      <c r="N86" s="49">
        <v>126.6</v>
      </c>
      <c r="O86" s="49">
        <v>125.9</v>
      </c>
      <c r="P86" s="49">
        <v>126.3</v>
      </c>
      <c r="Q86" s="49">
        <v>127.7</v>
      </c>
      <c r="R86" s="49">
        <v>127.1</v>
      </c>
      <c r="S86" s="49">
        <v>126.1</v>
      </c>
      <c r="T86" s="49">
        <v>127</v>
      </c>
      <c r="U86" s="49">
        <v>127.2</v>
      </c>
      <c r="V86" s="49">
        <v>127.9</v>
      </c>
      <c r="W86" s="49">
        <v>127.3</v>
      </c>
      <c r="X86" s="49">
        <v>127.5</v>
      </c>
      <c r="Y86" s="49">
        <v>127.4</v>
      </c>
      <c r="Z86" s="49">
        <v>127.7</v>
      </c>
      <c r="AA86" s="49">
        <v>127.8</v>
      </c>
      <c r="AB86" s="49">
        <v>128.30000000000001</v>
      </c>
      <c r="AC86" s="49">
        <v>129</v>
      </c>
      <c r="AD86" s="49">
        <v>129</v>
      </c>
      <c r="AE86" s="49">
        <v>128</v>
      </c>
      <c r="AF86" s="49">
        <v>128</v>
      </c>
      <c r="AG86" s="93"/>
      <c r="AH86" s="55">
        <f t="shared" si="13"/>
        <v>129</v>
      </c>
      <c r="AI86" s="56">
        <f t="shared" si="14"/>
        <v>125.9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124.9</v>
      </c>
      <c r="C87" s="49">
        <v>127</v>
      </c>
      <c r="D87" s="49">
        <v>127.5</v>
      </c>
      <c r="E87" s="49">
        <v>128.5</v>
      </c>
      <c r="F87" s="49">
        <v>128.69999999999999</v>
      </c>
      <c r="G87" s="49">
        <v>128.6</v>
      </c>
      <c r="H87" s="49">
        <v>127.6</v>
      </c>
      <c r="I87" s="49">
        <v>125.9</v>
      </c>
      <c r="J87" s="49">
        <v>125.9</v>
      </c>
      <c r="K87" s="49">
        <v>125.3</v>
      </c>
      <c r="L87" s="49">
        <v>128.1</v>
      </c>
      <c r="M87" s="49">
        <v>126.5</v>
      </c>
      <c r="N87" s="49">
        <v>126</v>
      </c>
      <c r="O87" s="49">
        <v>122.3</v>
      </c>
      <c r="P87" s="49">
        <v>128.5</v>
      </c>
      <c r="Q87" s="49">
        <v>127.4</v>
      </c>
      <c r="R87" s="49">
        <v>127.3</v>
      </c>
      <c r="S87" s="49">
        <v>124.8</v>
      </c>
      <c r="T87" s="49">
        <v>127</v>
      </c>
      <c r="U87" s="49">
        <v>123.6</v>
      </c>
      <c r="V87" s="49">
        <v>128.30000000000001</v>
      </c>
      <c r="W87" s="49">
        <v>126.8</v>
      </c>
      <c r="X87" s="49">
        <v>124.5</v>
      </c>
      <c r="Y87" s="49">
        <v>126</v>
      </c>
      <c r="Z87" s="49">
        <v>127</v>
      </c>
      <c r="AA87" s="49">
        <v>124.3</v>
      </c>
      <c r="AB87" s="49">
        <v>125.6</v>
      </c>
      <c r="AC87" s="49">
        <v>126</v>
      </c>
      <c r="AD87" s="49">
        <v>126</v>
      </c>
      <c r="AE87" s="49">
        <v>127</v>
      </c>
      <c r="AF87" s="49">
        <v>127</v>
      </c>
      <c r="AG87" s="93"/>
      <c r="AH87" s="55">
        <f t="shared" si="13"/>
        <v>128.69999999999999</v>
      </c>
      <c r="AI87" s="56">
        <f t="shared" si="14"/>
        <v>122.3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3"/>
        <v>0</v>
      </c>
      <c r="AI88" s="56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133.69999999999999</v>
      </c>
      <c r="C89" s="95">
        <v>134</v>
      </c>
      <c r="D89" s="95">
        <v>135</v>
      </c>
      <c r="E89" s="95">
        <v>132.6</v>
      </c>
      <c r="F89" s="95">
        <v>133.9</v>
      </c>
      <c r="G89" s="95">
        <v>131.6</v>
      </c>
      <c r="H89" s="95">
        <v>131.9</v>
      </c>
      <c r="I89" s="95">
        <v>132.4</v>
      </c>
      <c r="J89" s="95">
        <v>129.80000000000001</v>
      </c>
      <c r="K89" s="95">
        <v>135.5</v>
      </c>
      <c r="L89" s="95">
        <v>130.69999999999999</v>
      </c>
      <c r="M89" s="95">
        <v>133</v>
      </c>
      <c r="N89" s="95">
        <v>131.9</v>
      </c>
      <c r="O89" s="95">
        <v>133.9</v>
      </c>
      <c r="P89" s="95">
        <v>132.5</v>
      </c>
      <c r="Q89" s="95">
        <v>134.9</v>
      </c>
      <c r="R89" s="95">
        <v>133.1</v>
      </c>
      <c r="S89" s="95">
        <v>135</v>
      </c>
      <c r="T89" s="95">
        <v>133.30000000000001</v>
      </c>
      <c r="U89" s="95">
        <v>134.30000000000001</v>
      </c>
      <c r="V89" s="95">
        <v>134.6</v>
      </c>
      <c r="W89" s="95">
        <v>134.4</v>
      </c>
      <c r="X89" s="95">
        <v>134.6</v>
      </c>
      <c r="Y89" s="95">
        <v>133.1</v>
      </c>
      <c r="Z89" s="95">
        <v>132.5</v>
      </c>
      <c r="AA89" s="95">
        <v>135.1</v>
      </c>
      <c r="AB89" s="95">
        <v>134.1</v>
      </c>
      <c r="AC89" s="95">
        <v>132</v>
      </c>
      <c r="AD89" s="95">
        <v>132</v>
      </c>
      <c r="AE89" s="95">
        <v>133</v>
      </c>
      <c r="AF89" s="95">
        <v>133</v>
      </c>
      <c r="AG89" s="96"/>
      <c r="AH89" s="55">
        <f t="shared" si="13"/>
        <v>135.5</v>
      </c>
      <c r="AI89" s="56">
        <f t="shared" si="14"/>
        <v>129.80000000000001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136</v>
      </c>
      <c r="C90" s="49">
        <v>132.80000000000001</v>
      </c>
      <c r="D90" s="49">
        <v>136</v>
      </c>
      <c r="E90" s="49">
        <v>130.6</v>
      </c>
      <c r="F90" s="49">
        <v>135.80000000000001</v>
      </c>
      <c r="G90" s="49">
        <v>128.9</v>
      </c>
      <c r="H90" s="49">
        <v>129.5</v>
      </c>
      <c r="I90" s="49">
        <v>129.4</v>
      </c>
      <c r="J90" s="49">
        <v>128.6</v>
      </c>
      <c r="K90" s="49">
        <v>136.1</v>
      </c>
      <c r="L90" s="49">
        <v>126.3</v>
      </c>
      <c r="M90" s="49">
        <v>130.19999999999999</v>
      </c>
      <c r="N90" s="49">
        <v>128</v>
      </c>
      <c r="O90" s="49">
        <v>134.4</v>
      </c>
      <c r="P90" s="49">
        <v>131.80000000000001</v>
      </c>
      <c r="Q90" s="49">
        <v>133.6</v>
      </c>
      <c r="R90" s="49">
        <v>130.80000000000001</v>
      </c>
      <c r="S90" s="49">
        <v>131</v>
      </c>
      <c r="T90" s="49">
        <v>129.5</v>
      </c>
      <c r="U90" s="49">
        <v>130.9</v>
      </c>
      <c r="V90" s="49">
        <v>136.69999999999999</v>
      </c>
      <c r="W90" s="49">
        <v>130</v>
      </c>
      <c r="X90" s="49">
        <v>134.1</v>
      </c>
      <c r="Y90" s="49">
        <v>131.69999999999999</v>
      </c>
      <c r="Z90" s="49">
        <v>130.6</v>
      </c>
      <c r="AA90" s="49">
        <v>130.5</v>
      </c>
      <c r="AB90" s="49">
        <v>128.1</v>
      </c>
      <c r="AC90" s="49">
        <v>125</v>
      </c>
      <c r="AD90" s="49">
        <v>125</v>
      </c>
      <c r="AE90" s="49">
        <v>127</v>
      </c>
      <c r="AF90" s="49">
        <v>127</v>
      </c>
      <c r="AG90" s="93"/>
      <c r="AH90" s="55">
        <f t="shared" si="13"/>
        <v>136.69999999999999</v>
      </c>
      <c r="AI90" s="56">
        <f t="shared" si="14"/>
        <v>125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64.599999999999994</v>
      </c>
      <c r="C91" s="97">
        <v>64.2</v>
      </c>
      <c r="D91" s="97">
        <v>64.400000000000006</v>
      </c>
      <c r="E91" s="97">
        <v>64.5</v>
      </c>
      <c r="F91" s="97">
        <v>64.599999999999994</v>
      </c>
      <c r="G91" s="97">
        <v>64.3</v>
      </c>
      <c r="H91" s="97">
        <v>65</v>
      </c>
      <c r="I91" s="97">
        <v>65.099999999999994</v>
      </c>
      <c r="J91" s="97">
        <v>63.7</v>
      </c>
      <c r="K91" s="97">
        <v>64.599999999999994</v>
      </c>
      <c r="L91" s="97">
        <v>64</v>
      </c>
      <c r="M91" s="97">
        <v>64.2</v>
      </c>
      <c r="N91" s="97">
        <v>63.8</v>
      </c>
      <c r="O91" s="97">
        <v>63.4</v>
      </c>
      <c r="P91" s="97">
        <v>63.8</v>
      </c>
      <c r="Q91" s="97">
        <v>64.2</v>
      </c>
      <c r="R91" s="97">
        <v>64.099999999999994</v>
      </c>
      <c r="S91" s="97">
        <v>63.5</v>
      </c>
      <c r="T91" s="97">
        <v>64</v>
      </c>
      <c r="U91" s="97">
        <v>64.3</v>
      </c>
      <c r="V91" s="97">
        <v>64.599999999999994</v>
      </c>
      <c r="W91" s="97">
        <v>64.3</v>
      </c>
      <c r="X91" s="97">
        <v>64.3</v>
      </c>
      <c r="Y91" s="97">
        <v>64</v>
      </c>
      <c r="Z91" s="97">
        <v>64.3</v>
      </c>
      <c r="AA91" s="97">
        <v>64.3</v>
      </c>
      <c r="AB91" s="97">
        <v>64.599999999999994</v>
      </c>
      <c r="AC91" s="97">
        <v>65</v>
      </c>
      <c r="AD91" s="97">
        <v>65</v>
      </c>
      <c r="AE91" s="97">
        <v>65</v>
      </c>
      <c r="AF91" s="97">
        <v>65</v>
      </c>
      <c r="AG91" s="98"/>
      <c r="AH91" s="55">
        <f t="shared" si="13"/>
        <v>65.099999999999994</v>
      </c>
      <c r="AI91" s="56">
        <f t="shared" si="14"/>
        <v>63.4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2">SUM(B15,B18,B21:B22,B42,B44:B45,B47,B49,B94:B97,B104,B110,B116,B125,B127,B139,B146,B149:B150,B157,B159,B161,B165:B167,B169:B171,B176,B182:B183,B185:B187,B195,B200)</f>
        <v>95.439999999999984</v>
      </c>
      <c r="C93" s="103">
        <f t="shared" si="22"/>
        <v>71.640000000000015</v>
      </c>
      <c r="D93" s="103">
        <f t="shared" si="22"/>
        <v>28.840000000000007</v>
      </c>
      <c r="E93" s="103">
        <f t="shared" si="22"/>
        <v>79.440000000000026</v>
      </c>
      <c r="F93" s="103">
        <f t="shared" si="22"/>
        <v>78.040000000000006</v>
      </c>
      <c r="G93" s="103">
        <f t="shared" si="22"/>
        <v>97.74</v>
      </c>
      <c r="H93" s="103">
        <f t="shared" si="22"/>
        <v>115.33999999999996</v>
      </c>
      <c r="I93" s="103">
        <f t="shared" si="22"/>
        <v>166.73999999999995</v>
      </c>
      <c r="J93" s="103">
        <f t="shared" si="22"/>
        <v>160.34</v>
      </c>
      <c r="K93" s="103">
        <f t="shared" si="22"/>
        <v>200.44</v>
      </c>
      <c r="L93" s="103">
        <f t="shared" si="22"/>
        <v>216.04000000000002</v>
      </c>
      <c r="M93" s="103">
        <f t="shared" si="22"/>
        <v>323.84000000000003</v>
      </c>
      <c r="N93" s="103">
        <f t="shared" si="22"/>
        <v>328.24</v>
      </c>
      <c r="O93" s="103">
        <f t="shared" si="22"/>
        <v>333.24</v>
      </c>
      <c r="P93" s="103">
        <f t="shared" si="22"/>
        <v>203.03999999999996</v>
      </c>
      <c r="Q93" s="103">
        <f t="shared" si="22"/>
        <v>220.83999999999997</v>
      </c>
      <c r="R93" s="103">
        <f t="shared" si="22"/>
        <v>199.43999999999997</v>
      </c>
      <c r="S93" s="103">
        <f t="shared" si="22"/>
        <v>202.33999999999997</v>
      </c>
      <c r="T93" s="103">
        <f t="shared" si="22"/>
        <v>199.54</v>
      </c>
      <c r="U93" s="103">
        <f t="shared" si="22"/>
        <v>212.54</v>
      </c>
      <c r="V93" s="103">
        <f t="shared" si="22"/>
        <v>212.83999999999997</v>
      </c>
      <c r="W93" s="103">
        <f>SUM(W15,W18,W21:W22,W42,W44:W45,W47,W49,W94:W97,W104,W110,W116,W125,W127,W139,W146,W149:W150,W157,W159,W161,W165:W167,W169:W171,W176,W182:W183,W185:W187,W195,W200)</f>
        <v>201.73999999999995</v>
      </c>
      <c r="X93" s="103">
        <f>SUM(X15,X18,X21:X22,X42,X44:X45,X47,X49,X94:X97,X104,X110,X116,X125,X127,X139,X146,X149:X150,X157,X159,X161,X165:X167,X169:X171,X176,X182:X183,X185:X187,X195,X200)</f>
        <v>196.83999999999997</v>
      </c>
      <c r="Y93" s="103">
        <f t="shared" si="22"/>
        <v>219.44</v>
      </c>
      <c r="Z93" s="103">
        <f t="shared" si="22"/>
        <v>255.73999999999998</v>
      </c>
      <c r="AA93" s="103">
        <f t="shared" si="22"/>
        <v>291.94000000000005</v>
      </c>
      <c r="AB93" s="103">
        <f t="shared" si="22"/>
        <v>291.14000000000004</v>
      </c>
      <c r="AC93" s="103">
        <f t="shared" si="22"/>
        <v>245.74</v>
      </c>
      <c r="AD93" s="103">
        <f t="shared" si="22"/>
        <v>247.83999999999997</v>
      </c>
      <c r="AE93" s="103">
        <f t="shared" si="22"/>
        <v>199.04</v>
      </c>
      <c r="AF93" s="103">
        <f t="shared" si="22"/>
        <v>143.94</v>
      </c>
      <c r="AG93" s="104"/>
      <c r="AH93" s="55">
        <f>MAX(C93:AF93)</f>
        <v>333.24</v>
      </c>
      <c r="AI93" s="56">
        <f>MIN(C93:AF93)</f>
        <v>28.840000000000007</v>
      </c>
    </row>
    <row r="94" spans="1:88" x14ac:dyDescent="0.25">
      <c r="A94" s="105" t="s">
        <v>98</v>
      </c>
      <c r="B94" s="106">
        <v>22.1</v>
      </c>
      <c r="C94" s="106">
        <v>29</v>
      </c>
      <c r="D94" s="106">
        <v>19.399999999999999</v>
      </c>
      <c r="E94" s="106">
        <v>20.7</v>
      </c>
      <c r="F94" s="106">
        <v>20.8</v>
      </c>
      <c r="G94" s="106">
        <v>19.8</v>
      </c>
      <c r="H94" s="106">
        <v>27.2</v>
      </c>
      <c r="I94" s="106">
        <v>46.8</v>
      </c>
      <c r="J94" s="106">
        <v>35.1</v>
      </c>
      <c r="K94" s="106">
        <v>36.299999999999997</v>
      </c>
      <c r="L94" s="106">
        <v>31.8</v>
      </c>
      <c r="M94" s="106">
        <v>37.799999999999997</v>
      </c>
      <c r="N94" s="106">
        <v>35.299999999999997</v>
      </c>
      <c r="O94" s="106">
        <v>39.1</v>
      </c>
      <c r="P94" s="106">
        <v>43.9</v>
      </c>
      <c r="Q94" s="106">
        <v>28.5</v>
      </c>
      <c r="R94" s="106">
        <v>37.1</v>
      </c>
      <c r="S94" s="106">
        <v>34.6</v>
      </c>
      <c r="T94" s="106">
        <v>37.9</v>
      </c>
      <c r="U94" s="106">
        <v>24.4</v>
      </c>
      <c r="V94" s="106">
        <v>36.1</v>
      </c>
      <c r="W94" s="106">
        <v>36.299999999999997</v>
      </c>
      <c r="X94" s="106">
        <v>34.4</v>
      </c>
      <c r="Y94" s="106">
        <v>37.200000000000003</v>
      </c>
      <c r="Z94" s="106">
        <v>37</v>
      </c>
      <c r="AA94" s="106">
        <v>31.8</v>
      </c>
      <c r="AB94" s="106">
        <v>31.9</v>
      </c>
      <c r="AC94" s="106">
        <v>24.8</v>
      </c>
      <c r="AD94" s="106">
        <v>26.9</v>
      </c>
      <c r="AE94" s="106">
        <v>24.9</v>
      </c>
      <c r="AF94" s="106">
        <v>21</v>
      </c>
      <c r="AG94" s="107">
        <v>75</v>
      </c>
      <c r="AH94" s="55">
        <f t="shared" ref="AH94:AH100" si="23">IF(ABS(MAX(C94:AF94))&gt;ABS(MIN(C94:AF94)),MAX(C94:AF94),MIN(C94:AF94))</f>
        <v>46.8</v>
      </c>
      <c r="AI94" s="108">
        <f t="shared" ref="AI94:AI100" si="24">INDEX($C$9:$AF$9,1,MATCH(AH94,C94:AF94,0))</f>
        <v>0.25</v>
      </c>
    </row>
    <row r="95" spans="1:88" x14ac:dyDescent="0.25">
      <c r="A95" s="109" t="s">
        <v>99</v>
      </c>
      <c r="B95" s="110">
        <f>-70.5-74.1</f>
        <v>-144.6</v>
      </c>
      <c r="C95" s="110">
        <f>-57-59</f>
        <v>-116</v>
      </c>
      <c r="D95" s="110">
        <f>-71-76</f>
        <v>-147</v>
      </c>
      <c r="E95" s="110">
        <f>-74.3-78.1</f>
        <v>-152.39999999999998</v>
      </c>
      <c r="F95" s="110">
        <f>-74.3-78.7</f>
        <v>-153</v>
      </c>
      <c r="G95" s="110">
        <f>-66-71</f>
        <v>-137</v>
      </c>
      <c r="H95" s="110">
        <f>-61.2-65.9</f>
        <v>-127.10000000000001</v>
      </c>
      <c r="I95" s="110">
        <f>-50-53.7</f>
        <v>-103.7</v>
      </c>
      <c r="J95" s="110">
        <f>-53.1-52.5</f>
        <v>-105.6</v>
      </c>
      <c r="K95" s="110">
        <f>-40-48.1</f>
        <v>-88.1</v>
      </c>
      <c r="L95" s="110">
        <f>-33.1-40.1</f>
        <v>-73.2</v>
      </c>
      <c r="M95" s="110"/>
      <c r="N95" s="110"/>
      <c r="O95" s="110"/>
      <c r="P95" s="110">
        <f>-54-63.1</f>
        <v>-117.1</v>
      </c>
      <c r="Q95" s="110">
        <f>-45.5-58.4</f>
        <v>-103.9</v>
      </c>
      <c r="R95" s="110">
        <v>-111</v>
      </c>
      <c r="S95" s="110">
        <v>-95</v>
      </c>
      <c r="T95" s="110">
        <v>-94</v>
      </c>
      <c r="U95" s="110">
        <v>-75</v>
      </c>
      <c r="V95" s="110">
        <v>-104</v>
      </c>
      <c r="W95" s="110">
        <v>-103</v>
      </c>
      <c r="X95" s="110">
        <v>-105</v>
      </c>
      <c r="Y95" s="110">
        <v>-91.2</v>
      </c>
      <c r="Z95" s="110">
        <v>-75</v>
      </c>
      <c r="AA95" s="110">
        <v>-39</v>
      </c>
      <c r="AB95" s="110">
        <v>-38</v>
      </c>
      <c r="AC95" s="110">
        <v>-71</v>
      </c>
      <c r="AD95" s="110">
        <v>-71</v>
      </c>
      <c r="AE95" s="110">
        <v>-110</v>
      </c>
      <c r="AF95" s="110">
        <v>-140</v>
      </c>
      <c r="AG95" s="107">
        <v>240</v>
      </c>
      <c r="AH95" s="55">
        <f t="shared" si="23"/>
        <v>-153</v>
      </c>
      <c r="AI95" s="108">
        <f t="shared" si="24"/>
        <v>0.16666666666666699</v>
      </c>
    </row>
    <row r="96" spans="1:88" x14ac:dyDescent="0.25">
      <c r="A96" s="109" t="s">
        <v>100</v>
      </c>
      <c r="B96" s="110">
        <v>2</v>
      </c>
      <c r="C96" s="110">
        <v>2.7</v>
      </c>
      <c r="D96" s="110">
        <v>0.5</v>
      </c>
      <c r="E96" s="110">
        <v>-3</v>
      </c>
      <c r="F96" s="110">
        <v>-4.7</v>
      </c>
      <c r="G96" s="110">
        <v>0</v>
      </c>
      <c r="H96" s="110">
        <v>-0.7</v>
      </c>
      <c r="I96" s="110">
        <v>7.7</v>
      </c>
      <c r="J96" s="110">
        <v>7.7</v>
      </c>
      <c r="K96" s="110">
        <v>29.1</v>
      </c>
      <c r="L96" s="110">
        <v>34.299999999999997</v>
      </c>
      <c r="M96" s="110">
        <v>34.700000000000003</v>
      </c>
      <c r="N96" s="110">
        <v>46.7</v>
      </c>
      <c r="O96" s="110">
        <v>46.9</v>
      </c>
      <c r="P96" s="110">
        <v>33.299999999999997</v>
      </c>
      <c r="Q96" s="110">
        <v>47</v>
      </c>
      <c r="R96" s="110">
        <v>38.5</v>
      </c>
      <c r="S96" s="110">
        <v>41.9</v>
      </c>
      <c r="T96" s="110">
        <v>31.4</v>
      </c>
      <c r="U96" s="110">
        <v>30.9</v>
      </c>
      <c r="V96" s="110">
        <v>29.5</v>
      </c>
      <c r="W96" s="110">
        <v>17.2</v>
      </c>
      <c r="X96" s="110">
        <v>19.2</v>
      </c>
      <c r="Y96" s="110">
        <v>25.2</v>
      </c>
      <c r="Z96" s="110">
        <v>50.5</v>
      </c>
      <c r="AA96" s="110">
        <v>55.9</v>
      </c>
      <c r="AB96" s="110">
        <v>54.1</v>
      </c>
      <c r="AC96" s="110">
        <v>48.8</v>
      </c>
      <c r="AD96" s="110">
        <v>48.8</v>
      </c>
      <c r="AE96" s="110">
        <v>41</v>
      </c>
      <c r="AF96" s="110">
        <v>19.8</v>
      </c>
      <c r="AG96" s="107">
        <v>60</v>
      </c>
      <c r="AH96" s="55">
        <f t="shared" si="23"/>
        <v>55.9</v>
      </c>
      <c r="AI96" s="108">
        <f t="shared" si="24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28.1</v>
      </c>
      <c r="N97" s="112">
        <v>23</v>
      </c>
      <c r="O97" s="112">
        <v>24</v>
      </c>
      <c r="P97" s="112">
        <v>18.7</v>
      </c>
      <c r="Q97" s="112">
        <v>25</v>
      </c>
      <c r="R97" s="112">
        <v>12.2</v>
      </c>
      <c r="S97" s="112">
        <v>0</v>
      </c>
      <c r="T97" s="112">
        <v>0</v>
      </c>
      <c r="U97" s="112">
        <v>0</v>
      </c>
      <c r="V97" s="112">
        <v>0</v>
      </c>
      <c r="W97" s="112">
        <v>0</v>
      </c>
      <c r="X97" s="112">
        <v>0</v>
      </c>
      <c r="Y97" s="112">
        <v>0</v>
      </c>
      <c r="Z97" s="112">
        <v>0</v>
      </c>
      <c r="AA97" s="112">
        <v>0</v>
      </c>
      <c r="AB97" s="112">
        <v>0</v>
      </c>
      <c r="AC97" s="112">
        <v>0</v>
      </c>
      <c r="AD97" s="112">
        <v>0</v>
      </c>
      <c r="AE97" s="112">
        <v>0</v>
      </c>
      <c r="AF97" s="112">
        <v>0</v>
      </c>
      <c r="AG97" s="113">
        <v>120</v>
      </c>
      <c r="AH97" s="55">
        <f t="shared" si="23"/>
        <v>28.1</v>
      </c>
      <c r="AI97" s="108">
        <f t="shared" si="24"/>
        <v>0.33333333333333331</v>
      </c>
    </row>
    <row r="98" spans="1:37" x14ac:dyDescent="0.25">
      <c r="A98" s="111" t="s">
        <v>102</v>
      </c>
      <c r="B98" s="112">
        <v>15</v>
      </c>
      <c r="C98" s="112">
        <v>33</v>
      </c>
      <c r="D98" s="112">
        <v>30.6</v>
      </c>
      <c r="E98" s="112">
        <v>28.8</v>
      </c>
      <c r="F98" s="112">
        <v>26.3</v>
      </c>
      <c r="G98" s="112">
        <v>34.4</v>
      </c>
      <c r="H98" s="112">
        <v>33.5</v>
      </c>
      <c r="I98" s="112">
        <v>34.700000000000003</v>
      </c>
      <c r="J98" s="112">
        <v>41.9</v>
      </c>
      <c r="K98" s="112">
        <v>39</v>
      </c>
      <c r="L98" s="112">
        <v>55.1</v>
      </c>
      <c r="M98" s="112">
        <v>30.9</v>
      </c>
      <c r="N98" s="112">
        <v>24</v>
      </c>
      <c r="O98" s="112">
        <v>28.1</v>
      </c>
      <c r="P98" s="112">
        <v>28.2</v>
      </c>
      <c r="Q98" s="112">
        <v>30.2</v>
      </c>
      <c r="R98" s="112">
        <v>24.7</v>
      </c>
      <c r="S98" s="112">
        <v>41.4</v>
      </c>
      <c r="T98" s="112">
        <v>45.3</v>
      </c>
      <c r="U98" s="112">
        <v>52.8</v>
      </c>
      <c r="V98" s="112">
        <v>26.3</v>
      </c>
      <c r="W98" s="112">
        <v>39.4</v>
      </c>
      <c r="X98" s="112">
        <v>41.6</v>
      </c>
      <c r="Y98" s="112">
        <v>44.2</v>
      </c>
      <c r="Z98" s="112">
        <v>44.6</v>
      </c>
      <c r="AA98" s="112">
        <v>73.3</v>
      </c>
      <c r="AB98" s="112">
        <v>62.6</v>
      </c>
      <c r="AC98" s="112">
        <v>44.6</v>
      </c>
      <c r="AD98" s="112">
        <v>44.6</v>
      </c>
      <c r="AE98" s="112">
        <v>20.5</v>
      </c>
      <c r="AF98" s="112">
        <v>30.5</v>
      </c>
      <c r="AG98" s="113"/>
      <c r="AH98" s="55">
        <f t="shared" si="23"/>
        <v>73.3</v>
      </c>
      <c r="AI98" s="108">
        <f t="shared" si="24"/>
        <v>0.8125</v>
      </c>
    </row>
    <row r="99" spans="1:37" x14ac:dyDescent="0.25">
      <c r="A99" s="111" t="s">
        <v>253</v>
      </c>
      <c r="B99" s="112">
        <v>11.7</v>
      </c>
      <c r="C99" s="112">
        <v>13.7</v>
      </c>
      <c r="D99" s="112">
        <v>13.5</v>
      </c>
      <c r="E99" s="112">
        <v>12.4</v>
      </c>
      <c r="F99" s="112">
        <v>9.6</v>
      </c>
      <c r="G99" s="112">
        <v>11.7</v>
      </c>
      <c r="H99" s="112">
        <v>-4.8</v>
      </c>
      <c r="I99" s="112">
        <v>7.6</v>
      </c>
      <c r="J99" s="112">
        <v>-0.4</v>
      </c>
      <c r="K99" s="112">
        <v>-14.2</v>
      </c>
      <c r="L99" s="112">
        <v>6.3</v>
      </c>
      <c r="M99" s="112">
        <v>-16</v>
      </c>
      <c r="N99" s="112">
        <v>-9.1</v>
      </c>
      <c r="O99" s="112">
        <v>-25.3</v>
      </c>
      <c r="P99" s="112">
        <v>-52.7</v>
      </c>
      <c r="Q99" s="112">
        <v>8.1</v>
      </c>
      <c r="R99" s="112">
        <v>-36</v>
      </c>
      <c r="S99" s="112">
        <v>-22.3</v>
      </c>
      <c r="T99" s="112">
        <v>-15.1</v>
      </c>
      <c r="U99" s="112">
        <v>14.3</v>
      </c>
      <c r="V99" s="112">
        <v>-27.1</v>
      </c>
      <c r="W99" s="112">
        <v>-17.100000000000001</v>
      </c>
      <c r="X99" s="112">
        <v>-23.3</v>
      </c>
      <c r="Y99" s="112">
        <v>-24.1</v>
      </c>
      <c r="Z99" s="112">
        <v>-11.8</v>
      </c>
      <c r="AA99" s="112">
        <v>4.5999999999999996</v>
      </c>
      <c r="AB99" s="112">
        <v>9.1</v>
      </c>
      <c r="AC99" s="112">
        <v>18.600000000000001</v>
      </c>
      <c r="AD99" s="112">
        <v>19.399999999999999</v>
      </c>
      <c r="AE99" s="112">
        <v>19.7</v>
      </c>
      <c r="AF99" s="112">
        <v>24.7</v>
      </c>
      <c r="AG99" s="114"/>
      <c r="AH99" s="55">
        <f t="shared" si="23"/>
        <v>-52.7</v>
      </c>
      <c r="AI99" s="108">
        <f t="shared" si="24"/>
        <v>0.45833333333333298</v>
      </c>
    </row>
    <row r="100" spans="1:37" x14ac:dyDescent="0.25">
      <c r="A100" s="115" t="s">
        <v>104</v>
      </c>
      <c r="B100" s="95">
        <v>42</v>
      </c>
      <c r="C100" s="95">
        <v>37</v>
      </c>
      <c r="D100" s="95">
        <v>35</v>
      </c>
      <c r="E100" s="95">
        <v>28.2</v>
      </c>
      <c r="F100" s="95">
        <v>28.7</v>
      </c>
      <c r="G100" s="95">
        <v>23.8</v>
      </c>
      <c r="H100" s="95">
        <v>18.899999999999999</v>
      </c>
      <c r="I100" s="95">
        <v>18.2</v>
      </c>
      <c r="J100" s="95">
        <v>25</v>
      </c>
      <c r="K100" s="95" t="s">
        <v>230</v>
      </c>
      <c r="L100" s="95">
        <v>33.1</v>
      </c>
      <c r="M100" s="95">
        <v>32.4</v>
      </c>
      <c r="N100" s="95">
        <v>46.3</v>
      </c>
      <c r="O100" s="95">
        <v>50.3</v>
      </c>
      <c r="P100" s="95">
        <v>56.4</v>
      </c>
      <c r="Q100" s="95">
        <v>56</v>
      </c>
      <c r="R100" s="95">
        <v>56</v>
      </c>
      <c r="S100" s="95">
        <v>64.5</v>
      </c>
      <c r="T100" s="95">
        <v>59.2</v>
      </c>
      <c r="U100" s="95">
        <v>48.3</v>
      </c>
      <c r="V100" s="95">
        <v>46.3</v>
      </c>
      <c r="W100" s="95">
        <v>37.799999999999997</v>
      </c>
      <c r="X100" s="95">
        <v>44.3</v>
      </c>
      <c r="Y100" s="95">
        <v>48.8</v>
      </c>
      <c r="Z100" s="95">
        <v>53.1</v>
      </c>
      <c r="AA100" s="95">
        <v>64.900000000000006</v>
      </c>
      <c r="AB100" s="95">
        <v>58.9</v>
      </c>
      <c r="AC100" s="95">
        <v>58.2</v>
      </c>
      <c r="AD100" s="95">
        <v>58.2</v>
      </c>
      <c r="AE100" s="95">
        <v>59.9</v>
      </c>
      <c r="AF100" s="95">
        <v>55.6</v>
      </c>
      <c r="AG100" s="114"/>
      <c r="AH100" s="55">
        <f t="shared" si="23"/>
        <v>64.900000000000006</v>
      </c>
      <c r="AI100" s="108">
        <f t="shared" si="24"/>
        <v>0.8125</v>
      </c>
    </row>
    <row r="101" spans="1:37" ht="15.75" thickBot="1" x14ac:dyDescent="0.3">
      <c r="A101" s="115" t="s">
        <v>221</v>
      </c>
      <c r="B101" s="95"/>
      <c r="C101" s="95"/>
      <c r="D101" s="95"/>
      <c r="E101" s="95">
        <v>101</v>
      </c>
      <c r="F101" s="95">
        <v>99.3</v>
      </c>
      <c r="G101" s="95">
        <v>91.1</v>
      </c>
      <c r="H101" s="95">
        <v>87.2</v>
      </c>
      <c r="I101" s="95">
        <v>65.400000000000006</v>
      </c>
      <c r="J101" s="95">
        <v>73.8</v>
      </c>
      <c r="K101" s="95"/>
      <c r="L101" s="95">
        <v>63.5</v>
      </c>
      <c r="M101" s="95">
        <v>84.2</v>
      </c>
      <c r="N101" s="95">
        <v>94.5</v>
      </c>
      <c r="O101" s="95">
        <v>95.9</v>
      </c>
      <c r="P101" s="95">
        <v>102.3</v>
      </c>
      <c r="Q101" s="95">
        <v>93.4</v>
      </c>
      <c r="R101" s="95">
        <v>100</v>
      </c>
      <c r="S101" s="95">
        <v>85</v>
      </c>
      <c r="T101" s="95">
        <v>82</v>
      </c>
      <c r="U101" s="95">
        <v>71.2</v>
      </c>
      <c r="V101" s="95">
        <v>91</v>
      </c>
      <c r="W101" s="95">
        <v>78</v>
      </c>
      <c r="X101" s="95">
        <v>72</v>
      </c>
      <c r="Y101" s="95">
        <v>68.900000000000006</v>
      </c>
      <c r="Z101" s="95">
        <v>73.599999999999994</v>
      </c>
      <c r="AA101" s="95">
        <v>55.6</v>
      </c>
      <c r="AB101" s="95">
        <v>56.1</v>
      </c>
      <c r="AC101" s="95">
        <v>69.900000000000006</v>
      </c>
      <c r="AD101" s="95">
        <v>66</v>
      </c>
      <c r="AE101" s="95">
        <v>98</v>
      </c>
      <c r="AF101" s="95">
        <v>102</v>
      </c>
      <c r="AG101" s="114"/>
      <c r="AH101" s="55"/>
      <c r="AI101" s="108"/>
    </row>
    <row r="102" spans="1:37" ht="15.75" thickBot="1" x14ac:dyDescent="0.3">
      <c r="A102" s="116" t="s">
        <v>105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9"/>
      <c r="AI102" s="56"/>
      <c r="AK102" s="57"/>
    </row>
    <row r="103" spans="1:37" x14ac:dyDescent="0.25">
      <c r="A103" s="120" t="s">
        <v>106</v>
      </c>
      <c r="B103" s="121">
        <f t="shared" ref="B103:B108" si="25">AF103</f>
        <v>9.9</v>
      </c>
      <c r="C103" s="54">
        <v>9.9</v>
      </c>
      <c r="D103" s="121">
        <f t="shared" ref="D103:S108" si="26">C103</f>
        <v>9.9</v>
      </c>
      <c r="E103" s="121">
        <f t="shared" si="26"/>
        <v>9.9</v>
      </c>
      <c r="F103" s="121">
        <f t="shared" si="26"/>
        <v>9.9</v>
      </c>
      <c r="G103" s="121">
        <f t="shared" si="26"/>
        <v>9.9</v>
      </c>
      <c r="H103" s="121">
        <f t="shared" si="26"/>
        <v>9.9</v>
      </c>
      <c r="I103" s="121">
        <f t="shared" si="26"/>
        <v>9.9</v>
      </c>
      <c r="J103" s="121">
        <f t="shared" si="26"/>
        <v>9.9</v>
      </c>
      <c r="K103" s="121">
        <f t="shared" si="26"/>
        <v>9.9</v>
      </c>
      <c r="L103" s="121">
        <f t="shared" si="26"/>
        <v>9.9</v>
      </c>
      <c r="M103" s="121">
        <f t="shared" si="26"/>
        <v>9.9</v>
      </c>
      <c r="N103" s="121">
        <f t="shared" si="26"/>
        <v>9.9</v>
      </c>
      <c r="O103" s="121">
        <f t="shared" si="26"/>
        <v>9.9</v>
      </c>
      <c r="P103" s="121">
        <f t="shared" si="26"/>
        <v>9.9</v>
      </c>
      <c r="Q103" s="121">
        <f t="shared" si="26"/>
        <v>9.9</v>
      </c>
      <c r="R103" s="121">
        <f t="shared" si="26"/>
        <v>9.9</v>
      </c>
      <c r="S103" s="121">
        <f t="shared" si="26"/>
        <v>9.9</v>
      </c>
      <c r="T103" s="121">
        <f t="shared" ref="T103:AF108" si="27">S103</f>
        <v>9.9</v>
      </c>
      <c r="U103" s="121">
        <f t="shared" si="27"/>
        <v>9.9</v>
      </c>
      <c r="V103" s="121">
        <f t="shared" si="27"/>
        <v>9.9</v>
      </c>
      <c r="W103" s="121">
        <f t="shared" si="27"/>
        <v>9.9</v>
      </c>
      <c r="X103" s="121">
        <f t="shared" si="27"/>
        <v>9.9</v>
      </c>
      <c r="Y103" s="121">
        <f t="shared" si="27"/>
        <v>9.9</v>
      </c>
      <c r="Z103" s="121">
        <f t="shared" si="27"/>
        <v>9.9</v>
      </c>
      <c r="AA103" s="121">
        <f t="shared" si="27"/>
        <v>9.9</v>
      </c>
      <c r="AB103" s="121">
        <f t="shared" si="27"/>
        <v>9.9</v>
      </c>
      <c r="AC103" s="121">
        <f t="shared" si="27"/>
        <v>9.9</v>
      </c>
      <c r="AD103" s="121">
        <f t="shared" si="27"/>
        <v>9.9</v>
      </c>
      <c r="AE103" s="121">
        <f t="shared" si="27"/>
        <v>9.9</v>
      </c>
      <c r="AF103" s="121">
        <f t="shared" si="27"/>
        <v>9.9</v>
      </c>
      <c r="AG103" s="122">
        <v>9.94</v>
      </c>
      <c r="AH103" s="55"/>
      <c r="AI103" s="56"/>
      <c r="AK103" s="57"/>
    </row>
    <row r="104" spans="1:37" x14ac:dyDescent="0.25">
      <c r="A104" s="109" t="s">
        <v>107</v>
      </c>
      <c r="B104" s="123">
        <f t="shared" si="25"/>
        <v>9.6</v>
      </c>
      <c r="C104" s="124">
        <v>9.6</v>
      </c>
      <c r="D104" s="123">
        <f t="shared" si="26"/>
        <v>9.6</v>
      </c>
      <c r="E104" s="123">
        <f t="shared" si="26"/>
        <v>9.6</v>
      </c>
      <c r="F104" s="123">
        <f t="shared" si="26"/>
        <v>9.6</v>
      </c>
      <c r="G104" s="123">
        <f t="shared" si="26"/>
        <v>9.6</v>
      </c>
      <c r="H104" s="123">
        <f t="shared" si="26"/>
        <v>9.6</v>
      </c>
      <c r="I104" s="123">
        <f t="shared" si="26"/>
        <v>9.6</v>
      </c>
      <c r="J104" s="123">
        <f t="shared" si="26"/>
        <v>9.6</v>
      </c>
      <c r="K104" s="123">
        <f t="shared" si="26"/>
        <v>9.6</v>
      </c>
      <c r="L104" s="123">
        <f t="shared" si="26"/>
        <v>9.6</v>
      </c>
      <c r="M104" s="123">
        <f t="shared" si="26"/>
        <v>9.6</v>
      </c>
      <c r="N104" s="123">
        <f t="shared" si="26"/>
        <v>9.6</v>
      </c>
      <c r="O104" s="123">
        <f t="shared" si="26"/>
        <v>9.6</v>
      </c>
      <c r="P104" s="123">
        <f t="shared" si="26"/>
        <v>9.6</v>
      </c>
      <c r="Q104" s="123">
        <f t="shared" si="26"/>
        <v>9.6</v>
      </c>
      <c r="R104" s="123">
        <f t="shared" si="26"/>
        <v>9.6</v>
      </c>
      <c r="S104" s="123">
        <f t="shared" si="26"/>
        <v>9.6</v>
      </c>
      <c r="T104" s="123">
        <f t="shared" si="27"/>
        <v>9.6</v>
      </c>
      <c r="U104" s="123">
        <f t="shared" si="27"/>
        <v>9.6</v>
      </c>
      <c r="V104" s="123">
        <f t="shared" si="27"/>
        <v>9.6</v>
      </c>
      <c r="W104" s="123">
        <f t="shared" si="27"/>
        <v>9.6</v>
      </c>
      <c r="X104" s="123">
        <f t="shared" si="27"/>
        <v>9.6</v>
      </c>
      <c r="Y104" s="123">
        <f t="shared" si="27"/>
        <v>9.6</v>
      </c>
      <c r="Z104" s="123">
        <f t="shared" si="27"/>
        <v>9.6</v>
      </c>
      <c r="AA104" s="123">
        <f t="shared" si="27"/>
        <v>9.6</v>
      </c>
      <c r="AB104" s="123">
        <f t="shared" si="27"/>
        <v>9.6</v>
      </c>
      <c r="AC104" s="123">
        <f t="shared" si="27"/>
        <v>9.6</v>
      </c>
      <c r="AD104" s="123">
        <f t="shared" si="27"/>
        <v>9.6</v>
      </c>
      <c r="AE104" s="123">
        <f t="shared" si="27"/>
        <v>9.6</v>
      </c>
      <c r="AF104" s="123">
        <f t="shared" si="27"/>
        <v>9.6</v>
      </c>
      <c r="AG104" s="125">
        <v>9.9</v>
      </c>
      <c r="AH104" s="55"/>
      <c r="AI104" s="56"/>
      <c r="AK104" s="57"/>
    </row>
    <row r="105" spans="1:37" x14ac:dyDescent="0.25">
      <c r="A105" s="111" t="s">
        <v>108</v>
      </c>
      <c r="B105" s="123">
        <f t="shared" si="25"/>
        <v>9.98</v>
      </c>
      <c r="C105" s="124">
        <v>9.98</v>
      </c>
      <c r="D105" s="123">
        <f t="shared" si="26"/>
        <v>9.98</v>
      </c>
      <c r="E105" s="123">
        <f t="shared" si="26"/>
        <v>9.98</v>
      </c>
      <c r="F105" s="123">
        <f t="shared" si="26"/>
        <v>9.98</v>
      </c>
      <c r="G105" s="123">
        <f t="shared" si="26"/>
        <v>9.98</v>
      </c>
      <c r="H105" s="123">
        <f t="shared" si="26"/>
        <v>9.98</v>
      </c>
      <c r="I105" s="123">
        <f t="shared" si="26"/>
        <v>9.98</v>
      </c>
      <c r="J105" s="123">
        <f t="shared" si="26"/>
        <v>9.98</v>
      </c>
      <c r="K105" s="123">
        <f t="shared" si="26"/>
        <v>9.98</v>
      </c>
      <c r="L105" s="123">
        <f t="shared" si="26"/>
        <v>9.98</v>
      </c>
      <c r="M105" s="123">
        <f t="shared" si="26"/>
        <v>9.98</v>
      </c>
      <c r="N105" s="123">
        <f t="shared" si="26"/>
        <v>9.98</v>
      </c>
      <c r="O105" s="123">
        <f t="shared" si="26"/>
        <v>9.98</v>
      </c>
      <c r="P105" s="123">
        <f t="shared" si="26"/>
        <v>9.98</v>
      </c>
      <c r="Q105" s="123">
        <f t="shared" si="26"/>
        <v>9.98</v>
      </c>
      <c r="R105" s="123">
        <f t="shared" si="26"/>
        <v>9.98</v>
      </c>
      <c r="S105" s="123">
        <f t="shared" si="26"/>
        <v>9.98</v>
      </c>
      <c r="T105" s="123">
        <f t="shared" si="27"/>
        <v>9.98</v>
      </c>
      <c r="U105" s="123">
        <f t="shared" si="27"/>
        <v>9.98</v>
      </c>
      <c r="V105" s="123">
        <f t="shared" si="27"/>
        <v>9.98</v>
      </c>
      <c r="W105" s="123">
        <f t="shared" si="27"/>
        <v>9.98</v>
      </c>
      <c r="X105" s="123">
        <f t="shared" si="27"/>
        <v>9.98</v>
      </c>
      <c r="Y105" s="123">
        <f t="shared" si="27"/>
        <v>9.98</v>
      </c>
      <c r="Z105" s="123">
        <f t="shared" si="27"/>
        <v>9.98</v>
      </c>
      <c r="AA105" s="123">
        <f t="shared" si="27"/>
        <v>9.98</v>
      </c>
      <c r="AB105" s="123">
        <f t="shared" si="27"/>
        <v>9.98</v>
      </c>
      <c r="AC105" s="123">
        <f t="shared" si="27"/>
        <v>9.98</v>
      </c>
      <c r="AD105" s="123">
        <f t="shared" si="27"/>
        <v>9.98</v>
      </c>
      <c r="AE105" s="123">
        <f t="shared" si="27"/>
        <v>9.98</v>
      </c>
      <c r="AF105" s="123">
        <f t="shared" si="27"/>
        <v>9.98</v>
      </c>
      <c r="AG105" s="126">
        <v>9.6579999999999995</v>
      </c>
      <c r="AH105" s="55"/>
      <c r="AI105" s="56"/>
      <c r="AK105" s="57"/>
    </row>
    <row r="106" spans="1:37" x14ac:dyDescent="0.25">
      <c r="A106" s="111" t="s">
        <v>109</v>
      </c>
      <c r="B106" s="123">
        <f t="shared" si="25"/>
        <v>9.1</v>
      </c>
      <c r="C106" s="124">
        <v>9.1</v>
      </c>
      <c r="D106" s="123">
        <f t="shared" si="26"/>
        <v>9.1</v>
      </c>
      <c r="E106" s="123">
        <f t="shared" si="26"/>
        <v>9.1</v>
      </c>
      <c r="F106" s="123">
        <f t="shared" si="26"/>
        <v>9.1</v>
      </c>
      <c r="G106" s="123">
        <f t="shared" si="26"/>
        <v>9.1</v>
      </c>
      <c r="H106" s="123">
        <f t="shared" si="26"/>
        <v>9.1</v>
      </c>
      <c r="I106" s="123">
        <f t="shared" si="26"/>
        <v>9.1</v>
      </c>
      <c r="J106" s="123">
        <f t="shared" si="26"/>
        <v>9.1</v>
      </c>
      <c r="K106" s="123">
        <f t="shared" si="26"/>
        <v>9.1</v>
      </c>
      <c r="L106" s="123">
        <f t="shared" si="26"/>
        <v>9.1</v>
      </c>
      <c r="M106" s="123">
        <f t="shared" si="26"/>
        <v>9.1</v>
      </c>
      <c r="N106" s="123">
        <f t="shared" si="26"/>
        <v>9.1</v>
      </c>
      <c r="O106" s="123">
        <f t="shared" si="26"/>
        <v>9.1</v>
      </c>
      <c r="P106" s="123">
        <f t="shared" si="26"/>
        <v>9.1</v>
      </c>
      <c r="Q106" s="123">
        <f t="shared" si="26"/>
        <v>9.1</v>
      </c>
      <c r="R106" s="123">
        <f t="shared" si="26"/>
        <v>9.1</v>
      </c>
      <c r="S106" s="123">
        <f t="shared" si="26"/>
        <v>9.1</v>
      </c>
      <c r="T106" s="123">
        <f t="shared" si="27"/>
        <v>9.1</v>
      </c>
      <c r="U106" s="123">
        <f t="shared" si="27"/>
        <v>9.1</v>
      </c>
      <c r="V106" s="123">
        <f t="shared" si="27"/>
        <v>9.1</v>
      </c>
      <c r="W106" s="123">
        <f t="shared" si="27"/>
        <v>9.1</v>
      </c>
      <c r="X106" s="123">
        <f t="shared" si="27"/>
        <v>9.1</v>
      </c>
      <c r="Y106" s="123">
        <f t="shared" si="27"/>
        <v>9.1</v>
      </c>
      <c r="Z106" s="123">
        <f t="shared" si="27"/>
        <v>9.1</v>
      </c>
      <c r="AA106" s="123">
        <f t="shared" si="27"/>
        <v>9.1</v>
      </c>
      <c r="AB106" s="123">
        <f t="shared" si="27"/>
        <v>9.1</v>
      </c>
      <c r="AC106" s="123">
        <f t="shared" si="27"/>
        <v>9.1</v>
      </c>
      <c r="AD106" s="123">
        <f t="shared" si="27"/>
        <v>9.1</v>
      </c>
      <c r="AE106" s="123">
        <f t="shared" si="27"/>
        <v>9.1</v>
      </c>
      <c r="AF106" s="123">
        <f t="shared" si="27"/>
        <v>9.1</v>
      </c>
      <c r="AG106" s="126">
        <v>9.6</v>
      </c>
      <c r="AH106" s="55"/>
      <c r="AI106" s="56"/>
      <c r="AK106" s="57"/>
    </row>
    <row r="107" spans="1:37" x14ac:dyDescent="0.25">
      <c r="A107" s="111" t="s">
        <v>110</v>
      </c>
      <c r="B107" s="123">
        <f t="shared" si="25"/>
        <v>9.18</v>
      </c>
      <c r="C107" s="124">
        <v>9.18</v>
      </c>
      <c r="D107" s="123">
        <f t="shared" si="26"/>
        <v>9.18</v>
      </c>
      <c r="E107" s="123">
        <f t="shared" si="26"/>
        <v>9.18</v>
      </c>
      <c r="F107" s="123">
        <f t="shared" si="26"/>
        <v>9.18</v>
      </c>
      <c r="G107" s="123">
        <f t="shared" si="26"/>
        <v>9.18</v>
      </c>
      <c r="H107" s="123">
        <f t="shared" si="26"/>
        <v>9.18</v>
      </c>
      <c r="I107" s="123">
        <f t="shared" si="26"/>
        <v>9.18</v>
      </c>
      <c r="J107" s="123">
        <f t="shared" si="26"/>
        <v>9.18</v>
      </c>
      <c r="K107" s="123">
        <f t="shared" si="26"/>
        <v>9.18</v>
      </c>
      <c r="L107" s="123">
        <f t="shared" si="26"/>
        <v>9.18</v>
      </c>
      <c r="M107" s="123">
        <f t="shared" si="26"/>
        <v>9.18</v>
      </c>
      <c r="N107" s="123">
        <f t="shared" si="26"/>
        <v>9.18</v>
      </c>
      <c r="O107" s="123">
        <f t="shared" si="26"/>
        <v>9.18</v>
      </c>
      <c r="P107" s="123">
        <f t="shared" si="26"/>
        <v>9.18</v>
      </c>
      <c r="Q107" s="123">
        <f t="shared" si="26"/>
        <v>9.18</v>
      </c>
      <c r="R107" s="123">
        <f t="shared" si="26"/>
        <v>9.18</v>
      </c>
      <c r="S107" s="123">
        <f t="shared" si="26"/>
        <v>9.18</v>
      </c>
      <c r="T107" s="123">
        <f t="shared" si="27"/>
        <v>9.18</v>
      </c>
      <c r="U107" s="123">
        <f t="shared" si="27"/>
        <v>9.18</v>
      </c>
      <c r="V107" s="123">
        <f t="shared" si="27"/>
        <v>9.18</v>
      </c>
      <c r="W107" s="123">
        <f t="shared" si="27"/>
        <v>9.18</v>
      </c>
      <c r="X107" s="123">
        <f t="shared" si="27"/>
        <v>9.18</v>
      </c>
      <c r="Y107" s="123">
        <f t="shared" si="27"/>
        <v>9.18</v>
      </c>
      <c r="Z107" s="123">
        <f t="shared" si="27"/>
        <v>9.18</v>
      </c>
      <c r="AA107" s="123">
        <f t="shared" si="27"/>
        <v>9.18</v>
      </c>
      <c r="AB107" s="123">
        <f t="shared" si="27"/>
        <v>9.18</v>
      </c>
      <c r="AC107" s="123">
        <f t="shared" si="27"/>
        <v>9.18</v>
      </c>
      <c r="AD107" s="123">
        <f t="shared" si="27"/>
        <v>9.18</v>
      </c>
      <c r="AE107" s="123">
        <f t="shared" si="27"/>
        <v>9.18</v>
      </c>
      <c r="AF107" s="123">
        <f t="shared" si="27"/>
        <v>9.18</v>
      </c>
      <c r="AG107" s="126">
        <v>9.51</v>
      </c>
      <c r="AH107" s="55"/>
      <c r="AI107" s="56"/>
      <c r="AK107" s="57"/>
    </row>
    <row r="108" spans="1:37" x14ac:dyDescent="0.25">
      <c r="A108" s="111" t="s">
        <v>111</v>
      </c>
      <c r="B108" s="123">
        <f t="shared" si="25"/>
        <v>7</v>
      </c>
      <c r="C108" s="124">
        <v>7</v>
      </c>
      <c r="D108" s="123">
        <f t="shared" si="26"/>
        <v>7</v>
      </c>
      <c r="E108" s="123">
        <f t="shared" si="26"/>
        <v>7</v>
      </c>
      <c r="F108" s="123">
        <f t="shared" si="26"/>
        <v>7</v>
      </c>
      <c r="G108" s="123">
        <f t="shared" si="26"/>
        <v>7</v>
      </c>
      <c r="H108" s="123">
        <f t="shared" si="26"/>
        <v>7</v>
      </c>
      <c r="I108" s="123">
        <f t="shared" si="26"/>
        <v>7</v>
      </c>
      <c r="J108" s="123">
        <f t="shared" si="26"/>
        <v>7</v>
      </c>
      <c r="K108" s="123">
        <f t="shared" si="26"/>
        <v>7</v>
      </c>
      <c r="L108" s="123">
        <f t="shared" si="26"/>
        <v>7</v>
      </c>
      <c r="M108" s="123">
        <f t="shared" si="26"/>
        <v>7</v>
      </c>
      <c r="N108" s="123">
        <f t="shared" si="26"/>
        <v>7</v>
      </c>
      <c r="O108" s="123">
        <f t="shared" si="26"/>
        <v>7</v>
      </c>
      <c r="P108" s="123">
        <f t="shared" si="26"/>
        <v>7</v>
      </c>
      <c r="Q108" s="123">
        <f t="shared" si="26"/>
        <v>7</v>
      </c>
      <c r="R108" s="123">
        <f t="shared" si="26"/>
        <v>7</v>
      </c>
      <c r="S108" s="123">
        <f t="shared" si="26"/>
        <v>7</v>
      </c>
      <c r="T108" s="123">
        <f t="shared" si="27"/>
        <v>7</v>
      </c>
      <c r="U108" s="123">
        <f t="shared" si="27"/>
        <v>7</v>
      </c>
      <c r="V108" s="123">
        <f t="shared" si="27"/>
        <v>7</v>
      </c>
      <c r="W108" s="123">
        <f t="shared" si="27"/>
        <v>7</v>
      </c>
      <c r="X108" s="123">
        <f t="shared" si="27"/>
        <v>7</v>
      </c>
      <c r="Y108" s="123">
        <f t="shared" si="27"/>
        <v>7</v>
      </c>
      <c r="Z108" s="123">
        <f t="shared" si="27"/>
        <v>7</v>
      </c>
      <c r="AA108" s="123">
        <f t="shared" si="27"/>
        <v>7</v>
      </c>
      <c r="AB108" s="123">
        <f t="shared" si="27"/>
        <v>7</v>
      </c>
      <c r="AC108" s="123">
        <f t="shared" si="27"/>
        <v>7</v>
      </c>
      <c r="AD108" s="123">
        <f t="shared" si="27"/>
        <v>7</v>
      </c>
      <c r="AE108" s="123">
        <f t="shared" si="27"/>
        <v>7</v>
      </c>
      <c r="AF108" s="123">
        <f t="shared" si="27"/>
        <v>7</v>
      </c>
      <c r="AG108" s="126">
        <v>9.4</v>
      </c>
      <c r="AH108" s="55"/>
      <c r="AI108" s="56"/>
      <c r="AK108" s="57"/>
    </row>
    <row r="109" spans="1:37" x14ac:dyDescent="0.25">
      <c r="A109" s="111" t="s">
        <v>112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5"/>
      <c r="AI109" s="56"/>
      <c r="AK109" s="57"/>
    </row>
    <row r="110" spans="1:37" x14ac:dyDescent="0.25">
      <c r="A110" s="111" t="s">
        <v>113</v>
      </c>
      <c r="B110" s="123">
        <f>AF110</f>
        <v>2.25</v>
      </c>
      <c r="C110" s="124">
        <v>2.25</v>
      </c>
      <c r="D110" s="123">
        <f t="shared" ref="D110:S111" si="28">C110</f>
        <v>2.25</v>
      </c>
      <c r="E110" s="123">
        <f t="shared" si="28"/>
        <v>2.25</v>
      </c>
      <c r="F110" s="123">
        <f t="shared" si="28"/>
        <v>2.25</v>
      </c>
      <c r="G110" s="123">
        <f t="shared" si="28"/>
        <v>2.25</v>
      </c>
      <c r="H110" s="123">
        <f t="shared" si="28"/>
        <v>2.25</v>
      </c>
      <c r="I110" s="123">
        <f t="shared" si="28"/>
        <v>2.25</v>
      </c>
      <c r="J110" s="123">
        <f t="shared" si="28"/>
        <v>2.25</v>
      </c>
      <c r="K110" s="123">
        <f t="shared" si="28"/>
        <v>2.25</v>
      </c>
      <c r="L110" s="123">
        <f t="shared" si="28"/>
        <v>2.25</v>
      </c>
      <c r="M110" s="123">
        <f t="shared" si="28"/>
        <v>2.25</v>
      </c>
      <c r="N110" s="123">
        <f t="shared" si="28"/>
        <v>2.25</v>
      </c>
      <c r="O110" s="123">
        <f t="shared" si="28"/>
        <v>2.25</v>
      </c>
      <c r="P110" s="123">
        <f t="shared" si="28"/>
        <v>2.25</v>
      </c>
      <c r="Q110" s="123">
        <f t="shared" si="28"/>
        <v>2.25</v>
      </c>
      <c r="R110" s="123">
        <f t="shared" si="28"/>
        <v>2.25</v>
      </c>
      <c r="S110" s="123">
        <f t="shared" si="28"/>
        <v>2.25</v>
      </c>
      <c r="T110" s="123">
        <f t="shared" ref="T110:AF111" si="29">S110</f>
        <v>2.25</v>
      </c>
      <c r="U110" s="123">
        <f t="shared" si="29"/>
        <v>2.25</v>
      </c>
      <c r="V110" s="123">
        <f t="shared" si="29"/>
        <v>2.25</v>
      </c>
      <c r="W110" s="123">
        <f t="shared" si="29"/>
        <v>2.25</v>
      </c>
      <c r="X110" s="123">
        <f t="shared" si="29"/>
        <v>2.25</v>
      </c>
      <c r="Y110" s="123">
        <f t="shared" si="29"/>
        <v>2.25</v>
      </c>
      <c r="Z110" s="123">
        <f t="shared" si="29"/>
        <v>2.25</v>
      </c>
      <c r="AA110" s="123">
        <f t="shared" si="29"/>
        <v>2.25</v>
      </c>
      <c r="AB110" s="123">
        <f t="shared" si="29"/>
        <v>2.25</v>
      </c>
      <c r="AC110" s="123">
        <f t="shared" si="29"/>
        <v>2.25</v>
      </c>
      <c r="AD110" s="123">
        <f t="shared" si="29"/>
        <v>2.25</v>
      </c>
      <c r="AE110" s="123">
        <f t="shared" si="29"/>
        <v>2.25</v>
      </c>
      <c r="AF110" s="123">
        <f t="shared" si="29"/>
        <v>2.25</v>
      </c>
      <c r="AG110" s="126">
        <v>8.5</v>
      </c>
      <c r="AH110" s="55"/>
      <c r="AI110" s="56"/>
      <c r="AK110" s="57"/>
    </row>
    <row r="111" spans="1:37" x14ac:dyDescent="0.25">
      <c r="A111" s="111" t="s">
        <v>114</v>
      </c>
      <c r="B111" s="123">
        <f>AF111</f>
        <v>1.64</v>
      </c>
      <c r="C111" s="124">
        <v>1.64</v>
      </c>
      <c r="D111" s="123">
        <f t="shared" si="28"/>
        <v>1.64</v>
      </c>
      <c r="E111" s="123">
        <f t="shared" si="28"/>
        <v>1.64</v>
      </c>
      <c r="F111" s="123">
        <f t="shared" si="28"/>
        <v>1.64</v>
      </c>
      <c r="G111" s="123">
        <f t="shared" si="28"/>
        <v>1.64</v>
      </c>
      <c r="H111" s="123">
        <f t="shared" si="28"/>
        <v>1.64</v>
      </c>
      <c r="I111" s="123">
        <f t="shared" si="28"/>
        <v>1.64</v>
      </c>
      <c r="J111" s="123">
        <f t="shared" si="28"/>
        <v>1.64</v>
      </c>
      <c r="K111" s="123">
        <f t="shared" si="28"/>
        <v>1.64</v>
      </c>
      <c r="L111" s="123">
        <f t="shared" si="28"/>
        <v>1.64</v>
      </c>
      <c r="M111" s="123">
        <f t="shared" si="28"/>
        <v>1.64</v>
      </c>
      <c r="N111" s="123">
        <f t="shared" si="28"/>
        <v>1.64</v>
      </c>
      <c r="O111" s="123">
        <f t="shared" si="28"/>
        <v>1.64</v>
      </c>
      <c r="P111" s="123">
        <f t="shared" si="28"/>
        <v>1.64</v>
      </c>
      <c r="Q111" s="123">
        <f t="shared" si="28"/>
        <v>1.64</v>
      </c>
      <c r="R111" s="123">
        <f t="shared" si="28"/>
        <v>1.64</v>
      </c>
      <c r="S111" s="123">
        <f t="shared" si="28"/>
        <v>1.64</v>
      </c>
      <c r="T111" s="123">
        <f t="shared" si="29"/>
        <v>1.64</v>
      </c>
      <c r="U111" s="123">
        <f t="shared" si="29"/>
        <v>1.64</v>
      </c>
      <c r="V111" s="123">
        <f t="shared" si="29"/>
        <v>1.64</v>
      </c>
      <c r="W111" s="123">
        <f t="shared" si="29"/>
        <v>1.64</v>
      </c>
      <c r="X111" s="123">
        <f t="shared" si="29"/>
        <v>1.64</v>
      </c>
      <c r="Y111" s="123">
        <f t="shared" si="29"/>
        <v>1.64</v>
      </c>
      <c r="Z111" s="123">
        <f t="shared" si="29"/>
        <v>1.64</v>
      </c>
      <c r="AA111" s="123">
        <f t="shared" si="29"/>
        <v>1.64</v>
      </c>
      <c r="AB111" s="123">
        <f t="shared" si="29"/>
        <v>1.64</v>
      </c>
      <c r="AC111" s="123">
        <f t="shared" si="29"/>
        <v>1.64</v>
      </c>
      <c r="AD111" s="123">
        <f t="shared" si="29"/>
        <v>1.64</v>
      </c>
      <c r="AE111" s="123">
        <f t="shared" si="29"/>
        <v>1.64</v>
      </c>
      <c r="AF111" s="123">
        <f t="shared" si="29"/>
        <v>1.64</v>
      </c>
      <c r="AG111" s="126">
        <v>8.5</v>
      </c>
      <c r="AH111" s="55"/>
      <c r="AI111" s="56"/>
      <c r="AK111" s="57"/>
    </row>
    <row r="112" spans="1:37" x14ac:dyDescent="0.25">
      <c r="A112" s="111" t="s">
        <v>115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5"/>
      <c r="AI112" s="56"/>
      <c r="AK112" s="57"/>
    </row>
    <row r="113" spans="1:37" ht="13.5" customHeight="1" x14ac:dyDescent="0.25">
      <c r="A113" s="111" t="s">
        <v>116</v>
      </c>
      <c r="B113" s="123">
        <f t="shared" ref="B113:B130" si="30">AF113</f>
        <v>1.62</v>
      </c>
      <c r="C113" s="124">
        <v>1.62</v>
      </c>
      <c r="D113" s="123">
        <f t="shared" ref="D113:S120" si="31">C113</f>
        <v>1.62</v>
      </c>
      <c r="E113" s="123">
        <f t="shared" si="31"/>
        <v>1.62</v>
      </c>
      <c r="F113" s="123">
        <f t="shared" si="31"/>
        <v>1.62</v>
      </c>
      <c r="G113" s="123">
        <f t="shared" si="31"/>
        <v>1.62</v>
      </c>
      <c r="H113" s="123">
        <f t="shared" si="31"/>
        <v>1.62</v>
      </c>
      <c r="I113" s="123">
        <f t="shared" si="31"/>
        <v>1.62</v>
      </c>
      <c r="J113" s="123">
        <f t="shared" si="31"/>
        <v>1.62</v>
      </c>
      <c r="K113" s="123">
        <f t="shared" si="31"/>
        <v>1.62</v>
      </c>
      <c r="L113" s="123">
        <f t="shared" si="31"/>
        <v>1.62</v>
      </c>
      <c r="M113" s="123">
        <f t="shared" si="31"/>
        <v>1.62</v>
      </c>
      <c r="N113" s="123">
        <f t="shared" si="31"/>
        <v>1.62</v>
      </c>
      <c r="O113" s="123">
        <f t="shared" si="31"/>
        <v>1.62</v>
      </c>
      <c r="P113" s="123">
        <f t="shared" si="31"/>
        <v>1.62</v>
      </c>
      <c r="Q113" s="123">
        <f t="shared" si="31"/>
        <v>1.62</v>
      </c>
      <c r="R113" s="123">
        <f t="shared" si="31"/>
        <v>1.62</v>
      </c>
      <c r="S113" s="123">
        <f t="shared" si="31"/>
        <v>1.62</v>
      </c>
      <c r="T113" s="123">
        <f t="shared" ref="T113:AF128" si="32">S113</f>
        <v>1.62</v>
      </c>
      <c r="U113" s="123">
        <f t="shared" si="32"/>
        <v>1.62</v>
      </c>
      <c r="V113" s="123">
        <f t="shared" si="32"/>
        <v>1.62</v>
      </c>
      <c r="W113" s="123">
        <f t="shared" si="32"/>
        <v>1.62</v>
      </c>
      <c r="X113" s="123">
        <f t="shared" si="32"/>
        <v>1.62</v>
      </c>
      <c r="Y113" s="123">
        <f t="shared" si="32"/>
        <v>1.62</v>
      </c>
      <c r="Z113" s="123">
        <f t="shared" si="32"/>
        <v>1.62</v>
      </c>
      <c r="AA113" s="123">
        <f t="shared" si="32"/>
        <v>1.62</v>
      </c>
      <c r="AB113" s="123">
        <f t="shared" si="32"/>
        <v>1.62</v>
      </c>
      <c r="AC113" s="123">
        <f t="shared" si="32"/>
        <v>1.62</v>
      </c>
      <c r="AD113" s="123">
        <f t="shared" si="32"/>
        <v>1.62</v>
      </c>
      <c r="AE113" s="123">
        <f t="shared" si="32"/>
        <v>1.62</v>
      </c>
      <c r="AF113" s="123">
        <f t="shared" si="32"/>
        <v>1.62</v>
      </c>
      <c r="AG113" s="126">
        <v>8</v>
      </c>
      <c r="AH113" s="55"/>
      <c r="AI113" s="56"/>
      <c r="AK113" s="57"/>
    </row>
    <row r="114" spans="1:37" x14ac:dyDescent="0.25">
      <c r="A114" s="111" t="s">
        <v>117</v>
      </c>
      <c r="B114" s="123">
        <f t="shared" si="30"/>
        <v>8.36</v>
      </c>
      <c r="C114" s="124">
        <v>8.36</v>
      </c>
      <c r="D114" s="123">
        <f t="shared" si="31"/>
        <v>8.36</v>
      </c>
      <c r="E114" s="123">
        <f t="shared" si="31"/>
        <v>8.36</v>
      </c>
      <c r="F114" s="123">
        <f t="shared" si="31"/>
        <v>8.36</v>
      </c>
      <c r="G114" s="123">
        <f t="shared" si="31"/>
        <v>8.36</v>
      </c>
      <c r="H114" s="123">
        <f t="shared" si="31"/>
        <v>8.36</v>
      </c>
      <c r="I114" s="123">
        <f t="shared" si="31"/>
        <v>8.36</v>
      </c>
      <c r="J114" s="123">
        <f t="shared" si="31"/>
        <v>8.36</v>
      </c>
      <c r="K114" s="123">
        <f t="shared" si="31"/>
        <v>8.36</v>
      </c>
      <c r="L114" s="123">
        <f t="shared" si="31"/>
        <v>8.36</v>
      </c>
      <c r="M114" s="123">
        <f t="shared" si="31"/>
        <v>8.36</v>
      </c>
      <c r="N114" s="123">
        <f t="shared" si="31"/>
        <v>8.36</v>
      </c>
      <c r="O114" s="123">
        <f t="shared" si="31"/>
        <v>8.36</v>
      </c>
      <c r="P114" s="123">
        <f t="shared" si="31"/>
        <v>8.36</v>
      </c>
      <c r="Q114" s="123">
        <f t="shared" si="31"/>
        <v>8.36</v>
      </c>
      <c r="R114" s="123">
        <f t="shared" si="31"/>
        <v>8.36</v>
      </c>
      <c r="S114" s="123">
        <f t="shared" si="31"/>
        <v>8.36</v>
      </c>
      <c r="T114" s="123">
        <f t="shared" si="32"/>
        <v>8.36</v>
      </c>
      <c r="U114" s="123">
        <f t="shared" si="32"/>
        <v>8.36</v>
      </c>
      <c r="V114" s="123">
        <f t="shared" si="32"/>
        <v>8.36</v>
      </c>
      <c r="W114" s="123">
        <f t="shared" si="32"/>
        <v>8.36</v>
      </c>
      <c r="X114" s="123">
        <f t="shared" si="32"/>
        <v>8.36</v>
      </c>
      <c r="Y114" s="123">
        <f t="shared" si="32"/>
        <v>8.36</v>
      </c>
      <c r="Z114" s="123">
        <f t="shared" si="32"/>
        <v>8.36</v>
      </c>
      <c r="AA114" s="123">
        <f t="shared" si="32"/>
        <v>8.36</v>
      </c>
      <c r="AB114" s="123">
        <f t="shared" si="32"/>
        <v>8.36</v>
      </c>
      <c r="AC114" s="123">
        <f t="shared" si="32"/>
        <v>8.36</v>
      </c>
      <c r="AD114" s="123">
        <f t="shared" si="32"/>
        <v>8.36</v>
      </c>
      <c r="AE114" s="123">
        <f t="shared" si="32"/>
        <v>8.36</v>
      </c>
      <c r="AF114" s="123">
        <f t="shared" si="32"/>
        <v>8.36</v>
      </c>
      <c r="AG114" s="126">
        <v>8</v>
      </c>
      <c r="AH114" s="55"/>
      <c r="AI114" s="56"/>
      <c r="AK114" s="57"/>
    </row>
    <row r="115" spans="1:37" x14ac:dyDescent="0.25">
      <c r="A115" s="111" t="s">
        <v>118</v>
      </c>
      <c r="B115" s="123">
        <f t="shared" si="30"/>
        <v>5.4</v>
      </c>
      <c r="C115" s="124">
        <v>8</v>
      </c>
      <c r="D115" s="123">
        <f t="shared" si="31"/>
        <v>8</v>
      </c>
      <c r="E115" s="123">
        <f t="shared" si="31"/>
        <v>8</v>
      </c>
      <c r="F115" s="123">
        <f t="shared" si="31"/>
        <v>8</v>
      </c>
      <c r="G115" s="123">
        <f t="shared" si="31"/>
        <v>8</v>
      </c>
      <c r="H115" s="123">
        <f t="shared" si="31"/>
        <v>8</v>
      </c>
      <c r="I115" s="123">
        <f t="shared" si="31"/>
        <v>8</v>
      </c>
      <c r="J115" s="123">
        <v>5.4</v>
      </c>
      <c r="K115" s="123">
        <f t="shared" si="31"/>
        <v>5.4</v>
      </c>
      <c r="L115" s="123">
        <f t="shared" si="31"/>
        <v>5.4</v>
      </c>
      <c r="M115" s="123">
        <f t="shared" si="31"/>
        <v>5.4</v>
      </c>
      <c r="N115" s="123">
        <f t="shared" si="31"/>
        <v>5.4</v>
      </c>
      <c r="O115" s="123">
        <f t="shared" si="31"/>
        <v>5.4</v>
      </c>
      <c r="P115" s="123">
        <f t="shared" si="31"/>
        <v>5.4</v>
      </c>
      <c r="Q115" s="123">
        <f t="shared" si="31"/>
        <v>5.4</v>
      </c>
      <c r="R115" s="123">
        <f t="shared" si="31"/>
        <v>5.4</v>
      </c>
      <c r="S115" s="123">
        <f t="shared" si="31"/>
        <v>5.4</v>
      </c>
      <c r="T115" s="123">
        <f t="shared" si="32"/>
        <v>5.4</v>
      </c>
      <c r="U115" s="123">
        <f t="shared" si="32"/>
        <v>5.4</v>
      </c>
      <c r="V115" s="123">
        <f t="shared" si="32"/>
        <v>5.4</v>
      </c>
      <c r="W115" s="123">
        <f t="shared" si="32"/>
        <v>5.4</v>
      </c>
      <c r="X115" s="123">
        <f t="shared" si="32"/>
        <v>5.4</v>
      </c>
      <c r="Y115" s="123">
        <f t="shared" si="32"/>
        <v>5.4</v>
      </c>
      <c r="Z115" s="123">
        <f t="shared" si="32"/>
        <v>5.4</v>
      </c>
      <c r="AA115" s="123">
        <f t="shared" si="32"/>
        <v>5.4</v>
      </c>
      <c r="AB115" s="123">
        <f t="shared" si="32"/>
        <v>5.4</v>
      </c>
      <c r="AC115" s="123">
        <f t="shared" si="32"/>
        <v>5.4</v>
      </c>
      <c r="AD115" s="123">
        <f t="shared" si="32"/>
        <v>5.4</v>
      </c>
      <c r="AE115" s="123">
        <f t="shared" si="32"/>
        <v>5.4</v>
      </c>
      <c r="AF115" s="123">
        <f t="shared" si="32"/>
        <v>5.4</v>
      </c>
      <c r="AG115" s="126">
        <v>8</v>
      </c>
      <c r="AH115" s="55"/>
      <c r="AI115" s="56"/>
      <c r="AK115" s="57"/>
    </row>
    <row r="116" spans="1:37" x14ac:dyDescent="0.25">
      <c r="A116" s="111" t="s">
        <v>119</v>
      </c>
      <c r="B116" s="123">
        <f t="shared" si="30"/>
        <v>6.57</v>
      </c>
      <c r="C116" s="124">
        <v>6.57</v>
      </c>
      <c r="D116" s="123">
        <f t="shared" si="31"/>
        <v>6.57</v>
      </c>
      <c r="E116" s="123">
        <f t="shared" si="31"/>
        <v>6.57</v>
      </c>
      <c r="F116" s="123">
        <f t="shared" si="31"/>
        <v>6.57</v>
      </c>
      <c r="G116" s="123">
        <f t="shared" si="31"/>
        <v>6.57</v>
      </c>
      <c r="H116" s="123">
        <f t="shared" si="31"/>
        <v>6.57</v>
      </c>
      <c r="I116" s="123">
        <f t="shared" si="31"/>
        <v>6.57</v>
      </c>
      <c r="J116" s="123">
        <f t="shared" si="31"/>
        <v>6.57</v>
      </c>
      <c r="K116" s="123">
        <f t="shared" si="31"/>
        <v>6.57</v>
      </c>
      <c r="L116" s="123">
        <f t="shared" si="31"/>
        <v>6.57</v>
      </c>
      <c r="M116" s="123">
        <f t="shared" si="31"/>
        <v>6.57</v>
      </c>
      <c r="N116" s="123">
        <f t="shared" si="31"/>
        <v>6.57</v>
      </c>
      <c r="O116" s="123">
        <f t="shared" si="31"/>
        <v>6.57</v>
      </c>
      <c r="P116" s="123">
        <f t="shared" si="31"/>
        <v>6.57</v>
      </c>
      <c r="Q116" s="123">
        <f t="shared" si="31"/>
        <v>6.57</v>
      </c>
      <c r="R116" s="123">
        <f t="shared" si="31"/>
        <v>6.57</v>
      </c>
      <c r="S116" s="123">
        <f t="shared" si="31"/>
        <v>6.57</v>
      </c>
      <c r="T116" s="123">
        <f t="shared" si="32"/>
        <v>6.57</v>
      </c>
      <c r="U116" s="123">
        <f t="shared" si="32"/>
        <v>6.57</v>
      </c>
      <c r="V116" s="123">
        <f t="shared" si="32"/>
        <v>6.57</v>
      </c>
      <c r="W116" s="123">
        <f t="shared" si="32"/>
        <v>6.57</v>
      </c>
      <c r="X116" s="123">
        <f t="shared" si="32"/>
        <v>6.57</v>
      </c>
      <c r="Y116" s="123">
        <f t="shared" si="32"/>
        <v>6.57</v>
      </c>
      <c r="Z116" s="123">
        <f t="shared" si="32"/>
        <v>6.57</v>
      </c>
      <c r="AA116" s="123">
        <f t="shared" si="32"/>
        <v>6.57</v>
      </c>
      <c r="AB116" s="123">
        <f t="shared" si="32"/>
        <v>6.57</v>
      </c>
      <c r="AC116" s="123">
        <f t="shared" si="32"/>
        <v>6.57</v>
      </c>
      <c r="AD116" s="123">
        <f t="shared" si="32"/>
        <v>6.57</v>
      </c>
      <c r="AE116" s="123">
        <f t="shared" si="32"/>
        <v>6.57</v>
      </c>
      <c r="AF116" s="123">
        <f t="shared" si="32"/>
        <v>6.57</v>
      </c>
      <c r="AG116" s="126">
        <v>7.8</v>
      </c>
      <c r="AH116" s="55"/>
      <c r="AI116" s="56"/>
      <c r="AK116" s="57"/>
    </row>
    <row r="117" spans="1:37" x14ac:dyDescent="0.25">
      <c r="A117" s="111" t="s">
        <v>120</v>
      </c>
      <c r="B117" s="123">
        <f t="shared" si="30"/>
        <v>3.43</v>
      </c>
      <c r="C117" s="124">
        <v>3.43</v>
      </c>
      <c r="D117" s="123">
        <f t="shared" si="31"/>
        <v>3.43</v>
      </c>
      <c r="E117" s="123">
        <f t="shared" si="31"/>
        <v>3.43</v>
      </c>
      <c r="F117" s="123">
        <f t="shared" si="31"/>
        <v>3.43</v>
      </c>
      <c r="G117" s="123">
        <f t="shared" si="31"/>
        <v>3.43</v>
      </c>
      <c r="H117" s="123">
        <f t="shared" si="31"/>
        <v>3.43</v>
      </c>
      <c r="I117" s="123">
        <f t="shared" si="31"/>
        <v>3.43</v>
      </c>
      <c r="J117" s="123">
        <f t="shared" si="31"/>
        <v>3.43</v>
      </c>
      <c r="K117" s="123">
        <f t="shared" si="31"/>
        <v>3.43</v>
      </c>
      <c r="L117" s="123">
        <f t="shared" si="31"/>
        <v>3.43</v>
      </c>
      <c r="M117" s="123">
        <f t="shared" si="31"/>
        <v>3.43</v>
      </c>
      <c r="N117" s="123">
        <f t="shared" si="31"/>
        <v>3.43</v>
      </c>
      <c r="O117" s="123">
        <f t="shared" si="31"/>
        <v>3.43</v>
      </c>
      <c r="P117" s="123">
        <f t="shared" si="31"/>
        <v>3.43</v>
      </c>
      <c r="Q117" s="123">
        <f t="shared" si="31"/>
        <v>3.43</v>
      </c>
      <c r="R117" s="123">
        <f t="shared" si="31"/>
        <v>3.43</v>
      </c>
      <c r="S117" s="123">
        <f t="shared" si="31"/>
        <v>3.43</v>
      </c>
      <c r="T117" s="123">
        <f t="shared" si="32"/>
        <v>3.43</v>
      </c>
      <c r="U117" s="123">
        <f t="shared" si="32"/>
        <v>3.43</v>
      </c>
      <c r="V117" s="123">
        <f t="shared" si="32"/>
        <v>3.43</v>
      </c>
      <c r="W117" s="123">
        <f t="shared" si="32"/>
        <v>3.43</v>
      </c>
      <c r="X117" s="123">
        <f t="shared" si="32"/>
        <v>3.43</v>
      </c>
      <c r="Y117" s="123">
        <f t="shared" si="32"/>
        <v>3.43</v>
      </c>
      <c r="Z117" s="123">
        <f t="shared" si="32"/>
        <v>3.43</v>
      </c>
      <c r="AA117" s="123">
        <f t="shared" si="32"/>
        <v>3.43</v>
      </c>
      <c r="AB117" s="123">
        <f t="shared" si="32"/>
        <v>3.43</v>
      </c>
      <c r="AC117" s="123">
        <f t="shared" si="32"/>
        <v>3.43</v>
      </c>
      <c r="AD117" s="123">
        <f t="shared" si="32"/>
        <v>3.43</v>
      </c>
      <c r="AE117" s="123">
        <f t="shared" si="32"/>
        <v>3.43</v>
      </c>
      <c r="AF117" s="123">
        <f t="shared" si="32"/>
        <v>3.43</v>
      </c>
      <c r="AG117" s="126">
        <v>7.6</v>
      </c>
      <c r="AH117" s="55"/>
      <c r="AI117" s="56"/>
      <c r="AK117" s="57"/>
    </row>
    <row r="118" spans="1:37" x14ac:dyDescent="0.25">
      <c r="A118" s="111" t="s">
        <v>121</v>
      </c>
      <c r="B118" s="123">
        <f t="shared" si="30"/>
        <v>2.96</v>
      </c>
      <c r="C118" s="124">
        <v>2.96</v>
      </c>
      <c r="D118" s="123">
        <f t="shared" si="31"/>
        <v>2.96</v>
      </c>
      <c r="E118" s="123">
        <f t="shared" si="31"/>
        <v>2.96</v>
      </c>
      <c r="F118" s="123">
        <f t="shared" si="31"/>
        <v>2.96</v>
      </c>
      <c r="G118" s="123">
        <f t="shared" si="31"/>
        <v>2.96</v>
      </c>
      <c r="H118" s="123">
        <f t="shared" si="31"/>
        <v>2.96</v>
      </c>
      <c r="I118" s="123">
        <f t="shared" si="31"/>
        <v>2.96</v>
      </c>
      <c r="J118" s="123">
        <f t="shared" si="31"/>
        <v>2.96</v>
      </c>
      <c r="K118" s="123">
        <f t="shared" si="31"/>
        <v>2.96</v>
      </c>
      <c r="L118" s="123">
        <f t="shared" si="31"/>
        <v>2.96</v>
      </c>
      <c r="M118" s="123">
        <f t="shared" si="31"/>
        <v>2.96</v>
      </c>
      <c r="N118" s="123">
        <f t="shared" si="31"/>
        <v>2.96</v>
      </c>
      <c r="O118" s="123">
        <f t="shared" si="31"/>
        <v>2.96</v>
      </c>
      <c r="P118" s="123">
        <f t="shared" si="31"/>
        <v>2.96</v>
      </c>
      <c r="Q118" s="123">
        <f t="shared" si="31"/>
        <v>2.96</v>
      </c>
      <c r="R118" s="123">
        <f t="shared" si="31"/>
        <v>2.96</v>
      </c>
      <c r="S118" s="123">
        <f t="shared" si="31"/>
        <v>2.96</v>
      </c>
      <c r="T118" s="123">
        <f t="shared" si="32"/>
        <v>2.96</v>
      </c>
      <c r="U118" s="123">
        <f t="shared" si="32"/>
        <v>2.96</v>
      </c>
      <c r="V118" s="123">
        <f t="shared" si="32"/>
        <v>2.96</v>
      </c>
      <c r="W118" s="123">
        <f t="shared" si="32"/>
        <v>2.96</v>
      </c>
      <c r="X118" s="123">
        <f t="shared" si="32"/>
        <v>2.96</v>
      </c>
      <c r="Y118" s="123">
        <f t="shared" si="32"/>
        <v>2.96</v>
      </c>
      <c r="Z118" s="123">
        <f t="shared" si="32"/>
        <v>2.96</v>
      </c>
      <c r="AA118" s="123">
        <f t="shared" si="32"/>
        <v>2.96</v>
      </c>
      <c r="AB118" s="123">
        <f t="shared" si="32"/>
        <v>2.96</v>
      </c>
      <c r="AC118" s="123">
        <f t="shared" si="32"/>
        <v>2.96</v>
      </c>
      <c r="AD118" s="123">
        <f t="shared" si="32"/>
        <v>2.96</v>
      </c>
      <c r="AE118" s="123">
        <f t="shared" si="32"/>
        <v>2.96</v>
      </c>
      <c r="AF118" s="123">
        <f t="shared" si="32"/>
        <v>2.96</v>
      </c>
      <c r="AG118" s="126">
        <v>7.5</v>
      </c>
      <c r="AH118" s="55"/>
      <c r="AI118" s="56"/>
      <c r="AK118" s="57"/>
    </row>
    <row r="119" spans="1:37" x14ac:dyDescent="0.25">
      <c r="A119" s="111" t="s">
        <v>122</v>
      </c>
      <c r="B119" s="123">
        <f t="shared" si="30"/>
        <v>8</v>
      </c>
      <c r="C119" s="124">
        <v>8</v>
      </c>
      <c r="D119" s="123">
        <f t="shared" si="31"/>
        <v>8</v>
      </c>
      <c r="E119" s="123">
        <f t="shared" si="31"/>
        <v>8</v>
      </c>
      <c r="F119" s="123">
        <f t="shared" si="31"/>
        <v>8</v>
      </c>
      <c r="G119" s="123">
        <f t="shared" si="31"/>
        <v>8</v>
      </c>
      <c r="H119" s="123">
        <f t="shared" si="31"/>
        <v>8</v>
      </c>
      <c r="I119" s="123">
        <f t="shared" si="31"/>
        <v>8</v>
      </c>
      <c r="J119" s="123">
        <f t="shared" si="31"/>
        <v>8</v>
      </c>
      <c r="K119" s="123">
        <f t="shared" si="31"/>
        <v>8</v>
      </c>
      <c r="L119" s="123">
        <f t="shared" si="31"/>
        <v>8</v>
      </c>
      <c r="M119" s="123">
        <f t="shared" si="31"/>
        <v>8</v>
      </c>
      <c r="N119" s="123">
        <f t="shared" si="31"/>
        <v>8</v>
      </c>
      <c r="O119" s="123">
        <f t="shared" si="31"/>
        <v>8</v>
      </c>
      <c r="P119" s="123">
        <f t="shared" si="31"/>
        <v>8</v>
      </c>
      <c r="Q119" s="123">
        <f t="shared" si="31"/>
        <v>8</v>
      </c>
      <c r="R119" s="123">
        <f t="shared" si="31"/>
        <v>8</v>
      </c>
      <c r="S119" s="123">
        <f t="shared" si="31"/>
        <v>8</v>
      </c>
      <c r="T119" s="123">
        <f t="shared" si="32"/>
        <v>8</v>
      </c>
      <c r="U119" s="123">
        <f t="shared" si="32"/>
        <v>8</v>
      </c>
      <c r="V119" s="123">
        <f t="shared" si="32"/>
        <v>8</v>
      </c>
      <c r="W119" s="123">
        <f t="shared" si="32"/>
        <v>8</v>
      </c>
      <c r="X119" s="123">
        <f t="shared" si="32"/>
        <v>8</v>
      </c>
      <c r="Y119" s="123">
        <f t="shared" si="32"/>
        <v>8</v>
      </c>
      <c r="Z119" s="123">
        <f t="shared" si="32"/>
        <v>8</v>
      </c>
      <c r="AA119" s="123">
        <f t="shared" si="32"/>
        <v>8</v>
      </c>
      <c r="AB119" s="123">
        <f t="shared" si="32"/>
        <v>8</v>
      </c>
      <c r="AC119" s="123">
        <f t="shared" si="32"/>
        <v>8</v>
      </c>
      <c r="AD119" s="123">
        <f t="shared" si="32"/>
        <v>8</v>
      </c>
      <c r="AE119" s="123">
        <f t="shared" si="32"/>
        <v>8</v>
      </c>
      <c r="AF119" s="123">
        <f t="shared" si="32"/>
        <v>8</v>
      </c>
      <c r="AG119" s="126">
        <v>7.5</v>
      </c>
      <c r="AH119" s="55"/>
      <c r="AI119" s="56"/>
      <c r="AK119" s="57"/>
    </row>
    <row r="120" spans="1:37" x14ac:dyDescent="0.25">
      <c r="A120" s="111" t="s">
        <v>123</v>
      </c>
      <c r="B120" s="123">
        <f t="shared" si="30"/>
        <v>7</v>
      </c>
      <c r="C120" s="124">
        <v>7</v>
      </c>
      <c r="D120" s="123">
        <f>C120</f>
        <v>7</v>
      </c>
      <c r="E120" s="123">
        <f t="shared" si="31"/>
        <v>7</v>
      </c>
      <c r="F120" s="123">
        <f t="shared" si="31"/>
        <v>7</v>
      </c>
      <c r="G120" s="123">
        <f t="shared" si="31"/>
        <v>7</v>
      </c>
      <c r="H120" s="123">
        <f t="shared" si="31"/>
        <v>7</v>
      </c>
      <c r="I120" s="123">
        <f t="shared" si="31"/>
        <v>7</v>
      </c>
      <c r="J120" s="123">
        <f t="shared" si="31"/>
        <v>7</v>
      </c>
      <c r="K120" s="123">
        <f t="shared" si="31"/>
        <v>7</v>
      </c>
      <c r="L120" s="123">
        <f t="shared" si="31"/>
        <v>7</v>
      </c>
      <c r="M120" s="123">
        <f t="shared" si="31"/>
        <v>7</v>
      </c>
      <c r="N120" s="123">
        <f t="shared" si="31"/>
        <v>7</v>
      </c>
      <c r="O120" s="123">
        <f t="shared" si="31"/>
        <v>7</v>
      </c>
      <c r="P120" s="123">
        <f t="shared" si="31"/>
        <v>7</v>
      </c>
      <c r="Q120" s="123">
        <f t="shared" si="31"/>
        <v>7</v>
      </c>
      <c r="R120" s="123">
        <f t="shared" si="31"/>
        <v>7</v>
      </c>
      <c r="S120" s="123">
        <f t="shared" si="31"/>
        <v>7</v>
      </c>
      <c r="T120" s="123">
        <f t="shared" si="32"/>
        <v>7</v>
      </c>
      <c r="U120" s="123">
        <f t="shared" si="32"/>
        <v>7</v>
      </c>
      <c r="V120" s="123">
        <f t="shared" si="32"/>
        <v>7</v>
      </c>
      <c r="W120" s="123">
        <f t="shared" si="32"/>
        <v>7</v>
      </c>
      <c r="X120" s="123">
        <f t="shared" si="32"/>
        <v>7</v>
      </c>
      <c r="Y120" s="123">
        <f t="shared" si="32"/>
        <v>7</v>
      </c>
      <c r="Z120" s="123">
        <f t="shared" si="32"/>
        <v>7</v>
      </c>
      <c r="AA120" s="123">
        <f t="shared" si="32"/>
        <v>7</v>
      </c>
      <c r="AB120" s="123">
        <f t="shared" si="32"/>
        <v>7</v>
      </c>
      <c r="AC120" s="123">
        <f t="shared" si="32"/>
        <v>7</v>
      </c>
      <c r="AD120" s="123">
        <f t="shared" si="32"/>
        <v>7</v>
      </c>
      <c r="AE120" s="123">
        <f t="shared" si="32"/>
        <v>7</v>
      </c>
      <c r="AF120" s="123">
        <f t="shared" si="32"/>
        <v>7</v>
      </c>
      <c r="AG120" s="126">
        <v>7</v>
      </c>
      <c r="AH120" s="55"/>
      <c r="AI120" s="56"/>
      <c r="AK120" s="57"/>
    </row>
    <row r="121" spans="1:37" x14ac:dyDescent="0.25">
      <c r="A121" s="111" t="s">
        <v>124</v>
      </c>
      <c r="B121" s="123">
        <f t="shared" si="30"/>
        <v>3.47</v>
      </c>
      <c r="C121" s="124">
        <v>3.47</v>
      </c>
      <c r="D121" s="123">
        <f t="shared" ref="D121:S130" si="33">C121</f>
        <v>3.47</v>
      </c>
      <c r="E121" s="123">
        <f t="shared" si="33"/>
        <v>3.47</v>
      </c>
      <c r="F121" s="123">
        <f t="shared" si="33"/>
        <v>3.47</v>
      </c>
      <c r="G121" s="123">
        <f t="shared" si="33"/>
        <v>3.47</v>
      </c>
      <c r="H121" s="123">
        <f t="shared" si="33"/>
        <v>3.47</v>
      </c>
      <c r="I121" s="123">
        <f t="shared" si="33"/>
        <v>3.47</v>
      </c>
      <c r="J121" s="123">
        <f t="shared" si="33"/>
        <v>3.47</v>
      </c>
      <c r="K121" s="123">
        <f t="shared" si="33"/>
        <v>3.47</v>
      </c>
      <c r="L121" s="123">
        <f t="shared" si="33"/>
        <v>3.47</v>
      </c>
      <c r="M121" s="123">
        <f t="shared" si="33"/>
        <v>3.47</v>
      </c>
      <c r="N121" s="123">
        <f t="shared" si="33"/>
        <v>3.47</v>
      </c>
      <c r="O121" s="123">
        <f t="shared" si="33"/>
        <v>3.47</v>
      </c>
      <c r="P121" s="123">
        <f t="shared" si="33"/>
        <v>3.47</v>
      </c>
      <c r="Q121" s="123">
        <f t="shared" si="33"/>
        <v>3.47</v>
      </c>
      <c r="R121" s="123">
        <f t="shared" si="33"/>
        <v>3.47</v>
      </c>
      <c r="S121" s="123">
        <f t="shared" si="33"/>
        <v>3.47</v>
      </c>
      <c r="T121" s="123">
        <f t="shared" si="32"/>
        <v>3.47</v>
      </c>
      <c r="U121" s="123">
        <f t="shared" si="32"/>
        <v>3.47</v>
      </c>
      <c r="V121" s="123">
        <f t="shared" si="32"/>
        <v>3.47</v>
      </c>
      <c r="W121" s="123">
        <f t="shared" si="32"/>
        <v>3.47</v>
      </c>
      <c r="X121" s="123">
        <f t="shared" si="32"/>
        <v>3.47</v>
      </c>
      <c r="Y121" s="123">
        <f t="shared" si="32"/>
        <v>3.47</v>
      </c>
      <c r="Z121" s="123">
        <f t="shared" si="32"/>
        <v>3.47</v>
      </c>
      <c r="AA121" s="123">
        <f t="shared" si="32"/>
        <v>3.47</v>
      </c>
      <c r="AB121" s="123">
        <f t="shared" si="32"/>
        <v>3.47</v>
      </c>
      <c r="AC121" s="123">
        <f t="shared" si="32"/>
        <v>3.47</v>
      </c>
      <c r="AD121" s="123">
        <f t="shared" si="32"/>
        <v>3.47</v>
      </c>
      <c r="AE121" s="123">
        <f t="shared" si="32"/>
        <v>3.47</v>
      </c>
      <c r="AF121" s="123">
        <f t="shared" si="32"/>
        <v>3.47</v>
      </c>
      <c r="AG121" s="126">
        <v>7</v>
      </c>
      <c r="AH121" s="55"/>
      <c r="AI121" s="56"/>
      <c r="AK121" s="57"/>
    </row>
    <row r="122" spans="1:37" x14ac:dyDescent="0.25">
      <c r="A122" s="111" t="s">
        <v>125</v>
      </c>
      <c r="B122" s="123">
        <f t="shared" si="30"/>
        <v>2.1</v>
      </c>
      <c r="C122" s="124">
        <v>2.1</v>
      </c>
      <c r="D122" s="123">
        <f t="shared" si="33"/>
        <v>2.1</v>
      </c>
      <c r="E122" s="123">
        <f t="shared" si="33"/>
        <v>2.1</v>
      </c>
      <c r="F122" s="123">
        <f t="shared" si="33"/>
        <v>2.1</v>
      </c>
      <c r="G122" s="123">
        <f t="shared" si="33"/>
        <v>2.1</v>
      </c>
      <c r="H122" s="123">
        <f t="shared" si="33"/>
        <v>2.1</v>
      </c>
      <c r="I122" s="123">
        <f t="shared" si="33"/>
        <v>2.1</v>
      </c>
      <c r="J122" s="123">
        <f t="shared" si="33"/>
        <v>2.1</v>
      </c>
      <c r="K122" s="123">
        <f t="shared" si="33"/>
        <v>2.1</v>
      </c>
      <c r="L122" s="123">
        <f t="shared" si="33"/>
        <v>2.1</v>
      </c>
      <c r="M122" s="123">
        <f t="shared" si="33"/>
        <v>2.1</v>
      </c>
      <c r="N122" s="123">
        <f t="shared" si="33"/>
        <v>2.1</v>
      </c>
      <c r="O122" s="123">
        <f t="shared" si="33"/>
        <v>2.1</v>
      </c>
      <c r="P122" s="123">
        <f t="shared" si="33"/>
        <v>2.1</v>
      </c>
      <c r="Q122" s="123">
        <f t="shared" si="33"/>
        <v>2.1</v>
      </c>
      <c r="R122" s="123">
        <f t="shared" si="33"/>
        <v>2.1</v>
      </c>
      <c r="S122" s="123">
        <f t="shared" si="33"/>
        <v>2.1</v>
      </c>
      <c r="T122" s="123">
        <f t="shared" si="32"/>
        <v>2.1</v>
      </c>
      <c r="U122" s="123">
        <f t="shared" si="32"/>
        <v>2.1</v>
      </c>
      <c r="V122" s="123">
        <f t="shared" si="32"/>
        <v>2.1</v>
      </c>
      <c r="W122" s="123">
        <f t="shared" si="32"/>
        <v>2.1</v>
      </c>
      <c r="X122" s="123">
        <f t="shared" si="32"/>
        <v>2.1</v>
      </c>
      <c r="Y122" s="123">
        <f t="shared" si="32"/>
        <v>2.1</v>
      </c>
      <c r="Z122" s="123">
        <f t="shared" si="32"/>
        <v>2.1</v>
      </c>
      <c r="AA122" s="123">
        <f t="shared" si="32"/>
        <v>2.1</v>
      </c>
      <c r="AB122" s="123">
        <f t="shared" si="32"/>
        <v>2.1</v>
      </c>
      <c r="AC122" s="123">
        <f t="shared" si="32"/>
        <v>2.1</v>
      </c>
      <c r="AD122" s="123">
        <f t="shared" si="32"/>
        <v>2.1</v>
      </c>
      <c r="AE122" s="123">
        <f t="shared" si="32"/>
        <v>2.1</v>
      </c>
      <c r="AF122" s="123">
        <f t="shared" si="32"/>
        <v>2.1</v>
      </c>
      <c r="AG122" s="126">
        <v>7</v>
      </c>
      <c r="AH122" s="55"/>
      <c r="AI122" s="56"/>
      <c r="AK122" s="57"/>
    </row>
    <row r="123" spans="1:37" x14ac:dyDescent="0.25">
      <c r="A123" s="111" t="s">
        <v>126</v>
      </c>
      <c r="B123" s="123">
        <f t="shared" si="30"/>
        <v>9.3000000000000007</v>
      </c>
      <c r="C123" s="124">
        <v>9.3000000000000007</v>
      </c>
      <c r="D123" s="123">
        <f t="shared" si="33"/>
        <v>9.3000000000000007</v>
      </c>
      <c r="E123" s="123">
        <f t="shared" si="33"/>
        <v>9.3000000000000007</v>
      </c>
      <c r="F123" s="123">
        <f t="shared" si="33"/>
        <v>9.3000000000000007</v>
      </c>
      <c r="G123" s="123">
        <f t="shared" si="33"/>
        <v>9.3000000000000007</v>
      </c>
      <c r="H123" s="123">
        <f t="shared" si="33"/>
        <v>9.3000000000000007</v>
      </c>
      <c r="I123" s="123">
        <f t="shared" si="33"/>
        <v>9.3000000000000007</v>
      </c>
      <c r="J123" s="123">
        <f t="shared" si="33"/>
        <v>9.3000000000000007</v>
      </c>
      <c r="K123" s="123">
        <f t="shared" si="33"/>
        <v>9.3000000000000007</v>
      </c>
      <c r="L123" s="123">
        <f t="shared" si="33"/>
        <v>9.3000000000000007</v>
      </c>
      <c r="M123" s="123">
        <f t="shared" si="33"/>
        <v>9.3000000000000007</v>
      </c>
      <c r="N123" s="123">
        <f t="shared" si="33"/>
        <v>9.3000000000000007</v>
      </c>
      <c r="O123" s="123">
        <f t="shared" si="33"/>
        <v>9.3000000000000007</v>
      </c>
      <c r="P123" s="123">
        <f t="shared" si="33"/>
        <v>9.3000000000000007</v>
      </c>
      <c r="Q123" s="123">
        <f t="shared" si="33"/>
        <v>9.3000000000000007</v>
      </c>
      <c r="R123" s="123">
        <f t="shared" si="33"/>
        <v>9.3000000000000007</v>
      </c>
      <c r="S123" s="123">
        <f t="shared" si="33"/>
        <v>9.3000000000000007</v>
      </c>
      <c r="T123" s="123">
        <f t="shared" si="32"/>
        <v>9.3000000000000007</v>
      </c>
      <c r="U123" s="123">
        <f t="shared" si="32"/>
        <v>9.3000000000000007</v>
      </c>
      <c r="V123" s="123">
        <f t="shared" si="32"/>
        <v>9.3000000000000007</v>
      </c>
      <c r="W123" s="123">
        <f t="shared" si="32"/>
        <v>9.3000000000000007</v>
      </c>
      <c r="X123" s="123">
        <f t="shared" si="32"/>
        <v>9.3000000000000007</v>
      </c>
      <c r="Y123" s="123">
        <f t="shared" si="32"/>
        <v>9.3000000000000007</v>
      </c>
      <c r="Z123" s="123">
        <f t="shared" si="32"/>
        <v>9.3000000000000007</v>
      </c>
      <c r="AA123" s="123">
        <f t="shared" si="32"/>
        <v>9.3000000000000007</v>
      </c>
      <c r="AB123" s="123">
        <f t="shared" si="32"/>
        <v>9.3000000000000007</v>
      </c>
      <c r="AC123" s="123">
        <f t="shared" si="32"/>
        <v>9.3000000000000007</v>
      </c>
      <c r="AD123" s="123">
        <f t="shared" si="32"/>
        <v>9.3000000000000007</v>
      </c>
      <c r="AE123" s="123">
        <f t="shared" si="32"/>
        <v>9.3000000000000007</v>
      </c>
      <c r="AF123" s="123">
        <f t="shared" si="32"/>
        <v>9.3000000000000007</v>
      </c>
      <c r="AG123" s="126">
        <v>7</v>
      </c>
      <c r="AH123" s="55"/>
      <c r="AI123" s="56"/>
      <c r="AK123" s="57"/>
    </row>
    <row r="124" spans="1:37" x14ac:dyDescent="0.25">
      <c r="A124" s="111" t="s">
        <v>127</v>
      </c>
      <c r="B124" s="123">
        <f t="shared" si="30"/>
        <v>0</v>
      </c>
      <c r="C124" s="124">
        <v>0</v>
      </c>
      <c r="D124" s="123">
        <f t="shared" si="33"/>
        <v>0</v>
      </c>
      <c r="E124" s="123">
        <f t="shared" si="33"/>
        <v>0</v>
      </c>
      <c r="F124" s="123">
        <f t="shared" si="33"/>
        <v>0</v>
      </c>
      <c r="G124" s="123">
        <f t="shared" si="33"/>
        <v>0</v>
      </c>
      <c r="H124" s="123">
        <f t="shared" si="33"/>
        <v>0</v>
      </c>
      <c r="I124" s="123">
        <f t="shared" si="33"/>
        <v>0</v>
      </c>
      <c r="J124" s="123">
        <f t="shared" si="33"/>
        <v>0</v>
      </c>
      <c r="K124" s="123">
        <f t="shared" si="33"/>
        <v>0</v>
      </c>
      <c r="L124" s="123">
        <f t="shared" si="33"/>
        <v>0</v>
      </c>
      <c r="M124" s="123">
        <f t="shared" si="33"/>
        <v>0</v>
      </c>
      <c r="N124" s="123">
        <f t="shared" si="33"/>
        <v>0</v>
      </c>
      <c r="O124" s="123">
        <f t="shared" si="33"/>
        <v>0</v>
      </c>
      <c r="P124" s="123">
        <f t="shared" si="33"/>
        <v>0</v>
      </c>
      <c r="Q124" s="123">
        <f t="shared" si="33"/>
        <v>0</v>
      </c>
      <c r="R124" s="123">
        <f t="shared" si="33"/>
        <v>0</v>
      </c>
      <c r="S124" s="123">
        <f t="shared" si="33"/>
        <v>0</v>
      </c>
      <c r="T124" s="123">
        <f t="shared" si="32"/>
        <v>0</v>
      </c>
      <c r="U124" s="123">
        <f t="shared" si="32"/>
        <v>0</v>
      </c>
      <c r="V124" s="123">
        <f t="shared" si="32"/>
        <v>0</v>
      </c>
      <c r="W124" s="123">
        <f t="shared" si="32"/>
        <v>0</v>
      </c>
      <c r="X124" s="123">
        <f t="shared" si="32"/>
        <v>0</v>
      </c>
      <c r="Y124" s="123">
        <f t="shared" si="32"/>
        <v>0</v>
      </c>
      <c r="Z124" s="123">
        <f t="shared" si="32"/>
        <v>0</v>
      </c>
      <c r="AA124" s="123">
        <f t="shared" si="32"/>
        <v>0</v>
      </c>
      <c r="AB124" s="123">
        <f t="shared" si="32"/>
        <v>0</v>
      </c>
      <c r="AC124" s="123">
        <f t="shared" si="32"/>
        <v>0</v>
      </c>
      <c r="AD124" s="123">
        <f t="shared" si="32"/>
        <v>0</v>
      </c>
      <c r="AE124" s="123">
        <f t="shared" si="32"/>
        <v>0</v>
      </c>
      <c r="AF124" s="123">
        <f t="shared" si="32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128</v>
      </c>
      <c r="B125" s="123">
        <f t="shared" si="30"/>
        <v>0</v>
      </c>
      <c r="C125" s="124">
        <v>0</v>
      </c>
      <c r="D125" s="123">
        <f t="shared" si="33"/>
        <v>0</v>
      </c>
      <c r="E125" s="123">
        <f t="shared" si="33"/>
        <v>0</v>
      </c>
      <c r="F125" s="123">
        <f t="shared" si="33"/>
        <v>0</v>
      </c>
      <c r="G125" s="123">
        <f t="shared" si="33"/>
        <v>0</v>
      </c>
      <c r="H125" s="123">
        <f t="shared" si="33"/>
        <v>0</v>
      </c>
      <c r="I125" s="123">
        <f t="shared" si="33"/>
        <v>0</v>
      </c>
      <c r="J125" s="123">
        <f t="shared" si="33"/>
        <v>0</v>
      </c>
      <c r="K125" s="123">
        <f t="shared" si="33"/>
        <v>0</v>
      </c>
      <c r="L125" s="123">
        <f t="shared" si="33"/>
        <v>0</v>
      </c>
      <c r="M125" s="123">
        <f t="shared" si="33"/>
        <v>0</v>
      </c>
      <c r="N125" s="123">
        <f t="shared" si="33"/>
        <v>0</v>
      </c>
      <c r="O125" s="123">
        <f t="shared" si="33"/>
        <v>0</v>
      </c>
      <c r="P125" s="123">
        <f t="shared" si="33"/>
        <v>0</v>
      </c>
      <c r="Q125" s="123">
        <f t="shared" si="33"/>
        <v>0</v>
      </c>
      <c r="R125" s="123">
        <f t="shared" si="33"/>
        <v>0</v>
      </c>
      <c r="S125" s="123">
        <f t="shared" si="33"/>
        <v>0</v>
      </c>
      <c r="T125" s="123">
        <f t="shared" si="32"/>
        <v>0</v>
      </c>
      <c r="U125" s="123">
        <f t="shared" si="32"/>
        <v>0</v>
      </c>
      <c r="V125" s="123">
        <f t="shared" si="32"/>
        <v>0</v>
      </c>
      <c r="W125" s="123">
        <f t="shared" si="32"/>
        <v>0</v>
      </c>
      <c r="X125" s="123">
        <f t="shared" si="32"/>
        <v>0</v>
      </c>
      <c r="Y125" s="123">
        <f t="shared" si="32"/>
        <v>0</v>
      </c>
      <c r="Z125" s="123">
        <f t="shared" si="32"/>
        <v>0</v>
      </c>
      <c r="AA125" s="123">
        <f t="shared" si="32"/>
        <v>0</v>
      </c>
      <c r="AB125" s="123">
        <f t="shared" si="32"/>
        <v>0</v>
      </c>
      <c r="AC125" s="123">
        <f t="shared" si="32"/>
        <v>0</v>
      </c>
      <c r="AD125" s="123">
        <f t="shared" si="32"/>
        <v>0</v>
      </c>
      <c r="AE125" s="123">
        <f t="shared" si="32"/>
        <v>0</v>
      </c>
      <c r="AF125" s="123">
        <f t="shared" si="32"/>
        <v>0</v>
      </c>
      <c r="AG125" s="126">
        <v>6.6</v>
      </c>
      <c r="AH125" s="55"/>
      <c r="AI125" s="56"/>
      <c r="AK125" s="57"/>
    </row>
    <row r="126" spans="1:37" x14ac:dyDescent="0.25">
      <c r="A126" s="111" t="s">
        <v>129</v>
      </c>
      <c r="B126" s="123" t="str">
        <f t="shared" si="30"/>
        <v>;/</v>
      </c>
      <c r="C126" s="124">
        <v>5</v>
      </c>
      <c r="D126" s="123">
        <f t="shared" si="33"/>
        <v>5</v>
      </c>
      <c r="E126" s="123">
        <f t="shared" si="33"/>
        <v>5</v>
      </c>
      <c r="F126" s="123">
        <f t="shared" si="33"/>
        <v>5</v>
      </c>
      <c r="G126" s="123">
        <f t="shared" si="33"/>
        <v>5</v>
      </c>
      <c r="H126" s="123">
        <f t="shared" si="33"/>
        <v>5</v>
      </c>
      <c r="I126" s="123" t="s">
        <v>130</v>
      </c>
      <c r="J126" s="123" t="str">
        <f t="shared" si="33"/>
        <v>;/</v>
      </c>
      <c r="K126" s="123" t="str">
        <f t="shared" si="33"/>
        <v>;/</v>
      </c>
      <c r="L126" s="123" t="str">
        <f t="shared" si="33"/>
        <v>;/</v>
      </c>
      <c r="M126" s="123" t="str">
        <f t="shared" si="33"/>
        <v>;/</v>
      </c>
      <c r="N126" s="123" t="str">
        <f t="shared" si="33"/>
        <v>;/</v>
      </c>
      <c r="O126" s="123" t="str">
        <f t="shared" si="33"/>
        <v>;/</v>
      </c>
      <c r="P126" s="123" t="str">
        <f t="shared" si="33"/>
        <v>;/</v>
      </c>
      <c r="Q126" s="123" t="str">
        <f t="shared" si="33"/>
        <v>;/</v>
      </c>
      <c r="R126" s="123" t="str">
        <f t="shared" si="33"/>
        <v>;/</v>
      </c>
      <c r="S126" s="123" t="str">
        <f t="shared" si="33"/>
        <v>;/</v>
      </c>
      <c r="T126" s="123" t="str">
        <f t="shared" si="32"/>
        <v>;/</v>
      </c>
      <c r="U126" s="123" t="str">
        <f t="shared" si="32"/>
        <v>;/</v>
      </c>
      <c r="V126" s="123" t="str">
        <f t="shared" si="32"/>
        <v>;/</v>
      </c>
      <c r="W126" s="123" t="str">
        <f t="shared" si="32"/>
        <v>;/</v>
      </c>
      <c r="X126" s="123" t="str">
        <f t="shared" si="32"/>
        <v>;/</v>
      </c>
      <c r="Y126" s="123" t="str">
        <f t="shared" si="32"/>
        <v>;/</v>
      </c>
      <c r="Z126" s="123" t="str">
        <f t="shared" si="32"/>
        <v>;/</v>
      </c>
      <c r="AA126" s="123" t="str">
        <f t="shared" si="32"/>
        <v>;/</v>
      </c>
      <c r="AB126" s="123" t="str">
        <f t="shared" si="32"/>
        <v>;/</v>
      </c>
      <c r="AC126" s="123" t="str">
        <f t="shared" si="32"/>
        <v>;/</v>
      </c>
      <c r="AD126" s="123" t="str">
        <f t="shared" si="32"/>
        <v>;/</v>
      </c>
      <c r="AE126" s="123" t="str">
        <f t="shared" si="32"/>
        <v>;/</v>
      </c>
      <c r="AF126" s="123" t="str">
        <f t="shared" si="32"/>
        <v>;/</v>
      </c>
      <c r="AG126" s="126">
        <v>6.4</v>
      </c>
      <c r="AH126" s="55"/>
      <c r="AI126" s="56"/>
      <c r="AK126" s="57"/>
    </row>
    <row r="127" spans="1:37" x14ac:dyDescent="0.25">
      <c r="A127" s="111" t="s">
        <v>131</v>
      </c>
      <c r="B127" s="123">
        <f t="shared" si="30"/>
        <v>1</v>
      </c>
      <c r="C127" s="124">
        <v>1</v>
      </c>
      <c r="D127" s="123">
        <f t="shared" si="33"/>
        <v>1</v>
      </c>
      <c r="E127" s="123">
        <f t="shared" si="33"/>
        <v>1</v>
      </c>
      <c r="F127" s="123">
        <f t="shared" si="33"/>
        <v>1</v>
      </c>
      <c r="G127" s="123">
        <f t="shared" si="33"/>
        <v>1</v>
      </c>
      <c r="H127" s="123">
        <f t="shared" si="33"/>
        <v>1</v>
      </c>
      <c r="I127" s="123">
        <f t="shared" si="33"/>
        <v>1</v>
      </c>
      <c r="J127" s="123">
        <f t="shared" si="33"/>
        <v>1</v>
      </c>
      <c r="K127" s="123">
        <f t="shared" si="33"/>
        <v>1</v>
      </c>
      <c r="L127" s="123">
        <f t="shared" si="33"/>
        <v>1</v>
      </c>
      <c r="M127" s="123">
        <f t="shared" si="33"/>
        <v>1</v>
      </c>
      <c r="N127" s="123">
        <f t="shared" si="33"/>
        <v>1</v>
      </c>
      <c r="O127" s="123">
        <f t="shared" si="33"/>
        <v>1</v>
      </c>
      <c r="P127" s="123">
        <f t="shared" si="33"/>
        <v>1</v>
      </c>
      <c r="Q127" s="123">
        <f t="shared" si="33"/>
        <v>1</v>
      </c>
      <c r="R127" s="123">
        <f t="shared" si="33"/>
        <v>1</v>
      </c>
      <c r="S127" s="123">
        <f t="shared" si="33"/>
        <v>1</v>
      </c>
      <c r="T127" s="123">
        <f t="shared" si="32"/>
        <v>1</v>
      </c>
      <c r="U127" s="123">
        <f t="shared" si="32"/>
        <v>1</v>
      </c>
      <c r="V127" s="123">
        <f t="shared" si="32"/>
        <v>1</v>
      </c>
      <c r="W127" s="123">
        <f t="shared" si="32"/>
        <v>1</v>
      </c>
      <c r="X127" s="123">
        <f t="shared" si="32"/>
        <v>1</v>
      </c>
      <c r="Y127" s="123">
        <f t="shared" si="32"/>
        <v>1</v>
      </c>
      <c r="Z127" s="123">
        <f t="shared" si="32"/>
        <v>1</v>
      </c>
      <c r="AA127" s="123">
        <f t="shared" si="32"/>
        <v>1</v>
      </c>
      <c r="AB127" s="123">
        <f t="shared" si="32"/>
        <v>1</v>
      </c>
      <c r="AC127" s="123">
        <f t="shared" si="32"/>
        <v>1</v>
      </c>
      <c r="AD127" s="123">
        <f t="shared" si="32"/>
        <v>1</v>
      </c>
      <c r="AE127" s="123">
        <f t="shared" si="32"/>
        <v>1</v>
      </c>
      <c r="AF127" s="123">
        <f t="shared" si="32"/>
        <v>1</v>
      </c>
      <c r="AG127" s="126">
        <v>6</v>
      </c>
      <c r="AH127" s="55"/>
      <c r="AI127" s="56"/>
      <c r="AK127" s="57"/>
    </row>
    <row r="128" spans="1:37" x14ac:dyDescent="0.25">
      <c r="A128" s="111" t="s">
        <v>132</v>
      </c>
      <c r="B128" s="123">
        <f t="shared" si="30"/>
        <v>1.58</v>
      </c>
      <c r="C128" s="124">
        <v>1.58</v>
      </c>
      <c r="D128" s="123">
        <f t="shared" si="33"/>
        <v>1.58</v>
      </c>
      <c r="E128" s="123">
        <f t="shared" si="33"/>
        <v>1.58</v>
      </c>
      <c r="F128" s="123">
        <f t="shared" si="33"/>
        <v>1.58</v>
      </c>
      <c r="G128" s="123">
        <f t="shared" si="33"/>
        <v>1.58</v>
      </c>
      <c r="H128" s="123">
        <f t="shared" si="33"/>
        <v>1.58</v>
      </c>
      <c r="I128" s="123">
        <f t="shared" si="33"/>
        <v>1.58</v>
      </c>
      <c r="J128" s="123">
        <f t="shared" si="33"/>
        <v>1.58</v>
      </c>
      <c r="K128" s="123">
        <f t="shared" si="33"/>
        <v>1.58</v>
      </c>
      <c r="L128" s="123">
        <f t="shared" si="33"/>
        <v>1.58</v>
      </c>
      <c r="M128" s="123">
        <f t="shared" si="33"/>
        <v>1.58</v>
      </c>
      <c r="N128" s="123">
        <f t="shared" si="33"/>
        <v>1.58</v>
      </c>
      <c r="O128" s="123">
        <f t="shared" si="33"/>
        <v>1.58</v>
      </c>
      <c r="P128" s="123">
        <f t="shared" si="33"/>
        <v>1.58</v>
      </c>
      <c r="Q128" s="123">
        <f t="shared" si="33"/>
        <v>1.58</v>
      </c>
      <c r="R128" s="123">
        <f t="shared" si="33"/>
        <v>1.58</v>
      </c>
      <c r="S128" s="123">
        <f t="shared" si="33"/>
        <v>1.58</v>
      </c>
      <c r="T128" s="123">
        <f t="shared" si="32"/>
        <v>1.58</v>
      </c>
      <c r="U128" s="123">
        <f t="shared" si="32"/>
        <v>1.58</v>
      </c>
      <c r="V128" s="123">
        <f t="shared" si="32"/>
        <v>1.58</v>
      </c>
      <c r="W128" s="123">
        <f t="shared" si="32"/>
        <v>1.58</v>
      </c>
      <c r="X128" s="123">
        <f t="shared" si="32"/>
        <v>1.58</v>
      </c>
      <c r="Y128" s="123">
        <f t="shared" si="32"/>
        <v>1.58</v>
      </c>
      <c r="Z128" s="123">
        <f t="shared" si="32"/>
        <v>1.58</v>
      </c>
      <c r="AA128" s="123">
        <f t="shared" si="32"/>
        <v>1.58</v>
      </c>
      <c r="AB128" s="123">
        <f t="shared" si="32"/>
        <v>1.58</v>
      </c>
      <c r="AC128" s="123">
        <f t="shared" si="32"/>
        <v>1.58</v>
      </c>
      <c r="AD128" s="123">
        <f t="shared" si="32"/>
        <v>1.58</v>
      </c>
      <c r="AE128" s="123">
        <f t="shared" si="32"/>
        <v>1.58</v>
      </c>
      <c r="AF128" s="123">
        <f t="shared" si="32"/>
        <v>1.58</v>
      </c>
      <c r="AG128" s="126">
        <v>5.0999999999999996</v>
      </c>
      <c r="AH128" s="55"/>
      <c r="AI128" s="56"/>
      <c r="AK128" s="57"/>
    </row>
    <row r="129" spans="1:37" x14ac:dyDescent="0.25">
      <c r="A129" s="111" t="s">
        <v>133</v>
      </c>
      <c r="B129" s="123">
        <f t="shared" si="30"/>
        <v>1.46</v>
      </c>
      <c r="C129" s="124">
        <v>1.46</v>
      </c>
      <c r="D129" s="123">
        <f t="shared" si="33"/>
        <v>1.46</v>
      </c>
      <c r="E129" s="123">
        <f t="shared" si="33"/>
        <v>1.46</v>
      </c>
      <c r="F129" s="123">
        <f t="shared" si="33"/>
        <v>1.46</v>
      </c>
      <c r="G129" s="123">
        <f t="shared" si="33"/>
        <v>1.46</v>
      </c>
      <c r="H129" s="123">
        <f t="shared" si="33"/>
        <v>1.46</v>
      </c>
      <c r="I129" s="123">
        <f t="shared" si="33"/>
        <v>1.46</v>
      </c>
      <c r="J129" s="123">
        <f t="shared" si="33"/>
        <v>1.46</v>
      </c>
      <c r="K129" s="123">
        <f t="shared" si="33"/>
        <v>1.46</v>
      </c>
      <c r="L129" s="123">
        <f t="shared" si="33"/>
        <v>1.46</v>
      </c>
      <c r="M129" s="123">
        <f t="shared" si="33"/>
        <v>1.46</v>
      </c>
      <c r="N129" s="123">
        <f t="shared" si="33"/>
        <v>1.46</v>
      </c>
      <c r="O129" s="123">
        <f t="shared" si="33"/>
        <v>1.46</v>
      </c>
      <c r="P129" s="123">
        <f t="shared" si="33"/>
        <v>1.46</v>
      </c>
      <c r="Q129" s="123">
        <f t="shared" si="33"/>
        <v>1.46</v>
      </c>
      <c r="R129" s="123">
        <f t="shared" si="33"/>
        <v>1.46</v>
      </c>
      <c r="S129" s="123">
        <f t="shared" si="33"/>
        <v>1.46</v>
      </c>
      <c r="T129" s="123">
        <f t="shared" ref="T129:AF130" si="34">S129</f>
        <v>1.46</v>
      </c>
      <c r="U129" s="123">
        <f t="shared" si="34"/>
        <v>1.46</v>
      </c>
      <c r="V129" s="123">
        <f t="shared" si="34"/>
        <v>1.46</v>
      </c>
      <c r="W129" s="123">
        <f t="shared" si="34"/>
        <v>1.46</v>
      </c>
      <c r="X129" s="123">
        <f t="shared" si="34"/>
        <v>1.46</v>
      </c>
      <c r="Y129" s="123">
        <f t="shared" si="34"/>
        <v>1.46</v>
      </c>
      <c r="Z129" s="123">
        <f t="shared" si="34"/>
        <v>1.46</v>
      </c>
      <c r="AA129" s="123">
        <f t="shared" si="34"/>
        <v>1.46</v>
      </c>
      <c r="AB129" s="123">
        <f t="shared" si="34"/>
        <v>1.46</v>
      </c>
      <c r="AC129" s="123">
        <f t="shared" si="34"/>
        <v>1.46</v>
      </c>
      <c r="AD129" s="123">
        <f t="shared" si="34"/>
        <v>1.46</v>
      </c>
      <c r="AE129" s="123">
        <f t="shared" si="34"/>
        <v>1.46</v>
      </c>
      <c r="AF129" s="123">
        <f t="shared" si="34"/>
        <v>1.46</v>
      </c>
      <c r="AG129" s="126">
        <v>5</v>
      </c>
      <c r="AH129" s="55"/>
      <c r="AI129" s="56"/>
      <c r="AK129" s="57"/>
    </row>
    <row r="130" spans="1:37" x14ac:dyDescent="0.25">
      <c r="A130" s="109" t="s">
        <v>134</v>
      </c>
      <c r="B130" s="123">
        <f t="shared" si="30"/>
        <v>1.48</v>
      </c>
      <c r="C130" s="124">
        <v>1.48</v>
      </c>
      <c r="D130" s="123">
        <f t="shared" si="33"/>
        <v>1.48</v>
      </c>
      <c r="E130" s="123">
        <f t="shared" si="33"/>
        <v>1.48</v>
      </c>
      <c r="F130" s="123">
        <f t="shared" si="33"/>
        <v>1.48</v>
      </c>
      <c r="G130" s="123">
        <f t="shared" si="33"/>
        <v>1.48</v>
      </c>
      <c r="H130" s="123">
        <f t="shared" si="33"/>
        <v>1.48</v>
      </c>
      <c r="I130" s="123">
        <f t="shared" si="33"/>
        <v>1.48</v>
      </c>
      <c r="J130" s="123">
        <f t="shared" si="33"/>
        <v>1.48</v>
      </c>
      <c r="K130" s="123">
        <f t="shared" si="33"/>
        <v>1.48</v>
      </c>
      <c r="L130" s="123">
        <f t="shared" si="33"/>
        <v>1.48</v>
      </c>
      <c r="M130" s="123">
        <f t="shared" si="33"/>
        <v>1.48</v>
      </c>
      <c r="N130" s="123">
        <f t="shared" si="33"/>
        <v>1.48</v>
      </c>
      <c r="O130" s="123">
        <f t="shared" si="33"/>
        <v>1.48</v>
      </c>
      <c r="P130" s="123">
        <f t="shared" si="33"/>
        <v>1.48</v>
      </c>
      <c r="Q130" s="123">
        <f t="shared" si="33"/>
        <v>1.48</v>
      </c>
      <c r="R130" s="123">
        <f t="shared" si="33"/>
        <v>1.48</v>
      </c>
      <c r="S130" s="123">
        <f t="shared" si="33"/>
        <v>1.48</v>
      </c>
      <c r="T130" s="123">
        <f t="shared" si="34"/>
        <v>1.48</v>
      </c>
      <c r="U130" s="123">
        <f t="shared" si="34"/>
        <v>1.48</v>
      </c>
      <c r="V130" s="123">
        <f t="shared" si="34"/>
        <v>1.48</v>
      </c>
      <c r="W130" s="123">
        <f t="shared" si="34"/>
        <v>1.48</v>
      </c>
      <c r="X130" s="123">
        <f t="shared" si="34"/>
        <v>1.48</v>
      </c>
      <c r="Y130" s="123">
        <f t="shared" si="34"/>
        <v>1.48</v>
      </c>
      <c r="Z130" s="123">
        <f t="shared" si="34"/>
        <v>1.48</v>
      </c>
      <c r="AA130" s="123">
        <f t="shared" si="34"/>
        <v>1.48</v>
      </c>
      <c r="AB130" s="123">
        <f t="shared" si="34"/>
        <v>1.48</v>
      </c>
      <c r="AC130" s="123">
        <f t="shared" si="34"/>
        <v>1.48</v>
      </c>
      <c r="AD130" s="123">
        <f t="shared" si="34"/>
        <v>1.48</v>
      </c>
      <c r="AE130" s="123">
        <f t="shared" si="34"/>
        <v>1.48</v>
      </c>
      <c r="AF130" s="123">
        <f t="shared" si="34"/>
        <v>1.48</v>
      </c>
      <c r="AG130" s="125">
        <v>5</v>
      </c>
      <c r="AH130" s="55"/>
      <c r="AI130" s="56"/>
      <c r="AK130" s="57"/>
    </row>
    <row r="131" spans="1:37" x14ac:dyDescent="0.25">
      <c r="A131" s="111" t="s">
        <v>135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5"/>
      <c r="AI131" s="56"/>
      <c r="AK131" s="57"/>
    </row>
    <row r="132" spans="1:37" x14ac:dyDescent="0.25">
      <c r="A132" s="111" t="s">
        <v>136</v>
      </c>
      <c r="B132" s="123">
        <f t="shared" ref="B132:B139" si="35">AF132</f>
        <v>2.2000000000000002</v>
      </c>
      <c r="C132" s="124">
        <v>2.2000000000000002</v>
      </c>
      <c r="D132" s="123">
        <f t="shared" ref="D132:S139" si="36">C132</f>
        <v>2.2000000000000002</v>
      </c>
      <c r="E132" s="123">
        <f t="shared" si="36"/>
        <v>2.2000000000000002</v>
      </c>
      <c r="F132" s="123">
        <f t="shared" si="36"/>
        <v>2.2000000000000002</v>
      </c>
      <c r="G132" s="123">
        <f t="shared" si="36"/>
        <v>2.2000000000000002</v>
      </c>
      <c r="H132" s="123">
        <f t="shared" si="36"/>
        <v>2.2000000000000002</v>
      </c>
      <c r="I132" s="123">
        <f t="shared" si="36"/>
        <v>2.2000000000000002</v>
      </c>
      <c r="J132" s="123">
        <f t="shared" si="36"/>
        <v>2.2000000000000002</v>
      </c>
      <c r="K132" s="123">
        <f t="shared" si="36"/>
        <v>2.2000000000000002</v>
      </c>
      <c r="L132" s="123">
        <f t="shared" si="36"/>
        <v>2.2000000000000002</v>
      </c>
      <c r="M132" s="123">
        <f t="shared" si="36"/>
        <v>2.2000000000000002</v>
      </c>
      <c r="N132" s="123">
        <f t="shared" si="36"/>
        <v>2.2000000000000002</v>
      </c>
      <c r="O132" s="123">
        <f t="shared" si="36"/>
        <v>2.2000000000000002</v>
      </c>
      <c r="P132" s="123">
        <f t="shared" si="36"/>
        <v>2.2000000000000002</v>
      </c>
      <c r="Q132" s="123">
        <f t="shared" si="36"/>
        <v>2.2000000000000002</v>
      </c>
      <c r="R132" s="123">
        <f t="shared" si="36"/>
        <v>2.2000000000000002</v>
      </c>
      <c r="S132" s="123">
        <f t="shared" si="36"/>
        <v>2.2000000000000002</v>
      </c>
      <c r="T132" s="123">
        <f t="shared" ref="T132:AF139" si="37">S132</f>
        <v>2.2000000000000002</v>
      </c>
      <c r="U132" s="123">
        <f t="shared" si="37"/>
        <v>2.2000000000000002</v>
      </c>
      <c r="V132" s="123">
        <f t="shared" si="37"/>
        <v>2.2000000000000002</v>
      </c>
      <c r="W132" s="123">
        <f t="shared" si="37"/>
        <v>2.2000000000000002</v>
      </c>
      <c r="X132" s="123">
        <f t="shared" si="37"/>
        <v>2.2000000000000002</v>
      </c>
      <c r="Y132" s="123">
        <f t="shared" si="37"/>
        <v>2.2000000000000002</v>
      </c>
      <c r="Z132" s="123">
        <f t="shared" si="37"/>
        <v>2.2000000000000002</v>
      </c>
      <c r="AA132" s="123">
        <f t="shared" si="37"/>
        <v>2.2000000000000002</v>
      </c>
      <c r="AB132" s="123">
        <f t="shared" si="37"/>
        <v>2.2000000000000002</v>
      </c>
      <c r="AC132" s="123">
        <f t="shared" si="37"/>
        <v>2.2000000000000002</v>
      </c>
      <c r="AD132" s="123">
        <f t="shared" si="37"/>
        <v>2.2000000000000002</v>
      </c>
      <c r="AE132" s="123">
        <f t="shared" si="37"/>
        <v>2.2000000000000002</v>
      </c>
      <c r="AF132" s="123">
        <f t="shared" si="37"/>
        <v>2.2000000000000002</v>
      </c>
      <c r="AG132" s="126">
        <v>5</v>
      </c>
      <c r="AH132" s="55"/>
      <c r="AI132" s="56"/>
      <c r="AK132" s="57"/>
    </row>
    <row r="133" spans="1:37" x14ac:dyDescent="0.25">
      <c r="A133" s="111" t="s">
        <v>137</v>
      </c>
      <c r="B133" s="123">
        <f t="shared" si="35"/>
        <v>2</v>
      </c>
      <c r="C133" s="124">
        <v>2</v>
      </c>
      <c r="D133" s="123">
        <f t="shared" si="36"/>
        <v>2</v>
      </c>
      <c r="E133" s="123">
        <f t="shared" si="36"/>
        <v>2</v>
      </c>
      <c r="F133" s="123">
        <f t="shared" si="36"/>
        <v>2</v>
      </c>
      <c r="G133" s="123">
        <f t="shared" si="36"/>
        <v>2</v>
      </c>
      <c r="H133" s="123">
        <f t="shared" si="36"/>
        <v>2</v>
      </c>
      <c r="I133" s="123">
        <f t="shared" si="36"/>
        <v>2</v>
      </c>
      <c r="J133" s="123">
        <f t="shared" si="36"/>
        <v>2</v>
      </c>
      <c r="K133" s="123">
        <f t="shared" si="36"/>
        <v>2</v>
      </c>
      <c r="L133" s="123">
        <f t="shared" si="36"/>
        <v>2</v>
      </c>
      <c r="M133" s="123">
        <f t="shared" si="36"/>
        <v>2</v>
      </c>
      <c r="N133" s="123">
        <f t="shared" si="36"/>
        <v>2</v>
      </c>
      <c r="O133" s="123">
        <f t="shared" si="36"/>
        <v>2</v>
      </c>
      <c r="P133" s="123">
        <f t="shared" si="36"/>
        <v>2</v>
      </c>
      <c r="Q133" s="123">
        <f t="shared" si="36"/>
        <v>2</v>
      </c>
      <c r="R133" s="123">
        <f t="shared" si="36"/>
        <v>2</v>
      </c>
      <c r="S133" s="123">
        <f t="shared" si="36"/>
        <v>2</v>
      </c>
      <c r="T133" s="123">
        <f t="shared" si="37"/>
        <v>2</v>
      </c>
      <c r="U133" s="123">
        <f t="shared" si="37"/>
        <v>2</v>
      </c>
      <c r="V133" s="123">
        <f t="shared" si="37"/>
        <v>2</v>
      </c>
      <c r="W133" s="123">
        <f t="shared" si="37"/>
        <v>2</v>
      </c>
      <c r="X133" s="123">
        <f t="shared" si="37"/>
        <v>2</v>
      </c>
      <c r="Y133" s="123">
        <f t="shared" si="37"/>
        <v>2</v>
      </c>
      <c r="Z133" s="123">
        <f t="shared" si="37"/>
        <v>2</v>
      </c>
      <c r="AA133" s="123">
        <f t="shared" si="37"/>
        <v>2</v>
      </c>
      <c r="AB133" s="123">
        <f t="shared" si="37"/>
        <v>2</v>
      </c>
      <c r="AC133" s="123">
        <f t="shared" si="37"/>
        <v>2</v>
      </c>
      <c r="AD133" s="123">
        <f t="shared" si="37"/>
        <v>2</v>
      </c>
      <c r="AE133" s="123">
        <f t="shared" si="37"/>
        <v>2</v>
      </c>
      <c r="AF133" s="123">
        <f t="shared" si="37"/>
        <v>2</v>
      </c>
      <c r="AG133" s="126">
        <v>5</v>
      </c>
      <c r="AH133" s="55"/>
      <c r="AI133" s="56"/>
      <c r="AK133" s="57"/>
    </row>
    <row r="134" spans="1:37" x14ac:dyDescent="0.25">
      <c r="A134" s="111" t="s">
        <v>138</v>
      </c>
      <c r="B134" s="123">
        <f t="shared" si="35"/>
        <v>1.25</v>
      </c>
      <c r="C134" s="124">
        <v>1.25</v>
      </c>
      <c r="D134" s="123">
        <f t="shared" si="36"/>
        <v>1.25</v>
      </c>
      <c r="E134" s="123">
        <f t="shared" si="36"/>
        <v>1.25</v>
      </c>
      <c r="F134" s="123">
        <f t="shared" si="36"/>
        <v>1.25</v>
      </c>
      <c r="G134" s="123">
        <f t="shared" si="36"/>
        <v>1.25</v>
      </c>
      <c r="H134" s="123">
        <f t="shared" si="36"/>
        <v>1.25</v>
      </c>
      <c r="I134" s="123">
        <f t="shared" si="36"/>
        <v>1.25</v>
      </c>
      <c r="J134" s="123">
        <f t="shared" si="36"/>
        <v>1.25</v>
      </c>
      <c r="K134" s="123">
        <f t="shared" si="36"/>
        <v>1.25</v>
      </c>
      <c r="L134" s="123">
        <f t="shared" si="36"/>
        <v>1.25</v>
      </c>
      <c r="M134" s="123">
        <f t="shared" si="36"/>
        <v>1.25</v>
      </c>
      <c r="N134" s="123">
        <f t="shared" si="36"/>
        <v>1.25</v>
      </c>
      <c r="O134" s="123">
        <f t="shared" si="36"/>
        <v>1.25</v>
      </c>
      <c r="P134" s="123">
        <f t="shared" si="36"/>
        <v>1.25</v>
      </c>
      <c r="Q134" s="123">
        <f t="shared" si="36"/>
        <v>1.25</v>
      </c>
      <c r="R134" s="123">
        <f t="shared" si="36"/>
        <v>1.25</v>
      </c>
      <c r="S134" s="123">
        <f t="shared" si="36"/>
        <v>1.25</v>
      </c>
      <c r="T134" s="123">
        <f t="shared" si="37"/>
        <v>1.25</v>
      </c>
      <c r="U134" s="123">
        <f t="shared" si="37"/>
        <v>1.25</v>
      </c>
      <c r="V134" s="123">
        <f t="shared" si="37"/>
        <v>1.25</v>
      </c>
      <c r="W134" s="123">
        <f t="shared" si="37"/>
        <v>1.25</v>
      </c>
      <c r="X134" s="123">
        <f t="shared" si="37"/>
        <v>1.25</v>
      </c>
      <c r="Y134" s="123">
        <f t="shared" si="37"/>
        <v>1.25</v>
      </c>
      <c r="Z134" s="123">
        <f t="shared" si="37"/>
        <v>1.25</v>
      </c>
      <c r="AA134" s="123">
        <f t="shared" si="37"/>
        <v>1.25</v>
      </c>
      <c r="AB134" s="123">
        <f t="shared" si="37"/>
        <v>1.25</v>
      </c>
      <c r="AC134" s="123">
        <f t="shared" si="37"/>
        <v>1.25</v>
      </c>
      <c r="AD134" s="123">
        <f t="shared" si="37"/>
        <v>1.25</v>
      </c>
      <c r="AE134" s="123">
        <f t="shared" si="37"/>
        <v>1.25</v>
      </c>
      <c r="AF134" s="123">
        <f t="shared" si="37"/>
        <v>1.25</v>
      </c>
      <c r="AG134" s="126">
        <v>5</v>
      </c>
      <c r="AH134" s="55"/>
      <c r="AI134" s="56"/>
      <c r="AK134" s="57"/>
    </row>
    <row r="135" spans="1:37" x14ac:dyDescent="0.25">
      <c r="A135" s="111" t="s">
        <v>139</v>
      </c>
      <c r="B135" s="123">
        <f t="shared" si="35"/>
        <v>1.1499999999999999</v>
      </c>
      <c r="C135" s="124">
        <v>1.1499999999999999</v>
      </c>
      <c r="D135" s="123">
        <f t="shared" si="36"/>
        <v>1.1499999999999999</v>
      </c>
      <c r="E135" s="123">
        <f t="shared" si="36"/>
        <v>1.1499999999999999</v>
      </c>
      <c r="F135" s="123">
        <f t="shared" si="36"/>
        <v>1.1499999999999999</v>
      </c>
      <c r="G135" s="123">
        <f t="shared" si="36"/>
        <v>1.1499999999999999</v>
      </c>
      <c r="H135" s="123">
        <f t="shared" si="36"/>
        <v>1.1499999999999999</v>
      </c>
      <c r="I135" s="123">
        <f t="shared" si="36"/>
        <v>1.1499999999999999</v>
      </c>
      <c r="J135" s="123">
        <f t="shared" si="36"/>
        <v>1.1499999999999999</v>
      </c>
      <c r="K135" s="123">
        <f t="shared" si="36"/>
        <v>1.1499999999999999</v>
      </c>
      <c r="L135" s="123">
        <f t="shared" si="36"/>
        <v>1.1499999999999999</v>
      </c>
      <c r="M135" s="123">
        <f t="shared" si="36"/>
        <v>1.1499999999999999</v>
      </c>
      <c r="N135" s="123">
        <f t="shared" si="36"/>
        <v>1.1499999999999999</v>
      </c>
      <c r="O135" s="123">
        <f t="shared" si="36"/>
        <v>1.1499999999999999</v>
      </c>
      <c r="P135" s="123">
        <f t="shared" si="36"/>
        <v>1.1499999999999999</v>
      </c>
      <c r="Q135" s="123">
        <f t="shared" si="36"/>
        <v>1.1499999999999999</v>
      </c>
      <c r="R135" s="123">
        <f t="shared" si="36"/>
        <v>1.1499999999999999</v>
      </c>
      <c r="S135" s="123">
        <f t="shared" si="36"/>
        <v>1.1499999999999999</v>
      </c>
      <c r="T135" s="123">
        <f t="shared" si="37"/>
        <v>1.1499999999999999</v>
      </c>
      <c r="U135" s="123">
        <f t="shared" si="37"/>
        <v>1.1499999999999999</v>
      </c>
      <c r="V135" s="123">
        <f t="shared" si="37"/>
        <v>1.1499999999999999</v>
      </c>
      <c r="W135" s="123">
        <f t="shared" si="37"/>
        <v>1.1499999999999999</v>
      </c>
      <c r="X135" s="123">
        <f t="shared" si="37"/>
        <v>1.1499999999999999</v>
      </c>
      <c r="Y135" s="123">
        <f t="shared" si="37"/>
        <v>1.1499999999999999</v>
      </c>
      <c r="Z135" s="123">
        <f t="shared" si="37"/>
        <v>1.1499999999999999</v>
      </c>
      <c r="AA135" s="123">
        <f t="shared" si="37"/>
        <v>1.1499999999999999</v>
      </c>
      <c r="AB135" s="123">
        <f t="shared" si="37"/>
        <v>1.1499999999999999</v>
      </c>
      <c r="AC135" s="123">
        <f t="shared" si="37"/>
        <v>1.1499999999999999</v>
      </c>
      <c r="AD135" s="123">
        <f t="shared" si="37"/>
        <v>1.1499999999999999</v>
      </c>
      <c r="AE135" s="123">
        <f t="shared" si="37"/>
        <v>1.1499999999999999</v>
      </c>
      <c r="AF135" s="123">
        <f t="shared" si="37"/>
        <v>1.1499999999999999</v>
      </c>
      <c r="AG135" s="126">
        <v>5</v>
      </c>
      <c r="AH135" s="55"/>
      <c r="AI135" s="56"/>
      <c r="AK135" s="57"/>
    </row>
    <row r="136" spans="1:37" x14ac:dyDescent="0.25">
      <c r="A136" s="111" t="s">
        <v>140</v>
      </c>
      <c r="B136" s="123">
        <f t="shared" si="35"/>
        <v>2.133</v>
      </c>
      <c r="C136" s="124">
        <v>2.133</v>
      </c>
      <c r="D136" s="123">
        <f t="shared" si="36"/>
        <v>2.133</v>
      </c>
      <c r="E136" s="123">
        <f t="shared" si="36"/>
        <v>2.133</v>
      </c>
      <c r="F136" s="123">
        <f t="shared" si="36"/>
        <v>2.133</v>
      </c>
      <c r="G136" s="123">
        <f t="shared" si="36"/>
        <v>2.133</v>
      </c>
      <c r="H136" s="123">
        <f t="shared" si="36"/>
        <v>2.133</v>
      </c>
      <c r="I136" s="123">
        <f t="shared" si="36"/>
        <v>2.133</v>
      </c>
      <c r="J136" s="123">
        <f t="shared" si="36"/>
        <v>2.133</v>
      </c>
      <c r="K136" s="123">
        <f t="shared" si="36"/>
        <v>2.133</v>
      </c>
      <c r="L136" s="123">
        <f t="shared" si="36"/>
        <v>2.133</v>
      </c>
      <c r="M136" s="123">
        <f t="shared" si="36"/>
        <v>2.133</v>
      </c>
      <c r="N136" s="123">
        <f t="shared" si="36"/>
        <v>2.133</v>
      </c>
      <c r="O136" s="123">
        <f t="shared" si="36"/>
        <v>2.133</v>
      </c>
      <c r="P136" s="123">
        <f t="shared" si="36"/>
        <v>2.133</v>
      </c>
      <c r="Q136" s="123">
        <f t="shared" si="36"/>
        <v>2.133</v>
      </c>
      <c r="R136" s="123">
        <f t="shared" si="36"/>
        <v>2.133</v>
      </c>
      <c r="S136" s="123">
        <f t="shared" si="36"/>
        <v>2.133</v>
      </c>
      <c r="T136" s="123">
        <f t="shared" si="37"/>
        <v>2.133</v>
      </c>
      <c r="U136" s="123">
        <f t="shared" si="37"/>
        <v>2.133</v>
      </c>
      <c r="V136" s="123">
        <f t="shared" si="37"/>
        <v>2.133</v>
      </c>
      <c r="W136" s="123">
        <f t="shared" si="37"/>
        <v>2.133</v>
      </c>
      <c r="X136" s="123">
        <f t="shared" si="37"/>
        <v>2.133</v>
      </c>
      <c r="Y136" s="123">
        <f t="shared" si="37"/>
        <v>2.133</v>
      </c>
      <c r="Z136" s="123">
        <f t="shared" si="37"/>
        <v>2.133</v>
      </c>
      <c r="AA136" s="123">
        <f t="shared" si="37"/>
        <v>2.133</v>
      </c>
      <c r="AB136" s="123">
        <f t="shared" si="37"/>
        <v>2.133</v>
      </c>
      <c r="AC136" s="123">
        <f t="shared" si="37"/>
        <v>2.133</v>
      </c>
      <c r="AD136" s="123">
        <f t="shared" si="37"/>
        <v>2.133</v>
      </c>
      <c r="AE136" s="123">
        <f t="shared" si="37"/>
        <v>2.133</v>
      </c>
      <c r="AF136" s="123">
        <f t="shared" si="37"/>
        <v>2.133</v>
      </c>
      <c r="AG136" s="126">
        <v>4.9930000000000003</v>
      </c>
      <c r="AH136" s="55"/>
      <c r="AI136" s="56"/>
      <c r="AK136" s="57"/>
    </row>
    <row r="137" spans="1:37" x14ac:dyDescent="0.25">
      <c r="A137" s="111" t="s">
        <v>141</v>
      </c>
      <c r="B137" s="123">
        <f t="shared" si="35"/>
        <v>2.09</v>
      </c>
      <c r="C137" s="124">
        <v>2.09</v>
      </c>
      <c r="D137" s="123">
        <f t="shared" si="36"/>
        <v>2.09</v>
      </c>
      <c r="E137" s="123">
        <f t="shared" si="36"/>
        <v>2.09</v>
      </c>
      <c r="F137" s="123">
        <f t="shared" si="36"/>
        <v>2.09</v>
      </c>
      <c r="G137" s="123">
        <f t="shared" si="36"/>
        <v>2.09</v>
      </c>
      <c r="H137" s="123">
        <f t="shared" si="36"/>
        <v>2.09</v>
      </c>
      <c r="I137" s="123">
        <f t="shared" si="36"/>
        <v>2.09</v>
      </c>
      <c r="J137" s="123">
        <f t="shared" si="36"/>
        <v>2.09</v>
      </c>
      <c r="K137" s="123">
        <f t="shared" si="36"/>
        <v>2.09</v>
      </c>
      <c r="L137" s="123">
        <f t="shared" si="36"/>
        <v>2.09</v>
      </c>
      <c r="M137" s="123">
        <f t="shared" si="36"/>
        <v>2.09</v>
      </c>
      <c r="N137" s="123">
        <f t="shared" si="36"/>
        <v>2.09</v>
      </c>
      <c r="O137" s="123">
        <f t="shared" si="36"/>
        <v>2.09</v>
      </c>
      <c r="P137" s="123">
        <f t="shared" si="36"/>
        <v>2.09</v>
      </c>
      <c r="Q137" s="123">
        <f t="shared" si="36"/>
        <v>2.09</v>
      </c>
      <c r="R137" s="123">
        <f t="shared" si="36"/>
        <v>2.09</v>
      </c>
      <c r="S137" s="123">
        <f t="shared" si="36"/>
        <v>2.09</v>
      </c>
      <c r="T137" s="123">
        <f t="shared" si="37"/>
        <v>2.09</v>
      </c>
      <c r="U137" s="123">
        <f t="shared" si="37"/>
        <v>2.09</v>
      </c>
      <c r="V137" s="123">
        <f t="shared" si="37"/>
        <v>2.09</v>
      </c>
      <c r="W137" s="123">
        <f t="shared" si="37"/>
        <v>2.09</v>
      </c>
      <c r="X137" s="123">
        <f t="shared" si="37"/>
        <v>2.09</v>
      </c>
      <c r="Y137" s="123">
        <f t="shared" si="37"/>
        <v>2.09</v>
      </c>
      <c r="Z137" s="123">
        <f t="shared" si="37"/>
        <v>2.09</v>
      </c>
      <c r="AA137" s="123">
        <f t="shared" si="37"/>
        <v>2.09</v>
      </c>
      <c r="AB137" s="123">
        <f t="shared" si="37"/>
        <v>2.09</v>
      </c>
      <c r="AC137" s="123">
        <f t="shared" si="37"/>
        <v>2.09</v>
      </c>
      <c r="AD137" s="123">
        <f t="shared" si="37"/>
        <v>2.09</v>
      </c>
      <c r="AE137" s="123">
        <f t="shared" si="37"/>
        <v>2.09</v>
      </c>
      <c r="AF137" s="123">
        <f t="shared" si="37"/>
        <v>2.09</v>
      </c>
      <c r="AG137" s="126">
        <v>4.9800000000000004</v>
      </c>
      <c r="AH137" s="55"/>
      <c r="AI137" s="56"/>
      <c r="AK137" s="57"/>
    </row>
    <row r="138" spans="1:37" x14ac:dyDescent="0.25">
      <c r="A138" s="111" t="s">
        <v>142</v>
      </c>
      <c r="B138" s="123">
        <f t="shared" si="35"/>
        <v>1.1399999999999999</v>
      </c>
      <c r="C138" s="124">
        <v>1.1399999999999999</v>
      </c>
      <c r="D138" s="123">
        <f t="shared" si="36"/>
        <v>1.1399999999999999</v>
      </c>
      <c r="E138" s="123">
        <f t="shared" si="36"/>
        <v>1.1399999999999999</v>
      </c>
      <c r="F138" s="123">
        <f t="shared" si="36"/>
        <v>1.1399999999999999</v>
      </c>
      <c r="G138" s="123">
        <f t="shared" si="36"/>
        <v>1.1399999999999999</v>
      </c>
      <c r="H138" s="123">
        <f t="shared" si="36"/>
        <v>1.1399999999999999</v>
      </c>
      <c r="I138" s="123">
        <f t="shared" si="36"/>
        <v>1.1399999999999999</v>
      </c>
      <c r="J138" s="123">
        <f t="shared" si="36"/>
        <v>1.1399999999999999</v>
      </c>
      <c r="K138" s="123">
        <f t="shared" si="36"/>
        <v>1.1399999999999999</v>
      </c>
      <c r="L138" s="123">
        <f t="shared" si="36"/>
        <v>1.1399999999999999</v>
      </c>
      <c r="M138" s="123">
        <f t="shared" si="36"/>
        <v>1.1399999999999999</v>
      </c>
      <c r="N138" s="123">
        <f t="shared" si="36"/>
        <v>1.1399999999999999</v>
      </c>
      <c r="O138" s="123">
        <f t="shared" si="36"/>
        <v>1.1399999999999999</v>
      </c>
      <c r="P138" s="123">
        <f t="shared" si="36"/>
        <v>1.1399999999999999</v>
      </c>
      <c r="Q138" s="123">
        <f t="shared" si="36"/>
        <v>1.1399999999999999</v>
      </c>
      <c r="R138" s="123">
        <f t="shared" si="36"/>
        <v>1.1399999999999999</v>
      </c>
      <c r="S138" s="123">
        <f t="shared" si="36"/>
        <v>1.1399999999999999</v>
      </c>
      <c r="T138" s="123">
        <f t="shared" si="37"/>
        <v>1.1399999999999999</v>
      </c>
      <c r="U138" s="123">
        <f t="shared" si="37"/>
        <v>1.1399999999999999</v>
      </c>
      <c r="V138" s="123">
        <f t="shared" si="37"/>
        <v>1.1399999999999999</v>
      </c>
      <c r="W138" s="123">
        <f t="shared" si="37"/>
        <v>1.1399999999999999</v>
      </c>
      <c r="X138" s="123">
        <f t="shared" si="37"/>
        <v>1.1399999999999999</v>
      </c>
      <c r="Y138" s="123">
        <f t="shared" si="37"/>
        <v>1.1399999999999999</v>
      </c>
      <c r="Z138" s="123">
        <f t="shared" si="37"/>
        <v>1.1399999999999999</v>
      </c>
      <c r="AA138" s="123">
        <f t="shared" si="37"/>
        <v>1.1399999999999999</v>
      </c>
      <c r="AB138" s="123">
        <f t="shared" si="37"/>
        <v>1.1399999999999999</v>
      </c>
      <c r="AC138" s="123">
        <f t="shared" si="37"/>
        <v>1.1399999999999999</v>
      </c>
      <c r="AD138" s="123">
        <f t="shared" si="37"/>
        <v>1.1399999999999999</v>
      </c>
      <c r="AE138" s="123">
        <f t="shared" si="37"/>
        <v>1.1399999999999999</v>
      </c>
      <c r="AF138" s="123">
        <f t="shared" si="37"/>
        <v>1.1399999999999999</v>
      </c>
      <c r="AG138" s="126">
        <v>4.95</v>
      </c>
      <c r="AH138" s="55"/>
      <c r="AI138" s="56"/>
      <c r="AK138" s="57"/>
    </row>
    <row r="139" spans="1:37" x14ac:dyDescent="0.25">
      <c r="A139" s="111" t="s">
        <v>143</v>
      </c>
      <c r="B139" s="123">
        <f t="shared" si="35"/>
        <v>0.82</v>
      </c>
      <c r="C139" s="124">
        <v>0.82</v>
      </c>
      <c r="D139" s="123">
        <f t="shared" si="36"/>
        <v>0.82</v>
      </c>
      <c r="E139" s="123">
        <f t="shared" si="36"/>
        <v>0.82</v>
      </c>
      <c r="F139" s="123">
        <f t="shared" si="36"/>
        <v>0.82</v>
      </c>
      <c r="G139" s="123">
        <f t="shared" si="36"/>
        <v>0.82</v>
      </c>
      <c r="H139" s="123">
        <f t="shared" si="36"/>
        <v>0.82</v>
      </c>
      <c r="I139" s="123">
        <f t="shared" si="36"/>
        <v>0.82</v>
      </c>
      <c r="J139" s="123">
        <f t="shared" si="36"/>
        <v>0.82</v>
      </c>
      <c r="K139" s="123">
        <f t="shared" si="36"/>
        <v>0.82</v>
      </c>
      <c r="L139" s="123">
        <f t="shared" si="36"/>
        <v>0.82</v>
      </c>
      <c r="M139" s="123">
        <f t="shared" si="36"/>
        <v>0.82</v>
      </c>
      <c r="N139" s="123">
        <f t="shared" si="36"/>
        <v>0.82</v>
      </c>
      <c r="O139" s="123">
        <f t="shared" si="36"/>
        <v>0.82</v>
      </c>
      <c r="P139" s="123">
        <f t="shared" si="36"/>
        <v>0.82</v>
      </c>
      <c r="Q139" s="123">
        <f t="shared" si="36"/>
        <v>0.82</v>
      </c>
      <c r="R139" s="123">
        <f t="shared" si="36"/>
        <v>0.82</v>
      </c>
      <c r="S139" s="123">
        <f t="shared" si="36"/>
        <v>0.82</v>
      </c>
      <c r="T139" s="123">
        <f t="shared" si="37"/>
        <v>0.82</v>
      </c>
      <c r="U139" s="123">
        <f t="shared" si="37"/>
        <v>0.82</v>
      </c>
      <c r="V139" s="123">
        <f t="shared" si="37"/>
        <v>0.82</v>
      </c>
      <c r="W139" s="123">
        <f t="shared" si="37"/>
        <v>0.82</v>
      </c>
      <c r="X139" s="123">
        <f t="shared" si="37"/>
        <v>0.82</v>
      </c>
      <c r="Y139" s="123">
        <f t="shared" si="37"/>
        <v>0.82</v>
      </c>
      <c r="Z139" s="123">
        <f t="shared" si="37"/>
        <v>0.82</v>
      </c>
      <c r="AA139" s="123">
        <f t="shared" si="37"/>
        <v>0.82</v>
      </c>
      <c r="AB139" s="123">
        <f t="shared" si="37"/>
        <v>0.82</v>
      </c>
      <c r="AC139" s="123">
        <f t="shared" si="37"/>
        <v>0.82</v>
      </c>
      <c r="AD139" s="123">
        <f t="shared" si="37"/>
        <v>0.82</v>
      </c>
      <c r="AE139" s="123">
        <f t="shared" si="37"/>
        <v>0.82</v>
      </c>
      <c r="AF139" s="123">
        <f t="shared" si="37"/>
        <v>0.82</v>
      </c>
      <c r="AG139" s="126">
        <v>4.95</v>
      </c>
      <c r="AH139" s="55"/>
      <c r="AI139" s="56"/>
      <c r="AK139" s="57"/>
    </row>
    <row r="140" spans="1:37" x14ac:dyDescent="0.25">
      <c r="A140" s="111" t="s">
        <v>144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5"/>
      <c r="AI140" s="56"/>
      <c r="AK140" s="57"/>
    </row>
    <row r="141" spans="1:37" x14ac:dyDescent="0.25">
      <c r="A141" s="111" t="s">
        <v>145</v>
      </c>
      <c r="B141" s="123">
        <f t="shared" ref="B141:B147" si="38">AF141</f>
        <v>2</v>
      </c>
      <c r="C141" s="124">
        <v>2</v>
      </c>
      <c r="D141" s="123">
        <f t="shared" ref="D141:S147" si="39">C141</f>
        <v>2</v>
      </c>
      <c r="E141" s="123">
        <f t="shared" si="39"/>
        <v>2</v>
      </c>
      <c r="F141" s="123">
        <f t="shared" si="39"/>
        <v>2</v>
      </c>
      <c r="G141" s="123">
        <f t="shared" si="39"/>
        <v>2</v>
      </c>
      <c r="H141" s="123">
        <f t="shared" si="39"/>
        <v>2</v>
      </c>
      <c r="I141" s="123">
        <f t="shared" si="39"/>
        <v>2</v>
      </c>
      <c r="J141" s="123">
        <f t="shared" si="39"/>
        <v>2</v>
      </c>
      <c r="K141" s="123">
        <f t="shared" si="39"/>
        <v>2</v>
      </c>
      <c r="L141" s="123">
        <f t="shared" si="39"/>
        <v>2</v>
      </c>
      <c r="M141" s="123">
        <f t="shared" si="39"/>
        <v>2</v>
      </c>
      <c r="N141" s="123">
        <f t="shared" si="39"/>
        <v>2</v>
      </c>
      <c r="O141" s="123">
        <f t="shared" si="39"/>
        <v>2</v>
      </c>
      <c r="P141" s="123">
        <f t="shared" si="39"/>
        <v>2</v>
      </c>
      <c r="Q141" s="123">
        <f t="shared" si="39"/>
        <v>2</v>
      </c>
      <c r="R141" s="123">
        <f t="shared" si="39"/>
        <v>2</v>
      </c>
      <c r="S141" s="123">
        <f t="shared" si="39"/>
        <v>2</v>
      </c>
      <c r="T141" s="123">
        <f t="shared" ref="T141:AF147" si="40">S141</f>
        <v>2</v>
      </c>
      <c r="U141" s="123">
        <f t="shared" si="40"/>
        <v>2</v>
      </c>
      <c r="V141" s="123">
        <f t="shared" si="40"/>
        <v>2</v>
      </c>
      <c r="W141" s="123">
        <f t="shared" si="40"/>
        <v>2</v>
      </c>
      <c r="X141" s="123">
        <f t="shared" si="40"/>
        <v>2</v>
      </c>
      <c r="Y141" s="123">
        <f t="shared" si="40"/>
        <v>2</v>
      </c>
      <c r="Z141" s="123">
        <f t="shared" si="40"/>
        <v>2</v>
      </c>
      <c r="AA141" s="123">
        <f t="shared" si="40"/>
        <v>2</v>
      </c>
      <c r="AB141" s="123">
        <f t="shared" si="40"/>
        <v>2</v>
      </c>
      <c r="AC141" s="123">
        <f t="shared" si="40"/>
        <v>2</v>
      </c>
      <c r="AD141" s="123">
        <f t="shared" si="40"/>
        <v>2</v>
      </c>
      <c r="AE141" s="123">
        <f t="shared" si="40"/>
        <v>2</v>
      </c>
      <c r="AF141" s="123">
        <f t="shared" si="40"/>
        <v>2</v>
      </c>
      <c r="AG141" s="126">
        <v>4.8</v>
      </c>
      <c r="AH141" s="55"/>
      <c r="AI141" s="56"/>
      <c r="AK141" s="57"/>
    </row>
    <row r="142" spans="1:37" x14ac:dyDescent="0.25">
      <c r="A142" s="111" t="s">
        <v>146</v>
      </c>
      <c r="B142" s="123">
        <f t="shared" si="38"/>
        <v>5.61</v>
      </c>
      <c r="C142" s="124">
        <v>5.61</v>
      </c>
      <c r="D142" s="123">
        <f t="shared" si="39"/>
        <v>5.61</v>
      </c>
      <c r="E142" s="123">
        <f t="shared" si="39"/>
        <v>5.61</v>
      </c>
      <c r="F142" s="123">
        <f t="shared" si="39"/>
        <v>5.61</v>
      </c>
      <c r="G142" s="123">
        <f t="shared" si="39"/>
        <v>5.61</v>
      </c>
      <c r="H142" s="123">
        <f t="shared" si="39"/>
        <v>5.61</v>
      </c>
      <c r="I142" s="123">
        <f t="shared" si="39"/>
        <v>5.61</v>
      </c>
      <c r="J142" s="123">
        <f t="shared" si="39"/>
        <v>5.61</v>
      </c>
      <c r="K142" s="123">
        <f t="shared" si="39"/>
        <v>5.61</v>
      </c>
      <c r="L142" s="123">
        <f t="shared" si="39"/>
        <v>5.61</v>
      </c>
      <c r="M142" s="123">
        <f t="shared" si="39"/>
        <v>5.61</v>
      </c>
      <c r="N142" s="123">
        <f t="shared" si="39"/>
        <v>5.61</v>
      </c>
      <c r="O142" s="123">
        <f t="shared" si="39"/>
        <v>5.61</v>
      </c>
      <c r="P142" s="123">
        <f t="shared" si="39"/>
        <v>5.61</v>
      </c>
      <c r="Q142" s="123">
        <f t="shared" si="39"/>
        <v>5.61</v>
      </c>
      <c r="R142" s="123">
        <f t="shared" si="39"/>
        <v>5.61</v>
      </c>
      <c r="S142" s="123">
        <f t="shared" si="39"/>
        <v>5.61</v>
      </c>
      <c r="T142" s="123">
        <f t="shared" si="40"/>
        <v>5.61</v>
      </c>
      <c r="U142" s="123">
        <f t="shared" si="40"/>
        <v>5.61</v>
      </c>
      <c r="V142" s="123">
        <f t="shared" si="40"/>
        <v>5.61</v>
      </c>
      <c r="W142" s="123">
        <f t="shared" si="40"/>
        <v>5.61</v>
      </c>
      <c r="X142" s="123">
        <f t="shared" si="40"/>
        <v>5.61</v>
      </c>
      <c r="Y142" s="123">
        <f t="shared" si="40"/>
        <v>5.61</v>
      </c>
      <c r="Z142" s="123">
        <f t="shared" si="40"/>
        <v>5.61</v>
      </c>
      <c r="AA142" s="123">
        <f t="shared" si="40"/>
        <v>5.61</v>
      </c>
      <c r="AB142" s="123">
        <f t="shared" si="40"/>
        <v>5.61</v>
      </c>
      <c r="AC142" s="123">
        <f t="shared" si="40"/>
        <v>5.61</v>
      </c>
      <c r="AD142" s="123">
        <f t="shared" si="40"/>
        <v>5.61</v>
      </c>
      <c r="AE142" s="123">
        <f t="shared" si="40"/>
        <v>5.61</v>
      </c>
      <c r="AF142" s="123">
        <f t="shared" si="40"/>
        <v>5.61</v>
      </c>
      <c r="AG142" s="126">
        <v>4.8</v>
      </c>
      <c r="AH142" s="55"/>
      <c r="AI142" s="56"/>
      <c r="AK142" s="57"/>
    </row>
    <row r="143" spans="1:37" x14ac:dyDescent="0.25">
      <c r="A143" s="111" t="s">
        <v>147</v>
      </c>
      <c r="B143" s="123">
        <f t="shared" si="38"/>
        <v>1.25</v>
      </c>
      <c r="C143" s="124">
        <v>1.25</v>
      </c>
      <c r="D143" s="123">
        <f t="shared" si="39"/>
        <v>1.25</v>
      </c>
      <c r="E143" s="123">
        <f t="shared" si="39"/>
        <v>1.25</v>
      </c>
      <c r="F143" s="123">
        <f t="shared" si="39"/>
        <v>1.25</v>
      </c>
      <c r="G143" s="123">
        <f t="shared" si="39"/>
        <v>1.25</v>
      </c>
      <c r="H143" s="123">
        <f t="shared" si="39"/>
        <v>1.25</v>
      </c>
      <c r="I143" s="123">
        <f t="shared" si="39"/>
        <v>1.25</v>
      </c>
      <c r="J143" s="123">
        <f t="shared" si="39"/>
        <v>1.25</v>
      </c>
      <c r="K143" s="123">
        <f t="shared" si="39"/>
        <v>1.25</v>
      </c>
      <c r="L143" s="123">
        <f t="shared" si="39"/>
        <v>1.25</v>
      </c>
      <c r="M143" s="123">
        <f t="shared" si="39"/>
        <v>1.25</v>
      </c>
      <c r="N143" s="123">
        <f t="shared" si="39"/>
        <v>1.25</v>
      </c>
      <c r="O143" s="123">
        <f t="shared" si="39"/>
        <v>1.25</v>
      </c>
      <c r="P143" s="123">
        <f t="shared" si="39"/>
        <v>1.25</v>
      </c>
      <c r="Q143" s="123">
        <f t="shared" si="39"/>
        <v>1.25</v>
      </c>
      <c r="R143" s="123">
        <f t="shared" si="39"/>
        <v>1.25</v>
      </c>
      <c r="S143" s="123">
        <f t="shared" si="39"/>
        <v>1.25</v>
      </c>
      <c r="T143" s="123">
        <f t="shared" si="40"/>
        <v>1.25</v>
      </c>
      <c r="U143" s="123">
        <f t="shared" si="40"/>
        <v>1.25</v>
      </c>
      <c r="V143" s="123">
        <f t="shared" si="40"/>
        <v>1.25</v>
      </c>
      <c r="W143" s="123">
        <f t="shared" si="40"/>
        <v>1.25</v>
      </c>
      <c r="X143" s="123">
        <f t="shared" si="40"/>
        <v>1.25</v>
      </c>
      <c r="Y143" s="123">
        <f t="shared" si="40"/>
        <v>1.25</v>
      </c>
      <c r="Z143" s="123">
        <f t="shared" si="40"/>
        <v>1.25</v>
      </c>
      <c r="AA143" s="123">
        <f t="shared" si="40"/>
        <v>1.25</v>
      </c>
      <c r="AB143" s="123">
        <f t="shared" si="40"/>
        <v>1.25</v>
      </c>
      <c r="AC143" s="123">
        <f t="shared" si="40"/>
        <v>1.25</v>
      </c>
      <c r="AD143" s="123">
        <f t="shared" si="40"/>
        <v>1.25</v>
      </c>
      <c r="AE143" s="123">
        <f t="shared" si="40"/>
        <v>1.25</v>
      </c>
      <c r="AF143" s="123">
        <f t="shared" si="40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148</v>
      </c>
      <c r="B144" s="123">
        <f t="shared" si="38"/>
        <v>1.25</v>
      </c>
      <c r="C144" s="124">
        <v>1.25</v>
      </c>
      <c r="D144" s="123">
        <f t="shared" si="39"/>
        <v>1.25</v>
      </c>
      <c r="E144" s="123">
        <f t="shared" si="39"/>
        <v>1.25</v>
      </c>
      <c r="F144" s="123">
        <f t="shared" si="39"/>
        <v>1.25</v>
      </c>
      <c r="G144" s="123">
        <f t="shared" si="39"/>
        <v>1.25</v>
      </c>
      <c r="H144" s="123">
        <f t="shared" si="39"/>
        <v>1.25</v>
      </c>
      <c r="I144" s="123">
        <f t="shared" si="39"/>
        <v>1.25</v>
      </c>
      <c r="J144" s="123">
        <f t="shared" si="39"/>
        <v>1.25</v>
      </c>
      <c r="K144" s="123">
        <f t="shared" si="39"/>
        <v>1.25</v>
      </c>
      <c r="L144" s="123">
        <f t="shared" si="39"/>
        <v>1.25</v>
      </c>
      <c r="M144" s="123">
        <f t="shared" si="39"/>
        <v>1.25</v>
      </c>
      <c r="N144" s="123">
        <f t="shared" si="39"/>
        <v>1.25</v>
      </c>
      <c r="O144" s="123">
        <f t="shared" si="39"/>
        <v>1.25</v>
      </c>
      <c r="P144" s="123">
        <f t="shared" si="39"/>
        <v>1.25</v>
      </c>
      <c r="Q144" s="123">
        <f t="shared" si="39"/>
        <v>1.25</v>
      </c>
      <c r="R144" s="123">
        <f t="shared" si="39"/>
        <v>1.25</v>
      </c>
      <c r="S144" s="123">
        <f t="shared" si="39"/>
        <v>1.25</v>
      </c>
      <c r="T144" s="123">
        <f t="shared" si="40"/>
        <v>1.25</v>
      </c>
      <c r="U144" s="123">
        <f t="shared" si="40"/>
        <v>1.25</v>
      </c>
      <c r="V144" s="123">
        <f t="shared" si="40"/>
        <v>1.25</v>
      </c>
      <c r="W144" s="123">
        <f t="shared" si="40"/>
        <v>1.25</v>
      </c>
      <c r="X144" s="123">
        <f t="shared" si="40"/>
        <v>1.25</v>
      </c>
      <c r="Y144" s="123">
        <f t="shared" si="40"/>
        <v>1.25</v>
      </c>
      <c r="Z144" s="123">
        <f t="shared" si="40"/>
        <v>1.25</v>
      </c>
      <c r="AA144" s="123">
        <f t="shared" si="40"/>
        <v>1.25</v>
      </c>
      <c r="AB144" s="123">
        <f t="shared" si="40"/>
        <v>1.25</v>
      </c>
      <c r="AC144" s="123">
        <f t="shared" si="40"/>
        <v>1.25</v>
      </c>
      <c r="AD144" s="123">
        <f t="shared" si="40"/>
        <v>1.25</v>
      </c>
      <c r="AE144" s="123">
        <f t="shared" si="40"/>
        <v>1.25</v>
      </c>
      <c r="AF144" s="123">
        <f t="shared" si="40"/>
        <v>1.25</v>
      </c>
      <c r="AG144" s="126">
        <v>4.5</v>
      </c>
      <c r="AH144" s="55"/>
      <c r="AI144" s="56"/>
      <c r="AK144" s="57"/>
    </row>
    <row r="145" spans="1:37" x14ac:dyDescent="0.25">
      <c r="A145" s="111" t="s">
        <v>149</v>
      </c>
      <c r="B145" s="123">
        <f t="shared" si="38"/>
        <v>1.46</v>
      </c>
      <c r="C145" s="124">
        <v>1.46</v>
      </c>
      <c r="D145" s="123">
        <f t="shared" si="39"/>
        <v>1.46</v>
      </c>
      <c r="E145" s="123">
        <f t="shared" si="39"/>
        <v>1.46</v>
      </c>
      <c r="F145" s="123">
        <f t="shared" si="39"/>
        <v>1.46</v>
      </c>
      <c r="G145" s="123">
        <f t="shared" si="39"/>
        <v>1.46</v>
      </c>
      <c r="H145" s="123">
        <f t="shared" si="39"/>
        <v>1.46</v>
      </c>
      <c r="I145" s="123">
        <f t="shared" si="39"/>
        <v>1.46</v>
      </c>
      <c r="J145" s="123">
        <f t="shared" si="39"/>
        <v>1.46</v>
      </c>
      <c r="K145" s="123">
        <f t="shared" si="39"/>
        <v>1.46</v>
      </c>
      <c r="L145" s="123">
        <f t="shared" si="39"/>
        <v>1.46</v>
      </c>
      <c r="M145" s="123">
        <f t="shared" si="39"/>
        <v>1.46</v>
      </c>
      <c r="N145" s="123">
        <f t="shared" si="39"/>
        <v>1.46</v>
      </c>
      <c r="O145" s="123">
        <f t="shared" si="39"/>
        <v>1.46</v>
      </c>
      <c r="P145" s="123">
        <f t="shared" si="39"/>
        <v>1.46</v>
      </c>
      <c r="Q145" s="123">
        <f t="shared" si="39"/>
        <v>1.46</v>
      </c>
      <c r="R145" s="123">
        <f t="shared" si="39"/>
        <v>1.46</v>
      </c>
      <c r="S145" s="123">
        <f t="shared" si="39"/>
        <v>1.46</v>
      </c>
      <c r="T145" s="123">
        <f t="shared" si="40"/>
        <v>1.46</v>
      </c>
      <c r="U145" s="123">
        <f t="shared" si="40"/>
        <v>1.46</v>
      </c>
      <c r="V145" s="123">
        <f t="shared" si="40"/>
        <v>1.46</v>
      </c>
      <c r="W145" s="123">
        <f t="shared" si="40"/>
        <v>1.46</v>
      </c>
      <c r="X145" s="123">
        <f t="shared" si="40"/>
        <v>1.46</v>
      </c>
      <c r="Y145" s="123">
        <f t="shared" si="40"/>
        <v>1.46</v>
      </c>
      <c r="Z145" s="123">
        <f t="shared" si="40"/>
        <v>1.46</v>
      </c>
      <c r="AA145" s="123">
        <f t="shared" si="40"/>
        <v>1.46</v>
      </c>
      <c r="AB145" s="123">
        <f t="shared" si="40"/>
        <v>1.46</v>
      </c>
      <c r="AC145" s="123">
        <f t="shared" si="40"/>
        <v>1.46</v>
      </c>
      <c r="AD145" s="123">
        <f t="shared" si="40"/>
        <v>1.46</v>
      </c>
      <c r="AE145" s="123">
        <f t="shared" si="40"/>
        <v>1.46</v>
      </c>
      <c r="AF145" s="123">
        <f t="shared" si="40"/>
        <v>1.46</v>
      </c>
      <c r="AG145" s="126">
        <v>4.4550000000000001</v>
      </c>
      <c r="AH145" s="55"/>
      <c r="AI145" s="56"/>
      <c r="AK145" s="57"/>
    </row>
    <row r="146" spans="1:37" x14ac:dyDescent="0.25">
      <c r="A146" s="111" t="s">
        <v>150</v>
      </c>
      <c r="B146" s="123">
        <f t="shared" si="38"/>
        <v>3</v>
      </c>
      <c r="C146" s="124">
        <v>3</v>
      </c>
      <c r="D146" s="123">
        <f t="shared" si="39"/>
        <v>3</v>
      </c>
      <c r="E146" s="123">
        <f t="shared" si="39"/>
        <v>3</v>
      </c>
      <c r="F146" s="123">
        <f t="shared" si="39"/>
        <v>3</v>
      </c>
      <c r="G146" s="123">
        <f t="shared" si="39"/>
        <v>3</v>
      </c>
      <c r="H146" s="123">
        <f t="shared" si="39"/>
        <v>3</v>
      </c>
      <c r="I146" s="123">
        <f t="shared" si="39"/>
        <v>3</v>
      </c>
      <c r="J146" s="123">
        <f t="shared" si="39"/>
        <v>3</v>
      </c>
      <c r="K146" s="123">
        <f t="shared" si="39"/>
        <v>3</v>
      </c>
      <c r="L146" s="123">
        <f t="shared" si="39"/>
        <v>3</v>
      </c>
      <c r="M146" s="123">
        <f t="shared" si="39"/>
        <v>3</v>
      </c>
      <c r="N146" s="123">
        <f t="shared" si="39"/>
        <v>3</v>
      </c>
      <c r="O146" s="123">
        <f t="shared" si="39"/>
        <v>3</v>
      </c>
      <c r="P146" s="123">
        <f t="shared" si="39"/>
        <v>3</v>
      </c>
      <c r="Q146" s="123">
        <f t="shared" si="39"/>
        <v>3</v>
      </c>
      <c r="R146" s="123">
        <f t="shared" si="39"/>
        <v>3</v>
      </c>
      <c r="S146" s="123">
        <f t="shared" si="39"/>
        <v>3</v>
      </c>
      <c r="T146" s="123">
        <f t="shared" si="40"/>
        <v>3</v>
      </c>
      <c r="U146" s="123">
        <f t="shared" si="40"/>
        <v>3</v>
      </c>
      <c r="V146" s="123">
        <f t="shared" si="40"/>
        <v>3</v>
      </c>
      <c r="W146" s="123">
        <f t="shared" si="40"/>
        <v>3</v>
      </c>
      <c r="X146" s="123">
        <f t="shared" si="40"/>
        <v>3</v>
      </c>
      <c r="Y146" s="123">
        <f t="shared" si="40"/>
        <v>3</v>
      </c>
      <c r="Z146" s="123">
        <f t="shared" si="40"/>
        <v>3</v>
      </c>
      <c r="AA146" s="123">
        <f t="shared" si="40"/>
        <v>3</v>
      </c>
      <c r="AB146" s="123">
        <f t="shared" si="40"/>
        <v>3</v>
      </c>
      <c r="AC146" s="123">
        <f t="shared" si="40"/>
        <v>3</v>
      </c>
      <c r="AD146" s="123">
        <f t="shared" si="40"/>
        <v>3</v>
      </c>
      <c r="AE146" s="123">
        <f t="shared" si="40"/>
        <v>3</v>
      </c>
      <c r="AF146" s="123">
        <f t="shared" si="40"/>
        <v>3</v>
      </c>
      <c r="AG146" s="126">
        <v>4.41</v>
      </c>
      <c r="AH146" s="55"/>
      <c r="AI146" s="56"/>
      <c r="AK146" s="57"/>
    </row>
    <row r="147" spans="1:37" x14ac:dyDescent="0.25">
      <c r="A147" s="111" t="s">
        <v>151</v>
      </c>
      <c r="B147" s="123">
        <f t="shared" si="38"/>
        <v>3.3</v>
      </c>
      <c r="C147" s="124">
        <v>3.3</v>
      </c>
      <c r="D147" s="123">
        <f t="shared" si="39"/>
        <v>3.3</v>
      </c>
      <c r="E147" s="123">
        <f t="shared" si="39"/>
        <v>3.3</v>
      </c>
      <c r="F147" s="123">
        <f t="shared" si="39"/>
        <v>3.3</v>
      </c>
      <c r="G147" s="123">
        <f t="shared" si="39"/>
        <v>3.3</v>
      </c>
      <c r="H147" s="123">
        <f t="shared" si="39"/>
        <v>3.3</v>
      </c>
      <c r="I147" s="123">
        <f t="shared" si="39"/>
        <v>3.3</v>
      </c>
      <c r="J147" s="123">
        <f t="shared" si="39"/>
        <v>3.3</v>
      </c>
      <c r="K147" s="123">
        <f t="shared" si="39"/>
        <v>3.3</v>
      </c>
      <c r="L147" s="123">
        <f t="shared" si="39"/>
        <v>3.3</v>
      </c>
      <c r="M147" s="123">
        <f t="shared" si="39"/>
        <v>3.3</v>
      </c>
      <c r="N147" s="123">
        <f t="shared" si="39"/>
        <v>3.3</v>
      </c>
      <c r="O147" s="123">
        <f t="shared" si="39"/>
        <v>3.3</v>
      </c>
      <c r="P147" s="123">
        <f t="shared" si="39"/>
        <v>3.3</v>
      </c>
      <c r="Q147" s="123">
        <f t="shared" si="39"/>
        <v>3.3</v>
      </c>
      <c r="R147" s="123">
        <f t="shared" si="39"/>
        <v>3.3</v>
      </c>
      <c r="S147" s="123">
        <f t="shared" si="39"/>
        <v>3.3</v>
      </c>
      <c r="T147" s="123">
        <f t="shared" si="40"/>
        <v>3.3</v>
      </c>
      <c r="U147" s="123">
        <f t="shared" si="40"/>
        <v>3.3</v>
      </c>
      <c r="V147" s="123">
        <f t="shared" si="40"/>
        <v>3.3</v>
      </c>
      <c r="W147" s="123">
        <f t="shared" si="40"/>
        <v>3.3</v>
      </c>
      <c r="X147" s="123">
        <f t="shared" si="40"/>
        <v>3.3</v>
      </c>
      <c r="Y147" s="123">
        <f t="shared" si="40"/>
        <v>3.3</v>
      </c>
      <c r="Z147" s="123">
        <f t="shared" si="40"/>
        <v>3.3</v>
      </c>
      <c r="AA147" s="123">
        <f t="shared" si="40"/>
        <v>3.3</v>
      </c>
      <c r="AB147" s="123">
        <f t="shared" si="40"/>
        <v>3.3</v>
      </c>
      <c r="AC147" s="123">
        <f t="shared" si="40"/>
        <v>3.3</v>
      </c>
      <c r="AD147" s="123">
        <f t="shared" si="40"/>
        <v>3.3</v>
      </c>
      <c r="AE147" s="123">
        <f t="shared" si="40"/>
        <v>3.3</v>
      </c>
      <c r="AF147" s="123">
        <f t="shared" si="40"/>
        <v>3.3</v>
      </c>
      <c r="AG147" s="126">
        <v>4.4000000000000004</v>
      </c>
      <c r="AH147" s="55"/>
      <c r="AI147" s="56"/>
      <c r="AK147" s="57"/>
    </row>
    <row r="148" spans="1:37" x14ac:dyDescent="0.25">
      <c r="A148" s="111" t="s">
        <v>152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5"/>
      <c r="AI148" s="56"/>
      <c r="AK148" s="57"/>
    </row>
    <row r="149" spans="1:37" x14ac:dyDescent="0.25">
      <c r="A149" s="111" t="s">
        <v>153</v>
      </c>
      <c r="B149" s="123">
        <f>AF149</f>
        <v>1.76</v>
      </c>
      <c r="C149" s="124">
        <v>1.76</v>
      </c>
      <c r="D149" s="123">
        <f t="shared" ref="D149:S150" si="41">C149</f>
        <v>1.76</v>
      </c>
      <c r="E149" s="123">
        <f t="shared" si="41"/>
        <v>1.76</v>
      </c>
      <c r="F149" s="123">
        <f t="shared" si="41"/>
        <v>1.76</v>
      </c>
      <c r="G149" s="123">
        <f t="shared" si="41"/>
        <v>1.76</v>
      </c>
      <c r="H149" s="123">
        <f t="shared" si="41"/>
        <v>1.76</v>
      </c>
      <c r="I149" s="123">
        <f t="shared" si="41"/>
        <v>1.76</v>
      </c>
      <c r="J149" s="123">
        <f t="shared" si="41"/>
        <v>1.76</v>
      </c>
      <c r="K149" s="123">
        <f t="shared" si="41"/>
        <v>1.76</v>
      </c>
      <c r="L149" s="123">
        <f t="shared" si="41"/>
        <v>1.76</v>
      </c>
      <c r="M149" s="123">
        <f t="shared" si="41"/>
        <v>1.76</v>
      </c>
      <c r="N149" s="123">
        <f t="shared" si="41"/>
        <v>1.76</v>
      </c>
      <c r="O149" s="123">
        <f t="shared" si="41"/>
        <v>1.76</v>
      </c>
      <c r="P149" s="123">
        <f t="shared" si="41"/>
        <v>1.76</v>
      </c>
      <c r="Q149" s="123">
        <f t="shared" si="41"/>
        <v>1.76</v>
      </c>
      <c r="R149" s="123">
        <f t="shared" si="41"/>
        <v>1.76</v>
      </c>
      <c r="S149" s="123">
        <f t="shared" si="41"/>
        <v>1.76</v>
      </c>
      <c r="T149" s="123">
        <f t="shared" ref="T149:AF150" si="42">S149</f>
        <v>1.76</v>
      </c>
      <c r="U149" s="123">
        <f t="shared" si="42"/>
        <v>1.76</v>
      </c>
      <c r="V149" s="123">
        <f t="shared" si="42"/>
        <v>1.76</v>
      </c>
      <c r="W149" s="123">
        <f t="shared" si="42"/>
        <v>1.76</v>
      </c>
      <c r="X149" s="123">
        <f t="shared" si="42"/>
        <v>1.76</v>
      </c>
      <c r="Y149" s="123">
        <f t="shared" si="42"/>
        <v>1.76</v>
      </c>
      <c r="Z149" s="123">
        <f t="shared" si="42"/>
        <v>1.76</v>
      </c>
      <c r="AA149" s="123">
        <f t="shared" si="42"/>
        <v>1.76</v>
      </c>
      <c r="AB149" s="123">
        <f t="shared" si="42"/>
        <v>1.76</v>
      </c>
      <c r="AC149" s="123">
        <f t="shared" si="42"/>
        <v>1.76</v>
      </c>
      <c r="AD149" s="123">
        <f t="shared" si="42"/>
        <v>1.76</v>
      </c>
      <c r="AE149" s="123">
        <f t="shared" si="42"/>
        <v>1.76</v>
      </c>
      <c r="AF149" s="123">
        <f t="shared" si="42"/>
        <v>1.76</v>
      </c>
      <c r="AG149" s="126">
        <v>4.2</v>
      </c>
      <c r="AH149" s="55"/>
      <c r="AI149" s="56"/>
      <c r="AK149" s="57"/>
    </row>
    <row r="150" spans="1:37" x14ac:dyDescent="0.25">
      <c r="A150" s="111" t="s">
        <v>154</v>
      </c>
      <c r="B150" s="123">
        <f>AF150</f>
        <v>0</v>
      </c>
      <c r="C150" s="124">
        <v>0</v>
      </c>
      <c r="D150" s="123">
        <f t="shared" si="41"/>
        <v>0</v>
      </c>
      <c r="E150" s="123">
        <f t="shared" si="41"/>
        <v>0</v>
      </c>
      <c r="F150" s="123">
        <f t="shared" si="41"/>
        <v>0</v>
      </c>
      <c r="G150" s="123">
        <f t="shared" si="41"/>
        <v>0</v>
      </c>
      <c r="H150" s="123">
        <f t="shared" si="41"/>
        <v>0</v>
      </c>
      <c r="I150" s="123">
        <f t="shared" si="41"/>
        <v>0</v>
      </c>
      <c r="J150" s="123">
        <f t="shared" si="41"/>
        <v>0</v>
      </c>
      <c r="K150" s="123">
        <f t="shared" si="41"/>
        <v>0</v>
      </c>
      <c r="L150" s="123">
        <f t="shared" si="41"/>
        <v>0</v>
      </c>
      <c r="M150" s="123">
        <f t="shared" si="41"/>
        <v>0</v>
      </c>
      <c r="N150" s="123">
        <f t="shared" si="41"/>
        <v>0</v>
      </c>
      <c r="O150" s="123">
        <f t="shared" si="41"/>
        <v>0</v>
      </c>
      <c r="P150" s="123">
        <f t="shared" si="41"/>
        <v>0</v>
      </c>
      <c r="Q150" s="123">
        <f t="shared" si="41"/>
        <v>0</v>
      </c>
      <c r="R150" s="123">
        <f t="shared" si="41"/>
        <v>0</v>
      </c>
      <c r="S150" s="123">
        <f t="shared" si="41"/>
        <v>0</v>
      </c>
      <c r="T150" s="123">
        <f t="shared" si="42"/>
        <v>0</v>
      </c>
      <c r="U150" s="123">
        <f t="shared" si="42"/>
        <v>0</v>
      </c>
      <c r="V150" s="123">
        <f t="shared" si="42"/>
        <v>0</v>
      </c>
      <c r="W150" s="123">
        <f t="shared" si="42"/>
        <v>0</v>
      </c>
      <c r="X150" s="123">
        <f t="shared" si="42"/>
        <v>0</v>
      </c>
      <c r="Y150" s="123">
        <f t="shared" si="42"/>
        <v>0</v>
      </c>
      <c r="Z150" s="123">
        <f t="shared" si="42"/>
        <v>0</v>
      </c>
      <c r="AA150" s="123">
        <f t="shared" si="42"/>
        <v>0</v>
      </c>
      <c r="AB150" s="123">
        <f t="shared" si="42"/>
        <v>0</v>
      </c>
      <c r="AC150" s="123">
        <f t="shared" si="42"/>
        <v>0</v>
      </c>
      <c r="AD150" s="123">
        <f t="shared" si="42"/>
        <v>0</v>
      </c>
      <c r="AE150" s="123">
        <f t="shared" si="42"/>
        <v>0</v>
      </c>
      <c r="AF150" s="123">
        <f t="shared" si="42"/>
        <v>0</v>
      </c>
      <c r="AG150" s="126">
        <v>4</v>
      </c>
      <c r="AH150" s="55"/>
      <c r="AI150" s="56"/>
      <c r="AK150" s="57"/>
    </row>
    <row r="151" spans="1:37" x14ac:dyDescent="0.25">
      <c r="A151" s="111" t="s">
        <v>155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5"/>
      <c r="AI151" s="56"/>
      <c r="AK151" s="57"/>
    </row>
    <row r="152" spans="1:37" x14ac:dyDescent="0.25">
      <c r="A152" s="111" t="s">
        <v>156</v>
      </c>
      <c r="B152" s="123">
        <f>AF152</f>
        <v>0.1</v>
      </c>
      <c r="C152" s="124">
        <v>0.1</v>
      </c>
      <c r="D152" s="123">
        <f t="shared" ref="D152:S155" si="43">C152</f>
        <v>0.1</v>
      </c>
      <c r="E152" s="123">
        <f t="shared" si="43"/>
        <v>0.1</v>
      </c>
      <c r="F152" s="123">
        <f t="shared" si="43"/>
        <v>0.1</v>
      </c>
      <c r="G152" s="123">
        <f t="shared" si="43"/>
        <v>0.1</v>
      </c>
      <c r="H152" s="123">
        <f t="shared" si="43"/>
        <v>0.1</v>
      </c>
      <c r="I152" s="123">
        <f t="shared" si="43"/>
        <v>0.1</v>
      </c>
      <c r="J152" s="123">
        <f t="shared" si="43"/>
        <v>0.1</v>
      </c>
      <c r="K152" s="123">
        <f t="shared" si="43"/>
        <v>0.1</v>
      </c>
      <c r="L152" s="123">
        <f t="shared" si="43"/>
        <v>0.1</v>
      </c>
      <c r="M152" s="123">
        <f t="shared" si="43"/>
        <v>0.1</v>
      </c>
      <c r="N152" s="123">
        <f t="shared" si="43"/>
        <v>0.1</v>
      </c>
      <c r="O152" s="123">
        <f t="shared" si="43"/>
        <v>0.1</v>
      </c>
      <c r="P152" s="123">
        <f t="shared" si="43"/>
        <v>0.1</v>
      </c>
      <c r="Q152" s="123">
        <f t="shared" si="43"/>
        <v>0.1</v>
      </c>
      <c r="R152" s="123">
        <f t="shared" si="43"/>
        <v>0.1</v>
      </c>
      <c r="S152" s="123">
        <f t="shared" si="43"/>
        <v>0.1</v>
      </c>
      <c r="T152" s="123">
        <f t="shared" ref="T152:AF155" si="44">S152</f>
        <v>0.1</v>
      </c>
      <c r="U152" s="123">
        <f t="shared" si="44"/>
        <v>0.1</v>
      </c>
      <c r="V152" s="123">
        <f t="shared" si="44"/>
        <v>0.1</v>
      </c>
      <c r="W152" s="123">
        <f t="shared" si="44"/>
        <v>0.1</v>
      </c>
      <c r="X152" s="123">
        <f t="shared" si="44"/>
        <v>0.1</v>
      </c>
      <c r="Y152" s="123">
        <f t="shared" si="44"/>
        <v>0.1</v>
      </c>
      <c r="Z152" s="123">
        <f t="shared" si="44"/>
        <v>0.1</v>
      </c>
      <c r="AA152" s="123">
        <f t="shared" si="44"/>
        <v>0.1</v>
      </c>
      <c r="AB152" s="123">
        <f t="shared" si="44"/>
        <v>0.1</v>
      </c>
      <c r="AC152" s="123">
        <f t="shared" si="44"/>
        <v>0.1</v>
      </c>
      <c r="AD152" s="123">
        <f t="shared" si="44"/>
        <v>0.1</v>
      </c>
      <c r="AE152" s="123">
        <f t="shared" si="44"/>
        <v>0.1</v>
      </c>
      <c r="AF152" s="123">
        <f t="shared" si="44"/>
        <v>0.1</v>
      </c>
      <c r="AG152" s="126">
        <v>4</v>
      </c>
      <c r="AH152" s="55"/>
      <c r="AI152" s="56"/>
      <c r="AK152" s="57"/>
    </row>
    <row r="153" spans="1:37" x14ac:dyDescent="0.25">
      <c r="A153" s="111" t="s">
        <v>157</v>
      </c>
      <c r="B153" s="123">
        <f>AF153</f>
        <v>2.0499999999999998</v>
      </c>
      <c r="C153" s="124">
        <v>2.0499999999999998</v>
      </c>
      <c r="D153" s="123">
        <f t="shared" si="43"/>
        <v>2.0499999999999998</v>
      </c>
      <c r="E153" s="123">
        <f t="shared" si="43"/>
        <v>2.0499999999999998</v>
      </c>
      <c r="F153" s="123">
        <f t="shared" si="43"/>
        <v>2.0499999999999998</v>
      </c>
      <c r="G153" s="123">
        <f t="shared" si="43"/>
        <v>2.0499999999999998</v>
      </c>
      <c r="H153" s="123">
        <f t="shared" si="43"/>
        <v>2.0499999999999998</v>
      </c>
      <c r="I153" s="123">
        <f t="shared" si="43"/>
        <v>2.0499999999999998</v>
      </c>
      <c r="J153" s="123">
        <f t="shared" si="43"/>
        <v>2.0499999999999998</v>
      </c>
      <c r="K153" s="123">
        <f t="shared" si="43"/>
        <v>2.0499999999999998</v>
      </c>
      <c r="L153" s="123">
        <f t="shared" si="43"/>
        <v>2.0499999999999998</v>
      </c>
      <c r="M153" s="123">
        <f t="shared" si="43"/>
        <v>2.0499999999999998</v>
      </c>
      <c r="N153" s="123">
        <f t="shared" si="43"/>
        <v>2.0499999999999998</v>
      </c>
      <c r="O153" s="123">
        <f t="shared" si="43"/>
        <v>2.0499999999999998</v>
      </c>
      <c r="P153" s="123">
        <f t="shared" si="43"/>
        <v>2.0499999999999998</v>
      </c>
      <c r="Q153" s="123">
        <f t="shared" si="43"/>
        <v>2.0499999999999998</v>
      </c>
      <c r="R153" s="123">
        <f t="shared" si="43"/>
        <v>2.0499999999999998</v>
      </c>
      <c r="S153" s="123">
        <f t="shared" si="43"/>
        <v>2.0499999999999998</v>
      </c>
      <c r="T153" s="123">
        <f t="shared" si="44"/>
        <v>2.0499999999999998</v>
      </c>
      <c r="U153" s="123">
        <f t="shared" si="44"/>
        <v>2.0499999999999998</v>
      </c>
      <c r="V153" s="123">
        <f t="shared" si="44"/>
        <v>2.0499999999999998</v>
      </c>
      <c r="W153" s="123">
        <f t="shared" si="44"/>
        <v>2.0499999999999998</v>
      </c>
      <c r="X153" s="123">
        <f t="shared" si="44"/>
        <v>2.0499999999999998</v>
      </c>
      <c r="Y153" s="123">
        <f t="shared" si="44"/>
        <v>2.0499999999999998</v>
      </c>
      <c r="Z153" s="123">
        <f t="shared" si="44"/>
        <v>2.0499999999999998</v>
      </c>
      <c r="AA153" s="123">
        <f t="shared" si="44"/>
        <v>2.0499999999999998</v>
      </c>
      <c r="AB153" s="123">
        <f t="shared" si="44"/>
        <v>2.0499999999999998</v>
      </c>
      <c r="AC153" s="123">
        <f t="shared" si="44"/>
        <v>2.0499999999999998</v>
      </c>
      <c r="AD153" s="123">
        <f t="shared" si="44"/>
        <v>2.0499999999999998</v>
      </c>
      <c r="AE153" s="123">
        <f t="shared" si="44"/>
        <v>2.0499999999999998</v>
      </c>
      <c r="AF153" s="123">
        <f t="shared" si="44"/>
        <v>2.0499999999999998</v>
      </c>
      <c r="AG153" s="126">
        <v>4</v>
      </c>
      <c r="AH153" s="55"/>
      <c r="AI153" s="56"/>
      <c r="AK153" s="57"/>
    </row>
    <row r="154" spans="1:37" x14ac:dyDescent="0.25">
      <c r="A154" s="111" t="s">
        <v>158</v>
      </c>
      <c r="B154" s="123">
        <f>AF154</f>
        <v>2.7</v>
      </c>
      <c r="C154" s="124">
        <v>2.7</v>
      </c>
      <c r="D154" s="123">
        <f t="shared" si="43"/>
        <v>2.7</v>
      </c>
      <c r="E154" s="123">
        <f t="shared" si="43"/>
        <v>2.7</v>
      </c>
      <c r="F154" s="123">
        <f t="shared" si="43"/>
        <v>2.7</v>
      </c>
      <c r="G154" s="123">
        <f t="shared" si="43"/>
        <v>2.7</v>
      </c>
      <c r="H154" s="123">
        <f t="shared" si="43"/>
        <v>2.7</v>
      </c>
      <c r="I154" s="123">
        <f t="shared" si="43"/>
        <v>2.7</v>
      </c>
      <c r="J154" s="123">
        <f t="shared" si="43"/>
        <v>2.7</v>
      </c>
      <c r="K154" s="123">
        <f t="shared" si="43"/>
        <v>2.7</v>
      </c>
      <c r="L154" s="123">
        <f t="shared" si="43"/>
        <v>2.7</v>
      </c>
      <c r="M154" s="123">
        <f t="shared" si="43"/>
        <v>2.7</v>
      </c>
      <c r="N154" s="123">
        <f t="shared" si="43"/>
        <v>2.7</v>
      </c>
      <c r="O154" s="123">
        <f t="shared" si="43"/>
        <v>2.7</v>
      </c>
      <c r="P154" s="123">
        <f t="shared" si="43"/>
        <v>2.7</v>
      </c>
      <c r="Q154" s="123">
        <f t="shared" si="43"/>
        <v>2.7</v>
      </c>
      <c r="R154" s="123">
        <f t="shared" si="43"/>
        <v>2.7</v>
      </c>
      <c r="S154" s="123">
        <f t="shared" si="43"/>
        <v>2.7</v>
      </c>
      <c r="T154" s="123">
        <f t="shared" si="44"/>
        <v>2.7</v>
      </c>
      <c r="U154" s="123">
        <f t="shared" si="44"/>
        <v>2.7</v>
      </c>
      <c r="V154" s="123">
        <f t="shared" si="44"/>
        <v>2.7</v>
      </c>
      <c r="W154" s="123">
        <f t="shared" si="44"/>
        <v>2.7</v>
      </c>
      <c r="X154" s="123">
        <f t="shared" si="44"/>
        <v>2.7</v>
      </c>
      <c r="Y154" s="123">
        <f t="shared" si="44"/>
        <v>2.7</v>
      </c>
      <c r="Z154" s="123">
        <f t="shared" si="44"/>
        <v>2.7</v>
      </c>
      <c r="AA154" s="123">
        <f t="shared" si="44"/>
        <v>2.7</v>
      </c>
      <c r="AB154" s="123">
        <f t="shared" si="44"/>
        <v>2.7</v>
      </c>
      <c r="AC154" s="123">
        <f t="shared" si="44"/>
        <v>2.7</v>
      </c>
      <c r="AD154" s="123">
        <f t="shared" si="44"/>
        <v>2.7</v>
      </c>
      <c r="AE154" s="123">
        <f t="shared" si="44"/>
        <v>2.7</v>
      </c>
      <c r="AF154" s="123">
        <f t="shared" si="44"/>
        <v>2.7</v>
      </c>
      <c r="AG154" s="126">
        <v>4</v>
      </c>
      <c r="AH154" s="55"/>
      <c r="AI154" s="56"/>
      <c r="AK154" s="57"/>
    </row>
    <row r="155" spans="1:37" x14ac:dyDescent="0.25">
      <c r="A155" s="111" t="s">
        <v>159</v>
      </c>
      <c r="B155" s="123">
        <f>AF155</f>
        <v>2.15</v>
      </c>
      <c r="C155" s="124">
        <v>2.15</v>
      </c>
      <c r="D155" s="123">
        <f t="shared" si="43"/>
        <v>2.15</v>
      </c>
      <c r="E155" s="123">
        <f t="shared" si="43"/>
        <v>2.15</v>
      </c>
      <c r="F155" s="123">
        <f t="shared" si="43"/>
        <v>2.15</v>
      </c>
      <c r="G155" s="123">
        <f t="shared" si="43"/>
        <v>2.15</v>
      </c>
      <c r="H155" s="123">
        <f t="shared" si="43"/>
        <v>2.15</v>
      </c>
      <c r="I155" s="123">
        <f t="shared" si="43"/>
        <v>2.15</v>
      </c>
      <c r="J155" s="123">
        <f t="shared" si="43"/>
        <v>2.15</v>
      </c>
      <c r="K155" s="123">
        <f t="shared" si="43"/>
        <v>2.15</v>
      </c>
      <c r="L155" s="123">
        <f t="shared" si="43"/>
        <v>2.15</v>
      </c>
      <c r="M155" s="123">
        <f t="shared" si="43"/>
        <v>2.15</v>
      </c>
      <c r="N155" s="123">
        <f t="shared" si="43"/>
        <v>2.15</v>
      </c>
      <c r="O155" s="123">
        <f t="shared" si="43"/>
        <v>2.15</v>
      </c>
      <c r="P155" s="123">
        <f t="shared" si="43"/>
        <v>2.15</v>
      </c>
      <c r="Q155" s="123">
        <f t="shared" si="43"/>
        <v>2.15</v>
      </c>
      <c r="R155" s="123">
        <f t="shared" si="43"/>
        <v>2.15</v>
      </c>
      <c r="S155" s="123">
        <f t="shared" si="43"/>
        <v>2.15</v>
      </c>
      <c r="T155" s="123">
        <f t="shared" si="44"/>
        <v>2.15</v>
      </c>
      <c r="U155" s="123">
        <f t="shared" si="44"/>
        <v>2.15</v>
      </c>
      <c r="V155" s="123">
        <f t="shared" si="44"/>
        <v>2.15</v>
      </c>
      <c r="W155" s="123">
        <f t="shared" si="44"/>
        <v>2.15</v>
      </c>
      <c r="X155" s="123">
        <f t="shared" si="44"/>
        <v>2.15</v>
      </c>
      <c r="Y155" s="123">
        <f t="shared" si="44"/>
        <v>2.15</v>
      </c>
      <c r="Z155" s="123">
        <f t="shared" si="44"/>
        <v>2.15</v>
      </c>
      <c r="AA155" s="123">
        <f t="shared" si="44"/>
        <v>2.15</v>
      </c>
      <c r="AB155" s="123">
        <f t="shared" si="44"/>
        <v>2.15</v>
      </c>
      <c r="AC155" s="123">
        <f t="shared" si="44"/>
        <v>2.15</v>
      </c>
      <c r="AD155" s="123">
        <f t="shared" si="44"/>
        <v>2.15</v>
      </c>
      <c r="AE155" s="123">
        <f t="shared" si="44"/>
        <v>2.15</v>
      </c>
      <c r="AF155" s="123">
        <f t="shared" si="44"/>
        <v>2.15</v>
      </c>
      <c r="AG155" s="126">
        <v>4</v>
      </c>
      <c r="AH155" s="55"/>
      <c r="AI155" s="56"/>
      <c r="AK155" s="57"/>
    </row>
    <row r="156" spans="1:37" x14ac:dyDescent="0.25">
      <c r="A156" s="111" t="s">
        <v>160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5"/>
      <c r="AI156" s="56"/>
      <c r="AK156" s="57"/>
    </row>
    <row r="157" spans="1:37" x14ac:dyDescent="0.25">
      <c r="A157" s="111" t="s">
        <v>161</v>
      </c>
      <c r="B157" s="123">
        <f t="shared" ref="B157:B169" si="45">AF157</f>
        <v>0.9</v>
      </c>
      <c r="C157" s="124">
        <v>0.9</v>
      </c>
      <c r="D157" s="123">
        <f t="shared" ref="D157:S169" si="46">C157</f>
        <v>0.9</v>
      </c>
      <c r="E157" s="123">
        <f t="shared" si="46"/>
        <v>0.9</v>
      </c>
      <c r="F157" s="123">
        <f t="shared" si="46"/>
        <v>0.9</v>
      </c>
      <c r="G157" s="123">
        <f t="shared" si="46"/>
        <v>0.9</v>
      </c>
      <c r="H157" s="123">
        <f t="shared" si="46"/>
        <v>0.9</v>
      </c>
      <c r="I157" s="123">
        <f t="shared" si="46"/>
        <v>0.9</v>
      </c>
      <c r="J157" s="123">
        <f t="shared" si="46"/>
        <v>0.9</v>
      </c>
      <c r="K157" s="123">
        <f t="shared" si="46"/>
        <v>0.9</v>
      </c>
      <c r="L157" s="123">
        <f t="shared" si="46"/>
        <v>0.9</v>
      </c>
      <c r="M157" s="123">
        <f t="shared" si="46"/>
        <v>0.9</v>
      </c>
      <c r="N157" s="123">
        <f t="shared" si="46"/>
        <v>0.9</v>
      </c>
      <c r="O157" s="123">
        <f t="shared" si="46"/>
        <v>0.9</v>
      </c>
      <c r="P157" s="123">
        <f t="shared" si="46"/>
        <v>0.9</v>
      </c>
      <c r="Q157" s="123">
        <f t="shared" si="46"/>
        <v>0.9</v>
      </c>
      <c r="R157" s="123">
        <f t="shared" si="46"/>
        <v>0.9</v>
      </c>
      <c r="S157" s="123">
        <f t="shared" si="46"/>
        <v>0.9</v>
      </c>
      <c r="T157" s="123">
        <f t="shared" ref="S157:AF169" si="47">S157</f>
        <v>0.9</v>
      </c>
      <c r="U157" s="123">
        <f t="shared" si="47"/>
        <v>0.9</v>
      </c>
      <c r="V157" s="123">
        <f t="shared" si="47"/>
        <v>0.9</v>
      </c>
      <c r="W157" s="123">
        <f t="shared" si="47"/>
        <v>0.9</v>
      </c>
      <c r="X157" s="123">
        <f t="shared" si="47"/>
        <v>0.9</v>
      </c>
      <c r="Y157" s="123">
        <f t="shared" si="47"/>
        <v>0.9</v>
      </c>
      <c r="Z157" s="123">
        <f t="shared" si="47"/>
        <v>0.9</v>
      </c>
      <c r="AA157" s="123">
        <f t="shared" si="47"/>
        <v>0.9</v>
      </c>
      <c r="AB157" s="123">
        <f t="shared" si="47"/>
        <v>0.9</v>
      </c>
      <c r="AC157" s="123">
        <f t="shared" si="47"/>
        <v>0.9</v>
      </c>
      <c r="AD157" s="123">
        <f t="shared" si="47"/>
        <v>0.9</v>
      </c>
      <c r="AE157" s="123">
        <f t="shared" si="47"/>
        <v>0.9</v>
      </c>
      <c r="AF157" s="123">
        <f t="shared" si="47"/>
        <v>0.9</v>
      </c>
      <c r="AG157" s="126">
        <v>4</v>
      </c>
      <c r="AH157" s="55"/>
      <c r="AI157" s="56"/>
      <c r="AK157" s="57"/>
    </row>
    <row r="158" spans="1:37" x14ac:dyDescent="0.25">
      <c r="A158" s="111" t="s">
        <v>162</v>
      </c>
      <c r="B158" s="123">
        <f t="shared" si="45"/>
        <v>1.08</v>
      </c>
      <c r="C158" s="124">
        <v>1.08</v>
      </c>
      <c r="D158" s="123">
        <f t="shared" si="46"/>
        <v>1.08</v>
      </c>
      <c r="E158" s="123">
        <f t="shared" si="46"/>
        <v>1.08</v>
      </c>
      <c r="F158" s="123">
        <f t="shared" si="46"/>
        <v>1.08</v>
      </c>
      <c r="G158" s="123">
        <f t="shared" si="46"/>
        <v>1.08</v>
      </c>
      <c r="H158" s="123">
        <f t="shared" si="46"/>
        <v>1.08</v>
      </c>
      <c r="I158" s="123">
        <f t="shared" si="46"/>
        <v>1.08</v>
      </c>
      <c r="J158" s="123">
        <f t="shared" si="46"/>
        <v>1.08</v>
      </c>
      <c r="K158" s="123">
        <f t="shared" si="46"/>
        <v>1.08</v>
      </c>
      <c r="L158" s="123">
        <f t="shared" si="46"/>
        <v>1.08</v>
      </c>
      <c r="M158" s="123">
        <f t="shared" si="46"/>
        <v>1.08</v>
      </c>
      <c r="N158" s="123">
        <f t="shared" si="46"/>
        <v>1.08</v>
      </c>
      <c r="O158" s="123">
        <f t="shared" si="46"/>
        <v>1.08</v>
      </c>
      <c r="P158" s="123">
        <f t="shared" si="46"/>
        <v>1.08</v>
      </c>
      <c r="Q158" s="123">
        <f t="shared" si="46"/>
        <v>1.08</v>
      </c>
      <c r="R158" s="123">
        <f t="shared" si="46"/>
        <v>1.08</v>
      </c>
      <c r="S158" s="123">
        <f t="shared" si="46"/>
        <v>1.08</v>
      </c>
      <c r="T158" s="123">
        <f t="shared" si="47"/>
        <v>1.08</v>
      </c>
      <c r="U158" s="123">
        <f t="shared" si="47"/>
        <v>1.08</v>
      </c>
      <c r="V158" s="123">
        <f t="shared" si="47"/>
        <v>1.08</v>
      </c>
      <c r="W158" s="123">
        <f t="shared" si="47"/>
        <v>1.08</v>
      </c>
      <c r="X158" s="123">
        <f t="shared" si="47"/>
        <v>1.08</v>
      </c>
      <c r="Y158" s="123">
        <f t="shared" si="47"/>
        <v>1.08</v>
      </c>
      <c r="Z158" s="123">
        <f t="shared" si="47"/>
        <v>1.08</v>
      </c>
      <c r="AA158" s="123">
        <f t="shared" si="47"/>
        <v>1.08</v>
      </c>
      <c r="AB158" s="123">
        <f t="shared" si="47"/>
        <v>1.08</v>
      </c>
      <c r="AC158" s="123">
        <f t="shared" si="47"/>
        <v>1.08</v>
      </c>
      <c r="AD158" s="123">
        <f t="shared" si="47"/>
        <v>1.08</v>
      </c>
      <c r="AE158" s="123">
        <f t="shared" si="47"/>
        <v>1.08</v>
      </c>
      <c r="AF158" s="123">
        <f t="shared" si="47"/>
        <v>1.08</v>
      </c>
      <c r="AG158" s="126">
        <v>3.75</v>
      </c>
      <c r="AH158" s="55"/>
      <c r="AI158" s="56"/>
      <c r="AK158" s="57"/>
    </row>
    <row r="159" spans="1:37" x14ac:dyDescent="0.25">
      <c r="A159" s="111" t="s">
        <v>163</v>
      </c>
      <c r="B159" s="123">
        <f t="shared" si="45"/>
        <v>2.37</v>
      </c>
      <c r="C159" s="124">
        <v>2.37</v>
      </c>
      <c r="D159" s="123">
        <f t="shared" si="46"/>
        <v>2.37</v>
      </c>
      <c r="E159" s="123">
        <f t="shared" si="46"/>
        <v>2.37</v>
      </c>
      <c r="F159" s="123">
        <f t="shared" si="46"/>
        <v>2.37</v>
      </c>
      <c r="G159" s="123">
        <f t="shared" si="46"/>
        <v>2.37</v>
      </c>
      <c r="H159" s="123">
        <f t="shared" si="46"/>
        <v>2.37</v>
      </c>
      <c r="I159" s="123">
        <f t="shared" si="46"/>
        <v>2.37</v>
      </c>
      <c r="J159" s="123">
        <f t="shared" si="46"/>
        <v>2.37</v>
      </c>
      <c r="K159" s="123">
        <f t="shared" si="46"/>
        <v>2.37</v>
      </c>
      <c r="L159" s="123">
        <f t="shared" si="46"/>
        <v>2.37</v>
      </c>
      <c r="M159" s="123">
        <f t="shared" si="46"/>
        <v>2.37</v>
      </c>
      <c r="N159" s="123">
        <f t="shared" si="46"/>
        <v>2.37</v>
      </c>
      <c r="O159" s="123">
        <f t="shared" si="46"/>
        <v>2.37</v>
      </c>
      <c r="P159" s="123">
        <f t="shared" si="46"/>
        <v>2.37</v>
      </c>
      <c r="Q159" s="123">
        <f t="shared" si="46"/>
        <v>2.37</v>
      </c>
      <c r="R159" s="123">
        <f t="shared" si="46"/>
        <v>2.37</v>
      </c>
      <c r="S159" s="123">
        <f t="shared" si="46"/>
        <v>2.37</v>
      </c>
      <c r="T159" s="123">
        <f t="shared" si="47"/>
        <v>2.37</v>
      </c>
      <c r="U159" s="123">
        <f t="shared" si="47"/>
        <v>2.37</v>
      </c>
      <c r="V159" s="123">
        <f t="shared" si="47"/>
        <v>2.37</v>
      </c>
      <c r="W159" s="123">
        <f t="shared" si="47"/>
        <v>2.37</v>
      </c>
      <c r="X159" s="123">
        <f t="shared" si="47"/>
        <v>2.37</v>
      </c>
      <c r="Y159" s="123">
        <f t="shared" si="47"/>
        <v>2.37</v>
      </c>
      <c r="Z159" s="123">
        <f t="shared" si="47"/>
        <v>2.37</v>
      </c>
      <c r="AA159" s="123">
        <f t="shared" si="47"/>
        <v>2.37</v>
      </c>
      <c r="AB159" s="123">
        <f t="shared" si="47"/>
        <v>2.37</v>
      </c>
      <c r="AC159" s="123">
        <f t="shared" si="47"/>
        <v>2.37</v>
      </c>
      <c r="AD159" s="123">
        <f t="shared" si="47"/>
        <v>2.37</v>
      </c>
      <c r="AE159" s="123">
        <f t="shared" si="47"/>
        <v>2.37</v>
      </c>
      <c r="AF159" s="123">
        <f t="shared" si="47"/>
        <v>2.37</v>
      </c>
      <c r="AG159" s="126">
        <v>3.52</v>
      </c>
      <c r="AH159" s="55"/>
      <c r="AI159" s="56"/>
      <c r="AK159" s="57"/>
    </row>
    <row r="160" spans="1:37" x14ac:dyDescent="0.25">
      <c r="A160" s="111" t="s">
        <v>164</v>
      </c>
      <c r="B160" s="123">
        <f t="shared" si="45"/>
        <v>1.81</v>
      </c>
      <c r="C160" s="124">
        <v>1.81</v>
      </c>
      <c r="D160" s="123">
        <f t="shared" si="46"/>
        <v>1.81</v>
      </c>
      <c r="E160" s="123">
        <f t="shared" si="46"/>
        <v>1.81</v>
      </c>
      <c r="F160" s="123">
        <f t="shared" si="46"/>
        <v>1.81</v>
      </c>
      <c r="G160" s="123">
        <f t="shared" si="46"/>
        <v>1.81</v>
      </c>
      <c r="H160" s="123">
        <f t="shared" si="46"/>
        <v>1.81</v>
      </c>
      <c r="I160" s="123">
        <f t="shared" si="46"/>
        <v>1.81</v>
      </c>
      <c r="J160" s="123">
        <f t="shared" si="46"/>
        <v>1.81</v>
      </c>
      <c r="K160" s="123">
        <f t="shared" si="46"/>
        <v>1.81</v>
      </c>
      <c r="L160" s="123">
        <f t="shared" si="46"/>
        <v>1.81</v>
      </c>
      <c r="M160" s="123">
        <f t="shared" si="46"/>
        <v>1.81</v>
      </c>
      <c r="N160" s="123">
        <f t="shared" si="46"/>
        <v>1.81</v>
      </c>
      <c r="O160" s="123">
        <f t="shared" si="46"/>
        <v>1.81</v>
      </c>
      <c r="P160" s="123">
        <f t="shared" si="46"/>
        <v>1.81</v>
      </c>
      <c r="Q160" s="123">
        <f t="shared" si="46"/>
        <v>1.81</v>
      </c>
      <c r="R160" s="123">
        <f t="shared" si="46"/>
        <v>1.81</v>
      </c>
      <c r="S160" s="123">
        <f t="shared" si="46"/>
        <v>1.81</v>
      </c>
      <c r="T160" s="123">
        <f t="shared" si="47"/>
        <v>1.81</v>
      </c>
      <c r="U160" s="123">
        <f t="shared" si="47"/>
        <v>1.81</v>
      </c>
      <c r="V160" s="123">
        <f t="shared" si="47"/>
        <v>1.81</v>
      </c>
      <c r="W160" s="123">
        <f t="shared" si="47"/>
        <v>1.81</v>
      </c>
      <c r="X160" s="123">
        <f t="shared" si="47"/>
        <v>1.81</v>
      </c>
      <c r="Y160" s="123">
        <f t="shared" si="47"/>
        <v>1.81</v>
      </c>
      <c r="Z160" s="123">
        <f t="shared" si="47"/>
        <v>1.81</v>
      </c>
      <c r="AA160" s="123">
        <f t="shared" si="47"/>
        <v>1.81</v>
      </c>
      <c r="AB160" s="123">
        <f t="shared" si="47"/>
        <v>1.81</v>
      </c>
      <c r="AC160" s="123">
        <f t="shared" si="47"/>
        <v>1.81</v>
      </c>
      <c r="AD160" s="123">
        <f t="shared" si="47"/>
        <v>1.81</v>
      </c>
      <c r="AE160" s="123">
        <f t="shared" si="47"/>
        <v>1.81</v>
      </c>
      <c r="AF160" s="123">
        <f t="shared" si="47"/>
        <v>1.81</v>
      </c>
      <c r="AG160" s="126">
        <v>3.33</v>
      </c>
      <c r="AH160" s="55"/>
      <c r="AI160" s="56"/>
      <c r="AK160" s="57"/>
    </row>
    <row r="161" spans="1:37" x14ac:dyDescent="0.25">
      <c r="A161" s="111" t="s">
        <v>165</v>
      </c>
      <c r="B161" s="123">
        <f t="shared" si="45"/>
        <v>1.0900000000000001</v>
      </c>
      <c r="C161" s="124">
        <v>1.0900000000000001</v>
      </c>
      <c r="D161" s="123">
        <f t="shared" si="46"/>
        <v>1.0900000000000001</v>
      </c>
      <c r="E161" s="123">
        <f t="shared" si="46"/>
        <v>1.0900000000000001</v>
      </c>
      <c r="F161" s="123">
        <f t="shared" si="46"/>
        <v>1.0900000000000001</v>
      </c>
      <c r="G161" s="123">
        <f t="shared" si="46"/>
        <v>1.0900000000000001</v>
      </c>
      <c r="H161" s="123">
        <f t="shared" si="46"/>
        <v>1.0900000000000001</v>
      </c>
      <c r="I161" s="123">
        <f t="shared" si="46"/>
        <v>1.0900000000000001</v>
      </c>
      <c r="J161" s="123">
        <f t="shared" si="46"/>
        <v>1.0900000000000001</v>
      </c>
      <c r="K161" s="123">
        <f t="shared" si="46"/>
        <v>1.0900000000000001</v>
      </c>
      <c r="L161" s="123">
        <f t="shared" si="46"/>
        <v>1.0900000000000001</v>
      </c>
      <c r="M161" s="123">
        <f t="shared" si="46"/>
        <v>1.0900000000000001</v>
      </c>
      <c r="N161" s="123">
        <f t="shared" si="46"/>
        <v>1.0900000000000001</v>
      </c>
      <c r="O161" s="123">
        <f t="shared" si="46"/>
        <v>1.0900000000000001</v>
      </c>
      <c r="P161" s="123">
        <f t="shared" si="46"/>
        <v>1.0900000000000001</v>
      </c>
      <c r="Q161" s="123">
        <f t="shared" si="46"/>
        <v>1.0900000000000001</v>
      </c>
      <c r="R161" s="123">
        <f t="shared" si="46"/>
        <v>1.0900000000000001</v>
      </c>
      <c r="S161" s="123">
        <f t="shared" si="46"/>
        <v>1.0900000000000001</v>
      </c>
      <c r="T161" s="123">
        <f t="shared" si="47"/>
        <v>1.0900000000000001</v>
      </c>
      <c r="U161" s="123">
        <f t="shared" si="47"/>
        <v>1.0900000000000001</v>
      </c>
      <c r="V161" s="123">
        <f t="shared" si="47"/>
        <v>1.0900000000000001</v>
      </c>
      <c r="W161" s="123">
        <f t="shared" si="47"/>
        <v>1.0900000000000001</v>
      </c>
      <c r="X161" s="123">
        <f t="shared" si="47"/>
        <v>1.0900000000000001</v>
      </c>
      <c r="Y161" s="123">
        <f t="shared" si="47"/>
        <v>1.0900000000000001</v>
      </c>
      <c r="Z161" s="123">
        <f t="shared" si="47"/>
        <v>1.0900000000000001</v>
      </c>
      <c r="AA161" s="123">
        <f t="shared" si="47"/>
        <v>1.0900000000000001</v>
      </c>
      <c r="AB161" s="123">
        <f t="shared" si="47"/>
        <v>1.0900000000000001</v>
      </c>
      <c r="AC161" s="123">
        <f t="shared" si="47"/>
        <v>1.0900000000000001</v>
      </c>
      <c r="AD161" s="123">
        <f t="shared" si="47"/>
        <v>1.0900000000000001</v>
      </c>
      <c r="AE161" s="123">
        <f t="shared" si="47"/>
        <v>1.0900000000000001</v>
      </c>
      <c r="AF161" s="123">
        <f t="shared" si="47"/>
        <v>1.0900000000000001</v>
      </c>
      <c r="AG161" s="126">
        <v>3.2</v>
      </c>
      <c r="AH161" s="55"/>
      <c r="AI161" s="56"/>
      <c r="AK161" s="57"/>
    </row>
    <row r="162" spans="1:37" x14ac:dyDescent="0.25">
      <c r="A162" s="111" t="s">
        <v>166</v>
      </c>
      <c r="B162" s="123">
        <f t="shared" si="45"/>
        <v>1.58</v>
      </c>
      <c r="C162" s="124">
        <v>1.58</v>
      </c>
      <c r="D162" s="123">
        <f t="shared" si="46"/>
        <v>1.58</v>
      </c>
      <c r="E162" s="123">
        <f t="shared" si="46"/>
        <v>1.58</v>
      </c>
      <c r="F162" s="123">
        <f t="shared" si="46"/>
        <v>1.58</v>
      </c>
      <c r="G162" s="123">
        <f t="shared" si="46"/>
        <v>1.58</v>
      </c>
      <c r="H162" s="123">
        <f t="shared" si="46"/>
        <v>1.58</v>
      </c>
      <c r="I162" s="123">
        <f t="shared" si="46"/>
        <v>1.58</v>
      </c>
      <c r="J162" s="123">
        <f t="shared" si="46"/>
        <v>1.58</v>
      </c>
      <c r="K162" s="123">
        <f t="shared" si="46"/>
        <v>1.58</v>
      </c>
      <c r="L162" s="123">
        <f t="shared" si="46"/>
        <v>1.58</v>
      </c>
      <c r="M162" s="123">
        <f t="shared" si="46"/>
        <v>1.58</v>
      </c>
      <c r="N162" s="123">
        <f t="shared" si="46"/>
        <v>1.58</v>
      </c>
      <c r="O162" s="123">
        <f t="shared" si="46"/>
        <v>1.58</v>
      </c>
      <c r="P162" s="123">
        <f t="shared" si="46"/>
        <v>1.58</v>
      </c>
      <c r="Q162" s="123">
        <f t="shared" si="46"/>
        <v>1.58</v>
      </c>
      <c r="R162" s="123">
        <f t="shared" si="46"/>
        <v>1.58</v>
      </c>
      <c r="S162" s="123">
        <f t="shared" si="46"/>
        <v>1.58</v>
      </c>
      <c r="T162" s="123">
        <f t="shared" si="47"/>
        <v>1.58</v>
      </c>
      <c r="U162" s="123">
        <f t="shared" si="47"/>
        <v>1.58</v>
      </c>
      <c r="V162" s="123">
        <f t="shared" si="47"/>
        <v>1.58</v>
      </c>
      <c r="W162" s="123">
        <f t="shared" si="47"/>
        <v>1.58</v>
      </c>
      <c r="X162" s="123">
        <f t="shared" si="47"/>
        <v>1.58</v>
      </c>
      <c r="Y162" s="123">
        <f t="shared" si="47"/>
        <v>1.58</v>
      </c>
      <c r="Z162" s="123">
        <f t="shared" si="47"/>
        <v>1.58</v>
      </c>
      <c r="AA162" s="123">
        <f t="shared" si="47"/>
        <v>1.58</v>
      </c>
      <c r="AB162" s="123">
        <f t="shared" si="47"/>
        <v>1.58</v>
      </c>
      <c r="AC162" s="123">
        <f t="shared" si="47"/>
        <v>1.58</v>
      </c>
      <c r="AD162" s="123">
        <f t="shared" si="47"/>
        <v>1.58</v>
      </c>
      <c r="AE162" s="123">
        <f t="shared" si="47"/>
        <v>1.58</v>
      </c>
      <c r="AF162" s="123">
        <f t="shared" si="47"/>
        <v>1.58</v>
      </c>
      <c r="AG162" s="126">
        <v>3</v>
      </c>
      <c r="AH162" s="55"/>
      <c r="AI162" s="56"/>
      <c r="AK162" s="57"/>
    </row>
    <row r="163" spans="1:37" x14ac:dyDescent="0.25">
      <c r="A163" s="111" t="s">
        <v>167</v>
      </c>
      <c r="B163" s="123">
        <f t="shared" si="45"/>
        <v>2</v>
      </c>
      <c r="C163" s="124">
        <v>2</v>
      </c>
      <c r="D163" s="123">
        <f t="shared" si="46"/>
        <v>2</v>
      </c>
      <c r="E163" s="123">
        <f t="shared" si="46"/>
        <v>2</v>
      </c>
      <c r="F163" s="123">
        <f t="shared" si="46"/>
        <v>2</v>
      </c>
      <c r="G163" s="123">
        <f t="shared" si="46"/>
        <v>2</v>
      </c>
      <c r="H163" s="123">
        <f t="shared" si="46"/>
        <v>2</v>
      </c>
      <c r="I163" s="123">
        <f t="shared" si="46"/>
        <v>2</v>
      </c>
      <c r="J163" s="123">
        <f t="shared" si="46"/>
        <v>2</v>
      </c>
      <c r="K163" s="123">
        <f t="shared" si="46"/>
        <v>2</v>
      </c>
      <c r="L163" s="123">
        <f t="shared" si="46"/>
        <v>2</v>
      </c>
      <c r="M163" s="123">
        <f t="shared" si="46"/>
        <v>2</v>
      </c>
      <c r="N163" s="123">
        <f t="shared" si="46"/>
        <v>2</v>
      </c>
      <c r="O163" s="123">
        <f t="shared" si="46"/>
        <v>2</v>
      </c>
      <c r="P163" s="123">
        <f t="shared" si="46"/>
        <v>2</v>
      </c>
      <c r="Q163" s="123">
        <f t="shared" si="46"/>
        <v>2</v>
      </c>
      <c r="R163" s="123">
        <f t="shared" si="46"/>
        <v>2</v>
      </c>
      <c r="S163" s="123">
        <f t="shared" si="46"/>
        <v>2</v>
      </c>
      <c r="T163" s="123">
        <f t="shared" si="47"/>
        <v>2</v>
      </c>
      <c r="U163" s="123">
        <f t="shared" si="47"/>
        <v>2</v>
      </c>
      <c r="V163" s="123">
        <f t="shared" si="47"/>
        <v>2</v>
      </c>
      <c r="W163" s="123">
        <f t="shared" si="47"/>
        <v>2</v>
      </c>
      <c r="X163" s="123">
        <f t="shared" si="47"/>
        <v>2</v>
      </c>
      <c r="Y163" s="123">
        <f t="shared" si="47"/>
        <v>2</v>
      </c>
      <c r="Z163" s="123">
        <f t="shared" si="47"/>
        <v>2</v>
      </c>
      <c r="AA163" s="123">
        <f t="shared" si="47"/>
        <v>2</v>
      </c>
      <c r="AB163" s="123">
        <f t="shared" si="47"/>
        <v>2</v>
      </c>
      <c r="AC163" s="123">
        <f t="shared" si="47"/>
        <v>2</v>
      </c>
      <c r="AD163" s="123">
        <f t="shared" si="47"/>
        <v>2</v>
      </c>
      <c r="AE163" s="123">
        <f t="shared" si="47"/>
        <v>2</v>
      </c>
      <c r="AF163" s="123">
        <f t="shared" si="47"/>
        <v>2</v>
      </c>
      <c r="AG163" s="126">
        <v>3</v>
      </c>
      <c r="AH163" s="55"/>
      <c r="AI163" s="56"/>
      <c r="AK163" s="57"/>
    </row>
    <row r="164" spans="1:37" x14ac:dyDescent="0.25">
      <c r="A164" s="111" t="s">
        <v>168</v>
      </c>
      <c r="B164" s="123">
        <f t="shared" si="45"/>
        <v>0.47</v>
      </c>
      <c r="C164" s="124">
        <v>0.47</v>
      </c>
      <c r="D164" s="123">
        <f t="shared" si="46"/>
        <v>0.47</v>
      </c>
      <c r="E164" s="123">
        <f t="shared" si="46"/>
        <v>0.47</v>
      </c>
      <c r="F164" s="123">
        <f t="shared" si="46"/>
        <v>0.47</v>
      </c>
      <c r="G164" s="123">
        <f t="shared" si="46"/>
        <v>0.47</v>
      </c>
      <c r="H164" s="123">
        <f t="shared" si="46"/>
        <v>0.47</v>
      </c>
      <c r="I164" s="123">
        <f t="shared" si="46"/>
        <v>0.47</v>
      </c>
      <c r="J164" s="123">
        <f t="shared" si="46"/>
        <v>0.47</v>
      </c>
      <c r="K164" s="123">
        <f t="shared" si="46"/>
        <v>0.47</v>
      </c>
      <c r="L164" s="123">
        <f t="shared" si="46"/>
        <v>0.47</v>
      </c>
      <c r="M164" s="123">
        <f t="shared" si="46"/>
        <v>0.47</v>
      </c>
      <c r="N164" s="123">
        <f t="shared" si="46"/>
        <v>0.47</v>
      </c>
      <c r="O164" s="123">
        <f t="shared" si="46"/>
        <v>0.47</v>
      </c>
      <c r="P164" s="123">
        <f t="shared" si="46"/>
        <v>0.47</v>
      </c>
      <c r="Q164" s="123">
        <f t="shared" si="46"/>
        <v>0.47</v>
      </c>
      <c r="R164" s="123">
        <f t="shared" si="46"/>
        <v>0.47</v>
      </c>
      <c r="S164" s="123">
        <f t="shared" si="46"/>
        <v>0.47</v>
      </c>
      <c r="T164" s="123">
        <f t="shared" si="47"/>
        <v>0.47</v>
      </c>
      <c r="U164" s="123">
        <f t="shared" si="47"/>
        <v>0.47</v>
      </c>
      <c r="V164" s="123">
        <f t="shared" si="47"/>
        <v>0.47</v>
      </c>
      <c r="W164" s="123">
        <f t="shared" si="47"/>
        <v>0.47</v>
      </c>
      <c r="X164" s="123">
        <f t="shared" si="47"/>
        <v>0.47</v>
      </c>
      <c r="Y164" s="123">
        <f t="shared" si="47"/>
        <v>0.47</v>
      </c>
      <c r="Z164" s="123">
        <f t="shared" si="47"/>
        <v>0.47</v>
      </c>
      <c r="AA164" s="123">
        <f t="shared" si="47"/>
        <v>0.47</v>
      </c>
      <c r="AB164" s="123">
        <f t="shared" si="47"/>
        <v>0.47</v>
      </c>
      <c r="AC164" s="123">
        <f t="shared" si="47"/>
        <v>0.47</v>
      </c>
      <c r="AD164" s="123">
        <f t="shared" si="47"/>
        <v>0.47</v>
      </c>
      <c r="AE164" s="123">
        <f t="shared" si="47"/>
        <v>0.47</v>
      </c>
      <c r="AF164" s="123">
        <f t="shared" si="47"/>
        <v>0.47</v>
      </c>
      <c r="AG164" s="126">
        <v>3</v>
      </c>
      <c r="AH164" s="55"/>
      <c r="AI164" s="56"/>
      <c r="AK164" s="57"/>
    </row>
    <row r="165" spans="1:37" x14ac:dyDescent="0.25">
      <c r="A165" s="111" t="s">
        <v>169</v>
      </c>
      <c r="B165" s="123">
        <f t="shared" si="45"/>
        <v>0</v>
      </c>
      <c r="C165" s="124">
        <v>0</v>
      </c>
      <c r="D165" s="123">
        <f t="shared" si="46"/>
        <v>0</v>
      </c>
      <c r="E165" s="123">
        <f t="shared" si="46"/>
        <v>0</v>
      </c>
      <c r="F165" s="123">
        <f t="shared" si="46"/>
        <v>0</v>
      </c>
      <c r="G165" s="123">
        <f t="shared" si="46"/>
        <v>0</v>
      </c>
      <c r="H165" s="123">
        <f t="shared" si="46"/>
        <v>0</v>
      </c>
      <c r="I165" s="123">
        <f t="shared" si="46"/>
        <v>0</v>
      </c>
      <c r="J165" s="123">
        <f t="shared" si="46"/>
        <v>0</v>
      </c>
      <c r="K165" s="123">
        <f t="shared" si="46"/>
        <v>0</v>
      </c>
      <c r="L165" s="123">
        <f t="shared" si="46"/>
        <v>0</v>
      </c>
      <c r="M165" s="123">
        <f t="shared" si="46"/>
        <v>0</v>
      </c>
      <c r="N165" s="123">
        <f t="shared" si="46"/>
        <v>0</v>
      </c>
      <c r="O165" s="123">
        <f t="shared" si="46"/>
        <v>0</v>
      </c>
      <c r="P165" s="123">
        <f t="shared" si="46"/>
        <v>0</v>
      </c>
      <c r="Q165" s="123">
        <f t="shared" si="46"/>
        <v>0</v>
      </c>
      <c r="R165" s="123">
        <f t="shared" si="46"/>
        <v>0</v>
      </c>
      <c r="S165" s="123">
        <f t="shared" si="46"/>
        <v>0</v>
      </c>
      <c r="T165" s="123">
        <f t="shared" si="47"/>
        <v>0</v>
      </c>
      <c r="U165" s="123">
        <f t="shared" si="47"/>
        <v>0</v>
      </c>
      <c r="V165" s="123">
        <f t="shared" si="47"/>
        <v>0</v>
      </c>
      <c r="W165" s="123">
        <f t="shared" si="47"/>
        <v>0</v>
      </c>
      <c r="X165" s="123">
        <f t="shared" si="47"/>
        <v>0</v>
      </c>
      <c r="Y165" s="123">
        <f t="shared" si="47"/>
        <v>0</v>
      </c>
      <c r="Z165" s="123">
        <f t="shared" si="47"/>
        <v>0</v>
      </c>
      <c r="AA165" s="123">
        <f t="shared" si="47"/>
        <v>0</v>
      </c>
      <c r="AB165" s="123">
        <f t="shared" si="47"/>
        <v>0</v>
      </c>
      <c r="AC165" s="123">
        <f t="shared" si="47"/>
        <v>0</v>
      </c>
      <c r="AD165" s="123">
        <f t="shared" si="47"/>
        <v>0</v>
      </c>
      <c r="AE165" s="123">
        <f t="shared" si="47"/>
        <v>0</v>
      </c>
      <c r="AF165" s="123">
        <f t="shared" si="47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170</v>
      </c>
      <c r="B166" s="123">
        <f t="shared" si="45"/>
        <v>0</v>
      </c>
      <c r="C166" s="124">
        <v>0</v>
      </c>
      <c r="D166" s="123">
        <f t="shared" si="46"/>
        <v>0</v>
      </c>
      <c r="E166" s="123">
        <f t="shared" si="46"/>
        <v>0</v>
      </c>
      <c r="F166" s="123">
        <f t="shared" si="46"/>
        <v>0</v>
      </c>
      <c r="G166" s="123">
        <f t="shared" si="46"/>
        <v>0</v>
      </c>
      <c r="H166" s="123">
        <f t="shared" si="46"/>
        <v>0</v>
      </c>
      <c r="I166" s="123">
        <f t="shared" si="46"/>
        <v>0</v>
      </c>
      <c r="J166" s="123">
        <f t="shared" si="46"/>
        <v>0</v>
      </c>
      <c r="K166" s="123">
        <f t="shared" si="46"/>
        <v>0</v>
      </c>
      <c r="L166" s="123">
        <f t="shared" si="46"/>
        <v>0</v>
      </c>
      <c r="M166" s="123">
        <f t="shared" si="46"/>
        <v>0</v>
      </c>
      <c r="N166" s="123">
        <f t="shared" si="46"/>
        <v>0</v>
      </c>
      <c r="O166" s="123">
        <f t="shared" si="46"/>
        <v>0</v>
      </c>
      <c r="P166" s="123">
        <f t="shared" si="46"/>
        <v>0</v>
      </c>
      <c r="Q166" s="123">
        <f t="shared" si="46"/>
        <v>0</v>
      </c>
      <c r="R166" s="123">
        <f t="shared" si="46"/>
        <v>0</v>
      </c>
      <c r="S166" s="123">
        <f t="shared" si="47"/>
        <v>0</v>
      </c>
      <c r="T166" s="123">
        <f t="shared" si="47"/>
        <v>0</v>
      </c>
      <c r="U166" s="123">
        <f t="shared" si="47"/>
        <v>0</v>
      </c>
      <c r="V166" s="123">
        <f t="shared" si="47"/>
        <v>0</v>
      </c>
      <c r="W166" s="123">
        <f t="shared" si="47"/>
        <v>0</v>
      </c>
      <c r="X166" s="123">
        <f t="shared" si="47"/>
        <v>0</v>
      </c>
      <c r="Y166" s="123">
        <f t="shared" si="47"/>
        <v>0</v>
      </c>
      <c r="Z166" s="123">
        <f t="shared" si="47"/>
        <v>0</v>
      </c>
      <c r="AA166" s="123">
        <f t="shared" si="47"/>
        <v>0</v>
      </c>
      <c r="AB166" s="123">
        <f t="shared" si="47"/>
        <v>0</v>
      </c>
      <c r="AC166" s="123">
        <f t="shared" si="47"/>
        <v>0</v>
      </c>
      <c r="AD166" s="123">
        <f t="shared" si="47"/>
        <v>0</v>
      </c>
      <c r="AE166" s="123">
        <f t="shared" si="47"/>
        <v>0</v>
      </c>
      <c r="AF166" s="123">
        <f t="shared" si="47"/>
        <v>0</v>
      </c>
      <c r="AG166" s="126">
        <v>3</v>
      </c>
      <c r="AH166" s="55"/>
      <c r="AI166" s="56"/>
      <c r="AK166" s="57"/>
    </row>
    <row r="167" spans="1:37" x14ac:dyDescent="0.25">
      <c r="A167" s="111" t="s">
        <v>171</v>
      </c>
      <c r="B167" s="123">
        <f t="shared" si="45"/>
        <v>0.8</v>
      </c>
      <c r="C167" s="124">
        <v>0.8</v>
      </c>
      <c r="D167" s="123">
        <f t="shared" si="46"/>
        <v>0.8</v>
      </c>
      <c r="E167" s="123">
        <f t="shared" si="46"/>
        <v>0.8</v>
      </c>
      <c r="F167" s="123">
        <f t="shared" si="46"/>
        <v>0.8</v>
      </c>
      <c r="G167" s="123">
        <f t="shared" si="46"/>
        <v>0.8</v>
      </c>
      <c r="H167" s="123">
        <f t="shared" si="46"/>
        <v>0.8</v>
      </c>
      <c r="I167" s="123">
        <f t="shared" si="46"/>
        <v>0.8</v>
      </c>
      <c r="J167" s="123">
        <f t="shared" si="46"/>
        <v>0.8</v>
      </c>
      <c r="K167" s="123">
        <f t="shared" si="46"/>
        <v>0.8</v>
      </c>
      <c r="L167" s="123">
        <f t="shared" si="46"/>
        <v>0.8</v>
      </c>
      <c r="M167" s="123">
        <f t="shared" si="46"/>
        <v>0.8</v>
      </c>
      <c r="N167" s="123">
        <f t="shared" si="46"/>
        <v>0.8</v>
      </c>
      <c r="O167" s="123">
        <f t="shared" si="46"/>
        <v>0.8</v>
      </c>
      <c r="P167" s="123">
        <f t="shared" si="46"/>
        <v>0.8</v>
      </c>
      <c r="Q167" s="123">
        <f t="shared" si="46"/>
        <v>0.8</v>
      </c>
      <c r="R167" s="123">
        <f t="shared" si="46"/>
        <v>0.8</v>
      </c>
      <c r="S167" s="123">
        <f t="shared" si="47"/>
        <v>0.8</v>
      </c>
      <c r="T167" s="123">
        <f t="shared" si="47"/>
        <v>0.8</v>
      </c>
      <c r="U167" s="123">
        <f t="shared" si="47"/>
        <v>0.8</v>
      </c>
      <c r="V167" s="123">
        <f t="shared" si="47"/>
        <v>0.8</v>
      </c>
      <c r="W167" s="123">
        <f t="shared" si="47"/>
        <v>0.8</v>
      </c>
      <c r="X167" s="123">
        <f t="shared" si="47"/>
        <v>0.8</v>
      </c>
      <c r="Y167" s="123">
        <f t="shared" si="47"/>
        <v>0.8</v>
      </c>
      <c r="Z167" s="123">
        <f t="shared" si="47"/>
        <v>0.8</v>
      </c>
      <c r="AA167" s="123">
        <f t="shared" si="47"/>
        <v>0.8</v>
      </c>
      <c r="AB167" s="123">
        <f t="shared" si="47"/>
        <v>0.8</v>
      </c>
      <c r="AC167" s="123">
        <f t="shared" si="47"/>
        <v>0.8</v>
      </c>
      <c r="AD167" s="123">
        <f t="shared" si="47"/>
        <v>0.8</v>
      </c>
      <c r="AE167" s="123">
        <f t="shared" si="47"/>
        <v>0.8</v>
      </c>
      <c r="AF167" s="123">
        <f t="shared" si="47"/>
        <v>0.8</v>
      </c>
      <c r="AG167" s="126">
        <v>3</v>
      </c>
      <c r="AH167" s="55"/>
      <c r="AI167" s="56"/>
      <c r="AK167" s="57"/>
    </row>
    <row r="168" spans="1:37" x14ac:dyDescent="0.25">
      <c r="A168" s="111" t="s">
        <v>172</v>
      </c>
      <c r="B168" s="123">
        <f t="shared" si="45"/>
        <v>1.5</v>
      </c>
      <c r="C168" s="124">
        <v>1.5</v>
      </c>
      <c r="D168" s="123">
        <f t="shared" si="46"/>
        <v>1.5</v>
      </c>
      <c r="E168" s="123">
        <f t="shared" si="46"/>
        <v>1.5</v>
      </c>
      <c r="F168" s="123">
        <f t="shared" si="46"/>
        <v>1.5</v>
      </c>
      <c r="G168" s="123">
        <f t="shared" si="46"/>
        <v>1.5</v>
      </c>
      <c r="H168" s="123">
        <f t="shared" si="46"/>
        <v>1.5</v>
      </c>
      <c r="I168" s="123">
        <f t="shared" si="46"/>
        <v>1.5</v>
      </c>
      <c r="J168" s="123">
        <f t="shared" si="46"/>
        <v>1.5</v>
      </c>
      <c r="K168" s="123">
        <f t="shared" si="46"/>
        <v>1.5</v>
      </c>
      <c r="L168" s="123">
        <f t="shared" si="46"/>
        <v>1.5</v>
      </c>
      <c r="M168" s="123">
        <f t="shared" si="46"/>
        <v>1.5</v>
      </c>
      <c r="N168" s="123">
        <f t="shared" si="46"/>
        <v>1.5</v>
      </c>
      <c r="O168" s="123">
        <f t="shared" si="46"/>
        <v>1.5</v>
      </c>
      <c r="P168" s="123">
        <f t="shared" si="46"/>
        <v>1.5</v>
      </c>
      <c r="Q168" s="123">
        <f t="shared" si="46"/>
        <v>1.5</v>
      </c>
      <c r="R168" s="123">
        <f t="shared" si="46"/>
        <v>1.5</v>
      </c>
      <c r="S168" s="123">
        <f t="shared" si="47"/>
        <v>1.5</v>
      </c>
      <c r="T168" s="123">
        <f t="shared" si="47"/>
        <v>1.5</v>
      </c>
      <c r="U168" s="123">
        <f t="shared" si="47"/>
        <v>1.5</v>
      </c>
      <c r="V168" s="123">
        <f t="shared" si="47"/>
        <v>1.5</v>
      </c>
      <c r="W168" s="123">
        <f t="shared" si="47"/>
        <v>1.5</v>
      </c>
      <c r="X168" s="123">
        <f t="shared" si="47"/>
        <v>1.5</v>
      </c>
      <c r="Y168" s="123">
        <f t="shared" si="47"/>
        <v>1.5</v>
      </c>
      <c r="Z168" s="123">
        <f t="shared" si="47"/>
        <v>1.5</v>
      </c>
      <c r="AA168" s="123">
        <f t="shared" si="47"/>
        <v>1.5</v>
      </c>
      <c r="AB168" s="123">
        <f t="shared" si="47"/>
        <v>1.5</v>
      </c>
      <c r="AC168" s="123">
        <f t="shared" si="47"/>
        <v>1.5</v>
      </c>
      <c r="AD168" s="123">
        <f t="shared" si="47"/>
        <v>1.5</v>
      </c>
      <c r="AE168" s="123">
        <f t="shared" si="47"/>
        <v>1.5</v>
      </c>
      <c r="AF168" s="123">
        <f t="shared" si="47"/>
        <v>1.5</v>
      </c>
      <c r="AG168" s="126">
        <v>3</v>
      </c>
      <c r="AH168" s="55"/>
      <c r="AI168" s="56"/>
      <c r="AK168" s="57"/>
    </row>
    <row r="169" spans="1:37" x14ac:dyDescent="0.25">
      <c r="A169" s="111" t="s">
        <v>173</v>
      </c>
      <c r="B169" s="123">
        <f t="shared" si="45"/>
        <v>1</v>
      </c>
      <c r="C169" s="124">
        <v>1</v>
      </c>
      <c r="D169" s="123">
        <f t="shared" si="46"/>
        <v>1</v>
      </c>
      <c r="E169" s="123">
        <f t="shared" si="46"/>
        <v>1</v>
      </c>
      <c r="F169" s="123">
        <f t="shared" si="46"/>
        <v>1</v>
      </c>
      <c r="G169" s="123">
        <f t="shared" si="46"/>
        <v>1</v>
      </c>
      <c r="H169" s="123">
        <f t="shared" si="46"/>
        <v>1</v>
      </c>
      <c r="I169" s="123">
        <f t="shared" si="46"/>
        <v>1</v>
      </c>
      <c r="J169" s="123">
        <f t="shared" si="46"/>
        <v>1</v>
      </c>
      <c r="K169" s="123">
        <f t="shared" si="46"/>
        <v>1</v>
      </c>
      <c r="L169" s="123">
        <f t="shared" si="46"/>
        <v>1</v>
      </c>
      <c r="M169" s="123">
        <f t="shared" si="46"/>
        <v>1</v>
      </c>
      <c r="N169" s="123">
        <f t="shared" si="46"/>
        <v>1</v>
      </c>
      <c r="O169" s="123">
        <f t="shared" si="46"/>
        <v>1</v>
      </c>
      <c r="P169" s="123">
        <f t="shared" si="46"/>
        <v>1</v>
      </c>
      <c r="Q169" s="123">
        <f t="shared" si="46"/>
        <v>1</v>
      </c>
      <c r="R169" s="123">
        <f t="shared" si="46"/>
        <v>1</v>
      </c>
      <c r="S169" s="123">
        <f t="shared" si="47"/>
        <v>1</v>
      </c>
      <c r="T169" s="123">
        <f t="shared" si="47"/>
        <v>1</v>
      </c>
      <c r="U169" s="123">
        <f t="shared" si="47"/>
        <v>1</v>
      </c>
      <c r="V169" s="123">
        <f t="shared" si="47"/>
        <v>1</v>
      </c>
      <c r="W169" s="123">
        <f t="shared" si="47"/>
        <v>1</v>
      </c>
      <c r="X169" s="123">
        <f t="shared" si="47"/>
        <v>1</v>
      </c>
      <c r="Y169" s="123">
        <f t="shared" si="47"/>
        <v>1</v>
      </c>
      <c r="Z169" s="123">
        <f t="shared" si="47"/>
        <v>1</v>
      </c>
      <c r="AA169" s="123">
        <f t="shared" si="47"/>
        <v>1</v>
      </c>
      <c r="AB169" s="123">
        <f t="shared" si="47"/>
        <v>1</v>
      </c>
      <c r="AC169" s="123">
        <f t="shared" si="47"/>
        <v>1</v>
      </c>
      <c r="AD169" s="123">
        <f t="shared" si="47"/>
        <v>1</v>
      </c>
      <c r="AE169" s="123">
        <f t="shared" si="47"/>
        <v>1</v>
      </c>
      <c r="AF169" s="123">
        <f t="shared" si="47"/>
        <v>1</v>
      </c>
      <c r="AG169" s="126">
        <v>3</v>
      </c>
      <c r="AH169" s="55"/>
      <c r="AI169" s="56"/>
      <c r="AK169" s="57"/>
    </row>
    <row r="170" spans="1:37" x14ac:dyDescent="0.25">
      <c r="A170" s="111" t="s">
        <v>174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5"/>
      <c r="AI170" s="56"/>
      <c r="AK170" s="57"/>
    </row>
    <row r="171" spans="1:37" x14ac:dyDescent="0.25">
      <c r="A171" s="111" t="s">
        <v>175</v>
      </c>
      <c r="B171" s="123">
        <f t="shared" ref="B171:B178" si="48">AF171</f>
        <v>1</v>
      </c>
      <c r="C171" s="124">
        <v>1</v>
      </c>
      <c r="D171" s="123">
        <f t="shared" ref="D171:S178" si="49">C171</f>
        <v>1</v>
      </c>
      <c r="E171" s="123">
        <f t="shared" si="49"/>
        <v>1</v>
      </c>
      <c r="F171" s="123">
        <f t="shared" si="49"/>
        <v>1</v>
      </c>
      <c r="G171" s="123">
        <f t="shared" si="49"/>
        <v>1</v>
      </c>
      <c r="H171" s="123">
        <f t="shared" si="49"/>
        <v>1</v>
      </c>
      <c r="I171" s="123">
        <f t="shared" si="49"/>
        <v>1</v>
      </c>
      <c r="J171" s="123">
        <f t="shared" si="49"/>
        <v>1</v>
      </c>
      <c r="K171" s="123">
        <f t="shared" si="49"/>
        <v>1</v>
      </c>
      <c r="L171" s="123">
        <f t="shared" si="49"/>
        <v>1</v>
      </c>
      <c r="M171" s="123">
        <f t="shared" si="49"/>
        <v>1</v>
      </c>
      <c r="N171" s="123">
        <f t="shared" si="49"/>
        <v>1</v>
      </c>
      <c r="O171" s="123">
        <f t="shared" si="49"/>
        <v>1</v>
      </c>
      <c r="P171" s="123">
        <f t="shared" si="49"/>
        <v>1</v>
      </c>
      <c r="Q171" s="123">
        <f t="shared" si="49"/>
        <v>1</v>
      </c>
      <c r="R171" s="123">
        <f t="shared" si="49"/>
        <v>1</v>
      </c>
      <c r="S171" s="123">
        <f t="shared" si="49"/>
        <v>1</v>
      </c>
      <c r="T171" s="123">
        <f t="shared" ref="S171:AF178" si="50">S171</f>
        <v>1</v>
      </c>
      <c r="U171" s="123">
        <f t="shared" si="50"/>
        <v>1</v>
      </c>
      <c r="V171" s="123">
        <f t="shared" si="50"/>
        <v>1</v>
      </c>
      <c r="W171" s="123">
        <f t="shared" si="50"/>
        <v>1</v>
      </c>
      <c r="X171" s="123">
        <f t="shared" si="50"/>
        <v>1</v>
      </c>
      <c r="Y171" s="123">
        <f t="shared" si="50"/>
        <v>1</v>
      </c>
      <c r="Z171" s="123">
        <f t="shared" si="50"/>
        <v>1</v>
      </c>
      <c r="AA171" s="123">
        <f t="shared" si="50"/>
        <v>1</v>
      </c>
      <c r="AB171" s="123">
        <f t="shared" si="50"/>
        <v>1</v>
      </c>
      <c r="AC171" s="123">
        <f t="shared" si="50"/>
        <v>1</v>
      </c>
      <c r="AD171" s="123">
        <f t="shared" si="50"/>
        <v>1</v>
      </c>
      <c r="AE171" s="123">
        <f t="shared" si="50"/>
        <v>1</v>
      </c>
      <c r="AF171" s="123">
        <f t="shared" si="50"/>
        <v>1</v>
      </c>
      <c r="AG171" s="126">
        <v>2.5</v>
      </c>
      <c r="AH171" s="55"/>
      <c r="AI171" s="56"/>
      <c r="AK171" s="57"/>
    </row>
    <row r="172" spans="1:37" x14ac:dyDescent="0.25">
      <c r="A172" s="111" t="s">
        <v>176</v>
      </c>
      <c r="B172" s="123">
        <f t="shared" si="48"/>
        <v>0.42</v>
      </c>
      <c r="C172" s="124">
        <v>0.42</v>
      </c>
      <c r="D172" s="123">
        <f t="shared" si="49"/>
        <v>0.42</v>
      </c>
      <c r="E172" s="123">
        <f t="shared" si="49"/>
        <v>0.42</v>
      </c>
      <c r="F172" s="123">
        <f t="shared" si="49"/>
        <v>0.42</v>
      </c>
      <c r="G172" s="123">
        <f t="shared" si="49"/>
        <v>0.42</v>
      </c>
      <c r="H172" s="123">
        <f t="shared" si="49"/>
        <v>0.42</v>
      </c>
      <c r="I172" s="123">
        <f t="shared" si="49"/>
        <v>0.42</v>
      </c>
      <c r="J172" s="123">
        <f t="shared" si="49"/>
        <v>0.42</v>
      </c>
      <c r="K172" s="123">
        <f t="shared" si="49"/>
        <v>0.42</v>
      </c>
      <c r="L172" s="123">
        <f t="shared" si="49"/>
        <v>0.42</v>
      </c>
      <c r="M172" s="123">
        <f t="shared" si="49"/>
        <v>0.42</v>
      </c>
      <c r="N172" s="123">
        <f t="shared" si="49"/>
        <v>0.42</v>
      </c>
      <c r="O172" s="123">
        <f t="shared" si="49"/>
        <v>0.42</v>
      </c>
      <c r="P172" s="123">
        <f t="shared" si="49"/>
        <v>0.42</v>
      </c>
      <c r="Q172" s="123">
        <f t="shared" si="49"/>
        <v>0.42</v>
      </c>
      <c r="R172" s="123">
        <f t="shared" si="49"/>
        <v>0.42</v>
      </c>
      <c r="S172" s="123">
        <f t="shared" si="50"/>
        <v>0.42</v>
      </c>
      <c r="T172" s="123">
        <f t="shared" si="50"/>
        <v>0.42</v>
      </c>
      <c r="U172" s="123">
        <f t="shared" si="50"/>
        <v>0.42</v>
      </c>
      <c r="V172" s="123">
        <f t="shared" si="50"/>
        <v>0.42</v>
      </c>
      <c r="W172" s="123">
        <f t="shared" si="50"/>
        <v>0.42</v>
      </c>
      <c r="X172" s="123">
        <f t="shared" si="50"/>
        <v>0.42</v>
      </c>
      <c r="Y172" s="123">
        <f t="shared" si="50"/>
        <v>0.42</v>
      </c>
      <c r="Z172" s="123">
        <f t="shared" si="50"/>
        <v>0.42</v>
      </c>
      <c r="AA172" s="123">
        <f t="shared" si="50"/>
        <v>0.42</v>
      </c>
      <c r="AB172" s="123">
        <f t="shared" si="50"/>
        <v>0.42</v>
      </c>
      <c r="AC172" s="123">
        <f t="shared" si="50"/>
        <v>0.42</v>
      </c>
      <c r="AD172" s="123">
        <f t="shared" si="50"/>
        <v>0.42</v>
      </c>
      <c r="AE172" s="123">
        <f t="shared" si="50"/>
        <v>0.42</v>
      </c>
      <c r="AF172" s="123">
        <f t="shared" si="50"/>
        <v>0.42</v>
      </c>
      <c r="AG172" s="126">
        <v>2.5</v>
      </c>
      <c r="AH172" s="55"/>
      <c r="AI172" s="56"/>
      <c r="AK172" s="57"/>
    </row>
    <row r="173" spans="1:37" x14ac:dyDescent="0.25">
      <c r="A173" s="111" t="s">
        <v>177</v>
      </c>
      <c r="B173" s="123">
        <f t="shared" si="48"/>
        <v>0.46</v>
      </c>
      <c r="C173" s="124">
        <v>0.46</v>
      </c>
      <c r="D173" s="123">
        <f t="shared" si="49"/>
        <v>0.46</v>
      </c>
      <c r="E173" s="123">
        <f t="shared" si="49"/>
        <v>0.46</v>
      </c>
      <c r="F173" s="123">
        <f t="shared" si="49"/>
        <v>0.46</v>
      </c>
      <c r="G173" s="123">
        <f t="shared" si="49"/>
        <v>0.46</v>
      </c>
      <c r="H173" s="123">
        <f t="shared" si="49"/>
        <v>0.46</v>
      </c>
      <c r="I173" s="123">
        <f t="shared" si="49"/>
        <v>0.46</v>
      </c>
      <c r="J173" s="123">
        <f t="shared" si="49"/>
        <v>0.46</v>
      </c>
      <c r="K173" s="123">
        <f t="shared" si="49"/>
        <v>0.46</v>
      </c>
      <c r="L173" s="123">
        <f t="shared" si="49"/>
        <v>0.46</v>
      </c>
      <c r="M173" s="123">
        <f t="shared" si="49"/>
        <v>0.46</v>
      </c>
      <c r="N173" s="123">
        <f t="shared" si="49"/>
        <v>0.46</v>
      </c>
      <c r="O173" s="123">
        <f t="shared" si="49"/>
        <v>0.46</v>
      </c>
      <c r="P173" s="123">
        <f t="shared" si="49"/>
        <v>0.46</v>
      </c>
      <c r="Q173" s="123">
        <f t="shared" si="49"/>
        <v>0.46</v>
      </c>
      <c r="R173" s="123">
        <f t="shared" si="49"/>
        <v>0.46</v>
      </c>
      <c r="S173" s="123">
        <f t="shared" si="50"/>
        <v>0.46</v>
      </c>
      <c r="T173" s="123">
        <f t="shared" si="50"/>
        <v>0.46</v>
      </c>
      <c r="U173" s="123">
        <f t="shared" si="50"/>
        <v>0.46</v>
      </c>
      <c r="V173" s="123">
        <f t="shared" si="50"/>
        <v>0.46</v>
      </c>
      <c r="W173" s="123">
        <f t="shared" si="50"/>
        <v>0.46</v>
      </c>
      <c r="X173" s="123">
        <f t="shared" si="50"/>
        <v>0.46</v>
      </c>
      <c r="Y173" s="123">
        <f t="shared" si="50"/>
        <v>0.46</v>
      </c>
      <c r="Z173" s="123">
        <f t="shared" si="50"/>
        <v>0.46</v>
      </c>
      <c r="AA173" s="123">
        <f t="shared" si="50"/>
        <v>0.46</v>
      </c>
      <c r="AB173" s="123">
        <f t="shared" si="50"/>
        <v>0.46</v>
      </c>
      <c r="AC173" s="123">
        <f t="shared" si="50"/>
        <v>0.46</v>
      </c>
      <c r="AD173" s="123">
        <f t="shared" si="50"/>
        <v>0.46</v>
      </c>
      <c r="AE173" s="123">
        <f t="shared" si="50"/>
        <v>0.46</v>
      </c>
      <c r="AF173" s="123">
        <f t="shared" si="50"/>
        <v>0.46</v>
      </c>
      <c r="AG173" s="126">
        <v>2.4</v>
      </c>
      <c r="AH173" s="55"/>
      <c r="AI173" s="56"/>
      <c r="AK173" s="57"/>
    </row>
    <row r="174" spans="1:37" x14ac:dyDescent="0.25">
      <c r="A174" s="111" t="s">
        <v>178</v>
      </c>
      <c r="B174" s="123">
        <f t="shared" si="48"/>
        <v>0.85</v>
      </c>
      <c r="C174" s="124">
        <v>0.85</v>
      </c>
      <c r="D174" s="123">
        <f t="shared" si="49"/>
        <v>0.85</v>
      </c>
      <c r="E174" s="123">
        <f t="shared" si="49"/>
        <v>0.85</v>
      </c>
      <c r="F174" s="123">
        <f t="shared" si="49"/>
        <v>0.85</v>
      </c>
      <c r="G174" s="123">
        <f t="shared" si="49"/>
        <v>0.85</v>
      </c>
      <c r="H174" s="123">
        <f t="shared" si="49"/>
        <v>0.85</v>
      </c>
      <c r="I174" s="123">
        <f t="shared" si="49"/>
        <v>0.85</v>
      </c>
      <c r="J174" s="123">
        <f t="shared" si="49"/>
        <v>0.85</v>
      </c>
      <c r="K174" s="123">
        <f t="shared" si="49"/>
        <v>0.85</v>
      </c>
      <c r="L174" s="123">
        <f t="shared" si="49"/>
        <v>0.85</v>
      </c>
      <c r="M174" s="123">
        <f t="shared" si="49"/>
        <v>0.85</v>
      </c>
      <c r="N174" s="123">
        <f t="shared" si="49"/>
        <v>0.85</v>
      </c>
      <c r="O174" s="123">
        <f t="shared" si="49"/>
        <v>0.85</v>
      </c>
      <c r="P174" s="123">
        <f t="shared" si="49"/>
        <v>0.85</v>
      </c>
      <c r="Q174" s="123">
        <f t="shared" si="49"/>
        <v>0.85</v>
      </c>
      <c r="R174" s="123">
        <f t="shared" si="49"/>
        <v>0.85</v>
      </c>
      <c r="S174" s="123">
        <f t="shared" si="50"/>
        <v>0.85</v>
      </c>
      <c r="T174" s="123">
        <f t="shared" si="50"/>
        <v>0.85</v>
      </c>
      <c r="U174" s="123">
        <f t="shared" si="50"/>
        <v>0.85</v>
      </c>
      <c r="V174" s="123">
        <f t="shared" si="50"/>
        <v>0.85</v>
      </c>
      <c r="W174" s="123">
        <f t="shared" si="50"/>
        <v>0.85</v>
      </c>
      <c r="X174" s="123">
        <f t="shared" si="50"/>
        <v>0.85</v>
      </c>
      <c r="Y174" s="123">
        <f t="shared" si="50"/>
        <v>0.85</v>
      </c>
      <c r="Z174" s="123">
        <f t="shared" si="50"/>
        <v>0.85</v>
      </c>
      <c r="AA174" s="123">
        <f t="shared" si="50"/>
        <v>0.85</v>
      </c>
      <c r="AB174" s="123">
        <f t="shared" si="50"/>
        <v>0.85</v>
      </c>
      <c r="AC174" s="123">
        <f t="shared" si="50"/>
        <v>0.85</v>
      </c>
      <c r="AD174" s="123">
        <f t="shared" si="50"/>
        <v>0.85</v>
      </c>
      <c r="AE174" s="123">
        <f t="shared" si="50"/>
        <v>0.85</v>
      </c>
      <c r="AF174" s="123">
        <f t="shared" si="50"/>
        <v>0.85</v>
      </c>
      <c r="AG174" s="126">
        <v>2.4</v>
      </c>
      <c r="AH174" s="55"/>
      <c r="AI174" s="56"/>
      <c r="AK174" s="57"/>
    </row>
    <row r="175" spans="1:37" x14ac:dyDescent="0.25">
      <c r="A175" s="111" t="s">
        <v>179</v>
      </c>
      <c r="B175" s="123">
        <f t="shared" si="48"/>
        <v>0.9</v>
      </c>
      <c r="C175" s="124">
        <v>0.9</v>
      </c>
      <c r="D175" s="123">
        <f t="shared" si="49"/>
        <v>0.9</v>
      </c>
      <c r="E175" s="123">
        <f t="shared" si="49"/>
        <v>0.9</v>
      </c>
      <c r="F175" s="123">
        <f t="shared" si="49"/>
        <v>0.9</v>
      </c>
      <c r="G175" s="123">
        <f t="shared" si="49"/>
        <v>0.9</v>
      </c>
      <c r="H175" s="123">
        <f t="shared" si="49"/>
        <v>0.9</v>
      </c>
      <c r="I175" s="123">
        <f t="shared" si="49"/>
        <v>0.9</v>
      </c>
      <c r="J175" s="123">
        <f t="shared" si="49"/>
        <v>0.9</v>
      </c>
      <c r="K175" s="123">
        <f t="shared" si="49"/>
        <v>0.9</v>
      </c>
      <c r="L175" s="123">
        <f t="shared" si="49"/>
        <v>0.9</v>
      </c>
      <c r="M175" s="123">
        <f t="shared" si="49"/>
        <v>0.9</v>
      </c>
      <c r="N175" s="123">
        <f t="shared" si="49"/>
        <v>0.9</v>
      </c>
      <c r="O175" s="123">
        <f t="shared" si="49"/>
        <v>0.9</v>
      </c>
      <c r="P175" s="123">
        <f t="shared" si="49"/>
        <v>0.9</v>
      </c>
      <c r="Q175" s="123">
        <f t="shared" si="49"/>
        <v>0.9</v>
      </c>
      <c r="R175" s="123">
        <f t="shared" si="49"/>
        <v>0.9</v>
      </c>
      <c r="S175" s="123">
        <f t="shared" si="50"/>
        <v>0.9</v>
      </c>
      <c r="T175" s="123">
        <f t="shared" si="50"/>
        <v>0.9</v>
      </c>
      <c r="U175" s="123">
        <f t="shared" si="50"/>
        <v>0.9</v>
      </c>
      <c r="V175" s="123">
        <f t="shared" si="50"/>
        <v>0.9</v>
      </c>
      <c r="W175" s="123">
        <f t="shared" si="50"/>
        <v>0.9</v>
      </c>
      <c r="X175" s="123">
        <f t="shared" si="50"/>
        <v>0.9</v>
      </c>
      <c r="Y175" s="123">
        <f t="shared" si="50"/>
        <v>0.9</v>
      </c>
      <c r="Z175" s="123">
        <f t="shared" si="50"/>
        <v>0.9</v>
      </c>
      <c r="AA175" s="123">
        <f t="shared" si="50"/>
        <v>0.9</v>
      </c>
      <c r="AB175" s="123">
        <f t="shared" si="50"/>
        <v>0.9</v>
      </c>
      <c r="AC175" s="123">
        <f t="shared" si="50"/>
        <v>0.9</v>
      </c>
      <c r="AD175" s="123">
        <f t="shared" si="50"/>
        <v>0.9</v>
      </c>
      <c r="AE175" s="123">
        <f t="shared" si="50"/>
        <v>0.9</v>
      </c>
      <c r="AF175" s="123">
        <f t="shared" si="50"/>
        <v>0.9</v>
      </c>
      <c r="AG175" s="126">
        <v>2.2000000000000002</v>
      </c>
      <c r="AH175" s="55"/>
      <c r="AI175" s="56"/>
      <c r="AK175" s="57"/>
    </row>
    <row r="176" spans="1:37" x14ac:dyDescent="0.25">
      <c r="A176" s="111" t="s">
        <v>180</v>
      </c>
      <c r="B176" s="123">
        <f t="shared" si="48"/>
        <v>0.44</v>
      </c>
      <c r="C176" s="124">
        <v>0.44</v>
      </c>
      <c r="D176" s="123">
        <f t="shared" si="49"/>
        <v>0.44</v>
      </c>
      <c r="E176" s="123">
        <f t="shared" si="49"/>
        <v>0.44</v>
      </c>
      <c r="F176" s="123">
        <f t="shared" si="49"/>
        <v>0.44</v>
      </c>
      <c r="G176" s="123">
        <f t="shared" si="49"/>
        <v>0.44</v>
      </c>
      <c r="H176" s="123">
        <f t="shared" si="49"/>
        <v>0.44</v>
      </c>
      <c r="I176" s="123">
        <f t="shared" si="49"/>
        <v>0.44</v>
      </c>
      <c r="J176" s="123">
        <f t="shared" si="49"/>
        <v>0.44</v>
      </c>
      <c r="K176" s="123">
        <f t="shared" si="49"/>
        <v>0.44</v>
      </c>
      <c r="L176" s="123">
        <f t="shared" si="49"/>
        <v>0.44</v>
      </c>
      <c r="M176" s="123">
        <f t="shared" si="49"/>
        <v>0.44</v>
      </c>
      <c r="N176" s="123">
        <f t="shared" si="49"/>
        <v>0.44</v>
      </c>
      <c r="O176" s="123">
        <f t="shared" si="49"/>
        <v>0.44</v>
      </c>
      <c r="P176" s="123">
        <f t="shared" si="49"/>
        <v>0.44</v>
      </c>
      <c r="Q176" s="123">
        <f t="shared" si="49"/>
        <v>0.44</v>
      </c>
      <c r="R176" s="123">
        <f t="shared" si="49"/>
        <v>0.44</v>
      </c>
      <c r="S176" s="123">
        <f t="shared" si="50"/>
        <v>0.44</v>
      </c>
      <c r="T176" s="123">
        <f t="shared" si="50"/>
        <v>0.44</v>
      </c>
      <c r="U176" s="123">
        <f t="shared" si="50"/>
        <v>0.44</v>
      </c>
      <c r="V176" s="123">
        <f t="shared" si="50"/>
        <v>0.44</v>
      </c>
      <c r="W176" s="123">
        <f t="shared" si="50"/>
        <v>0.44</v>
      </c>
      <c r="X176" s="123">
        <f t="shared" si="50"/>
        <v>0.44</v>
      </c>
      <c r="Y176" s="123">
        <f t="shared" si="50"/>
        <v>0.44</v>
      </c>
      <c r="Z176" s="123">
        <f t="shared" si="50"/>
        <v>0.44</v>
      </c>
      <c r="AA176" s="123">
        <f t="shared" si="50"/>
        <v>0.44</v>
      </c>
      <c r="AB176" s="123">
        <f t="shared" si="50"/>
        <v>0.44</v>
      </c>
      <c r="AC176" s="123">
        <f t="shared" si="50"/>
        <v>0.44</v>
      </c>
      <c r="AD176" s="123">
        <f t="shared" si="50"/>
        <v>0.44</v>
      </c>
      <c r="AE176" s="123">
        <f t="shared" si="50"/>
        <v>0.44</v>
      </c>
      <c r="AF176" s="123">
        <f t="shared" si="50"/>
        <v>0.44</v>
      </c>
      <c r="AG176" s="126">
        <v>2</v>
      </c>
      <c r="AH176" s="55"/>
      <c r="AI176" s="56"/>
      <c r="AK176" s="57"/>
    </row>
    <row r="177" spans="1:37" x14ac:dyDescent="0.25">
      <c r="A177" s="111" t="s">
        <v>181</v>
      </c>
      <c r="B177" s="123">
        <f t="shared" si="48"/>
        <v>2.1</v>
      </c>
      <c r="C177" s="124">
        <v>2.1</v>
      </c>
      <c r="D177" s="123">
        <f t="shared" si="49"/>
        <v>2.1</v>
      </c>
      <c r="E177" s="123">
        <f t="shared" si="49"/>
        <v>2.1</v>
      </c>
      <c r="F177" s="123">
        <f t="shared" si="49"/>
        <v>2.1</v>
      </c>
      <c r="G177" s="123">
        <f t="shared" si="49"/>
        <v>2.1</v>
      </c>
      <c r="H177" s="123">
        <f t="shared" si="49"/>
        <v>2.1</v>
      </c>
      <c r="I177" s="123">
        <f t="shared" si="49"/>
        <v>2.1</v>
      </c>
      <c r="J177" s="123">
        <f t="shared" si="49"/>
        <v>2.1</v>
      </c>
      <c r="K177" s="123">
        <f t="shared" si="49"/>
        <v>2.1</v>
      </c>
      <c r="L177" s="123">
        <f t="shared" si="49"/>
        <v>2.1</v>
      </c>
      <c r="M177" s="123">
        <f t="shared" si="49"/>
        <v>2.1</v>
      </c>
      <c r="N177" s="123">
        <f t="shared" si="49"/>
        <v>2.1</v>
      </c>
      <c r="O177" s="123">
        <f t="shared" si="49"/>
        <v>2.1</v>
      </c>
      <c r="P177" s="123">
        <f t="shared" si="49"/>
        <v>2.1</v>
      </c>
      <c r="Q177" s="123">
        <f t="shared" si="49"/>
        <v>2.1</v>
      </c>
      <c r="R177" s="123">
        <f t="shared" si="49"/>
        <v>2.1</v>
      </c>
      <c r="S177" s="123">
        <f t="shared" si="50"/>
        <v>2.1</v>
      </c>
      <c r="T177" s="123">
        <f t="shared" si="50"/>
        <v>2.1</v>
      </c>
      <c r="U177" s="123">
        <f t="shared" si="50"/>
        <v>2.1</v>
      </c>
      <c r="V177" s="123">
        <f t="shared" si="50"/>
        <v>2.1</v>
      </c>
      <c r="W177" s="123">
        <f t="shared" si="50"/>
        <v>2.1</v>
      </c>
      <c r="X177" s="123">
        <f t="shared" si="50"/>
        <v>2.1</v>
      </c>
      <c r="Y177" s="123">
        <f t="shared" si="50"/>
        <v>2.1</v>
      </c>
      <c r="Z177" s="123">
        <f t="shared" si="50"/>
        <v>2.1</v>
      </c>
      <c r="AA177" s="123">
        <f t="shared" si="50"/>
        <v>2.1</v>
      </c>
      <c r="AB177" s="123">
        <f t="shared" si="50"/>
        <v>2.1</v>
      </c>
      <c r="AC177" s="123">
        <f t="shared" si="50"/>
        <v>2.1</v>
      </c>
      <c r="AD177" s="123">
        <f t="shared" si="50"/>
        <v>2.1</v>
      </c>
      <c r="AE177" s="123">
        <f t="shared" si="50"/>
        <v>2.1</v>
      </c>
      <c r="AF177" s="123">
        <f t="shared" si="50"/>
        <v>2.1</v>
      </c>
      <c r="AG177" s="126">
        <v>2</v>
      </c>
      <c r="AH177" s="55"/>
      <c r="AI177" s="56"/>
      <c r="AK177" s="57"/>
    </row>
    <row r="178" spans="1:37" x14ac:dyDescent="0.25">
      <c r="A178" s="111" t="s">
        <v>182</v>
      </c>
      <c r="B178" s="123">
        <f t="shared" si="48"/>
        <v>0.9</v>
      </c>
      <c r="C178" s="124">
        <v>0.9</v>
      </c>
      <c r="D178" s="123">
        <f t="shared" si="49"/>
        <v>0.9</v>
      </c>
      <c r="E178" s="123">
        <f t="shared" si="49"/>
        <v>0.9</v>
      </c>
      <c r="F178" s="123">
        <f t="shared" si="49"/>
        <v>0.9</v>
      </c>
      <c r="G178" s="123">
        <f t="shared" si="49"/>
        <v>0.9</v>
      </c>
      <c r="H178" s="123">
        <f t="shared" si="49"/>
        <v>0.9</v>
      </c>
      <c r="I178" s="123">
        <f t="shared" si="49"/>
        <v>0.9</v>
      </c>
      <c r="J178" s="123">
        <f t="shared" si="49"/>
        <v>0.9</v>
      </c>
      <c r="K178" s="123">
        <f t="shared" si="49"/>
        <v>0.9</v>
      </c>
      <c r="L178" s="123">
        <f t="shared" si="49"/>
        <v>0.9</v>
      </c>
      <c r="M178" s="123">
        <f t="shared" si="49"/>
        <v>0.9</v>
      </c>
      <c r="N178" s="123">
        <f t="shared" si="49"/>
        <v>0.9</v>
      </c>
      <c r="O178" s="123">
        <f t="shared" si="49"/>
        <v>0.9</v>
      </c>
      <c r="P178" s="123">
        <f t="shared" si="49"/>
        <v>0.9</v>
      </c>
      <c r="Q178" s="123">
        <f t="shared" si="49"/>
        <v>0.9</v>
      </c>
      <c r="R178" s="123">
        <f t="shared" si="49"/>
        <v>0.9</v>
      </c>
      <c r="S178" s="123">
        <f t="shared" si="50"/>
        <v>0.9</v>
      </c>
      <c r="T178" s="123">
        <f t="shared" si="50"/>
        <v>0.9</v>
      </c>
      <c r="U178" s="123">
        <f t="shared" si="50"/>
        <v>0.9</v>
      </c>
      <c r="V178" s="123">
        <f t="shared" si="50"/>
        <v>0.9</v>
      </c>
      <c r="W178" s="123">
        <f t="shared" si="50"/>
        <v>0.9</v>
      </c>
      <c r="X178" s="123">
        <f t="shared" si="50"/>
        <v>0.9</v>
      </c>
      <c r="Y178" s="123">
        <f t="shared" si="50"/>
        <v>0.9</v>
      </c>
      <c r="Z178" s="123">
        <f t="shared" si="50"/>
        <v>0.9</v>
      </c>
      <c r="AA178" s="123">
        <f t="shared" si="50"/>
        <v>0.9</v>
      </c>
      <c r="AB178" s="123">
        <f t="shared" si="50"/>
        <v>0.9</v>
      </c>
      <c r="AC178" s="123">
        <f t="shared" si="50"/>
        <v>0.9</v>
      </c>
      <c r="AD178" s="123">
        <f t="shared" si="50"/>
        <v>0.9</v>
      </c>
      <c r="AE178" s="123">
        <f t="shared" si="50"/>
        <v>0.9</v>
      </c>
      <c r="AF178" s="123">
        <f t="shared" si="50"/>
        <v>0.9</v>
      </c>
      <c r="AG178" s="126">
        <v>2</v>
      </c>
      <c r="AH178" s="55"/>
      <c r="AI178" s="56"/>
      <c r="AK178" s="57"/>
    </row>
    <row r="179" spans="1:37" x14ac:dyDescent="0.25">
      <c r="A179" s="111" t="s">
        <v>183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5"/>
      <c r="AI179" s="56"/>
      <c r="AK179" s="57"/>
    </row>
    <row r="180" spans="1:37" x14ac:dyDescent="0.25">
      <c r="A180" s="111" t="s">
        <v>184</v>
      </c>
      <c r="B180" s="123">
        <f t="shared" ref="B180:B192" si="51">AF180</f>
        <v>0.57999999999999996</v>
      </c>
      <c r="C180" s="124">
        <v>0.57999999999999996</v>
      </c>
      <c r="D180" s="123">
        <f t="shared" ref="D180:S192" si="52">C180</f>
        <v>0.57999999999999996</v>
      </c>
      <c r="E180" s="123">
        <f t="shared" si="52"/>
        <v>0.57999999999999996</v>
      </c>
      <c r="F180" s="123">
        <f t="shared" si="52"/>
        <v>0.57999999999999996</v>
      </c>
      <c r="G180" s="123">
        <f t="shared" si="52"/>
        <v>0.57999999999999996</v>
      </c>
      <c r="H180" s="123">
        <f t="shared" si="52"/>
        <v>0.57999999999999996</v>
      </c>
      <c r="I180" s="123">
        <f t="shared" si="52"/>
        <v>0.57999999999999996</v>
      </c>
      <c r="J180" s="123">
        <f t="shared" si="52"/>
        <v>0.57999999999999996</v>
      </c>
      <c r="K180" s="123">
        <f t="shared" si="52"/>
        <v>0.57999999999999996</v>
      </c>
      <c r="L180" s="123">
        <f t="shared" si="52"/>
        <v>0.57999999999999996</v>
      </c>
      <c r="M180" s="123">
        <f t="shared" si="52"/>
        <v>0.57999999999999996</v>
      </c>
      <c r="N180" s="123">
        <f t="shared" si="52"/>
        <v>0.57999999999999996</v>
      </c>
      <c r="O180" s="123">
        <f t="shared" si="52"/>
        <v>0.57999999999999996</v>
      </c>
      <c r="P180" s="123">
        <f t="shared" si="52"/>
        <v>0.57999999999999996</v>
      </c>
      <c r="Q180" s="123">
        <f t="shared" si="52"/>
        <v>0.57999999999999996</v>
      </c>
      <c r="R180" s="123">
        <f t="shared" si="52"/>
        <v>0.57999999999999996</v>
      </c>
      <c r="S180" s="123">
        <f t="shared" si="52"/>
        <v>0.57999999999999996</v>
      </c>
      <c r="T180" s="123">
        <f t="shared" ref="S180:AF192" si="53">S180</f>
        <v>0.57999999999999996</v>
      </c>
      <c r="U180" s="123">
        <f t="shared" si="53"/>
        <v>0.57999999999999996</v>
      </c>
      <c r="V180" s="123">
        <f t="shared" si="53"/>
        <v>0.57999999999999996</v>
      </c>
      <c r="W180" s="123">
        <f t="shared" si="53"/>
        <v>0.57999999999999996</v>
      </c>
      <c r="X180" s="123">
        <f t="shared" si="53"/>
        <v>0.57999999999999996</v>
      </c>
      <c r="Y180" s="123">
        <f t="shared" si="53"/>
        <v>0.57999999999999996</v>
      </c>
      <c r="Z180" s="123">
        <f t="shared" si="53"/>
        <v>0.57999999999999996</v>
      </c>
      <c r="AA180" s="123">
        <f t="shared" si="53"/>
        <v>0.57999999999999996</v>
      </c>
      <c r="AB180" s="123">
        <f t="shared" si="53"/>
        <v>0.57999999999999996</v>
      </c>
      <c r="AC180" s="123">
        <f t="shared" si="53"/>
        <v>0.57999999999999996</v>
      </c>
      <c r="AD180" s="123">
        <f t="shared" si="53"/>
        <v>0.57999999999999996</v>
      </c>
      <c r="AE180" s="123">
        <f t="shared" si="53"/>
        <v>0.57999999999999996</v>
      </c>
      <c r="AF180" s="123">
        <f t="shared" si="53"/>
        <v>0.57999999999999996</v>
      </c>
      <c r="AG180" s="126">
        <v>1.8</v>
      </c>
      <c r="AH180" s="55"/>
      <c r="AI180" s="56"/>
      <c r="AK180" s="57"/>
    </row>
    <row r="181" spans="1:37" x14ac:dyDescent="0.25">
      <c r="A181" s="111" t="s">
        <v>185</v>
      </c>
      <c r="B181" s="123">
        <f t="shared" si="51"/>
        <v>0.8</v>
      </c>
      <c r="C181" s="124">
        <v>0.8</v>
      </c>
      <c r="D181" s="123">
        <f t="shared" si="52"/>
        <v>0.8</v>
      </c>
      <c r="E181" s="123">
        <f t="shared" si="52"/>
        <v>0.8</v>
      </c>
      <c r="F181" s="123">
        <f t="shared" si="52"/>
        <v>0.8</v>
      </c>
      <c r="G181" s="123">
        <f t="shared" si="52"/>
        <v>0.8</v>
      </c>
      <c r="H181" s="123">
        <f t="shared" si="52"/>
        <v>0.8</v>
      </c>
      <c r="I181" s="123">
        <f t="shared" si="52"/>
        <v>0.8</v>
      </c>
      <c r="J181" s="123">
        <f t="shared" si="52"/>
        <v>0.8</v>
      </c>
      <c r="K181" s="123">
        <f t="shared" si="52"/>
        <v>0.8</v>
      </c>
      <c r="L181" s="123">
        <f t="shared" si="52"/>
        <v>0.8</v>
      </c>
      <c r="M181" s="123">
        <f t="shared" si="52"/>
        <v>0.8</v>
      </c>
      <c r="N181" s="123">
        <f t="shared" si="52"/>
        <v>0.8</v>
      </c>
      <c r="O181" s="123">
        <f t="shared" si="52"/>
        <v>0.8</v>
      </c>
      <c r="P181" s="123">
        <f t="shared" si="52"/>
        <v>0.8</v>
      </c>
      <c r="Q181" s="123">
        <f t="shared" si="52"/>
        <v>0.8</v>
      </c>
      <c r="R181" s="123">
        <f t="shared" si="52"/>
        <v>0.8</v>
      </c>
      <c r="S181" s="123">
        <f t="shared" si="52"/>
        <v>0.8</v>
      </c>
      <c r="T181" s="123">
        <f t="shared" si="53"/>
        <v>0.8</v>
      </c>
      <c r="U181" s="123">
        <f t="shared" si="53"/>
        <v>0.8</v>
      </c>
      <c r="V181" s="123">
        <f t="shared" si="53"/>
        <v>0.8</v>
      </c>
      <c r="W181" s="123">
        <f t="shared" si="53"/>
        <v>0.8</v>
      </c>
      <c r="X181" s="123">
        <f t="shared" si="53"/>
        <v>0.8</v>
      </c>
      <c r="Y181" s="123">
        <f t="shared" si="53"/>
        <v>0.8</v>
      </c>
      <c r="Z181" s="123">
        <f t="shared" si="53"/>
        <v>0.8</v>
      </c>
      <c r="AA181" s="123">
        <f t="shared" si="53"/>
        <v>0.8</v>
      </c>
      <c r="AB181" s="123">
        <f t="shared" si="53"/>
        <v>0.8</v>
      </c>
      <c r="AC181" s="123">
        <f t="shared" si="53"/>
        <v>0.8</v>
      </c>
      <c r="AD181" s="123">
        <f t="shared" si="53"/>
        <v>0.8</v>
      </c>
      <c r="AE181" s="123">
        <f t="shared" si="53"/>
        <v>0.8</v>
      </c>
      <c r="AF181" s="123">
        <f t="shared" si="53"/>
        <v>0.8</v>
      </c>
      <c r="AG181" s="126">
        <v>1.65</v>
      </c>
      <c r="AH181" s="55"/>
      <c r="AI181" s="56"/>
      <c r="AK181" s="57"/>
    </row>
    <row r="182" spans="1:37" x14ac:dyDescent="0.25">
      <c r="A182" s="111" t="s">
        <v>186</v>
      </c>
      <c r="B182" s="123">
        <f t="shared" si="51"/>
        <v>0</v>
      </c>
      <c r="C182" s="124">
        <v>0</v>
      </c>
      <c r="D182" s="123">
        <f t="shared" si="52"/>
        <v>0</v>
      </c>
      <c r="E182" s="123">
        <f t="shared" si="52"/>
        <v>0</v>
      </c>
      <c r="F182" s="123">
        <f t="shared" si="52"/>
        <v>0</v>
      </c>
      <c r="G182" s="123">
        <f t="shared" si="52"/>
        <v>0</v>
      </c>
      <c r="H182" s="123">
        <f t="shared" si="52"/>
        <v>0</v>
      </c>
      <c r="I182" s="123">
        <f t="shared" si="52"/>
        <v>0</v>
      </c>
      <c r="J182" s="123">
        <f t="shared" si="52"/>
        <v>0</v>
      </c>
      <c r="K182" s="123">
        <f t="shared" si="52"/>
        <v>0</v>
      </c>
      <c r="L182" s="123">
        <f t="shared" si="52"/>
        <v>0</v>
      </c>
      <c r="M182" s="123">
        <f t="shared" si="52"/>
        <v>0</v>
      </c>
      <c r="N182" s="123">
        <f t="shared" si="52"/>
        <v>0</v>
      </c>
      <c r="O182" s="123">
        <f t="shared" si="52"/>
        <v>0</v>
      </c>
      <c r="P182" s="123">
        <f t="shared" si="52"/>
        <v>0</v>
      </c>
      <c r="Q182" s="123">
        <f t="shared" si="52"/>
        <v>0</v>
      </c>
      <c r="R182" s="123">
        <f t="shared" si="52"/>
        <v>0</v>
      </c>
      <c r="S182" s="123">
        <f t="shared" si="52"/>
        <v>0</v>
      </c>
      <c r="T182" s="123">
        <f t="shared" si="53"/>
        <v>0</v>
      </c>
      <c r="U182" s="123">
        <f t="shared" si="53"/>
        <v>0</v>
      </c>
      <c r="V182" s="123">
        <f t="shared" si="53"/>
        <v>0</v>
      </c>
      <c r="W182" s="123">
        <f t="shared" si="53"/>
        <v>0</v>
      </c>
      <c r="X182" s="123">
        <f t="shared" si="53"/>
        <v>0</v>
      </c>
      <c r="Y182" s="123">
        <f t="shared" si="53"/>
        <v>0</v>
      </c>
      <c r="Z182" s="123">
        <f t="shared" si="53"/>
        <v>0</v>
      </c>
      <c r="AA182" s="123">
        <f t="shared" si="53"/>
        <v>0</v>
      </c>
      <c r="AB182" s="123">
        <f t="shared" si="53"/>
        <v>0</v>
      </c>
      <c r="AC182" s="123">
        <f t="shared" si="53"/>
        <v>0</v>
      </c>
      <c r="AD182" s="123">
        <f t="shared" si="53"/>
        <v>0</v>
      </c>
      <c r="AE182" s="123">
        <f t="shared" si="53"/>
        <v>0</v>
      </c>
      <c r="AF182" s="123">
        <f t="shared" si="53"/>
        <v>0</v>
      </c>
      <c r="AG182" s="126">
        <v>1.5</v>
      </c>
      <c r="AH182" s="55"/>
      <c r="AI182" s="56"/>
      <c r="AK182" s="57"/>
    </row>
    <row r="183" spans="1:37" x14ac:dyDescent="0.25">
      <c r="A183" s="111" t="s">
        <v>187</v>
      </c>
      <c r="B183" s="123">
        <f t="shared" si="51"/>
        <v>0.6</v>
      </c>
      <c r="C183" s="124">
        <v>0.6</v>
      </c>
      <c r="D183" s="123">
        <f t="shared" si="52"/>
        <v>0.6</v>
      </c>
      <c r="E183" s="123">
        <f t="shared" si="52"/>
        <v>0.6</v>
      </c>
      <c r="F183" s="123">
        <f t="shared" si="52"/>
        <v>0.6</v>
      </c>
      <c r="G183" s="123">
        <f t="shared" si="52"/>
        <v>0.6</v>
      </c>
      <c r="H183" s="123">
        <f t="shared" si="52"/>
        <v>0.6</v>
      </c>
      <c r="I183" s="123">
        <f t="shared" si="52"/>
        <v>0.6</v>
      </c>
      <c r="J183" s="123">
        <f t="shared" si="52"/>
        <v>0.6</v>
      </c>
      <c r="K183" s="123">
        <f t="shared" si="52"/>
        <v>0.6</v>
      </c>
      <c r="L183" s="123">
        <f t="shared" si="52"/>
        <v>0.6</v>
      </c>
      <c r="M183" s="123">
        <f t="shared" si="52"/>
        <v>0.6</v>
      </c>
      <c r="N183" s="123">
        <f t="shared" si="52"/>
        <v>0.6</v>
      </c>
      <c r="O183" s="123">
        <f t="shared" si="52"/>
        <v>0.6</v>
      </c>
      <c r="P183" s="123">
        <f t="shared" si="52"/>
        <v>0.6</v>
      </c>
      <c r="Q183" s="123">
        <f t="shared" si="52"/>
        <v>0.6</v>
      </c>
      <c r="R183" s="123">
        <f t="shared" si="52"/>
        <v>0.6</v>
      </c>
      <c r="S183" s="123">
        <f t="shared" si="52"/>
        <v>0.6</v>
      </c>
      <c r="T183" s="123">
        <f t="shared" si="53"/>
        <v>0.6</v>
      </c>
      <c r="U183" s="123">
        <f t="shared" si="53"/>
        <v>0.6</v>
      </c>
      <c r="V183" s="123">
        <f t="shared" si="53"/>
        <v>0.6</v>
      </c>
      <c r="W183" s="123">
        <f t="shared" si="53"/>
        <v>0.6</v>
      </c>
      <c r="X183" s="123">
        <f t="shared" si="53"/>
        <v>0.6</v>
      </c>
      <c r="Y183" s="123">
        <f t="shared" si="53"/>
        <v>0.6</v>
      </c>
      <c r="Z183" s="123">
        <f t="shared" si="53"/>
        <v>0.6</v>
      </c>
      <c r="AA183" s="123">
        <f t="shared" si="53"/>
        <v>0.6</v>
      </c>
      <c r="AB183" s="123">
        <f t="shared" si="53"/>
        <v>0.6</v>
      </c>
      <c r="AC183" s="123">
        <f t="shared" si="53"/>
        <v>0.6</v>
      </c>
      <c r="AD183" s="123">
        <f t="shared" si="53"/>
        <v>0.6</v>
      </c>
      <c r="AE183" s="123">
        <f t="shared" si="53"/>
        <v>0.6</v>
      </c>
      <c r="AF183" s="123">
        <f t="shared" si="53"/>
        <v>0.6</v>
      </c>
      <c r="AG183" s="126">
        <v>0.998</v>
      </c>
      <c r="AH183" s="55"/>
      <c r="AI183" s="56"/>
      <c r="AK183" s="57"/>
    </row>
    <row r="184" spans="1:37" x14ac:dyDescent="0.25">
      <c r="A184" s="111" t="s">
        <v>188</v>
      </c>
      <c r="B184" s="123">
        <f t="shared" si="51"/>
        <v>0.6</v>
      </c>
      <c r="C184" s="124">
        <v>0.6</v>
      </c>
      <c r="D184" s="123">
        <f t="shared" si="52"/>
        <v>0.6</v>
      </c>
      <c r="E184" s="123">
        <f t="shared" si="52"/>
        <v>0.6</v>
      </c>
      <c r="F184" s="123">
        <f t="shared" si="52"/>
        <v>0.6</v>
      </c>
      <c r="G184" s="123">
        <f t="shared" si="52"/>
        <v>0.6</v>
      </c>
      <c r="H184" s="123">
        <f t="shared" si="52"/>
        <v>0.6</v>
      </c>
      <c r="I184" s="123">
        <f t="shared" si="52"/>
        <v>0.6</v>
      </c>
      <c r="J184" s="123">
        <f t="shared" si="52"/>
        <v>0.6</v>
      </c>
      <c r="K184" s="123">
        <f t="shared" si="52"/>
        <v>0.6</v>
      </c>
      <c r="L184" s="123">
        <f t="shared" si="52"/>
        <v>0.6</v>
      </c>
      <c r="M184" s="123">
        <f t="shared" si="52"/>
        <v>0.6</v>
      </c>
      <c r="N184" s="123">
        <f t="shared" si="52"/>
        <v>0.6</v>
      </c>
      <c r="O184" s="123">
        <f t="shared" si="52"/>
        <v>0.6</v>
      </c>
      <c r="P184" s="123">
        <f t="shared" si="52"/>
        <v>0.6</v>
      </c>
      <c r="Q184" s="123">
        <f t="shared" si="52"/>
        <v>0.6</v>
      </c>
      <c r="R184" s="123">
        <f t="shared" si="52"/>
        <v>0.6</v>
      </c>
      <c r="S184" s="123">
        <f t="shared" si="52"/>
        <v>0.6</v>
      </c>
      <c r="T184" s="123">
        <f t="shared" si="53"/>
        <v>0.6</v>
      </c>
      <c r="U184" s="123">
        <f t="shared" si="53"/>
        <v>0.6</v>
      </c>
      <c r="V184" s="123">
        <f t="shared" si="53"/>
        <v>0.6</v>
      </c>
      <c r="W184" s="123">
        <f t="shared" si="53"/>
        <v>0.6</v>
      </c>
      <c r="X184" s="123">
        <f t="shared" si="53"/>
        <v>0.6</v>
      </c>
      <c r="Y184" s="123">
        <f t="shared" si="53"/>
        <v>0.6</v>
      </c>
      <c r="Z184" s="123">
        <f t="shared" si="53"/>
        <v>0.6</v>
      </c>
      <c r="AA184" s="123">
        <f t="shared" si="53"/>
        <v>0.6</v>
      </c>
      <c r="AB184" s="123">
        <f t="shared" si="53"/>
        <v>0.6</v>
      </c>
      <c r="AC184" s="123">
        <f t="shared" si="53"/>
        <v>0.6</v>
      </c>
      <c r="AD184" s="123">
        <f t="shared" si="53"/>
        <v>0.6</v>
      </c>
      <c r="AE184" s="123">
        <f t="shared" si="53"/>
        <v>0.6</v>
      </c>
      <c r="AF184" s="123">
        <f t="shared" si="53"/>
        <v>0.6</v>
      </c>
      <c r="AG184" s="126">
        <v>0.997</v>
      </c>
      <c r="AH184" s="55"/>
      <c r="AI184" s="56"/>
      <c r="AK184" s="57"/>
    </row>
    <row r="185" spans="1:37" x14ac:dyDescent="0.25">
      <c r="A185" s="111" t="s">
        <v>189</v>
      </c>
      <c r="B185" s="123">
        <f t="shared" si="51"/>
        <v>0.35</v>
      </c>
      <c r="C185" s="124">
        <v>0.35</v>
      </c>
      <c r="D185" s="123">
        <f t="shared" si="52"/>
        <v>0.35</v>
      </c>
      <c r="E185" s="123">
        <f t="shared" si="52"/>
        <v>0.35</v>
      </c>
      <c r="F185" s="123">
        <f t="shared" si="52"/>
        <v>0.35</v>
      </c>
      <c r="G185" s="123">
        <f t="shared" si="52"/>
        <v>0.35</v>
      </c>
      <c r="H185" s="123">
        <f t="shared" si="52"/>
        <v>0.35</v>
      </c>
      <c r="I185" s="123">
        <f t="shared" si="52"/>
        <v>0.35</v>
      </c>
      <c r="J185" s="123">
        <f t="shared" si="52"/>
        <v>0.35</v>
      </c>
      <c r="K185" s="123">
        <f t="shared" si="52"/>
        <v>0.35</v>
      </c>
      <c r="L185" s="123">
        <f t="shared" si="52"/>
        <v>0.35</v>
      </c>
      <c r="M185" s="123">
        <f t="shared" si="52"/>
        <v>0.35</v>
      </c>
      <c r="N185" s="123">
        <f t="shared" si="52"/>
        <v>0.35</v>
      </c>
      <c r="O185" s="123">
        <f t="shared" si="52"/>
        <v>0.35</v>
      </c>
      <c r="P185" s="123">
        <f t="shared" si="52"/>
        <v>0.35</v>
      </c>
      <c r="Q185" s="123">
        <f t="shared" si="52"/>
        <v>0.35</v>
      </c>
      <c r="R185" s="123">
        <f t="shared" si="52"/>
        <v>0.35</v>
      </c>
      <c r="S185" s="123">
        <f t="shared" si="52"/>
        <v>0.35</v>
      </c>
      <c r="T185" s="123">
        <f t="shared" si="53"/>
        <v>0.35</v>
      </c>
      <c r="U185" s="123">
        <f t="shared" si="53"/>
        <v>0.35</v>
      </c>
      <c r="V185" s="123">
        <f t="shared" si="53"/>
        <v>0.35</v>
      </c>
      <c r="W185" s="123">
        <f t="shared" si="53"/>
        <v>0.35</v>
      </c>
      <c r="X185" s="123">
        <f t="shared" si="53"/>
        <v>0.35</v>
      </c>
      <c r="Y185" s="123">
        <f t="shared" si="53"/>
        <v>0.35</v>
      </c>
      <c r="Z185" s="123">
        <f t="shared" si="53"/>
        <v>0.35</v>
      </c>
      <c r="AA185" s="123">
        <f t="shared" si="53"/>
        <v>0.35</v>
      </c>
      <c r="AB185" s="123">
        <f t="shared" si="53"/>
        <v>0.35</v>
      </c>
      <c r="AC185" s="123">
        <f t="shared" si="53"/>
        <v>0.35</v>
      </c>
      <c r="AD185" s="123">
        <f t="shared" si="53"/>
        <v>0.35</v>
      </c>
      <c r="AE185" s="123">
        <f t="shared" si="53"/>
        <v>0.35</v>
      </c>
      <c r="AF185" s="123">
        <f t="shared" si="53"/>
        <v>0.35</v>
      </c>
      <c r="AG185" s="126">
        <v>0.997</v>
      </c>
      <c r="AH185" s="55"/>
      <c r="AI185" s="56"/>
      <c r="AK185" s="57"/>
    </row>
    <row r="186" spans="1:37" x14ac:dyDescent="0.25">
      <c r="A186" s="111" t="s">
        <v>190</v>
      </c>
      <c r="B186" s="123">
        <f t="shared" si="51"/>
        <v>0.28999999999999998</v>
      </c>
      <c r="C186" s="124">
        <v>0.28999999999999998</v>
      </c>
      <c r="D186" s="123">
        <f t="shared" si="52"/>
        <v>0.28999999999999998</v>
      </c>
      <c r="E186" s="123">
        <f t="shared" si="52"/>
        <v>0.28999999999999998</v>
      </c>
      <c r="F186" s="123">
        <f t="shared" si="52"/>
        <v>0.28999999999999998</v>
      </c>
      <c r="G186" s="123">
        <f t="shared" si="52"/>
        <v>0.28999999999999998</v>
      </c>
      <c r="H186" s="123">
        <f t="shared" si="52"/>
        <v>0.28999999999999998</v>
      </c>
      <c r="I186" s="123">
        <f t="shared" si="52"/>
        <v>0.28999999999999998</v>
      </c>
      <c r="J186" s="123">
        <f t="shared" si="52"/>
        <v>0.28999999999999998</v>
      </c>
      <c r="K186" s="123">
        <f t="shared" si="52"/>
        <v>0.28999999999999998</v>
      </c>
      <c r="L186" s="123">
        <f t="shared" si="52"/>
        <v>0.28999999999999998</v>
      </c>
      <c r="M186" s="123">
        <f t="shared" si="52"/>
        <v>0.28999999999999998</v>
      </c>
      <c r="N186" s="123">
        <f t="shared" si="52"/>
        <v>0.28999999999999998</v>
      </c>
      <c r="O186" s="123">
        <f t="shared" si="52"/>
        <v>0.28999999999999998</v>
      </c>
      <c r="P186" s="123">
        <f t="shared" si="52"/>
        <v>0.28999999999999998</v>
      </c>
      <c r="Q186" s="123">
        <f t="shared" si="52"/>
        <v>0.28999999999999998</v>
      </c>
      <c r="R186" s="123">
        <f t="shared" si="52"/>
        <v>0.28999999999999998</v>
      </c>
      <c r="S186" s="123">
        <f t="shared" si="52"/>
        <v>0.28999999999999998</v>
      </c>
      <c r="T186" s="123">
        <f t="shared" si="53"/>
        <v>0.28999999999999998</v>
      </c>
      <c r="U186" s="123">
        <f t="shared" si="53"/>
        <v>0.28999999999999998</v>
      </c>
      <c r="V186" s="123">
        <f t="shared" si="53"/>
        <v>0.28999999999999998</v>
      </c>
      <c r="W186" s="123">
        <f t="shared" si="53"/>
        <v>0.28999999999999998</v>
      </c>
      <c r="X186" s="123">
        <f t="shared" si="53"/>
        <v>0.28999999999999998</v>
      </c>
      <c r="Y186" s="123">
        <f t="shared" si="53"/>
        <v>0.28999999999999998</v>
      </c>
      <c r="Z186" s="123">
        <f t="shared" si="53"/>
        <v>0.28999999999999998</v>
      </c>
      <c r="AA186" s="123">
        <f t="shared" si="53"/>
        <v>0.28999999999999998</v>
      </c>
      <c r="AB186" s="123">
        <f t="shared" si="53"/>
        <v>0.28999999999999998</v>
      </c>
      <c r="AC186" s="123">
        <f t="shared" si="53"/>
        <v>0.28999999999999998</v>
      </c>
      <c r="AD186" s="123">
        <f t="shared" si="53"/>
        <v>0.28999999999999998</v>
      </c>
      <c r="AE186" s="123">
        <f t="shared" si="53"/>
        <v>0.28999999999999998</v>
      </c>
      <c r="AF186" s="123">
        <f t="shared" si="53"/>
        <v>0.28999999999999998</v>
      </c>
      <c r="AG186" s="126">
        <v>0.996</v>
      </c>
      <c r="AH186" s="55"/>
      <c r="AI186" s="56"/>
      <c r="AK186" s="57"/>
    </row>
    <row r="187" spans="1:37" x14ac:dyDescent="0.25">
      <c r="A187" s="111" t="s">
        <v>191</v>
      </c>
      <c r="B187" s="123">
        <f t="shared" si="51"/>
        <v>0.06</v>
      </c>
      <c r="C187" s="124">
        <v>0.06</v>
      </c>
      <c r="D187" s="123">
        <f t="shared" si="52"/>
        <v>0.06</v>
      </c>
      <c r="E187" s="123">
        <f t="shared" si="52"/>
        <v>0.06</v>
      </c>
      <c r="F187" s="123">
        <f t="shared" si="52"/>
        <v>0.06</v>
      </c>
      <c r="G187" s="123">
        <f t="shared" si="52"/>
        <v>0.06</v>
      </c>
      <c r="H187" s="123">
        <f t="shared" si="52"/>
        <v>0.06</v>
      </c>
      <c r="I187" s="123">
        <f t="shared" si="52"/>
        <v>0.06</v>
      </c>
      <c r="J187" s="123">
        <f t="shared" si="52"/>
        <v>0.06</v>
      </c>
      <c r="K187" s="123">
        <f t="shared" si="52"/>
        <v>0.06</v>
      </c>
      <c r="L187" s="123">
        <f t="shared" si="52"/>
        <v>0.06</v>
      </c>
      <c r="M187" s="123">
        <f t="shared" si="52"/>
        <v>0.06</v>
      </c>
      <c r="N187" s="123">
        <f t="shared" si="52"/>
        <v>0.06</v>
      </c>
      <c r="O187" s="123">
        <f t="shared" si="52"/>
        <v>0.06</v>
      </c>
      <c r="P187" s="123">
        <f t="shared" si="52"/>
        <v>0.06</v>
      </c>
      <c r="Q187" s="123">
        <f t="shared" si="52"/>
        <v>0.06</v>
      </c>
      <c r="R187" s="123">
        <f t="shared" si="52"/>
        <v>0.06</v>
      </c>
      <c r="S187" s="123">
        <f t="shared" si="52"/>
        <v>0.06</v>
      </c>
      <c r="T187" s="123">
        <f t="shared" si="53"/>
        <v>0.06</v>
      </c>
      <c r="U187" s="123">
        <f t="shared" si="53"/>
        <v>0.06</v>
      </c>
      <c r="V187" s="123">
        <f t="shared" si="53"/>
        <v>0.06</v>
      </c>
      <c r="W187" s="123">
        <f t="shared" si="53"/>
        <v>0.06</v>
      </c>
      <c r="X187" s="123">
        <f t="shared" si="53"/>
        <v>0.06</v>
      </c>
      <c r="Y187" s="123">
        <f t="shared" si="53"/>
        <v>0.06</v>
      </c>
      <c r="Z187" s="123">
        <f t="shared" si="53"/>
        <v>0.06</v>
      </c>
      <c r="AA187" s="123">
        <f t="shared" si="53"/>
        <v>0.06</v>
      </c>
      <c r="AB187" s="123">
        <f t="shared" si="53"/>
        <v>0.06</v>
      </c>
      <c r="AC187" s="123">
        <f t="shared" si="53"/>
        <v>0.06</v>
      </c>
      <c r="AD187" s="123">
        <f t="shared" si="53"/>
        <v>0.06</v>
      </c>
      <c r="AE187" s="123">
        <f t="shared" si="53"/>
        <v>0.06</v>
      </c>
      <c r="AF187" s="123">
        <f t="shared" si="53"/>
        <v>0.06</v>
      </c>
      <c r="AG187" s="126">
        <v>0.996</v>
      </c>
      <c r="AH187" s="55"/>
      <c r="AI187" s="56"/>
      <c r="AK187" s="57"/>
    </row>
    <row r="188" spans="1:37" x14ac:dyDescent="0.25">
      <c r="A188" s="111" t="s">
        <v>192</v>
      </c>
      <c r="B188" s="123">
        <f t="shared" si="51"/>
        <v>0.11</v>
      </c>
      <c r="C188" s="124">
        <v>0.11</v>
      </c>
      <c r="D188" s="123">
        <f t="shared" si="52"/>
        <v>0.11</v>
      </c>
      <c r="E188" s="123">
        <f t="shared" si="52"/>
        <v>0.11</v>
      </c>
      <c r="F188" s="123">
        <f t="shared" si="52"/>
        <v>0.11</v>
      </c>
      <c r="G188" s="123">
        <f t="shared" si="52"/>
        <v>0.11</v>
      </c>
      <c r="H188" s="123">
        <f t="shared" si="52"/>
        <v>0.11</v>
      </c>
      <c r="I188" s="123">
        <f t="shared" si="52"/>
        <v>0.11</v>
      </c>
      <c r="J188" s="123">
        <f t="shared" si="52"/>
        <v>0.11</v>
      </c>
      <c r="K188" s="123">
        <f t="shared" si="52"/>
        <v>0.11</v>
      </c>
      <c r="L188" s="123">
        <f t="shared" si="52"/>
        <v>0.11</v>
      </c>
      <c r="M188" s="123">
        <f t="shared" si="52"/>
        <v>0.11</v>
      </c>
      <c r="N188" s="123">
        <f t="shared" si="52"/>
        <v>0.11</v>
      </c>
      <c r="O188" s="123">
        <f t="shared" si="52"/>
        <v>0.11</v>
      </c>
      <c r="P188" s="123">
        <f t="shared" si="52"/>
        <v>0.11</v>
      </c>
      <c r="Q188" s="123">
        <f t="shared" si="52"/>
        <v>0.11</v>
      </c>
      <c r="R188" s="123">
        <f t="shared" si="52"/>
        <v>0.11</v>
      </c>
      <c r="S188" s="123">
        <f t="shared" si="52"/>
        <v>0.11</v>
      </c>
      <c r="T188" s="123">
        <f t="shared" si="53"/>
        <v>0.11</v>
      </c>
      <c r="U188" s="123">
        <f t="shared" si="53"/>
        <v>0.11</v>
      </c>
      <c r="V188" s="123">
        <f t="shared" si="53"/>
        <v>0.11</v>
      </c>
      <c r="W188" s="123">
        <f t="shared" si="53"/>
        <v>0.11</v>
      </c>
      <c r="X188" s="123">
        <f t="shared" si="53"/>
        <v>0.11</v>
      </c>
      <c r="Y188" s="123">
        <f t="shared" si="53"/>
        <v>0.11</v>
      </c>
      <c r="Z188" s="123">
        <f t="shared" si="53"/>
        <v>0.11</v>
      </c>
      <c r="AA188" s="123">
        <f t="shared" si="53"/>
        <v>0.11</v>
      </c>
      <c r="AB188" s="123">
        <f t="shared" si="53"/>
        <v>0.11</v>
      </c>
      <c r="AC188" s="123">
        <f t="shared" si="53"/>
        <v>0.11</v>
      </c>
      <c r="AD188" s="123">
        <f t="shared" si="53"/>
        <v>0.11</v>
      </c>
      <c r="AE188" s="123">
        <f t="shared" si="53"/>
        <v>0.11</v>
      </c>
      <c r="AF188" s="123">
        <f t="shared" si="53"/>
        <v>0.11</v>
      </c>
      <c r="AG188" s="126">
        <v>0.996</v>
      </c>
      <c r="AH188" s="55"/>
      <c r="AI188" s="56"/>
      <c r="AK188" s="57"/>
    </row>
    <row r="189" spans="1:37" x14ac:dyDescent="0.25">
      <c r="A189" s="111" t="s">
        <v>193</v>
      </c>
      <c r="B189" s="123">
        <f t="shared" si="51"/>
        <v>0.1</v>
      </c>
      <c r="C189" s="124">
        <v>0.1</v>
      </c>
      <c r="D189" s="123">
        <f t="shared" si="52"/>
        <v>0.1</v>
      </c>
      <c r="E189" s="123">
        <f t="shared" si="52"/>
        <v>0.1</v>
      </c>
      <c r="F189" s="123">
        <f t="shared" si="52"/>
        <v>0.1</v>
      </c>
      <c r="G189" s="123">
        <f t="shared" si="52"/>
        <v>0.1</v>
      </c>
      <c r="H189" s="123">
        <f t="shared" si="52"/>
        <v>0.1</v>
      </c>
      <c r="I189" s="123">
        <f t="shared" si="52"/>
        <v>0.1</v>
      </c>
      <c r="J189" s="123">
        <f t="shared" si="52"/>
        <v>0.1</v>
      </c>
      <c r="K189" s="123">
        <f t="shared" si="52"/>
        <v>0.1</v>
      </c>
      <c r="L189" s="123">
        <f t="shared" si="52"/>
        <v>0.1</v>
      </c>
      <c r="M189" s="123">
        <f t="shared" si="52"/>
        <v>0.1</v>
      </c>
      <c r="N189" s="123">
        <f t="shared" si="52"/>
        <v>0.1</v>
      </c>
      <c r="O189" s="123">
        <f t="shared" si="52"/>
        <v>0.1</v>
      </c>
      <c r="P189" s="123">
        <f t="shared" si="52"/>
        <v>0.1</v>
      </c>
      <c r="Q189" s="123">
        <f t="shared" si="52"/>
        <v>0.1</v>
      </c>
      <c r="R189" s="123">
        <f t="shared" si="52"/>
        <v>0.1</v>
      </c>
      <c r="S189" s="123">
        <f t="shared" si="53"/>
        <v>0.1</v>
      </c>
      <c r="T189" s="123">
        <f t="shared" si="53"/>
        <v>0.1</v>
      </c>
      <c r="U189" s="123">
        <f t="shared" si="53"/>
        <v>0.1</v>
      </c>
      <c r="V189" s="123">
        <f t="shared" si="53"/>
        <v>0.1</v>
      </c>
      <c r="W189" s="123">
        <f t="shared" si="53"/>
        <v>0.1</v>
      </c>
      <c r="X189" s="123">
        <f t="shared" si="53"/>
        <v>0.1</v>
      </c>
      <c r="Y189" s="123">
        <f t="shared" si="53"/>
        <v>0.1</v>
      </c>
      <c r="Z189" s="123">
        <f t="shared" si="53"/>
        <v>0.1</v>
      </c>
      <c r="AA189" s="123">
        <f t="shared" si="53"/>
        <v>0.1</v>
      </c>
      <c r="AB189" s="123">
        <f t="shared" si="53"/>
        <v>0.1</v>
      </c>
      <c r="AC189" s="123">
        <f t="shared" si="53"/>
        <v>0.1</v>
      </c>
      <c r="AD189" s="123">
        <f t="shared" si="53"/>
        <v>0.1</v>
      </c>
      <c r="AE189" s="123">
        <f t="shared" si="53"/>
        <v>0.1</v>
      </c>
      <c r="AF189" s="123">
        <f t="shared" si="53"/>
        <v>0.1</v>
      </c>
      <c r="AG189" s="126">
        <v>0.995</v>
      </c>
      <c r="AH189" s="55"/>
      <c r="AI189" s="56"/>
      <c r="AK189" s="57"/>
    </row>
    <row r="190" spans="1:37" x14ac:dyDescent="0.25">
      <c r="A190" s="111" t="s">
        <v>194</v>
      </c>
      <c r="B190" s="123">
        <f t="shared" si="51"/>
        <v>0.09</v>
      </c>
      <c r="C190" s="124">
        <v>0.09</v>
      </c>
      <c r="D190" s="123">
        <f t="shared" si="52"/>
        <v>0.09</v>
      </c>
      <c r="E190" s="123">
        <f t="shared" si="52"/>
        <v>0.09</v>
      </c>
      <c r="F190" s="123">
        <f t="shared" si="52"/>
        <v>0.09</v>
      </c>
      <c r="G190" s="123">
        <f t="shared" si="52"/>
        <v>0.09</v>
      </c>
      <c r="H190" s="123">
        <f t="shared" si="52"/>
        <v>0.09</v>
      </c>
      <c r="I190" s="123">
        <f t="shared" si="52"/>
        <v>0.09</v>
      </c>
      <c r="J190" s="123">
        <f t="shared" si="52"/>
        <v>0.09</v>
      </c>
      <c r="K190" s="123">
        <f t="shared" si="52"/>
        <v>0.09</v>
      </c>
      <c r="L190" s="123">
        <f t="shared" si="52"/>
        <v>0.09</v>
      </c>
      <c r="M190" s="123">
        <f t="shared" si="52"/>
        <v>0.09</v>
      </c>
      <c r="N190" s="123">
        <f t="shared" si="52"/>
        <v>0.09</v>
      </c>
      <c r="O190" s="123">
        <f t="shared" si="52"/>
        <v>0.09</v>
      </c>
      <c r="P190" s="123">
        <f t="shared" si="52"/>
        <v>0.09</v>
      </c>
      <c r="Q190" s="123">
        <f t="shared" si="52"/>
        <v>0.09</v>
      </c>
      <c r="R190" s="123">
        <f t="shared" si="52"/>
        <v>0.09</v>
      </c>
      <c r="S190" s="123">
        <f t="shared" si="53"/>
        <v>0.09</v>
      </c>
      <c r="T190" s="123">
        <f t="shared" si="53"/>
        <v>0.09</v>
      </c>
      <c r="U190" s="123">
        <f t="shared" si="53"/>
        <v>0.09</v>
      </c>
      <c r="V190" s="123">
        <f t="shared" si="53"/>
        <v>0.09</v>
      </c>
      <c r="W190" s="123">
        <f t="shared" si="53"/>
        <v>0.09</v>
      </c>
      <c r="X190" s="123">
        <f t="shared" si="53"/>
        <v>0.09</v>
      </c>
      <c r="Y190" s="123">
        <f t="shared" si="53"/>
        <v>0.09</v>
      </c>
      <c r="Z190" s="123">
        <f t="shared" si="53"/>
        <v>0.09</v>
      </c>
      <c r="AA190" s="123">
        <f t="shared" si="53"/>
        <v>0.09</v>
      </c>
      <c r="AB190" s="123">
        <f t="shared" si="53"/>
        <v>0.09</v>
      </c>
      <c r="AC190" s="123">
        <f t="shared" si="53"/>
        <v>0.09</v>
      </c>
      <c r="AD190" s="123">
        <f t="shared" si="53"/>
        <v>0.09</v>
      </c>
      <c r="AE190" s="123">
        <f t="shared" si="53"/>
        <v>0.09</v>
      </c>
      <c r="AF190" s="123">
        <f t="shared" si="53"/>
        <v>0.09</v>
      </c>
      <c r="AG190" s="126">
        <v>0.99299999999999999</v>
      </c>
      <c r="AH190" s="55"/>
      <c r="AI190" s="56"/>
      <c r="AK190" s="57"/>
    </row>
    <row r="191" spans="1:37" x14ac:dyDescent="0.25">
      <c r="A191" s="111" t="s">
        <v>195</v>
      </c>
      <c r="B191" s="123">
        <f t="shared" si="51"/>
        <v>0.04</v>
      </c>
      <c r="C191" s="54">
        <v>0.04</v>
      </c>
      <c r="D191" s="123">
        <f t="shared" si="52"/>
        <v>0.04</v>
      </c>
      <c r="E191" s="123">
        <f t="shared" si="52"/>
        <v>0.04</v>
      </c>
      <c r="F191" s="123">
        <f t="shared" si="52"/>
        <v>0.04</v>
      </c>
      <c r="G191" s="123">
        <f t="shared" si="52"/>
        <v>0.04</v>
      </c>
      <c r="H191" s="123">
        <f t="shared" si="52"/>
        <v>0.04</v>
      </c>
      <c r="I191" s="123">
        <f t="shared" si="52"/>
        <v>0.04</v>
      </c>
      <c r="J191" s="123">
        <f t="shared" si="52"/>
        <v>0.04</v>
      </c>
      <c r="K191" s="123">
        <f t="shared" si="52"/>
        <v>0.04</v>
      </c>
      <c r="L191" s="123">
        <f t="shared" si="52"/>
        <v>0.04</v>
      </c>
      <c r="M191" s="123">
        <f t="shared" si="52"/>
        <v>0.04</v>
      </c>
      <c r="N191" s="123">
        <f t="shared" si="52"/>
        <v>0.04</v>
      </c>
      <c r="O191" s="123">
        <f t="shared" si="52"/>
        <v>0.04</v>
      </c>
      <c r="P191" s="123">
        <f t="shared" si="52"/>
        <v>0.04</v>
      </c>
      <c r="Q191" s="123">
        <f t="shared" si="52"/>
        <v>0.04</v>
      </c>
      <c r="R191" s="123">
        <f t="shared" si="52"/>
        <v>0.04</v>
      </c>
      <c r="S191" s="123">
        <f t="shared" si="53"/>
        <v>0.04</v>
      </c>
      <c r="T191" s="123">
        <f t="shared" si="53"/>
        <v>0.04</v>
      </c>
      <c r="U191" s="123">
        <f t="shared" si="53"/>
        <v>0.04</v>
      </c>
      <c r="V191" s="123">
        <f t="shared" si="53"/>
        <v>0.04</v>
      </c>
      <c r="W191" s="123">
        <f t="shared" si="53"/>
        <v>0.04</v>
      </c>
      <c r="X191" s="123">
        <f t="shared" si="53"/>
        <v>0.04</v>
      </c>
      <c r="Y191" s="123">
        <f t="shared" si="53"/>
        <v>0.04</v>
      </c>
      <c r="Z191" s="123">
        <f t="shared" si="53"/>
        <v>0.04</v>
      </c>
      <c r="AA191" s="123">
        <f t="shared" si="53"/>
        <v>0.04</v>
      </c>
      <c r="AB191" s="123">
        <f t="shared" si="53"/>
        <v>0.04</v>
      </c>
      <c r="AC191" s="123">
        <f t="shared" si="53"/>
        <v>0.04</v>
      </c>
      <c r="AD191" s="123">
        <f t="shared" si="53"/>
        <v>0.04</v>
      </c>
      <c r="AE191" s="123">
        <f t="shared" si="53"/>
        <v>0.04</v>
      </c>
      <c r="AF191" s="123">
        <f t="shared" si="53"/>
        <v>0.04</v>
      </c>
      <c r="AG191" s="126">
        <v>0.99</v>
      </c>
      <c r="AH191" s="55"/>
      <c r="AI191" s="56"/>
      <c r="AK191" s="57"/>
    </row>
    <row r="192" spans="1:37" x14ac:dyDescent="0.25">
      <c r="A192" s="111" t="s">
        <v>196</v>
      </c>
      <c r="B192" s="123">
        <f t="shared" si="51"/>
        <v>2.3E-2</v>
      </c>
      <c r="C192" s="54">
        <v>2.3E-2</v>
      </c>
      <c r="D192" s="123">
        <f>C192</f>
        <v>2.3E-2</v>
      </c>
      <c r="E192" s="123">
        <f t="shared" si="52"/>
        <v>2.3E-2</v>
      </c>
      <c r="F192" s="123">
        <f t="shared" si="52"/>
        <v>2.3E-2</v>
      </c>
      <c r="G192" s="123">
        <f t="shared" si="52"/>
        <v>2.3E-2</v>
      </c>
      <c r="H192" s="123">
        <f t="shared" si="52"/>
        <v>2.3E-2</v>
      </c>
      <c r="I192" s="123">
        <f t="shared" si="52"/>
        <v>2.3E-2</v>
      </c>
      <c r="J192" s="123">
        <f t="shared" si="52"/>
        <v>2.3E-2</v>
      </c>
      <c r="K192" s="123">
        <f t="shared" si="52"/>
        <v>2.3E-2</v>
      </c>
      <c r="L192" s="123">
        <f t="shared" si="52"/>
        <v>2.3E-2</v>
      </c>
      <c r="M192" s="123">
        <f t="shared" si="52"/>
        <v>2.3E-2</v>
      </c>
      <c r="N192" s="123">
        <f t="shared" si="52"/>
        <v>2.3E-2</v>
      </c>
      <c r="O192" s="123">
        <f t="shared" si="52"/>
        <v>2.3E-2</v>
      </c>
      <c r="P192" s="123">
        <f t="shared" si="52"/>
        <v>2.3E-2</v>
      </c>
      <c r="Q192" s="123">
        <f t="shared" si="52"/>
        <v>2.3E-2</v>
      </c>
      <c r="R192" s="123">
        <f t="shared" si="52"/>
        <v>2.3E-2</v>
      </c>
      <c r="S192" s="123">
        <f t="shared" si="53"/>
        <v>2.3E-2</v>
      </c>
      <c r="T192" s="123">
        <f t="shared" si="53"/>
        <v>2.3E-2</v>
      </c>
      <c r="U192" s="123">
        <f t="shared" si="53"/>
        <v>2.3E-2</v>
      </c>
      <c r="V192" s="123">
        <f t="shared" si="53"/>
        <v>2.3E-2</v>
      </c>
      <c r="W192" s="123">
        <f t="shared" si="53"/>
        <v>2.3E-2</v>
      </c>
      <c r="X192" s="123">
        <f t="shared" si="53"/>
        <v>2.3E-2</v>
      </c>
      <c r="Y192" s="123">
        <f t="shared" si="53"/>
        <v>2.3E-2</v>
      </c>
      <c r="Z192" s="123">
        <f t="shared" si="53"/>
        <v>2.3E-2</v>
      </c>
      <c r="AA192" s="123">
        <f t="shared" si="53"/>
        <v>2.3E-2</v>
      </c>
      <c r="AB192" s="123">
        <f t="shared" si="53"/>
        <v>2.3E-2</v>
      </c>
      <c r="AC192" s="123">
        <f t="shared" si="53"/>
        <v>2.3E-2</v>
      </c>
      <c r="AD192" s="123">
        <f t="shared" si="53"/>
        <v>2.3E-2</v>
      </c>
      <c r="AE192" s="123">
        <f t="shared" si="53"/>
        <v>2.3E-2</v>
      </c>
      <c r="AF192" s="123">
        <f t="shared" si="53"/>
        <v>2.3E-2</v>
      </c>
      <c r="AG192" s="126">
        <v>0.97899999999999998</v>
      </c>
      <c r="AH192" s="55"/>
      <c r="AI192" s="56"/>
      <c r="AK192" s="57"/>
    </row>
    <row r="193" spans="1:37" ht="15.75" thickBot="1" x14ac:dyDescent="0.3">
      <c r="A193" s="127" t="s">
        <v>197</v>
      </c>
      <c r="B193" s="128">
        <f>SUM(B103:B192)</f>
        <v>187.10600000000005</v>
      </c>
      <c r="C193" s="128">
        <f t="shared" ref="C193:AG193" si="54">SUM(C103:C192)</f>
        <v>194.70600000000002</v>
      </c>
      <c r="D193" s="128">
        <f t="shared" si="54"/>
        <v>194.70600000000002</v>
      </c>
      <c r="E193" s="128">
        <f t="shared" si="54"/>
        <v>194.70600000000002</v>
      </c>
      <c r="F193" s="128">
        <f t="shared" si="54"/>
        <v>194.70600000000002</v>
      </c>
      <c r="G193" s="128">
        <f t="shared" si="54"/>
        <v>194.70600000000002</v>
      </c>
      <c r="H193" s="128">
        <f t="shared" si="54"/>
        <v>194.70600000000002</v>
      </c>
      <c r="I193" s="128">
        <f t="shared" si="54"/>
        <v>189.70600000000005</v>
      </c>
      <c r="J193" s="128">
        <f t="shared" si="54"/>
        <v>187.10600000000005</v>
      </c>
      <c r="K193" s="128">
        <f t="shared" si="54"/>
        <v>187.10600000000005</v>
      </c>
      <c r="L193" s="128">
        <f t="shared" si="54"/>
        <v>187.10600000000005</v>
      </c>
      <c r="M193" s="128">
        <f t="shared" si="54"/>
        <v>187.10600000000005</v>
      </c>
      <c r="N193" s="128">
        <f t="shared" si="54"/>
        <v>187.10600000000005</v>
      </c>
      <c r="O193" s="128">
        <f t="shared" si="54"/>
        <v>187.10600000000005</v>
      </c>
      <c r="P193" s="128">
        <f t="shared" si="54"/>
        <v>187.10600000000005</v>
      </c>
      <c r="Q193" s="128">
        <f t="shared" si="54"/>
        <v>187.10600000000005</v>
      </c>
      <c r="R193" s="128">
        <f t="shared" si="54"/>
        <v>187.10600000000005</v>
      </c>
      <c r="S193" s="128">
        <f t="shared" si="54"/>
        <v>187.10600000000005</v>
      </c>
      <c r="T193" s="128">
        <f t="shared" si="54"/>
        <v>187.10600000000005</v>
      </c>
      <c r="U193" s="128">
        <f t="shared" si="54"/>
        <v>187.10600000000005</v>
      </c>
      <c r="V193" s="128">
        <f t="shared" si="54"/>
        <v>187.10600000000005</v>
      </c>
      <c r="W193" s="128">
        <f t="shared" si="54"/>
        <v>187.10600000000005</v>
      </c>
      <c r="X193" s="128">
        <f t="shared" si="54"/>
        <v>187.10600000000005</v>
      </c>
      <c r="Y193" s="128">
        <f t="shared" si="54"/>
        <v>187.10600000000005</v>
      </c>
      <c r="Z193" s="128">
        <f t="shared" si="54"/>
        <v>187.10600000000005</v>
      </c>
      <c r="AA193" s="128">
        <f t="shared" si="54"/>
        <v>187.10600000000005</v>
      </c>
      <c r="AB193" s="128">
        <f t="shared" si="54"/>
        <v>187.10600000000005</v>
      </c>
      <c r="AC193" s="128">
        <f t="shared" si="54"/>
        <v>187.10600000000005</v>
      </c>
      <c r="AD193" s="128">
        <f t="shared" si="54"/>
        <v>187.10600000000005</v>
      </c>
      <c r="AE193" s="128">
        <f t="shared" si="54"/>
        <v>187.10600000000005</v>
      </c>
      <c r="AF193" s="128">
        <f t="shared" si="54"/>
        <v>187.10600000000005</v>
      </c>
      <c r="AG193" s="129">
        <f t="shared" si="54"/>
        <v>412.72299999999984</v>
      </c>
      <c r="AH193" s="55"/>
      <c r="AI193" s="56"/>
      <c r="AK193" s="57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5"/>
      <c r="AI194" s="56"/>
      <c r="AK194" s="57"/>
    </row>
    <row r="195" spans="1:37" x14ac:dyDescent="0.25">
      <c r="A195" s="105" t="s">
        <v>198</v>
      </c>
      <c r="B195" s="130">
        <f t="shared" ref="B195:B200" si="55">AF195</f>
        <v>0.3</v>
      </c>
      <c r="C195" s="130">
        <v>0.3</v>
      </c>
      <c r="D195" s="130">
        <f t="shared" ref="D195:S200" si="56">C195</f>
        <v>0.3</v>
      </c>
      <c r="E195" s="130">
        <f t="shared" si="56"/>
        <v>0.3</v>
      </c>
      <c r="F195" s="130">
        <f t="shared" si="56"/>
        <v>0.3</v>
      </c>
      <c r="G195" s="130">
        <f t="shared" si="56"/>
        <v>0.3</v>
      </c>
      <c r="H195" s="130">
        <f t="shared" si="56"/>
        <v>0.3</v>
      </c>
      <c r="I195" s="130">
        <f t="shared" si="56"/>
        <v>0.3</v>
      </c>
      <c r="J195" s="130">
        <f t="shared" si="56"/>
        <v>0.3</v>
      </c>
      <c r="K195" s="130">
        <f t="shared" si="56"/>
        <v>0.3</v>
      </c>
      <c r="L195" s="130">
        <f t="shared" si="56"/>
        <v>0.3</v>
      </c>
      <c r="M195" s="130">
        <f t="shared" si="56"/>
        <v>0.3</v>
      </c>
      <c r="N195" s="130">
        <f t="shared" si="56"/>
        <v>0.3</v>
      </c>
      <c r="O195" s="130">
        <f t="shared" si="56"/>
        <v>0.3</v>
      </c>
      <c r="P195" s="130">
        <f t="shared" si="56"/>
        <v>0.3</v>
      </c>
      <c r="Q195" s="130">
        <f t="shared" si="56"/>
        <v>0.3</v>
      </c>
      <c r="R195" s="130">
        <f t="shared" si="56"/>
        <v>0.3</v>
      </c>
      <c r="S195" s="130">
        <f t="shared" si="56"/>
        <v>0.3</v>
      </c>
      <c r="T195" s="130">
        <f t="shared" ref="T195:AF200" si="57">S195</f>
        <v>0.3</v>
      </c>
      <c r="U195" s="130">
        <f t="shared" si="57"/>
        <v>0.3</v>
      </c>
      <c r="V195" s="130">
        <f t="shared" si="57"/>
        <v>0.3</v>
      </c>
      <c r="W195" s="130">
        <f t="shared" si="57"/>
        <v>0.3</v>
      </c>
      <c r="X195" s="130">
        <f t="shared" si="57"/>
        <v>0.3</v>
      </c>
      <c r="Y195" s="130">
        <f t="shared" si="57"/>
        <v>0.3</v>
      </c>
      <c r="Z195" s="130">
        <f t="shared" si="57"/>
        <v>0.3</v>
      </c>
      <c r="AA195" s="130">
        <f t="shared" si="57"/>
        <v>0.3</v>
      </c>
      <c r="AB195" s="130">
        <f t="shared" si="57"/>
        <v>0.3</v>
      </c>
      <c r="AC195" s="130">
        <f t="shared" si="57"/>
        <v>0.3</v>
      </c>
      <c r="AD195" s="130">
        <f t="shared" si="57"/>
        <v>0.3</v>
      </c>
      <c r="AE195" s="130">
        <f t="shared" si="57"/>
        <v>0.3</v>
      </c>
      <c r="AF195" s="130">
        <f t="shared" si="57"/>
        <v>0.3</v>
      </c>
      <c r="AG195" s="131">
        <v>2.4</v>
      </c>
      <c r="AH195" s="55"/>
      <c r="AI195" s="56"/>
      <c r="AK195" s="57"/>
    </row>
    <row r="196" spans="1:37" x14ac:dyDescent="0.25">
      <c r="A196" s="109" t="s">
        <v>199</v>
      </c>
      <c r="B196" s="123">
        <f t="shared" si="55"/>
        <v>0.4</v>
      </c>
      <c r="C196" s="123">
        <v>0.4</v>
      </c>
      <c r="D196" s="123">
        <f t="shared" si="56"/>
        <v>0.4</v>
      </c>
      <c r="E196" s="123">
        <f t="shared" si="56"/>
        <v>0.4</v>
      </c>
      <c r="F196" s="123">
        <f t="shared" si="56"/>
        <v>0.4</v>
      </c>
      <c r="G196" s="123">
        <f t="shared" si="56"/>
        <v>0.4</v>
      </c>
      <c r="H196" s="123">
        <f t="shared" si="56"/>
        <v>0.4</v>
      </c>
      <c r="I196" s="123">
        <f t="shared" si="56"/>
        <v>0.4</v>
      </c>
      <c r="J196" s="123">
        <f t="shared" si="56"/>
        <v>0.4</v>
      </c>
      <c r="K196" s="123">
        <f t="shared" si="56"/>
        <v>0.4</v>
      </c>
      <c r="L196" s="123">
        <f t="shared" si="56"/>
        <v>0.4</v>
      </c>
      <c r="M196" s="123">
        <f t="shared" si="56"/>
        <v>0.4</v>
      </c>
      <c r="N196" s="123">
        <f t="shared" si="56"/>
        <v>0.4</v>
      </c>
      <c r="O196" s="123">
        <f t="shared" si="56"/>
        <v>0.4</v>
      </c>
      <c r="P196" s="123">
        <f t="shared" si="56"/>
        <v>0.4</v>
      </c>
      <c r="Q196" s="123">
        <f t="shared" si="56"/>
        <v>0.4</v>
      </c>
      <c r="R196" s="123">
        <f t="shared" si="56"/>
        <v>0.4</v>
      </c>
      <c r="S196" s="123">
        <f t="shared" si="56"/>
        <v>0.4</v>
      </c>
      <c r="T196" s="123">
        <f t="shared" si="57"/>
        <v>0.4</v>
      </c>
      <c r="U196" s="123">
        <f t="shared" si="57"/>
        <v>0.4</v>
      </c>
      <c r="V196" s="123">
        <f t="shared" si="57"/>
        <v>0.4</v>
      </c>
      <c r="W196" s="123">
        <f>V196</f>
        <v>0.4</v>
      </c>
      <c r="X196" s="123">
        <f>W196</f>
        <v>0.4</v>
      </c>
      <c r="Y196" s="123">
        <f t="shared" si="57"/>
        <v>0.4</v>
      </c>
      <c r="Z196" s="123">
        <f t="shared" si="57"/>
        <v>0.4</v>
      </c>
      <c r="AA196" s="123">
        <f t="shared" si="57"/>
        <v>0.4</v>
      </c>
      <c r="AB196" s="123">
        <f t="shared" si="57"/>
        <v>0.4</v>
      </c>
      <c r="AC196" s="123">
        <f t="shared" si="57"/>
        <v>0.4</v>
      </c>
      <c r="AD196" s="123">
        <f t="shared" si="57"/>
        <v>0.4</v>
      </c>
      <c r="AE196" s="123">
        <f t="shared" si="57"/>
        <v>0.4</v>
      </c>
      <c r="AF196" s="123">
        <f t="shared" si="57"/>
        <v>0.4</v>
      </c>
      <c r="AG196" s="132">
        <v>2</v>
      </c>
      <c r="AH196" s="55"/>
      <c r="AI196" s="56"/>
      <c r="AK196" s="57"/>
    </row>
    <row r="197" spans="1:37" x14ac:dyDescent="0.25">
      <c r="A197" s="109" t="s">
        <v>200</v>
      </c>
      <c r="B197" s="123">
        <f t="shared" si="55"/>
        <v>1.5</v>
      </c>
      <c r="C197" s="123">
        <v>1.5</v>
      </c>
      <c r="D197" s="123">
        <f t="shared" si="56"/>
        <v>1.5</v>
      </c>
      <c r="E197" s="123">
        <f t="shared" si="56"/>
        <v>1.5</v>
      </c>
      <c r="F197" s="123">
        <f t="shared" si="56"/>
        <v>1.5</v>
      </c>
      <c r="G197" s="123">
        <f t="shared" si="56"/>
        <v>1.5</v>
      </c>
      <c r="H197" s="123">
        <f t="shared" si="56"/>
        <v>1.5</v>
      </c>
      <c r="I197" s="123">
        <f t="shared" si="56"/>
        <v>1.5</v>
      </c>
      <c r="J197" s="123">
        <f t="shared" si="56"/>
        <v>1.5</v>
      </c>
      <c r="K197" s="123">
        <f t="shared" si="56"/>
        <v>1.5</v>
      </c>
      <c r="L197" s="123">
        <f t="shared" si="56"/>
        <v>1.5</v>
      </c>
      <c r="M197" s="123">
        <f t="shared" si="56"/>
        <v>1.5</v>
      </c>
      <c r="N197" s="123">
        <f t="shared" si="56"/>
        <v>1.5</v>
      </c>
      <c r="O197" s="123">
        <f t="shared" si="56"/>
        <v>1.5</v>
      </c>
      <c r="P197" s="123">
        <f t="shared" si="56"/>
        <v>1.5</v>
      </c>
      <c r="Q197" s="123">
        <f t="shared" si="56"/>
        <v>1.5</v>
      </c>
      <c r="R197" s="123">
        <f t="shared" si="56"/>
        <v>1.5</v>
      </c>
      <c r="S197" s="123">
        <f t="shared" si="56"/>
        <v>1.5</v>
      </c>
      <c r="T197" s="123">
        <f t="shared" si="57"/>
        <v>1.5</v>
      </c>
      <c r="U197" s="123">
        <f t="shared" si="57"/>
        <v>1.5</v>
      </c>
      <c r="V197" s="123">
        <f t="shared" si="57"/>
        <v>1.5</v>
      </c>
      <c r="W197" s="123">
        <f t="shared" si="57"/>
        <v>1.5</v>
      </c>
      <c r="X197" s="123">
        <f t="shared" si="57"/>
        <v>1.5</v>
      </c>
      <c r="Y197" s="123">
        <f t="shared" si="57"/>
        <v>1.5</v>
      </c>
      <c r="Z197" s="123">
        <f t="shared" si="57"/>
        <v>1.5</v>
      </c>
      <c r="AA197" s="123">
        <f t="shared" si="57"/>
        <v>1.5</v>
      </c>
      <c r="AB197" s="123">
        <f t="shared" si="57"/>
        <v>1.5</v>
      </c>
      <c r="AC197" s="123">
        <f t="shared" si="57"/>
        <v>1.5</v>
      </c>
      <c r="AD197" s="123">
        <f t="shared" si="57"/>
        <v>1.5</v>
      </c>
      <c r="AE197" s="123">
        <f t="shared" si="57"/>
        <v>1.5</v>
      </c>
      <c r="AF197" s="123">
        <f t="shared" si="57"/>
        <v>1.5</v>
      </c>
      <c r="AG197" s="132">
        <v>1.5</v>
      </c>
      <c r="AH197" s="55"/>
      <c r="AI197" s="56"/>
      <c r="AK197" s="57"/>
    </row>
    <row r="198" spans="1:37" x14ac:dyDescent="0.25">
      <c r="A198" s="109" t="s">
        <v>201</v>
      </c>
      <c r="B198" s="123">
        <f t="shared" si="55"/>
        <v>0.3</v>
      </c>
      <c r="C198" s="123">
        <v>0.3</v>
      </c>
      <c r="D198" s="123">
        <f t="shared" si="56"/>
        <v>0.3</v>
      </c>
      <c r="E198" s="123">
        <f t="shared" si="56"/>
        <v>0.3</v>
      </c>
      <c r="F198" s="123">
        <f t="shared" si="56"/>
        <v>0.3</v>
      </c>
      <c r="G198" s="123">
        <f t="shared" si="56"/>
        <v>0.3</v>
      </c>
      <c r="H198" s="123">
        <f t="shared" si="56"/>
        <v>0.3</v>
      </c>
      <c r="I198" s="123">
        <f t="shared" si="56"/>
        <v>0.3</v>
      </c>
      <c r="J198" s="123">
        <f t="shared" si="56"/>
        <v>0.3</v>
      </c>
      <c r="K198" s="123">
        <f t="shared" si="56"/>
        <v>0.3</v>
      </c>
      <c r="L198" s="123">
        <f t="shared" si="56"/>
        <v>0.3</v>
      </c>
      <c r="M198" s="123">
        <f t="shared" si="56"/>
        <v>0.3</v>
      </c>
      <c r="N198" s="123">
        <f t="shared" si="56"/>
        <v>0.3</v>
      </c>
      <c r="O198" s="123">
        <f t="shared" si="56"/>
        <v>0.3</v>
      </c>
      <c r="P198" s="123">
        <f t="shared" si="56"/>
        <v>0.3</v>
      </c>
      <c r="Q198" s="123">
        <f t="shared" si="56"/>
        <v>0.3</v>
      </c>
      <c r="R198" s="123">
        <f t="shared" si="56"/>
        <v>0.3</v>
      </c>
      <c r="S198" s="123">
        <f t="shared" si="56"/>
        <v>0.3</v>
      </c>
      <c r="T198" s="123">
        <f t="shared" si="57"/>
        <v>0.3</v>
      </c>
      <c r="U198" s="123">
        <f t="shared" si="57"/>
        <v>0.3</v>
      </c>
      <c r="V198" s="123">
        <f t="shared" si="57"/>
        <v>0.3</v>
      </c>
      <c r="W198" s="123">
        <f t="shared" si="57"/>
        <v>0.3</v>
      </c>
      <c r="X198" s="123">
        <f t="shared" si="57"/>
        <v>0.3</v>
      </c>
      <c r="Y198" s="123">
        <f t="shared" si="57"/>
        <v>0.3</v>
      </c>
      <c r="Z198" s="123">
        <f t="shared" si="57"/>
        <v>0.3</v>
      </c>
      <c r="AA198" s="123">
        <f t="shared" si="57"/>
        <v>0.3</v>
      </c>
      <c r="AB198" s="123">
        <f t="shared" si="57"/>
        <v>0.3</v>
      </c>
      <c r="AC198" s="123">
        <f t="shared" si="57"/>
        <v>0.3</v>
      </c>
      <c r="AD198" s="123">
        <f t="shared" si="57"/>
        <v>0.3</v>
      </c>
      <c r="AE198" s="123">
        <f t="shared" si="57"/>
        <v>0.3</v>
      </c>
      <c r="AF198" s="123">
        <f t="shared" si="57"/>
        <v>0.3</v>
      </c>
      <c r="AG198" s="132">
        <v>1</v>
      </c>
      <c r="AH198" s="55"/>
      <c r="AI198" s="56"/>
      <c r="AK198" s="57"/>
    </row>
    <row r="199" spans="1:37" x14ac:dyDescent="0.25">
      <c r="A199" s="109" t="s">
        <v>202</v>
      </c>
      <c r="B199" s="123">
        <f t="shared" si="55"/>
        <v>0.4</v>
      </c>
      <c r="C199" s="123">
        <v>0.4</v>
      </c>
      <c r="D199" s="123">
        <f t="shared" si="56"/>
        <v>0.4</v>
      </c>
      <c r="E199" s="123">
        <f t="shared" si="56"/>
        <v>0.4</v>
      </c>
      <c r="F199" s="123">
        <f t="shared" si="56"/>
        <v>0.4</v>
      </c>
      <c r="G199" s="123">
        <f t="shared" si="56"/>
        <v>0.4</v>
      </c>
      <c r="H199" s="123">
        <f t="shared" si="56"/>
        <v>0.4</v>
      </c>
      <c r="I199" s="123">
        <f t="shared" si="56"/>
        <v>0.4</v>
      </c>
      <c r="J199" s="123">
        <f t="shared" si="56"/>
        <v>0.4</v>
      </c>
      <c r="K199" s="123">
        <f t="shared" si="56"/>
        <v>0.4</v>
      </c>
      <c r="L199" s="123">
        <f t="shared" si="56"/>
        <v>0.4</v>
      </c>
      <c r="M199" s="123">
        <f t="shared" si="56"/>
        <v>0.4</v>
      </c>
      <c r="N199" s="123">
        <f t="shared" si="56"/>
        <v>0.4</v>
      </c>
      <c r="O199" s="123">
        <f t="shared" si="56"/>
        <v>0.4</v>
      </c>
      <c r="P199" s="123">
        <f t="shared" si="56"/>
        <v>0.4</v>
      </c>
      <c r="Q199" s="123">
        <f t="shared" si="56"/>
        <v>0.4</v>
      </c>
      <c r="R199" s="123">
        <f t="shared" si="56"/>
        <v>0.4</v>
      </c>
      <c r="S199" s="123">
        <f t="shared" si="56"/>
        <v>0.4</v>
      </c>
      <c r="T199" s="123">
        <f t="shared" si="57"/>
        <v>0.4</v>
      </c>
      <c r="U199" s="123">
        <f t="shared" si="57"/>
        <v>0.4</v>
      </c>
      <c r="V199" s="123">
        <f t="shared" si="57"/>
        <v>0.4</v>
      </c>
      <c r="W199" s="123">
        <f t="shared" si="57"/>
        <v>0.4</v>
      </c>
      <c r="X199" s="123">
        <f t="shared" si="57"/>
        <v>0.4</v>
      </c>
      <c r="Y199" s="123">
        <f t="shared" si="57"/>
        <v>0.4</v>
      </c>
      <c r="Z199" s="123">
        <f t="shared" si="57"/>
        <v>0.4</v>
      </c>
      <c r="AA199" s="123">
        <f t="shared" si="57"/>
        <v>0.4</v>
      </c>
      <c r="AB199" s="123">
        <f t="shared" si="57"/>
        <v>0.4</v>
      </c>
      <c r="AC199" s="123">
        <f t="shared" si="57"/>
        <v>0.4</v>
      </c>
      <c r="AD199" s="123">
        <f t="shared" si="57"/>
        <v>0.4</v>
      </c>
      <c r="AE199" s="123">
        <f t="shared" si="57"/>
        <v>0.4</v>
      </c>
      <c r="AF199" s="123">
        <f t="shared" si="57"/>
        <v>0.4</v>
      </c>
      <c r="AG199" s="132">
        <v>1</v>
      </c>
      <c r="AH199" s="55"/>
      <c r="AI199" s="56"/>
      <c r="AK199" s="57"/>
    </row>
    <row r="200" spans="1:37" ht="15.75" thickBot="1" x14ac:dyDescent="0.3">
      <c r="A200" s="111" t="s">
        <v>203</v>
      </c>
      <c r="B200" s="133">
        <f t="shared" si="55"/>
        <v>0.64</v>
      </c>
      <c r="C200" s="133">
        <v>0.64</v>
      </c>
      <c r="D200" s="133">
        <f t="shared" si="56"/>
        <v>0.64</v>
      </c>
      <c r="E200" s="133">
        <f t="shared" si="56"/>
        <v>0.64</v>
      </c>
      <c r="F200" s="133">
        <f t="shared" si="56"/>
        <v>0.64</v>
      </c>
      <c r="G200" s="133">
        <f t="shared" si="56"/>
        <v>0.64</v>
      </c>
      <c r="H200" s="133">
        <f t="shared" si="56"/>
        <v>0.64</v>
      </c>
      <c r="I200" s="133">
        <f t="shared" si="56"/>
        <v>0.64</v>
      </c>
      <c r="J200" s="133">
        <f t="shared" si="56"/>
        <v>0.64</v>
      </c>
      <c r="K200" s="133">
        <f t="shared" si="56"/>
        <v>0.64</v>
      </c>
      <c r="L200" s="133">
        <f t="shared" si="56"/>
        <v>0.64</v>
      </c>
      <c r="M200" s="133">
        <f t="shared" si="56"/>
        <v>0.64</v>
      </c>
      <c r="N200" s="133">
        <f t="shared" si="56"/>
        <v>0.64</v>
      </c>
      <c r="O200" s="133">
        <f t="shared" si="56"/>
        <v>0.64</v>
      </c>
      <c r="P200" s="133">
        <f t="shared" si="56"/>
        <v>0.64</v>
      </c>
      <c r="Q200" s="133">
        <f t="shared" si="56"/>
        <v>0.64</v>
      </c>
      <c r="R200" s="133">
        <f t="shared" si="56"/>
        <v>0.64</v>
      </c>
      <c r="S200" s="133">
        <f t="shared" si="56"/>
        <v>0.64</v>
      </c>
      <c r="T200" s="133">
        <f t="shared" si="57"/>
        <v>0.64</v>
      </c>
      <c r="U200" s="133">
        <f t="shared" si="57"/>
        <v>0.64</v>
      </c>
      <c r="V200" s="133">
        <f t="shared" si="57"/>
        <v>0.64</v>
      </c>
      <c r="W200" s="133">
        <f t="shared" si="57"/>
        <v>0.64</v>
      </c>
      <c r="X200" s="133">
        <f t="shared" si="57"/>
        <v>0.64</v>
      </c>
      <c r="Y200" s="133">
        <f t="shared" si="57"/>
        <v>0.64</v>
      </c>
      <c r="Z200" s="133">
        <f t="shared" si="57"/>
        <v>0.64</v>
      </c>
      <c r="AA200" s="133">
        <f t="shared" si="57"/>
        <v>0.64</v>
      </c>
      <c r="AB200" s="133">
        <f t="shared" si="57"/>
        <v>0.64</v>
      </c>
      <c r="AC200" s="133">
        <f t="shared" si="57"/>
        <v>0.64</v>
      </c>
      <c r="AD200" s="133">
        <f t="shared" si="57"/>
        <v>0.64</v>
      </c>
      <c r="AE200" s="133">
        <f t="shared" si="57"/>
        <v>0.64</v>
      </c>
      <c r="AF200" s="133">
        <f t="shared" si="57"/>
        <v>0.64</v>
      </c>
      <c r="AG200" s="134">
        <v>0.66</v>
      </c>
      <c r="AH200" s="55"/>
      <c r="AI200" s="56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58">SUM(D195:D200)</f>
        <v>3.54</v>
      </c>
      <c r="E201" s="136">
        <f t="shared" si="58"/>
        <v>3.54</v>
      </c>
      <c r="F201" s="136">
        <f t="shared" si="58"/>
        <v>3.54</v>
      </c>
      <c r="G201" s="136">
        <f t="shared" si="58"/>
        <v>3.54</v>
      </c>
      <c r="H201" s="136">
        <f t="shared" si="58"/>
        <v>3.54</v>
      </c>
      <c r="I201" s="136">
        <f t="shared" si="58"/>
        <v>3.54</v>
      </c>
      <c r="J201" s="136">
        <f t="shared" si="58"/>
        <v>3.54</v>
      </c>
      <c r="K201" s="136">
        <f t="shared" si="58"/>
        <v>3.54</v>
      </c>
      <c r="L201" s="136">
        <f t="shared" si="58"/>
        <v>3.54</v>
      </c>
      <c r="M201" s="136">
        <f>SUM(M195:M200)</f>
        <v>3.54</v>
      </c>
      <c r="N201" s="136">
        <f t="shared" ref="N201:S201" si="59">SUM(N195:N200)</f>
        <v>3.54</v>
      </c>
      <c r="O201" s="136">
        <f t="shared" si="59"/>
        <v>3.54</v>
      </c>
      <c r="P201" s="136">
        <f t="shared" si="59"/>
        <v>3.54</v>
      </c>
      <c r="Q201" s="136">
        <f t="shared" si="59"/>
        <v>3.54</v>
      </c>
      <c r="R201" s="136">
        <f t="shared" si="59"/>
        <v>3.54</v>
      </c>
      <c r="S201" s="136">
        <f t="shared" si="59"/>
        <v>3.54</v>
      </c>
      <c r="T201" s="136">
        <f>SUM(T195:T200)</f>
        <v>3.54</v>
      </c>
      <c r="U201" s="136">
        <f t="shared" ref="U201:AG201" si="60">SUM(U195:U200)</f>
        <v>3.54</v>
      </c>
      <c r="V201" s="136">
        <f t="shared" si="60"/>
        <v>3.54</v>
      </c>
      <c r="W201" s="136">
        <f t="shared" si="60"/>
        <v>3.54</v>
      </c>
      <c r="X201" s="136">
        <f t="shared" si="60"/>
        <v>3.54</v>
      </c>
      <c r="Y201" s="136">
        <f t="shared" si="60"/>
        <v>3.54</v>
      </c>
      <c r="Z201" s="136">
        <f t="shared" si="60"/>
        <v>3.54</v>
      </c>
      <c r="AA201" s="136">
        <f t="shared" si="60"/>
        <v>3.54</v>
      </c>
      <c r="AB201" s="136">
        <f t="shared" si="60"/>
        <v>3.54</v>
      </c>
      <c r="AC201" s="136">
        <f t="shared" si="60"/>
        <v>3.54</v>
      </c>
      <c r="AD201" s="136">
        <f t="shared" si="60"/>
        <v>3.54</v>
      </c>
      <c r="AE201" s="136">
        <f t="shared" si="60"/>
        <v>3.54</v>
      </c>
      <c r="AF201" s="136">
        <f t="shared" si="60"/>
        <v>3.54</v>
      </c>
      <c r="AG201" s="137">
        <f t="shared" si="60"/>
        <v>8.56</v>
      </c>
      <c r="AH201" s="55"/>
      <c r="AI201" s="56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204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5"/>
      <c r="AI203" s="56"/>
    </row>
    <row r="204" spans="1:37" x14ac:dyDescent="0.25">
      <c r="A204" s="140" t="s">
        <v>205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5"/>
      <c r="AI204" s="56"/>
    </row>
    <row r="205" spans="1:37" x14ac:dyDescent="0.25">
      <c r="A205" s="92" t="s">
        <v>206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x14ac:dyDescent="0.25">
      <c r="A206" s="92" t="s">
        <v>207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5"/>
      <c r="AI206" s="56"/>
    </row>
    <row r="207" spans="1:37" ht="15.75" thickBot="1" x14ac:dyDescent="0.3">
      <c r="A207" s="146" t="s">
        <v>208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5"/>
      <c r="AI207" s="56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209</v>
      </c>
      <c r="B210" s="150">
        <f>MAX(G75:N75)</f>
        <v>1684.24</v>
      </c>
      <c r="C210" s="151">
        <f>INDEX(G9:N9,1,MATCH(MAX(G75:N75),G75:N75,0))</f>
        <v>0.33333333333333331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17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8" t="s">
        <v>210</v>
      </c>
      <c r="B212" s="198"/>
      <c r="C212" s="47"/>
      <c r="D212" s="152" t="str">
        <f ca="1">"Pie Chart of Daily Peak Demand(Inclusive of Export) of Nepal ("&amp;A4&amp;" "&amp;B4&amp;")"</f>
        <v>Pie Chart of Daily Peak Demand(Inclusive of Export) of Nepal (Nepali Date: 2079/02/17)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2079/02/17)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211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212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213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214</v>
      </c>
      <c r="T215" s="161">
        <f t="shared" ref="T215:AX215" si="61">B75</f>
        <v>1646.84</v>
      </c>
      <c r="U215" s="161">
        <f t="shared" si="61"/>
        <v>1590.54</v>
      </c>
      <c r="V215" s="161">
        <f t="shared" si="61"/>
        <v>1569.34</v>
      </c>
      <c r="W215" s="161">
        <f t="shared" si="61"/>
        <v>1602.04</v>
      </c>
      <c r="X215" s="161">
        <f t="shared" si="61"/>
        <v>1604.1399999999999</v>
      </c>
      <c r="Y215" s="161">
        <f t="shared" si="61"/>
        <v>1605.04</v>
      </c>
      <c r="Z215" s="161">
        <f t="shared" si="61"/>
        <v>1624.44</v>
      </c>
      <c r="AA215" s="161">
        <f t="shared" si="61"/>
        <v>1625.74</v>
      </c>
      <c r="AB215" s="161">
        <f t="shared" si="61"/>
        <v>1652.54</v>
      </c>
      <c r="AC215" s="161">
        <f t="shared" si="61"/>
        <v>1665.94</v>
      </c>
      <c r="AD215" s="161">
        <f t="shared" si="61"/>
        <v>1667.24</v>
      </c>
      <c r="AE215" s="161">
        <f t="shared" si="61"/>
        <v>1684.24</v>
      </c>
      <c r="AF215" s="161">
        <f t="shared" si="61"/>
        <v>1677.24</v>
      </c>
      <c r="AG215" s="161">
        <f t="shared" si="61"/>
        <v>1721.0399999999997</v>
      </c>
      <c r="AH215" s="161">
        <f t="shared" si="61"/>
        <v>1715.94</v>
      </c>
      <c r="AI215" s="161">
        <f t="shared" si="61"/>
        <v>1694.5400000000002</v>
      </c>
      <c r="AJ215" s="161">
        <f t="shared" si="61"/>
        <v>1710.74</v>
      </c>
      <c r="AK215" s="161">
        <f t="shared" si="61"/>
        <v>1730.4399999999998</v>
      </c>
      <c r="AL215" s="161">
        <f t="shared" si="61"/>
        <v>1712.9399999999998</v>
      </c>
      <c r="AM215" s="161">
        <f t="shared" si="61"/>
        <v>1671.1399999999999</v>
      </c>
      <c r="AN215" s="161">
        <f t="shared" si="61"/>
        <v>1721.5399999999997</v>
      </c>
      <c r="AO215" s="161">
        <f t="shared" si="61"/>
        <v>1699.8399999999997</v>
      </c>
      <c r="AP215" s="161">
        <f t="shared" si="61"/>
        <v>1692.4399999999998</v>
      </c>
      <c r="AQ215" s="161">
        <f t="shared" si="61"/>
        <v>1703.3399999999997</v>
      </c>
      <c r="AR215" s="161">
        <f t="shared" si="61"/>
        <v>1699.2399999999998</v>
      </c>
      <c r="AS215" s="161">
        <f t="shared" si="61"/>
        <v>1720.34</v>
      </c>
      <c r="AT215" s="161">
        <f t="shared" si="61"/>
        <v>1734.8400000000001</v>
      </c>
      <c r="AU215" s="161">
        <f t="shared" si="61"/>
        <v>1746.1399999999999</v>
      </c>
      <c r="AV215" s="161">
        <f t="shared" si="61"/>
        <v>1753.3400000000001</v>
      </c>
      <c r="AW215" s="161">
        <f t="shared" si="61"/>
        <v>1704.54</v>
      </c>
      <c r="AX215" s="161">
        <f t="shared" si="61"/>
        <v>1729.1399999999999</v>
      </c>
    </row>
    <row r="216" spans="1:50" x14ac:dyDescent="0.25">
      <c r="A216" s="153" t="s">
        <v>215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216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217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218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219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204</v>
      </c>
      <c r="B236" s="164">
        <f t="shared" ref="B236:AE236" si="62">C200</f>
        <v>0.64</v>
      </c>
      <c r="C236" s="164">
        <f t="shared" si="62"/>
        <v>0.64</v>
      </c>
      <c r="D236" s="164">
        <f t="shared" si="62"/>
        <v>0.64</v>
      </c>
      <c r="E236" s="164">
        <f t="shared" si="62"/>
        <v>0.64</v>
      </c>
      <c r="F236" s="164">
        <f t="shared" si="62"/>
        <v>0.64</v>
      </c>
      <c r="G236" s="164">
        <f t="shared" si="62"/>
        <v>0.64</v>
      </c>
      <c r="H236" s="164">
        <f t="shared" si="62"/>
        <v>0.64</v>
      </c>
      <c r="I236" s="164">
        <f t="shared" si="62"/>
        <v>0.64</v>
      </c>
      <c r="J236" s="164">
        <f t="shared" si="62"/>
        <v>0.64</v>
      </c>
      <c r="K236" s="164">
        <f t="shared" si="62"/>
        <v>0.64</v>
      </c>
      <c r="L236" s="164">
        <f t="shared" si="62"/>
        <v>0.64</v>
      </c>
      <c r="M236" s="164">
        <f t="shared" si="62"/>
        <v>0.64</v>
      </c>
      <c r="N236" s="164">
        <f t="shared" si="62"/>
        <v>0.64</v>
      </c>
      <c r="O236" s="164">
        <f t="shared" si="62"/>
        <v>0.64</v>
      </c>
      <c r="P236" s="164">
        <f t="shared" si="62"/>
        <v>0.64</v>
      </c>
      <c r="Q236" s="164">
        <f t="shared" si="62"/>
        <v>0.64</v>
      </c>
      <c r="R236" s="164">
        <f t="shared" si="62"/>
        <v>0.64</v>
      </c>
      <c r="S236" s="164">
        <f t="shared" si="62"/>
        <v>0.64</v>
      </c>
      <c r="T236" s="164">
        <f t="shared" si="62"/>
        <v>0.64</v>
      </c>
      <c r="U236" s="164">
        <f t="shared" si="62"/>
        <v>0.64</v>
      </c>
      <c r="V236" s="164">
        <f t="shared" si="62"/>
        <v>0.64</v>
      </c>
      <c r="W236" s="164">
        <f t="shared" si="62"/>
        <v>0.64</v>
      </c>
      <c r="X236" s="164">
        <f t="shared" si="62"/>
        <v>0.64</v>
      </c>
      <c r="Y236" s="164">
        <f t="shared" si="62"/>
        <v>0.64</v>
      </c>
      <c r="Z236" s="164">
        <f t="shared" si="62"/>
        <v>0.64</v>
      </c>
      <c r="AA236" s="164">
        <f t="shared" si="62"/>
        <v>0.64</v>
      </c>
      <c r="AB236" s="164">
        <f t="shared" si="62"/>
        <v>0.64</v>
      </c>
      <c r="AC236" s="164">
        <f t="shared" si="62"/>
        <v>0.64</v>
      </c>
      <c r="AD236" s="164">
        <f t="shared" si="62"/>
        <v>0.64</v>
      </c>
      <c r="AE236" s="164">
        <f t="shared" si="62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63">IF(C204&lt;100,"",C204-520)</f>
        <v/>
      </c>
      <c r="D237" s="107" t="str">
        <f t="shared" si="63"/>
        <v/>
      </c>
      <c r="E237" s="107" t="str">
        <f t="shared" si="63"/>
        <v/>
      </c>
      <c r="F237" s="107" t="str">
        <f t="shared" si="63"/>
        <v/>
      </c>
      <c r="G237" s="107" t="str">
        <f t="shared" si="63"/>
        <v/>
      </c>
      <c r="H237" s="107" t="str">
        <f t="shared" si="63"/>
        <v/>
      </c>
      <c r="I237" s="107" t="str">
        <f t="shared" si="63"/>
        <v/>
      </c>
      <c r="J237" s="107" t="str">
        <f t="shared" si="63"/>
        <v/>
      </c>
      <c r="K237" s="107" t="str">
        <f t="shared" si="63"/>
        <v/>
      </c>
      <c r="L237" s="107" t="str">
        <f t="shared" si="63"/>
        <v/>
      </c>
      <c r="M237" s="107" t="str">
        <f t="shared" si="63"/>
        <v/>
      </c>
      <c r="N237" s="107" t="str">
        <f t="shared" si="63"/>
        <v/>
      </c>
      <c r="O237" s="107" t="str">
        <f t="shared" si="63"/>
        <v/>
      </c>
      <c r="P237" s="107" t="str">
        <f t="shared" si="63"/>
        <v/>
      </c>
      <c r="Q237" s="107" t="str">
        <f t="shared" si="63"/>
        <v/>
      </c>
      <c r="R237" s="107" t="str">
        <f t="shared" si="63"/>
        <v/>
      </c>
      <c r="S237" s="107" t="str">
        <f t="shared" si="63"/>
        <v/>
      </c>
      <c r="T237" s="107" t="str">
        <f t="shared" si="63"/>
        <v/>
      </c>
      <c r="U237" s="107" t="str">
        <f t="shared" si="63"/>
        <v/>
      </c>
      <c r="V237" s="107" t="str">
        <f t="shared" si="63"/>
        <v/>
      </c>
      <c r="W237" s="107" t="str">
        <f t="shared" si="63"/>
        <v/>
      </c>
      <c r="X237" s="107" t="str">
        <f t="shared" si="63"/>
        <v/>
      </c>
      <c r="Y237" s="107" t="str">
        <f t="shared" si="63"/>
        <v/>
      </c>
      <c r="Z237" s="107" t="str">
        <f t="shared" si="63"/>
        <v/>
      </c>
      <c r="AA237" s="107" t="str">
        <f t="shared" si="63"/>
        <v/>
      </c>
      <c r="AB237" s="107" t="str">
        <f t="shared" si="63"/>
        <v/>
      </c>
      <c r="AC237" s="107" t="str">
        <f t="shared" si="63"/>
        <v/>
      </c>
      <c r="AD237" s="107" t="str">
        <f t="shared" si="63"/>
        <v/>
      </c>
      <c r="AE237" s="107" t="str">
        <f t="shared" si="63"/>
        <v/>
      </c>
      <c r="AF237" s="107" t="str">
        <f t="shared" si="63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64">IF(B205&lt;100,"",B205-620)</f>
        <v/>
      </c>
      <c r="C238" s="107" t="str">
        <f t="shared" si="64"/>
        <v/>
      </c>
      <c r="D238" s="107" t="str">
        <f t="shared" si="64"/>
        <v/>
      </c>
      <c r="E238" s="107" t="str">
        <f t="shared" si="64"/>
        <v/>
      </c>
      <c r="F238" s="107" t="str">
        <f t="shared" si="64"/>
        <v/>
      </c>
      <c r="G238" s="107" t="str">
        <f t="shared" si="64"/>
        <v/>
      </c>
      <c r="H238" s="107" t="str">
        <f t="shared" si="64"/>
        <v/>
      </c>
      <c r="I238" s="107" t="str">
        <f t="shared" si="64"/>
        <v/>
      </c>
      <c r="J238" s="107" t="str">
        <f t="shared" si="64"/>
        <v/>
      </c>
      <c r="K238" s="107" t="str">
        <f t="shared" si="64"/>
        <v/>
      </c>
      <c r="L238" s="107" t="str">
        <f t="shared" si="64"/>
        <v/>
      </c>
      <c r="M238" s="107" t="str">
        <f t="shared" si="64"/>
        <v/>
      </c>
      <c r="N238" s="107" t="str">
        <f t="shared" si="64"/>
        <v/>
      </c>
      <c r="O238" s="107" t="str">
        <f t="shared" si="64"/>
        <v/>
      </c>
      <c r="P238" s="107" t="str">
        <f t="shared" si="64"/>
        <v/>
      </c>
      <c r="Q238" s="107" t="str">
        <f t="shared" si="64"/>
        <v/>
      </c>
      <c r="R238" s="107" t="str">
        <f t="shared" si="64"/>
        <v/>
      </c>
      <c r="S238" s="107" t="str">
        <f t="shared" si="64"/>
        <v/>
      </c>
      <c r="T238" s="107" t="str">
        <f t="shared" si="64"/>
        <v/>
      </c>
      <c r="U238" s="107" t="str">
        <f t="shared" si="64"/>
        <v/>
      </c>
      <c r="V238" s="107" t="str">
        <f t="shared" si="64"/>
        <v/>
      </c>
      <c r="W238" s="107" t="str">
        <f t="shared" si="64"/>
        <v/>
      </c>
      <c r="X238" s="107" t="str">
        <f t="shared" si="64"/>
        <v/>
      </c>
      <c r="Y238" s="107" t="str">
        <f t="shared" si="64"/>
        <v/>
      </c>
      <c r="Z238" s="107" t="str">
        <f t="shared" si="64"/>
        <v/>
      </c>
      <c r="AA238" s="107" t="str">
        <f t="shared" si="64"/>
        <v/>
      </c>
      <c r="AB238" s="107" t="str">
        <f t="shared" si="64"/>
        <v/>
      </c>
      <c r="AC238" s="107" t="str">
        <f t="shared" si="64"/>
        <v/>
      </c>
      <c r="AD238" s="107" t="str">
        <f t="shared" si="64"/>
        <v/>
      </c>
      <c r="AE238" s="107" t="str">
        <f t="shared" si="64"/>
        <v/>
      </c>
      <c r="AF238" s="107" t="str">
        <f t="shared" si="64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65">IF(B206&lt;100,"",B206-330)</f>
        <v/>
      </c>
      <c r="C239" s="107" t="str">
        <f t="shared" si="65"/>
        <v/>
      </c>
      <c r="D239" s="107" t="str">
        <f t="shared" si="65"/>
        <v/>
      </c>
      <c r="E239" s="107" t="str">
        <f t="shared" si="65"/>
        <v/>
      </c>
      <c r="F239" s="107" t="str">
        <f t="shared" si="65"/>
        <v/>
      </c>
      <c r="G239" s="107" t="str">
        <f t="shared" si="65"/>
        <v/>
      </c>
      <c r="H239" s="107" t="str">
        <f t="shared" si="65"/>
        <v/>
      </c>
      <c r="I239" s="107" t="str">
        <f t="shared" si="65"/>
        <v/>
      </c>
      <c r="J239" s="107" t="str">
        <f t="shared" si="65"/>
        <v/>
      </c>
      <c r="K239" s="107" t="str">
        <f t="shared" si="65"/>
        <v/>
      </c>
      <c r="L239" s="107" t="str">
        <f t="shared" si="65"/>
        <v/>
      </c>
      <c r="M239" s="107" t="str">
        <f t="shared" si="65"/>
        <v/>
      </c>
      <c r="N239" s="107" t="str">
        <f t="shared" si="65"/>
        <v/>
      </c>
      <c r="O239" s="107" t="str">
        <f t="shared" si="65"/>
        <v/>
      </c>
      <c r="P239" s="107" t="str">
        <f t="shared" si="65"/>
        <v/>
      </c>
      <c r="Q239" s="107" t="str">
        <f t="shared" si="65"/>
        <v/>
      </c>
      <c r="R239" s="107" t="str">
        <f t="shared" si="65"/>
        <v/>
      </c>
      <c r="S239" s="107" t="str">
        <f t="shared" si="65"/>
        <v/>
      </c>
      <c r="T239" s="107" t="str">
        <f t="shared" si="65"/>
        <v/>
      </c>
      <c r="U239" s="107" t="str">
        <f t="shared" si="65"/>
        <v/>
      </c>
      <c r="V239" s="107" t="str">
        <f t="shared" si="65"/>
        <v/>
      </c>
      <c r="W239" s="107" t="str">
        <f t="shared" si="65"/>
        <v/>
      </c>
      <c r="X239" s="107" t="str">
        <f t="shared" si="65"/>
        <v/>
      </c>
      <c r="Y239" s="107" t="str">
        <f t="shared" si="65"/>
        <v/>
      </c>
      <c r="Z239" s="107" t="str">
        <f t="shared" si="65"/>
        <v/>
      </c>
      <c r="AA239" s="107" t="str">
        <f t="shared" si="65"/>
        <v/>
      </c>
      <c r="AB239" s="107" t="str">
        <f t="shared" si="65"/>
        <v/>
      </c>
      <c r="AC239" s="107" t="str">
        <f t="shared" si="65"/>
        <v/>
      </c>
      <c r="AD239" s="107" t="str">
        <f t="shared" si="65"/>
        <v/>
      </c>
      <c r="AE239" s="107" t="str">
        <f t="shared" si="65"/>
        <v/>
      </c>
      <c r="AF239" s="107" t="str">
        <f t="shared" si="65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66">IF(C207&lt;100,"",C207-1500)</f>
        <v/>
      </c>
      <c r="D240" s="107" t="str">
        <f t="shared" si="66"/>
        <v/>
      </c>
      <c r="E240" s="107" t="str">
        <f t="shared" si="66"/>
        <v/>
      </c>
      <c r="F240" s="107" t="str">
        <f t="shared" si="66"/>
        <v/>
      </c>
      <c r="G240" s="107" t="str">
        <f t="shared" si="66"/>
        <v/>
      </c>
      <c r="H240" s="107" t="str">
        <f t="shared" si="66"/>
        <v/>
      </c>
      <c r="I240" s="107" t="str">
        <f t="shared" si="66"/>
        <v/>
      </c>
      <c r="J240" s="107" t="str">
        <f t="shared" si="66"/>
        <v/>
      </c>
      <c r="K240" s="107" t="str">
        <f t="shared" si="66"/>
        <v/>
      </c>
      <c r="L240" s="107" t="str">
        <f t="shared" si="66"/>
        <v/>
      </c>
      <c r="M240" s="107" t="str">
        <f t="shared" si="66"/>
        <v/>
      </c>
      <c r="N240" s="107" t="str">
        <f t="shared" si="66"/>
        <v/>
      </c>
      <c r="O240" s="107" t="str">
        <f t="shared" si="66"/>
        <v/>
      </c>
      <c r="P240" s="107" t="str">
        <f t="shared" si="66"/>
        <v/>
      </c>
      <c r="Q240" s="107" t="str">
        <f t="shared" si="66"/>
        <v/>
      </c>
      <c r="R240" s="107" t="str">
        <f t="shared" si="66"/>
        <v/>
      </c>
      <c r="S240" s="107" t="str">
        <f t="shared" si="66"/>
        <v/>
      </c>
      <c r="T240" s="107" t="str">
        <f t="shared" si="66"/>
        <v/>
      </c>
      <c r="U240" s="107" t="str">
        <f t="shared" si="66"/>
        <v/>
      </c>
      <c r="V240" s="107" t="str">
        <f t="shared" si="66"/>
        <v/>
      </c>
      <c r="W240" s="107" t="str">
        <f t="shared" si="66"/>
        <v/>
      </c>
      <c r="X240" s="107" t="str">
        <f t="shared" si="66"/>
        <v/>
      </c>
      <c r="Y240" s="107" t="str">
        <f t="shared" si="66"/>
        <v/>
      </c>
      <c r="Z240" s="107" t="str">
        <f t="shared" si="66"/>
        <v/>
      </c>
      <c r="AA240" s="107" t="str">
        <f t="shared" si="66"/>
        <v/>
      </c>
      <c r="AB240" s="107" t="str">
        <f t="shared" si="66"/>
        <v/>
      </c>
      <c r="AC240" s="107" t="str">
        <f t="shared" si="66"/>
        <v/>
      </c>
      <c r="AD240" s="107" t="str">
        <f t="shared" si="66"/>
        <v/>
      </c>
      <c r="AE240" s="107" t="str">
        <f t="shared" si="66"/>
        <v/>
      </c>
      <c r="AF240" s="107" t="str">
        <f t="shared" si="66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C94:AF100 T11:AF11">
    <cfRule type="expression" dxfId="3531" priority="220">
      <formula>B$9&gt;=20/24</formula>
    </cfRule>
    <cfRule type="expression" dxfId="3530" priority="221">
      <formula>AND(B$9&gt;=14/24,B$9&lt;20/24)</formula>
    </cfRule>
    <cfRule type="expression" dxfId="3529" priority="222">
      <formula>AND(B$9&gt;=8/24,B$9&lt;14/24)</formula>
    </cfRule>
    <cfRule type="expression" dxfId="3528" priority="223">
      <formula>B$9&lt;8/24</formula>
    </cfRule>
  </conditionalFormatting>
  <conditionalFormatting sqref="AL4:AL6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527" priority="215">
      <formula>S$9&gt;=20/24</formula>
    </cfRule>
    <cfRule type="expression" dxfId="3526" priority="216">
      <formula>AND(S$9&gt;=14/24,S$9&lt;20/24)</formula>
    </cfRule>
    <cfRule type="expression" dxfId="3525" priority="217">
      <formula>AND(S$9&gt;=8/24,S$9&lt;14/24)</formula>
    </cfRule>
    <cfRule type="expression" dxfId="3524" priority="218">
      <formula>S$9&lt;8/24</formula>
    </cfRule>
  </conditionalFormatting>
  <conditionalFormatting sqref="AG51 S37:AF37 M11:AF11">
    <cfRule type="expression" dxfId="3523" priority="214">
      <formula>M11&gt;$AG11</formula>
    </cfRule>
  </conditionalFormatting>
  <conditionalFormatting sqref="A102:A158 A84:A97 A11:A14 A16:A32 A45:A72 A80:A82 A74:A78 A35:A43 A171:A201">
    <cfRule type="expression" dxfId="3522" priority="213">
      <formula>$AH11=0</formula>
    </cfRule>
  </conditionalFormatting>
  <conditionalFormatting sqref="A98">
    <cfRule type="expression" dxfId="3521" priority="212">
      <formula>$AH98=0</formula>
    </cfRule>
  </conditionalFormatting>
  <conditionalFormatting sqref="AL32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520" priority="210">
      <formula>$AH34=0</formula>
    </cfRule>
  </conditionalFormatting>
  <conditionalFormatting sqref="A83">
    <cfRule type="expression" dxfId="3519" priority="209">
      <formula>$AH83=0</formula>
    </cfRule>
  </conditionalFormatting>
  <conditionalFormatting sqref="A15">
    <cfRule type="expression" dxfId="3518" priority="208">
      <formula>$AH15=0</formula>
    </cfRule>
  </conditionalFormatting>
  <conditionalFormatting sqref="A165:A170">
    <cfRule type="expression" dxfId="3517" priority="207">
      <formula>$AH165=0</formula>
    </cfRule>
  </conditionalFormatting>
  <conditionalFormatting sqref="A159:A164">
    <cfRule type="expression" dxfId="3516" priority="206">
      <formula>$AH159=0</formula>
    </cfRule>
  </conditionalFormatting>
  <conditionalFormatting sqref="A44">
    <cfRule type="expression" dxfId="3515" priority="205">
      <formula>$AH44=0</formula>
    </cfRule>
  </conditionalFormatting>
  <conditionalFormatting sqref="A79">
    <cfRule type="expression" dxfId="3514" priority="204">
      <formula>$AH79=0</formula>
    </cfRule>
  </conditionalFormatting>
  <conditionalFormatting sqref="A73">
    <cfRule type="expression" dxfId="3513" priority="203">
      <formula>$AH73=0</formula>
    </cfRule>
  </conditionalFormatting>
  <conditionalFormatting sqref="AL34:AL35 AL7:AL31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512" priority="199">
      <formula>C$9&gt;=20/24</formula>
    </cfRule>
    <cfRule type="expression" dxfId="3511" priority="200">
      <formula>AND(C$9&gt;=14/24,C$9&lt;20/24)</formula>
    </cfRule>
    <cfRule type="expression" dxfId="3510" priority="201">
      <formula>AND(C$9&gt;=8/24,C$9&lt;14/24)</formula>
    </cfRule>
    <cfRule type="expression" dxfId="3509" priority="202">
      <formula>C$9&lt;8/24</formula>
    </cfRule>
  </conditionalFormatting>
  <conditionalFormatting sqref="AL33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508" priority="227">
      <formula>C$9&gt;=20/24</formula>
    </cfRule>
    <cfRule type="expression" dxfId="3507" priority="228">
      <formula>AND(C$9&gt;=14/24,C$9&lt;20/24)</formula>
    </cfRule>
    <cfRule type="expression" dxfId="3506" priority="229">
      <formula>AND(C$9&gt;=8/24,C$9&lt;14/24)</formula>
    </cfRule>
    <cfRule type="expression" dxfId="3505" priority="230">
      <formula>C$9&lt;8/24</formula>
    </cfRule>
  </conditionalFormatting>
  <conditionalFormatting sqref="A202">
    <cfRule type="expression" dxfId="3504" priority="231">
      <formula>$AH202=0</formula>
    </cfRule>
  </conditionalFormatting>
  <conditionalFormatting sqref="AG214">
    <cfRule type="expression" dxfId="3503" priority="232">
      <formula>B$9&gt;=20/24</formula>
    </cfRule>
    <cfRule type="expression" dxfId="3502" priority="233">
      <formula>AND(B$9&gt;=14/24,B$9&lt;20/24)</formula>
    </cfRule>
    <cfRule type="expression" dxfId="3501" priority="234">
      <formula>AND(B$9&gt;=8/24,B$9&lt;14/24)</formula>
    </cfRule>
    <cfRule type="expression" dxfId="3500" priority="235">
      <formula>B$9&lt;8/24</formula>
    </cfRule>
  </conditionalFormatting>
  <conditionalFormatting sqref="S8">
    <cfRule type="expression" dxfId="3499" priority="194">
      <formula>U$9&gt;=20/24</formula>
    </cfRule>
    <cfRule type="expression" dxfId="3498" priority="195">
      <formula>AND(U$9&gt;=14/24,U$9&lt;20/24)</formula>
    </cfRule>
    <cfRule type="expression" dxfId="3497" priority="196">
      <formula>AND(U$9&gt;=8/24,U$9&lt;14/24)</formula>
    </cfRule>
    <cfRule type="expression" dxfId="3496" priority="197">
      <formula>U$9&lt;8/24</formula>
    </cfRule>
  </conditionalFormatting>
  <conditionalFormatting sqref="AB8">
    <cfRule type="expression" dxfId="3495" priority="190">
      <formula>AD$9&gt;=20/24</formula>
    </cfRule>
    <cfRule type="expression" dxfId="3494" priority="191">
      <formula>AND(AD$9&gt;=14/24,AD$9&lt;20/24)</formula>
    </cfRule>
    <cfRule type="expression" dxfId="3493" priority="192">
      <formula>AND(AD$9&gt;=8/24,AD$9&lt;14/24)</formula>
    </cfRule>
    <cfRule type="expression" dxfId="3492" priority="193">
      <formula>AD$9&lt;8/24</formula>
    </cfRule>
  </conditionalFormatting>
  <conditionalFormatting sqref="AH214:AX214">
    <cfRule type="expression" dxfId="3491" priority="236">
      <formula>AG$9&gt;=20/24</formula>
    </cfRule>
    <cfRule type="expression" dxfId="3490" priority="237">
      <formula>AND(AG$9&gt;=14/24,AG$9&lt;20/24)</formula>
    </cfRule>
    <cfRule type="expression" dxfId="3489" priority="238">
      <formula>AND(AG$9&gt;=8/24,AG$9&lt;14/24)</formula>
    </cfRule>
    <cfRule type="expression" dxfId="3488" priority="239">
      <formula>AG$9&lt;8/24</formula>
    </cfRule>
  </conditionalFormatting>
  <conditionalFormatting sqref="T214">
    <cfRule type="expression" dxfId="3487" priority="240">
      <formula>AX$9&gt;=20/24</formula>
    </cfRule>
    <cfRule type="expression" dxfId="3486" priority="241">
      <formula>AND(AX$9&gt;=14/24,AX$9&lt;20/24)</formula>
    </cfRule>
    <cfRule type="expression" dxfId="3485" priority="242">
      <formula>AND(AX$9&gt;=8/24,AX$9&lt;14/24)</formula>
    </cfRule>
    <cfRule type="expression" dxfId="3484" priority="243">
      <formula>AX$9&lt;8/24</formula>
    </cfRule>
  </conditionalFormatting>
  <conditionalFormatting sqref="A100">
    <cfRule type="expression" dxfId="3483" priority="189">
      <formula>$AH100=0</formula>
    </cfRule>
  </conditionalFormatting>
  <conditionalFormatting sqref="E57:AF57 E40:L41 E11:L11 AB36:AF36 S40:AF41">
    <cfRule type="expression" dxfId="3482" priority="185">
      <formula>E$9&gt;=20/24</formula>
    </cfRule>
    <cfRule type="expression" dxfId="3481" priority="186">
      <formula>AND(E$9&gt;=14/24,E$9&lt;20/24)</formula>
    </cfRule>
    <cfRule type="expression" dxfId="3480" priority="187">
      <formula>AND(E$9&gt;=8/24,E$9&lt;14/24)</formula>
    </cfRule>
    <cfRule type="expression" dxfId="3479" priority="188">
      <formula>E$9&lt;8/24</formula>
    </cfRule>
  </conditionalFormatting>
  <conditionalFormatting sqref="E39:L39 S39:W39 Z39:AF39">
    <cfRule type="expression" dxfId="3478" priority="181">
      <formula>E$9&gt;=20/24</formula>
    </cfRule>
    <cfRule type="expression" dxfId="3477" priority="182">
      <formula>AND(E$9&gt;=14/24,E$9&lt;20/24)</formula>
    </cfRule>
    <cfRule type="expression" dxfId="3476" priority="183">
      <formula>AND(E$9&gt;=8/24,E$9&lt;14/24)</formula>
    </cfRule>
    <cfRule type="expression" dxfId="3475" priority="184">
      <formula>E$9&lt;8/24</formula>
    </cfRule>
  </conditionalFormatting>
  <conditionalFormatting sqref="E39:L41 E11:L11 S39:W41 X40:Y41 AB36:AF36 Z39:AF41">
    <cfRule type="expression" dxfId="3474" priority="180">
      <formula>E11&gt;$AG11</formula>
    </cfRule>
  </conditionalFormatting>
  <conditionalFormatting sqref="C81:AF81 E58:AE59 C69:AF72 AF58:AF60 M11:R14 F60:P63 P31:Q31 M18:Q20 Q61:Q63 F67:R67 R63 R36:AA36 R24:AF26 R18:AF22 R28:AF31 M16:AF16 S12:AF14 R61:AF62 S63:AF67 Q60:AE60 C53:AF56 C85:AF91">
    <cfRule type="expression" dxfId="3473" priority="176">
      <formula>C$9&gt;=20/24</formula>
    </cfRule>
    <cfRule type="expression" dxfId="3472" priority="177">
      <formula>AND(C$9&gt;=14/24,C$9&lt;20/24)</formula>
    </cfRule>
    <cfRule type="expression" dxfId="3471" priority="178">
      <formula>AND(C$9&gt;=8/24,C$9&lt;14/24)</formula>
    </cfRule>
    <cfRule type="expression" dxfId="3470" priority="179">
      <formula>C$9&lt;8/24</formula>
    </cfRule>
  </conditionalFormatting>
  <conditionalFormatting sqref="R32:AF32">
    <cfRule type="expression" dxfId="3469" priority="172">
      <formula>R$9&gt;=20/24</formula>
    </cfRule>
    <cfRule type="expression" dxfId="3468" priority="173">
      <formula>AND(R$9&gt;=14/24,R$9&lt;20/24)</formula>
    </cfRule>
    <cfRule type="expression" dxfId="3467" priority="174">
      <formula>AND(R$9&gt;=8/24,R$9&lt;14/24)</formula>
    </cfRule>
    <cfRule type="expression" dxfId="3466" priority="175">
      <formula>R$9&lt;8/24</formula>
    </cfRule>
  </conditionalFormatting>
  <conditionalFormatting sqref="M35:AF35">
    <cfRule type="expression" dxfId="3465" priority="168">
      <formula>M$9&gt;=20/24</formula>
    </cfRule>
    <cfRule type="expression" dxfId="3464" priority="169">
      <formula>AND(M$9&gt;=14/24,M$9&lt;20/24)</formula>
    </cfRule>
    <cfRule type="expression" dxfId="3463" priority="170">
      <formula>AND(M$9&gt;=8/24,M$9&lt;14/24)</formula>
    </cfRule>
    <cfRule type="expression" dxfId="3462" priority="171">
      <formula>M$9&lt;8/24</formula>
    </cfRule>
  </conditionalFormatting>
  <conditionalFormatting sqref="C51:AF51 E42:J43 F44:J44 D37:R37 K42:L44 M44 M11:R16 P31:Q31 M18:Q20 M35:Q35 R34:AA36 AB34:AF35 R18:AF22 R24:AF32 S12:AF16 C53:AF56 AB42:AF43">
    <cfRule type="expression" dxfId="3461" priority="167">
      <formula>C11&gt;$AG11</formula>
    </cfRule>
  </conditionalFormatting>
  <conditionalFormatting sqref="R34:AF34">
    <cfRule type="expression" dxfId="3460" priority="163">
      <formula>R$9&gt;=20/24</formula>
    </cfRule>
    <cfRule type="expression" dxfId="3459" priority="164">
      <formula>AND(R$9&gt;=14/24,R$9&lt;20/24)</formula>
    </cfRule>
    <cfRule type="expression" dxfId="3458" priority="165">
      <formula>AND(R$9&gt;=8/24,R$9&lt;14/24)</formula>
    </cfRule>
    <cfRule type="expression" dxfId="3457" priority="166">
      <formula>R$9&lt;8/24</formula>
    </cfRule>
  </conditionalFormatting>
  <conditionalFormatting sqref="M15:AF15">
    <cfRule type="expression" dxfId="3456" priority="159">
      <formula>M$9&gt;=20/24</formula>
    </cfRule>
    <cfRule type="expression" dxfId="3455" priority="160">
      <formula>AND(M$9&gt;=14/24,M$9&lt;20/24)</formula>
    </cfRule>
    <cfRule type="expression" dxfId="3454" priority="161">
      <formula>AND(M$9&gt;=8/24,M$9&lt;14/24)</formula>
    </cfRule>
    <cfRule type="expression" dxfId="3453" priority="162">
      <formula>M$9&lt;8/24</formula>
    </cfRule>
  </conditionalFormatting>
  <conditionalFormatting sqref="R33:AF33">
    <cfRule type="expression" dxfId="3452" priority="155">
      <formula>R$9&gt;=20/24</formula>
    </cfRule>
    <cfRule type="expression" dxfId="3451" priority="156">
      <formula>AND(R$9&gt;=14/24,R$9&lt;20/24)</formula>
    </cfRule>
    <cfRule type="expression" dxfId="3450" priority="157">
      <formula>AND(R$9&gt;=8/24,R$9&lt;14/24)</formula>
    </cfRule>
    <cfRule type="expression" dxfId="3449" priority="158">
      <formula>R$9&lt;8/24</formula>
    </cfRule>
  </conditionalFormatting>
  <conditionalFormatting sqref="R33:AF33">
    <cfRule type="expression" dxfId="3448" priority="154">
      <formula>R33&gt;$AG33</formula>
    </cfRule>
  </conditionalFormatting>
  <conditionalFormatting sqref="S11">
    <cfRule type="expression" dxfId="3447" priority="150">
      <formula>S$9&gt;=20/24</formula>
    </cfRule>
    <cfRule type="expression" dxfId="3446" priority="151">
      <formula>AND(S$9&gt;=14/24,S$9&lt;20/24)</formula>
    </cfRule>
    <cfRule type="expression" dxfId="3445" priority="152">
      <formula>AND(S$9&gt;=8/24,S$9&lt;14/24)</formula>
    </cfRule>
    <cfRule type="expression" dxfId="3444" priority="153">
      <formula>S$9&lt;8/24</formula>
    </cfRule>
  </conditionalFormatting>
  <conditionalFormatting sqref="Z42:AA43 AB44:AF50">
    <cfRule type="expression" dxfId="3443" priority="146">
      <formula>Z$9&gt;=20/24</formula>
    </cfRule>
    <cfRule type="expression" dxfId="3442" priority="147">
      <formula>AND(Z$9&gt;=14/24,Z$9&lt;20/24)</formula>
    </cfRule>
    <cfRule type="expression" dxfId="3441" priority="148">
      <formula>AND(Z$9&gt;=8/24,Z$9&lt;14/24)</formula>
    </cfRule>
    <cfRule type="expression" dxfId="3440" priority="149">
      <formula>Z$9&lt;8/24</formula>
    </cfRule>
  </conditionalFormatting>
  <conditionalFormatting sqref="Z42:AA43 AB44:AF50">
    <cfRule type="expression" dxfId="3439" priority="145">
      <formula>Z42&gt;$AG42</formula>
    </cfRule>
  </conditionalFormatting>
  <conditionalFormatting sqref="M39:R43 R44:R50 N44:Q44 S42:Y50 Z44:AA50">
    <cfRule type="expression" dxfId="3438" priority="141">
      <formula>M$9&gt;=20/24</formula>
    </cfRule>
    <cfRule type="expression" dxfId="3437" priority="142">
      <formula>AND(M$9&gt;=14/24,M$9&lt;20/24)</formula>
    </cfRule>
    <cfRule type="expression" dxfId="3436" priority="143">
      <formula>AND(M$9&gt;=8/24,M$9&lt;14/24)</formula>
    </cfRule>
    <cfRule type="expression" dxfId="3435" priority="144">
      <formula>M$9&lt;8/24</formula>
    </cfRule>
  </conditionalFormatting>
  <conditionalFormatting sqref="M39:R43 R44:R50 N44:Q44 S42:Y50 Z44:AA50">
    <cfRule type="expression" dxfId="3434" priority="140">
      <formula>M39&gt;$AG39</formula>
    </cfRule>
  </conditionalFormatting>
  <conditionalFormatting sqref="R27:AF27">
    <cfRule type="expression" dxfId="3433" priority="136">
      <formula>R$9&gt;=20/24</formula>
    </cfRule>
    <cfRule type="expression" dxfId="3432" priority="137">
      <formula>AND(R$9&gt;=14/24,R$9&lt;20/24)</formula>
    </cfRule>
    <cfRule type="expression" dxfId="3431" priority="138">
      <formula>AND(R$9&gt;=8/24,R$9&lt;14/24)</formula>
    </cfRule>
    <cfRule type="expression" dxfId="3430" priority="139">
      <formula>R$9&lt;8/24</formula>
    </cfRule>
  </conditionalFormatting>
  <conditionalFormatting sqref="R23:AF23 M17:AF17">
    <cfRule type="expression" dxfId="3429" priority="132">
      <formula>M$9&gt;=20/24</formula>
    </cfRule>
    <cfRule type="expression" dxfId="3428" priority="133">
      <formula>AND(M$9&gt;=14/24,M$9&lt;20/24)</formula>
    </cfRule>
    <cfRule type="expression" dxfId="3427" priority="134">
      <formula>AND(M$9&gt;=8/24,M$9&lt;14/24)</formula>
    </cfRule>
    <cfRule type="expression" dxfId="3426" priority="135">
      <formula>M$9&lt;8/24</formula>
    </cfRule>
  </conditionalFormatting>
  <conditionalFormatting sqref="R23:AF23 M17:AF17">
    <cfRule type="expression" dxfId="3425" priority="123">
      <formula>M17&gt;$AG17</formula>
    </cfRule>
  </conditionalFormatting>
  <conditionalFormatting sqref="F64:R66">
    <cfRule type="expression" dxfId="3424" priority="97">
      <formula>F$9&gt;=20/24</formula>
    </cfRule>
    <cfRule type="expression" dxfId="3423" priority="98">
      <formula>AND(F$9&gt;=14/24,F$9&lt;20/24)</formula>
    </cfRule>
    <cfRule type="expression" dxfId="3422" priority="99">
      <formula>AND(F$9&gt;=8/24,F$9&lt;14/24)</formula>
    </cfRule>
    <cfRule type="expression" dxfId="3421" priority="100">
      <formula>F$9&lt;8/24</formula>
    </cfRule>
  </conditionalFormatting>
  <conditionalFormatting sqref="E44:E48 F45:Q48">
    <cfRule type="expression" dxfId="3420" priority="92">
      <formula>E$9&gt;=20/24</formula>
    </cfRule>
    <cfRule type="expression" dxfId="3419" priority="93">
      <formula>AND(E$9&gt;=14/24,E$9&lt;20/24)</formula>
    </cfRule>
    <cfRule type="expression" dxfId="3418" priority="94">
      <formula>AND(E$9&gt;=8/24,E$9&lt;14/24)</formula>
    </cfRule>
    <cfRule type="expression" dxfId="3417" priority="95">
      <formula>E$9&lt;8/24</formula>
    </cfRule>
  </conditionalFormatting>
  <conditionalFormatting sqref="E44:E48 F45:Q48">
    <cfRule type="expression" dxfId="3416" priority="91">
      <formula>E44&gt;$AG44</formula>
    </cfRule>
  </conditionalFormatting>
  <conditionalFormatting sqref="X39:Y39">
    <cfRule type="expression" dxfId="3415" priority="83">
      <formula>X$9&gt;=20/24</formula>
    </cfRule>
    <cfRule type="expression" dxfId="3414" priority="84">
      <formula>AND(X$9&gt;=14/24,X$9&lt;20/24)</formula>
    </cfRule>
    <cfRule type="expression" dxfId="3413" priority="85">
      <formula>AND(X$9&gt;=8/24,X$9&lt;14/24)</formula>
    </cfRule>
    <cfRule type="expression" dxfId="3412" priority="86">
      <formula>X$9&lt;8/24</formula>
    </cfRule>
  </conditionalFormatting>
  <conditionalFormatting sqref="X39:Y39">
    <cfRule type="expression" dxfId="3411" priority="82">
      <formula>X39&gt;$AG39</formula>
    </cfRule>
  </conditionalFormatting>
  <conditionalFormatting sqref="B94:B100 B74:AF74 B82:AF82 B11:D11">
    <cfRule type="expression" dxfId="3410" priority="78">
      <formula>B$9&gt;=20/24</formula>
    </cfRule>
    <cfRule type="expression" dxfId="3409" priority="79">
      <formula>AND(B$9&gt;=14/24,B$9&lt;20/24)</formula>
    </cfRule>
    <cfRule type="expression" dxfId="3408" priority="80">
      <formula>AND(B$9&gt;=8/24,B$9&lt;14/24)</formula>
    </cfRule>
    <cfRule type="expression" dxfId="3407" priority="81">
      <formula>B$9&lt;8/24</formula>
    </cfRule>
  </conditionalFormatting>
  <conditionalFormatting sqref="B37:C37">
    <cfRule type="expression" dxfId="3406" priority="74">
      <formula>B$9&gt;=20/24</formula>
    </cfRule>
    <cfRule type="expression" dxfId="3405" priority="75">
      <formula>AND(B$9&gt;=14/24,B$9&lt;20/24)</formula>
    </cfRule>
    <cfRule type="expression" dxfId="3404" priority="76">
      <formula>AND(B$9&gt;=8/24,B$9&lt;14/24)</formula>
    </cfRule>
    <cfRule type="expression" dxfId="3403" priority="77">
      <formula>B$9&lt;8/24</formula>
    </cfRule>
  </conditionalFormatting>
  <conditionalFormatting sqref="B37:C37 B11:D11">
    <cfRule type="expression" dxfId="3402" priority="73">
      <formula>B11&gt;$AG11</formula>
    </cfRule>
  </conditionalFormatting>
  <conditionalFormatting sqref="B84">
    <cfRule type="expression" dxfId="3401" priority="69">
      <formula>B$9&gt;=20/24</formula>
    </cfRule>
    <cfRule type="expression" dxfId="3400" priority="70">
      <formula>AND(B$9&gt;=14/24,B$9&lt;20/24)</formula>
    </cfRule>
    <cfRule type="expression" dxfId="3399" priority="71">
      <formula>AND(B$9&gt;=8/24,B$9&lt;14/24)</formula>
    </cfRule>
    <cfRule type="expression" dxfId="3398" priority="72">
      <formula>B$9&lt;8/24</formula>
    </cfRule>
  </conditionalFormatting>
  <conditionalFormatting sqref="B40:D41 B57:D57 B36:Q36">
    <cfRule type="expression" dxfId="3397" priority="65">
      <formula>B$9&gt;=20/24</formula>
    </cfRule>
    <cfRule type="expression" dxfId="3396" priority="66">
      <formula>AND(B$9&gt;=14/24,B$9&lt;20/24)</formula>
    </cfRule>
    <cfRule type="expression" dxfId="3395" priority="67">
      <formula>AND(B$9&gt;=8/24,B$9&lt;14/24)</formula>
    </cfRule>
    <cfRule type="expression" dxfId="3394" priority="68">
      <formula>B$9&lt;8/24</formula>
    </cfRule>
  </conditionalFormatting>
  <conditionalFormatting sqref="B39:D39">
    <cfRule type="expression" dxfId="3393" priority="61">
      <formula>B$9&gt;=20/24</formula>
    </cfRule>
    <cfRule type="expression" dxfId="3392" priority="62">
      <formula>AND(B$9&gt;=14/24,B$9&lt;20/24)</formula>
    </cfRule>
    <cfRule type="expression" dxfId="3391" priority="63">
      <formula>AND(B$9&gt;=8/24,B$9&lt;14/24)</formula>
    </cfRule>
    <cfRule type="expression" dxfId="3390" priority="64">
      <formula>B$9&lt;8/24</formula>
    </cfRule>
  </conditionalFormatting>
  <conditionalFormatting sqref="B39:D41 B36:Q36">
    <cfRule type="expression" dxfId="3389" priority="60">
      <formula>B36&gt;$AG36</formula>
    </cfRule>
  </conditionalFormatting>
  <conditionalFormatting sqref="B85:B91 B53:B56 B69:B73 B75:AF75 C73:AF73 B81 B83:AF83 B58:D67 E60:E67 B12:L14 B18:L22 B16:L16 B28:O31 P28:Q30 M21:Q22 B24:Q26">
    <cfRule type="expression" dxfId="3388" priority="56">
      <formula>B$9&gt;=20/24</formula>
    </cfRule>
    <cfRule type="expression" dxfId="3387" priority="57">
      <formula>AND(B$9&gt;=14/24,B$9&lt;20/24)</formula>
    </cfRule>
    <cfRule type="expression" dxfId="3386" priority="58">
      <formula>AND(B$9&gt;=8/24,B$9&lt;14/24)</formula>
    </cfRule>
    <cfRule type="expression" dxfId="3385" priority="59">
      <formula>B$9&lt;8/24</formula>
    </cfRule>
  </conditionalFormatting>
  <conditionalFormatting sqref="B32:Q32">
    <cfRule type="expression" dxfId="3384" priority="52">
      <formula>B$9&gt;=20/24</formula>
    </cfRule>
    <cfRule type="expression" dxfId="3383" priority="53">
      <formula>AND(B$9&gt;=14/24,B$9&lt;20/24)</formula>
    </cfRule>
    <cfRule type="expression" dxfId="3382" priority="54">
      <formula>AND(B$9&gt;=8/24,B$9&lt;14/24)</formula>
    </cfRule>
    <cfRule type="expression" dxfId="3381" priority="55">
      <formula>B$9&lt;8/24</formula>
    </cfRule>
  </conditionalFormatting>
  <conditionalFormatting sqref="B35:L35">
    <cfRule type="expression" dxfId="3380" priority="48">
      <formula>B$9&gt;=20/24</formula>
    </cfRule>
    <cfRule type="expression" dxfId="3379" priority="49">
      <formula>AND(B$9&gt;=14/24,B$9&lt;20/24)</formula>
    </cfRule>
    <cfRule type="expression" dxfId="3378" priority="50">
      <formula>AND(B$9&gt;=8/24,B$9&lt;14/24)</formula>
    </cfRule>
    <cfRule type="expression" dxfId="3377" priority="51">
      <formula>B$9&lt;8/24</formula>
    </cfRule>
  </conditionalFormatting>
  <conditionalFormatting sqref="B51:B56 B38:AF38 C52:AF52 B42:D43 B18:L22 B12:L16 B24:O32 M21:Q22 P24:Q30 B34:Q34 P32:Q32 B35:L35">
    <cfRule type="expression" dxfId="3376" priority="47">
      <formula>B12&gt;$AG12</formula>
    </cfRule>
  </conditionalFormatting>
  <conditionalFormatting sqref="B34:Q34">
    <cfRule type="expression" dxfId="3375" priority="43">
      <formula>B$9&gt;=20/24</formula>
    </cfRule>
    <cfRule type="expression" dxfId="3374" priority="44">
      <formula>AND(B$9&gt;=14/24,B$9&lt;20/24)</formula>
    </cfRule>
    <cfRule type="expression" dxfId="3373" priority="45">
      <formula>AND(B$9&gt;=8/24,B$9&lt;14/24)</formula>
    </cfRule>
    <cfRule type="expression" dxfId="3372" priority="46">
      <formula>B$9&lt;8/24</formula>
    </cfRule>
  </conditionalFormatting>
  <conditionalFormatting sqref="B15:L15">
    <cfRule type="expression" dxfId="3371" priority="39">
      <formula>B$9&gt;=20/24</formula>
    </cfRule>
    <cfRule type="expression" dxfId="3370" priority="40">
      <formula>AND(B$9&gt;=14/24,B$9&lt;20/24)</formula>
    </cfRule>
    <cfRule type="expression" dxfId="3369" priority="41">
      <formula>AND(B$9&gt;=8/24,B$9&lt;14/24)</formula>
    </cfRule>
    <cfRule type="expression" dxfId="3368" priority="42">
      <formula>B$9&lt;8/24</formula>
    </cfRule>
  </conditionalFormatting>
  <conditionalFormatting sqref="B33:Q33">
    <cfRule type="expression" dxfId="3367" priority="35">
      <formula>B$9&gt;=20/24</formula>
    </cfRule>
    <cfRule type="expression" dxfId="3366" priority="36">
      <formula>AND(B$9&gt;=14/24,B$9&lt;20/24)</formula>
    </cfRule>
    <cfRule type="expression" dxfId="3365" priority="37">
      <formula>AND(B$9&gt;=8/24,B$9&lt;14/24)</formula>
    </cfRule>
    <cfRule type="expression" dxfId="3364" priority="38">
      <formula>B$9&lt;8/24</formula>
    </cfRule>
  </conditionalFormatting>
  <conditionalFormatting sqref="B33:Q33">
    <cfRule type="expression" dxfId="3363" priority="34">
      <formula>B33&gt;$AG33</formula>
    </cfRule>
  </conditionalFormatting>
  <conditionalFormatting sqref="B44:D50 E49:Q50">
    <cfRule type="expression" dxfId="3362" priority="30">
      <formula>B$9&gt;=20/24</formula>
    </cfRule>
    <cfRule type="expression" dxfId="3361" priority="31">
      <formula>AND(B$9&gt;=14/24,B$9&lt;20/24)</formula>
    </cfRule>
    <cfRule type="expression" dxfId="3360" priority="32">
      <formula>AND(B$9&gt;=8/24,B$9&lt;14/24)</formula>
    </cfRule>
    <cfRule type="expression" dxfId="3359" priority="33">
      <formula>B$9&lt;8/24</formula>
    </cfRule>
  </conditionalFormatting>
  <conditionalFormatting sqref="B44:D50 E49:Q50">
    <cfRule type="expression" dxfId="3358" priority="29">
      <formula>B44&gt;$AG44</formula>
    </cfRule>
  </conditionalFormatting>
  <conditionalFormatting sqref="B27:Q27">
    <cfRule type="expression" dxfId="3357" priority="25">
      <formula>B$9&gt;=20/24</formula>
    </cfRule>
    <cfRule type="expression" dxfId="3356" priority="26">
      <formula>AND(B$9&gt;=14/24,B$9&lt;20/24)</formula>
    </cfRule>
    <cfRule type="expression" dxfId="3355" priority="27">
      <formula>AND(B$9&gt;=8/24,B$9&lt;14/24)</formula>
    </cfRule>
    <cfRule type="expression" dxfId="3354" priority="28">
      <formula>B$9&lt;8/24</formula>
    </cfRule>
  </conditionalFormatting>
  <conditionalFormatting sqref="B17:L17 B23:Q23">
    <cfRule type="expression" dxfId="3353" priority="21">
      <formula>B$9&gt;=20/24</formula>
    </cfRule>
    <cfRule type="expression" dxfId="3352" priority="22">
      <formula>AND(B$9&gt;=14/24,B$9&lt;20/24)</formula>
    </cfRule>
    <cfRule type="expression" dxfId="3351" priority="23">
      <formula>AND(B$9&gt;=8/24,B$9&lt;14/24)</formula>
    </cfRule>
    <cfRule type="expression" dxfId="3350" priority="24">
      <formula>B$9&lt;8/24</formula>
    </cfRule>
  </conditionalFormatting>
  <conditionalFormatting sqref="B17:L17 B23:Q23">
    <cfRule type="expression" dxfId="3349" priority="20">
      <formula>B17&gt;$AG17</formula>
    </cfRule>
  </conditionalFormatting>
  <conditionalFormatting sqref="A33">
    <cfRule type="expression" dxfId="3348" priority="19">
      <formula>$AH33=0</formula>
    </cfRule>
  </conditionalFormatting>
  <conditionalFormatting sqref="B68:AF68">
    <cfRule type="expression" dxfId="3347" priority="15">
      <formula>B$9&gt;=20/24</formula>
    </cfRule>
    <cfRule type="expression" dxfId="3346" priority="16">
      <formula>AND(B$9&gt;=14/24,B$9&lt;20/24)</formula>
    </cfRule>
    <cfRule type="expression" dxfId="3345" priority="17">
      <formula>AND(B$9&gt;=8/24,B$9&lt;14/24)</formula>
    </cfRule>
    <cfRule type="expression" dxfId="3344" priority="18">
      <formula>B$9&lt;8/24</formula>
    </cfRule>
  </conditionalFormatting>
  <conditionalFormatting sqref="B76:AF80">
    <cfRule type="expression" dxfId="3343" priority="11">
      <formula>B$9&gt;=20/24</formula>
    </cfRule>
    <cfRule type="expression" dxfId="3342" priority="12">
      <formula>AND(B$9&gt;=14/24,B$9&lt;20/24)</formula>
    </cfRule>
    <cfRule type="expression" dxfId="3341" priority="13">
      <formula>AND(B$9&gt;=8/24,B$9&lt;14/24)</formula>
    </cfRule>
    <cfRule type="expression" dxfId="3340" priority="14">
      <formula>B$9&lt;8/24</formula>
    </cfRule>
  </conditionalFormatting>
  <conditionalFormatting sqref="A99">
    <cfRule type="expression" dxfId="3339" priority="10">
      <formula>$AH99=0</formula>
    </cfRule>
  </conditionalFormatting>
  <conditionalFormatting sqref="C101:AF101">
    <cfRule type="expression" dxfId="3338" priority="6">
      <formula>C$9&gt;=20/24</formula>
    </cfRule>
    <cfRule type="expression" dxfId="3337" priority="7">
      <formula>AND(C$9&gt;=14/24,C$9&lt;20/24)</formula>
    </cfRule>
    <cfRule type="expression" dxfId="3336" priority="8">
      <formula>AND(C$9&gt;=8/24,C$9&lt;14/24)</formula>
    </cfRule>
    <cfRule type="expression" dxfId="3335" priority="9">
      <formula>C$9&lt;8/24</formula>
    </cfRule>
  </conditionalFormatting>
  <conditionalFormatting sqref="A101">
    <cfRule type="expression" dxfId="3334" priority="5">
      <formula>$AH101=0</formula>
    </cfRule>
  </conditionalFormatting>
  <conditionalFormatting sqref="B101">
    <cfRule type="expression" dxfId="3333" priority="1">
      <formula>B$9&gt;=20/24</formula>
    </cfRule>
    <cfRule type="expression" dxfId="3332" priority="2">
      <formula>AND(B$9&gt;=14/24,B$9&lt;20/24)</formula>
    </cfRule>
    <cfRule type="expression" dxfId="3331" priority="3">
      <formula>AND(B$9&gt;=8/24,B$9&lt;14/24)</formula>
    </cfRule>
    <cfRule type="expression" dxfId="3330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3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S26" sqref="S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2079/02/18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28</v>
      </c>
      <c r="C5" s="32">
        <f t="shared" si="0"/>
        <v>27</v>
      </c>
      <c r="D5" s="32">
        <f t="shared" si="0"/>
        <v>25</v>
      </c>
      <c r="E5" s="32">
        <f t="shared" si="0"/>
        <v>25</v>
      </c>
      <c r="F5" s="32">
        <f t="shared" si="0"/>
        <v>25.5</v>
      </c>
      <c r="G5" s="32">
        <f t="shared" si="0"/>
        <v>21.4</v>
      </c>
      <c r="H5" s="32">
        <f t="shared" si="0"/>
        <v>19.100000000000001</v>
      </c>
      <c r="I5" s="32">
        <f t="shared" si="0"/>
        <v>19.100000000000001</v>
      </c>
      <c r="J5" s="32">
        <f t="shared" si="0"/>
        <v>20</v>
      </c>
      <c r="K5" s="32">
        <f t="shared" si="0"/>
        <v>25</v>
      </c>
      <c r="L5" s="32">
        <f t="shared" si="0"/>
        <v>22.1</v>
      </c>
      <c r="M5" s="32">
        <f t="shared" si="0"/>
        <v>0</v>
      </c>
      <c r="N5" s="32">
        <f t="shared" si="0"/>
        <v>19.8</v>
      </c>
      <c r="O5" s="32">
        <f t="shared" si="0"/>
        <v>21.9</v>
      </c>
      <c r="P5" s="32">
        <f t="shared" si="0"/>
        <v>22.8</v>
      </c>
      <c r="Q5" s="32">
        <f t="shared" si="0"/>
        <v>20.6</v>
      </c>
      <c r="R5" s="32">
        <f t="shared" si="0"/>
        <v>23</v>
      </c>
      <c r="S5" s="32">
        <f t="shared" si="0"/>
        <v>23</v>
      </c>
      <c r="T5" s="32">
        <f t="shared" si="0"/>
        <v>19</v>
      </c>
      <c r="U5" s="32">
        <f t="shared" si="0"/>
        <v>17</v>
      </c>
      <c r="V5" s="32">
        <f t="shared" si="0"/>
        <v>14</v>
      </c>
      <c r="W5" s="32">
        <f t="shared" si="0"/>
        <v>13</v>
      </c>
      <c r="X5" s="32">
        <f t="shared" si="0"/>
        <v>11</v>
      </c>
      <c r="Y5" s="32">
        <f t="shared" si="0"/>
        <v>11</v>
      </c>
      <c r="Z5" s="32">
        <f t="shared" si="0"/>
        <v>41</v>
      </c>
      <c r="AA5" s="32">
        <f t="shared" si="0"/>
        <v>32.4</v>
      </c>
      <c r="AB5" s="32">
        <f t="shared" si="0"/>
        <v>32.200000000000003</v>
      </c>
      <c r="AC5" s="32">
        <f t="shared" si="0"/>
        <v>16.5</v>
      </c>
      <c r="AD5" s="32">
        <f t="shared" si="0"/>
        <v>12</v>
      </c>
      <c r="AE5" s="32">
        <f t="shared" si="0"/>
        <v>10</v>
      </c>
      <c r="AF5" s="32">
        <f>B68</f>
        <v>37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1676MW at 5:30hr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1729.1399999999999</v>
      </c>
      <c r="C7" s="37">
        <f t="shared" ref="C7:AF7" si="1">C75</f>
        <v>1694.14</v>
      </c>
      <c r="D7" s="37">
        <f t="shared" si="1"/>
        <v>1639.2400000000002</v>
      </c>
      <c r="E7" s="37">
        <f t="shared" si="1"/>
        <v>1636.9400000000003</v>
      </c>
      <c r="F7" s="37">
        <f t="shared" si="1"/>
        <v>1551.8400000000001</v>
      </c>
      <c r="G7" s="37">
        <f t="shared" si="1"/>
        <v>1630.14</v>
      </c>
      <c r="H7" s="37">
        <f t="shared" si="1"/>
        <v>1675.94</v>
      </c>
      <c r="I7" s="37">
        <f t="shared" si="1"/>
        <v>1673.24</v>
      </c>
      <c r="J7" s="37">
        <f t="shared" si="1"/>
        <v>1636.8400000000001</v>
      </c>
      <c r="K7" s="37">
        <f t="shared" si="1"/>
        <v>1651.7400000000002</v>
      </c>
      <c r="L7" s="37">
        <f t="shared" si="1"/>
        <v>1615.7400000000002</v>
      </c>
      <c r="M7" s="37">
        <f t="shared" si="1"/>
        <v>1636.9399999999998</v>
      </c>
      <c r="N7" s="37">
        <f t="shared" si="1"/>
        <v>3.54</v>
      </c>
      <c r="O7" s="37">
        <f t="shared" si="1"/>
        <v>1555.44</v>
      </c>
      <c r="P7" s="37">
        <f t="shared" si="1"/>
        <v>1565.0400000000002</v>
      </c>
      <c r="Q7" s="37">
        <f t="shared" si="1"/>
        <v>1629.64</v>
      </c>
      <c r="R7" s="37">
        <f t="shared" si="1"/>
        <v>1634.3400000000001</v>
      </c>
      <c r="S7" s="37">
        <f t="shared" si="1"/>
        <v>1639.14</v>
      </c>
      <c r="T7" s="37">
        <f t="shared" si="1"/>
        <v>1639.14</v>
      </c>
      <c r="U7" s="37">
        <f t="shared" si="1"/>
        <v>1646.14</v>
      </c>
      <c r="V7" s="37">
        <f t="shared" si="1"/>
        <v>1660.44</v>
      </c>
      <c r="W7" s="37">
        <f t="shared" si="1"/>
        <v>1647.74</v>
      </c>
      <c r="X7" s="37">
        <f t="shared" si="1"/>
        <v>1659.64</v>
      </c>
      <c r="Y7" s="37">
        <f t="shared" si="1"/>
        <v>1669.04</v>
      </c>
      <c r="Z7" s="37">
        <f t="shared" si="1"/>
        <v>1669.04</v>
      </c>
      <c r="AA7" s="37">
        <f t="shared" si="1"/>
        <v>1699.04</v>
      </c>
      <c r="AB7" s="37">
        <f t="shared" si="1"/>
        <v>1711.0400000000002</v>
      </c>
      <c r="AC7" s="37">
        <f t="shared" si="1"/>
        <v>1711.2400000000002</v>
      </c>
      <c r="AD7" s="37">
        <f t="shared" si="1"/>
        <v>1708.44</v>
      </c>
      <c r="AE7" s="37">
        <f t="shared" si="1"/>
        <v>1704.3400000000001</v>
      </c>
      <c r="AF7" s="37">
        <f t="shared" si="1"/>
        <v>1712.8400000000001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50">
        <v>456</v>
      </c>
      <c r="E11" s="50">
        <v>456</v>
      </c>
      <c r="F11" s="50">
        <v>456</v>
      </c>
      <c r="G11" s="50">
        <v>456</v>
      </c>
      <c r="H11" s="50">
        <v>456</v>
      </c>
      <c r="I11" s="50">
        <v>456</v>
      </c>
      <c r="J11" s="50">
        <v>456</v>
      </c>
      <c r="K11" s="50">
        <v>456</v>
      </c>
      <c r="L11" s="50">
        <v>456</v>
      </c>
      <c r="M11" s="50">
        <v>456</v>
      </c>
      <c r="N11" s="50" t="s">
        <v>234</v>
      </c>
      <c r="O11" s="51">
        <v>380</v>
      </c>
      <c r="P11" s="51">
        <v>456</v>
      </c>
      <c r="Q11" s="51">
        <v>456</v>
      </c>
      <c r="R11" s="51">
        <v>456</v>
      </c>
      <c r="S11" s="53">
        <v>445</v>
      </c>
      <c r="T11" s="53">
        <v>445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380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0</v>
      </c>
      <c r="G12" s="51">
        <v>30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 t="s">
        <v>255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54.6</v>
      </c>
      <c r="C13" s="51">
        <v>54.6</v>
      </c>
      <c r="D13" s="51">
        <v>0</v>
      </c>
      <c r="E13" s="51">
        <v>0</v>
      </c>
      <c r="F13" s="51">
        <v>0</v>
      </c>
      <c r="G13" s="51">
        <v>27.6</v>
      </c>
      <c r="H13" s="51">
        <v>27.4</v>
      </c>
      <c r="I13" s="51">
        <v>27.4</v>
      </c>
      <c r="J13" s="51">
        <v>0</v>
      </c>
      <c r="K13" s="51">
        <v>0</v>
      </c>
      <c r="L13" s="51">
        <v>0</v>
      </c>
      <c r="M13" s="51">
        <v>0</v>
      </c>
      <c r="N13" s="51" t="s">
        <v>234</v>
      </c>
      <c r="O13" s="51">
        <v>0</v>
      </c>
      <c r="P13" s="51">
        <v>0</v>
      </c>
      <c r="Q13" s="51">
        <v>48</v>
      </c>
      <c r="R13" s="51">
        <v>48</v>
      </c>
      <c r="S13" s="51">
        <v>54</v>
      </c>
      <c r="T13" s="51">
        <v>54</v>
      </c>
      <c r="U13" s="51">
        <v>54</v>
      </c>
      <c r="V13" s="51">
        <v>53.3</v>
      </c>
      <c r="W13" s="51">
        <v>53.3</v>
      </c>
      <c r="X13" s="51">
        <v>53.3</v>
      </c>
      <c r="Y13" s="51">
        <v>53.3</v>
      </c>
      <c r="Z13" s="51">
        <v>53.3</v>
      </c>
      <c r="AA13" s="51">
        <v>53.3</v>
      </c>
      <c r="AB13" s="51">
        <v>54</v>
      </c>
      <c r="AC13" s="51">
        <v>54</v>
      </c>
      <c r="AD13" s="51">
        <v>54</v>
      </c>
      <c r="AE13" s="51">
        <v>54</v>
      </c>
      <c r="AF13" s="51">
        <v>54</v>
      </c>
      <c r="AG13" s="59">
        <v>52.4</v>
      </c>
      <c r="AH13" s="55">
        <f t="shared" si="2"/>
        <v>54.6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50.6</v>
      </c>
      <c r="C14" s="51">
        <v>50.6</v>
      </c>
      <c r="D14" s="51">
        <v>50</v>
      </c>
      <c r="E14" s="51">
        <v>50</v>
      </c>
      <c r="F14" s="51">
        <v>50</v>
      </c>
      <c r="G14" s="51">
        <v>50</v>
      </c>
      <c r="H14" s="51">
        <v>50</v>
      </c>
      <c r="I14" s="51">
        <v>50</v>
      </c>
      <c r="J14" s="51">
        <v>50</v>
      </c>
      <c r="K14" s="51">
        <v>50</v>
      </c>
      <c r="L14" s="51">
        <v>50</v>
      </c>
      <c r="M14" s="51">
        <v>50.3</v>
      </c>
      <c r="N14" s="51" t="s">
        <v>235</v>
      </c>
      <c r="O14" s="51">
        <v>50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25</v>
      </c>
      <c r="W14" s="51">
        <v>24.4</v>
      </c>
      <c r="X14" s="51">
        <v>50</v>
      </c>
      <c r="Y14" s="51">
        <v>50</v>
      </c>
      <c r="Z14" s="51">
        <v>50</v>
      </c>
      <c r="AA14" s="51">
        <v>50</v>
      </c>
      <c r="AB14" s="51">
        <v>50</v>
      </c>
      <c r="AC14" s="51">
        <v>50</v>
      </c>
      <c r="AD14" s="51">
        <v>50</v>
      </c>
      <c r="AE14" s="51">
        <v>50</v>
      </c>
      <c r="AF14" s="51">
        <v>50</v>
      </c>
      <c r="AG14" s="59">
        <v>50</v>
      </c>
      <c r="AH14" s="55">
        <f t="shared" si="2"/>
        <v>50.6</v>
      </c>
      <c r="AI14" s="56">
        <f t="shared" si="3"/>
        <v>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 t="s">
        <v>256</v>
      </c>
      <c r="O15" s="51">
        <v>45.7</v>
      </c>
      <c r="P15" s="51">
        <v>45.6</v>
      </c>
      <c r="Q15" s="51">
        <v>45.6</v>
      </c>
      <c r="R15" s="51">
        <v>45.6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45.8</v>
      </c>
      <c r="AC15" s="51">
        <v>45.8</v>
      </c>
      <c r="AD15" s="51">
        <v>45.8</v>
      </c>
      <c r="AE15" s="51">
        <v>45.8</v>
      </c>
      <c r="AF15" s="51">
        <v>45.8</v>
      </c>
      <c r="AG15" s="60">
        <v>45</v>
      </c>
      <c r="AH15" s="55">
        <f t="shared" si="2"/>
        <v>45.8</v>
      </c>
      <c r="AI15" s="56">
        <f t="shared" si="3"/>
        <v>45.6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40</v>
      </c>
      <c r="D16" s="51">
        <v>40</v>
      </c>
      <c r="E16" s="51">
        <v>40</v>
      </c>
      <c r="F16" s="51">
        <v>40</v>
      </c>
      <c r="G16" s="51">
        <v>40</v>
      </c>
      <c r="H16" s="51">
        <v>35</v>
      </c>
      <c r="I16" s="51">
        <v>35</v>
      </c>
      <c r="J16" s="51">
        <v>30</v>
      </c>
      <c r="K16" s="51">
        <v>40</v>
      </c>
      <c r="L16" s="51">
        <v>40</v>
      </c>
      <c r="M16" s="51">
        <v>40</v>
      </c>
      <c r="N16" s="51" t="s">
        <v>257</v>
      </c>
      <c r="O16" s="51">
        <v>40</v>
      </c>
      <c r="P16" s="51">
        <v>40</v>
      </c>
      <c r="Q16" s="51">
        <v>40</v>
      </c>
      <c r="R16" s="51">
        <v>26</v>
      </c>
      <c r="S16" s="51">
        <v>37</v>
      </c>
      <c r="T16" s="51">
        <v>37</v>
      </c>
      <c r="U16" s="51">
        <v>37</v>
      </c>
      <c r="V16" s="51">
        <v>37</v>
      </c>
      <c r="W16" s="51">
        <v>37</v>
      </c>
      <c r="X16" s="51">
        <v>37</v>
      </c>
      <c r="Y16" s="51">
        <v>37</v>
      </c>
      <c r="Z16" s="51">
        <v>37</v>
      </c>
      <c r="AA16" s="51">
        <v>37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26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13</v>
      </c>
      <c r="C17" s="51">
        <v>13</v>
      </c>
      <c r="D17" s="51">
        <v>13</v>
      </c>
      <c r="E17" s="51">
        <v>13</v>
      </c>
      <c r="F17" s="51">
        <v>13</v>
      </c>
      <c r="G17" s="51">
        <v>13</v>
      </c>
      <c r="H17" s="51">
        <v>13</v>
      </c>
      <c r="I17" s="51">
        <v>13</v>
      </c>
      <c r="J17" s="51">
        <v>13</v>
      </c>
      <c r="K17" s="51">
        <v>13</v>
      </c>
      <c r="L17" s="51">
        <v>10</v>
      </c>
      <c r="M17" s="51">
        <v>0</v>
      </c>
      <c r="N17" s="51" t="s">
        <v>236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13</v>
      </c>
      <c r="AE17" s="51">
        <v>13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0</v>
      </c>
      <c r="G18" s="51">
        <v>0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 t="s">
        <v>237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25.9</v>
      </c>
      <c r="C19" s="51">
        <v>25.9</v>
      </c>
      <c r="D19" s="51">
        <v>26</v>
      </c>
      <c r="E19" s="51">
        <v>26</v>
      </c>
      <c r="F19" s="51">
        <v>26</v>
      </c>
      <c r="G19" s="51">
        <v>26</v>
      </c>
      <c r="H19" s="51">
        <v>26</v>
      </c>
      <c r="I19" s="51">
        <v>26</v>
      </c>
      <c r="J19" s="51">
        <v>26</v>
      </c>
      <c r="K19" s="51">
        <v>26</v>
      </c>
      <c r="L19" s="51">
        <v>26</v>
      </c>
      <c r="M19" s="51">
        <v>26.2</v>
      </c>
      <c r="N19" s="51" t="s">
        <v>234</v>
      </c>
      <c r="O19" s="51">
        <v>23.6</v>
      </c>
      <c r="P19" s="51">
        <v>23.6</v>
      </c>
      <c r="Q19" s="51">
        <v>23.6</v>
      </c>
      <c r="R19" s="51">
        <v>23.6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>
        <v>26</v>
      </c>
      <c r="Z19" s="51">
        <v>26</v>
      </c>
      <c r="AA19" s="51">
        <v>26</v>
      </c>
      <c r="AB19" s="51">
        <v>26</v>
      </c>
      <c r="AC19" s="51">
        <v>26</v>
      </c>
      <c r="AD19" s="51">
        <v>26</v>
      </c>
      <c r="AE19" s="51">
        <v>26</v>
      </c>
      <c r="AF19" s="51">
        <v>26</v>
      </c>
      <c r="AG19" s="59">
        <v>30</v>
      </c>
      <c r="AH19" s="55">
        <f t="shared" si="2"/>
        <v>26.2</v>
      </c>
      <c r="AI19" s="56">
        <f t="shared" si="3"/>
        <v>23.6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0</v>
      </c>
      <c r="C20" s="51">
        <v>0</v>
      </c>
      <c r="D20" s="51">
        <v>20</v>
      </c>
      <c r="E20" s="51">
        <v>20</v>
      </c>
      <c r="F20" s="51">
        <v>20</v>
      </c>
      <c r="G20" s="51">
        <v>20</v>
      </c>
      <c r="H20" s="51">
        <v>20</v>
      </c>
      <c r="I20" s="51">
        <v>20</v>
      </c>
      <c r="J20" s="51">
        <v>20</v>
      </c>
      <c r="K20" s="51">
        <v>20</v>
      </c>
      <c r="L20" s="51">
        <v>20</v>
      </c>
      <c r="M20" s="51">
        <v>19.8</v>
      </c>
      <c r="N20" s="51" t="s">
        <v>235</v>
      </c>
      <c r="O20" s="51">
        <v>19.5</v>
      </c>
      <c r="P20" s="51">
        <v>19.5</v>
      </c>
      <c r="Q20" s="51">
        <v>19.5</v>
      </c>
      <c r="R20" s="51">
        <v>19.5</v>
      </c>
      <c r="S20" s="51">
        <v>19.5</v>
      </c>
      <c r="T20" s="51">
        <v>19.5</v>
      </c>
      <c r="U20" s="51">
        <v>19.5</v>
      </c>
      <c r="V20" s="51">
        <v>19.5</v>
      </c>
      <c r="W20" s="51">
        <v>19.5</v>
      </c>
      <c r="X20" s="51">
        <v>19.5</v>
      </c>
      <c r="Y20" s="51">
        <v>19.5</v>
      </c>
      <c r="Z20" s="51">
        <v>19.5</v>
      </c>
      <c r="AA20" s="51">
        <v>19.5</v>
      </c>
      <c r="AB20" s="51">
        <v>19.5</v>
      </c>
      <c r="AC20" s="51">
        <v>19.5</v>
      </c>
      <c r="AD20" s="51">
        <v>19.5</v>
      </c>
      <c r="AE20" s="51">
        <v>19.5</v>
      </c>
      <c r="AF20" s="51">
        <v>19.5</v>
      </c>
      <c r="AG20" s="59">
        <v>27</v>
      </c>
      <c r="AH20" s="55">
        <f t="shared" si="2"/>
        <v>20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 t="s">
        <v>238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 t="s">
        <v>239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0</v>
      </c>
      <c r="E23" s="51">
        <v>0</v>
      </c>
      <c r="F23" s="51">
        <v>0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5</v>
      </c>
      <c r="M23" s="51">
        <v>0</v>
      </c>
      <c r="N23" s="51" t="s">
        <v>240</v>
      </c>
      <c r="O23" s="51">
        <v>0</v>
      </c>
      <c r="P23" s="51">
        <v>0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24</v>
      </c>
      <c r="C24" s="51">
        <v>24</v>
      </c>
      <c r="D24" s="51">
        <v>24</v>
      </c>
      <c r="E24" s="51">
        <v>24</v>
      </c>
      <c r="F24" s="51">
        <v>24</v>
      </c>
      <c r="G24" s="51">
        <v>24</v>
      </c>
      <c r="H24" s="51">
        <v>24</v>
      </c>
      <c r="I24" s="51">
        <v>24</v>
      </c>
      <c r="J24" s="51">
        <v>24</v>
      </c>
      <c r="K24" s="51">
        <v>24</v>
      </c>
      <c r="L24" s="51">
        <v>12</v>
      </c>
      <c r="M24" s="51">
        <v>22</v>
      </c>
      <c r="N24" s="51" t="s">
        <v>256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24</v>
      </c>
      <c r="AI24" s="56">
        <f t="shared" si="3"/>
        <v>12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0</v>
      </c>
      <c r="N25" s="51" t="s">
        <v>236</v>
      </c>
      <c r="O25" s="51">
        <v>0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6</v>
      </c>
      <c r="K26" s="51">
        <v>10</v>
      </c>
      <c r="L26" s="51">
        <v>10</v>
      </c>
      <c r="M26" s="51">
        <v>10</v>
      </c>
      <c r="N26" s="51"/>
      <c r="O26" s="51">
        <v>10</v>
      </c>
      <c r="P26" s="51">
        <v>10</v>
      </c>
      <c r="Q26" s="51">
        <v>10</v>
      </c>
      <c r="R26" s="51">
        <v>10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5</v>
      </c>
      <c r="M27" s="51">
        <v>0</v>
      </c>
      <c r="N27" s="51"/>
      <c r="O27" s="51">
        <v>0</v>
      </c>
      <c r="P27" s="51">
        <v>0</v>
      </c>
      <c r="Q27" s="51">
        <v>0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13.6</v>
      </c>
      <c r="C28" s="51">
        <v>13.6</v>
      </c>
      <c r="D28" s="51">
        <v>13.6</v>
      </c>
      <c r="E28" s="51">
        <v>13.6</v>
      </c>
      <c r="F28" s="51">
        <v>13.6</v>
      </c>
      <c r="G28" s="51">
        <v>13.6</v>
      </c>
      <c r="H28" s="51">
        <v>13.6</v>
      </c>
      <c r="I28" s="51">
        <v>13.6</v>
      </c>
      <c r="J28" s="51">
        <v>13.6</v>
      </c>
      <c r="K28" s="51">
        <v>13.6</v>
      </c>
      <c r="L28" s="51">
        <v>13.6</v>
      </c>
      <c r="M28" s="51">
        <v>13.6</v>
      </c>
      <c r="N28" s="51"/>
      <c r="O28" s="51">
        <v>13.6</v>
      </c>
      <c r="P28" s="51">
        <v>13.6</v>
      </c>
      <c r="Q28" s="51">
        <v>13.6</v>
      </c>
      <c r="R28" s="51">
        <v>13.6</v>
      </c>
      <c r="S28" s="51">
        <v>13.6</v>
      </c>
      <c r="T28" s="51">
        <v>13.6</v>
      </c>
      <c r="U28" s="51">
        <v>13.6</v>
      </c>
      <c r="V28" s="51">
        <v>13.6</v>
      </c>
      <c r="W28" s="51">
        <v>13.6</v>
      </c>
      <c r="X28" s="51">
        <v>13.6</v>
      </c>
      <c r="Y28" s="51">
        <v>13.6</v>
      </c>
      <c r="Z28" s="51">
        <v>13.6</v>
      </c>
      <c r="AA28" s="51">
        <v>13.6</v>
      </c>
      <c r="AB28" s="51">
        <v>13.6</v>
      </c>
      <c r="AC28" s="51">
        <v>13.6</v>
      </c>
      <c r="AD28" s="51">
        <v>13.6</v>
      </c>
      <c r="AE28" s="51">
        <v>13.6</v>
      </c>
      <c r="AF28" s="51">
        <v>13.6</v>
      </c>
      <c r="AG28" s="59">
        <v>22.2</v>
      </c>
      <c r="AH28" s="55">
        <f t="shared" si="2"/>
        <v>13.6</v>
      </c>
      <c r="AI28" s="56">
        <f t="shared" si="3"/>
        <v>13.6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/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/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/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0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6</v>
      </c>
      <c r="C32" s="51">
        <v>6</v>
      </c>
      <c r="D32" s="51">
        <v>6</v>
      </c>
      <c r="E32" s="51">
        <v>6</v>
      </c>
      <c r="F32" s="51">
        <v>6</v>
      </c>
      <c r="G32" s="51">
        <v>6</v>
      </c>
      <c r="H32" s="51">
        <v>6</v>
      </c>
      <c r="I32" s="51">
        <v>6</v>
      </c>
      <c r="J32" s="51">
        <v>6</v>
      </c>
      <c r="K32" s="51">
        <v>6</v>
      </c>
      <c r="L32" s="51">
        <v>6</v>
      </c>
      <c r="M32" s="51">
        <v>6</v>
      </c>
      <c r="N32" s="51"/>
      <c r="O32" s="51">
        <v>6</v>
      </c>
      <c r="P32" s="51">
        <v>6</v>
      </c>
      <c r="Q32" s="51">
        <v>6</v>
      </c>
      <c r="R32" s="51">
        <v>6</v>
      </c>
      <c r="S32" s="51">
        <v>10</v>
      </c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1">
        <v>10</v>
      </c>
      <c r="Z32" s="51">
        <v>10</v>
      </c>
      <c r="AA32" s="51">
        <v>10</v>
      </c>
      <c r="AB32" s="51">
        <v>10</v>
      </c>
      <c r="AC32" s="51">
        <v>10</v>
      </c>
      <c r="AD32" s="51">
        <v>10</v>
      </c>
      <c r="AE32" s="51">
        <v>10</v>
      </c>
      <c r="AF32" s="51">
        <v>10</v>
      </c>
      <c r="AG32" s="64">
        <v>22</v>
      </c>
      <c r="AH32" s="55">
        <f t="shared" si="2"/>
        <v>10</v>
      </c>
      <c r="AI32" s="56">
        <f t="shared" si="3"/>
        <v>6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/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10</v>
      </c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/>
      <c r="O34" s="51">
        <v>10</v>
      </c>
      <c r="P34" s="51">
        <v>10</v>
      </c>
      <c r="Q34" s="51">
        <v>10</v>
      </c>
      <c r="R34" s="51">
        <v>10</v>
      </c>
      <c r="S34" s="51">
        <v>10</v>
      </c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1"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64">
        <v>20</v>
      </c>
      <c r="AH34" s="55">
        <f t="shared" si="2"/>
        <v>10</v>
      </c>
      <c r="AI34" s="56">
        <f t="shared" si="3"/>
        <v>10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/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/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127</v>
      </c>
      <c r="C37" s="68">
        <v>130</v>
      </c>
      <c r="D37" s="68">
        <v>94</v>
      </c>
      <c r="E37" s="68">
        <f>33.3+73</f>
        <v>106.3</v>
      </c>
      <c r="F37" s="68">
        <f>39.6+80.4</f>
        <v>120</v>
      </c>
      <c r="G37" s="68">
        <f>46.9+86.6</f>
        <v>133.5</v>
      </c>
      <c r="H37" s="68">
        <f>47.5+87.8</f>
        <v>135.30000000000001</v>
      </c>
      <c r="I37" s="68">
        <f>48.1+90</f>
        <v>138.1</v>
      </c>
      <c r="J37" s="68">
        <f>48.1+90</f>
        <v>138.1</v>
      </c>
      <c r="K37" s="68">
        <f>36.2+77.5</f>
        <v>113.7</v>
      </c>
      <c r="L37" s="68">
        <v>0</v>
      </c>
      <c r="M37" s="68">
        <v>0</v>
      </c>
      <c r="N37" s="66"/>
      <c r="O37" s="66">
        <v>0</v>
      </c>
      <c r="P37" s="66">
        <f>15.1+31.5</f>
        <v>46.6</v>
      </c>
      <c r="Q37" s="66">
        <f>23.9+48.4</f>
        <v>72.3</v>
      </c>
      <c r="R37" s="66">
        <f t="shared" ref="R37:Y37" si="4">37.2+75.9</f>
        <v>113.10000000000001</v>
      </c>
      <c r="S37" s="66">
        <f t="shared" si="4"/>
        <v>113.10000000000001</v>
      </c>
      <c r="T37" s="66">
        <f t="shared" si="4"/>
        <v>113.10000000000001</v>
      </c>
      <c r="U37" s="66">
        <f t="shared" si="4"/>
        <v>113.10000000000001</v>
      </c>
      <c r="V37" s="66">
        <f t="shared" si="4"/>
        <v>113.10000000000001</v>
      </c>
      <c r="W37" s="66">
        <f t="shared" si="4"/>
        <v>113.10000000000001</v>
      </c>
      <c r="X37" s="66">
        <f t="shared" si="4"/>
        <v>113.10000000000001</v>
      </c>
      <c r="Y37" s="66">
        <f t="shared" si="4"/>
        <v>113.10000000000001</v>
      </c>
      <c r="Z37" s="66">
        <f>38+81</f>
        <v>119</v>
      </c>
      <c r="AA37" s="66">
        <f>38+81</f>
        <v>119</v>
      </c>
      <c r="AB37" s="68">
        <f>81.9+38.2</f>
        <v>120.10000000000001</v>
      </c>
      <c r="AC37" s="68">
        <f>82.2+38.4</f>
        <v>120.6</v>
      </c>
      <c r="AD37" s="68">
        <f>87.9+45.5</f>
        <v>133.4</v>
      </c>
      <c r="AE37" s="68">
        <f>98.1+57.1</f>
        <v>155.19999999999999</v>
      </c>
      <c r="AF37" s="68">
        <f>99+57.5</f>
        <v>156.5</v>
      </c>
      <c r="AG37" s="64">
        <v>240</v>
      </c>
      <c r="AH37" s="55">
        <f t="shared" si="2"/>
        <v>156.5</v>
      </c>
      <c r="AI37" s="56">
        <f t="shared" si="3"/>
        <v>0</v>
      </c>
      <c r="AK37" s="57"/>
    </row>
    <row r="38" spans="1:88" ht="15.75" thickBot="1" x14ac:dyDescent="0.3">
      <c r="A38" s="69" t="s">
        <v>46</v>
      </c>
      <c r="B38" s="70">
        <v>1265.5</v>
      </c>
      <c r="C38" s="70">
        <f t="shared" ref="C38:AF38" si="5">SUM(C11:C36)</f>
        <v>1247.9000000000001</v>
      </c>
      <c r="D38" s="70">
        <f t="shared" si="5"/>
        <v>1190.8000000000002</v>
      </c>
      <c r="E38" s="70">
        <f t="shared" si="5"/>
        <v>1190.8000000000002</v>
      </c>
      <c r="F38" s="70">
        <f t="shared" si="5"/>
        <v>1105.8000000000002</v>
      </c>
      <c r="G38" s="70">
        <f t="shared" si="5"/>
        <v>1185.4000000000001</v>
      </c>
      <c r="H38" s="70">
        <f t="shared" si="5"/>
        <v>1235.2</v>
      </c>
      <c r="I38" s="70">
        <f t="shared" si="5"/>
        <v>1235.2</v>
      </c>
      <c r="J38" s="70">
        <f t="shared" si="5"/>
        <v>1198.8000000000002</v>
      </c>
      <c r="K38" s="70">
        <f t="shared" si="5"/>
        <v>1212.8000000000002</v>
      </c>
      <c r="L38" s="70">
        <f t="shared" si="5"/>
        <v>1171.8000000000002</v>
      </c>
      <c r="M38" s="70">
        <f t="shared" si="5"/>
        <v>1140.0999999999999</v>
      </c>
      <c r="N38" s="70">
        <f t="shared" si="5"/>
        <v>0</v>
      </c>
      <c r="O38" s="70">
        <f t="shared" si="5"/>
        <v>1060.9000000000001</v>
      </c>
      <c r="P38" s="70">
        <f t="shared" si="5"/>
        <v>1108.8000000000002</v>
      </c>
      <c r="Q38" s="70">
        <f t="shared" si="5"/>
        <v>1178.8000000000002</v>
      </c>
      <c r="R38" s="70">
        <f t="shared" si="5"/>
        <v>1178.8000000000002</v>
      </c>
      <c r="S38" s="70">
        <f t="shared" si="5"/>
        <v>1181.2</v>
      </c>
      <c r="T38" s="70">
        <f t="shared" si="5"/>
        <v>1181.2</v>
      </c>
      <c r="U38" s="70">
        <f t="shared" si="5"/>
        <v>1192.2</v>
      </c>
      <c r="V38" s="70">
        <f t="shared" si="5"/>
        <v>1216.5</v>
      </c>
      <c r="W38" s="70">
        <f t="shared" si="5"/>
        <v>1215.9000000000001</v>
      </c>
      <c r="X38" s="70">
        <f t="shared" si="5"/>
        <v>1241.5</v>
      </c>
      <c r="Y38" s="70">
        <f t="shared" si="5"/>
        <v>1241.5</v>
      </c>
      <c r="Z38" s="70">
        <f t="shared" si="5"/>
        <v>1241.5</v>
      </c>
      <c r="AA38" s="70">
        <f t="shared" si="5"/>
        <v>1241.5</v>
      </c>
      <c r="AB38" s="70">
        <f t="shared" si="5"/>
        <v>1255.4000000000001</v>
      </c>
      <c r="AC38" s="70">
        <f t="shared" si="5"/>
        <v>1255.4000000000001</v>
      </c>
      <c r="AD38" s="70">
        <f t="shared" si="5"/>
        <v>1268.4000000000001</v>
      </c>
      <c r="AE38" s="70">
        <f t="shared" si="5"/>
        <v>1268.4000000000001</v>
      </c>
      <c r="AF38" s="70">
        <f t="shared" si="5"/>
        <v>1280.4000000000001</v>
      </c>
      <c r="AG38" s="64">
        <f>SUM(AG11:AG37)</f>
        <v>1492.8299999999997</v>
      </c>
      <c r="AH38" s="55">
        <f t="shared" si="2"/>
        <v>1280.4000000000001</v>
      </c>
      <c r="AI38" s="56">
        <f t="shared" si="3"/>
        <v>0</v>
      </c>
      <c r="AK38" s="57"/>
    </row>
    <row r="39" spans="1:88" x14ac:dyDescent="0.25">
      <c r="A39" s="58" t="s">
        <v>47</v>
      </c>
      <c r="B39" s="51">
        <v>144</v>
      </c>
      <c r="C39" s="51">
        <v>144</v>
      </c>
      <c r="D39" s="51">
        <v>145</v>
      </c>
      <c r="E39" s="51">
        <v>144.69999999999999</v>
      </c>
      <c r="F39" s="51">
        <v>144.30000000000001</v>
      </c>
      <c r="G39" s="51">
        <v>143.80000000000001</v>
      </c>
      <c r="H39" s="51">
        <v>143.69999999999999</v>
      </c>
      <c r="I39" s="51">
        <v>143.69999999999999</v>
      </c>
      <c r="J39" s="51">
        <v>143.69999999999999</v>
      </c>
      <c r="K39" s="51">
        <v>143.69999999999999</v>
      </c>
      <c r="L39" s="51">
        <v>143.69999999999999</v>
      </c>
      <c r="M39" s="51">
        <v>143.19999999999999</v>
      </c>
      <c r="N39" s="51"/>
      <c r="O39" s="51">
        <v>143.19999999999999</v>
      </c>
      <c r="P39" s="51">
        <v>143.19999999999999</v>
      </c>
      <c r="Q39" s="51">
        <v>143</v>
      </c>
      <c r="R39" s="51">
        <v>143</v>
      </c>
      <c r="S39" s="51">
        <v>143</v>
      </c>
      <c r="T39" s="51">
        <v>143</v>
      </c>
      <c r="U39" s="51">
        <v>143</v>
      </c>
      <c r="V39" s="51">
        <v>143</v>
      </c>
      <c r="W39" s="51">
        <v>144.69999999999999</v>
      </c>
      <c r="X39" s="51">
        <v>132</v>
      </c>
      <c r="Y39" s="51">
        <v>143.4</v>
      </c>
      <c r="Z39" s="51">
        <v>143.4</v>
      </c>
      <c r="AA39" s="51">
        <v>143.4</v>
      </c>
      <c r="AB39" s="51">
        <v>144.4</v>
      </c>
      <c r="AC39" s="51">
        <v>144.19999999999999</v>
      </c>
      <c r="AD39" s="51">
        <v>144.19999999999999</v>
      </c>
      <c r="AE39" s="51">
        <v>144.19999999999999</v>
      </c>
      <c r="AF39" s="51">
        <v>144.19999999999999</v>
      </c>
      <c r="AG39" s="60">
        <v>144</v>
      </c>
      <c r="AH39" s="55">
        <f t="shared" si="2"/>
        <v>145</v>
      </c>
      <c r="AI39" s="56">
        <f t="shared" si="3"/>
        <v>132</v>
      </c>
      <c r="AK39" s="57"/>
    </row>
    <row r="40" spans="1:88" x14ac:dyDescent="0.25">
      <c r="A40" s="63" t="s">
        <v>48</v>
      </c>
      <c r="B40" s="49">
        <v>70.5</v>
      </c>
      <c r="C40" s="49">
        <v>70.5</v>
      </c>
      <c r="D40" s="49">
        <v>72.900000000000006</v>
      </c>
      <c r="E40" s="49">
        <v>72.900000000000006</v>
      </c>
      <c r="F40" s="49">
        <v>72.2</v>
      </c>
      <c r="G40" s="49">
        <v>71.900000000000006</v>
      </c>
      <c r="H40" s="49">
        <v>72.2</v>
      </c>
      <c r="I40" s="49">
        <v>71.7</v>
      </c>
      <c r="J40" s="49">
        <v>71.7</v>
      </c>
      <c r="K40" s="49">
        <v>71.7</v>
      </c>
      <c r="L40" s="49">
        <v>71.7</v>
      </c>
      <c r="M40" s="51">
        <v>72.2</v>
      </c>
      <c r="N40" s="51"/>
      <c r="O40" s="51">
        <v>72.2</v>
      </c>
      <c r="P40" s="51">
        <v>72.2</v>
      </c>
      <c r="Q40" s="51">
        <v>70.8</v>
      </c>
      <c r="R40" s="51">
        <v>70.8</v>
      </c>
      <c r="S40" s="51">
        <v>70.8</v>
      </c>
      <c r="T40" s="51">
        <v>70.8</v>
      </c>
      <c r="U40" s="51">
        <v>70.8</v>
      </c>
      <c r="V40" s="51">
        <v>70.8</v>
      </c>
      <c r="W40" s="49">
        <v>71.099999999999994</v>
      </c>
      <c r="X40" s="49">
        <v>71.099999999999994</v>
      </c>
      <c r="Y40" s="49">
        <v>71.099999999999994</v>
      </c>
      <c r="Z40" s="49">
        <v>71.099999999999994</v>
      </c>
      <c r="AA40" s="49">
        <v>71.099999999999994</v>
      </c>
      <c r="AB40" s="49">
        <v>71.3</v>
      </c>
      <c r="AC40" s="49">
        <v>72.2</v>
      </c>
      <c r="AD40" s="49">
        <v>72</v>
      </c>
      <c r="AE40" s="49">
        <v>72</v>
      </c>
      <c r="AF40" s="49">
        <v>71.2</v>
      </c>
      <c r="AG40" s="64">
        <v>70</v>
      </c>
      <c r="AH40" s="55">
        <f t="shared" si="2"/>
        <v>72.900000000000006</v>
      </c>
      <c r="AI40" s="56">
        <f t="shared" si="3"/>
        <v>70.5</v>
      </c>
      <c r="AK40" s="57"/>
    </row>
    <row r="41" spans="1:88" x14ac:dyDescent="0.25">
      <c r="A41" s="63" t="s">
        <v>49</v>
      </c>
      <c r="B41" s="49">
        <v>62</v>
      </c>
      <c r="C41" s="49">
        <v>62</v>
      </c>
      <c r="D41" s="49">
        <v>62</v>
      </c>
      <c r="E41" s="49">
        <v>62</v>
      </c>
      <c r="F41" s="49">
        <v>61.8</v>
      </c>
      <c r="G41" s="49">
        <v>62</v>
      </c>
      <c r="H41" s="49">
        <v>61.9</v>
      </c>
      <c r="I41" s="49">
        <v>62</v>
      </c>
      <c r="J41" s="49">
        <v>62</v>
      </c>
      <c r="K41" s="49">
        <v>62</v>
      </c>
      <c r="L41" s="49">
        <v>62</v>
      </c>
      <c r="M41" s="51">
        <v>62</v>
      </c>
      <c r="N41" s="51"/>
      <c r="O41" s="51">
        <v>62</v>
      </c>
      <c r="P41" s="51">
        <v>62</v>
      </c>
      <c r="Q41" s="51">
        <v>63.4</v>
      </c>
      <c r="R41" s="51">
        <v>63.4</v>
      </c>
      <c r="S41" s="51">
        <v>63.4</v>
      </c>
      <c r="T41" s="51">
        <v>63.4</v>
      </c>
      <c r="U41" s="51">
        <v>63.4</v>
      </c>
      <c r="V41" s="51">
        <v>63.4</v>
      </c>
      <c r="W41" s="49">
        <v>63.5</v>
      </c>
      <c r="X41" s="49">
        <v>63.5</v>
      </c>
      <c r="Y41" s="49">
        <v>63.5</v>
      </c>
      <c r="Z41" s="49">
        <v>63.5</v>
      </c>
      <c r="AA41" s="49">
        <v>63.5</v>
      </c>
      <c r="AB41" s="49">
        <v>63.1</v>
      </c>
      <c r="AC41" s="49">
        <v>62.8</v>
      </c>
      <c r="AD41" s="49">
        <v>62.7</v>
      </c>
      <c r="AE41" s="49">
        <v>63.1</v>
      </c>
      <c r="AF41" s="49">
        <v>62.5</v>
      </c>
      <c r="AG41" s="64">
        <v>69</v>
      </c>
      <c r="AH41" s="55">
        <f t="shared" si="2"/>
        <v>63.5</v>
      </c>
      <c r="AI41" s="56">
        <f t="shared" si="3"/>
        <v>61.8</v>
      </c>
      <c r="AK41" s="57"/>
    </row>
    <row r="42" spans="1:88" x14ac:dyDescent="0.25">
      <c r="A42" s="63" t="s">
        <v>50</v>
      </c>
      <c r="B42" s="66">
        <v>60.2</v>
      </c>
      <c r="C42" s="66">
        <v>60.2</v>
      </c>
      <c r="D42" s="66">
        <v>60</v>
      </c>
      <c r="E42" s="66">
        <v>60</v>
      </c>
      <c r="F42" s="66">
        <v>61.2</v>
      </c>
      <c r="G42" s="66">
        <v>60.9</v>
      </c>
      <c r="H42" s="66">
        <v>60.9</v>
      </c>
      <c r="I42" s="66">
        <v>60.9</v>
      </c>
      <c r="J42" s="66">
        <v>60.9</v>
      </c>
      <c r="K42" s="66">
        <v>60.9</v>
      </c>
      <c r="L42" s="66">
        <v>60.9</v>
      </c>
      <c r="M42" s="51">
        <v>60.9</v>
      </c>
      <c r="N42" s="51"/>
      <c r="O42" s="51">
        <v>60.9</v>
      </c>
      <c r="P42" s="51">
        <v>60.9</v>
      </c>
      <c r="Q42" s="51">
        <v>60.7</v>
      </c>
      <c r="R42" s="51">
        <v>60.7</v>
      </c>
      <c r="S42" s="51">
        <v>60.7</v>
      </c>
      <c r="T42" s="51">
        <v>60.7</v>
      </c>
      <c r="U42" s="51">
        <v>60.7</v>
      </c>
      <c r="V42" s="51">
        <v>60.7</v>
      </c>
      <c r="W42" s="51">
        <v>60.7</v>
      </c>
      <c r="X42" s="51">
        <v>60.7</v>
      </c>
      <c r="Y42" s="51">
        <v>60.7</v>
      </c>
      <c r="Z42" s="51">
        <v>60.7</v>
      </c>
      <c r="AA42" s="51">
        <v>60.7</v>
      </c>
      <c r="AB42" s="66">
        <v>60.7</v>
      </c>
      <c r="AC42" s="66">
        <v>60.7</v>
      </c>
      <c r="AD42" s="66">
        <v>60.7</v>
      </c>
      <c r="AE42" s="66">
        <v>60.7</v>
      </c>
      <c r="AF42" s="66">
        <v>60.7</v>
      </c>
      <c r="AG42" s="64">
        <v>60</v>
      </c>
      <c r="AH42" s="55">
        <f t="shared" si="2"/>
        <v>61.2</v>
      </c>
      <c r="AI42" s="56">
        <f t="shared" si="3"/>
        <v>60</v>
      </c>
      <c r="AK42" s="57"/>
    </row>
    <row r="43" spans="1:88" x14ac:dyDescent="0.25">
      <c r="A43" s="63" t="s">
        <v>51</v>
      </c>
      <c r="B43" s="66">
        <v>30</v>
      </c>
      <c r="C43" s="66">
        <v>30</v>
      </c>
      <c r="D43" s="66">
        <v>30</v>
      </c>
      <c r="E43" s="66">
        <v>30</v>
      </c>
      <c r="F43" s="66">
        <v>30</v>
      </c>
      <c r="G43" s="66">
        <v>29.1</v>
      </c>
      <c r="H43" s="66">
        <v>29.1</v>
      </c>
      <c r="I43" s="66">
        <v>29.1</v>
      </c>
      <c r="J43" s="66">
        <v>29.1</v>
      </c>
      <c r="K43" s="66">
        <v>29.1</v>
      </c>
      <c r="L43" s="66">
        <v>29.1</v>
      </c>
      <c r="M43" s="51">
        <v>29.2</v>
      </c>
      <c r="N43" s="51"/>
      <c r="O43" s="51">
        <v>29.2</v>
      </c>
      <c r="P43" s="51">
        <v>29.2</v>
      </c>
      <c r="Q43" s="51">
        <v>29.4</v>
      </c>
      <c r="R43" s="51">
        <v>29.4</v>
      </c>
      <c r="S43" s="51">
        <v>29.4</v>
      </c>
      <c r="T43" s="51">
        <v>29.4</v>
      </c>
      <c r="U43" s="51">
        <v>29.4</v>
      </c>
      <c r="V43" s="51">
        <v>29.4</v>
      </c>
      <c r="W43" s="51">
        <v>29.4</v>
      </c>
      <c r="X43" s="51">
        <v>29.4</v>
      </c>
      <c r="Y43" s="51">
        <v>29.4</v>
      </c>
      <c r="Z43" s="51">
        <v>29.4</v>
      </c>
      <c r="AA43" s="51">
        <v>29.4</v>
      </c>
      <c r="AB43" s="66">
        <v>29.5</v>
      </c>
      <c r="AC43" s="66">
        <v>29.5</v>
      </c>
      <c r="AD43" s="66">
        <v>30</v>
      </c>
      <c r="AE43" s="66">
        <v>30</v>
      </c>
      <c r="AF43" s="66">
        <v>30</v>
      </c>
      <c r="AG43" s="64">
        <v>30</v>
      </c>
      <c r="AH43" s="55">
        <f t="shared" si="2"/>
        <v>30</v>
      </c>
      <c r="AI43" s="56">
        <f t="shared" si="3"/>
        <v>29.1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8</v>
      </c>
      <c r="N44" s="51"/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17</v>
      </c>
      <c r="C45" s="49">
        <v>17</v>
      </c>
      <c r="D45" s="49">
        <v>17</v>
      </c>
      <c r="E45" s="49">
        <v>17</v>
      </c>
      <c r="F45" s="49">
        <v>17</v>
      </c>
      <c r="G45" s="49">
        <v>17</v>
      </c>
      <c r="H45" s="49">
        <v>17</v>
      </c>
      <c r="I45" s="49">
        <v>17</v>
      </c>
      <c r="J45" s="49">
        <v>17</v>
      </c>
      <c r="K45" s="49">
        <v>17</v>
      </c>
      <c r="L45" s="49">
        <v>17</v>
      </c>
      <c r="M45" s="51">
        <v>14.7</v>
      </c>
      <c r="N45" s="51"/>
      <c r="O45" s="51">
        <v>14.7</v>
      </c>
      <c r="P45" s="51">
        <v>14.7</v>
      </c>
      <c r="Q45" s="51">
        <v>14.7</v>
      </c>
      <c r="R45" s="51">
        <v>14.7</v>
      </c>
      <c r="S45" s="51">
        <v>14.7</v>
      </c>
      <c r="T45" s="51">
        <v>14.7</v>
      </c>
      <c r="U45" s="51">
        <v>14.7</v>
      </c>
      <c r="V45" s="51">
        <v>14.7</v>
      </c>
      <c r="W45" s="51">
        <v>14.7</v>
      </c>
      <c r="X45" s="51">
        <v>14.7</v>
      </c>
      <c r="Y45" s="51">
        <v>14.7</v>
      </c>
      <c r="Z45" s="51">
        <v>14.7</v>
      </c>
      <c r="AA45" s="51">
        <v>14.7</v>
      </c>
      <c r="AB45" s="49">
        <v>15.1</v>
      </c>
      <c r="AC45" s="49">
        <v>15.1</v>
      </c>
      <c r="AD45" s="49">
        <v>15.1</v>
      </c>
      <c r="AE45" s="49">
        <v>15.1</v>
      </c>
      <c r="AF45" s="49">
        <v>15</v>
      </c>
      <c r="AG45" s="64">
        <v>24</v>
      </c>
      <c r="AH45" s="55">
        <f t="shared" si="2"/>
        <v>17</v>
      </c>
      <c r="AI45" s="56">
        <f t="shared" si="3"/>
        <v>14.7</v>
      </c>
      <c r="AK45" s="57"/>
    </row>
    <row r="46" spans="1:88" x14ac:dyDescent="0.25">
      <c r="A46" s="63" t="s">
        <v>54</v>
      </c>
      <c r="B46" s="49">
        <v>2</v>
      </c>
      <c r="C46" s="49">
        <v>2</v>
      </c>
      <c r="D46" s="49">
        <v>2</v>
      </c>
      <c r="E46" s="49">
        <v>2</v>
      </c>
      <c r="F46" s="49">
        <v>2</v>
      </c>
      <c r="G46" s="49">
        <v>2</v>
      </c>
      <c r="H46" s="49">
        <v>2</v>
      </c>
      <c r="I46" s="49">
        <v>2</v>
      </c>
      <c r="J46" s="49">
        <v>2</v>
      </c>
      <c r="K46" s="49">
        <v>2</v>
      </c>
      <c r="L46" s="49">
        <v>2</v>
      </c>
      <c r="M46" s="51">
        <v>2</v>
      </c>
      <c r="N46" s="51"/>
      <c r="O46" s="51">
        <v>2</v>
      </c>
      <c r="P46" s="51">
        <v>2</v>
      </c>
      <c r="Q46" s="51">
        <v>2</v>
      </c>
      <c r="R46" s="51">
        <v>2</v>
      </c>
      <c r="S46" s="51">
        <v>2</v>
      </c>
      <c r="T46" s="51">
        <v>2</v>
      </c>
      <c r="U46" s="51">
        <v>2</v>
      </c>
      <c r="V46" s="51">
        <v>2</v>
      </c>
      <c r="W46" s="51">
        <v>2</v>
      </c>
      <c r="X46" s="51">
        <v>2</v>
      </c>
      <c r="Y46" s="51">
        <v>2</v>
      </c>
      <c r="Z46" s="51">
        <v>2</v>
      </c>
      <c r="AA46" s="51">
        <v>2</v>
      </c>
      <c r="AB46" s="51">
        <v>3</v>
      </c>
      <c r="AC46" s="51">
        <v>3</v>
      </c>
      <c r="AD46" s="51">
        <v>3</v>
      </c>
      <c r="AE46" s="51">
        <v>3</v>
      </c>
      <c r="AF46" s="49">
        <v>3</v>
      </c>
      <c r="AG46" s="64">
        <v>15</v>
      </c>
      <c r="AH46" s="55">
        <f t="shared" si="2"/>
        <v>3</v>
      </c>
      <c r="AI46" s="56">
        <f t="shared" si="3"/>
        <v>2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10</v>
      </c>
      <c r="C47" s="49">
        <v>10</v>
      </c>
      <c r="D47" s="49">
        <v>10</v>
      </c>
      <c r="E47" s="49">
        <v>10</v>
      </c>
      <c r="F47" s="49">
        <v>10</v>
      </c>
      <c r="G47" s="49">
        <v>10</v>
      </c>
      <c r="H47" s="49">
        <v>10</v>
      </c>
      <c r="I47" s="49">
        <v>10</v>
      </c>
      <c r="J47" s="49">
        <v>10</v>
      </c>
      <c r="K47" s="49">
        <v>10</v>
      </c>
      <c r="L47" s="49">
        <v>10</v>
      </c>
      <c r="M47" s="51">
        <v>10</v>
      </c>
      <c r="N47" s="51"/>
      <c r="O47" s="51">
        <v>10</v>
      </c>
      <c r="P47" s="51">
        <v>10</v>
      </c>
      <c r="Q47" s="51">
        <v>10</v>
      </c>
      <c r="R47" s="51">
        <v>10</v>
      </c>
      <c r="S47" s="51">
        <v>10</v>
      </c>
      <c r="T47" s="51">
        <v>10</v>
      </c>
      <c r="U47" s="51">
        <v>10</v>
      </c>
      <c r="V47" s="51">
        <v>10</v>
      </c>
      <c r="W47" s="51">
        <v>10</v>
      </c>
      <c r="X47" s="51">
        <v>10</v>
      </c>
      <c r="Y47" s="51">
        <v>10</v>
      </c>
      <c r="Z47" s="51">
        <v>10</v>
      </c>
      <c r="AA47" s="51">
        <v>10</v>
      </c>
      <c r="AB47" s="51">
        <v>10</v>
      </c>
      <c r="AC47" s="51">
        <v>10</v>
      </c>
      <c r="AD47" s="51">
        <v>10</v>
      </c>
      <c r="AE47" s="51">
        <v>10</v>
      </c>
      <c r="AF47" s="51">
        <v>10</v>
      </c>
      <c r="AG47" s="64">
        <v>14.1</v>
      </c>
      <c r="AH47" s="55">
        <f t="shared" si="2"/>
        <v>10</v>
      </c>
      <c r="AI47" s="56">
        <f t="shared" si="3"/>
        <v>10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</v>
      </c>
      <c r="C48" s="49">
        <v>13</v>
      </c>
      <c r="D48" s="49">
        <v>13</v>
      </c>
      <c r="E48" s="49">
        <v>13</v>
      </c>
      <c r="F48" s="49">
        <v>13</v>
      </c>
      <c r="G48" s="49">
        <v>13</v>
      </c>
      <c r="H48" s="49">
        <v>13</v>
      </c>
      <c r="I48" s="49">
        <v>13</v>
      </c>
      <c r="J48" s="49">
        <v>13</v>
      </c>
      <c r="K48" s="49">
        <v>13</v>
      </c>
      <c r="L48" s="49">
        <v>13</v>
      </c>
      <c r="M48" s="51">
        <v>13</v>
      </c>
      <c r="N48" s="51"/>
      <c r="O48" s="51">
        <v>13</v>
      </c>
      <c r="P48" s="51">
        <v>13</v>
      </c>
      <c r="Q48" s="51">
        <v>6.9</v>
      </c>
      <c r="R48" s="51">
        <v>13.8</v>
      </c>
      <c r="S48" s="51">
        <v>13.8</v>
      </c>
      <c r="T48" s="51">
        <v>13.8</v>
      </c>
      <c r="U48" s="51">
        <v>13.8</v>
      </c>
      <c r="V48" s="51">
        <v>13.8</v>
      </c>
      <c r="W48" s="51">
        <v>2.6</v>
      </c>
      <c r="X48" s="51">
        <v>2.6</v>
      </c>
      <c r="Y48" s="51">
        <v>2.6</v>
      </c>
      <c r="Z48" s="51">
        <v>2.6</v>
      </c>
      <c r="AA48" s="51">
        <v>2.6</v>
      </c>
      <c r="AB48" s="51">
        <v>7</v>
      </c>
      <c r="AC48" s="51">
        <v>7</v>
      </c>
      <c r="AD48" s="51">
        <v>6.7</v>
      </c>
      <c r="AE48" s="51">
        <v>6.7</v>
      </c>
      <c r="AF48" s="51">
        <v>6.7</v>
      </c>
      <c r="AG48" s="64">
        <v>14</v>
      </c>
      <c r="AH48" s="55">
        <f t="shared" si="2"/>
        <v>13.8</v>
      </c>
      <c r="AI48" s="56">
        <f t="shared" si="3"/>
        <v>2.6</v>
      </c>
      <c r="AK48" s="57"/>
    </row>
    <row r="49" spans="1:37" x14ac:dyDescent="0.25">
      <c r="A49" s="63" t="s">
        <v>57</v>
      </c>
      <c r="B49" s="49">
        <v>0</v>
      </c>
      <c r="C49" s="49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51">
        <v>0</v>
      </c>
      <c r="N49" s="51"/>
      <c r="O49" s="51">
        <v>0</v>
      </c>
      <c r="P49" s="51">
        <v>9.6</v>
      </c>
      <c r="Q49" s="51">
        <v>9.6</v>
      </c>
      <c r="R49" s="51">
        <v>9.6</v>
      </c>
      <c r="S49" s="51">
        <v>9.6</v>
      </c>
      <c r="T49" s="51">
        <v>9.6</v>
      </c>
      <c r="U49" s="51">
        <v>9.6</v>
      </c>
      <c r="V49" s="51">
        <v>9.6</v>
      </c>
      <c r="W49" s="51">
        <v>9.6</v>
      </c>
      <c r="X49" s="51">
        <v>9.6</v>
      </c>
      <c r="Y49" s="51">
        <v>9.6</v>
      </c>
      <c r="Z49" s="51">
        <v>9.6</v>
      </c>
      <c r="AA49" s="51">
        <v>9.6</v>
      </c>
      <c r="AB49" s="51">
        <v>9.6</v>
      </c>
      <c r="AC49" s="51">
        <v>9.6</v>
      </c>
      <c r="AD49" s="51">
        <v>9.6</v>
      </c>
      <c r="AE49" s="51">
        <v>9.6</v>
      </c>
      <c r="AF49" s="51">
        <v>9.6</v>
      </c>
      <c r="AG49" s="64">
        <v>10.050000000000001</v>
      </c>
      <c r="AH49" s="55">
        <f t="shared" si="2"/>
        <v>9.6</v>
      </c>
      <c r="AI49" s="56">
        <f t="shared" si="3"/>
        <v>0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51">
        <v>6</v>
      </c>
      <c r="N50" s="51"/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51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AG201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v>426.64</v>
      </c>
      <c r="C52" s="70">
        <f t="shared" ref="C52:AF52" si="7">SUM(C39:C51)</f>
        <v>418.24</v>
      </c>
      <c r="D52" s="70">
        <f t="shared" si="7"/>
        <v>421.44</v>
      </c>
      <c r="E52" s="70">
        <f t="shared" si="7"/>
        <v>421.14000000000004</v>
      </c>
      <c r="F52" s="70">
        <f t="shared" si="7"/>
        <v>421.04</v>
      </c>
      <c r="G52" s="70">
        <f t="shared" si="7"/>
        <v>419.24000000000007</v>
      </c>
      <c r="H52" s="70">
        <f t="shared" si="7"/>
        <v>419.34</v>
      </c>
      <c r="I52" s="70">
        <f t="shared" si="7"/>
        <v>418.94</v>
      </c>
      <c r="J52" s="70">
        <f t="shared" si="7"/>
        <v>418.94</v>
      </c>
      <c r="K52" s="70">
        <f t="shared" si="7"/>
        <v>418.94</v>
      </c>
      <c r="L52" s="70">
        <f t="shared" si="7"/>
        <v>418.94</v>
      </c>
      <c r="M52" s="70">
        <f t="shared" si="7"/>
        <v>424.73999999999995</v>
      </c>
      <c r="N52" s="70">
        <f t="shared" si="7"/>
        <v>3.54</v>
      </c>
      <c r="O52" s="70">
        <f t="shared" si="7"/>
        <v>424.73999999999995</v>
      </c>
      <c r="P52" s="70">
        <f t="shared" si="7"/>
        <v>434.34</v>
      </c>
      <c r="Q52" s="70">
        <f t="shared" si="7"/>
        <v>428.03999999999996</v>
      </c>
      <c r="R52" s="70">
        <f t="shared" si="7"/>
        <v>434.94</v>
      </c>
      <c r="S52" s="70">
        <f t="shared" si="7"/>
        <v>434.94</v>
      </c>
      <c r="T52" s="70">
        <f t="shared" si="7"/>
        <v>434.94</v>
      </c>
      <c r="U52" s="70">
        <f t="shared" si="7"/>
        <v>434.94</v>
      </c>
      <c r="V52" s="70">
        <f t="shared" si="7"/>
        <v>426.94</v>
      </c>
      <c r="W52" s="70">
        <f t="shared" si="7"/>
        <v>417.84</v>
      </c>
      <c r="X52" s="70">
        <f t="shared" si="7"/>
        <v>405.14000000000004</v>
      </c>
      <c r="Y52" s="70">
        <f t="shared" si="7"/>
        <v>416.54</v>
      </c>
      <c r="Z52" s="70">
        <f t="shared" si="7"/>
        <v>416.54</v>
      </c>
      <c r="AA52" s="70">
        <f t="shared" si="7"/>
        <v>416.54</v>
      </c>
      <c r="AB52" s="70">
        <f t="shared" si="7"/>
        <v>423.24000000000007</v>
      </c>
      <c r="AC52" s="70">
        <f t="shared" si="7"/>
        <v>423.64000000000004</v>
      </c>
      <c r="AD52" s="70">
        <f t="shared" si="7"/>
        <v>423.54</v>
      </c>
      <c r="AE52" s="70">
        <f t="shared" si="7"/>
        <v>423.94000000000005</v>
      </c>
      <c r="AF52" s="70">
        <f t="shared" si="7"/>
        <v>422.44</v>
      </c>
      <c r="AG52" s="74">
        <f>SUM(AG39:AG51)</f>
        <v>489.91</v>
      </c>
      <c r="AH52" s="55">
        <f t="shared" si="2"/>
        <v>434.94</v>
      </c>
      <c r="AI52" s="56">
        <f t="shared" si="3"/>
        <v>3.54</v>
      </c>
      <c r="AK52" s="57"/>
    </row>
    <row r="53" spans="1:37" x14ac:dyDescent="0.25">
      <c r="A53" s="58" t="s">
        <v>61</v>
      </c>
      <c r="B53" s="51">
        <v>45</v>
      </c>
      <c r="C53" s="51">
        <v>30</v>
      </c>
      <c r="D53" s="51">
        <v>20</v>
      </c>
      <c r="E53" s="51">
        <v>10</v>
      </c>
      <c r="F53" s="51">
        <v>24.4</v>
      </c>
      <c r="G53" s="51">
        <v>24.8</v>
      </c>
      <c r="H53" s="51">
        <v>10.3</v>
      </c>
      <c r="I53" s="51">
        <v>30.6</v>
      </c>
      <c r="J53" s="51">
        <v>30.6</v>
      </c>
      <c r="K53" s="51">
        <v>30.6</v>
      </c>
      <c r="L53" s="51">
        <v>45</v>
      </c>
      <c r="M53" s="51">
        <v>44</v>
      </c>
      <c r="N53" s="51"/>
      <c r="O53" s="51">
        <v>58.3</v>
      </c>
      <c r="P53" s="51">
        <v>31.1</v>
      </c>
      <c r="Q53" s="51">
        <v>45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25.5</v>
      </c>
      <c r="AC53" s="51">
        <v>30</v>
      </c>
      <c r="AD53" s="51">
        <v>50</v>
      </c>
      <c r="AE53" s="51">
        <v>30</v>
      </c>
      <c r="AF53" s="51">
        <v>10</v>
      </c>
      <c r="AG53" s="60">
        <v>60</v>
      </c>
      <c r="AH53" s="55">
        <f t="shared" si="2"/>
        <v>58.3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20</v>
      </c>
      <c r="C54" s="49">
        <v>14</v>
      </c>
      <c r="D54" s="49">
        <v>10</v>
      </c>
      <c r="E54" s="49">
        <v>5.5</v>
      </c>
      <c r="F54" s="49">
        <v>12.1</v>
      </c>
      <c r="G54" s="49">
        <v>13.5</v>
      </c>
      <c r="H54" s="49">
        <v>4.8</v>
      </c>
      <c r="I54" s="49">
        <v>16.399999999999999</v>
      </c>
      <c r="J54" s="49">
        <v>16.399999999999999</v>
      </c>
      <c r="K54" s="49">
        <v>16.399999999999999</v>
      </c>
      <c r="L54" s="49">
        <v>20</v>
      </c>
      <c r="M54" s="49">
        <v>22.2</v>
      </c>
      <c r="N54" s="49"/>
      <c r="O54" s="49">
        <v>27.1</v>
      </c>
      <c r="P54" s="49">
        <v>19.2</v>
      </c>
      <c r="Q54" s="49">
        <v>24.9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0</v>
      </c>
      <c r="AB54" s="49">
        <v>12.5</v>
      </c>
      <c r="AC54" s="49">
        <v>15.7</v>
      </c>
      <c r="AD54" s="49">
        <v>25</v>
      </c>
      <c r="AE54" s="49">
        <v>14.5</v>
      </c>
      <c r="AF54" s="49">
        <v>9.6</v>
      </c>
      <c r="AG54" s="64">
        <v>32</v>
      </c>
      <c r="AH54" s="55">
        <f t="shared" si="2"/>
        <v>27.1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8</v>
      </c>
      <c r="C55" s="75">
        <v>5</v>
      </c>
      <c r="D55" s="75">
        <v>4</v>
      </c>
      <c r="E55" s="75">
        <v>2</v>
      </c>
      <c r="F55" s="75">
        <v>4.4000000000000004</v>
      </c>
      <c r="G55" s="75">
        <v>4.9000000000000004</v>
      </c>
      <c r="H55" s="75">
        <v>1.8</v>
      </c>
      <c r="I55" s="75">
        <v>6</v>
      </c>
      <c r="J55" s="75">
        <v>6</v>
      </c>
      <c r="K55" s="75">
        <v>6</v>
      </c>
      <c r="L55" s="75">
        <v>8</v>
      </c>
      <c r="M55" s="75">
        <v>8.1</v>
      </c>
      <c r="N55" s="75"/>
      <c r="O55" s="75">
        <v>10</v>
      </c>
      <c r="P55" s="75">
        <v>7</v>
      </c>
      <c r="Q55" s="75">
        <v>8.8000000000000007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4.5999999999999996</v>
      </c>
      <c r="AC55" s="75">
        <v>5.7</v>
      </c>
      <c r="AD55" s="75">
        <v>9.1</v>
      </c>
      <c r="AE55" s="75">
        <v>5.3</v>
      </c>
      <c r="AF55" s="75">
        <v>3.5</v>
      </c>
      <c r="AG55" s="76">
        <v>14</v>
      </c>
      <c r="AH55" s="55">
        <f t="shared" si="2"/>
        <v>10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v>57</v>
      </c>
      <c r="C56" s="70">
        <f t="shared" ref="C56:AF56" si="8">SUM(C53:C55)</f>
        <v>49</v>
      </c>
      <c r="D56" s="70">
        <f t="shared" si="8"/>
        <v>34</v>
      </c>
      <c r="E56" s="70">
        <f t="shared" si="8"/>
        <v>17.5</v>
      </c>
      <c r="F56" s="70">
        <f t="shared" si="8"/>
        <v>40.9</v>
      </c>
      <c r="G56" s="70">
        <f t="shared" si="8"/>
        <v>43.199999999999996</v>
      </c>
      <c r="H56" s="70">
        <f t="shared" si="8"/>
        <v>16.900000000000002</v>
      </c>
      <c r="I56" s="70">
        <f t="shared" si="8"/>
        <v>53</v>
      </c>
      <c r="J56" s="70">
        <f t="shared" si="8"/>
        <v>53</v>
      </c>
      <c r="K56" s="70">
        <f t="shared" si="8"/>
        <v>53</v>
      </c>
      <c r="L56" s="70">
        <f t="shared" si="8"/>
        <v>73</v>
      </c>
      <c r="M56" s="70">
        <f t="shared" si="8"/>
        <v>74.3</v>
      </c>
      <c r="N56" s="70">
        <f t="shared" si="8"/>
        <v>0</v>
      </c>
      <c r="O56" s="70">
        <f t="shared" si="8"/>
        <v>95.4</v>
      </c>
      <c r="P56" s="70">
        <f t="shared" si="8"/>
        <v>57.3</v>
      </c>
      <c r="Q56" s="70">
        <f t="shared" si="8"/>
        <v>78.7</v>
      </c>
      <c r="R56" s="70">
        <f t="shared" si="8"/>
        <v>0</v>
      </c>
      <c r="S56" s="70">
        <f t="shared" si="8"/>
        <v>0</v>
      </c>
      <c r="T56" s="70">
        <f t="shared" si="8"/>
        <v>0</v>
      </c>
      <c r="U56" s="70">
        <f t="shared" si="8"/>
        <v>0</v>
      </c>
      <c r="V56" s="70">
        <f t="shared" si="8"/>
        <v>0</v>
      </c>
      <c r="W56" s="70">
        <f t="shared" si="8"/>
        <v>0</v>
      </c>
      <c r="X56" s="70">
        <f t="shared" si="8"/>
        <v>0</v>
      </c>
      <c r="Y56" s="70">
        <f t="shared" si="8"/>
        <v>0</v>
      </c>
      <c r="Z56" s="70">
        <f t="shared" si="8"/>
        <v>0</v>
      </c>
      <c r="AA56" s="70">
        <f t="shared" si="8"/>
        <v>0</v>
      </c>
      <c r="AB56" s="70">
        <f t="shared" si="8"/>
        <v>42.6</v>
      </c>
      <c r="AC56" s="70">
        <f t="shared" si="8"/>
        <v>51.400000000000006</v>
      </c>
      <c r="AD56" s="70">
        <f t="shared" si="8"/>
        <v>84.1</v>
      </c>
      <c r="AE56" s="70">
        <f t="shared" si="8"/>
        <v>49.8</v>
      </c>
      <c r="AF56" s="70">
        <f t="shared" si="8"/>
        <v>23.1</v>
      </c>
      <c r="AG56" s="74">
        <f>SUM(AG53:AG55)</f>
        <v>106</v>
      </c>
      <c r="AH56" s="55">
        <f t="shared" si="2"/>
        <v>95.4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26</v>
      </c>
      <c r="C57" s="51">
        <v>23</v>
      </c>
      <c r="D57" s="51">
        <v>22</v>
      </c>
      <c r="E57" s="51">
        <v>20</v>
      </c>
      <c r="F57" s="51">
        <v>20</v>
      </c>
      <c r="G57" s="51">
        <v>20.5</v>
      </c>
      <c r="H57" s="51">
        <v>16.399999999999999</v>
      </c>
      <c r="I57" s="51">
        <v>14.1</v>
      </c>
      <c r="J57" s="51">
        <v>14.1</v>
      </c>
      <c r="K57" s="51">
        <v>15</v>
      </c>
      <c r="L57" s="51">
        <v>20</v>
      </c>
      <c r="M57" s="51">
        <v>17.100000000000001</v>
      </c>
      <c r="N57" s="51"/>
      <c r="O57" s="51">
        <v>14.8</v>
      </c>
      <c r="P57" s="51">
        <v>16.899999999999999</v>
      </c>
      <c r="Q57" s="51">
        <v>17.8</v>
      </c>
      <c r="R57" s="51">
        <v>15.6</v>
      </c>
      <c r="S57" s="51">
        <v>23</v>
      </c>
      <c r="T57" s="51">
        <v>23</v>
      </c>
      <c r="U57" s="51">
        <v>19</v>
      </c>
      <c r="V57" s="51">
        <v>17</v>
      </c>
      <c r="W57" s="51">
        <v>14</v>
      </c>
      <c r="X57" s="51">
        <v>13</v>
      </c>
      <c r="Y57" s="51">
        <v>11</v>
      </c>
      <c r="Z57" s="51">
        <v>11</v>
      </c>
      <c r="AA57" s="51">
        <v>41</v>
      </c>
      <c r="AB57" s="51">
        <v>32.4</v>
      </c>
      <c r="AC57" s="51">
        <v>32.200000000000003</v>
      </c>
      <c r="AD57" s="51">
        <v>16.5</v>
      </c>
      <c r="AE57" s="51">
        <v>12</v>
      </c>
      <c r="AF57" s="51">
        <v>10</v>
      </c>
      <c r="AG57" s="60"/>
      <c r="AH57" s="55">
        <f t="shared" si="2"/>
        <v>41</v>
      </c>
      <c r="AI57" s="56">
        <f t="shared" si="3"/>
        <v>10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/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-365</v>
      </c>
      <c r="C59" s="49">
        <v>-363.8</v>
      </c>
      <c r="D59" s="49">
        <v>-345</v>
      </c>
      <c r="E59" s="49">
        <v>-321</v>
      </c>
      <c r="F59" s="49">
        <v>-300</v>
      </c>
      <c r="G59" s="49">
        <v>-379</v>
      </c>
      <c r="H59" s="49">
        <v>-402</v>
      </c>
      <c r="I59" s="49">
        <v>-385</v>
      </c>
      <c r="J59" s="49">
        <v>-385</v>
      </c>
      <c r="K59" s="49">
        <v>-342</v>
      </c>
      <c r="L59" s="49">
        <v>-324</v>
      </c>
      <c r="M59" s="49">
        <v>-316.5</v>
      </c>
      <c r="N59" s="49"/>
      <c r="O59" s="49">
        <v>-235</v>
      </c>
      <c r="P59" s="49">
        <v>-326.3</v>
      </c>
      <c r="Q59" s="49">
        <v>-396</v>
      </c>
      <c r="R59" s="49">
        <v>-415.3</v>
      </c>
      <c r="S59" s="49">
        <v>-340</v>
      </c>
      <c r="T59" s="49">
        <v>-409</v>
      </c>
      <c r="U59" s="49">
        <v>-423</v>
      </c>
      <c r="V59" s="49">
        <v>-387</v>
      </c>
      <c r="W59" s="49">
        <v>-373</v>
      </c>
      <c r="X59" s="49">
        <v>-410</v>
      </c>
      <c r="Y59" s="49">
        <v>-399</v>
      </c>
      <c r="Z59" s="49">
        <v>-363</v>
      </c>
      <c r="AA59" s="49">
        <v>-290</v>
      </c>
      <c r="AB59" s="49">
        <v>-265</v>
      </c>
      <c r="AC59" s="49">
        <v>-266</v>
      </c>
      <c r="AD59" s="49">
        <v>-325.39999999999998</v>
      </c>
      <c r="AE59" s="49">
        <v>-365.4</v>
      </c>
      <c r="AF59" s="49">
        <v>-400.5</v>
      </c>
      <c r="AG59" s="77"/>
      <c r="AH59" s="55">
        <f t="shared" si="2"/>
        <v>-235</v>
      </c>
      <c r="AI59" s="56">
        <f t="shared" si="3"/>
        <v>-423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/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/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/>
      <c r="O62" s="79">
        <v>5</v>
      </c>
      <c r="P62" s="79">
        <v>5</v>
      </c>
      <c r="Q62" s="79">
        <v>5</v>
      </c>
      <c r="R62" s="79">
        <v>5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7"/>
      <c r="AH62" s="55">
        <f t="shared" si="2"/>
        <v>5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/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/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/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/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/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v>37</v>
      </c>
      <c r="C68" s="70">
        <f t="shared" ref="C68:AF68" si="9">SUMIF(C57:C67,"&gt;0")</f>
        <v>28</v>
      </c>
      <c r="D68" s="70">
        <f t="shared" si="9"/>
        <v>27</v>
      </c>
      <c r="E68" s="70">
        <f t="shared" si="9"/>
        <v>25</v>
      </c>
      <c r="F68" s="70">
        <f t="shared" si="9"/>
        <v>25</v>
      </c>
      <c r="G68" s="70">
        <f t="shared" si="9"/>
        <v>25.5</v>
      </c>
      <c r="H68" s="70">
        <f t="shared" si="9"/>
        <v>21.4</v>
      </c>
      <c r="I68" s="70">
        <f t="shared" si="9"/>
        <v>19.100000000000001</v>
      </c>
      <c r="J68" s="70">
        <f t="shared" si="9"/>
        <v>19.100000000000001</v>
      </c>
      <c r="K68" s="70">
        <f t="shared" si="9"/>
        <v>20</v>
      </c>
      <c r="L68" s="70">
        <f t="shared" si="9"/>
        <v>25</v>
      </c>
      <c r="M68" s="70">
        <f t="shared" si="9"/>
        <v>22.1</v>
      </c>
      <c r="N68" s="70">
        <f t="shared" si="9"/>
        <v>0</v>
      </c>
      <c r="O68" s="70">
        <f t="shared" si="9"/>
        <v>19.8</v>
      </c>
      <c r="P68" s="70">
        <f t="shared" si="9"/>
        <v>21.9</v>
      </c>
      <c r="Q68" s="70">
        <f t="shared" si="9"/>
        <v>22.8</v>
      </c>
      <c r="R68" s="70">
        <f t="shared" si="9"/>
        <v>20.6</v>
      </c>
      <c r="S68" s="70">
        <f t="shared" si="9"/>
        <v>23</v>
      </c>
      <c r="T68" s="70">
        <f t="shared" si="9"/>
        <v>23</v>
      </c>
      <c r="U68" s="70">
        <f t="shared" si="9"/>
        <v>19</v>
      </c>
      <c r="V68" s="70">
        <f t="shared" si="9"/>
        <v>17</v>
      </c>
      <c r="W68" s="70">
        <f t="shared" si="9"/>
        <v>14</v>
      </c>
      <c r="X68" s="70">
        <f t="shared" si="9"/>
        <v>13</v>
      </c>
      <c r="Y68" s="70">
        <f t="shared" si="9"/>
        <v>11</v>
      </c>
      <c r="Z68" s="70">
        <f t="shared" si="9"/>
        <v>11</v>
      </c>
      <c r="AA68" s="70">
        <f t="shared" si="9"/>
        <v>41</v>
      </c>
      <c r="AB68" s="70">
        <f t="shared" si="9"/>
        <v>32.4</v>
      </c>
      <c r="AC68" s="70">
        <f t="shared" si="9"/>
        <v>32.200000000000003</v>
      </c>
      <c r="AD68" s="70">
        <f t="shared" si="9"/>
        <v>16.5</v>
      </c>
      <c r="AE68" s="70">
        <f t="shared" si="9"/>
        <v>12</v>
      </c>
      <c r="AF68" s="70">
        <f t="shared" si="9"/>
        <v>10</v>
      </c>
      <c r="AG68" s="74">
        <f>SUM(AG57:AG67)</f>
        <v>0</v>
      </c>
      <c r="AH68" s="55">
        <f t="shared" si="2"/>
        <v>41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v>1729.1399999999999</v>
      </c>
      <c r="C73" s="84">
        <f t="shared" ref="C73:AF73" si="10">C38+C52+C68+C72</f>
        <v>1694.14</v>
      </c>
      <c r="D73" s="84">
        <f t="shared" si="10"/>
        <v>1639.2400000000002</v>
      </c>
      <c r="E73" s="84">
        <f t="shared" si="10"/>
        <v>1636.9400000000003</v>
      </c>
      <c r="F73" s="84">
        <f t="shared" si="10"/>
        <v>1551.8400000000001</v>
      </c>
      <c r="G73" s="84">
        <f t="shared" si="10"/>
        <v>1630.14</v>
      </c>
      <c r="H73" s="84">
        <f t="shared" si="10"/>
        <v>1675.94</v>
      </c>
      <c r="I73" s="84">
        <f t="shared" si="10"/>
        <v>1673.24</v>
      </c>
      <c r="J73" s="84">
        <f t="shared" si="10"/>
        <v>1636.8400000000001</v>
      </c>
      <c r="K73" s="84">
        <f t="shared" si="10"/>
        <v>1651.7400000000002</v>
      </c>
      <c r="L73" s="84">
        <f t="shared" si="10"/>
        <v>1615.7400000000002</v>
      </c>
      <c r="M73" s="84">
        <f t="shared" si="10"/>
        <v>1586.9399999999998</v>
      </c>
      <c r="N73" s="84">
        <f t="shared" si="10"/>
        <v>3.54</v>
      </c>
      <c r="O73" s="84">
        <f t="shared" si="10"/>
        <v>1505.44</v>
      </c>
      <c r="P73" s="84">
        <f t="shared" si="10"/>
        <v>1565.0400000000002</v>
      </c>
      <c r="Q73" s="84">
        <f t="shared" si="10"/>
        <v>1629.64</v>
      </c>
      <c r="R73" s="84">
        <f t="shared" si="10"/>
        <v>1634.3400000000001</v>
      </c>
      <c r="S73" s="84">
        <f t="shared" si="10"/>
        <v>1639.14</v>
      </c>
      <c r="T73" s="84">
        <f t="shared" si="10"/>
        <v>1639.14</v>
      </c>
      <c r="U73" s="84">
        <f t="shared" si="10"/>
        <v>1646.14</v>
      </c>
      <c r="V73" s="84">
        <f t="shared" si="10"/>
        <v>1660.44</v>
      </c>
      <c r="W73" s="84">
        <f t="shared" si="10"/>
        <v>1647.74</v>
      </c>
      <c r="X73" s="84">
        <f t="shared" si="10"/>
        <v>1659.64</v>
      </c>
      <c r="Y73" s="84">
        <f t="shared" si="10"/>
        <v>1669.04</v>
      </c>
      <c r="Z73" s="84">
        <f t="shared" si="10"/>
        <v>1669.04</v>
      </c>
      <c r="AA73" s="84">
        <f t="shared" si="10"/>
        <v>1699.04</v>
      </c>
      <c r="AB73" s="84">
        <f t="shared" si="10"/>
        <v>1711.0400000000002</v>
      </c>
      <c r="AC73" s="84">
        <f t="shared" si="10"/>
        <v>1711.2400000000002</v>
      </c>
      <c r="AD73" s="84">
        <f t="shared" si="10"/>
        <v>1708.44</v>
      </c>
      <c r="AE73" s="84">
        <f t="shared" si="10"/>
        <v>1704.3400000000001</v>
      </c>
      <c r="AF73" s="84">
        <f t="shared" si="10"/>
        <v>1712.8400000000001</v>
      </c>
      <c r="AG73" s="84">
        <f t="shared" ref="AG73" si="11">AG68+AG56+AG52+AG38+AG72</f>
        <v>2144.14</v>
      </c>
      <c r="AH73" s="55">
        <f t="shared" si="2"/>
        <v>1729.1399999999999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>
        <v>50</v>
      </c>
      <c r="N74" s="86"/>
      <c r="O74" s="86">
        <v>50</v>
      </c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50</v>
      </c>
      <c r="AI74" s="56">
        <f t="shared" si="3"/>
        <v>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v>1729.1399999999999</v>
      </c>
      <c r="C75" s="84">
        <f t="shared" ref="C75:AF75" si="12">C73+C74</f>
        <v>1694.14</v>
      </c>
      <c r="D75" s="84">
        <f t="shared" si="12"/>
        <v>1639.2400000000002</v>
      </c>
      <c r="E75" s="84">
        <f t="shared" si="12"/>
        <v>1636.9400000000003</v>
      </c>
      <c r="F75" s="84">
        <f t="shared" si="12"/>
        <v>1551.8400000000001</v>
      </c>
      <c r="G75" s="84">
        <f t="shared" si="12"/>
        <v>1630.14</v>
      </c>
      <c r="H75" s="84">
        <f t="shared" si="12"/>
        <v>1675.94</v>
      </c>
      <c r="I75" s="84">
        <f t="shared" si="12"/>
        <v>1673.24</v>
      </c>
      <c r="J75" s="84">
        <f t="shared" si="12"/>
        <v>1636.8400000000001</v>
      </c>
      <c r="K75" s="84">
        <f t="shared" si="12"/>
        <v>1651.7400000000002</v>
      </c>
      <c r="L75" s="84">
        <f t="shared" si="12"/>
        <v>1615.7400000000002</v>
      </c>
      <c r="M75" s="84">
        <f t="shared" si="12"/>
        <v>1636.9399999999998</v>
      </c>
      <c r="N75" s="84">
        <f t="shared" si="12"/>
        <v>3.54</v>
      </c>
      <c r="O75" s="84">
        <f t="shared" si="12"/>
        <v>1555.44</v>
      </c>
      <c r="P75" s="84">
        <f t="shared" si="12"/>
        <v>1565.0400000000002</v>
      </c>
      <c r="Q75" s="84">
        <f t="shared" si="12"/>
        <v>1629.64</v>
      </c>
      <c r="R75" s="84">
        <f t="shared" si="12"/>
        <v>1634.3400000000001</v>
      </c>
      <c r="S75" s="84">
        <f t="shared" si="12"/>
        <v>1639.14</v>
      </c>
      <c r="T75" s="84">
        <f t="shared" si="12"/>
        <v>1639.14</v>
      </c>
      <c r="U75" s="84">
        <f t="shared" si="12"/>
        <v>1646.14</v>
      </c>
      <c r="V75" s="84">
        <f t="shared" si="12"/>
        <v>1660.44</v>
      </c>
      <c r="W75" s="84">
        <f t="shared" si="12"/>
        <v>1647.74</v>
      </c>
      <c r="X75" s="84">
        <f t="shared" si="12"/>
        <v>1659.64</v>
      </c>
      <c r="Y75" s="84">
        <f t="shared" si="12"/>
        <v>1669.04</v>
      </c>
      <c r="Z75" s="84">
        <f t="shared" si="12"/>
        <v>1669.04</v>
      </c>
      <c r="AA75" s="84">
        <f t="shared" si="12"/>
        <v>1699.04</v>
      </c>
      <c r="AB75" s="84">
        <f t="shared" si="12"/>
        <v>1711.0400000000002</v>
      </c>
      <c r="AC75" s="84">
        <f t="shared" si="12"/>
        <v>1711.2400000000002</v>
      </c>
      <c r="AD75" s="84">
        <f t="shared" si="12"/>
        <v>1708.44</v>
      </c>
      <c r="AE75" s="84">
        <f t="shared" si="12"/>
        <v>1704.3400000000001</v>
      </c>
      <c r="AF75" s="84">
        <f t="shared" si="12"/>
        <v>1712.8400000000001</v>
      </c>
      <c r="AG75" s="74">
        <f>AG72+AG68+AG56+AG52+AG38+AG74</f>
        <v>2144.14</v>
      </c>
      <c r="AH75" s="55">
        <f t="shared" si="2"/>
        <v>1729.1399999999999</v>
      </c>
      <c r="AI75" s="56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v>0</v>
      </c>
      <c r="C76" s="78">
        <f t="shared" ref="C76:AF76" si="13">IF(C60&lt;0,C60*-1,0)</f>
        <v>0</v>
      </c>
      <c r="D76" s="78">
        <f t="shared" si="13"/>
        <v>0</v>
      </c>
      <c r="E76" s="78">
        <f t="shared" si="13"/>
        <v>0</v>
      </c>
      <c r="F76" s="78">
        <f t="shared" si="13"/>
        <v>0</v>
      </c>
      <c r="G76" s="78">
        <f t="shared" si="13"/>
        <v>0</v>
      </c>
      <c r="H76" s="78">
        <f t="shared" si="13"/>
        <v>0</v>
      </c>
      <c r="I76" s="78">
        <f t="shared" si="13"/>
        <v>0</v>
      </c>
      <c r="J76" s="78">
        <f t="shared" si="13"/>
        <v>0</v>
      </c>
      <c r="K76" s="78">
        <f t="shared" si="13"/>
        <v>0</v>
      </c>
      <c r="L76" s="78">
        <f t="shared" si="13"/>
        <v>0</v>
      </c>
      <c r="M76" s="78">
        <f t="shared" si="13"/>
        <v>0</v>
      </c>
      <c r="N76" s="78">
        <f t="shared" si="13"/>
        <v>0</v>
      </c>
      <c r="O76" s="78">
        <f t="shared" si="13"/>
        <v>0</v>
      </c>
      <c r="P76" s="78">
        <f t="shared" si="13"/>
        <v>0</v>
      </c>
      <c r="Q76" s="78">
        <f t="shared" si="13"/>
        <v>0</v>
      </c>
      <c r="R76" s="78">
        <f t="shared" si="13"/>
        <v>0</v>
      </c>
      <c r="S76" s="78">
        <f t="shared" si="13"/>
        <v>0</v>
      </c>
      <c r="T76" s="78">
        <f t="shared" si="13"/>
        <v>0</v>
      </c>
      <c r="U76" s="78">
        <f t="shared" si="13"/>
        <v>0</v>
      </c>
      <c r="V76" s="78">
        <f t="shared" si="13"/>
        <v>0</v>
      </c>
      <c r="W76" s="78">
        <f t="shared" si="13"/>
        <v>0</v>
      </c>
      <c r="X76" s="78">
        <f t="shared" si="13"/>
        <v>0</v>
      </c>
      <c r="Y76" s="78">
        <f t="shared" si="13"/>
        <v>0</v>
      </c>
      <c r="Z76" s="78">
        <f t="shared" si="13"/>
        <v>0</v>
      </c>
      <c r="AA76" s="78">
        <f t="shared" si="13"/>
        <v>0</v>
      </c>
      <c r="AB76" s="78">
        <f t="shared" si="13"/>
        <v>0</v>
      </c>
      <c r="AC76" s="78">
        <f t="shared" si="13"/>
        <v>0</v>
      </c>
      <c r="AD76" s="78">
        <f t="shared" si="13"/>
        <v>0</v>
      </c>
      <c r="AE76" s="78">
        <f t="shared" si="13"/>
        <v>0</v>
      </c>
      <c r="AF76" s="78">
        <f t="shared" si="13"/>
        <v>0</v>
      </c>
      <c r="AG76" s="60"/>
      <c r="AH76" s="55">
        <f t="shared" ref="AH76:AH91" si="14">MAX(B76:AF76)</f>
        <v>0</v>
      </c>
      <c r="AI76" s="56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v>0</v>
      </c>
      <c r="C77" s="78">
        <f t="shared" ref="C77:AF77" si="16">IF(C58&lt;0,C58*-1,0)</f>
        <v>0</v>
      </c>
      <c r="D77" s="78">
        <f t="shared" si="16"/>
        <v>0</v>
      </c>
      <c r="E77" s="78">
        <f t="shared" si="16"/>
        <v>0</v>
      </c>
      <c r="F77" s="78">
        <f t="shared" si="16"/>
        <v>0</v>
      </c>
      <c r="G77" s="78">
        <f t="shared" si="16"/>
        <v>0</v>
      </c>
      <c r="H77" s="78">
        <f t="shared" si="16"/>
        <v>0</v>
      </c>
      <c r="I77" s="78">
        <f t="shared" si="16"/>
        <v>0</v>
      </c>
      <c r="J77" s="78">
        <f t="shared" si="16"/>
        <v>0</v>
      </c>
      <c r="K77" s="78">
        <f t="shared" si="16"/>
        <v>0</v>
      </c>
      <c r="L77" s="78">
        <f t="shared" si="16"/>
        <v>0</v>
      </c>
      <c r="M77" s="78">
        <f t="shared" si="16"/>
        <v>0</v>
      </c>
      <c r="N77" s="78">
        <f t="shared" si="16"/>
        <v>0</v>
      </c>
      <c r="O77" s="78">
        <f t="shared" si="16"/>
        <v>0</v>
      </c>
      <c r="P77" s="78">
        <f t="shared" si="16"/>
        <v>0</v>
      </c>
      <c r="Q77" s="78">
        <f t="shared" si="16"/>
        <v>0</v>
      </c>
      <c r="R77" s="78">
        <f t="shared" si="16"/>
        <v>0</v>
      </c>
      <c r="S77" s="78">
        <f t="shared" si="16"/>
        <v>0</v>
      </c>
      <c r="T77" s="78">
        <f t="shared" si="16"/>
        <v>0</v>
      </c>
      <c r="U77" s="78">
        <f t="shared" si="16"/>
        <v>0</v>
      </c>
      <c r="V77" s="78">
        <f t="shared" si="16"/>
        <v>0</v>
      </c>
      <c r="W77" s="78">
        <f t="shared" si="16"/>
        <v>0</v>
      </c>
      <c r="X77" s="78">
        <f t="shared" si="16"/>
        <v>0</v>
      </c>
      <c r="Y77" s="78">
        <f t="shared" si="16"/>
        <v>0</v>
      </c>
      <c r="Z77" s="78">
        <f t="shared" si="16"/>
        <v>0</v>
      </c>
      <c r="AA77" s="78">
        <f t="shared" si="16"/>
        <v>0</v>
      </c>
      <c r="AB77" s="78">
        <f t="shared" si="16"/>
        <v>0</v>
      </c>
      <c r="AC77" s="78">
        <f t="shared" si="16"/>
        <v>0</v>
      </c>
      <c r="AD77" s="78">
        <f t="shared" si="16"/>
        <v>0</v>
      </c>
      <c r="AE77" s="78">
        <f t="shared" si="16"/>
        <v>0</v>
      </c>
      <c r="AF77" s="78">
        <f t="shared" si="16"/>
        <v>0</v>
      </c>
      <c r="AG77" s="64"/>
      <c r="AH77" s="55">
        <f t="shared" si="14"/>
        <v>0</v>
      </c>
      <c r="AI77" s="56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f t="shared" ref="C78:AF78" si="17">IF(C61&lt;0,C61*-1,0)</f>
        <v>0</v>
      </c>
      <c r="D78" s="78">
        <f t="shared" si="17"/>
        <v>0</v>
      </c>
      <c r="E78" s="78">
        <f t="shared" si="17"/>
        <v>0</v>
      </c>
      <c r="F78" s="78">
        <f t="shared" si="17"/>
        <v>0</v>
      </c>
      <c r="G78" s="78">
        <f t="shared" si="17"/>
        <v>0</v>
      </c>
      <c r="H78" s="78">
        <f t="shared" si="17"/>
        <v>0</v>
      </c>
      <c r="I78" s="78">
        <f t="shared" si="17"/>
        <v>0</v>
      </c>
      <c r="J78" s="78">
        <f t="shared" si="17"/>
        <v>0</v>
      </c>
      <c r="K78" s="78">
        <f t="shared" si="17"/>
        <v>0</v>
      </c>
      <c r="L78" s="78">
        <f t="shared" si="17"/>
        <v>0</v>
      </c>
      <c r="M78" s="78">
        <f t="shared" si="17"/>
        <v>0</v>
      </c>
      <c r="N78" s="78">
        <f t="shared" si="17"/>
        <v>0</v>
      </c>
      <c r="O78" s="78">
        <f t="shared" si="17"/>
        <v>0</v>
      </c>
      <c r="P78" s="78">
        <f t="shared" si="17"/>
        <v>0</v>
      </c>
      <c r="Q78" s="78">
        <f t="shared" si="17"/>
        <v>0</v>
      </c>
      <c r="R78" s="78">
        <f t="shared" si="17"/>
        <v>0</v>
      </c>
      <c r="S78" s="78">
        <f t="shared" si="17"/>
        <v>0</v>
      </c>
      <c r="T78" s="78">
        <f t="shared" si="17"/>
        <v>0</v>
      </c>
      <c r="U78" s="78">
        <f t="shared" si="17"/>
        <v>0</v>
      </c>
      <c r="V78" s="78">
        <f t="shared" si="17"/>
        <v>0</v>
      </c>
      <c r="W78" s="78">
        <f t="shared" si="17"/>
        <v>0</v>
      </c>
      <c r="X78" s="78">
        <f t="shared" si="17"/>
        <v>0</v>
      </c>
      <c r="Y78" s="78">
        <f t="shared" si="17"/>
        <v>0</v>
      </c>
      <c r="Z78" s="78">
        <f t="shared" si="17"/>
        <v>0</v>
      </c>
      <c r="AA78" s="78">
        <f t="shared" si="17"/>
        <v>0</v>
      </c>
      <c r="AB78" s="78">
        <f t="shared" si="17"/>
        <v>0</v>
      </c>
      <c r="AC78" s="78">
        <f t="shared" si="17"/>
        <v>0</v>
      </c>
      <c r="AD78" s="78">
        <f t="shared" si="17"/>
        <v>0</v>
      </c>
      <c r="AE78" s="78">
        <f t="shared" si="17"/>
        <v>0</v>
      </c>
      <c r="AF78" s="78">
        <f t="shared" si="17"/>
        <v>0</v>
      </c>
      <c r="AG78" s="87"/>
      <c r="AH78" s="55">
        <f t="shared" si="14"/>
        <v>0</v>
      </c>
      <c r="AI78" s="56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v>342</v>
      </c>
      <c r="C79" s="78">
        <f t="shared" ref="C79:AF79" si="18">IF(C59&lt;0,C59*-1,0)</f>
        <v>363.8</v>
      </c>
      <c r="D79" s="78">
        <f t="shared" si="18"/>
        <v>345</v>
      </c>
      <c r="E79" s="78">
        <f t="shared" si="18"/>
        <v>321</v>
      </c>
      <c r="F79" s="78">
        <f t="shared" si="18"/>
        <v>300</v>
      </c>
      <c r="G79" s="78">
        <f t="shared" si="18"/>
        <v>379</v>
      </c>
      <c r="H79" s="78">
        <f t="shared" si="18"/>
        <v>402</v>
      </c>
      <c r="I79" s="78">
        <f t="shared" si="18"/>
        <v>385</v>
      </c>
      <c r="J79" s="78">
        <f t="shared" si="18"/>
        <v>385</v>
      </c>
      <c r="K79" s="78">
        <f t="shared" si="18"/>
        <v>342</v>
      </c>
      <c r="L79" s="78">
        <f t="shared" si="18"/>
        <v>324</v>
      </c>
      <c r="M79" s="78">
        <f t="shared" si="18"/>
        <v>316.5</v>
      </c>
      <c r="N79" s="78">
        <f t="shared" si="18"/>
        <v>0</v>
      </c>
      <c r="O79" s="78">
        <f t="shared" si="18"/>
        <v>235</v>
      </c>
      <c r="P79" s="78">
        <f t="shared" si="18"/>
        <v>326.3</v>
      </c>
      <c r="Q79" s="78">
        <f t="shared" si="18"/>
        <v>396</v>
      </c>
      <c r="R79" s="78">
        <f t="shared" si="18"/>
        <v>415.3</v>
      </c>
      <c r="S79" s="78">
        <f t="shared" si="18"/>
        <v>340</v>
      </c>
      <c r="T79" s="78">
        <f t="shared" si="18"/>
        <v>409</v>
      </c>
      <c r="U79" s="78">
        <f t="shared" si="18"/>
        <v>423</v>
      </c>
      <c r="V79" s="78">
        <f t="shared" si="18"/>
        <v>387</v>
      </c>
      <c r="W79" s="78">
        <f t="shared" si="18"/>
        <v>373</v>
      </c>
      <c r="X79" s="78">
        <f t="shared" si="18"/>
        <v>410</v>
      </c>
      <c r="Y79" s="78">
        <f t="shared" si="18"/>
        <v>399</v>
      </c>
      <c r="Z79" s="78">
        <f t="shared" si="18"/>
        <v>363</v>
      </c>
      <c r="AA79" s="78">
        <f t="shared" si="18"/>
        <v>290</v>
      </c>
      <c r="AB79" s="78">
        <f t="shared" si="18"/>
        <v>265</v>
      </c>
      <c r="AC79" s="78">
        <f t="shared" si="18"/>
        <v>266</v>
      </c>
      <c r="AD79" s="78">
        <f t="shared" si="18"/>
        <v>325.39999999999998</v>
      </c>
      <c r="AE79" s="78">
        <f t="shared" si="18"/>
        <v>365.4</v>
      </c>
      <c r="AF79" s="78">
        <f t="shared" si="18"/>
        <v>400.5</v>
      </c>
      <c r="AG79" s="87"/>
      <c r="AH79" s="55">
        <f t="shared" si="14"/>
        <v>423</v>
      </c>
      <c r="AI79" s="56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f t="shared" ref="C80:AF80" si="19">IF(C57&lt;0,C57*-1,0)</f>
        <v>0</v>
      </c>
      <c r="D80" s="78">
        <f t="shared" si="19"/>
        <v>0</v>
      </c>
      <c r="E80" s="78">
        <f t="shared" si="19"/>
        <v>0</v>
      </c>
      <c r="F80" s="78">
        <f t="shared" si="19"/>
        <v>0</v>
      </c>
      <c r="G80" s="78">
        <f t="shared" si="19"/>
        <v>0</v>
      </c>
      <c r="H80" s="78">
        <f t="shared" si="19"/>
        <v>0</v>
      </c>
      <c r="I80" s="78">
        <f t="shared" si="19"/>
        <v>0</v>
      </c>
      <c r="J80" s="78">
        <f t="shared" si="19"/>
        <v>0</v>
      </c>
      <c r="K80" s="78">
        <f t="shared" si="19"/>
        <v>0</v>
      </c>
      <c r="L80" s="78">
        <f t="shared" si="19"/>
        <v>0</v>
      </c>
      <c r="M80" s="78">
        <f t="shared" si="19"/>
        <v>0</v>
      </c>
      <c r="N80" s="78">
        <f t="shared" si="19"/>
        <v>0</v>
      </c>
      <c r="O80" s="78">
        <f t="shared" si="19"/>
        <v>0</v>
      </c>
      <c r="P80" s="78">
        <f t="shared" si="19"/>
        <v>0</v>
      </c>
      <c r="Q80" s="78">
        <f t="shared" si="19"/>
        <v>0</v>
      </c>
      <c r="R80" s="78">
        <f t="shared" si="19"/>
        <v>0</v>
      </c>
      <c r="S80" s="78">
        <f t="shared" si="19"/>
        <v>0</v>
      </c>
      <c r="T80" s="78">
        <f t="shared" si="19"/>
        <v>0</v>
      </c>
      <c r="U80" s="78">
        <f t="shared" si="19"/>
        <v>0</v>
      </c>
      <c r="V80" s="78">
        <f t="shared" si="19"/>
        <v>0</v>
      </c>
      <c r="W80" s="78">
        <f t="shared" si="19"/>
        <v>0</v>
      </c>
      <c r="X80" s="78">
        <f t="shared" si="19"/>
        <v>0</v>
      </c>
      <c r="Y80" s="78">
        <f t="shared" si="19"/>
        <v>0</v>
      </c>
      <c r="Z80" s="78">
        <f t="shared" si="19"/>
        <v>0</v>
      </c>
      <c r="AA80" s="78">
        <f t="shared" si="19"/>
        <v>0</v>
      </c>
      <c r="AB80" s="78">
        <f t="shared" si="19"/>
        <v>0</v>
      </c>
      <c r="AC80" s="78">
        <f t="shared" si="19"/>
        <v>0</v>
      </c>
      <c r="AD80" s="78">
        <f t="shared" si="19"/>
        <v>0</v>
      </c>
      <c r="AE80" s="78">
        <f t="shared" si="19"/>
        <v>0</v>
      </c>
      <c r="AF80" s="78">
        <f t="shared" si="19"/>
        <v>0</v>
      </c>
      <c r="AG80" s="87"/>
      <c r="AH80" s="55">
        <f t="shared" si="14"/>
        <v>0</v>
      </c>
      <c r="AI80" s="56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4"/>
        <v>0</v>
      </c>
      <c r="AI81" s="56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342</v>
      </c>
      <c r="C82" s="70">
        <f t="shared" ref="C82:AG82" si="20">SUM(C76:C81)</f>
        <v>363.8</v>
      </c>
      <c r="D82" s="70">
        <f t="shared" si="20"/>
        <v>345</v>
      </c>
      <c r="E82" s="70">
        <f t="shared" si="20"/>
        <v>321</v>
      </c>
      <c r="F82" s="70">
        <f t="shared" si="20"/>
        <v>300</v>
      </c>
      <c r="G82" s="70">
        <f t="shared" si="20"/>
        <v>379</v>
      </c>
      <c r="H82" s="70">
        <f t="shared" si="20"/>
        <v>402</v>
      </c>
      <c r="I82" s="70">
        <f t="shared" si="20"/>
        <v>385</v>
      </c>
      <c r="J82" s="70">
        <f t="shared" si="20"/>
        <v>385</v>
      </c>
      <c r="K82" s="70">
        <f t="shared" si="20"/>
        <v>342</v>
      </c>
      <c r="L82" s="70">
        <f t="shared" si="20"/>
        <v>324</v>
      </c>
      <c r="M82" s="70">
        <f t="shared" si="20"/>
        <v>316.5</v>
      </c>
      <c r="N82" s="70">
        <f t="shared" si="20"/>
        <v>0</v>
      </c>
      <c r="O82" s="70">
        <f t="shared" si="20"/>
        <v>235</v>
      </c>
      <c r="P82" s="70">
        <f t="shared" si="20"/>
        <v>326.3</v>
      </c>
      <c r="Q82" s="70">
        <f t="shared" si="20"/>
        <v>396</v>
      </c>
      <c r="R82" s="70">
        <f t="shared" si="20"/>
        <v>415.3</v>
      </c>
      <c r="S82" s="70">
        <f t="shared" si="20"/>
        <v>340</v>
      </c>
      <c r="T82" s="70">
        <f t="shared" si="20"/>
        <v>409</v>
      </c>
      <c r="U82" s="70">
        <f t="shared" si="20"/>
        <v>423</v>
      </c>
      <c r="V82" s="70">
        <f t="shared" si="20"/>
        <v>387</v>
      </c>
      <c r="W82" s="70">
        <f t="shared" si="20"/>
        <v>373</v>
      </c>
      <c r="X82" s="70">
        <f t="shared" si="20"/>
        <v>410</v>
      </c>
      <c r="Y82" s="70">
        <f t="shared" si="20"/>
        <v>399</v>
      </c>
      <c r="Z82" s="70">
        <f t="shared" si="20"/>
        <v>363</v>
      </c>
      <c r="AA82" s="70">
        <f t="shared" si="20"/>
        <v>290</v>
      </c>
      <c r="AB82" s="70">
        <f t="shared" si="20"/>
        <v>265</v>
      </c>
      <c r="AC82" s="70">
        <f t="shared" si="20"/>
        <v>266</v>
      </c>
      <c r="AD82" s="70">
        <f t="shared" si="20"/>
        <v>325.39999999999998</v>
      </c>
      <c r="AE82" s="70">
        <f t="shared" si="20"/>
        <v>365.4</v>
      </c>
      <c r="AF82" s="70">
        <f t="shared" si="20"/>
        <v>400.5</v>
      </c>
      <c r="AG82" s="74">
        <f t="shared" si="20"/>
        <v>0</v>
      </c>
      <c r="AH82" s="55">
        <f t="shared" si="14"/>
        <v>423</v>
      </c>
      <c r="AI82" s="56">
        <f t="shared" si="15"/>
        <v>0</v>
      </c>
      <c r="AK82" s="57"/>
    </row>
    <row r="83" spans="1:88" s="1" customFormat="1" ht="15.75" thickBot="1" x14ac:dyDescent="0.3">
      <c r="A83" s="69" t="s">
        <v>88</v>
      </c>
      <c r="B83" s="70">
        <f>B68-B82</f>
        <v>-305</v>
      </c>
      <c r="C83" s="70">
        <f t="shared" ref="C83:AF83" si="21">C68-C82</f>
        <v>-335.8</v>
      </c>
      <c r="D83" s="70">
        <f t="shared" si="21"/>
        <v>-318</v>
      </c>
      <c r="E83" s="70">
        <f t="shared" si="21"/>
        <v>-296</v>
      </c>
      <c r="F83" s="70">
        <f t="shared" si="21"/>
        <v>-275</v>
      </c>
      <c r="G83" s="70">
        <f t="shared" si="21"/>
        <v>-353.5</v>
      </c>
      <c r="H83" s="70">
        <f t="shared" si="21"/>
        <v>-380.6</v>
      </c>
      <c r="I83" s="70">
        <f t="shared" si="21"/>
        <v>-365.9</v>
      </c>
      <c r="J83" s="70">
        <f t="shared" si="21"/>
        <v>-365.9</v>
      </c>
      <c r="K83" s="70">
        <f t="shared" si="21"/>
        <v>-322</v>
      </c>
      <c r="L83" s="70">
        <f t="shared" si="21"/>
        <v>-299</v>
      </c>
      <c r="M83" s="70">
        <f t="shared" si="21"/>
        <v>-294.39999999999998</v>
      </c>
      <c r="N83" s="70">
        <f t="shared" si="21"/>
        <v>0</v>
      </c>
      <c r="O83" s="70">
        <f t="shared" si="21"/>
        <v>-215.2</v>
      </c>
      <c r="P83" s="70">
        <f t="shared" si="21"/>
        <v>-304.40000000000003</v>
      </c>
      <c r="Q83" s="70">
        <f t="shared" si="21"/>
        <v>-373.2</v>
      </c>
      <c r="R83" s="70">
        <f t="shared" si="21"/>
        <v>-394.7</v>
      </c>
      <c r="S83" s="70">
        <f t="shared" si="21"/>
        <v>-317</v>
      </c>
      <c r="T83" s="70">
        <f t="shared" si="21"/>
        <v>-386</v>
      </c>
      <c r="U83" s="70">
        <f t="shared" si="21"/>
        <v>-404</v>
      </c>
      <c r="V83" s="70">
        <f t="shared" si="21"/>
        <v>-370</v>
      </c>
      <c r="W83" s="70">
        <f t="shared" si="21"/>
        <v>-359</v>
      </c>
      <c r="X83" s="70">
        <f t="shared" si="21"/>
        <v>-397</v>
      </c>
      <c r="Y83" s="70">
        <f t="shared" si="21"/>
        <v>-388</v>
      </c>
      <c r="Z83" s="70">
        <f t="shared" si="21"/>
        <v>-352</v>
      </c>
      <c r="AA83" s="70">
        <f t="shared" si="21"/>
        <v>-249</v>
      </c>
      <c r="AB83" s="70">
        <f t="shared" si="21"/>
        <v>-232.6</v>
      </c>
      <c r="AC83" s="70">
        <f t="shared" si="21"/>
        <v>-233.8</v>
      </c>
      <c r="AD83" s="70">
        <f t="shared" si="21"/>
        <v>-308.89999999999998</v>
      </c>
      <c r="AE83" s="70">
        <f t="shared" si="21"/>
        <v>-353.4</v>
      </c>
      <c r="AF83" s="70">
        <f t="shared" si="21"/>
        <v>-390.5</v>
      </c>
      <c r="AG83" s="74">
        <f t="shared" ref="AG83" si="22">SUM(AG70:AG82)</f>
        <v>4360.08</v>
      </c>
      <c r="AH83" s="55">
        <f t="shared" si="14"/>
        <v>0</v>
      </c>
      <c r="AI83" s="56">
        <f t="shared" si="15"/>
        <v>-404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</v>
      </c>
      <c r="C84" s="90">
        <v>49.963000000000001</v>
      </c>
      <c r="D84" s="90">
        <v>49.963000000000001</v>
      </c>
      <c r="E84" s="90">
        <v>49.91</v>
      </c>
      <c r="F84" s="90">
        <v>49.94</v>
      </c>
      <c r="G84" s="90">
        <v>49.94</v>
      </c>
      <c r="H84" s="90">
        <v>50.03</v>
      </c>
      <c r="I84" s="90">
        <v>49.97</v>
      </c>
      <c r="J84" s="90">
        <v>50.03</v>
      </c>
      <c r="K84" s="90">
        <v>50</v>
      </c>
      <c r="L84" s="90">
        <v>49.914999999999999</v>
      </c>
      <c r="M84" s="90">
        <v>49.93</v>
      </c>
      <c r="N84" s="90"/>
      <c r="O84" s="90">
        <v>50</v>
      </c>
      <c r="P84" s="90">
        <v>49.968000000000004</v>
      </c>
      <c r="Q84" s="90">
        <v>50</v>
      </c>
      <c r="R84" s="90">
        <v>49.98</v>
      </c>
      <c r="S84" s="90">
        <v>50.045999999999999</v>
      </c>
      <c r="T84" s="90">
        <v>49.982999999999997</v>
      </c>
      <c r="U84" s="90">
        <v>49.968000000000004</v>
      </c>
      <c r="V84" s="90">
        <v>50.012999999999998</v>
      </c>
      <c r="W84" s="90">
        <v>49.976999999999997</v>
      </c>
      <c r="X84" s="90">
        <v>49.976999999999997</v>
      </c>
      <c r="Y84" s="90">
        <v>50.058999999999997</v>
      </c>
      <c r="Z84" s="90">
        <v>49.98</v>
      </c>
      <c r="AA84" s="90">
        <v>49.957999999999998</v>
      </c>
      <c r="AB84" s="90">
        <v>49.996000000000002</v>
      </c>
      <c r="AC84" s="90">
        <v>49.841999999999999</v>
      </c>
      <c r="AD84" s="90">
        <v>49.862000000000002</v>
      </c>
      <c r="AE84" s="90">
        <v>50.002000000000002</v>
      </c>
      <c r="AF84" s="90">
        <v>49.84</v>
      </c>
      <c r="AG84" s="91"/>
      <c r="AH84" s="55">
        <f t="shared" si="14"/>
        <v>50.058999999999997</v>
      </c>
      <c r="AI84" s="56">
        <f t="shared" si="15"/>
        <v>49.84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124</v>
      </c>
      <c r="C85" s="49">
        <v>125</v>
      </c>
      <c r="D85" s="49">
        <v>125</v>
      </c>
      <c r="E85" s="49">
        <v>123.3</v>
      </c>
      <c r="F85" s="49">
        <v>125.7</v>
      </c>
      <c r="G85" s="49">
        <v>125</v>
      </c>
      <c r="H85" s="49">
        <v>126.1</v>
      </c>
      <c r="I85" s="49">
        <v>125.6</v>
      </c>
      <c r="J85" s="49">
        <v>125.8</v>
      </c>
      <c r="K85" s="49">
        <v>125.8</v>
      </c>
      <c r="L85" s="49">
        <v>125.8</v>
      </c>
      <c r="M85" s="49">
        <v>124.4</v>
      </c>
      <c r="N85" s="49"/>
      <c r="O85" s="49">
        <v>125.4</v>
      </c>
      <c r="P85" s="49">
        <v>125.4</v>
      </c>
      <c r="Q85" s="49">
        <v>125.2</v>
      </c>
      <c r="R85" s="49">
        <v>122.6</v>
      </c>
      <c r="S85" s="49">
        <v>124</v>
      </c>
      <c r="T85" s="49">
        <v>124</v>
      </c>
      <c r="U85" s="49">
        <v>123</v>
      </c>
      <c r="V85" s="49">
        <v>124</v>
      </c>
      <c r="W85" s="49">
        <v>124</v>
      </c>
      <c r="X85" s="49">
        <v>124</v>
      </c>
      <c r="Y85" s="49">
        <v>125</v>
      </c>
      <c r="Z85" s="49">
        <v>125</v>
      </c>
      <c r="AA85" s="49">
        <v>124</v>
      </c>
      <c r="AB85" s="49">
        <v>123.8</v>
      </c>
      <c r="AC85" s="49">
        <v>123.6</v>
      </c>
      <c r="AD85" s="49">
        <v>122.6</v>
      </c>
      <c r="AE85" s="49">
        <v>123.6</v>
      </c>
      <c r="AF85" s="49">
        <v>123.7</v>
      </c>
      <c r="AG85" s="93"/>
      <c r="AH85" s="55">
        <f t="shared" si="14"/>
        <v>126.1</v>
      </c>
      <c r="AI85" s="56">
        <f t="shared" si="15"/>
        <v>122.6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129</v>
      </c>
      <c r="C86" s="49">
        <v>129</v>
      </c>
      <c r="D86" s="49">
        <v>129</v>
      </c>
      <c r="E86" s="49">
        <v>128.6</v>
      </c>
      <c r="F86" s="49">
        <v>130.4</v>
      </c>
      <c r="G86" s="49">
        <v>129.69999999999999</v>
      </c>
      <c r="H86" s="49">
        <v>130.4</v>
      </c>
      <c r="I86" s="49">
        <v>129.80000000000001</v>
      </c>
      <c r="J86" s="49">
        <v>129.5</v>
      </c>
      <c r="K86" s="49">
        <v>129.5</v>
      </c>
      <c r="L86" s="49">
        <v>129.5</v>
      </c>
      <c r="M86" s="49">
        <v>127.8</v>
      </c>
      <c r="N86" s="49"/>
      <c r="O86" s="49">
        <v>129</v>
      </c>
      <c r="P86" s="49">
        <v>129</v>
      </c>
      <c r="Q86" s="49">
        <v>128.9</v>
      </c>
      <c r="R86" s="49">
        <v>127</v>
      </c>
      <c r="S86" s="49">
        <v>127</v>
      </c>
      <c r="T86" s="49">
        <v>127</v>
      </c>
      <c r="U86" s="49">
        <v>127</v>
      </c>
      <c r="V86" s="49">
        <v>128</v>
      </c>
      <c r="W86" s="49">
        <v>128</v>
      </c>
      <c r="X86" s="49">
        <v>128</v>
      </c>
      <c r="Y86" s="49">
        <v>128</v>
      </c>
      <c r="Z86" s="49">
        <v>128</v>
      </c>
      <c r="AA86" s="49">
        <v>127</v>
      </c>
      <c r="AB86" s="49">
        <v>128.5</v>
      </c>
      <c r="AC86" s="49">
        <v>128.30000000000001</v>
      </c>
      <c r="AD86" s="49">
        <v>127.8</v>
      </c>
      <c r="AE86" s="49">
        <v>128.80000000000001</v>
      </c>
      <c r="AF86" s="49">
        <v>129</v>
      </c>
      <c r="AG86" s="93"/>
      <c r="AH86" s="55">
        <f t="shared" si="14"/>
        <v>130.4</v>
      </c>
      <c r="AI86" s="56">
        <f t="shared" si="15"/>
        <v>127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</v>
      </c>
      <c r="C87" s="49">
        <v>129</v>
      </c>
      <c r="D87" s="49">
        <v>129</v>
      </c>
      <c r="E87" s="49">
        <v>127.5</v>
      </c>
      <c r="F87" s="49">
        <v>129.69999999999999</v>
      </c>
      <c r="G87" s="49">
        <v>128.30000000000001</v>
      </c>
      <c r="H87" s="49">
        <v>128.19999999999999</v>
      </c>
      <c r="I87" s="49">
        <v>129</v>
      </c>
      <c r="J87" s="49">
        <v>128.4</v>
      </c>
      <c r="K87" s="49">
        <v>128.4</v>
      </c>
      <c r="L87" s="49">
        <v>128.4</v>
      </c>
      <c r="M87" s="49">
        <v>125.7</v>
      </c>
      <c r="N87" s="49"/>
      <c r="O87" s="49">
        <v>128</v>
      </c>
      <c r="P87" s="49">
        <v>128</v>
      </c>
      <c r="Q87" s="49">
        <v>129.6</v>
      </c>
      <c r="R87" s="49">
        <v>129.30000000000001</v>
      </c>
      <c r="S87" s="49">
        <v>129</v>
      </c>
      <c r="T87" s="49">
        <v>129</v>
      </c>
      <c r="U87" s="49">
        <v>127</v>
      </c>
      <c r="V87" s="49">
        <v>129</v>
      </c>
      <c r="W87" s="49">
        <v>129</v>
      </c>
      <c r="X87" s="49">
        <v>129</v>
      </c>
      <c r="Y87" s="49">
        <v>129</v>
      </c>
      <c r="Z87" s="49">
        <v>129</v>
      </c>
      <c r="AA87" s="49">
        <v>128</v>
      </c>
      <c r="AB87" s="49">
        <v>127</v>
      </c>
      <c r="AC87" s="49">
        <v>126.4</v>
      </c>
      <c r="AD87" s="49">
        <v>126.6</v>
      </c>
      <c r="AE87" s="49">
        <v>126.4</v>
      </c>
      <c r="AF87" s="49">
        <v>127.8</v>
      </c>
      <c r="AG87" s="93"/>
      <c r="AH87" s="55">
        <f t="shared" si="14"/>
        <v>129.69999999999999</v>
      </c>
      <c r="AI87" s="56">
        <f t="shared" si="15"/>
        <v>125.7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4"/>
        <v>0</v>
      </c>
      <c r="AI88" s="56">
        <f t="shared" si="15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132</v>
      </c>
      <c r="C89" s="95">
        <v>131</v>
      </c>
      <c r="D89" s="95">
        <v>131</v>
      </c>
      <c r="E89" s="95">
        <v>133.6</v>
      </c>
      <c r="F89" s="95">
        <v>133</v>
      </c>
      <c r="G89" s="95">
        <v>144</v>
      </c>
      <c r="H89" s="95">
        <v>135.19999999999999</v>
      </c>
      <c r="I89" s="95">
        <v>134.5</v>
      </c>
      <c r="J89" s="95">
        <v>133.30000000000001</v>
      </c>
      <c r="K89" s="95">
        <v>133.30000000000001</v>
      </c>
      <c r="L89" s="95">
        <v>133.30000000000001</v>
      </c>
      <c r="M89" s="95">
        <v>134.6</v>
      </c>
      <c r="N89" s="95"/>
      <c r="O89" s="95">
        <v>132.30000000000001</v>
      </c>
      <c r="P89" s="95">
        <v>132.30000000000001</v>
      </c>
      <c r="Q89" s="95">
        <v>133.19999999999999</v>
      </c>
      <c r="R89" s="95">
        <v>129.4</v>
      </c>
      <c r="S89" s="95">
        <v>133</v>
      </c>
      <c r="T89" s="95">
        <v>133</v>
      </c>
      <c r="U89" s="95">
        <v>134</v>
      </c>
      <c r="V89" s="95">
        <v>134</v>
      </c>
      <c r="W89" s="95">
        <v>133</v>
      </c>
      <c r="X89" s="95">
        <v>133</v>
      </c>
      <c r="Y89" s="95">
        <v>134</v>
      </c>
      <c r="Z89" s="95">
        <v>134</v>
      </c>
      <c r="AA89" s="95">
        <v>132</v>
      </c>
      <c r="AB89" s="95">
        <v>130.6</v>
      </c>
      <c r="AC89" s="95">
        <v>131.1</v>
      </c>
      <c r="AD89" s="95">
        <v>130</v>
      </c>
      <c r="AE89" s="95">
        <v>131.1</v>
      </c>
      <c r="AF89" s="95">
        <v>130</v>
      </c>
      <c r="AG89" s="96"/>
      <c r="AH89" s="55">
        <f t="shared" si="14"/>
        <v>144</v>
      </c>
      <c r="AI89" s="56">
        <f t="shared" si="15"/>
        <v>129.4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129</v>
      </c>
      <c r="C90" s="49">
        <v>128</v>
      </c>
      <c r="D90" s="49">
        <v>128</v>
      </c>
      <c r="E90" s="49">
        <v>135.1</v>
      </c>
      <c r="F90" s="49">
        <v>134.6</v>
      </c>
      <c r="G90" s="49">
        <v>135.19999999999999</v>
      </c>
      <c r="H90" s="49">
        <v>136.30000000000001</v>
      </c>
      <c r="I90" s="49">
        <v>135.19999999999999</v>
      </c>
      <c r="J90" s="49">
        <v>134.19999999999999</v>
      </c>
      <c r="K90" s="49">
        <v>134.19999999999999</v>
      </c>
      <c r="L90" s="49">
        <v>134.19999999999999</v>
      </c>
      <c r="M90" s="49">
        <v>135.69999999999999</v>
      </c>
      <c r="N90" s="49"/>
      <c r="O90" s="49">
        <v>130.9</v>
      </c>
      <c r="P90" s="49">
        <v>130.9</v>
      </c>
      <c r="Q90" s="49">
        <v>133.80000000000001</v>
      </c>
      <c r="R90" s="49">
        <v>125</v>
      </c>
      <c r="S90" s="49">
        <v>130</v>
      </c>
      <c r="T90" s="49">
        <v>130</v>
      </c>
      <c r="U90" s="49">
        <v>133</v>
      </c>
      <c r="V90" s="49">
        <v>133</v>
      </c>
      <c r="W90" s="49">
        <v>133</v>
      </c>
      <c r="X90" s="49">
        <v>133</v>
      </c>
      <c r="Y90" s="49">
        <v>134</v>
      </c>
      <c r="Z90" s="49">
        <v>134</v>
      </c>
      <c r="AA90" s="49">
        <v>133</v>
      </c>
      <c r="AB90" s="49">
        <v>128</v>
      </c>
      <c r="AC90" s="49">
        <v>128</v>
      </c>
      <c r="AD90" s="49">
        <v>130.6</v>
      </c>
      <c r="AE90" s="49">
        <v>128.69999999999999</v>
      </c>
      <c r="AF90" s="49">
        <v>127.9</v>
      </c>
      <c r="AG90" s="93"/>
      <c r="AH90" s="55">
        <f t="shared" si="14"/>
        <v>136.30000000000001</v>
      </c>
      <c r="AI90" s="56">
        <f t="shared" si="15"/>
        <v>125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</v>
      </c>
      <c r="C91" s="97">
        <v>65</v>
      </c>
      <c r="D91" s="97">
        <v>65</v>
      </c>
      <c r="E91" s="97">
        <v>64.900000000000006</v>
      </c>
      <c r="F91" s="97">
        <v>65.7</v>
      </c>
      <c r="G91" s="97">
        <v>65.5</v>
      </c>
      <c r="H91" s="97">
        <v>65.900000000000006</v>
      </c>
      <c r="I91" s="97">
        <v>65.400000000000006</v>
      </c>
      <c r="J91" s="97">
        <v>65.099999999999994</v>
      </c>
      <c r="K91" s="97">
        <v>65.099999999999994</v>
      </c>
      <c r="L91" s="97">
        <v>65.099999999999994</v>
      </c>
      <c r="M91" s="97">
        <v>64.400000000000006</v>
      </c>
      <c r="N91" s="97"/>
      <c r="O91" s="97">
        <v>65.099999999999994</v>
      </c>
      <c r="P91" s="97">
        <v>65.099999999999994</v>
      </c>
      <c r="Q91" s="97">
        <v>65</v>
      </c>
      <c r="R91" s="97">
        <v>64.099999999999994</v>
      </c>
      <c r="S91" s="97">
        <v>64</v>
      </c>
      <c r="T91" s="97">
        <v>64</v>
      </c>
      <c r="U91" s="97">
        <v>64</v>
      </c>
      <c r="V91" s="97">
        <v>64.7</v>
      </c>
      <c r="W91" s="97">
        <v>64.7</v>
      </c>
      <c r="X91" s="97">
        <v>65.2</v>
      </c>
      <c r="Y91" s="97">
        <v>65</v>
      </c>
      <c r="Z91" s="97">
        <v>65</v>
      </c>
      <c r="AA91" s="97">
        <v>64</v>
      </c>
      <c r="AB91" s="97">
        <v>65.3</v>
      </c>
      <c r="AC91" s="97">
        <v>65</v>
      </c>
      <c r="AD91" s="97">
        <v>64.8</v>
      </c>
      <c r="AE91" s="97">
        <v>65.400000000000006</v>
      </c>
      <c r="AF91" s="97">
        <v>65.8</v>
      </c>
      <c r="AG91" s="98"/>
      <c r="AH91" s="55">
        <f t="shared" si="14"/>
        <v>65.900000000000006</v>
      </c>
      <c r="AI91" s="56">
        <f t="shared" si="15"/>
        <v>64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3">SUM(B15,B18,B21:B22,B42,B44:B45,B47,B49,B94:B97,B104,B110,B116,B125,B127,B139,B146,B149:B150,B157,B159,B161,B165:B167,B169:B171,B176,B182:B183,B185:B187,B195,B200)</f>
        <v>98.54</v>
      </c>
      <c r="C93" s="103">
        <f t="shared" si="23"/>
        <v>117.33999999999999</v>
      </c>
      <c r="D93" s="103">
        <f t="shared" si="23"/>
        <v>98.039999999999978</v>
      </c>
      <c r="E93" s="103">
        <f t="shared" si="23"/>
        <v>97.539999999999978</v>
      </c>
      <c r="F93" s="103">
        <f t="shared" si="23"/>
        <v>117.03999999999998</v>
      </c>
      <c r="G93" s="103">
        <f t="shared" si="23"/>
        <v>94.440000000000012</v>
      </c>
      <c r="H93" s="103">
        <f t="shared" si="23"/>
        <v>129.33999999999997</v>
      </c>
      <c r="I93" s="103">
        <f t="shared" si="23"/>
        <v>145.33999999999997</v>
      </c>
      <c r="J93" s="103">
        <f t="shared" si="23"/>
        <v>156.83999999999997</v>
      </c>
      <c r="K93" s="103">
        <f t="shared" si="23"/>
        <v>159.43999999999997</v>
      </c>
      <c r="L93" s="103">
        <f t="shared" si="23"/>
        <v>162.23999999999995</v>
      </c>
      <c r="M93" s="103">
        <f t="shared" si="23"/>
        <v>272.14000000000004</v>
      </c>
      <c r="N93" s="103">
        <f t="shared" si="23"/>
        <v>34.840000000000003</v>
      </c>
      <c r="O93" s="103">
        <f t="shared" si="23"/>
        <v>221.43999999999994</v>
      </c>
      <c r="P93" s="103">
        <f t="shared" si="23"/>
        <v>330.34000000000003</v>
      </c>
      <c r="Q93" s="103">
        <f t="shared" si="23"/>
        <v>299.74</v>
      </c>
      <c r="R93" s="103">
        <f t="shared" si="23"/>
        <v>288.64000000000004</v>
      </c>
      <c r="S93" s="103">
        <f t="shared" si="23"/>
        <v>289.44</v>
      </c>
      <c r="T93" s="103">
        <f t="shared" si="23"/>
        <v>287.44</v>
      </c>
      <c r="U93" s="103">
        <f t="shared" si="23"/>
        <v>287.44</v>
      </c>
      <c r="V93" s="103">
        <f t="shared" si="23"/>
        <v>284.44</v>
      </c>
      <c r="W93" s="103">
        <f>SUM(W15,W18,W21:W22,W42,W44:W45,W47,W49,W94:W97,W104,W110,W116,W125,W127,W139,W146,W149:W150,W157,W159,W161,W165:W167,W169:W171,W176,W182:W183,W185:W187,W195,W200)</f>
        <v>281.44</v>
      </c>
      <c r="X93" s="103">
        <f>SUM(X15,X18,X21:X22,X42,X44:X45,X47,X49,X94:X97,X104,X110,X116,X125,X127,X139,X146,X149:X150,X157,X159,X161,X165:X167,X169:X171,X176,X182:X183,X185:X187,X195,X200)</f>
        <v>283.44</v>
      </c>
      <c r="Y93" s="103">
        <f t="shared" si="23"/>
        <v>287.44</v>
      </c>
      <c r="Z93" s="103">
        <f t="shared" si="23"/>
        <v>295.44000000000005</v>
      </c>
      <c r="AA93" s="103">
        <f t="shared" si="23"/>
        <v>300.44000000000005</v>
      </c>
      <c r="AB93" s="103">
        <f t="shared" si="23"/>
        <v>300.54000000000002</v>
      </c>
      <c r="AC93" s="103">
        <f t="shared" si="23"/>
        <v>298.64000000000004</v>
      </c>
      <c r="AD93" s="103">
        <f t="shared" si="23"/>
        <v>304.24</v>
      </c>
      <c r="AE93" s="103">
        <f t="shared" si="23"/>
        <v>170.73999999999998</v>
      </c>
      <c r="AF93" s="103">
        <f t="shared" si="23"/>
        <v>131.33999999999995</v>
      </c>
      <c r="AG93" s="104"/>
      <c r="AH93" s="55">
        <f>MAX(C93:AF93)</f>
        <v>330.34000000000003</v>
      </c>
      <c r="AI93" s="56">
        <f>MIN(C93:AF93)</f>
        <v>34.840000000000003</v>
      </c>
    </row>
    <row r="94" spans="1:88" x14ac:dyDescent="0.25">
      <c r="A94" s="105" t="s">
        <v>98</v>
      </c>
      <c r="B94" s="106">
        <v>11.4</v>
      </c>
      <c r="C94" s="106">
        <v>19.600000000000001</v>
      </c>
      <c r="D94" s="106">
        <v>22.6</v>
      </c>
      <c r="E94" s="106">
        <v>26.2</v>
      </c>
      <c r="F94" s="106">
        <v>26.7</v>
      </c>
      <c r="G94" s="106">
        <v>29.5</v>
      </c>
      <c r="H94" s="106">
        <v>25.7</v>
      </c>
      <c r="I94" s="106">
        <v>24.5</v>
      </c>
      <c r="J94" s="106">
        <v>28.9</v>
      </c>
      <c r="K94" s="106">
        <v>32</v>
      </c>
      <c r="L94" s="106">
        <v>35.799999999999997</v>
      </c>
      <c r="M94" s="106">
        <f>65.9+41.4</f>
        <v>107.30000000000001</v>
      </c>
      <c r="N94" s="106"/>
      <c r="O94" s="106">
        <v>32.5</v>
      </c>
      <c r="P94" s="106">
        <v>32.9</v>
      </c>
      <c r="Q94" s="106">
        <v>26.6</v>
      </c>
      <c r="R94" s="106">
        <v>32.700000000000003</v>
      </c>
      <c r="S94" s="106">
        <v>29</v>
      </c>
      <c r="T94" s="106">
        <v>30</v>
      </c>
      <c r="U94" s="106">
        <v>31</v>
      </c>
      <c r="V94" s="106">
        <v>32</v>
      </c>
      <c r="W94" s="106">
        <v>30</v>
      </c>
      <c r="X94" s="106">
        <v>32</v>
      </c>
      <c r="Y94" s="106">
        <v>36</v>
      </c>
      <c r="Z94" s="106">
        <v>42</v>
      </c>
      <c r="AA94" s="106">
        <v>43</v>
      </c>
      <c r="AB94" s="106">
        <v>27.2</v>
      </c>
      <c r="AC94" s="106">
        <v>23.4</v>
      </c>
      <c r="AD94" s="106">
        <v>22</v>
      </c>
      <c r="AE94" s="106">
        <v>17.899999999999999</v>
      </c>
      <c r="AF94" s="106">
        <v>14.2</v>
      </c>
      <c r="AG94" s="107">
        <v>75</v>
      </c>
      <c r="AH94" s="55">
        <f t="shared" ref="AH94:AH101" si="24">IF(ABS(MAX(C94:AF94))&gt;ABS(MIN(C94:AF94)),MAX(C94:AF94),MIN(C94:AF94))</f>
        <v>107.30000000000001</v>
      </c>
      <c r="AI94" s="108">
        <f t="shared" ref="AI94:AI101" si="25">INDEX($C$9:$AF$9,1,MATCH(AH94,C94:AF94,0))</f>
        <v>0.33333333333333331</v>
      </c>
    </row>
    <row r="95" spans="1:88" x14ac:dyDescent="0.25">
      <c r="A95" s="109" t="s">
        <v>99</v>
      </c>
      <c r="B95" s="110">
        <v>-170</v>
      </c>
      <c r="C95" s="110">
        <v>-152</v>
      </c>
      <c r="D95" s="110">
        <v>-163</v>
      </c>
      <c r="E95" s="110">
        <f>-75.2-80.1</f>
        <v>-155.30000000000001</v>
      </c>
      <c r="F95" s="110">
        <f>-61-69.9</f>
        <v>-130.9</v>
      </c>
      <c r="G95" s="110">
        <f>-83-73.6</f>
        <v>-156.6</v>
      </c>
      <c r="H95" s="110">
        <f>-68.8-65.9</f>
        <v>-134.69999999999999</v>
      </c>
      <c r="I95" s="110">
        <f>-74.7-61.7</f>
        <v>-136.4</v>
      </c>
      <c r="J95" s="110">
        <f>-72.1-57.9</f>
        <v>-130</v>
      </c>
      <c r="K95" s="110">
        <v>-132</v>
      </c>
      <c r="L95" s="110">
        <v>-140</v>
      </c>
      <c r="M95" s="110">
        <f>-50-60.1</f>
        <v>-110.1</v>
      </c>
      <c r="N95" s="110"/>
      <c r="O95" s="110">
        <v>-99</v>
      </c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>
        <f>-52-59</f>
        <v>-111</v>
      </c>
      <c r="AF95" s="110">
        <f>-62-68.8</f>
        <v>-130.80000000000001</v>
      </c>
      <c r="AG95" s="107">
        <v>240</v>
      </c>
      <c r="AH95" s="55">
        <f t="shared" si="24"/>
        <v>-163</v>
      </c>
      <c r="AI95" s="108">
        <f t="shared" si="25"/>
        <v>8.3333333333333301E-2</v>
      </c>
    </row>
    <row r="96" spans="1:88" x14ac:dyDescent="0.25">
      <c r="A96" s="109" t="s">
        <v>100</v>
      </c>
      <c r="B96" s="110">
        <v>23.4</v>
      </c>
      <c r="C96" s="110">
        <v>16</v>
      </c>
      <c r="D96" s="110">
        <v>4.9000000000000004</v>
      </c>
      <c r="E96" s="110">
        <v>-6.9</v>
      </c>
      <c r="F96" s="110">
        <v>11.5</v>
      </c>
      <c r="G96" s="110">
        <v>12.1</v>
      </c>
      <c r="H96" s="110">
        <v>3.9</v>
      </c>
      <c r="I96" s="110">
        <v>22.8</v>
      </c>
      <c r="J96" s="110">
        <v>23.5</v>
      </c>
      <c r="K96" s="110">
        <v>25</v>
      </c>
      <c r="L96" s="110">
        <v>32</v>
      </c>
      <c r="M96" s="110">
        <v>34.799999999999997</v>
      </c>
      <c r="N96" s="110"/>
      <c r="O96" s="110">
        <v>47.8</v>
      </c>
      <c r="P96" s="110">
        <v>47.8</v>
      </c>
      <c r="Q96" s="110">
        <v>23.7</v>
      </c>
      <c r="R96" s="110">
        <v>6.5</v>
      </c>
      <c r="S96" s="110">
        <v>11</v>
      </c>
      <c r="T96" s="110">
        <v>8</v>
      </c>
      <c r="U96" s="110">
        <v>7</v>
      </c>
      <c r="V96" s="110">
        <v>11</v>
      </c>
      <c r="W96" s="110">
        <v>10</v>
      </c>
      <c r="X96" s="110">
        <v>10</v>
      </c>
      <c r="Y96" s="110">
        <v>10</v>
      </c>
      <c r="Z96" s="110">
        <v>12</v>
      </c>
      <c r="AA96" s="110">
        <v>16</v>
      </c>
      <c r="AB96" s="110">
        <v>31.3</v>
      </c>
      <c r="AC96" s="110">
        <v>33.200000000000003</v>
      </c>
      <c r="AD96" s="110">
        <v>40.200000000000003</v>
      </c>
      <c r="AE96" s="110">
        <v>21.8</v>
      </c>
      <c r="AF96" s="110">
        <v>6</v>
      </c>
      <c r="AG96" s="107">
        <v>60</v>
      </c>
      <c r="AH96" s="55">
        <f t="shared" si="24"/>
        <v>47.8</v>
      </c>
      <c r="AI96" s="108">
        <f t="shared" si="25"/>
        <v>0.41666666666666702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>
        <v>0</v>
      </c>
      <c r="AC97" s="112">
        <v>0</v>
      </c>
      <c r="AD97" s="112">
        <v>0</v>
      </c>
      <c r="AE97" s="112">
        <v>0</v>
      </c>
      <c r="AF97" s="112">
        <v>0</v>
      </c>
      <c r="AG97" s="113">
        <v>120</v>
      </c>
      <c r="AH97" s="55">
        <f t="shared" si="24"/>
        <v>0</v>
      </c>
      <c r="AI97" s="108">
        <f t="shared" si="25"/>
        <v>4.1666666666666664E-2</v>
      </c>
    </row>
    <row r="98" spans="1:37" x14ac:dyDescent="0.25">
      <c r="A98" s="111" t="s">
        <v>102</v>
      </c>
      <c r="B98" s="112">
        <v>21.7</v>
      </c>
      <c r="C98" s="112">
        <v>25.8</v>
      </c>
      <c r="D98" s="112">
        <v>17.2</v>
      </c>
      <c r="E98" s="112">
        <v>18.899999999999999</v>
      </c>
      <c r="F98" s="112">
        <v>7.4</v>
      </c>
      <c r="G98" s="112">
        <v>2</v>
      </c>
      <c r="H98" s="112">
        <v>20.6</v>
      </c>
      <c r="I98" s="112">
        <v>14.4</v>
      </c>
      <c r="J98" s="112">
        <v>15.6</v>
      </c>
      <c r="K98" s="112">
        <v>16</v>
      </c>
      <c r="L98" s="112">
        <v>6.1</v>
      </c>
      <c r="M98" s="112">
        <v>5.2</v>
      </c>
      <c r="N98" s="112"/>
      <c r="O98" s="112">
        <v>9.5</v>
      </c>
      <c r="P98" s="112">
        <v>16.399999999999999</v>
      </c>
      <c r="Q98" s="112">
        <v>14.5</v>
      </c>
      <c r="R98" s="112">
        <v>32</v>
      </c>
      <c r="S98" s="112">
        <v>47</v>
      </c>
      <c r="T98" s="112">
        <v>41</v>
      </c>
      <c r="U98" s="112">
        <v>37</v>
      </c>
      <c r="V98" s="112">
        <v>46</v>
      </c>
      <c r="W98" s="112">
        <v>46</v>
      </c>
      <c r="X98" s="112">
        <v>36</v>
      </c>
      <c r="Y98" s="112">
        <v>37</v>
      </c>
      <c r="Z98" s="112">
        <v>49</v>
      </c>
      <c r="AA98" s="112">
        <v>63</v>
      </c>
      <c r="AB98" s="112">
        <v>77.2</v>
      </c>
      <c r="AC98" s="112">
        <v>73.900000000000006</v>
      </c>
      <c r="AD98" s="112">
        <v>50.6</v>
      </c>
      <c r="AE98" s="112">
        <v>41.9</v>
      </c>
      <c r="AF98" s="112">
        <v>41.4</v>
      </c>
      <c r="AG98" s="113"/>
      <c r="AH98" s="55">
        <f t="shared" si="24"/>
        <v>77.2</v>
      </c>
      <c r="AI98" s="108">
        <f t="shared" si="25"/>
        <v>0.83333333333333337</v>
      </c>
    </row>
    <row r="99" spans="1:37" x14ac:dyDescent="0.25">
      <c r="A99" s="111" t="s">
        <v>253</v>
      </c>
      <c r="B99" s="112">
        <v>62</v>
      </c>
      <c r="C99" s="112">
        <v>37</v>
      </c>
      <c r="D99" s="112">
        <v>23</v>
      </c>
      <c r="E99" s="112">
        <v>11.9</v>
      </c>
      <c r="F99" s="112">
        <v>14.7</v>
      </c>
      <c r="G99" s="112">
        <v>5.0999999999999996</v>
      </c>
      <c r="H99" s="112">
        <v>21.3</v>
      </c>
      <c r="I99" s="112">
        <v>14.5</v>
      </c>
      <c r="J99" s="112">
        <v>0.1</v>
      </c>
      <c r="K99" s="112">
        <v>-5</v>
      </c>
      <c r="L99" s="112">
        <v>-24.5</v>
      </c>
      <c r="M99" s="112">
        <v>-28.7</v>
      </c>
      <c r="N99" s="112"/>
      <c r="O99" s="112">
        <v>-25.9</v>
      </c>
      <c r="P99" s="112">
        <v>-48.9</v>
      </c>
      <c r="Q99" s="112">
        <v>-16.8</v>
      </c>
      <c r="R99" s="112">
        <v>-17.399999999999999</v>
      </c>
      <c r="S99" s="112">
        <v>-10</v>
      </c>
      <c r="T99" s="112">
        <v>-12</v>
      </c>
      <c r="U99" s="112">
        <v>-33</v>
      </c>
      <c r="V99" s="112">
        <v>-18</v>
      </c>
      <c r="W99" s="112">
        <v>-5.5</v>
      </c>
      <c r="X99" s="112">
        <v>-12</v>
      </c>
      <c r="Y99" s="112">
        <v>-13</v>
      </c>
      <c r="Z99" s="112">
        <v>-13</v>
      </c>
      <c r="AA99" s="112">
        <v>-16</v>
      </c>
      <c r="AB99" s="112">
        <v>25.2</v>
      </c>
      <c r="AC99" s="112">
        <v>37.700000000000003</v>
      </c>
      <c r="AD99" s="112">
        <v>38.200000000000003</v>
      </c>
      <c r="AE99" s="112">
        <v>46.4</v>
      </c>
      <c r="AF99" s="112">
        <v>52.7</v>
      </c>
      <c r="AG99" s="114"/>
      <c r="AH99" s="55">
        <f t="shared" si="24"/>
        <v>52.7</v>
      </c>
      <c r="AI99" s="108">
        <f t="shared" si="25"/>
        <v>0.95833333333333304</v>
      </c>
    </row>
    <row r="100" spans="1:37" x14ac:dyDescent="0.25">
      <c r="A100" s="115" t="s">
        <v>104</v>
      </c>
      <c r="B100" s="169">
        <v>46.9</v>
      </c>
      <c r="C100" s="169">
        <v>33</v>
      </c>
      <c r="D100" s="169">
        <v>33.9</v>
      </c>
      <c r="E100" s="169">
        <v>46.4</v>
      </c>
      <c r="F100" s="169">
        <v>29.3</v>
      </c>
      <c r="G100" s="169">
        <v>17.3</v>
      </c>
      <c r="H100" s="169">
        <v>18.5</v>
      </c>
      <c r="I100" s="169">
        <v>11.4</v>
      </c>
      <c r="J100" s="169">
        <v>8.1999999999999993</v>
      </c>
      <c r="K100" s="169">
        <v>9</v>
      </c>
      <c r="L100" s="169">
        <v>68.599999999999994</v>
      </c>
      <c r="M100" s="169">
        <v>68</v>
      </c>
      <c r="N100" s="169"/>
      <c r="O100" s="169">
        <v>66.3</v>
      </c>
      <c r="P100" s="169">
        <v>68.400000000000006</v>
      </c>
      <c r="Q100" s="169">
        <v>57.9</v>
      </c>
      <c r="R100" s="169">
        <v>28.7</v>
      </c>
      <c r="S100" s="169">
        <v>38</v>
      </c>
      <c r="T100" s="169">
        <v>19</v>
      </c>
      <c r="U100" s="169">
        <v>19</v>
      </c>
      <c r="V100" s="169">
        <v>18</v>
      </c>
      <c r="W100" s="169">
        <v>46</v>
      </c>
      <c r="X100" s="169">
        <v>21</v>
      </c>
      <c r="Y100" s="169">
        <v>26</v>
      </c>
      <c r="Z100" s="169">
        <v>40</v>
      </c>
      <c r="AA100" s="169">
        <v>53</v>
      </c>
      <c r="AB100" s="169">
        <v>50.7</v>
      </c>
      <c r="AC100" s="169">
        <v>51.6</v>
      </c>
      <c r="AD100" s="169">
        <v>40.5</v>
      </c>
      <c r="AE100" s="169">
        <v>32.1</v>
      </c>
      <c r="AF100" s="169">
        <v>24.5</v>
      </c>
      <c r="AG100" s="114"/>
      <c r="AH100" s="55">
        <f t="shared" si="24"/>
        <v>68.599999999999994</v>
      </c>
      <c r="AI100" s="108">
        <f t="shared" si="25"/>
        <v>0.3125</v>
      </c>
    </row>
    <row r="101" spans="1:37" ht="18" customHeight="1" x14ac:dyDescent="0.25">
      <c r="A101" s="168" t="s">
        <v>254</v>
      </c>
      <c r="B101" s="95">
        <v>105</v>
      </c>
      <c r="C101" s="95">
        <v>99</v>
      </c>
      <c r="D101" s="95">
        <v>110</v>
      </c>
      <c r="E101" s="95">
        <v>106.9</v>
      </c>
      <c r="F101" s="95">
        <v>104</v>
      </c>
      <c r="G101" s="95">
        <v>102</v>
      </c>
      <c r="H101" s="95">
        <v>20</v>
      </c>
      <c r="I101" s="95">
        <v>90.8</v>
      </c>
      <c r="J101" s="95">
        <v>87.2</v>
      </c>
      <c r="K101" s="95">
        <v>92</v>
      </c>
      <c r="L101" s="95">
        <v>103</v>
      </c>
      <c r="M101" s="95">
        <v>99.3</v>
      </c>
      <c r="N101" s="95"/>
      <c r="O101" s="95">
        <v>94.5</v>
      </c>
      <c r="P101" s="95">
        <v>92.9</v>
      </c>
      <c r="Q101" s="95">
        <v>96.5</v>
      </c>
      <c r="R101" s="95">
        <v>78.8</v>
      </c>
      <c r="S101" s="95">
        <v>60</v>
      </c>
      <c r="T101" s="95">
        <v>65</v>
      </c>
      <c r="U101" s="95">
        <v>71</v>
      </c>
      <c r="V101" s="95">
        <v>64</v>
      </c>
      <c r="W101" s="95">
        <v>66.5</v>
      </c>
      <c r="X101" s="95">
        <v>69</v>
      </c>
      <c r="Y101" s="95">
        <v>66</v>
      </c>
      <c r="Z101" s="95">
        <v>61</v>
      </c>
      <c r="AA101" s="95">
        <v>41</v>
      </c>
      <c r="AB101" s="95">
        <v>45.6</v>
      </c>
      <c r="AC101" s="95">
        <v>52.8</v>
      </c>
      <c r="AD101" s="95">
        <v>76.7</v>
      </c>
      <c r="AE101" s="95">
        <v>75.8</v>
      </c>
      <c r="AF101" s="95">
        <v>98.5</v>
      </c>
      <c r="AG101" s="107"/>
      <c r="AH101" s="55">
        <f t="shared" si="24"/>
        <v>110</v>
      </c>
      <c r="AI101" s="108">
        <f t="shared" si="25"/>
        <v>8.3333333333333301E-2</v>
      </c>
    </row>
    <row r="102" spans="1:37" ht="15.75" thickBot="1" x14ac:dyDescent="0.3">
      <c r="A102" s="116" t="s">
        <v>105</v>
      </c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07"/>
      <c r="AH102" s="119"/>
      <c r="AI102" s="56"/>
      <c r="AK102" s="57"/>
    </row>
    <row r="103" spans="1:37" x14ac:dyDescent="0.25">
      <c r="A103" s="120" t="s">
        <v>106</v>
      </c>
      <c r="B103" s="121">
        <f t="shared" ref="B103:B108" si="26">AF103</f>
        <v>9.9</v>
      </c>
      <c r="C103" s="54">
        <v>9.9</v>
      </c>
      <c r="D103" s="121">
        <f t="shared" ref="D103:S108" si="27">C103</f>
        <v>9.9</v>
      </c>
      <c r="E103" s="121">
        <f t="shared" si="27"/>
        <v>9.9</v>
      </c>
      <c r="F103" s="121">
        <f t="shared" si="27"/>
        <v>9.9</v>
      </c>
      <c r="G103" s="121">
        <f t="shared" si="27"/>
        <v>9.9</v>
      </c>
      <c r="H103" s="121">
        <f t="shared" si="27"/>
        <v>9.9</v>
      </c>
      <c r="I103" s="121">
        <f t="shared" si="27"/>
        <v>9.9</v>
      </c>
      <c r="J103" s="121">
        <f t="shared" si="27"/>
        <v>9.9</v>
      </c>
      <c r="K103" s="121">
        <f t="shared" si="27"/>
        <v>9.9</v>
      </c>
      <c r="L103" s="121">
        <f t="shared" si="27"/>
        <v>9.9</v>
      </c>
      <c r="M103" s="121">
        <f t="shared" si="27"/>
        <v>9.9</v>
      </c>
      <c r="N103" s="121">
        <f t="shared" si="27"/>
        <v>9.9</v>
      </c>
      <c r="O103" s="121">
        <f t="shared" si="27"/>
        <v>9.9</v>
      </c>
      <c r="P103" s="121">
        <f t="shared" si="27"/>
        <v>9.9</v>
      </c>
      <c r="Q103" s="121">
        <f t="shared" si="27"/>
        <v>9.9</v>
      </c>
      <c r="R103" s="121">
        <f t="shared" si="27"/>
        <v>9.9</v>
      </c>
      <c r="S103" s="121">
        <f t="shared" si="27"/>
        <v>9.9</v>
      </c>
      <c r="T103" s="121">
        <f t="shared" ref="T103:AF108" si="28">S103</f>
        <v>9.9</v>
      </c>
      <c r="U103" s="121">
        <f t="shared" si="28"/>
        <v>9.9</v>
      </c>
      <c r="V103" s="121">
        <f t="shared" si="28"/>
        <v>9.9</v>
      </c>
      <c r="W103" s="121">
        <f t="shared" si="28"/>
        <v>9.9</v>
      </c>
      <c r="X103" s="121">
        <f t="shared" si="28"/>
        <v>9.9</v>
      </c>
      <c r="Y103" s="121">
        <f t="shared" si="28"/>
        <v>9.9</v>
      </c>
      <c r="Z103" s="121">
        <f t="shared" si="28"/>
        <v>9.9</v>
      </c>
      <c r="AA103" s="121">
        <f t="shared" si="28"/>
        <v>9.9</v>
      </c>
      <c r="AB103" s="121">
        <f t="shared" si="28"/>
        <v>9.9</v>
      </c>
      <c r="AC103" s="121">
        <f t="shared" si="28"/>
        <v>9.9</v>
      </c>
      <c r="AD103" s="121">
        <f t="shared" si="28"/>
        <v>9.9</v>
      </c>
      <c r="AE103" s="121">
        <f t="shared" si="28"/>
        <v>9.9</v>
      </c>
      <c r="AF103" s="121">
        <f t="shared" si="28"/>
        <v>9.9</v>
      </c>
      <c r="AG103" s="122">
        <v>9.94</v>
      </c>
      <c r="AH103" s="55"/>
      <c r="AI103" s="56"/>
      <c r="AK103" s="57"/>
    </row>
    <row r="104" spans="1:37" x14ac:dyDescent="0.25">
      <c r="A104" s="109" t="s">
        <v>107</v>
      </c>
      <c r="B104" s="123">
        <f t="shared" si="26"/>
        <v>9.6</v>
      </c>
      <c r="C104" s="124">
        <v>9.6</v>
      </c>
      <c r="D104" s="123">
        <f t="shared" si="27"/>
        <v>9.6</v>
      </c>
      <c r="E104" s="123">
        <f t="shared" si="27"/>
        <v>9.6</v>
      </c>
      <c r="F104" s="123">
        <f t="shared" si="27"/>
        <v>9.6</v>
      </c>
      <c r="G104" s="123">
        <f t="shared" si="27"/>
        <v>9.6</v>
      </c>
      <c r="H104" s="123">
        <f t="shared" si="27"/>
        <v>9.6</v>
      </c>
      <c r="I104" s="123">
        <f t="shared" si="27"/>
        <v>9.6</v>
      </c>
      <c r="J104" s="123">
        <f t="shared" si="27"/>
        <v>9.6</v>
      </c>
      <c r="K104" s="123">
        <f t="shared" si="27"/>
        <v>9.6</v>
      </c>
      <c r="L104" s="123">
        <f t="shared" si="27"/>
        <v>9.6</v>
      </c>
      <c r="M104" s="123">
        <f t="shared" si="27"/>
        <v>9.6</v>
      </c>
      <c r="N104" s="123">
        <f t="shared" si="27"/>
        <v>9.6</v>
      </c>
      <c r="O104" s="123">
        <f t="shared" si="27"/>
        <v>9.6</v>
      </c>
      <c r="P104" s="123">
        <f t="shared" si="27"/>
        <v>9.6</v>
      </c>
      <c r="Q104" s="123">
        <f t="shared" si="27"/>
        <v>9.6</v>
      </c>
      <c r="R104" s="123">
        <f t="shared" si="27"/>
        <v>9.6</v>
      </c>
      <c r="S104" s="123">
        <f t="shared" si="27"/>
        <v>9.6</v>
      </c>
      <c r="T104" s="123">
        <f t="shared" si="28"/>
        <v>9.6</v>
      </c>
      <c r="U104" s="123">
        <f t="shared" si="28"/>
        <v>9.6</v>
      </c>
      <c r="V104" s="123">
        <f t="shared" si="28"/>
        <v>9.6</v>
      </c>
      <c r="W104" s="123">
        <f t="shared" si="28"/>
        <v>9.6</v>
      </c>
      <c r="X104" s="123">
        <f t="shared" si="28"/>
        <v>9.6</v>
      </c>
      <c r="Y104" s="123">
        <f t="shared" si="28"/>
        <v>9.6</v>
      </c>
      <c r="Z104" s="123">
        <f t="shared" si="28"/>
        <v>9.6</v>
      </c>
      <c r="AA104" s="123">
        <f t="shared" si="28"/>
        <v>9.6</v>
      </c>
      <c r="AB104" s="123">
        <f t="shared" si="28"/>
        <v>9.6</v>
      </c>
      <c r="AC104" s="123">
        <f t="shared" si="28"/>
        <v>9.6</v>
      </c>
      <c r="AD104" s="123">
        <f t="shared" si="28"/>
        <v>9.6</v>
      </c>
      <c r="AE104" s="123">
        <f t="shared" si="28"/>
        <v>9.6</v>
      </c>
      <c r="AF104" s="123">
        <f t="shared" si="28"/>
        <v>9.6</v>
      </c>
      <c r="AG104" s="125">
        <v>9.9</v>
      </c>
      <c r="AH104" s="55"/>
      <c r="AI104" s="56"/>
      <c r="AK104" s="57"/>
    </row>
    <row r="105" spans="1:37" x14ac:dyDescent="0.25">
      <c r="A105" s="111" t="s">
        <v>108</v>
      </c>
      <c r="B105" s="123">
        <f t="shared" si="26"/>
        <v>9.98</v>
      </c>
      <c r="C105" s="124">
        <v>9.98</v>
      </c>
      <c r="D105" s="123">
        <f t="shared" si="27"/>
        <v>9.98</v>
      </c>
      <c r="E105" s="123">
        <f t="shared" si="27"/>
        <v>9.98</v>
      </c>
      <c r="F105" s="123">
        <f t="shared" si="27"/>
        <v>9.98</v>
      </c>
      <c r="G105" s="123">
        <f t="shared" si="27"/>
        <v>9.98</v>
      </c>
      <c r="H105" s="123">
        <f t="shared" si="27"/>
        <v>9.98</v>
      </c>
      <c r="I105" s="123">
        <f t="shared" si="27"/>
        <v>9.98</v>
      </c>
      <c r="J105" s="123">
        <f t="shared" si="27"/>
        <v>9.98</v>
      </c>
      <c r="K105" s="123">
        <f t="shared" si="27"/>
        <v>9.98</v>
      </c>
      <c r="L105" s="123">
        <f t="shared" si="27"/>
        <v>9.98</v>
      </c>
      <c r="M105" s="123">
        <f t="shared" si="27"/>
        <v>9.98</v>
      </c>
      <c r="N105" s="123">
        <f t="shared" si="27"/>
        <v>9.98</v>
      </c>
      <c r="O105" s="123">
        <f t="shared" si="27"/>
        <v>9.98</v>
      </c>
      <c r="P105" s="123">
        <f t="shared" si="27"/>
        <v>9.98</v>
      </c>
      <c r="Q105" s="123">
        <f t="shared" si="27"/>
        <v>9.98</v>
      </c>
      <c r="R105" s="123">
        <f t="shared" si="27"/>
        <v>9.98</v>
      </c>
      <c r="S105" s="123">
        <f t="shared" si="27"/>
        <v>9.98</v>
      </c>
      <c r="T105" s="123">
        <f t="shared" si="28"/>
        <v>9.98</v>
      </c>
      <c r="U105" s="123">
        <f t="shared" si="28"/>
        <v>9.98</v>
      </c>
      <c r="V105" s="123">
        <f t="shared" si="28"/>
        <v>9.98</v>
      </c>
      <c r="W105" s="123">
        <f t="shared" si="28"/>
        <v>9.98</v>
      </c>
      <c r="X105" s="123">
        <f t="shared" si="28"/>
        <v>9.98</v>
      </c>
      <c r="Y105" s="123">
        <f t="shared" si="28"/>
        <v>9.98</v>
      </c>
      <c r="Z105" s="123">
        <f t="shared" si="28"/>
        <v>9.98</v>
      </c>
      <c r="AA105" s="123">
        <f t="shared" si="28"/>
        <v>9.98</v>
      </c>
      <c r="AB105" s="123">
        <f t="shared" si="28"/>
        <v>9.98</v>
      </c>
      <c r="AC105" s="123">
        <f t="shared" si="28"/>
        <v>9.98</v>
      </c>
      <c r="AD105" s="123">
        <f t="shared" si="28"/>
        <v>9.98</v>
      </c>
      <c r="AE105" s="123">
        <f t="shared" si="28"/>
        <v>9.98</v>
      </c>
      <c r="AF105" s="123">
        <f t="shared" si="28"/>
        <v>9.98</v>
      </c>
      <c r="AG105" s="126">
        <v>9.6579999999999995</v>
      </c>
      <c r="AH105" s="55"/>
      <c r="AI105" s="56"/>
      <c r="AK105" s="57"/>
    </row>
    <row r="106" spans="1:37" x14ac:dyDescent="0.25">
      <c r="A106" s="111" t="s">
        <v>109</v>
      </c>
      <c r="B106" s="123">
        <f t="shared" si="26"/>
        <v>9.1</v>
      </c>
      <c r="C106" s="124">
        <v>9.1</v>
      </c>
      <c r="D106" s="123">
        <f t="shared" si="27"/>
        <v>9.1</v>
      </c>
      <c r="E106" s="123">
        <f t="shared" si="27"/>
        <v>9.1</v>
      </c>
      <c r="F106" s="123">
        <f t="shared" si="27"/>
        <v>9.1</v>
      </c>
      <c r="G106" s="123">
        <f t="shared" si="27"/>
        <v>9.1</v>
      </c>
      <c r="H106" s="123">
        <f t="shared" si="27"/>
        <v>9.1</v>
      </c>
      <c r="I106" s="123">
        <f t="shared" si="27"/>
        <v>9.1</v>
      </c>
      <c r="J106" s="123">
        <f t="shared" si="27"/>
        <v>9.1</v>
      </c>
      <c r="K106" s="123">
        <f t="shared" si="27"/>
        <v>9.1</v>
      </c>
      <c r="L106" s="123">
        <f t="shared" si="27"/>
        <v>9.1</v>
      </c>
      <c r="M106" s="123">
        <f t="shared" si="27"/>
        <v>9.1</v>
      </c>
      <c r="N106" s="123">
        <f t="shared" si="27"/>
        <v>9.1</v>
      </c>
      <c r="O106" s="123">
        <f t="shared" si="27"/>
        <v>9.1</v>
      </c>
      <c r="P106" s="123">
        <f t="shared" si="27"/>
        <v>9.1</v>
      </c>
      <c r="Q106" s="123">
        <f t="shared" si="27"/>
        <v>9.1</v>
      </c>
      <c r="R106" s="123">
        <f t="shared" si="27"/>
        <v>9.1</v>
      </c>
      <c r="S106" s="123">
        <f t="shared" si="27"/>
        <v>9.1</v>
      </c>
      <c r="T106" s="123">
        <f t="shared" si="28"/>
        <v>9.1</v>
      </c>
      <c r="U106" s="123">
        <f t="shared" si="28"/>
        <v>9.1</v>
      </c>
      <c r="V106" s="123">
        <f t="shared" si="28"/>
        <v>9.1</v>
      </c>
      <c r="W106" s="123">
        <f t="shared" si="28"/>
        <v>9.1</v>
      </c>
      <c r="X106" s="123">
        <f t="shared" si="28"/>
        <v>9.1</v>
      </c>
      <c r="Y106" s="123">
        <f t="shared" si="28"/>
        <v>9.1</v>
      </c>
      <c r="Z106" s="123">
        <f t="shared" si="28"/>
        <v>9.1</v>
      </c>
      <c r="AA106" s="123">
        <f t="shared" si="28"/>
        <v>9.1</v>
      </c>
      <c r="AB106" s="123">
        <f t="shared" si="28"/>
        <v>9.1</v>
      </c>
      <c r="AC106" s="123">
        <f t="shared" si="28"/>
        <v>9.1</v>
      </c>
      <c r="AD106" s="123">
        <f t="shared" si="28"/>
        <v>9.1</v>
      </c>
      <c r="AE106" s="123">
        <f t="shared" si="28"/>
        <v>9.1</v>
      </c>
      <c r="AF106" s="123">
        <f t="shared" si="28"/>
        <v>9.1</v>
      </c>
      <c r="AG106" s="126">
        <v>9.6</v>
      </c>
      <c r="AH106" s="55"/>
      <c r="AI106" s="56"/>
      <c r="AK106" s="57"/>
    </row>
    <row r="107" spans="1:37" x14ac:dyDescent="0.25">
      <c r="A107" s="111" t="s">
        <v>110</v>
      </c>
      <c r="B107" s="123">
        <f t="shared" si="26"/>
        <v>9.18</v>
      </c>
      <c r="C107" s="124">
        <v>9.18</v>
      </c>
      <c r="D107" s="123">
        <f t="shared" si="27"/>
        <v>9.18</v>
      </c>
      <c r="E107" s="123">
        <f t="shared" si="27"/>
        <v>9.18</v>
      </c>
      <c r="F107" s="123">
        <f t="shared" si="27"/>
        <v>9.18</v>
      </c>
      <c r="G107" s="123">
        <f t="shared" si="27"/>
        <v>9.18</v>
      </c>
      <c r="H107" s="123">
        <f t="shared" si="27"/>
        <v>9.18</v>
      </c>
      <c r="I107" s="123">
        <f t="shared" si="27"/>
        <v>9.18</v>
      </c>
      <c r="J107" s="123">
        <f t="shared" si="27"/>
        <v>9.18</v>
      </c>
      <c r="K107" s="123">
        <f t="shared" si="27"/>
        <v>9.18</v>
      </c>
      <c r="L107" s="123">
        <f t="shared" si="27"/>
        <v>9.18</v>
      </c>
      <c r="M107" s="123">
        <f t="shared" si="27"/>
        <v>9.18</v>
      </c>
      <c r="N107" s="123">
        <f t="shared" si="27"/>
        <v>9.18</v>
      </c>
      <c r="O107" s="123">
        <f t="shared" si="27"/>
        <v>9.18</v>
      </c>
      <c r="P107" s="123">
        <f t="shared" si="27"/>
        <v>9.18</v>
      </c>
      <c r="Q107" s="123">
        <f t="shared" si="27"/>
        <v>9.18</v>
      </c>
      <c r="R107" s="123">
        <f t="shared" si="27"/>
        <v>9.18</v>
      </c>
      <c r="S107" s="123">
        <f t="shared" si="27"/>
        <v>9.18</v>
      </c>
      <c r="T107" s="123">
        <f t="shared" si="28"/>
        <v>9.18</v>
      </c>
      <c r="U107" s="123">
        <f t="shared" si="28"/>
        <v>9.18</v>
      </c>
      <c r="V107" s="123">
        <f t="shared" si="28"/>
        <v>9.18</v>
      </c>
      <c r="W107" s="123">
        <f t="shared" si="28"/>
        <v>9.18</v>
      </c>
      <c r="X107" s="123">
        <f t="shared" si="28"/>
        <v>9.18</v>
      </c>
      <c r="Y107" s="123">
        <f t="shared" si="28"/>
        <v>9.18</v>
      </c>
      <c r="Z107" s="123">
        <f t="shared" si="28"/>
        <v>9.18</v>
      </c>
      <c r="AA107" s="123">
        <f t="shared" si="28"/>
        <v>9.18</v>
      </c>
      <c r="AB107" s="123">
        <f t="shared" si="28"/>
        <v>9.18</v>
      </c>
      <c r="AC107" s="123">
        <f t="shared" si="28"/>
        <v>9.18</v>
      </c>
      <c r="AD107" s="123">
        <f t="shared" si="28"/>
        <v>9.18</v>
      </c>
      <c r="AE107" s="123">
        <f t="shared" si="28"/>
        <v>9.18</v>
      </c>
      <c r="AF107" s="123">
        <f t="shared" si="28"/>
        <v>9.18</v>
      </c>
      <c r="AG107" s="126">
        <v>9.51</v>
      </c>
      <c r="AH107" s="55"/>
      <c r="AI107" s="56"/>
      <c r="AK107" s="57"/>
    </row>
    <row r="108" spans="1:37" x14ac:dyDescent="0.25">
      <c r="A108" s="111" t="s">
        <v>111</v>
      </c>
      <c r="B108" s="123">
        <f t="shared" si="26"/>
        <v>7</v>
      </c>
      <c r="C108" s="124">
        <v>7</v>
      </c>
      <c r="D108" s="123">
        <f t="shared" si="27"/>
        <v>7</v>
      </c>
      <c r="E108" s="123">
        <f t="shared" si="27"/>
        <v>7</v>
      </c>
      <c r="F108" s="123">
        <f t="shared" si="27"/>
        <v>7</v>
      </c>
      <c r="G108" s="123">
        <f t="shared" si="27"/>
        <v>7</v>
      </c>
      <c r="H108" s="123">
        <f t="shared" si="27"/>
        <v>7</v>
      </c>
      <c r="I108" s="123">
        <f t="shared" si="27"/>
        <v>7</v>
      </c>
      <c r="J108" s="123">
        <f t="shared" si="27"/>
        <v>7</v>
      </c>
      <c r="K108" s="123">
        <f t="shared" si="27"/>
        <v>7</v>
      </c>
      <c r="L108" s="123">
        <f t="shared" si="27"/>
        <v>7</v>
      </c>
      <c r="M108" s="123">
        <f t="shared" si="27"/>
        <v>7</v>
      </c>
      <c r="N108" s="123">
        <f t="shared" si="27"/>
        <v>7</v>
      </c>
      <c r="O108" s="123">
        <f t="shared" si="27"/>
        <v>7</v>
      </c>
      <c r="P108" s="123">
        <f t="shared" si="27"/>
        <v>7</v>
      </c>
      <c r="Q108" s="123">
        <f t="shared" si="27"/>
        <v>7</v>
      </c>
      <c r="R108" s="123">
        <f t="shared" si="27"/>
        <v>7</v>
      </c>
      <c r="S108" s="123">
        <f t="shared" si="27"/>
        <v>7</v>
      </c>
      <c r="T108" s="123">
        <f t="shared" si="28"/>
        <v>7</v>
      </c>
      <c r="U108" s="123">
        <f t="shared" si="28"/>
        <v>7</v>
      </c>
      <c r="V108" s="123">
        <f t="shared" si="28"/>
        <v>7</v>
      </c>
      <c r="W108" s="123">
        <f t="shared" si="28"/>
        <v>7</v>
      </c>
      <c r="X108" s="123">
        <f t="shared" si="28"/>
        <v>7</v>
      </c>
      <c r="Y108" s="123">
        <f t="shared" si="28"/>
        <v>7</v>
      </c>
      <c r="Z108" s="123">
        <f t="shared" si="28"/>
        <v>7</v>
      </c>
      <c r="AA108" s="123">
        <f t="shared" si="28"/>
        <v>7</v>
      </c>
      <c r="AB108" s="123">
        <f t="shared" si="28"/>
        <v>7</v>
      </c>
      <c r="AC108" s="123">
        <f t="shared" si="28"/>
        <v>7</v>
      </c>
      <c r="AD108" s="123">
        <f t="shared" si="28"/>
        <v>7</v>
      </c>
      <c r="AE108" s="123">
        <f t="shared" si="28"/>
        <v>7</v>
      </c>
      <c r="AF108" s="123">
        <f t="shared" si="28"/>
        <v>7</v>
      </c>
      <c r="AG108" s="126">
        <v>9.4</v>
      </c>
      <c r="AH108" s="55"/>
      <c r="AI108" s="56"/>
      <c r="AK108" s="57"/>
    </row>
    <row r="109" spans="1:37" x14ac:dyDescent="0.25">
      <c r="A109" s="111" t="s">
        <v>112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5"/>
      <c r="AI109" s="56"/>
      <c r="AK109" s="57"/>
    </row>
    <row r="110" spans="1:37" x14ac:dyDescent="0.25">
      <c r="A110" s="111" t="s">
        <v>113</v>
      </c>
      <c r="B110" s="123">
        <f>AF110</f>
        <v>2.25</v>
      </c>
      <c r="C110" s="124">
        <v>2.25</v>
      </c>
      <c r="D110" s="123">
        <f t="shared" ref="D110:S111" si="29">C110</f>
        <v>2.25</v>
      </c>
      <c r="E110" s="123">
        <f t="shared" si="29"/>
        <v>2.25</v>
      </c>
      <c r="F110" s="123">
        <f t="shared" si="29"/>
        <v>2.25</v>
      </c>
      <c r="G110" s="123">
        <f t="shared" si="29"/>
        <v>2.25</v>
      </c>
      <c r="H110" s="123">
        <f t="shared" si="29"/>
        <v>2.25</v>
      </c>
      <c r="I110" s="123">
        <f t="shared" si="29"/>
        <v>2.25</v>
      </c>
      <c r="J110" s="123">
        <f t="shared" si="29"/>
        <v>2.25</v>
      </c>
      <c r="K110" s="123">
        <f t="shared" si="29"/>
        <v>2.25</v>
      </c>
      <c r="L110" s="123">
        <f t="shared" si="29"/>
        <v>2.25</v>
      </c>
      <c r="M110" s="123">
        <f t="shared" si="29"/>
        <v>2.25</v>
      </c>
      <c r="N110" s="123">
        <f t="shared" si="29"/>
        <v>2.25</v>
      </c>
      <c r="O110" s="123">
        <f t="shared" si="29"/>
        <v>2.25</v>
      </c>
      <c r="P110" s="123">
        <f t="shared" si="29"/>
        <v>2.25</v>
      </c>
      <c r="Q110" s="123">
        <f t="shared" si="29"/>
        <v>2.25</v>
      </c>
      <c r="R110" s="123">
        <f t="shared" si="29"/>
        <v>2.25</v>
      </c>
      <c r="S110" s="123">
        <f t="shared" si="29"/>
        <v>2.25</v>
      </c>
      <c r="T110" s="123">
        <f t="shared" ref="T110:AF111" si="30">S110</f>
        <v>2.25</v>
      </c>
      <c r="U110" s="123">
        <f t="shared" si="30"/>
        <v>2.25</v>
      </c>
      <c r="V110" s="123">
        <f t="shared" si="30"/>
        <v>2.25</v>
      </c>
      <c r="W110" s="123">
        <f t="shared" si="30"/>
        <v>2.25</v>
      </c>
      <c r="X110" s="123">
        <f t="shared" si="30"/>
        <v>2.25</v>
      </c>
      <c r="Y110" s="123">
        <f t="shared" si="30"/>
        <v>2.25</v>
      </c>
      <c r="Z110" s="123">
        <f t="shared" si="30"/>
        <v>2.25</v>
      </c>
      <c r="AA110" s="123">
        <f t="shared" si="30"/>
        <v>2.25</v>
      </c>
      <c r="AB110" s="123">
        <f t="shared" si="30"/>
        <v>2.25</v>
      </c>
      <c r="AC110" s="123">
        <f t="shared" si="30"/>
        <v>2.25</v>
      </c>
      <c r="AD110" s="123">
        <f t="shared" si="30"/>
        <v>2.25</v>
      </c>
      <c r="AE110" s="123">
        <f t="shared" si="30"/>
        <v>2.25</v>
      </c>
      <c r="AF110" s="123">
        <f t="shared" si="30"/>
        <v>2.25</v>
      </c>
      <c r="AG110" s="126">
        <v>8.5</v>
      </c>
      <c r="AH110" s="55"/>
      <c r="AI110" s="56"/>
      <c r="AK110" s="57"/>
    </row>
    <row r="111" spans="1:37" x14ac:dyDescent="0.25">
      <c r="A111" s="111" t="s">
        <v>114</v>
      </c>
      <c r="B111" s="123">
        <f>AF111</f>
        <v>1.64</v>
      </c>
      <c r="C111" s="124">
        <v>1.64</v>
      </c>
      <c r="D111" s="123">
        <f t="shared" si="29"/>
        <v>1.64</v>
      </c>
      <c r="E111" s="123">
        <f t="shared" si="29"/>
        <v>1.64</v>
      </c>
      <c r="F111" s="123">
        <f t="shared" si="29"/>
        <v>1.64</v>
      </c>
      <c r="G111" s="123">
        <f t="shared" si="29"/>
        <v>1.64</v>
      </c>
      <c r="H111" s="123">
        <f t="shared" si="29"/>
        <v>1.64</v>
      </c>
      <c r="I111" s="123">
        <f t="shared" si="29"/>
        <v>1.64</v>
      </c>
      <c r="J111" s="123">
        <f t="shared" si="29"/>
        <v>1.64</v>
      </c>
      <c r="K111" s="123">
        <f t="shared" si="29"/>
        <v>1.64</v>
      </c>
      <c r="L111" s="123">
        <f t="shared" si="29"/>
        <v>1.64</v>
      </c>
      <c r="M111" s="123">
        <f t="shared" si="29"/>
        <v>1.64</v>
      </c>
      <c r="N111" s="123">
        <f t="shared" si="29"/>
        <v>1.64</v>
      </c>
      <c r="O111" s="123">
        <f t="shared" si="29"/>
        <v>1.64</v>
      </c>
      <c r="P111" s="123">
        <f t="shared" si="29"/>
        <v>1.64</v>
      </c>
      <c r="Q111" s="123">
        <f t="shared" si="29"/>
        <v>1.64</v>
      </c>
      <c r="R111" s="123">
        <f t="shared" si="29"/>
        <v>1.64</v>
      </c>
      <c r="S111" s="123">
        <f t="shared" si="29"/>
        <v>1.64</v>
      </c>
      <c r="T111" s="123">
        <f t="shared" si="30"/>
        <v>1.64</v>
      </c>
      <c r="U111" s="123">
        <f t="shared" si="30"/>
        <v>1.64</v>
      </c>
      <c r="V111" s="123">
        <f t="shared" si="30"/>
        <v>1.64</v>
      </c>
      <c r="W111" s="123">
        <f t="shared" si="30"/>
        <v>1.64</v>
      </c>
      <c r="X111" s="123">
        <f t="shared" si="30"/>
        <v>1.64</v>
      </c>
      <c r="Y111" s="123">
        <f t="shared" si="30"/>
        <v>1.64</v>
      </c>
      <c r="Z111" s="123">
        <f t="shared" si="30"/>
        <v>1.64</v>
      </c>
      <c r="AA111" s="123">
        <f t="shared" si="30"/>
        <v>1.64</v>
      </c>
      <c r="AB111" s="123">
        <f t="shared" si="30"/>
        <v>1.64</v>
      </c>
      <c r="AC111" s="123">
        <f t="shared" si="30"/>
        <v>1.64</v>
      </c>
      <c r="AD111" s="123">
        <f t="shared" si="30"/>
        <v>1.64</v>
      </c>
      <c r="AE111" s="123">
        <f t="shared" si="30"/>
        <v>1.64</v>
      </c>
      <c r="AF111" s="123">
        <f t="shared" si="30"/>
        <v>1.64</v>
      </c>
      <c r="AG111" s="126">
        <v>8.5</v>
      </c>
      <c r="AH111" s="55"/>
      <c r="AI111" s="56"/>
      <c r="AK111" s="57"/>
    </row>
    <row r="112" spans="1:37" x14ac:dyDescent="0.25">
      <c r="A112" s="111" t="s">
        <v>115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5"/>
      <c r="AI112" s="56"/>
      <c r="AK112" s="57"/>
    </row>
    <row r="113" spans="1:37" ht="13.5" customHeight="1" x14ac:dyDescent="0.25">
      <c r="A113" s="111" t="s">
        <v>116</v>
      </c>
      <c r="B113" s="123">
        <f t="shared" ref="B113:B130" si="31">AF113</f>
        <v>1.62</v>
      </c>
      <c r="C113" s="124">
        <v>1.62</v>
      </c>
      <c r="D113" s="123">
        <f t="shared" ref="D113:S120" si="32">C113</f>
        <v>1.62</v>
      </c>
      <c r="E113" s="123">
        <f t="shared" si="32"/>
        <v>1.62</v>
      </c>
      <c r="F113" s="123">
        <f t="shared" si="32"/>
        <v>1.62</v>
      </c>
      <c r="G113" s="123">
        <f t="shared" si="32"/>
        <v>1.62</v>
      </c>
      <c r="H113" s="123">
        <f t="shared" si="32"/>
        <v>1.62</v>
      </c>
      <c r="I113" s="123">
        <f t="shared" si="32"/>
        <v>1.62</v>
      </c>
      <c r="J113" s="123">
        <f t="shared" si="32"/>
        <v>1.62</v>
      </c>
      <c r="K113" s="123">
        <f t="shared" si="32"/>
        <v>1.62</v>
      </c>
      <c r="L113" s="123">
        <f t="shared" si="32"/>
        <v>1.62</v>
      </c>
      <c r="M113" s="123">
        <f t="shared" si="32"/>
        <v>1.62</v>
      </c>
      <c r="N113" s="123">
        <f t="shared" si="32"/>
        <v>1.62</v>
      </c>
      <c r="O113" s="123">
        <f t="shared" si="32"/>
        <v>1.62</v>
      </c>
      <c r="P113" s="123">
        <f t="shared" si="32"/>
        <v>1.62</v>
      </c>
      <c r="Q113" s="123">
        <f t="shared" si="32"/>
        <v>1.62</v>
      </c>
      <c r="R113" s="123">
        <f t="shared" si="32"/>
        <v>1.62</v>
      </c>
      <c r="S113" s="123">
        <f t="shared" si="32"/>
        <v>1.62</v>
      </c>
      <c r="T113" s="123">
        <f t="shared" ref="T113:AF128" si="33">S113</f>
        <v>1.62</v>
      </c>
      <c r="U113" s="123">
        <f t="shared" si="33"/>
        <v>1.62</v>
      </c>
      <c r="V113" s="123">
        <f t="shared" si="33"/>
        <v>1.62</v>
      </c>
      <c r="W113" s="123">
        <f t="shared" si="33"/>
        <v>1.62</v>
      </c>
      <c r="X113" s="123">
        <f t="shared" si="33"/>
        <v>1.62</v>
      </c>
      <c r="Y113" s="123">
        <f t="shared" si="33"/>
        <v>1.62</v>
      </c>
      <c r="Z113" s="123">
        <f t="shared" si="33"/>
        <v>1.62</v>
      </c>
      <c r="AA113" s="123">
        <f t="shared" si="33"/>
        <v>1.62</v>
      </c>
      <c r="AB113" s="123">
        <f t="shared" si="33"/>
        <v>1.62</v>
      </c>
      <c r="AC113" s="123">
        <f t="shared" si="33"/>
        <v>1.62</v>
      </c>
      <c r="AD113" s="123">
        <f t="shared" si="33"/>
        <v>1.62</v>
      </c>
      <c r="AE113" s="123">
        <f t="shared" si="33"/>
        <v>1.62</v>
      </c>
      <c r="AF113" s="123">
        <f t="shared" si="33"/>
        <v>1.62</v>
      </c>
      <c r="AG113" s="126">
        <v>8</v>
      </c>
      <c r="AH113" s="55"/>
      <c r="AI113" s="56"/>
      <c r="AK113" s="57"/>
    </row>
    <row r="114" spans="1:37" x14ac:dyDescent="0.25">
      <c r="A114" s="111" t="s">
        <v>117</v>
      </c>
      <c r="B114" s="123">
        <f t="shared" si="31"/>
        <v>8.36</v>
      </c>
      <c r="C114" s="124">
        <v>8.36</v>
      </c>
      <c r="D114" s="123">
        <f t="shared" si="32"/>
        <v>8.36</v>
      </c>
      <c r="E114" s="123">
        <f t="shared" si="32"/>
        <v>8.36</v>
      </c>
      <c r="F114" s="123">
        <f t="shared" si="32"/>
        <v>8.36</v>
      </c>
      <c r="G114" s="123">
        <f t="shared" si="32"/>
        <v>8.36</v>
      </c>
      <c r="H114" s="123">
        <f t="shared" si="32"/>
        <v>8.36</v>
      </c>
      <c r="I114" s="123">
        <f t="shared" si="32"/>
        <v>8.36</v>
      </c>
      <c r="J114" s="123">
        <f t="shared" si="32"/>
        <v>8.36</v>
      </c>
      <c r="K114" s="123">
        <f t="shared" si="32"/>
        <v>8.36</v>
      </c>
      <c r="L114" s="123">
        <f t="shared" si="32"/>
        <v>8.36</v>
      </c>
      <c r="M114" s="123">
        <f t="shared" si="32"/>
        <v>8.36</v>
      </c>
      <c r="N114" s="123">
        <f t="shared" si="32"/>
        <v>8.36</v>
      </c>
      <c r="O114" s="123">
        <f t="shared" si="32"/>
        <v>8.36</v>
      </c>
      <c r="P114" s="123">
        <f t="shared" si="32"/>
        <v>8.36</v>
      </c>
      <c r="Q114" s="123">
        <f t="shared" si="32"/>
        <v>8.36</v>
      </c>
      <c r="R114" s="123">
        <f t="shared" si="32"/>
        <v>8.36</v>
      </c>
      <c r="S114" s="123">
        <f t="shared" si="32"/>
        <v>8.36</v>
      </c>
      <c r="T114" s="123">
        <f t="shared" si="33"/>
        <v>8.36</v>
      </c>
      <c r="U114" s="123">
        <f t="shared" si="33"/>
        <v>8.36</v>
      </c>
      <c r="V114" s="123">
        <f t="shared" si="33"/>
        <v>8.36</v>
      </c>
      <c r="W114" s="123">
        <f t="shared" si="33"/>
        <v>8.36</v>
      </c>
      <c r="X114" s="123">
        <f t="shared" si="33"/>
        <v>8.36</v>
      </c>
      <c r="Y114" s="123">
        <f t="shared" si="33"/>
        <v>8.36</v>
      </c>
      <c r="Z114" s="123">
        <f t="shared" si="33"/>
        <v>8.36</v>
      </c>
      <c r="AA114" s="123">
        <f t="shared" si="33"/>
        <v>8.36</v>
      </c>
      <c r="AB114" s="123">
        <f t="shared" si="33"/>
        <v>8.36</v>
      </c>
      <c r="AC114" s="123">
        <f t="shared" si="33"/>
        <v>8.36</v>
      </c>
      <c r="AD114" s="123">
        <f t="shared" si="33"/>
        <v>8.36</v>
      </c>
      <c r="AE114" s="123">
        <f t="shared" si="33"/>
        <v>8.36</v>
      </c>
      <c r="AF114" s="123">
        <f t="shared" si="33"/>
        <v>8.36</v>
      </c>
      <c r="AG114" s="126">
        <v>8</v>
      </c>
      <c r="AH114" s="55"/>
      <c r="AI114" s="56"/>
      <c r="AK114" s="57"/>
    </row>
    <row r="115" spans="1:37" x14ac:dyDescent="0.25">
      <c r="A115" s="111" t="s">
        <v>118</v>
      </c>
      <c r="B115" s="123">
        <f t="shared" si="31"/>
        <v>5.4</v>
      </c>
      <c r="C115" s="124">
        <v>8</v>
      </c>
      <c r="D115" s="123">
        <f t="shared" si="32"/>
        <v>8</v>
      </c>
      <c r="E115" s="123">
        <f t="shared" si="32"/>
        <v>8</v>
      </c>
      <c r="F115" s="123">
        <f t="shared" si="32"/>
        <v>8</v>
      </c>
      <c r="G115" s="123">
        <f t="shared" si="32"/>
        <v>8</v>
      </c>
      <c r="H115" s="123">
        <f t="shared" si="32"/>
        <v>8</v>
      </c>
      <c r="I115" s="123">
        <f t="shared" si="32"/>
        <v>8</v>
      </c>
      <c r="J115" s="123">
        <v>5.4</v>
      </c>
      <c r="K115" s="123">
        <f t="shared" si="32"/>
        <v>5.4</v>
      </c>
      <c r="L115" s="123">
        <f t="shared" si="32"/>
        <v>5.4</v>
      </c>
      <c r="M115" s="123">
        <f t="shared" si="32"/>
        <v>5.4</v>
      </c>
      <c r="N115" s="123">
        <f t="shared" si="32"/>
        <v>5.4</v>
      </c>
      <c r="O115" s="123">
        <f t="shared" si="32"/>
        <v>5.4</v>
      </c>
      <c r="P115" s="123">
        <f t="shared" si="32"/>
        <v>5.4</v>
      </c>
      <c r="Q115" s="123">
        <f t="shared" si="32"/>
        <v>5.4</v>
      </c>
      <c r="R115" s="123">
        <f t="shared" si="32"/>
        <v>5.4</v>
      </c>
      <c r="S115" s="123">
        <f t="shared" si="32"/>
        <v>5.4</v>
      </c>
      <c r="T115" s="123">
        <f t="shared" si="33"/>
        <v>5.4</v>
      </c>
      <c r="U115" s="123">
        <f t="shared" si="33"/>
        <v>5.4</v>
      </c>
      <c r="V115" s="123">
        <f t="shared" si="33"/>
        <v>5.4</v>
      </c>
      <c r="W115" s="123">
        <f t="shared" si="33"/>
        <v>5.4</v>
      </c>
      <c r="X115" s="123">
        <f t="shared" si="33"/>
        <v>5.4</v>
      </c>
      <c r="Y115" s="123">
        <f t="shared" si="33"/>
        <v>5.4</v>
      </c>
      <c r="Z115" s="123">
        <f t="shared" si="33"/>
        <v>5.4</v>
      </c>
      <c r="AA115" s="123">
        <f t="shared" si="33"/>
        <v>5.4</v>
      </c>
      <c r="AB115" s="123">
        <f t="shared" si="33"/>
        <v>5.4</v>
      </c>
      <c r="AC115" s="123">
        <f t="shared" si="33"/>
        <v>5.4</v>
      </c>
      <c r="AD115" s="123">
        <f t="shared" si="33"/>
        <v>5.4</v>
      </c>
      <c r="AE115" s="123">
        <f t="shared" si="33"/>
        <v>5.4</v>
      </c>
      <c r="AF115" s="123">
        <f t="shared" si="33"/>
        <v>5.4</v>
      </c>
      <c r="AG115" s="126">
        <v>8</v>
      </c>
      <c r="AH115" s="55"/>
      <c r="AI115" s="56"/>
      <c r="AK115" s="57"/>
    </row>
    <row r="116" spans="1:37" x14ac:dyDescent="0.25">
      <c r="A116" s="111" t="s">
        <v>119</v>
      </c>
      <c r="B116" s="123">
        <f t="shared" si="31"/>
        <v>6.57</v>
      </c>
      <c r="C116" s="124">
        <v>6.57</v>
      </c>
      <c r="D116" s="123">
        <f t="shared" si="32"/>
        <v>6.57</v>
      </c>
      <c r="E116" s="123">
        <f t="shared" si="32"/>
        <v>6.57</v>
      </c>
      <c r="F116" s="123">
        <f t="shared" si="32"/>
        <v>6.57</v>
      </c>
      <c r="G116" s="123">
        <f t="shared" si="32"/>
        <v>6.57</v>
      </c>
      <c r="H116" s="123">
        <f t="shared" si="32"/>
        <v>6.57</v>
      </c>
      <c r="I116" s="123">
        <f t="shared" si="32"/>
        <v>6.57</v>
      </c>
      <c r="J116" s="123">
        <f t="shared" si="32"/>
        <v>6.57</v>
      </c>
      <c r="K116" s="123">
        <f t="shared" si="32"/>
        <v>6.57</v>
      </c>
      <c r="L116" s="123">
        <f t="shared" si="32"/>
        <v>6.57</v>
      </c>
      <c r="M116" s="123">
        <f t="shared" si="32"/>
        <v>6.57</v>
      </c>
      <c r="N116" s="123">
        <f t="shared" si="32"/>
        <v>6.57</v>
      </c>
      <c r="O116" s="123">
        <f t="shared" si="32"/>
        <v>6.57</v>
      </c>
      <c r="P116" s="123">
        <f t="shared" si="32"/>
        <v>6.57</v>
      </c>
      <c r="Q116" s="123">
        <f t="shared" si="32"/>
        <v>6.57</v>
      </c>
      <c r="R116" s="123">
        <f t="shared" si="32"/>
        <v>6.57</v>
      </c>
      <c r="S116" s="123">
        <f t="shared" si="32"/>
        <v>6.57</v>
      </c>
      <c r="T116" s="123">
        <f t="shared" si="33"/>
        <v>6.57</v>
      </c>
      <c r="U116" s="123">
        <f t="shared" si="33"/>
        <v>6.57</v>
      </c>
      <c r="V116" s="123">
        <f t="shared" si="33"/>
        <v>6.57</v>
      </c>
      <c r="W116" s="123">
        <f t="shared" si="33"/>
        <v>6.57</v>
      </c>
      <c r="X116" s="123">
        <f t="shared" si="33"/>
        <v>6.57</v>
      </c>
      <c r="Y116" s="123">
        <f t="shared" si="33"/>
        <v>6.57</v>
      </c>
      <c r="Z116" s="123">
        <f t="shared" si="33"/>
        <v>6.57</v>
      </c>
      <c r="AA116" s="123">
        <f t="shared" si="33"/>
        <v>6.57</v>
      </c>
      <c r="AB116" s="123">
        <f t="shared" si="33"/>
        <v>6.57</v>
      </c>
      <c r="AC116" s="123">
        <f t="shared" si="33"/>
        <v>6.57</v>
      </c>
      <c r="AD116" s="123">
        <f t="shared" si="33"/>
        <v>6.57</v>
      </c>
      <c r="AE116" s="123">
        <f t="shared" si="33"/>
        <v>6.57</v>
      </c>
      <c r="AF116" s="123">
        <f t="shared" si="33"/>
        <v>6.57</v>
      </c>
      <c r="AG116" s="126">
        <v>7.8</v>
      </c>
      <c r="AH116" s="55"/>
      <c r="AI116" s="56"/>
      <c r="AK116" s="57"/>
    </row>
    <row r="117" spans="1:37" x14ac:dyDescent="0.25">
      <c r="A117" s="111" t="s">
        <v>120</v>
      </c>
      <c r="B117" s="123">
        <f t="shared" si="31"/>
        <v>3.43</v>
      </c>
      <c r="C117" s="124">
        <v>3.43</v>
      </c>
      <c r="D117" s="123">
        <f t="shared" si="32"/>
        <v>3.43</v>
      </c>
      <c r="E117" s="123">
        <f t="shared" si="32"/>
        <v>3.43</v>
      </c>
      <c r="F117" s="123">
        <f t="shared" si="32"/>
        <v>3.43</v>
      </c>
      <c r="G117" s="123">
        <f t="shared" si="32"/>
        <v>3.43</v>
      </c>
      <c r="H117" s="123">
        <f t="shared" si="32"/>
        <v>3.43</v>
      </c>
      <c r="I117" s="123">
        <f t="shared" si="32"/>
        <v>3.43</v>
      </c>
      <c r="J117" s="123">
        <f t="shared" si="32"/>
        <v>3.43</v>
      </c>
      <c r="K117" s="123">
        <f t="shared" si="32"/>
        <v>3.43</v>
      </c>
      <c r="L117" s="123">
        <f t="shared" si="32"/>
        <v>3.43</v>
      </c>
      <c r="M117" s="123">
        <f t="shared" si="32"/>
        <v>3.43</v>
      </c>
      <c r="N117" s="123">
        <f t="shared" si="32"/>
        <v>3.43</v>
      </c>
      <c r="O117" s="123">
        <f t="shared" si="32"/>
        <v>3.43</v>
      </c>
      <c r="P117" s="123">
        <f t="shared" si="32"/>
        <v>3.43</v>
      </c>
      <c r="Q117" s="123">
        <f t="shared" si="32"/>
        <v>3.43</v>
      </c>
      <c r="R117" s="123">
        <f t="shared" si="32"/>
        <v>3.43</v>
      </c>
      <c r="S117" s="123">
        <f t="shared" si="32"/>
        <v>3.43</v>
      </c>
      <c r="T117" s="123">
        <f t="shared" si="33"/>
        <v>3.43</v>
      </c>
      <c r="U117" s="123">
        <f t="shared" si="33"/>
        <v>3.43</v>
      </c>
      <c r="V117" s="123">
        <f t="shared" si="33"/>
        <v>3.43</v>
      </c>
      <c r="W117" s="123">
        <f t="shared" si="33"/>
        <v>3.43</v>
      </c>
      <c r="X117" s="123">
        <f t="shared" si="33"/>
        <v>3.43</v>
      </c>
      <c r="Y117" s="123">
        <f t="shared" si="33"/>
        <v>3.43</v>
      </c>
      <c r="Z117" s="123">
        <f t="shared" si="33"/>
        <v>3.43</v>
      </c>
      <c r="AA117" s="123">
        <f t="shared" si="33"/>
        <v>3.43</v>
      </c>
      <c r="AB117" s="123">
        <f t="shared" si="33"/>
        <v>3.43</v>
      </c>
      <c r="AC117" s="123">
        <f t="shared" si="33"/>
        <v>3.43</v>
      </c>
      <c r="AD117" s="123">
        <f t="shared" si="33"/>
        <v>3.43</v>
      </c>
      <c r="AE117" s="123">
        <f t="shared" si="33"/>
        <v>3.43</v>
      </c>
      <c r="AF117" s="123">
        <f t="shared" si="33"/>
        <v>3.43</v>
      </c>
      <c r="AG117" s="126">
        <v>7.6</v>
      </c>
      <c r="AH117" s="55"/>
      <c r="AI117" s="56"/>
      <c r="AK117" s="57"/>
    </row>
    <row r="118" spans="1:37" x14ac:dyDescent="0.25">
      <c r="A118" s="111" t="s">
        <v>121</v>
      </c>
      <c r="B118" s="123">
        <f t="shared" si="31"/>
        <v>2.96</v>
      </c>
      <c r="C118" s="124">
        <v>2.96</v>
      </c>
      <c r="D118" s="123">
        <f t="shared" si="32"/>
        <v>2.96</v>
      </c>
      <c r="E118" s="123">
        <f t="shared" si="32"/>
        <v>2.96</v>
      </c>
      <c r="F118" s="123">
        <f t="shared" si="32"/>
        <v>2.96</v>
      </c>
      <c r="G118" s="123">
        <f t="shared" si="32"/>
        <v>2.96</v>
      </c>
      <c r="H118" s="123">
        <f t="shared" si="32"/>
        <v>2.96</v>
      </c>
      <c r="I118" s="123">
        <f t="shared" si="32"/>
        <v>2.96</v>
      </c>
      <c r="J118" s="123">
        <f t="shared" si="32"/>
        <v>2.96</v>
      </c>
      <c r="K118" s="123">
        <f t="shared" si="32"/>
        <v>2.96</v>
      </c>
      <c r="L118" s="123">
        <f t="shared" si="32"/>
        <v>2.96</v>
      </c>
      <c r="M118" s="123">
        <f t="shared" si="32"/>
        <v>2.96</v>
      </c>
      <c r="N118" s="123">
        <f t="shared" si="32"/>
        <v>2.96</v>
      </c>
      <c r="O118" s="123">
        <f t="shared" si="32"/>
        <v>2.96</v>
      </c>
      <c r="P118" s="123">
        <f t="shared" si="32"/>
        <v>2.96</v>
      </c>
      <c r="Q118" s="123">
        <f t="shared" si="32"/>
        <v>2.96</v>
      </c>
      <c r="R118" s="123">
        <f t="shared" si="32"/>
        <v>2.96</v>
      </c>
      <c r="S118" s="123">
        <f t="shared" si="32"/>
        <v>2.96</v>
      </c>
      <c r="T118" s="123">
        <f t="shared" si="33"/>
        <v>2.96</v>
      </c>
      <c r="U118" s="123">
        <f t="shared" si="33"/>
        <v>2.96</v>
      </c>
      <c r="V118" s="123">
        <f t="shared" si="33"/>
        <v>2.96</v>
      </c>
      <c r="W118" s="123">
        <f t="shared" si="33"/>
        <v>2.96</v>
      </c>
      <c r="X118" s="123">
        <f t="shared" si="33"/>
        <v>2.96</v>
      </c>
      <c r="Y118" s="123">
        <f t="shared" si="33"/>
        <v>2.96</v>
      </c>
      <c r="Z118" s="123">
        <f t="shared" si="33"/>
        <v>2.96</v>
      </c>
      <c r="AA118" s="123">
        <f t="shared" si="33"/>
        <v>2.96</v>
      </c>
      <c r="AB118" s="123">
        <f t="shared" si="33"/>
        <v>2.96</v>
      </c>
      <c r="AC118" s="123">
        <f t="shared" si="33"/>
        <v>2.96</v>
      </c>
      <c r="AD118" s="123">
        <f t="shared" si="33"/>
        <v>2.96</v>
      </c>
      <c r="AE118" s="123">
        <f t="shared" si="33"/>
        <v>2.96</v>
      </c>
      <c r="AF118" s="123">
        <f t="shared" si="33"/>
        <v>2.96</v>
      </c>
      <c r="AG118" s="126">
        <v>7.5</v>
      </c>
      <c r="AH118" s="55"/>
      <c r="AI118" s="56"/>
      <c r="AK118" s="57"/>
    </row>
    <row r="119" spans="1:37" x14ac:dyDescent="0.25">
      <c r="A119" s="111" t="s">
        <v>122</v>
      </c>
      <c r="B119" s="123">
        <f t="shared" si="31"/>
        <v>8</v>
      </c>
      <c r="C119" s="124">
        <v>8</v>
      </c>
      <c r="D119" s="123">
        <f t="shared" si="32"/>
        <v>8</v>
      </c>
      <c r="E119" s="123">
        <f t="shared" si="32"/>
        <v>8</v>
      </c>
      <c r="F119" s="123">
        <f t="shared" si="32"/>
        <v>8</v>
      </c>
      <c r="G119" s="123">
        <f t="shared" si="32"/>
        <v>8</v>
      </c>
      <c r="H119" s="123">
        <f t="shared" si="32"/>
        <v>8</v>
      </c>
      <c r="I119" s="123">
        <f t="shared" si="32"/>
        <v>8</v>
      </c>
      <c r="J119" s="123">
        <f t="shared" si="32"/>
        <v>8</v>
      </c>
      <c r="K119" s="123">
        <f t="shared" si="32"/>
        <v>8</v>
      </c>
      <c r="L119" s="123">
        <f t="shared" si="32"/>
        <v>8</v>
      </c>
      <c r="M119" s="123">
        <f t="shared" si="32"/>
        <v>8</v>
      </c>
      <c r="N119" s="123">
        <f t="shared" si="32"/>
        <v>8</v>
      </c>
      <c r="O119" s="123">
        <f t="shared" si="32"/>
        <v>8</v>
      </c>
      <c r="P119" s="123">
        <f t="shared" si="32"/>
        <v>8</v>
      </c>
      <c r="Q119" s="123">
        <f t="shared" si="32"/>
        <v>8</v>
      </c>
      <c r="R119" s="123">
        <f t="shared" si="32"/>
        <v>8</v>
      </c>
      <c r="S119" s="123">
        <f t="shared" si="32"/>
        <v>8</v>
      </c>
      <c r="T119" s="123">
        <f t="shared" si="33"/>
        <v>8</v>
      </c>
      <c r="U119" s="123">
        <f t="shared" si="33"/>
        <v>8</v>
      </c>
      <c r="V119" s="123">
        <f t="shared" si="33"/>
        <v>8</v>
      </c>
      <c r="W119" s="123">
        <f t="shared" si="33"/>
        <v>8</v>
      </c>
      <c r="X119" s="123">
        <f t="shared" si="33"/>
        <v>8</v>
      </c>
      <c r="Y119" s="123">
        <f t="shared" si="33"/>
        <v>8</v>
      </c>
      <c r="Z119" s="123">
        <f t="shared" si="33"/>
        <v>8</v>
      </c>
      <c r="AA119" s="123">
        <f t="shared" si="33"/>
        <v>8</v>
      </c>
      <c r="AB119" s="123">
        <f t="shared" si="33"/>
        <v>8</v>
      </c>
      <c r="AC119" s="123">
        <f t="shared" si="33"/>
        <v>8</v>
      </c>
      <c r="AD119" s="123">
        <f t="shared" si="33"/>
        <v>8</v>
      </c>
      <c r="AE119" s="123">
        <f t="shared" si="33"/>
        <v>8</v>
      </c>
      <c r="AF119" s="123">
        <f t="shared" si="33"/>
        <v>8</v>
      </c>
      <c r="AG119" s="126">
        <v>7.5</v>
      </c>
      <c r="AH119" s="55"/>
      <c r="AI119" s="56"/>
      <c r="AK119" s="57"/>
    </row>
    <row r="120" spans="1:37" x14ac:dyDescent="0.25">
      <c r="A120" s="111" t="s">
        <v>123</v>
      </c>
      <c r="B120" s="123">
        <f t="shared" si="31"/>
        <v>7</v>
      </c>
      <c r="C120" s="124">
        <v>7</v>
      </c>
      <c r="D120" s="123">
        <f>C120</f>
        <v>7</v>
      </c>
      <c r="E120" s="123">
        <f t="shared" si="32"/>
        <v>7</v>
      </c>
      <c r="F120" s="123">
        <f t="shared" si="32"/>
        <v>7</v>
      </c>
      <c r="G120" s="123">
        <f t="shared" si="32"/>
        <v>7</v>
      </c>
      <c r="H120" s="123">
        <f t="shared" si="32"/>
        <v>7</v>
      </c>
      <c r="I120" s="123">
        <f t="shared" si="32"/>
        <v>7</v>
      </c>
      <c r="J120" s="123">
        <f t="shared" si="32"/>
        <v>7</v>
      </c>
      <c r="K120" s="123">
        <f t="shared" si="32"/>
        <v>7</v>
      </c>
      <c r="L120" s="123">
        <f t="shared" si="32"/>
        <v>7</v>
      </c>
      <c r="M120" s="123">
        <f t="shared" si="32"/>
        <v>7</v>
      </c>
      <c r="N120" s="123">
        <f t="shared" si="32"/>
        <v>7</v>
      </c>
      <c r="O120" s="123">
        <f t="shared" si="32"/>
        <v>7</v>
      </c>
      <c r="P120" s="123">
        <f t="shared" si="32"/>
        <v>7</v>
      </c>
      <c r="Q120" s="123">
        <f t="shared" si="32"/>
        <v>7</v>
      </c>
      <c r="R120" s="123">
        <f t="shared" si="32"/>
        <v>7</v>
      </c>
      <c r="S120" s="123">
        <f t="shared" si="32"/>
        <v>7</v>
      </c>
      <c r="T120" s="123">
        <f t="shared" si="33"/>
        <v>7</v>
      </c>
      <c r="U120" s="123">
        <f t="shared" si="33"/>
        <v>7</v>
      </c>
      <c r="V120" s="123">
        <f t="shared" si="33"/>
        <v>7</v>
      </c>
      <c r="W120" s="123">
        <f t="shared" si="33"/>
        <v>7</v>
      </c>
      <c r="X120" s="123">
        <f t="shared" si="33"/>
        <v>7</v>
      </c>
      <c r="Y120" s="123">
        <f t="shared" si="33"/>
        <v>7</v>
      </c>
      <c r="Z120" s="123">
        <f t="shared" si="33"/>
        <v>7</v>
      </c>
      <c r="AA120" s="123">
        <f t="shared" si="33"/>
        <v>7</v>
      </c>
      <c r="AB120" s="123">
        <f t="shared" si="33"/>
        <v>7</v>
      </c>
      <c r="AC120" s="123">
        <f t="shared" si="33"/>
        <v>7</v>
      </c>
      <c r="AD120" s="123">
        <f t="shared" si="33"/>
        <v>7</v>
      </c>
      <c r="AE120" s="123">
        <f t="shared" si="33"/>
        <v>7</v>
      </c>
      <c r="AF120" s="123">
        <f t="shared" si="33"/>
        <v>7</v>
      </c>
      <c r="AG120" s="126">
        <v>7</v>
      </c>
      <c r="AH120" s="55"/>
      <c r="AI120" s="56"/>
      <c r="AK120" s="57"/>
    </row>
    <row r="121" spans="1:37" x14ac:dyDescent="0.25">
      <c r="A121" s="111" t="s">
        <v>124</v>
      </c>
      <c r="B121" s="123">
        <f t="shared" si="31"/>
        <v>3.47</v>
      </c>
      <c r="C121" s="124">
        <v>3.47</v>
      </c>
      <c r="D121" s="123">
        <f t="shared" ref="D121:S130" si="34">C121</f>
        <v>3.47</v>
      </c>
      <c r="E121" s="123">
        <f t="shared" si="34"/>
        <v>3.47</v>
      </c>
      <c r="F121" s="123">
        <f t="shared" si="34"/>
        <v>3.47</v>
      </c>
      <c r="G121" s="123">
        <f t="shared" si="34"/>
        <v>3.47</v>
      </c>
      <c r="H121" s="123">
        <f t="shared" si="34"/>
        <v>3.47</v>
      </c>
      <c r="I121" s="123">
        <f t="shared" si="34"/>
        <v>3.47</v>
      </c>
      <c r="J121" s="123">
        <f t="shared" si="34"/>
        <v>3.47</v>
      </c>
      <c r="K121" s="123">
        <f t="shared" si="34"/>
        <v>3.47</v>
      </c>
      <c r="L121" s="123">
        <f t="shared" si="34"/>
        <v>3.47</v>
      </c>
      <c r="M121" s="123">
        <f t="shared" si="34"/>
        <v>3.47</v>
      </c>
      <c r="N121" s="123">
        <f t="shared" si="34"/>
        <v>3.47</v>
      </c>
      <c r="O121" s="123">
        <f t="shared" si="34"/>
        <v>3.47</v>
      </c>
      <c r="P121" s="123">
        <f t="shared" si="34"/>
        <v>3.47</v>
      </c>
      <c r="Q121" s="123">
        <f t="shared" si="34"/>
        <v>3.47</v>
      </c>
      <c r="R121" s="123">
        <f t="shared" si="34"/>
        <v>3.47</v>
      </c>
      <c r="S121" s="123">
        <f t="shared" si="34"/>
        <v>3.47</v>
      </c>
      <c r="T121" s="123">
        <f t="shared" si="33"/>
        <v>3.47</v>
      </c>
      <c r="U121" s="123">
        <f t="shared" si="33"/>
        <v>3.47</v>
      </c>
      <c r="V121" s="123">
        <f t="shared" si="33"/>
        <v>3.47</v>
      </c>
      <c r="W121" s="123">
        <f t="shared" si="33"/>
        <v>3.47</v>
      </c>
      <c r="X121" s="123">
        <f t="shared" si="33"/>
        <v>3.47</v>
      </c>
      <c r="Y121" s="123">
        <f t="shared" si="33"/>
        <v>3.47</v>
      </c>
      <c r="Z121" s="123">
        <f t="shared" si="33"/>
        <v>3.47</v>
      </c>
      <c r="AA121" s="123">
        <f t="shared" si="33"/>
        <v>3.47</v>
      </c>
      <c r="AB121" s="123">
        <f t="shared" si="33"/>
        <v>3.47</v>
      </c>
      <c r="AC121" s="123">
        <f t="shared" si="33"/>
        <v>3.47</v>
      </c>
      <c r="AD121" s="123">
        <f t="shared" si="33"/>
        <v>3.47</v>
      </c>
      <c r="AE121" s="123">
        <f t="shared" si="33"/>
        <v>3.47</v>
      </c>
      <c r="AF121" s="123">
        <f t="shared" si="33"/>
        <v>3.47</v>
      </c>
      <c r="AG121" s="126">
        <v>7</v>
      </c>
      <c r="AH121" s="55"/>
      <c r="AI121" s="56"/>
      <c r="AK121" s="57"/>
    </row>
    <row r="122" spans="1:37" x14ac:dyDescent="0.25">
      <c r="A122" s="111" t="s">
        <v>125</v>
      </c>
      <c r="B122" s="123">
        <f t="shared" si="31"/>
        <v>2.1</v>
      </c>
      <c r="C122" s="124">
        <v>2.1</v>
      </c>
      <c r="D122" s="123">
        <f t="shared" si="34"/>
        <v>2.1</v>
      </c>
      <c r="E122" s="123">
        <f t="shared" si="34"/>
        <v>2.1</v>
      </c>
      <c r="F122" s="123">
        <f t="shared" si="34"/>
        <v>2.1</v>
      </c>
      <c r="G122" s="123">
        <f t="shared" si="34"/>
        <v>2.1</v>
      </c>
      <c r="H122" s="123">
        <f t="shared" si="34"/>
        <v>2.1</v>
      </c>
      <c r="I122" s="123">
        <f t="shared" si="34"/>
        <v>2.1</v>
      </c>
      <c r="J122" s="123">
        <f t="shared" si="34"/>
        <v>2.1</v>
      </c>
      <c r="K122" s="123">
        <f t="shared" si="34"/>
        <v>2.1</v>
      </c>
      <c r="L122" s="123">
        <f t="shared" si="34"/>
        <v>2.1</v>
      </c>
      <c r="M122" s="123">
        <f t="shared" si="34"/>
        <v>2.1</v>
      </c>
      <c r="N122" s="123">
        <f t="shared" si="34"/>
        <v>2.1</v>
      </c>
      <c r="O122" s="123">
        <f t="shared" si="34"/>
        <v>2.1</v>
      </c>
      <c r="P122" s="123">
        <f t="shared" si="34"/>
        <v>2.1</v>
      </c>
      <c r="Q122" s="123">
        <f t="shared" si="34"/>
        <v>2.1</v>
      </c>
      <c r="R122" s="123">
        <f t="shared" si="34"/>
        <v>2.1</v>
      </c>
      <c r="S122" s="123">
        <f t="shared" si="34"/>
        <v>2.1</v>
      </c>
      <c r="T122" s="123">
        <f t="shared" si="33"/>
        <v>2.1</v>
      </c>
      <c r="U122" s="123">
        <f t="shared" si="33"/>
        <v>2.1</v>
      </c>
      <c r="V122" s="123">
        <f t="shared" si="33"/>
        <v>2.1</v>
      </c>
      <c r="W122" s="123">
        <f t="shared" si="33"/>
        <v>2.1</v>
      </c>
      <c r="X122" s="123">
        <f t="shared" si="33"/>
        <v>2.1</v>
      </c>
      <c r="Y122" s="123">
        <f t="shared" si="33"/>
        <v>2.1</v>
      </c>
      <c r="Z122" s="123">
        <f t="shared" si="33"/>
        <v>2.1</v>
      </c>
      <c r="AA122" s="123">
        <f t="shared" si="33"/>
        <v>2.1</v>
      </c>
      <c r="AB122" s="123">
        <f t="shared" si="33"/>
        <v>2.1</v>
      </c>
      <c r="AC122" s="123">
        <f t="shared" si="33"/>
        <v>2.1</v>
      </c>
      <c r="AD122" s="123">
        <f t="shared" si="33"/>
        <v>2.1</v>
      </c>
      <c r="AE122" s="123">
        <f t="shared" si="33"/>
        <v>2.1</v>
      </c>
      <c r="AF122" s="123">
        <f t="shared" si="33"/>
        <v>2.1</v>
      </c>
      <c r="AG122" s="126">
        <v>7</v>
      </c>
      <c r="AH122" s="55"/>
      <c r="AI122" s="56"/>
      <c r="AK122" s="57"/>
    </row>
    <row r="123" spans="1:37" x14ac:dyDescent="0.25">
      <c r="A123" s="111" t="s">
        <v>126</v>
      </c>
      <c r="B123" s="123">
        <f t="shared" si="31"/>
        <v>9.3000000000000007</v>
      </c>
      <c r="C123" s="124">
        <v>9.3000000000000007</v>
      </c>
      <c r="D123" s="123">
        <f t="shared" si="34"/>
        <v>9.3000000000000007</v>
      </c>
      <c r="E123" s="123">
        <f t="shared" si="34"/>
        <v>9.3000000000000007</v>
      </c>
      <c r="F123" s="123">
        <f t="shared" si="34"/>
        <v>9.3000000000000007</v>
      </c>
      <c r="G123" s="123">
        <f t="shared" si="34"/>
        <v>9.3000000000000007</v>
      </c>
      <c r="H123" s="123">
        <f t="shared" si="34"/>
        <v>9.3000000000000007</v>
      </c>
      <c r="I123" s="123">
        <f t="shared" si="34"/>
        <v>9.3000000000000007</v>
      </c>
      <c r="J123" s="123">
        <f t="shared" si="34"/>
        <v>9.3000000000000007</v>
      </c>
      <c r="K123" s="123">
        <f t="shared" si="34"/>
        <v>9.3000000000000007</v>
      </c>
      <c r="L123" s="123">
        <f t="shared" si="34"/>
        <v>9.3000000000000007</v>
      </c>
      <c r="M123" s="123">
        <f t="shared" si="34"/>
        <v>9.3000000000000007</v>
      </c>
      <c r="N123" s="123">
        <f t="shared" si="34"/>
        <v>9.3000000000000007</v>
      </c>
      <c r="O123" s="123">
        <f t="shared" si="34"/>
        <v>9.3000000000000007</v>
      </c>
      <c r="P123" s="123">
        <f t="shared" si="34"/>
        <v>9.3000000000000007</v>
      </c>
      <c r="Q123" s="123">
        <f t="shared" si="34"/>
        <v>9.3000000000000007</v>
      </c>
      <c r="R123" s="123">
        <f t="shared" si="34"/>
        <v>9.3000000000000007</v>
      </c>
      <c r="S123" s="123">
        <f t="shared" si="34"/>
        <v>9.3000000000000007</v>
      </c>
      <c r="T123" s="123">
        <f t="shared" si="33"/>
        <v>9.3000000000000007</v>
      </c>
      <c r="U123" s="123">
        <f t="shared" si="33"/>
        <v>9.3000000000000007</v>
      </c>
      <c r="V123" s="123">
        <f t="shared" si="33"/>
        <v>9.3000000000000007</v>
      </c>
      <c r="W123" s="123">
        <f t="shared" si="33"/>
        <v>9.3000000000000007</v>
      </c>
      <c r="X123" s="123">
        <f t="shared" si="33"/>
        <v>9.3000000000000007</v>
      </c>
      <c r="Y123" s="123">
        <f t="shared" si="33"/>
        <v>9.3000000000000007</v>
      </c>
      <c r="Z123" s="123">
        <f t="shared" si="33"/>
        <v>9.3000000000000007</v>
      </c>
      <c r="AA123" s="123">
        <f t="shared" si="33"/>
        <v>9.3000000000000007</v>
      </c>
      <c r="AB123" s="123">
        <f t="shared" si="33"/>
        <v>9.3000000000000007</v>
      </c>
      <c r="AC123" s="123">
        <f t="shared" si="33"/>
        <v>9.3000000000000007</v>
      </c>
      <c r="AD123" s="123">
        <f t="shared" si="33"/>
        <v>9.3000000000000007</v>
      </c>
      <c r="AE123" s="123">
        <f t="shared" si="33"/>
        <v>9.3000000000000007</v>
      </c>
      <c r="AF123" s="123">
        <f t="shared" si="33"/>
        <v>9.3000000000000007</v>
      </c>
      <c r="AG123" s="126">
        <v>7</v>
      </c>
      <c r="AH123" s="55"/>
      <c r="AI123" s="56"/>
      <c r="AK123" s="57"/>
    </row>
    <row r="124" spans="1:37" x14ac:dyDescent="0.25">
      <c r="A124" s="111" t="s">
        <v>127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128</v>
      </c>
      <c r="B125" s="123">
        <f t="shared" si="31"/>
        <v>0</v>
      </c>
      <c r="C125" s="124">
        <v>0</v>
      </c>
      <c r="D125" s="123">
        <f t="shared" si="34"/>
        <v>0</v>
      </c>
      <c r="E125" s="123">
        <f t="shared" si="34"/>
        <v>0</v>
      </c>
      <c r="F125" s="123">
        <f t="shared" si="34"/>
        <v>0</v>
      </c>
      <c r="G125" s="123">
        <f t="shared" si="34"/>
        <v>0</v>
      </c>
      <c r="H125" s="123">
        <f t="shared" si="34"/>
        <v>0</v>
      </c>
      <c r="I125" s="123">
        <f t="shared" si="34"/>
        <v>0</v>
      </c>
      <c r="J125" s="123">
        <f t="shared" si="34"/>
        <v>0</v>
      </c>
      <c r="K125" s="123">
        <f t="shared" si="34"/>
        <v>0</v>
      </c>
      <c r="L125" s="123">
        <f t="shared" si="34"/>
        <v>0</v>
      </c>
      <c r="M125" s="123">
        <f t="shared" si="34"/>
        <v>0</v>
      </c>
      <c r="N125" s="123">
        <f t="shared" si="34"/>
        <v>0</v>
      </c>
      <c r="O125" s="123">
        <f t="shared" si="34"/>
        <v>0</v>
      </c>
      <c r="P125" s="123">
        <f t="shared" si="34"/>
        <v>0</v>
      </c>
      <c r="Q125" s="123">
        <f t="shared" si="34"/>
        <v>0</v>
      </c>
      <c r="R125" s="123">
        <f t="shared" si="34"/>
        <v>0</v>
      </c>
      <c r="S125" s="123">
        <f t="shared" si="34"/>
        <v>0</v>
      </c>
      <c r="T125" s="123">
        <f t="shared" si="33"/>
        <v>0</v>
      </c>
      <c r="U125" s="123">
        <f t="shared" si="33"/>
        <v>0</v>
      </c>
      <c r="V125" s="123">
        <f t="shared" si="33"/>
        <v>0</v>
      </c>
      <c r="W125" s="123">
        <f t="shared" si="33"/>
        <v>0</v>
      </c>
      <c r="X125" s="123">
        <f t="shared" si="33"/>
        <v>0</v>
      </c>
      <c r="Y125" s="123">
        <f t="shared" si="33"/>
        <v>0</v>
      </c>
      <c r="Z125" s="123">
        <f t="shared" si="33"/>
        <v>0</v>
      </c>
      <c r="AA125" s="123">
        <f t="shared" si="33"/>
        <v>0</v>
      </c>
      <c r="AB125" s="123">
        <f t="shared" si="33"/>
        <v>0</v>
      </c>
      <c r="AC125" s="123">
        <f t="shared" si="33"/>
        <v>0</v>
      </c>
      <c r="AD125" s="123">
        <f t="shared" si="33"/>
        <v>0</v>
      </c>
      <c r="AE125" s="123">
        <f t="shared" si="33"/>
        <v>0</v>
      </c>
      <c r="AF125" s="123">
        <f t="shared" si="33"/>
        <v>0</v>
      </c>
      <c r="AG125" s="126">
        <v>6.6</v>
      </c>
      <c r="AH125" s="55"/>
      <c r="AI125" s="56"/>
      <c r="AK125" s="57"/>
    </row>
    <row r="126" spans="1:37" x14ac:dyDescent="0.25">
      <c r="A126" s="111" t="s">
        <v>129</v>
      </c>
      <c r="B126" s="123" t="str">
        <f t="shared" si="31"/>
        <v>;/</v>
      </c>
      <c r="C126" s="124">
        <v>5</v>
      </c>
      <c r="D126" s="123">
        <f t="shared" si="34"/>
        <v>5</v>
      </c>
      <c r="E126" s="123">
        <f t="shared" si="34"/>
        <v>5</v>
      </c>
      <c r="F126" s="123">
        <f t="shared" si="34"/>
        <v>5</v>
      </c>
      <c r="G126" s="123">
        <f t="shared" si="34"/>
        <v>5</v>
      </c>
      <c r="H126" s="123">
        <f t="shared" si="34"/>
        <v>5</v>
      </c>
      <c r="I126" s="123" t="s">
        <v>130</v>
      </c>
      <c r="J126" s="123" t="str">
        <f t="shared" si="34"/>
        <v>;/</v>
      </c>
      <c r="K126" s="123" t="str">
        <f t="shared" si="34"/>
        <v>;/</v>
      </c>
      <c r="L126" s="123" t="str">
        <f t="shared" si="34"/>
        <v>;/</v>
      </c>
      <c r="M126" s="123" t="str">
        <f t="shared" si="34"/>
        <v>;/</v>
      </c>
      <c r="N126" s="123" t="str">
        <f t="shared" si="34"/>
        <v>;/</v>
      </c>
      <c r="O126" s="123" t="str">
        <f t="shared" si="34"/>
        <v>;/</v>
      </c>
      <c r="P126" s="123" t="str">
        <f t="shared" si="34"/>
        <v>;/</v>
      </c>
      <c r="Q126" s="123" t="str">
        <f t="shared" si="34"/>
        <v>;/</v>
      </c>
      <c r="R126" s="123" t="str">
        <f t="shared" si="34"/>
        <v>;/</v>
      </c>
      <c r="S126" s="123" t="str">
        <f t="shared" si="34"/>
        <v>;/</v>
      </c>
      <c r="T126" s="123" t="str">
        <f t="shared" si="33"/>
        <v>;/</v>
      </c>
      <c r="U126" s="123" t="str">
        <f t="shared" si="33"/>
        <v>;/</v>
      </c>
      <c r="V126" s="123" t="str">
        <f t="shared" si="33"/>
        <v>;/</v>
      </c>
      <c r="W126" s="123" t="str">
        <f t="shared" si="33"/>
        <v>;/</v>
      </c>
      <c r="X126" s="123" t="str">
        <f t="shared" si="33"/>
        <v>;/</v>
      </c>
      <c r="Y126" s="123" t="str">
        <f t="shared" si="33"/>
        <v>;/</v>
      </c>
      <c r="Z126" s="123" t="str">
        <f t="shared" si="33"/>
        <v>;/</v>
      </c>
      <c r="AA126" s="123" t="str">
        <f t="shared" si="33"/>
        <v>;/</v>
      </c>
      <c r="AB126" s="123" t="str">
        <f t="shared" si="33"/>
        <v>;/</v>
      </c>
      <c r="AC126" s="123" t="str">
        <f t="shared" si="33"/>
        <v>;/</v>
      </c>
      <c r="AD126" s="123" t="str">
        <f t="shared" si="33"/>
        <v>;/</v>
      </c>
      <c r="AE126" s="123" t="str">
        <f t="shared" si="33"/>
        <v>;/</v>
      </c>
      <c r="AF126" s="123" t="str">
        <f t="shared" si="33"/>
        <v>;/</v>
      </c>
      <c r="AG126" s="126">
        <v>6.4</v>
      </c>
      <c r="AH126" s="55"/>
      <c r="AI126" s="56"/>
      <c r="AK126" s="57"/>
    </row>
    <row r="127" spans="1:37" x14ac:dyDescent="0.25">
      <c r="A127" s="111" t="s">
        <v>131</v>
      </c>
      <c r="B127" s="123">
        <f t="shared" si="31"/>
        <v>1</v>
      </c>
      <c r="C127" s="124">
        <v>1</v>
      </c>
      <c r="D127" s="123">
        <f t="shared" si="34"/>
        <v>1</v>
      </c>
      <c r="E127" s="123">
        <f t="shared" si="34"/>
        <v>1</v>
      </c>
      <c r="F127" s="123">
        <f t="shared" si="34"/>
        <v>1</v>
      </c>
      <c r="G127" s="123">
        <f t="shared" si="34"/>
        <v>1</v>
      </c>
      <c r="H127" s="123">
        <f t="shared" si="34"/>
        <v>1</v>
      </c>
      <c r="I127" s="123">
        <f t="shared" si="34"/>
        <v>1</v>
      </c>
      <c r="J127" s="123">
        <f t="shared" si="34"/>
        <v>1</v>
      </c>
      <c r="K127" s="123">
        <f t="shared" si="34"/>
        <v>1</v>
      </c>
      <c r="L127" s="123">
        <f t="shared" si="34"/>
        <v>1</v>
      </c>
      <c r="M127" s="123">
        <f t="shared" si="34"/>
        <v>1</v>
      </c>
      <c r="N127" s="123">
        <f t="shared" si="34"/>
        <v>1</v>
      </c>
      <c r="O127" s="123">
        <f t="shared" si="34"/>
        <v>1</v>
      </c>
      <c r="P127" s="123">
        <f t="shared" si="34"/>
        <v>1</v>
      </c>
      <c r="Q127" s="123">
        <f t="shared" si="34"/>
        <v>1</v>
      </c>
      <c r="R127" s="123">
        <f t="shared" si="34"/>
        <v>1</v>
      </c>
      <c r="S127" s="123">
        <f t="shared" si="34"/>
        <v>1</v>
      </c>
      <c r="T127" s="123">
        <f t="shared" si="33"/>
        <v>1</v>
      </c>
      <c r="U127" s="123">
        <f t="shared" si="33"/>
        <v>1</v>
      </c>
      <c r="V127" s="123">
        <f t="shared" si="33"/>
        <v>1</v>
      </c>
      <c r="W127" s="123">
        <f t="shared" si="33"/>
        <v>1</v>
      </c>
      <c r="X127" s="123">
        <f t="shared" si="33"/>
        <v>1</v>
      </c>
      <c r="Y127" s="123">
        <f t="shared" si="33"/>
        <v>1</v>
      </c>
      <c r="Z127" s="123">
        <f t="shared" si="33"/>
        <v>1</v>
      </c>
      <c r="AA127" s="123">
        <f t="shared" si="33"/>
        <v>1</v>
      </c>
      <c r="AB127" s="123">
        <f t="shared" si="33"/>
        <v>1</v>
      </c>
      <c r="AC127" s="123">
        <f t="shared" si="33"/>
        <v>1</v>
      </c>
      <c r="AD127" s="123">
        <f t="shared" si="33"/>
        <v>1</v>
      </c>
      <c r="AE127" s="123">
        <f t="shared" si="33"/>
        <v>1</v>
      </c>
      <c r="AF127" s="123">
        <f t="shared" si="33"/>
        <v>1</v>
      </c>
      <c r="AG127" s="126">
        <v>6</v>
      </c>
      <c r="AH127" s="55"/>
      <c r="AI127" s="56"/>
      <c r="AK127" s="57"/>
    </row>
    <row r="128" spans="1:37" x14ac:dyDescent="0.25">
      <c r="A128" s="111" t="s">
        <v>132</v>
      </c>
      <c r="B128" s="123">
        <f t="shared" si="31"/>
        <v>1.58</v>
      </c>
      <c r="C128" s="124">
        <v>1.58</v>
      </c>
      <c r="D128" s="123">
        <f t="shared" si="34"/>
        <v>1.58</v>
      </c>
      <c r="E128" s="123">
        <f t="shared" si="34"/>
        <v>1.58</v>
      </c>
      <c r="F128" s="123">
        <f t="shared" si="34"/>
        <v>1.58</v>
      </c>
      <c r="G128" s="123">
        <f t="shared" si="34"/>
        <v>1.58</v>
      </c>
      <c r="H128" s="123">
        <f t="shared" si="34"/>
        <v>1.58</v>
      </c>
      <c r="I128" s="123">
        <f t="shared" si="34"/>
        <v>1.58</v>
      </c>
      <c r="J128" s="123">
        <f t="shared" si="34"/>
        <v>1.58</v>
      </c>
      <c r="K128" s="123">
        <f t="shared" si="34"/>
        <v>1.58</v>
      </c>
      <c r="L128" s="123">
        <f t="shared" si="34"/>
        <v>1.58</v>
      </c>
      <c r="M128" s="123">
        <f t="shared" si="34"/>
        <v>1.58</v>
      </c>
      <c r="N128" s="123">
        <f t="shared" si="34"/>
        <v>1.58</v>
      </c>
      <c r="O128" s="123">
        <f t="shared" si="34"/>
        <v>1.58</v>
      </c>
      <c r="P128" s="123">
        <f t="shared" si="34"/>
        <v>1.58</v>
      </c>
      <c r="Q128" s="123">
        <f t="shared" si="34"/>
        <v>1.58</v>
      </c>
      <c r="R128" s="123">
        <f t="shared" si="34"/>
        <v>1.58</v>
      </c>
      <c r="S128" s="123">
        <f t="shared" si="34"/>
        <v>1.58</v>
      </c>
      <c r="T128" s="123">
        <f t="shared" si="33"/>
        <v>1.58</v>
      </c>
      <c r="U128" s="123">
        <f t="shared" si="33"/>
        <v>1.58</v>
      </c>
      <c r="V128" s="123">
        <f t="shared" si="33"/>
        <v>1.58</v>
      </c>
      <c r="W128" s="123">
        <f t="shared" si="33"/>
        <v>1.58</v>
      </c>
      <c r="X128" s="123">
        <f t="shared" si="33"/>
        <v>1.58</v>
      </c>
      <c r="Y128" s="123">
        <f t="shared" si="33"/>
        <v>1.58</v>
      </c>
      <c r="Z128" s="123">
        <f t="shared" si="33"/>
        <v>1.58</v>
      </c>
      <c r="AA128" s="123">
        <f t="shared" si="33"/>
        <v>1.58</v>
      </c>
      <c r="AB128" s="123">
        <f t="shared" si="33"/>
        <v>1.58</v>
      </c>
      <c r="AC128" s="123">
        <f t="shared" si="33"/>
        <v>1.58</v>
      </c>
      <c r="AD128" s="123">
        <f t="shared" si="33"/>
        <v>1.58</v>
      </c>
      <c r="AE128" s="123">
        <f t="shared" si="33"/>
        <v>1.58</v>
      </c>
      <c r="AF128" s="123">
        <f t="shared" si="33"/>
        <v>1.58</v>
      </c>
      <c r="AG128" s="126">
        <v>5.0999999999999996</v>
      </c>
      <c r="AH128" s="55"/>
      <c r="AI128" s="56"/>
      <c r="AK128" s="57"/>
    </row>
    <row r="129" spans="1:37" x14ac:dyDescent="0.25">
      <c r="A129" s="111" t="s">
        <v>133</v>
      </c>
      <c r="B129" s="123">
        <f t="shared" si="31"/>
        <v>1.46</v>
      </c>
      <c r="C129" s="124">
        <v>1.46</v>
      </c>
      <c r="D129" s="123">
        <f t="shared" si="34"/>
        <v>1.46</v>
      </c>
      <c r="E129" s="123">
        <f t="shared" si="34"/>
        <v>1.46</v>
      </c>
      <c r="F129" s="123">
        <f t="shared" si="34"/>
        <v>1.46</v>
      </c>
      <c r="G129" s="123">
        <f t="shared" si="34"/>
        <v>1.46</v>
      </c>
      <c r="H129" s="123">
        <f t="shared" si="34"/>
        <v>1.46</v>
      </c>
      <c r="I129" s="123">
        <f t="shared" si="34"/>
        <v>1.46</v>
      </c>
      <c r="J129" s="123">
        <f t="shared" si="34"/>
        <v>1.46</v>
      </c>
      <c r="K129" s="123">
        <f t="shared" si="34"/>
        <v>1.46</v>
      </c>
      <c r="L129" s="123">
        <f t="shared" si="34"/>
        <v>1.46</v>
      </c>
      <c r="M129" s="123">
        <f t="shared" si="34"/>
        <v>1.46</v>
      </c>
      <c r="N129" s="123">
        <f t="shared" si="34"/>
        <v>1.46</v>
      </c>
      <c r="O129" s="123">
        <f t="shared" si="34"/>
        <v>1.46</v>
      </c>
      <c r="P129" s="123">
        <f t="shared" si="34"/>
        <v>1.46</v>
      </c>
      <c r="Q129" s="123">
        <f t="shared" si="34"/>
        <v>1.46</v>
      </c>
      <c r="R129" s="123">
        <f t="shared" si="34"/>
        <v>1.46</v>
      </c>
      <c r="S129" s="123">
        <f t="shared" si="34"/>
        <v>1.46</v>
      </c>
      <c r="T129" s="123">
        <f t="shared" ref="T129:AF130" si="35">S129</f>
        <v>1.46</v>
      </c>
      <c r="U129" s="123">
        <f t="shared" si="35"/>
        <v>1.46</v>
      </c>
      <c r="V129" s="123">
        <f t="shared" si="35"/>
        <v>1.46</v>
      </c>
      <c r="W129" s="123">
        <f t="shared" si="35"/>
        <v>1.46</v>
      </c>
      <c r="X129" s="123">
        <f t="shared" si="35"/>
        <v>1.46</v>
      </c>
      <c r="Y129" s="123">
        <f t="shared" si="35"/>
        <v>1.46</v>
      </c>
      <c r="Z129" s="123">
        <f t="shared" si="35"/>
        <v>1.46</v>
      </c>
      <c r="AA129" s="123">
        <f t="shared" si="35"/>
        <v>1.46</v>
      </c>
      <c r="AB129" s="123">
        <f t="shared" si="35"/>
        <v>1.46</v>
      </c>
      <c r="AC129" s="123">
        <f t="shared" si="35"/>
        <v>1.46</v>
      </c>
      <c r="AD129" s="123">
        <f t="shared" si="35"/>
        <v>1.46</v>
      </c>
      <c r="AE129" s="123">
        <f t="shared" si="35"/>
        <v>1.46</v>
      </c>
      <c r="AF129" s="123">
        <f t="shared" si="35"/>
        <v>1.46</v>
      </c>
      <c r="AG129" s="126">
        <v>5</v>
      </c>
      <c r="AH129" s="55"/>
      <c r="AI129" s="56"/>
      <c r="AK129" s="57"/>
    </row>
    <row r="130" spans="1:37" x14ac:dyDescent="0.25">
      <c r="A130" s="109" t="s">
        <v>134</v>
      </c>
      <c r="B130" s="123">
        <f t="shared" si="31"/>
        <v>1.48</v>
      </c>
      <c r="C130" s="124">
        <v>1.48</v>
      </c>
      <c r="D130" s="123">
        <f t="shared" si="34"/>
        <v>1.48</v>
      </c>
      <c r="E130" s="123">
        <f t="shared" si="34"/>
        <v>1.48</v>
      </c>
      <c r="F130" s="123">
        <f t="shared" si="34"/>
        <v>1.48</v>
      </c>
      <c r="G130" s="123">
        <f t="shared" si="34"/>
        <v>1.48</v>
      </c>
      <c r="H130" s="123">
        <f t="shared" si="34"/>
        <v>1.48</v>
      </c>
      <c r="I130" s="123">
        <f t="shared" si="34"/>
        <v>1.48</v>
      </c>
      <c r="J130" s="123">
        <f t="shared" si="34"/>
        <v>1.48</v>
      </c>
      <c r="K130" s="123">
        <f t="shared" si="34"/>
        <v>1.48</v>
      </c>
      <c r="L130" s="123">
        <f t="shared" si="34"/>
        <v>1.48</v>
      </c>
      <c r="M130" s="123">
        <f t="shared" si="34"/>
        <v>1.48</v>
      </c>
      <c r="N130" s="123">
        <f t="shared" si="34"/>
        <v>1.48</v>
      </c>
      <c r="O130" s="123">
        <f t="shared" si="34"/>
        <v>1.48</v>
      </c>
      <c r="P130" s="123">
        <f t="shared" si="34"/>
        <v>1.48</v>
      </c>
      <c r="Q130" s="123">
        <f t="shared" si="34"/>
        <v>1.48</v>
      </c>
      <c r="R130" s="123">
        <f t="shared" si="34"/>
        <v>1.48</v>
      </c>
      <c r="S130" s="123">
        <f t="shared" si="34"/>
        <v>1.48</v>
      </c>
      <c r="T130" s="123">
        <f t="shared" si="35"/>
        <v>1.48</v>
      </c>
      <c r="U130" s="123">
        <f t="shared" si="35"/>
        <v>1.48</v>
      </c>
      <c r="V130" s="123">
        <f t="shared" si="35"/>
        <v>1.48</v>
      </c>
      <c r="W130" s="123">
        <f t="shared" si="35"/>
        <v>1.48</v>
      </c>
      <c r="X130" s="123">
        <f t="shared" si="35"/>
        <v>1.48</v>
      </c>
      <c r="Y130" s="123">
        <f t="shared" si="35"/>
        <v>1.48</v>
      </c>
      <c r="Z130" s="123">
        <f t="shared" si="35"/>
        <v>1.48</v>
      </c>
      <c r="AA130" s="123">
        <f t="shared" si="35"/>
        <v>1.48</v>
      </c>
      <c r="AB130" s="123">
        <f t="shared" si="35"/>
        <v>1.48</v>
      </c>
      <c r="AC130" s="123">
        <f t="shared" si="35"/>
        <v>1.48</v>
      </c>
      <c r="AD130" s="123">
        <f t="shared" si="35"/>
        <v>1.48</v>
      </c>
      <c r="AE130" s="123">
        <f t="shared" si="35"/>
        <v>1.48</v>
      </c>
      <c r="AF130" s="123">
        <f t="shared" si="35"/>
        <v>1.48</v>
      </c>
      <c r="AG130" s="125">
        <v>5</v>
      </c>
      <c r="AH130" s="55"/>
      <c r="AI130" s="56"/>
      <c r="AK130" s="57"/>
    </row>
    <row r="131" spans="1:37" x14ac:dyDescent="0.25">
      <c r="A131" s="111" t="s">
        <v>135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5"/>
      <c r="AI131" s="56"/>
      <c r="AK131" s="57"/>
    </row>
    <row r="132" spans="1:37" x14ac:dyDescent="0.25">
      <c r="A132" s="111" t="s">
        <v>136</v>
      </c>
      <c r="B132" s="123">
        <f t="shared" ref="B132:B139" si="36">AF132</f>
        <v>2.2000000000000002</v>
      </c>
      <c r="C132" s="124">
        <v>2.2000000000000002</v>
      </c>
      <c r="D132" s="123">
        <f t="shared" ref="D132:S139" si="37">C132</f>
        <v>2.2000000000000002</v>
      </c>
      <c r="E132" s="123">
        <f t="shared" si="37"/>
        <v>2.2000000000000002</v>
      </c>
      <c r="F132" s="123">
        <f t="shared" si="37"/>
        <v>2.2000000000000002</v>
      </c>
      <c r="G132" s="123">
        <f t="shared" si="37"/>
        <v>2.2000000000000002</v>
      </c>
      <c r="H132" s="123">
        <f t="shared" si="37"/>
        <v>2.2000000000000002</v>
      </c>
      <c r="I132" s="123">
        <f t="shared" si="37"/>
        <v>2.2000000000000002</v>
      </c>
      <c r="J132" s="123">
        <f t="shared" si="37"/>
        <v>2.2000000000000002</v>
      </c>
      <c r="K132" s="123">
        <f t="shared" si="37"/>
        <v>2.2000000000000002</v>
      </c>
      <c r="L132" s="123">
        <f t="shared" si="37"/>
        <v>2.2000000000000002</v>
      </c>
      <c r="M132" s="123">
        <f t="shared" si="37"/>
        <v>2.2000000000000002</v>
      </c>
      <c r="N132" s="123">
        <f t="shared" si="37"/>
        <v>2.2000000000000002</v>
      </c>
      <c r="O132" s="123">
        <f t="shared" si="37"/>
        <v>2.2000000000000002</v>
      </c>
      <c r="P132" s="123">
        <f t="shared" si="37"/>
        <v>2.2000000000000002</v>
      </c>
      <c r="Q132" s="123">
        <f t="shared" si="37"/>
        <v>2.2000000000000002</v>
      </c>
      <c r="R132" s="123">
        <f t="shared" si="37"/>
        <v>2.2000000000000002</v>
      </c>
      <c r="S132" s="123">
        <f t="shared" si="37"/>
        <v>2.2000000000000002</v>
      </c>
      <c r="T132" s="123">
        <f t="shared" ref="T132:AF139" si="38">S132</f>
        <v>2.2000000000000002</v>
      </c>
      <c r="U132" s="123">
        <f t="shared" si="38"/>
        <v>2.2000000000000002</v>
      </c>
      <c r="V132" s="123">
        <f t="shared" si="38"/>
        <v>2.2000000000000002</v>
      </c>
      <c r="W132" s="123">
        <f t="shared" si="38"/>
        <v>2.2000000000000002</v>
      </c>
      <c r="X132" s="123">
        <f t="shared" si="38"/>
        <v>2.2000000000000002</v>
      </c>
      <c r="Y132" s="123">
        <f t="shared" si="38"/>
        <v>2.2000000000000002</v>
      </c>
      <c r="Z132" s="123">
        <f t="shared" si="38"/>
        <v>2.2000000000000002</v>
      </c>
      <c r="AA132" s="123">
        <f t="shared" si="38"/>
        <v>2.2000000000000002</v>
      </c>
      <c r="AB132" s="123">
        <f t="shared" si="38"/>
        <v>2.2000000000000002</v>
      </c>
      <c r="AC132" s="123">
        <f t="shared" si="38"/>
        <v>2.2000000000000002</v>
      </c>
      <c r="AD132" s="123">
        <f t="shared" si="38"/>
        <v>2.2000000000000002</v>
      </c>
      <c r="AE132" s="123">
        <f t="shared" si="38"/>
        <v>2.2000000000000002</v>
      </c>
      <c r="AF132" s="123">
        <f t="shared" si="38"/>
        <v>2.2000000000000002</v>
      </c>
      <c r="AG132" s="126">
        <v>5</v>
      </c>
      <c r="AH132" s="55"/>
      <c r="AI132" s="56"/>
      <c r="AK132" s="57"/>
    </row>
    <row r="133" spans="1:37" x14ac:dyDescent="0.25">
      <c r="A133" s="111" t="s">
        <v>137</v>
      </c>
      <c r="B133" s="123">
        <f t="shared" si="36"/>
        <v>2</v>
      </c>
      <c r="C133" s="124">
        <v>2</v>
      </c>
      <c r="D133" s="123">
        <f t="shared" si="37"/>
        <v>2</v>
      </c>
      <c r="E133" s="123">
        <f t="shared" si="37"/>
        <v>2</v>
      </c>
      <c r="F133" s="123">
        <f t="shared" si="37"/>
        <v>2</v>
      </c>
      <c r="G133" s="123">
        <f t="shared" si="37"/>
        <v>2</v>
      </c>
      <c r="H133" s="123">
        <f t="shared" si="37"/>
        <v>2</v>
      </c>
      <c r="I133" s="123">
        <f t="shared" si="37"/>
        <v>2</v>
      </c>
      <c r="J133" s="123">
        <f t="shared" si="37"/>
        <v>2</v>
      </c>
      <c r="K133" s="123">
        <f t="shared" si="37"/>
        <v>2</v>
      </c>
      <c r="L133" s="123">
        <f t="shared" si="37"/>
        <v>2</v>
      </c>
      <c r="M133" s="123">
        <f t="shared" si="37"/>
        <v>2</v>
      </c>
      <c r="N133" s="123">
        <f t="shared" si="37"/>
        <v>2</v>
      </c>
      <c r="O133" s="123">
        <f t="shared" si="37"/>
        <v>2</v>
      </c>
      <c r="P133" s="123">
        <f t="shared" si="37"/>
        <v>2</v>
      </c>
      <c r="Q133" s="123">
        <f t="shared" si="37"/>
        <v>2</v>
      </c>
      <c r="R133" s="123">
        <f t="shared" si="37"/>
        <v>2</v>
      </c>
      <c r="S133" s="123">
        <f t="shared" si="37"/>
        <v>2</v>
      </c>
      <c r="T133" s="123">
        <f t="shared" si="38"/>
        <v>2</v>
      </c>
      <c r="U133" s="123">
        <f t="shared" si="38"/>
        <v>2</v>
      </c>
      <c r="V133" s="123">
        <f t="shared" si="38"/>
        <v>2</v>
      </c>
      <c r="W133" s="123">
        <f t="shared" si="38"/>
        <v>2</v>
      </c>
      <c r="X133" s="123">
        <f t="shared" si="38"/>
        <v>2</v>
      </c>
      <c r="Y133" s="123">
        <f t="shared" si="38"/>
        <v>2</v>
      </c>
      <c r="Z133" s="123">
        <f t="shared" si="38"/>
        <v>2</v>
      </c>
      <c r="AA133" s="123">
        <f t="shared" si="38"/>
        <v>2</v>
      </c>
      <c r="AB133" s="123">
        <f t="shared" si="38"/>
        <v>2</v>
      </c>
      <c r="AC133" s="123">
        <f t="shared" si="38"/>
        <v>2</v>
      </c>
      <c r="AD133" s="123">
        <f t="shared" si="38"/>
        <v>2</v>
      </c>
      <c r="AE133" s="123">
        <f t="shared" si="38"/>
        <v>2</v>
      </c>
      <c r="AF133" s="123">
        <f t="shared" si="38"/>
        <v>2</v>
      </c>
      <c r="AG133" s="126">
        <v>5</v>
      </c>
      <c r="AH133" s="55"/>
      <c r="AI133" s="56"/>
      <c r="AK133" s="57"/>
    </row>
    <row r="134" spans="1:37" x14ac:dyDescent="0.25">
      <c r="A134" s="111" t="s">
        <v>138</v>
      </c>
      <c r="B134" s="123">
        <f t="shared" si="36"/>
        <v>1.25</v>
      </c>
      <c r="C134" s="124">
        <v>1.25</v>
      </c>
      <c r="D134" s="123">
        <f t="shared" si="37"/>
        <v>1.25</v>
      </c>
      <c r="E134" s="123">
        <f t="shared" si="37"/>
        <v>1.25</v>
      </c>
      <c r="F134" s="123">
        <f t="shared" si="37"/>
        <v>1.25</v>
      </c>
      <c r="G134" s="123">
        <f t="shared" si="37"/>
        <v>1.25</v>
      </c>
      <c r="H134" s="123">
        <f t="shared" si="37"/>
        <v>1.25</v>
      </c>
      <c r="I134" s="123">
        <f t="shared" si="37"/>
        <v>1.25</v>
      </c>
      <c r="J134" s="123">
        <f t="shared" si="37"/>
        <v>1.25</v>
      </c>
      <c r="K134" s="123">
        <f t="shared" si="37"/>
        <v>1.25</v>
      </c>
      <c r="L134" s="123">
        <f t="shared" si="37"/>
        <v>1.25</v>
      </c>
      <c r="M134" s="123">
        <f t="shared" si="37"/>
        <v>1.25</v>
      </c>
      <c r="N134" s="123">
        <f t="shared" si="37"/>
        <v>1.25</v>
      </c>
      <c r="O134" s="123">
        <f t="shared" si="37"/>
        <v>1.25</v>
      </c>
      <c r="P134" s="123">
        <f t="shared" si="37"/>
        <v>1.25</v>
      </c>
      <c r="Q134" s="123">
        <f t="shared" si="37"/>
        <v>1.25</v>
      </c>
      <c r="R134" s="123">
        <f t="shared" si="37"/>
        <v>1.25</v>
      </c>
      <c r="S134" s="123">
        <f t="shared" si="37"/>
        <v>1.25</v>
      </c>
      <c r="T134" s="123">
        <f t="shared" si="38"/>
        <v>1.25</v>
      </c>
      <c r="U134" s="123">
        <f t="shared" si="38"/>
        <v>1.25</v>
      </c>
      <c r="V134" s="123">
        <f t="shared" si="38"/>
        <v>1.25</v>
      </c>
      <c r="W134" s="123">
        <f t="shared" si="38"/>
        <v>1.25</v>
      </c>
      <c r="X134" s="123">
        <f t="shared" si="38"/>
        <v>1.25</v>
      </c>
      <c r="Y134" s="123">
        <f t="shared" si="38"/>
        <v>1.25</v>
      </c>
      <c r="Z134" s="123">
        <f t="shared" si="38"/>
        <v>1.25</v>
      </c>
      <c r="AA134" s="123">
        <f t="shared" si="38"/>
        <v>1.25</v>
      </c>
      <c r="AB134" s="123">
        <f t="shared" si="38"/>
        <v>1.25</v>
      </c>
      <c r="AC134" s="123">
        <f t="shared" si="38"/>
        <v>1.25</v>
      </c>
      <c r="AD134" s="123">
        <f t="shared" si="38"/>
        <v>1.25</v>
      </c>
      <c r="AE134" s="123">
        <f t="shared" si="38"/>
        <v>1.25</v>
      </c>
      <c r="AF134" s="123">
        <f t="shared" si="38"/>
        <v>1.25</v>
      </c>
      <c r="AG134" s="126">
        <v>5</v>
      </c>
      <c r="AH134" s="55"/>
      <c r="AI134" s="56"/>
      <c r="AK134" s="57"/>
    </row>
    <row r="135" spans="1:37" x14ac:dyDescent="0.25">
      <c r="A135" s="111" t="s">
        <v>139</v>
      </c>
      <c r="B135" s="123">
        <f t="shared" si="36"/>
        <v>1.1499999999999999</v>
      </c>
      <c r="C135" s="124">
        <v>1.1499999999999999</v>
      </c>
      <c r="D135" s="123">
        <f t="shared" si="37"/>
        <v>1.1499999999999999</v>
      </c>
      <c r="E135" s="123">
        <f t="shared" si="37"/>
        <v>1.1499999999999999</v>
      </c>
      <c r="F135" s="123">
        <f t="shared" si="37"/>
        <v>1.1499999999999999</v>
      </c>
      <c r="G135" s="123">
        <f t="shared" si="37"/>
        <v>1.1499999999999999</v>
      </c>
      <c r="H135" s="123">
        <f t="shared" si="37"/>
        <v>1.1499999999999999</v>
      </c>
      <c r="I135" s="123">
        <f t="shared" si="37"/>
        <v>1.1499999999999999</v>
      </c>
      <c r="J135" s="123">
        <f t="shared" si="37"/>
        <v>1.1499999999999999</v>
      </c>
      <c r="K135" s="123">
        <f t="shared" si="37"/>
        <v>1.1499999999999999</v>
      </c>
      <c r="L135" s="123">
        <f t="shared" si="37"/>
        <v>1.1499999999999999</v>
      </c>
      <c r="M135" s="123">
        <f t="shared" si="37"/>
        <v>1.1499999999999999</v>
      </c>
      <c r="N135" s="123">
        <f t="shared" si="37"/>
        <v>1.1499999999999999</v>
      </c>
      <c r="O135" s="123">
        <f t="shared" si="37"/>
        <v>1.1499999999999999</v>
      </c>
      <c r="P135" s="123">
        <f t="shared" si="37"/>
        <v>1.1499999999999999</v>
      </c>
      <c r="Q135" s="123">
        <f t="shared" si="37"/>
        <v>1.1499999999999999</v>
      </c>
      <c r="R135" s="123">
        <f t="shared" si="37"/>
        <v>1.1499999999999999</v>
      </c>
      <c r="S135" s="123">
        <f t="shared" si="37"/>
        <v>1.1499999999999999</v>
      </c>
      <c r="T135" s="123">
        <f t="shared" si="38"/>
        <v>1.1499999999999999</v>
      </c>
      <c r="U135" s="123">
        <f t="shared" si="38"/>
        <v>1.1499999999999999</v>
      </c>
      <c r="V135" s="123">
        <f t="shared" si="38"/>
        <v>1.1499999999999999</v>
      </c>
      <c r="W135" s="123">
        <f t="shared" si="38"/>
        <v>1.1499999999999999</v>
      </c>
      <c r="X135" s="123">
        <f t="shared" si="38"/>
        <v>1.1499999999999999</v>
      </c>
      <c r="Y135" s="123">
        <f t="shared" si="38"/>
        <v>1.1499999999999999</v>
      </c>
      <c r="Z135" s="123">
        <f t="shared" si="38"/>
        <v>1.1499999999999999</v>
      </c>
      <c r="AA135" s="123">
        <f t="shared" si="38"/>
        <v>1.1499999999999999</v>
      </c>
      <c r="AB135" s="123">
        <f t="shared" si="38"/>
        <v>1.1499999999999999</v>
      </c>
      <c r="AC135" s="123">
        <f t="shared" si="38"/>
        <v>1.1499999999999999</v>
      </c>
      <c r="AD135" s="123">
        <f t="shared" si="38"/>
        <v>1.1499999999999999</v>
      </c>
      <c r="AE135" s="123">
        <f t="shared" si="38"/>
        <v>1.1499999999999999</v>
      </c>
      <c r="AF135" s="123">
        <f t="shared" si="38"/>
        <v>1.1499999999999999</v>
      </c>
      <c r="AG135" s="126">
        <v>5</v>
      </c>
      <c r="AH135" s="55"/>
      <c r="AI135" s="56"/>
      <c r="AK135" s="57"/>
    </row>
    <row r="136" spans="1:37" x14ac:dyDescent="0.25">
      <c r="A136" s="111" t="s">
        <v>140</v>
      </c>
      <c r="B136" s="123">
        <f t="shared" si="36"/>
        <v>2.133</v>
      </c>
      <c r="C136" s="124">
        <v>2.133</v>
      </c>
      <c r="D136" s="123">
        <f t="shared" si="37"/>
        <v>2.133</v>
      </c>
      <c r="E136" s="123">
        <f t="shared" si="37"/>
        <v>2.133</v>
      </c>
      <c r="F136" s="123">
        <f t="shared" si="37"/>
        <v>2.133</v>
      </c>
      <c r="G136" s="123">
        <f t="shared" si="37"/>
        <v>2.133</v>
      </c>
      <c r="H136" s="123">
        <f t="shared" si="37"/>
        <v>2.133</v>
      </c>
      <c r="I136" s="123">
        <f t="shared" si="37"/>
        <v>2.133</v>
      </c>
      <c r="J136" s="123">
        <f t="shared" si="37"/>
        <v>2.133</v>
      </c>
      <c r="K136" s="123">
        <f t="shared" si="37"/>
        <v>2.133</v>
      </c>
      <c r="L136" s="123">
        <f t="shared" si="37"/>
        <v>2.133</v>
      </c>
      <c r="M136" s="123">
        <f t="shared" si="37"/>
        <v>2.133</v>
      </c>
      <c r="N136" s="123">
        <f t="shared" si="37"/>
        <v>2.133</v>
      </c>
      <c r="O136" s="123">
        <f t="shared" si="37"/>
        <v>2.133</v>
      </c>
      <c r="P136" s="123">
        <f t="shared" si="37"/>
        <v>2.133</v>
      </c>
      <c r="Q136" s="123">
        <f t="shared" si="37"/>
        <v>2.133</v>
      </c>
      <c r="R136" s="123">
        <f t="shared" si="37"/>
        <v>2.133</v>
      </c>
      <c r="S136" s="123">
        <f t="shared" si="37"/>
        <v>2.133</v>
      </c>
      <c r="T136" s="123">
        <f t="shared" si="38"/>
        <v>2.133</v>
      </c>
      <c r="U136" s="123">
        <f t="shared" si="38"/>
        <v>2.133</v>
      </c>
      <c r="V136" s="123">
        <f t="shared" si="38"/>
        <v>2.133</v>
      </c>
      <c r="W136" s="123">
        <f t="shared" si="38"/>
        <v>2.133</v>
      </c>
      <c r="X136" s="123">
        <f t="shared" si="38"/>
        <v>2.133</v>
      </c>
      <c r="Y136" s="123">
        <f t="shared" si="38"/>
        <v>2.133</v>
      </c>
      <c r="Z136" s="123">
        <f t="shared" si="38"/>
        <v>2.133</v>
      </c>
      <c r="AA136" s="123">
        <f t="shared" si="38"/>
        <v>2.133</v>
      </c>
      <c r="AB136" s="123">
        <f t="shared" si="38"/>
        <v>2.133</v>
      </c>
      <c r="AC136" s="123">
        <f t="shared" si="38"/>
        <v>2.133</v>
      </c>
      <c r="AD136" s="123">
        <f t="shared" si="38"/>
        <v>2.133</v>
      </c>
      <c r="AE136" s="123">
        <f t="shared" si="38"/>
        <v>2.133</v>
      </c>
      <c r="AF136" s="123">
        <f t="shared" si="38"/>
        <v>2.133</v>
      </c>
      <c r="AG136" s="126">
        <v>4.9930000000000003</v>
      </c>
      <c r="AH136" s="55"/>
      <c r="AI136" s="56"/>
      <c r="AK136" s="57"/>
    </row>
    <row r="137" spans="1:37" x14ac:dyDescent="0.25">
      <c r="A137" s="111" t="s">
        <v>141</v>
      </c>
      <c r="B137" s="123">
        <f t="shared" si="36"/>
        <v>2.09</v>
      </c>
      <c r="C137" s="124">
        <v>2.09</v>
      </c>
      <c r="D137" s="123">
        <f t="shared" si="37"/>
        <v>2.09</v>
      </c>
      <c r="E137" s="123">
        <f t="shared" si="37"/>
        <v>2.09</v>
      </c>
      <c r="F137" s="123">
        <f t="shared" si="37"/>
        <v>2.09</v>
      </c>
      <c r="G137" s="123">
        <f t="shared" si="37"/>
        <v>2.09</v>
      </c>
      <c r="H137" s="123">
        <f t="shared" si="37"/>
        <v>2.09</v>
      </c>
      <c r="I137" s="123">
        <f t="shared" si="37"/>
        <v>2.09</v>
      </c>
      <c r="J137" s="123">
        <f t="shared" si="37"/>
        <v>2.09</v>
      </c>
      <c r="K137" s="123">
        <f t="shared" si="37"/>
        <v>2.09</v>
      </c>
      <c r="L137" s="123">
        <f t="shared" si="37"/>
        <v>2.09</v>
      </c>
      <c r="M137" s="123">
        <f t="shared" si="37"/>
        <v>2.09</v>
      </c>
      <c r="N137" s="123">
        <f t="shared" si="37"/>
        <v>2.09</v>
      </c>
      <c r="O137" s="123">
        <f t="shared" si="37"/>
        <v>2.09</v>
      </c>
      <c r="P137" s="123">
        <f t="shared" si="37"/>
        <v>2.09</v>
      </c>
      <c r="Q137" s="123">
        <f t="shared" si="37"/>
        <v>2.09</v>
      </c>
      <c r="R137" s="123">
        <f t="shared" si="37"/>
        <v>2.09</v>
      </c>
      <c r="S137" s="123">
        <f t="shared" si="37"/>
        <v>2.09</v>
      </c>
      <c r="T137" s="123">
        <f t="shared" si="38"/>
        <v>2.09</v>
      </c>
      <c r="U137" s="123">
        <f t="shared" si="38"/>
        <v>2.09</v>
      </c>
      <c r="V137" s="123">
        <f t="shared" si="38"/>
        <v>2.09</v>
      </c>
      <c r="W137" s="123">
        <f t="shared" si="38"/>
        <v>2.09</v>
      </c>
      <c r="X137" s="123">
        <f t="shared" si="38"/>
        <v>2.09</v>
      </c>
      <c r="Y137" s="123">
        <f t="shared" si="38"/>
        <v>2.09</v>
      </c>
      <c r="Z137" s="123">
        <f t="shared" si="38"/>
        <v>2.09</v>
      </c>
      <c r="AA137" s="123">
        <f t="shared" si="38"/>
        <v>2.09</v>
      </c>
      <c r="AB137" s="123">
        <f t="shared" si="38"/>
        <v>2.09</v>
      </c>
      <c r="AC137" s="123">
        <f t="shared" si="38"/>
        <v>2.09</v>
      </c>
      <c r="AD137" s="123">
        <f t="shared" si="38"/>
        <v>2.09</v>
      </c>
      <c r="AE137" s="123">
        <f t="shared" si="38"/>
        <v>2.09</v>
      </c>
      <c r="AF137" s="123">
        <f t="shared" si="38"/>
        <v>2.09</v>
      </c>
      <c r="AG137" s="126">
        <v>4.9800000000000004</v>
      </c>
      <c r="AH137" s="55"/>
      <c r="AI137" s="56"/>
      <c r="AK137" s="57"/>
    </row>
    <row r="138" spans="1:37" x14ac:dyDescent="0.25">
      <c r="A138" s="111" t="s">
        <v>142</v>
      </c>
      <c r="B138" s="123">
        <f t="shared" si="36"/>
        <v>1.1399999999999999</v>
      </c>
      <c r="C138" s="124">
        <v>1.1399999999999999</v>
      </c>
      <c r="D138" s="123">
        <f t="shared" si="37"/>
        <v>1.1399999999999999</v>
      </c>
      <c r="E138" s="123">
        <f t="shared" si="37"/>
        <v>1.1399999999999999</v>
      </c>
      <c r="F138" s="123">
        <f t="shared" si="37"/>
        <v>1.1399999999999999</v>
      </c>
      <c r="G138" s="123">
        <f t="shared" si="37"/>
        <v>1.1399999999999999</v>
      </c>
      <c r="H138" s="123">
        <f t="shared" si="37"/>
        <v>1.1399999999999999</v>
      </c>
      <c r="I138" s="123">
        <f t="shared" si="37"/>
        <v>1.1399999999999999</v>
      </c>
      <c r="J138" s="123">
        <f t="shared" si="37"/>
        <v>1.1399999999999999</v>
      </c>
      <c r="K138" s="123">
        <f t="shared" si="37"/>
        <v>1.1399999999999999</v>
      </c>
      <c r="L138" s="123">
        <f t="shared" si="37"/>
        <v>1.1399999999999999</v>
      </c>
      <c r="M138" s="123">
        <f t="shared" si="37"/>
        <v>1.1399999999999999</v>
      </c>
      <c r="N138" s="123">
        <f t="shared" si="37"/>
        <v>1.1399999999999999</v>
      </c>
      <c r="O138" s="123">
        <f t="shared" si="37"/>
        <v>1.1399999999999999</v>
      </c>
      <c r="P138" s="123">
        <f t="shared" si="37"/>
        <v>1.1399999999999999</v>
      </c>
      <c r="Q138" s="123">
        <f t="shared" si="37"/>
        <v>1.1399999999999999</v>
      </c>
      <c r="R138" s="123">
        <f t="shared" si="37"/>
        <v>1.1399999999999999</v>
      </c>
      <c r="S138" s="123">
        <f t="shared" si="37"/>
        <v>1.1399999999999999</v>
      </c>
      <c r="T138" s="123">
        <f t="shared" si="38"/>
        <v>1.1399999999999999</v>
      </c>
      <c r="U138" s="123">
        <f t="shared" si="38"/>
        <v>1.1399999999999999</v>
      </c>
      <c r="V138" s="123">
        <f t="shared" si="38"/>
        <v>1.1399999999999999</v>
      </c>
      <c r="W138" s="123">
        <f t="shared" si="38"/>
        <v>1.1399999999999999</v>
      </c>
      <c r="X138" s="123">
        <f t="shared" si="38"/>
        <v>1.1399999999999999</v>
      </c>
      <c r="Y138" s="123">
        <f t="shared" si="38"/>
        <v>1.1399999999999999</v>
      </c>
      <c r="Z138" s="123">
        <f t="shared" si="38"/>
        <v>1.1399999999999999</v>
      </c>
      <c r="AA138" s="123">
        <f t="shared" si="38"/>
        <v>1.1399999999999999</v>
      </c>
      <c r="AB138" s="123">
        <f t="shared" si="38"/>
        <v>1.1399999999999999</v>
      </c>
      <c r="AC138" s="123">
        <f t="shared" si="38"/>
        <v>1.1399999999999999</v>
      </c>
      <c r="AD138" s="123">
        <f t="shared" si="38"/>
        <v>1.1399999999999999</v>
      </c>
      <c r="AE138" s="123">
        <f t="shared" si="38"/>
        <v>1.1399999999999999</v>
      </c>
      <c r="AF138" s="123">
        <f t="shared" si="38"/>
        <v>1.1399999999999999</v>
      </c>
      <c r="AG138" s="126">
        <v>4.95</v>
      </c>
      <c r="AH138" s="55"/>
      <c r="AI138" s="56"/>
      <c r="AK138" s="57"/>
    </row>
    <row r="139" spans="1:37" x14ac:dyDescent="0.25">
      <c r="A139" s="111" t="s">
        <v>143</v>
      </c>
      <c r="B139" s="123">
        <f t="shared" si="36"/>
        <v>0.82</v>
      </c>
      <c r="C139" s="124">
        <v>0.82</v>
      </c>
      <c r="D139" s="123">
        <f t="shared" si="37"/>
        <v>0.82</v>
      </c>
      <c r="E139" s="123">
        <f t="shared" si="37"/>
        <v>0.82</v>
      </c>
      <c r="F139" s="123">
        <f t="shared" si="37"/>
        <v>0.82</v>
      </c>
      <c r="G139" s="123">
        <f t="shared" si="37"/>
        <v>0.82</v>
      </c>
      <c r="H139" s="123">
        <f t="shared" si="37"/>
        <v>0.82</v>
      </c>
      <c r="I139" s="123">
        <f t="shared" si="37"/>
        <v>0.82</v>
      </c>
      <c r="J139" s="123">
        <f t="shared" si="37"/>
        <v>0.82</v>
      </c>
      <c r="K139" s="123">
        <f t="shared" si="37"/>
        <v>0.82</v>
      </c>
      <c r="L139" s="123">
        <f t="shared" si="37"/>
        <v>0.82</v>
      </c>
      <c r="M139" s="123">
        <f t="shared" si="37"/>
        <v>0.82</v>
      </c>
      <c r="N139" s="123">
        <f t="shared" si="37"/>
        <v>0.82</v>
      </c>
      <c r="O139" s="123">
        <f t="shared" si="37"/>
        <v>0.82</v>
      </c>
      <c r="P139" s="123">
        <f t="shared" si="37"/>
        <v>0.82</v>
      </c>
      <c r="Q139" s="123">
        <f t="shared" si="37"/>
        <v>0.82</v>
      </c>
      <c r="R139" s="123">
        <f t="shared" si="37"/>
        <v>0.82</v>
      </c>
      <c r="S139" s="123">
        <f t="shared" si="37"/>
        <v>0.82</v>
      </c>
      <c r="T139" s="123">
        <f t="shared" si="38"/>
        <v>0.82</v>
      </c>
      <c r="U139" s="123">
        <f t="shared" si="38"/>
        <v>0.82</v>
      </c>
      <c r="V139" s="123">
        <f t="shared" si="38"/>
        <v>0.82</v>
      </c>
      <c r="W139" s="123">
        <f t="shared" si="38"/>
        <v>0.82</v>
      </c>
      <c r="X139" s="123">
        <f t="shared" si="38"/>
        <v>0.82</v>
      </c>
      <c r="Y139" s="123">
        <f t="shared" si="38"/>
        <v>0.82</v>
      </c>
      <c r="Z139" s="123">
        <f t="shared" si="38"/>
        <v>0.82</v>
      </c>
      <c r="AA139" s="123">
        <f t="shared" si="38"/>
        <v>0.82</v>
      </c>
      <c r="AB139" s="123">
        <f t="shared" si="38"/>
        <v>0.82</v>
      </c>
      <c r="AC139" s="123">
        <f t="shared" si="38"/>
        <v>0.82</v>
      </c>
      <c r="AD139" s="123">
        <f t="shared" si="38"/>
        <v>0.82</v>
      </c>
      <c r="AE139" s="123">
        <f t="shared" si="38"/>
        <v>0.82</v>
      </c>
      <c r="AF139" s="123">
        <f t="shared" si="38"/>
        <v>0.82</v>
      </c>
      <c r="AG139" s="126">
        <v>4.95</v>
      </c>
      <c r="AH139" s="55"/>
      <c r="AI139" s="56"/>
      <c r="AK139" s="57"/>
    </row>
    <row r="140" spans="1:37" x14ac:dyDescent="0.25">
      <c r="A140" s="111" t="s">
        <v>144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5"/>
      <c r="AI140" s="56"/>
      <c r="AK140" s="57"/>
    </row>
    <row r="141" spans="1:37" x14ac:dyDescent="0.25">
      <c r="A141" s="111" t="s">
        <v>145</v>
      </c>
      <c r="B141" s="123">
        <f t="shared" ref="B141:B147" si="39">AF141</f>
        <v>2</v>
      </c>
      <c r="C141" s="124">
        <v>2</v>
      </c>
      <c r="D141" s="123">
        <f t="shared" ref="D141:S147" si="40">C141</f>
        <v>2</v>
      </c>
      <c r="E141" s="123">
        <f t="shared" si="40"/>
        <v>2</v>
      </c>
      <c r="F141" s="123">
        <f t="shared" si="40"/>
        <v>2</v>
      </c>
      <c r="G141" s="123">
        <f t="shared" si="40"/>
        <v>2</v>
      </c>
      <c r="H141" s="123">
        <f t="shared" si="40"/>
        <v>2</v>
      </c>
      <c r="I141" s="123">
        <f t="shared" si="40"/>
        <v>2</v>
      </c>
      <c r="J141" s="123">
        <f t="shared" si="40"/>
        <v>2</v>
      </c>
      <c r="K141" s="123">
        <f t="shared" si="40"/>
        <v>2</v>
      </c>
      <c r="L141" s="123">
        <f t="shared" si="40"/>
        <v>2</v>
      </c>
      <c r="M141" s="123">
        <f t="shared" si="40"/>
        <v>2</v>
      </c>
      <c r="N141" s="123">
        <f t="shared" si="40"/>
        <v>2</v>
      </c>
      <c r="O141" s="123">
        <f t="shared" si="40"/>
        <v>2</v>
      </c>
      <c r="P141" s="123">
        <f t="shared" si="40"/>
        <v>2</v>
      </c>
      <c r="Q141" s="123">
        <f t="shared" si="40"/>
        <v>2</v>
      </c>
      <c r="R141" s="123">
        <f t="shared" si="40"/>
        <v>2</v>
      </c>
      <c r="S141" s="123">
        <f t="shared" si="40"/>
        <v>2</v>
      </c>
      <c r="T141" s="123">
        <f t="shared" ref="T141:AF147" si="41">S141</f>
        <v>2</v>
      </c>
      <c r="U141" s="123">
        <f t="shared" si="41"/>
        <v>2</v>
      </c>
      <c r="V141" s="123">
        <f t="shared" si="41"/>
        <v>2</v>
      </c>
      <c r="W141" s="123">
        <f t="shared" si="41"/>
        <v>2</v>
      </c>
      <c r="X141" s="123">
        <f t="shared" si="41"/>
        <v>2</v>
      </c>
      <c r="Y141" s="123">
        <f t="shared" si="41"/>
        <v>2</v>
      </c>
      <c r="Z141" s="123">
        <f t="shared" si="41"/>
        <v>2</v>
      </c>
      <c r="AA141" s="123">
        <f t="shared" si="41"/>
        <v>2</v>
      </c>
      <c r="AB141" s="123">
        <f t="shared" si="41"/>
        <v>2</v>
      </c>
      <c r="AC141" s="123">
        <f t="shared" si="41"/>
        <v>2</v>
      </c>
      <c r="AD141" s="123">
        <f t="shared" si="41"/>
        <v>2</v>
      </c>
      <c r="AE141" s="123">
        <f t="shared" si="41"/>
        <v>2</v>
      </c>
      <c r="AF141" s="123">
        <f t="shared" si="41"/>
        <v>2</v>
      </c>
      <c r="AG141" s="126">
        <v>4.8</v>
      </c>
      <c r="AH141" s="55"/>
      <c r="AI141" s="56"/>
      <c r="AK141" s="57"/>
    </row>
    <row r="142" spans="1:37" x14ac:dyDescent="0.25">
      <c r="A142" s="111" t="s">
        <v>146</v>
      </c>
      <c r="B142" s="123">
        <f t="shared" si="39"/>
        <v>5.61</v>
      </c>
      <c r="C142" s="124">
        <v>5.61</v>
      </c>
      <c r="D142" s="123">
        <f t="shared" si="40"/>
        <v>5.61</v>
      </c>
      <c r="E142" s="123">
        <f t="shared" si="40"/>
        <v>5.61</v>
      </c>
      <c r="F142" s="123">
        <f t="shared" si="40"/>
        <v>5.61</v>
      </c>
      <c r="G142" s="123">
        <f t="shared" si="40"/>
        <v>5.61</v>
      </c>
      <c r="H142" s="123">
        <f t="shared" si="40"/>
        <v>5.61</v>
      </c>
      <c r="I142" s="123">
        <f t="shared" si="40"/>
        <v>5.61</v>
      </c>
      <c r="J142" s="123">
        <f t="shared" si="40"/>
        <v>5.61</v>
      </c>
      <c r="K142" s="123">
        <f t="shared" si="40"/>
        <v>5.61</v>
      </c>
      <c r="L142" s="123">
        <f t="shared" si="40"/>
        <v>5.61</v>
      </c>
      <c r="M142" s="123">
        <f t="shared" si="40"/>
        <v>5.61</v>
      </c>
      <c r="N142" s="123">
        <f t="shared" si="40"/>
        <v>5.61</v>
      </c>
      <c r="O142" s="123">
        <f t="shared" si="40"/>
        <v>5.61</v>
      </c>
      <c r="P142" s="123">
        <f t="shared" si="40"/>
        <v>5.61</v>
      </c>
      <c r="Q142" s="123">
        <f t="shared" si="40"/>
        <v>5.61</v>
      </c>
      <c r="R142" s="123">
        <f t="shared" si="40"/>
        <v>5.61</v>
      </c>
      <c r="S142" s="123">
        <f t="shared" si="40"/>
        <v>5.61</v>
      </c>
      <c r="T142" s="123">
        <f t="shared" si="41"/>
        <v>5.61</v>
      </c>
      <c r="U142" s="123">
        <f t="shared" si="41"/>
        <v>5.61</v>
      </c>
      <c r="V142" s="123">
        <f t="shared" si="41"/>
        <v>5.61</v>
      </c>
      <c r="W142" s="123">
        <f t="shared" si="41"/>
        <v>5.61</v>
      </c>
      <c r="X142" s="123">
        <f t="shared" si="41"/>
        <v>5.61</v>
      </c>
      <c r="Y142" s="123">
        <f t="shared" si="41"/>
        <v>5.61</v>
      </c>
      <c r="Z142" s="123">
        <f t="shared" si="41"/>
        <v>5.61</v>
      </c>
      <c r="AA142" s="123">
        <f t="shared" si="41"/>
        <v>5.61</v>
      </c>
      <c r="AB142" s="123">
        <f t="shared" si="41"/>
        <v>5.61</v>
      </c>
      <c r="AC142" s="123">
        <f t="shared" si="41"/>
        <v>5.61</v>
      </c>
      <c r="AD142" s="123">
        <f t="shared" si="41"/>
        <v>5.61</v>
      </c>
      <c r="AE142" s="123">
        <f t="shared" si="41"/>
        <v>5.61</v>
      </c>
      <c r="AF142" s="123">
        <f t="shared" si="41"/>
        <v>5.61</v>
      </c>
      <c r="AG142" s="126">
        <v>4.8</v>
      </c>
      <c r="AH142" s="55"/>
      <c r="AI142" s="56"/>
      <c r="AK142" s="57"/>
    </row>
    <row r="143" spans="1:37" x14ac:dyDescent="0.25">
      <c r="A143" s="111" t="s">
        <v>147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148</v>
      </c>
      <c r="B144" s="123">
        <f t="shared" si="39"/>
        <v>1.25</v>
      </c>
      <c r="C144" s="124">
        <v>1.25</v>
      </c>
      <c r="D144" s="123">
        <f t="shared" si="40"/>
        <v>1.25</v>
      </c>
      <c r="E144" s="123">
        <f t="shared" si="40"/>
        <v>1.25</v>
      </c>
      <c r="F144" s="123">
        <f t="shared" si="40"/>
        <v>1.25</v>
      </c>
      <c r="G144" s="123">
        <f t="shared" si="40"/>
        <v>1.25</v>
      </c>
      <c r="H144" s="123">
        <f t="shared" si="40"/>
        <v>1.25</v>
      </c>
      <c r="I144" s="123">
        <f t="shared" si="40"/>
        <v>1.25</v>
      </c>
      <c r="J144" s="123">
        <f t="shared" si="40"/>
        <v>1.25</v>
      </c>
      <c r="K144" s="123">
        <f t="shared" si="40"/>
        <v>1.25</v>
      </c>
      <c r="L144" s="123">
        <f t="shared" si="40"/>
        <v>1.25</v>
      </c>
      <c r="M144" s="123">
        <f t="shared" si="40"/>
        <v>1.25</v>
      </c>
      <c r="N144" s="123">
        <f t="shared" si="40"/>
        <v>1.25</v>
      </c>
      <c r="O144" s="123">
        <f t="shared" si="40"/>
        <v>1.25</v>
      </c>
      <c r="P144" s="123">
        <f t="shared" si="40"/>
        <v>1.25</v>
      </c>
      <c r="Q144" s="123">
        <f t="shared" si="40"/>
        <v>1.25</v>
      </c>
      <c r="R144" s="123">
        <f t="shared" si="40"/>
        <v>1.25</v>
      </c>
      <c r="S144" s="123">
        <f t="shared" si="40"/>
        <v>1.25</v>
      </c>
      <c r="T144" s="123">
        <f t="shared" si="41"/>
        <v>1.25</v>
      </c>
      <c r="U144" s="123">
        <f t="shared" si="41"/>
        <v>1.25</v>
      </c>
      <c r="V144" s="123">
        <f t="shared" si="41"/>
        <v>1.25</v>
      </c>
      <c r="W144" s="123">
        <f t="shared" si="41"/>
        <v>1.25</v>
      </c>
      <c r="X144" s="123">
        <f t="shared" si="41"/>
        <v>1.25</v>
      </c>
      <c r="Y144" s="123">
        <f t="shared" si="41"/>
        <v>1.25</v>
      </c>
      <c r="Z144" s="123">
        <f t="shared" si="41"/>
        <v>1.25</v>
      </c>
      <c r="AA144" s="123">
        <f t="shared" si="41"/>
        <v>1.25</v>
      </c>
      <c r="AB144" s="123">
        <f t="shared" si="41"/>
        <v>1.25</v>
      </c>
      <c r="AC144" s="123">
        <f t="shared" si="41"/>
        <v>1.25</v>
      </c>
      <c r="AD144" s="123">
        <f t="shared" si="41"/>
        <v>1.25</v>
      </c>
      <c r="AE144" s="123">
        <f t="shared" si="41"/>
        <v>1.25</v>
      </c>
      <c r="AF144" s="123">
        <f t="shared" si="41"/>
        <v>1.25</v>
      </c>
      <c r="AG144" s="126">
        <v>4.5</v>
      </c>
      <c r="AH144" s="55"/>
      <c r="AI144" s="56"/>
      <c r="AK144" s="57"/>
    </row>
    <row r="145" spans="1:37" x14ac:dyDescent="0.25">
      <c r="A145" s="111" t="s">
        <v>149</v>
      </c>
      <c r="B145" s="123">
        <f t="shared" si="39"/>
        <v>1.46</v>
      </c>
      <c r="C145" s="124">
        <v>1.46</v>
      </c>
      <c r="D145" s="123">
        <f t="shared" si="40"/>
        <v>1.46</v>
      </c>
      <c r="E145" s="123">
        <f t="shared" si="40"/>
        <v>1.46</v>
      </c>
      <c r="F145" s="123">
        <f t="shared" si="40"/>
        <v>1.46</v>
      </c>
      <c r="G145" s="123">
        <f t="shared" si="40"/>
        <v>1.46</v>
      </c>
      <c r="H145" s="123">
        <f t="shared" si="40"/>
        <v>1.46</v>
      </c>
      <c r="I145" s="123">
        <f t="shared" si="40"/>
        <v>1.46</v>
      </c>
      <c r="J145" s="123">
        <f t="shared" si="40"/>
        <v>1.46</v>
      </c>
      <c r="K145" s="123">
        <f t="shared" si="40"/>
        <v>1.46</v>
      </c>
      <c r="L145" s="123">
        <f t="shared" si="40"/>
        <v>1.46</v>
      </c>
      <c r="M145" s="123">
        <f t="shared" si="40"/>
        <v>1.46</v>
      </c>
      <c r="N145" s="123">
        <f t="shared" si="40"/>
        <v>1.46</v>
      </c>
      <c r="O145" s="123">
        <f t="shared" si="40"/>
        <v>1.46</v>
      </c>
      <c r="P145" s="123">
        <f t="shared" si="40"/>
        <v>1.46</v>
      </c>
      <c r="Q145" s="123">
        <f t="shared" si="40"/>
        <v>1.46</v>
      </c>
      <c r="R145" s="123">
        <f t="shared" si="40"/>
        <v>1.46</v>
      </c>
      <c r="S145" s="123">
        <f t="shared" si="40"/>
        <v>1.46</v>
      </c>
      <c r="T145" s="123">
        <f t="shared" si="41"/>
        <v>1.46</v>
      </c>
      <c r="U145" s="123">
        <f t="shared" si="41"/>
        <v>1.46</v>
      </c>
      <c r="V145" s="123">
        <f t="shared" si="41"/>
        <v>1.46</v>
      </c>
      <c r="W145" s="123">
        <f t="shared" si="41"/>
        <v>1.46</v>
      </c>
      <c r="X145" s="123">
        <f t="shared" si="41"/>
        <v>1.46</v>
      </c>
      <c r="Y145" s="123">
        <f t="shared" si="41"/>
        <v>1.46</v>
      </c>
      <c r="Z145" s="123">
        <f t="shared" si="41"/>
        <v>1.46</v>
      </c>
      <c r="AA145" s="123">
        <f t="shared" si="41"/>
        <v>1.46</v>
      </c>
      <c r="AB145" s="123">
        <f t="shared" si="41"/>
        <v>1.46</v>
      </c>
      <c r="AC145" s="123">
        <f t="shared" si="41"/>
        <v>1.46</v>
      </c>
      <c r="AD145" s="123">
        <f t="shared" si="41"/>
        <v>1.46</v>
      </c>
      <c r="AE145" s="123">
        <f t="shared" si="41"/>
        <v>1.46</v>
      </c>
      <c r="AF145" s="123">
        <f t="shared" si="41"/>
        <v>1.46</v>
      </c>
      <c r="AG145" s="126">
        <v>4.4550000000000001</v>
      </c>
      <c r="AH145" s="55"/>
      <c r="AI145" s="56"/>
      <c r="AK145" s="57"/>
    </row>
    <row r="146" spans="1:37" x14ac:dyDescent="0.25">
      <c r="A146" s="111" t="s">
        <v>150</v>
      </c>
      <c r="B146" s="123">
        <f t="shared" si="39"/>
        <v>3</v>
      </c>
      <c r="C146" s="124">
        <v>3</v>
      </c>
      <c r="D146" s="123">
        <f t="shared" si="40"/>
        <v>3</v>
      </c>
      <c r="E146" s="123">
        <f t="shared" si="40"/>
        <v>3</v>
      </c>
      <c r="F146" s="123">
        <f t="shared" si="40"/>
        <v>3</v>
      </c>
      <c r="G146" s="123">
        <f t="shared" si="40"/>
        <v>3</v>
      </c>
      <c r="H146" s="123">
        <f t="shared" si="40"/>
        <v>3</v>
      </c>
      <c r="I146" s="123">
        <f t="shared" si="40"/>
        <v>3</v>
      </c>
      <c r="J146" s="123">
        <f t="shared" si="40"/>
        <v>3</v>
      </c>
      <c r="K146" s="123">
        <f t="shared" si="40"/>
        <v>3</v>
      </c>
      <c r="L146" s="123">
        <f t="shared" si="40"/>
        <v>3</v>
      </c>
      <c r="M146" s="123">
        <f t="shared" si="40"/>
        <v>3</v>
      </c>
      <c r="N146" s="123">
        <f t="shared" si="40"/>
        <v>3</v>
      </c>
      <c r="O146" s="123">
        <f t="shared" si="40"/>
        <v>3</v>
      </c>
      <c r="P146" s="123">
        <f t="shared" si="40"/>
        <v>3</v>
      </c>
      <c r="Q146" s="123">
        <f t="shared" si="40"/>
        <v>3</v>
      </c>
      <c r="R146" s="123">
        <f t="shared" si="40"/>
        <v>3</v>
      </c>
      <c r="S146" s="123">
        <f t="shared" si="40"/>
        <v>3</v>
      </c>
      <c r="T146" s="123">
        <f t="shared" si="41"/>
        <v>3</v>
      </c>
      <c r="U146" s="123">
        <f t="shared" si="41"/>
        <v>3</v>
      </c>
      <c r="V146" s="123">
        <f t="shared" si="41"/>
        <v>3</v>
      </c>
      <c r="W146" s="123">
        <f t="shared" si="41"/>
        <v>3</v>
      </c>
      <c r="X146" s="123">
        <f t="shared" si="41"/>
        <v>3</v>
      </c>
      <c r="Y146" s="123">
        <f t="shared" si="41"/>
        <v>3</v>
      </c>
      <c r="Z146" s="123">
        <f t="shared" si="41"/>
        <v>3</v>
      </c>
      <c r="AA146" s="123">
        <f t="shared" si="41"/>
        <v>3</v>
      </c>
      <c r="AB146" s="123">
        <f t="shared" si="41"/>
        <v>3</v>
      </c>
      <c r="AC146" s="123">
        <f t="shared" si="41"/>
        <v>3</v>
      </c>
      <c r="AD146" s="123">
        <f t="shared" si="41"/>
        <v>3</v>
      </c>
      <c r="AE146" s="123">
        <f t="shared" si="41"/>
        <v>3</v>
      </c>
      <c r="AF146" s="123">
        <f t="shared" si="41"/>
        <v>3</v>
      </c>
      <c r="AG146" s="126">
        <v>4.41</v>
      </c>
      <c r="AH146" s="55"/>
      <c r="AI146" s="56"/>
      <c r="AK146" s="57"/>
    </row>
    <row r="147" spans="1:37" x14ac:dyDescent="0.25">
      <c r="A147" s="111" t="s">
        <v>151</v>
      </c>
      <c r="B147" s="123">
        <f t="shared" si="39"/>
        <v>3.3</v>
      </c>
      <c r="C147" s="124">
        <v>3.3</v>
      </c>
      <c r="D147" s="123">
        <f t="shared" si="40"/>
        <v>3.3</v>
      </c>
      <c r="E147" s="123">
        <f t="shared" si="40"/>
        <v>3.3</v>
      </c>
      <c r="F147" s="123">
        <f t="shared" si="40"/>
        <v>3.3</v>
      </c>
      <c r="G147" s="123">
        <f t="shared" si="40"/>
        <v>3.3</v>
      </c>
      <c r="H147" s="123">
        <f t="shared" si="40"/>
        <v>3.3</v>
      </c>
      <c r="I147" s="123">
        <f t="shared" si="40"/>
        <v>3.3</v>
      </c>
      <c r="J147" s="123">
        <f t="shared" si="40"/>
        <v>3.3</v>
      </c>
      <c r="K147" s="123">
        <f t="shared" si="40"/>
        <v>3.3</v>
      </c>
      <c r="L147" s="123">
        <f t="shared" si="40"/>
        <v>3.3</v>
      </c>
      <c r="M147" s="123">
        <f t="shared" si="40"/>
        <v>3.3</v>
      </c>
      <c r="N147" s="123">
        <f t="shared" si="40"/>
        <v>3.3</v>
      </c>
      <c r="O147" s="123">
        <f t="shared" si="40"/>
        <v>3.3</v>
      </c>
      <c r="P147" s="123">
        <f t="shared" si="40"/>
        <v>3.3</v>
      </c>
      <c r="Q147" s="123">
        <f t="shared" si="40"/>
        <v>3.3</v>
      </c>
      <c r="R147" s="123">
        <f t="shared" si="40"/>
        <v>3.3</v>
      </c>
      <c r="S147" s="123">
        <f t="shared" si="40"/>
        <v>3.3</v>
      </c>
      <c r="T147" s="123">
        <f t="shared" si="41"/>
        <v>3.3</v>
      </c>
      <c r="U147" s="123">
        <f t="shared" si="41"/>
        <v>3.3</v>
      </c>
      <c r="V147" s="123">
        <f t="shared" si="41"/>
        <v>3.3</v>
      </c>
      <c r="W147" s="123">
        <f t="shared" si="41"/>
        <v>3.3</v>
      </c>
      <c r="X147" s="123">
        <f t="shared" si="41"/>
        <v>3.3</v>
      </c>
      <c r="Y147" s="123">
        <f t="shared" si="41"/>
        <v>3.3</v>
      </c>
      <c r="Z147" s="123">
        <f t="shared" si="41"/>
        <v>3.3</v>
      </c>
      <c r="AA147" s="123">
        <f t="shared" si="41"/>
        <v>3.3</v>
      </c>
      <c r="AB147" s="123">
        <f t="shared" si="41"/>
        <v>3.3</v>
      </c>
      <c r="AC147" s="123">
        <f t="shared" si="41"/>
        <v>3.3</v>
      </c>
      <c r="AD147" s="123">
        <f t="shared" si="41"/>
        <v>3.3</v>
      </c>
      <c r="AE147" s="123">
        <f t="shared" si="41"/>
        <v>3.3</v>
      </c>
      <c r="AF147" s="123">
        <f t="shared" si="41"/>
        <v>3.3</v>
      </c>
      <c r="AG147" s="126">
        <v>4.4000000000000004</v>
      </c>
      <c r="AH147" s="55"/>
      <c r="AI147" s="56"/>
      <c r="AK147" s="57"/>
    </row>
    <row r="148" spans="1:37" x14ac:dyDescent="0.25">
      <c r="A148" s="111" t="s">
        <v>152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5"/>
      <c r="AI148" s="56"/>
      <c r="AK148" s="57"/>
    </row>
    <row r="149" spans="1:37" x14ac:dyDescent="0.25">
      <c r="A149" s="111" t="s">
        <v>153</v>
      </c>
      <c r="B149" s="123">
        <f>AF149</f>
        <v>1.76</v>
      </c>
      <c r="C149" s="124">
        <v>1.76</v>
      </c>
      <c r="D149" s="123">
        <f t="shared" ref="D149:S150" si="42">C149</f>
        <v>1.76</v>
      </c>
      <c r="E149" s="123">
        <f t="shared" si="42"/>
        <v>1.76</v>
      </c>
      <c r="F149" s="123">
        <f t="shared" si="42"/>
        <v>1.76</v>
      </c>
      <c r="G149" s="123">
        <f t="shared" si="42"/>
        <v>1.76</v>
      </c>
      <c r="H149" s="123">
        <f t="shared" si="42"/>
        <v>1.76</v>
      </c>
      <c r="I149" s="123">
        <f t="shared" si="42"/>
        <v>1.76</v>
      </c>
      <c r="J149" s="123">
        <f t="shared" si="42"/>
        <v>1.76</v>
      </c>
      <c r="K149" s="123">
        <f t="shared" si="42"/>
        <v>1.76</v>
      </c>
      <c r="L149" s="123">
        <f t="shared" si="42"/>
        <v>1.76</v>
      </c>
      <c r="M149" s="123">
        <f t="shared" si="42"/>
        <v>1.76</v>
      </c>
      <c r="N149" s="123">
        <f t="shared" si="42"/>
        <v>1.76</v>
      </c>
      <c r="O149" s="123">
        <f t="shared" si="42"/>
        <v>1.76</v>
      </c>
      <c r="P149" s="123">
        <f t="shared" si="42"/>
        <v>1.76</v>
      </c>
      <c r="Q149" s="123">
        <f t="shared" si="42"/>
        <v>1.76</v>
      </c>
      <c r="R149" s="123">
        <f t="shared" si="42"/>
        <v>1.76</v>
      </c>
      <c r="S149" s="123">
        <f t="shared" si="42"/>
        <v>1.76</v>
      </c>
      <c r="T149" s="123">
        <f t="shared" ref="T149:AF150" si="43">S149</f>
        <v>1.76</v>
      </c>
      <c r="U149" s="123">
        <f t="shared" si="43"/>
        <v>1.76</v>
      </c>
      <c r="V149" s="123">
        <f t="shared" si="43"/>
        <v>1.76</v>
      </c>
      <c r="W149" s="123">
        <f t="shared" si="43"/>
        <v>1.76</v>
      </c>
      <c r="X149" s="123">
        <f t="shared" si="43"/>
        <v>1.76</v>
      </c>
      <c r="Y149" s="123">
        <f t="shared" si="43"/>
        <v>1.76</v>
      </c>
      <c r="Z149" s="123">
        <f t="shared" si="43"/>
        <v>1.76</v>
      </c>
      <c r="AA149" s="123">
        <f t="shared" si="43"/>
        <v>1.76</v>
      </c>
      <c r="AB149" s="123">
        <f t="shared" si="43"/>
        <v>1.76</v>
      </c>
      <c r="AC149" s="123">
        <f t="shared" si="43"/>
        <v>1.76</v>
      </c>
      <c r="AD149" s="123">
        <f t="shared" si="43"/>
        <v>1.76</v>
      </c>
      <c r="AE149" s="123">
        <f t="shared" si="43"/>
        <v>1.76</v>
      </c>
      <c r="AF149" s="123">
        <f t="shared" si="43"/>
        <v>1.76</v>
      </c>
      <c r="AG149" s="126">
        <v>4.2</v>
      </c>
      <c r="AH149" s="55"/>
      <c r="AI149" s="56"/>
      <c r="AK149" s="57"/>
    </row>
    <row r="150" spans="1:37" x14ac:dyDescent="0.25">
      <c r="A150" s="111" t="s">
        <v>154</v>
      </c>
      <c r="B150" s="123">
        <f>AF150</f>
        <v>0</v>
      </c>
      <c r="C150" s="124">
        <v>0</v>
      </c>
      <c r="D150" s="123">
        <f t="shared" si="42"/>
        <v>0</v>
      </c>
      <c r="E150" s="123">
        <f t="shared" si="42"/>
        <v>0</v>
      </c>
      <c r="F150" s="123">
        <f t="shared" si="42"/>
        <v>0</v>
      </c>
      <c r="G150" s="123">
        <f t="shared" si="42"/>
        <v>0</v>
      </c>
      <c r="H150" s="123">
        <f t="shared" si="42"/>
        <v>0</v>
      </c>
      <c r="I150" s="123">
        <f t="shared" si="42"/>
        <v>0</v>
      </c>
      <c r="J150" s="123">
        <f t="shared" si="42"/>
        <v>0</v>
      </c>
      <c r="K150" s="123">
        <f t="shared" si="42"/>
        <v>0</v>
      </c>
      <c r="L150" s="123">
        <f t="shared" si="42"/>
        <v>0</v>
      </c>
      <c r="M150" s="123">
        <f t="shared" si="42"/>
        <v>0</v>
      </c>
      <c r="N150" s="123">
        <f t="shared" si="42"/>
        <v>0</v>
      </c>
      <c r="O150" s="123">
        <f t="shared" si="42"/>
        <v>0</v>
      </c>
      <c r="P150" s="123">
        <f t="shared" si="42"/>
        <v>0</v>
      </c>
      <c r="Q150" s="123">
        <f t="shared" si="42"/>
        <v>0</v>
      </c>
      <c r="R150" s="123">
        <f t="shared" si="42"/>
        <v>0</v>
      </c>
      <c r="S150" s="123">
        <f t="shared" si="42"/>
        <v>0</v>
      </c>
      <c r="T150" s="123">
        <f t="shared" si="43"/>
        <v>0</v>
      </c>
      <c r="U150" s="123">
        <f t="shared" si="43"/>
        <v>0</v>
      </c>
      <c r="V150" s="123">
        <f t="shared" si="43"/>
        <v>0</v>
      </c>
      <c r="W150" s="123">
        <f t="shared" si="43"/>
        <v>0</v>
      </c>
      <c r="X150" s="123">
        <f t="shared" si="43"/>
        <v>0</v>
      </c>
      <c r="Y150" s="123">
        <f t="shared" si="43"/>
        <v>0</v>
      </c>
      <c r="Z150" s="123">
        <f t="shared" si="43"/>
        <v>0</v>
      </c>
      <c r="AA150" s="123">
        <f t="shared" si="43"/>
        <v>0</v>
      </c>
      <c r="AB150" s="123">
        <f t="shared" si="43"/>
        <v>0</v>
      </c>
      <c r="AC150" s="123">
        <f t="shared" si="43"/>
        <v>0</v>
      </c>
      <c r="AD150" s="123">
        <f t="shared" si="43"/>
        <v>0</v>
      </c>
      <c r="AE150" s="123">
        <f t="shared" si="43"/>
        <v>0</v>
      </c>
      <c r="AF150" s="123">
        <f t="shared" si="43"/>
        <v>0</v>
      </c>
      <c r="AG150" s="126">
        <v>4</v>
      </c>
      <c r="AH150" s="55"/>
      <c r="AI150" s="56"/>
      <c r="AK150" s="57"/>
    </row>
    <row r="151" spans="1:37" x14ac:dyDescent="0.25">
      <c r="A151" s="111" t="s">
        <v>155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5"/>
      <c r="AI151" s="56"/>
      <c r="AK151" s="57"/>
    </row>
    <row r="152" spans="1:37" x14ac:dyDescent="0.25">
      <c r="A152" s="111" t="s">
        <v>156</v>
      </c>
      <c r="B152" s="123">
        <f>AF152</f>
        <v>0.1</v>
      </c>
      <c r="C152" s="124">
        <v>0.1</v>
      </c>
      <c r="D152" s="123">
        <f t="shared" ref="D152:S155" si="44">C152</f>
        <v>0.1</v>
      </c>
      <c r="E152" s="123">
        <f t="shared" si="44"/>
        <v>0.1</v>
      </c>
      <c r="F152" s="123">
        <f t="shared" si="44"/>
        <v>0.1</v>
      </c>
      <c r="G152" s="123">
        <f t="shared" si="44"/>
        <v>0.1</v>
      </c>
      <c r="H152" s="123">
        <f t="shared" si="44"/>
        <v>0.1</v>
      </c>
      <c r="I152" s="123">
        <f t="shared" si="44"/>
        <v>0.1</v>
      </c>
      <c r="J152" s="123">
        <f t="shared" si="44"/>
        <v>0.1</v>
      </c>
      <c r="K152" s="123">
        <f t="shared" si="44"/>
        <v>0.1</v>
      </c>
      <c r="L152" s="123">
        <f t="shared" si="44"/>
        <v>0.1</v>
      </c>
      <c r="M152" s="123">
        <f t="shared" si="44"/>
        <v>0.1</v>
      </c>
      <c r="N152" s="123">
        <f t="shared" si="44"/>
        <v>0.1</v>
      </c>
      <c r="O152" s="123">
        <f t="shared" si="44"/>
        <v>0.1</v>
      </c>
      <c r="P152" s="123">
        <f t="shared" si="44"/>
        <v>0.1</v>
      </c>
      <c r="Q152" s="123">
        <f t="shared" si="44"/>
        <v>0.1</v>
      </c>
      <c r="R152" s="123">
        <f t="shared" si="44"/>
        <v>0.1</v>
      </c>
      <c r="S152" s="123">
        <f t="shared" si="44"/>
        <v>0.1</v>
      </c>
      <c r="T152" s="123">
        <f t="shared" ref="T152:AF155" si="45">S152</f>
        <v>0.1</v>
      </c>
      <c r="U152" s="123">
        <f t="shared" si="45"/>
        <v>0.1</v>
      </c>
      <c r="V152" s="123">
        <f t="shared" si="45"/>
        <v>0.1</v>
      </c>
      <c r="W152" s="123">
        <f t="shared" si="45"/>
        <v>0.1</v>
      </c>
      <c r="X152" s="123">
        <f t="shared" si="45"/>
        <v>0.1</v>
      </c>
      <c r="Y152" s="123">
        <f t="shared" si="45"/>
        <v>0.1</v>
      </c>
      <c r="Z152" s="123">
        <f t="shared" si="45"/>
        <v>0.1</v>
      </c>
      <c r="AA152" s="123">
        <f t="shared" si="45"/>
        <v>0.1</v>
      </c>
      <c r="AB152" s="123">
        <f t="shared" si="45"/>
        <v>0.1</v>
      </c>
      <c r="AC152" s="123">
        <f t="shared" si="45"/>
        <v>0.1</v>
      </c>
      <c r="AD152" s="123">
        <f t="shared" si="45"/>
        <v>0.1</v>
      </c>
      <c r="AE152" s="123">
        <f t="shared" si="45"/>
        <v>0.1</v>
      </c>
      <c r="AF152" s="123">
        <f t="shared" si="45"/>
        <v>0.1</v>
      </c>
      <c r="AG152" s="126">
        <v>4</v>
      </c>
      <c r="AH152" s="55"/>
      <c r="AI152" s="56"/>
      <c r="AK152" s="57"/>
    </row>
    <row r="153" spans="1:37" x14ac:dyDescent="0.25">
      <c r="A153" s="111" t="s">
        <v>157</v>
      </c>
      <c r="B153" s="123">
        <f>AF153</f>
        <v>2.0499999999999998</v>
      </c>
      <c r="C153" s="124">
        <v>2.0499999999999998</v>
      </c>
      <c r="D153" s="123">
        <f t="shared" si="44"/>
        <v>2.0499999999999998</v>
      </c>
      <c r="E153" s="123">
        <f t="shared" si="44"/>
        <v>2.0499999999999998</v>
      </c>
      <c r="F153" s="123">
        <f t="shared" si="44"/>
        <v>2.0499999999999998</v>
      </c>
      <c r="G153" s="123">
        <f t="shared" si="44"/>
        <v>2.0499999999999998</v>
      </c>
      <c r="H153" s="123">
        <f t="shared" si="44"/>
        <v>2.0499999999999998</v>
      </c>
      <c r="I153" s="123">
        <f t="shared" si="44"/>
        <v>2.0499999999999998</v>
      </c>
      <c r="J153" s="123">
        <f t="shared" si="44"/>
        <v>2.0499999999999998</v>
      </c>
      <c r="K153" s="123">
        <f t="shared" si="44"/>
        <v>2.0499999999999998</v>
      </c>
      <c r="L153" s="123">
        <f t="shared" si="44"/>
        <v>2.0499999999999998</v>
      </c>
      <c r="M153" s="123">
        <f t="shared" si="44"/>
        <v>2.0499999999999998</v>
      </c>
      <c r="N153" s="123">
        <f t="shared" si="44"/>
        <v>2.0499999999999998</v>
      </c>
      <c r="O153" s="123">
        <f t="shared" si="44"/>
        <v>2.0499999999999998</v>
      </c>
      <c r="P153" s="123">
        <f t="shared" si="44"/>
        <v>2.0499999999999998</v>
      </c>
      <c r="Q153" s="123">
        <f t="shared" si="44"/>
        <v>2.0499999999999998</v>
      </c>
      <c r="R153" s="123">
        <f t="shared" si="44"/>
        <v>2.0499999999999998</v>
      </c>
      <c r="S153" s="123">
        <f t="shared" si="44"/>
        <v>2.0499999999999998</v>
      </c>
      <c r="T153" s="123">
        <f t="shared" si="45"/>
        <v>2.0499999999999998</v>
      </c>
      <c r="U153" s="123">
        <f t="shared" si="45"/>
        <v>2.0499999999999998</v>
      </c>
      <c r="V153" s="123">
        <f t="shared" si="45"/>
        <v>2.0499999999999998</v>
      </c>
      <c r="W153" s="123">
        <f t="shared" si="45"/>
        <v>2.0499999999999998</v>
      </c>
      <c r="X153" s="123">
        <f t="shared" si="45"/>
        <v>2.0499999999999998</v>
      </c>
      <c r="Y153" s="123">
        <f t="shared" si="45"/>
        <v>2.0499999999999998</v>
      </c>
      <c r="Z153" s="123">
        <f t="shared" si="45"/>
        <v>2.0499999999999998</v>
      </c>
      <c r="AA153" s="123">
        <f t="shared" si="45"/>
        <v>2.0499999999999998</v>
      </c>
      <c r="AB153" s="123">
        <f t="shared" si="45"/>
        <v>2.0499999999999998</v>
      </c>
      <c r="AC153" s="123">
        <f t="shared" si="45"/>
        <v>2.0499999999999998</v>
      </c>
      <c r="AD153" s="123">
        <f t="shared" si="45"/>
        <v>2.0499999999999998</v>
      </c>
      <c r="AE153" s="123">
        <f t="shared" si="45"/>
        <v>2.0499999999999998</v>
      </c>
      <c r="AF153" s="123">
        <f t="shared" si="45"/>
        <v>2.0499999999999998</v>
      </c>
      <c r="AG153" s="126">
        <v>4</v>
      </c>
      <c r="AH153" s="55"/>
      <c r="AI153" s="56"/>
      <c r="AK153" s="57"/>
    </row>
    <row r="154" spans="1:37" x14ac:dyDescent="0.25">
      <c r="A154" s="111" t="s">
        <v>158</v>
      </c>
      <c r="B154" s="123">
        <f>AF154</f>
        <v>2.7</v>
      </c>
      <c r="C154" s="124">
        <v>2.7</v>
      </c>
      <c r="D154" s="123">
        <f t="shared" si="44"/>
        <v>2.7</v>
      </c>
      <c r="E154" s="123">
        <f t="shared" si="44"/>
        <v>2.7</v>
      </c>
      <c r="F154" s="123">
        <f t="shared" si="44"/>
        <v>2.7</v>
      </c>
      <c r="G154" s="123">
        <f t="shared" si="44"/>
        <v>2.7</v>
      </c>
      <c r="H154" s="123">
        <f t="shared" si="44"/>
        <v>2.7</v>
      </c>
      <c r="I154" s="123">
        <f t="shared" si="44"/>
        <v>2.7</v>
      </c>
      <c r="J154" s="123">
        <f t="shared" si="44"/>
        <v>2.7</v>
      </c>
      <c r="K154" s="123">
        <f t="shared" si="44"/>
        <v>2.7</v>
      </c>
      <c r="L154" s="123">
        <f t="shared" si="44"/>
        <v>2.7</v>
      </c>
      <c r="M154" s="123">
        <f t="shared" si="44"/>
        <v>2.7</v>
      </c>
      <c r="N154" s="123">
        <f t="shared" si="44"/>
        <v>2.7</v>
      </c>
      <c r="O154" s="123">
        <f t="shared" si="44"/>
        <v>2.7</v>
      </c>
      <c r="P154" s="123">
        <f t="shared" si="44"/>
        <v>2.7</v>
      </c>
      <c r="Q154" s="123">
        <f t="shared" si="44"/>
        <v>2.7</v>
      </c>
      <c r="R154" s="123">
        <f t="shared" si="44"/>
        <v>2.7</v>
      </c>
      <c r="S154" s="123">
        <f t="shared" si="44"/>
        <v>2.7</v>
      </c>
      <c r="T154" s="123">
        <f t="shared" si="45"/>
        <v>2.7</v>
      </c>
      <c r="U154" s="123">
        <f t="shared" si="45"/>
        <v>2.7</v>
      </c>
      <c r="V154" s="123">
        <f t="shared" si="45"/>
        <v>2.7</v>
      </c>
      <c r="W154" s="123">
        <f t="shared" si="45"/>
        <v>2.7</v>
      </c>
      <c r="X154" s="123">
        <f t="shared" si="45"/>
        <v>2.7</v>
      </c>
      <c r="Y154" s="123">
        <f t="shared" si="45"/>
        <v>2.7</v>
      </c>
      <c r="Z154" s="123">
        <f t="shared" si="45"/>
        <v>2.7</v>
      </c>
      <c r="AA154" s="123">
        <f t="shared" si="45"/>
        <v>2.7</v>
      </c>
      <c r="AB154" s="123">
        <f t="shared" si="45"/>
        <v>2.7</v>
      </c>
      <c r="AC154" s="123">
        <f t="shared" si="45"/>
        <v>2.7</v>
      </c>
      <c r="AD154" s="123">
        <f t="shared" si="45"/>
        <v>2.7</v>
      </c>
      <c r="AE154" s="123">
        <f t="shared" si="45"/>
        <v>2.7</v>
      </c>
      <c r="AF154" s="123">
        <f t="shared" si="45"/>
        <v>2.7</v>
      </c>
      <c r="AG154" s="126">
        <v>4</v>
      </c>
      <c r="AH154" s="55"/>
      <c r="AI154" s="56"/>
      <c r="AK154" s="57"/>
    </row>
    <row r="155" spans="1:37" x14ac:dyDescent="0.25">
      <c r="A155" s="111" t="s">
        <v>159</v>
      </c>
      <c r="B155" s="123">
        <f>AF155</f>
        <v>2.15</v>
      </c>
      <c r="C155" s="124">
        <v>2.15</v>
      </c>
      <c r="D155" s="123">
        <f t="shared" si="44"/>
        <v>2.15</v>
      </c>
      <c r="E155" s="123">
        <f t="shared" si="44"/>
        <v>2.15</v>
      </c>
      <c r="F155" s="123">
        <f t="shared" si="44"/>
        <v>2.15</v>
      </c>
      <c r="G155" s="123">
        <f t="shared" si="44"/>
        <v>2.15</v>
      </c>
      <c r="H155" s="123">
        <f t="shared" si="44"/>
        <v>2.15</v>
      </c>
      <c r="I155" s="123">
        <f t="shared" si="44"/>
        <v>2.15</v>
      </c>
      <c r="J155" s="123">
        <f t="shared" si="44"/>
        <v>2.15</v>
      </c>
      <c r="K155" s="123">
        <f t="shared" si="44"/>
        <v>2.15</v>
      </c>
      <c r="L155" s="123">
        <f t="shared" si="44"/>
        <v>2.15</v>
      </c>
      <c r="M155" s="123">
        <f t="shared" si="44"/>
        <v>2.15</v>
      </c>
      <c r="N155" s="123">
        <f t="shared" si="44"/>
        <v>2.15</v>
      </c>
      <c r="O155" s="123">
        <f t="shared" si="44"/>
        <v>2.15</v>
      </c>
      <c r="P155" s="123">
        <f t="shared" si="44"/>
        <v>2.15</v>
      </c>
      <c r="Q155" s="123">
        <f t="shared" si="44"/>
        <v>2.15</v>
      </c>
      <c r="R155" s="123">
        <f t="shared" si="44"/>
        <v>2.15</v>
      </c>
      <c r="S155" s="123">
        <f t="shared" si="44"/>
        <v>2.15</v>
      </c>
      <c r="T155" s="123">
        <f t="shared" si="45"/>
        <v>2.15</v>
      </c>
      <c r="U155" s="123">
        <f t="shared" si="45"/>
        <v>2.15</v>
      </c>
      <c r="V155" s="123">
        <f t="shared" si="45"/>
        <v>2.15</v>
      </c>
      <c r="W155" s="123">
        <f t="shared" si="45"/>
        <v>2.15</v>
      </c>
      <c r="X155" s="123">
        <f t="shared" si="45"/>
        <v>2.15</v>
      </c>
      <c r="Y155" s="123">
        <f t="shared" si="45"/>
        <v>2.15</v>
      </c>
      <c r="Z155" s="123">
        <f t="shared" si="45"/>
        <v>2.15</v>
      </c>
      <c r="AA155" s="123">
        <f t="shared" si="45"/>
        <v>2.15</v>
      </c>
      <c r="AB155" s="123">
        <f t="shared" si="45"/>
        <v>2.15</v>
      </c>
      <c r="AC155" s="123">
        <f t="shared" si="45"/>
        <v>2.15</v>
      </c>
      <c r="AD155" s="123">
        <f t="shared" si="45"/>
        <v>2.15</v>
      </c>
      <c r="AE155" s="123">
        <f t="shared" si="45"/>
        <v>2.15</v>
      </c>
      <c r="AF155" s="123">
        <f t="shared" si="45"/>
        <v>2.15</v>
      </c>
      <c r="AG155" s="126">
        <v>4</v>
      </c>
      <c r="AH155" s="55"/>
      <c r="AI155" s="56"/>
      <c r="AK155" s="57"/>
    </row>
    <row r="156" spans="1:37" x14ac:dyDescent="0.25">
      <c r="A156" s="111" t="s">
        <v>160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5"/>
      <c r="AI156" s="56"/>
      <c r="AK156" s="57"/>
    </row>
    <row r="157" spans="1:37" x14ac:dyDescent="0.25">
      <c r="A157" s="111" t="s">
        <v>161</v>
      </c>
      <c r="B157" s="123">
        <f t="shared" ref="B157:B169" si="46">AF157</f>
        <v>0.9</v>
      </c>
      <c r="C157" s="124">
        <v>0.9</v>
      </c>
      <c r="D157" s="123">
        <f t="shared" ref="D157:S169" si="47">C157</f>
        <v>0.9</v>
      </c>
      <c r="E157" s="123">
        <f t="shared" si="47"/>
        <v>0.9</v>
      </c>
      <c r="F157" s="123">
        <f t="shared" si="47"/>
        <v>0.9</v>
      </c>
      <c r="G157" s="123">
        <f t="shared" si="47"/>
        <v>0.9</v>
      </c>
      <c r="H157" s="123">
        <f t="shared" si="47"/>
        <v>0.9</v>
      </c>
      <c r="I157" s="123">
        <f t="shared" si="47"/>
        <v>0.9</v>
      </c>
      <c r="J157" s="123">
        <f t="shared" si="47"/>
        <v>0.9</v>
      </c>
      <c r="K157" s="123">
        <f t="shared" si="47"/>
        <v>0.9</v>
      </c>
      <c r="L157" s="123">
        <f t="shared" si="47"/>
        <v>0.9</v>
      </c>
      <c r="M157" s="123">
        <f t="shared" si="47"/>
        <v>0.9</v>
      </c>
      <c r="N157" s="123">
        <f t="shared" si="47"/>
        <v>0.9</v>
      </c>
      <c r="O157" s="123">
        <f t="shared" si="47"/>
        <v>0.9</v>
      </c>
      <c r="P157" s="123">
        <f t="shared" si="47"/>
        <v>0.9</v>
      </c>
      <c r="Q157" s="123">
        <f t="shared" si="47"/>
        <v>0.9</v>
      </c>
      <c r="R157" s="123">
        <f t="shared" si="47"/>
        <v>0.9</v>
      </c>
      <c r="S157" s="123">
        <f t="shared" si="47"/>
        <v>0.9</v>
      </c>
      <c r="T157" s="123">
        <f t="shared" ref="S157:AF169" si="48">S157</f>
        <v>0.9</v>
      </c>
      <c r="U157" s="123">
        <f t="shared" si="48"/>
        <v>0.9</v>
      </c>
      <c r="V157" s="123">
        <f t="shared" si="48"/>
        <v>0.9</v>
      </c>
      <c r="W157" s="123">
        <f t="shared" si="48"/>
        <v>0.9</v>
      </c>
      <c r="X157" s="123">
        <f t="shared" si="48"/>
        <v>0.9</v>
      </c>
      <c r="Y157" s="123">
        <f t="shared" si="48"/>
        <v>0.9</v>
      </c>
      <c r="Z157" s="123">
        <f t="shared" si="48"/>
        <v>0.9</v>
      </c>
      <c r="AA157" s="123">
        <f t="shared" si="48"/>
        <v>0.9</v>
      </c>
      <c r="AB157" s="123">
        <f t="shared" si="48"/>
        <v>0.9</v>
      </c>
      <c r="AC157" s="123">
        <f t="shared" si="48"/>
        <v>0.9</v>
      </c>
      <c r="AD157" s="123">
        <f t="shared" si="48"/>
        <v>0.9</v>
      </c>
      <c r="AE157" s="123">
        <f t="shared" si="48"/>
        <v>0.9</v>
      </c>
      <c r="AF157" s="123">
        <f t="shared" si="48"/>
        <v>0.9</v>
      </c>
      <c r="AG157" s="126">
        <v>4</v>
      </c>
      <c r="AH157" s="55"/>
      <c r="AI157" s="56"/>
      <c r="AK157" s="57"/>
    </row>
    <row r="158" spans="1:37" x14ac:dyDescent="0.25">
      <c r="A158" s="111" t="s">
        <v>162</v>
      </c>
      <c r="B158" s="123">
        <f t="shared" si="46"/>
        <v>1.08</v>
      </c>
      <c r="C158" s="124">
        <v>1.08</v>
      </c>
      <c r="D158" s="123">
        <f t="shared" si="47"/>
        <v>1.08</v>
      </c>
      <c r="E158" s="123">
        <f t="shared" si="47"/>
        <v>1.08</v>
      </c>
      <c r="F158" s="123">
        <f t="shared" si="47"/>
        <v>1.08</v>
      </c>
      <c r="G158" s="123">
        <f t="shared" si="47"/>
        <v>1.08</v>
      </c>
      <c r="H158" s="123">
        <f t="shared" si="47"/>
        <v>1.08</v>
      </c>
      <c r="I158" s="123">
        <f t="shared" si="47"/>
        <v>1.08</v>
      </c>
      <c r="J158" s="123">
        <f t="shared" si="47"/>
        <v>1.08</v>
      </c>
      <c r="K158" s="123">
        <f t="shared" si="47"/>
        <v>1.08</v>
      </c>
      <c r="L158" s="123">
        <f t="shared" si="47"/>
        <v>1.08</v>
      </c>
      <c r="M158" s="123">
        <f t="shared" si="47"/>
        <v>1.08</v>
      </c>
      <c r="N158" s="123">
        <f t="shared" si="47"/>
        <v>1.08</v>
      </c>
      <c r="O158" s="123">
        <f t="shared" si="47"/>
        <v>1.08</v>
      </c>
      <c r="P158" s="123">
        <f t="shared" si="47"/>
        <v>1.08</v>
      </c>
      <c r="Q158" s="123">
        <f t="shared" si="47"/>
        <v>1.08</v>
      </c>
      <c r="R158" s="123">
        <f t="shared" si="47"/>
        <v>1.08</v>
      </c>
      <c r="S158" s="123">
        <f t="shared" si="47"/>
        <v>1.08</v>
      </c>
      <c r="T158" s="123">
        <f t="shared" si="48"/>
        <v>1.08</v>
      </c>
      <c r="U158" s="123">
        <f t="shared" si="48"/>
        <v>1.08</v>
      </c>
      <c r="V158" s="123">
        <f t="shared" si="48"/>
        <v>1.08</v>
      </c>
      <c r="W158" s="123">
        <f t="shared" si="48"/>
        <v>1.08</v>
      </c>
      <c r="X158" s="123">
        <f t="shared" si="48"/>
        <v>1.08</v>
      </c>
      <c r="Y158" s="123">
        <f t="shared" si="48"/>
        <v>1.08</v>
      </c>
      <c r="Z158" s="123">
        <f t="shared" si="48"/>
        <v>1.08</v>
      </c>
      <c r="AA158" s="123">
        <f t="shared" si="48"/>
        <v>1.08</v>
      </c>
      <c r="AB158" s="123">
        <f t="shared" si="48"/>
        <v>1.08</v>
      </c>
      <c r="AC158" s="123">
        <f t="shared" si="48"/>
        <v>1.08</v>
      </c>
      <c r="AD158" s="123">
        <f t="shared" si="48"/>
        <v>1.08</v>
      </c>
      <c r="AE158" s="123">
        <f t="shared" si="48"/>
        <v>1.08</v>
      </c>
      <c r="AF158" s="123">
        <f t="shared" si="48"/>
        <v>1.08</v>
      </c>
      <c r="AG158" s="126">
        <v>3.75</v>
      </c>
      <c r="AH158" s="55"/>
      <c r="AI158" s="56"/>
      <c r="AK158" s="57"/>
    </row>
    <row r="159" spans="1:37" x14ac:dyDescent="0.25">
      <c r="A159" s="111" t="s">
        <v>163</v>
      </c>
      <c r="B159" s="123">
        <f t="shared" si="46"/>
        <v>2.37</v>
      </c>
      <c r="C159" s="124">
        <v>2.37</v>
      </c>
      <c r="D159" s="123">
        <f t="shared" si="47"/>
        <v>2.37</v>
      </c>
      <c r="E159" s="123">
        <f t="shared" si="47"/>
        <v>2.37</v>
      </c>
      <c r="F159" s="123">
        <f t="shared" si="47"/>
        <v>2.37</v>
      </c>
      <c r="G159" s="123">
        <f t="shared" si="47"/>
        <v>2.37</v>
      </c>
      <c r="H159" s="123">
        <f t="shared" si="47"/>
        <v>2.37</v>
      </c>
      <c r="I159" s="123">
        <f t="shared" si="47"/>
        <v>2.37</v>
      </c>
      <c r="J159" s="123">
        <f t="shared" si="47"/>
        <v>2.37</v>
      </c>
      <c r="K159" s="123">
        <f t="shared" si="47"/>
        <v>2.37</v>
      </c>
      <c r="L159" s="123">
        <f t="shared" si="47"/>
        <v>2.37</v>
      </c>
      <c r="M159" s="123">
        <f t="shared" si="47"/>
        <v>2.37</v>
      </c>
      <c r="N159" s="123">
        <f t="shared" si="47"/>
        <v>2.37</v>
      </c>
      <c r="O159" s="123">
        <f t="shared" si="47"/>
        <v>2.37</v>
      </c>
      <c r="P159" s="123">
        <f t="shared" si="47"/>
        <v>2.37</v>
      </c>
      <c r="Q159" s="123">
        <f t="shared" si="47"/>
        <v>2.37</v>
      </c>
      <c r="R159" s="123">
        <f t="shared" si="47"/>
        <v>2.37</v>
      </c>
      <c r="S159" s="123">
        <f t="shared" si="47"/>
        <v>2.37</v>
      </c>
      <c r="T159" s="123">
        <f t="shared" si="48"/>
        <v>2.37</v>
      </c>
      <c r="U159" s="123">
        <f t="shared" si="48"/>
        <v>2.37</v>
      </c>
      <c r="V159" s="123">
        <f t="shared" si="48"/>
        <v>2.37</v>
      </c>
      <c r="W159" s="123">
        <f t="shared" si="48"/>
        <v>2.37</v>
      </c>
      <c r="X159" s="123">
        <f t="shared" si="48"/>
        <v>2.37</v>
      </c>
      <c r="Y159" s="123">
        <f t="shared" si="48"/>
        <v>2.37</v>
      </c>
      <c r="Z159" s="123">
        <f t="shared" si="48"/>
        <v>2.37</v>
      </c>
      <c r="AA159" s="123">
        <f t="shared" si="48"/>
        <v>2.37</v>
      </c>
      <c r="AB159" s="123">
        <f t="shared" si="48"/>
        <v>2.37</v>
      </c>
      <c r="AC159" s="123">
        <f t="shared" si="48"/>
        <v>2.37</v>
      </c>
      <c r="AD159" s="123">
        <f t="shared" si="48"/>
        <v>2.37</v>
      </c>
      <c r="AE159" s="123">
        <f t="shared" si="48"/>
        <v>2.37</v>
      </c>
      <c r="AF159" s="123">
        <f t="shared" si="48"/>
        <v>2.37</v>
      </c>
      <c r="AG159" s="126">
        <v>3.52</v>
      </c>
      <c r="AH159" s="55"/>
      <c r="AI159" s="56"/>
      <c r="AK159" s="57"/>
    </row>
    <row r="160" spans="1:37" x14ac:dyDescent="0.25">
      <c r="A160" s="111" t="s">
        <v>164</v>
      </c>
      <c r="B160" s="123">
        <f t="shared" si="46"/>
        <v>1.81</v>
      </c>
      <c r="C160" s="124">
        <v>1.81</v>
      </c>
      <c r="D160" s="123">
        <f t="shared" si="47"/>
        <v>1.81</v>
      </c>
      <c r="E160" s="123">
        <f t="shared" si="47"/>
        <v>1.81</v>
      </c>
      <c r="F160" s="123">
        <f t="shared" si="47"/>
        <v>1.81</v>
      </c>
      <c r="G160" s="123">
        <f t="shared" si="47"/>
        <v>1.81</v>
      </c>
      <c r="H160" s="123">
        <f t="shared" si="47"/>
        <v>1.81</v>
      </c>
      <c r="I160" s="123">
        <f t="shared" si="47"/>
        <v>1.81</v>
      </c>
      <c r="J160" s="123">
        <f t="shared" si="47"/>
        <v>1.81</v>
      </c>
      <c r="K160" s="123">
        <f t="shared" si="47"/>
        <v>1.81</v>
      </c>
      <c r="L160" s="123">
        <f t="shared" si="47"/>
        <v>1.81</v>
      </c>
      <c r="M160" s="123">
        <f t="shared" si="47"/>
        <v>1.81</v>
      </c>
      <c r="N160" s="123">
        <f t="shared" si="47"/>
        <v>1.81</v>
      </c>
      <c r="O160" s="123">
        <f t="shared" si="47"/>
        <v>1.81</v>
      </c>
      <c r="P160" s="123">
        <f t="shared" si="47"/>
        <v>1.81</v>
      </c>
      <c r="Q160" s="123">
        <f t="shared" si="47"/>
        <v>1.81</v>
      </c>
      <c r="R160" s="123">
        <f t="shared" si="47"/>
        <v>1.81</v>
      </c>
      <c r="S160" s="123">
        <f t="shared" si="47"/>
        <v>1.81</v>
      </c>
      <c r="T160" s="123">
        <f t="shared" si="48"/>
        <v>1.81</v>
      </c>
      <c r="U160" s="123">
        <f t="shared" si="48"/>
        <v>1.81</v>
      </c>
      <c r="V160" s="123">
        <f t="shared" si="48"/>
        <v>1.81</v>
      </c>
      <c r="W160" s="123">
        <f t="shared" si="48"/>
        <v>1.81</v>
      </c>
      <c r="X160" s="123">
        <f t="shared" si="48"/>
        <v>1.81</v>
      </c>
      <c r="Y160" s="123">
        <f t="shared" si="48"/>
        <v>1.81</v>
      </c>
      <c r="Z160" s="123">
        <f t="shared" si="48"/>
        <v>1.81</v>
      </c>
      <c r="AA160" s="123">
        <f t="shared" si="48"/>
        <v>1.81</v>
      </c>
      <c r="AB160" s="123">
        <f t="shared" si="48"/>
        <v>1.81</v>
      </c>
      <c r="AC160" s="123">
        <f t="shared" si="48"/>
        <v>1.81</v>
      </c>
      <c r="AD160" s="123">
        <f t="shared" si="48"/>
        <v>1.81</v>
      </c>
      <c r="AE160" s="123">
        <f t="shared" si="48"/>
        <v>1.81</v>
      </c>
      <c r="AF160" s="123">
        <f t="shared" si="48"/>
        <v>1.81</v>
      </c>
      <c r="AG160" s="126">
        <v>3.33</v>
      </c>
      <c r="AH160" s="55"/>
      <c r="AI160" s="56"/>
      <c r="AK160" s="57"/>
    </row>
    <row r="161" spans="1:37" x14ac:dyDescent="0.25">
      <c r="A161" s="111" t="s">
        <v>165</v>
      </c>
      <c r="B161" s="123">
        <f t="shared" si="46"/>
        <v>1.0900000000000001</v>
      </c>
      <c r="C161" s="124">
        <v>1.0900000000000001</v>
      </c>
      <c r="D161" s="123">
        <f t="shared" si="47"/>
        <v>1.0900000000000001</v>
      </c>
      <c r="E161" s="123">
        <f t="shared" si="47"/>
        <v>1.0900000000000001</v>
      </c>
      <c r="F161" s="123">
        <f t="shared" si="47"/>
        <v>1.0900000000000001</v>
      </c>
      <c r="G161" s="123">
        <f t="shared" si="47"/>
        <v>1.0900000000000001</v>
      </c>
      <c r="H161" s="123">
        <f t="shared" si="47"/>
        <v>1.0900000000000001</v>
      </c>
      <c r="I161" s="123">
        <f t="shared" si="47"/>
        <v>1.0900000000000001</v>
      </c>
      <c r="J161" s="123">
        <f t="shared" si="47"/>
        <v>1.0900000000000001</v>
      </c>
      <c r="K161" s="123">
        <f t="shared" si="47"/>
        <v>1.0900000000000001</v>
      </c>
      <c r="L161" s="123">
        <f t="shared" si="47"/>
        <v>1.0900000000000001</v>
      </c>
      <c r="M161" s="123">
        <f t="shared" si="47"/>
        <v>1.0900000000000001</v>
      </c>
      <c r="N161" s="123">
        <f t="shared" si="47"/>
        <v>1.0900000000000001</v>
      </c>
      <c r="O161" s="123">
        <f t="shared" si="47"/>
        <v>1.0900000000000001</v>
      </c>
      <c r="P161" s="123">
        <f t="shared" si="47"/>
        <v>1.0900000000000001</v>
      </c>
      <c r="Q161" s="123">
        <f t="shared" si="47"/>
        <v>1.0900000000000001</v>
      </c>
      <c r="R161" s="123">
        <f t="shared" si="47"/>
        <v>1.0900000000000001</v>
      </c>
      <c r="S161" s="123">
        <f t="shared" si="47"/>
        <v>1.0900000000000001</v>
      </c>
      <c r="T161" s="123">
        <f t="shared" si="48"/>
        <v>1.0900000000000001</v>
      </c>
      <c r="U161" s="123">
        <f t="shared" si="48"/>
        <v>1.0900000000000001</v>
      </c>
      <c r="V161" s="123">
        <f t="shared" si="48"/>
        <v>1.0900000000000001</v>
      </c>
      <c r="W161" s="123">
        <f t="shared" si="48"/>
        <v>1.0900000000000001</v>
      </c>
      <c r="X161" s="123">
        <f t="shared" si="48"/>
        <v>1.0900000000000001</v>
      </c>
      <c r="Y161" s="123">
        <f t="shared" si="48"/>
        <v>1.0900000000000001</v>
      </c>
      <c r="Z161" s="123">
        <f t="shared" si="48"/>
        <v>1.0900000000000001</v>
      </c>
      <c r="AA161" s="123">
        <f t="shared" si="48"/>
        <v>1.0900000000000001</v>
      </c>
      <c r="AB161" s="123">
        <f t="shared" si="48"/>
        <v>1.0900000000000001</v>
      </c>
      <c r="AC161" s="123">
        <f t="shared" si="48"/>
        <v>1.0900000000000001</v>
      </c>
      <c r="AD161" s="123">
        <f t="shared" si="48"/>
        <v>1.0900000000000001</v>
      </c>
      <c r="AE161" s="123">
        <f t="shared" si="48"/>
        <v>1.0900000000000001</v>
      </c>
      <c r="AF161" s="123">
        <f t="shared" si="48"/>
        <v>1.0900000000000001</v>
      </c>
      <c r="AG161" s="126">
        <v>3.2</v>
      </c>
      <c r="AH161" s="55"/>
      <c r="AI161" s="56"/>
      <c r="AK161" s="57"/>
    </row>
    <row r="162" spans="1:37" x14ac:dyDescent="0.25">
      <c r="A162" s="111" t="s">
        <v>166</v>
      </c>
      <c r="B162" s="123">
        <f t="shared" si="46"/>
        <v>1.58</v>
      </c>
      <c r="C162" s="124">
        <v>1.58</v>
      </c>
      <c r="D162" s="123">
        <f t="shared" si="47"/>
        <v>1.58</v>
      </c>
      <c r="E162" s="123">
        <f t="shared" si="47"/>
        <v>1.58</v>
      </c>
      <c r="F162" s="123">
        <f t="shared" si="47"/>
        <v>1.58</v>
      </c>
      <c r="G162" s="123">
        <f t="shared" si="47"/>
        <v>1.58</v>
      </c>
      <c r="H162" s="123">
        <f t="shared" si="47"/>
        <v>1.58</v>
      </c>
      <c r="I162" s="123">
        <f t="shared" si="47"/>
        <v>1.58</v>
      </c>
      <c r="J162" s="123">
        <f t="shared" si="47"/>
        <v>1.58</v>
      </c>
      <c r="K162" s="123">
        <f t="shared" si="47"/>
        <v>1.58</v>
      </c>
      <c r="L162" s="123">
        <f t="shared" si="47"/>
        <v>1.58</v>
      </c>
      <c r="M162" s="123">
        <f t="shared" si="47"/>
        <v>1.58</v>
      </c>
      <c r="N162" s="123">
        <f t="shared" si="47"/>
        <v>1.58</v>
      </c>
      <c r="O162" s="123">
        <f t="shared" si="47"/>
        <v>1.58</v>
      </c>
      <c r="P162" s="123">
        <f t="shared" si="47"/>
        <v>1.58</v>
      </c>
      <c r="Q162" s="123">
        <f t="shared" si="47"/>
        <v>1.58</v>
      </c>
      <c r="R162" s="123">
        <f t="shared" si="47"/>
        <v>1.58</v>
      </c>
      <c r="S162" s="123">
        <f t="shared" si="47"/>
        <v>1.58</v>
      </c>
      <c r="T162" s="123">
        <f t="shared" si="48"/>
        <v>1.58</v>
      </c>
      <c r="U162" s="123">
        <f t="shared" si="48"/>
        <v>1.58</v>
      </c>
      <c r="V162" s="123">
        <f t="shared" si="48"/>
        <v>1.58</v>
      </c>
      <c r="W162" s="123">
        <f t="shared" si="48"/>
        <v>1.58</v>
      </c>
      <c r="X162" s="123">
        <f t="shared" si="48"/>
        <v>1.58</v>
      </c>
      <c r="Y162" s="123">
        <f t="shared" si="48"/>
        <v>1.58</v>
      </c>
      <c r="Z162" s="123">
        <f t="shared" si="48"/>
        <v>1.58</v>
      </c>
      <c r="AA162" s="123">
        <f t="shared" si="48"/>
        <v>1.58</v>
      </c>
      <c r="AB162" s="123">
        <f t="shared" si="48"/>
        <v>1.58</v>
      </c>
      <c r="AC162" s="123">
        <f t="shared" si="48"/>
        <v>1.58</v>
      </c>
      <c r="AD162" s="123">
        <f t="shared" si="48"/>
        <v>1.58</v>
      </c>
      <c r="AE162" s="123">
        <f t="shared" si="48"/>
        <v>1.58</v>
      </c>
      <c r="AF162" s="123">
        <f t="shared" si="48"/>
        <v>1.58</v>
      </c>
      <c r="AG162" s="126">
        <v>3</v>
      </c>
      <c r="AH162" s="55"/>
      <c r="AI162" s="56"/>
      <c r="AK162" s="57"/>
    </row>
    <row r="163" spans="1:37" x14ac:dyDescent="0.25">
      <c r="A163" s="111" t="s">
        <v>167</v>
      </c>
      <c r="B163" s="123">
        <f t="shared" si="46"/>
        <v>2</v>
      </c>
      <c r="C163" s="124">
        <v>2</v>
      </c>
      <c r="D163" s="123">
        <f t="shared" si="47"/>
        <v>2</v>
      </c>
      <c r="E163" s="123">
        <f t="shared" si="47"/>
        <v>2</v>
      </c>
      <c r="F163" s="123">
        <f t="shared" si="47"/>
        <v>2</v>
      </c>
      <c r="G163" s="123">
        <f t="shared" si="47"/>
        <v>2</v>
      </c>
      <c r="H163" s="123">
        <f t="shared" si="47"/>
        <v>2</v>
      </c>
      <c r="I163" s="123">
        <f t="shared" si="47"/>
        <v>2</v>
      </c>
      <c r="J163" s="123">
        <f t="shared" si="47"/>
        <v>2</v>
      </c>
      <c r="K163" s="123">
        <f t="shared" si="47"/>
        <v>2</v>
      </c>
      <c r="L163" s="123">
        <f t="shared" si="47"/>
        <v>2</v>
      </c>
      <c r="M163" s="123">
        <f t="shared" si="47"/>
        <v>2</v>
      </c>
      <c r="N163" s="123">
        <f t="shared" si="47"/>
        <v>2</v>
      </c>
      <c r="O163" s="123">
        <f t="shared" si="47"/>
        <v>2</v>
      </c>
      <c r="P163" s="123">
        <f t="shared" si="47"/>
        <v>2</v>
      </c>
      <c r="Q163" s="123">
        <f t="shared" si="47"/>
        <v>2</v>
      </c>
      <c r="R163" s="123">
        <f t="shared" si="47"/>
        <v>2</v>
      </c>
      <c r="S163" s="123">
        <f t="shared" si="47"/>
        <v>2</v>
      </c>
      <c r="T163" s="123">
        <f t="shared" si="48"/>
        <v>2</v>
      </c>
      <c r="U163" s="123">
        <f t="shared" si="48"/>
        <v>2</v>
      </c>
      <c r="V163" s="123">
        <f t="shared" si="48"/>
        <v>2</v>
      </c>
      <c r="W163" s="123">
        <f t="shared" si="48"/>
        <v>2</v>
      </c>
      <c r="X163" s="123">
        <f t="shared" si="48"/>
        <v>2</v>
      </c>
      <c r="Y163" s="123">
        <f t="shared" si="48"/>
        <v>2</v>
      </c>
      <c r="Z163" s="123">
        <f t="shared" si="48"/>
        <v>2</v>
      </c>
      <c r="AA163" s="123">
        <f t="shared" si="48"/>
        <v>2</v>
      </c>
      <c r="AB163" s="123">
        <f t="shared" si="48"/>
        <v>2</v>
      </c>
      <c r="AC163" s="123">
        <f t="shared" si="48"/>
        <v>2</v>
      </c>
      <c r="AD163" s="123">
        <f t="shared" si="48"/>
        <v>2</v>
      </c>
      <c r="AE163" s="123">
        <f t="shared" si="48"/>
        <v>2</v>
      </c>
      <c r="AF163" s="123">
        <f t="shared" si="48"/>
        <v>2</v>
      </c>
      <c r="AG163" s="126">
        <v>3</v>
      </c>
      <c r="AH163" s="55"/>
      <c r="AI163" s="56"/>
      <c r="AK163" s="57"/>
    </row>
    <row r="164" spans="1:37" x14ac:dyDescent="0.25">
      <c r="A164" s="111" t="s">
        <v>168</v>
      </c>
      <c r="B164" s="123">
        <f t="shared" si="46"/>
        <v>0.47</v>
      </c>
      <c r="C164" s="124">
        <v>0.47</v>
      </c>
      <c r="D164" s="123">
        <f t="shared" si="47"/>
        <v>0.47</v>
      </c>
      <c r="E164" s="123">
        <f t="shared" si="47"/>
        <v>0.47</v>
      </c>
      <c r="F164" s="123">
        <f t="shared" si="47"/>
        <v>0.47</v>
      </c>
      <c r="G164" s="123">
        <f t="shared" si="47"/>
        <v>0.47</v>
      </c>
      <c r="H164" s="123">
        <f t="shared" si="47"/>
        <v>0.47</v>
      </c>
      <c r="I164" s="123">
        <f t="shared" si="47"/>
        <v>0.47</v>
      </c>
      <c r="J164" s="123">
        <f t="shared" si="47"/>
        <v>0.47</v>
      </c>
      <c r="K164" s="123">
        <f t="shared" si="47"/>
        <v>0.47</v>
      </c>
      <c r="L164" s="123">
        <f t="shared" si="47"/>
        <v>0.47</v>
      </c>
      <c r="M164" s="123">
        <f t="shared" si="47"/>
        <v>0.47</v>
      </c>
      <c r="N164" s="123">
        <f t="shared" si="47"/>
        <v>0.47</v>
      </c>
      <c r="O164" s="123">
        <f t="shared" si="47"/>
        <v>0.47</v>
      </c>
      <c r="P164" s="123">
        <f t="shared" si="47"/>
        <v>0.47</v>
      </c>
      <c r="Q164" s="123">
        <f t="shared" si="47"/>
        <v>0.47</v>
      </c>
      <c r="R164" s="123">
        <f t="shared" si="47"/>
        <v>0.47</v>
      </c>
      <c r="S164" s="123">
        <f t="shared" si="47"/>
        <v>0.47</v>
      </c>
      <c r="T164" s="123">
        <f t="shared" si="48"/>
        <v>0.47</v>
      </c>
      <c r="U164" s="123">
        <f t="shared" si="48"/>
        <v>0.47</v>
      </c>
      <c r="V164" s="123">
        <f t="shared" si="48"/>
        <v>0.47</v>
      </c>
      <c r="W164" s="123">
        <f t="shared" si="48"/>
        <v>0.47</v>
      </c>
      <c r="X164" s="123">
        <f t="shared" si="48"/>
        <v>0.47</v>
      </c>
      <c r="Y164" s="123">
        <f t="shared" si="48"/>
        <v>0.47</v>
      </c>
      <c r="Z164" s="123">
        <f t="shared" si="48"/>
        <v>0.47</v>
      </c>
      <c r="AA164" s="123">
        <f t="shared" si="48"/>
        <v>0.47</v>
      </c>
      <c r="AB164" s="123">
        <f t="shared" si="48"/>
        <v>0.47</v>
      </c>
      <c r="AC164" s="123">
        <f t="shared" si="48"/>
        <v>0.47</v>
      </c>
      <c r="AD164" s="123">
        <f t="shared" si="48"/>
        <v>0.47</v>
      </c>
      <c r="AE164" s="123">
        <f t="shared" si="48"/>
        <v>0.47</v>
      </c>
      <c r="AF164" s="123">
        <f t="shared" si="48"/>
        <v>0.47</v>
      </c>
      <c r="AG164" s="126">
        <v>3</v>
      </c>
      <c r="AH164" s="55"/>
      <c r="AI164" s="56"/>
      <c r="AK164" s="57"/>
    </row>
    <row r="165" spans="1:37" x14ac:dyDescent="0.25">
      <c r="A165" s="111" t="s">
        <v>169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7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170</v>
      </c>
      <c r="B166" s="123">
        <f t="shared" si="46"/>
        <v>0</v>
      </c>
      <c r="C166" s="124">
        <v>0</v>
      </c>
      <c r="D166" s="123">
        <f t="shared" si="47"/>
        <v>0</v>
      </c>
      <c r="E166" s="123">
        <f t="shared" si="47"/>
        <v>0</v>
      </c>
      <c r="F166" s="123">
        <f t="shared" si="47"/>
        <v>0</v>
      </c>
      <c r="G166" s="123">
        <f t="shared" si="47"/>
        <v>0</v>
      </c>
      <c r="H166" s="123">
        <f t="shared" si="47"/>
        <v>0</v>
      </c>
      <c r="I166" s="123">
        <f t="shared" si="47"/>
        <v>0</v>
      </c>
      <c r="J166" s="123">
        <f t="shared" si="47"/>
        <v>0</v>
      </c>
      <c r="K166" s="123">
        <f t="shared" si="47"/>
        <v>0</v>
      </c>
      <c r="L166" s="123">
        <f t="shared" si="47"/>
        <v>0</v>
      </c>
      <c r="M166" s="123">
        <f t="shared" si="47"/>
        <v>0</v>
      </c>
      <c r="N166" s="123">
        <f t="shared" si="47"/>
        <v>0</v>
      </c>
      <c r="O166" s="123">
        <f t="shared" si="47"/>
        <v>0</v>
      </c>
      <c r="P166" s="123">
        <f t="shared" si="47"/>
        <v>0</v>
      </c>
      <c r="Q166" s="123">
        <f t="shared" si="47"/>
        <v>0</v>
      </c>
      <c r="R166" s="123">
        <f t="shared" si="47"/>
        <v>0</v>
      </c>
      <c r="S166" s="123">
        <f t="shared" si="48"/>
        <v>0</v>
      </c>
      <c r="T166" s="123">
        <f t="shared" si="48"/>
        <v>0</v>
      </c>
      <c r="U166" s="123">
        <f t="shared" si="48"/>
        <v>0</v>
      </c>
      <c r="V166" s="123">
        <f t="shared" si="48"/>
        <v>0</v>
      </c>
      <c r="W166" s="123">
        <f t="shared" si="48"/>
        <v>0</v>
      </c>
      <c r="X166" s="123">
        <f t="shared" si="48"/>
        <v>0</v>
      </c>
      <c r="Y166" s="123">
        <f t="shared" si="48"/>
        <v>0</v>
      </c>
      <c r="Z166" s="123">
        <f t="shared" si="48"/>
        <v>0</v>
      </c>
      <c r="AA166" s="123">
        <f t="shared" si="48"/>
        <v>0</v>
      </c>
      <c r="AB166" s="123">
        <f t="shared" si="48"/>
        <v>0</v>
      </c>
      <c r="AC166" s="123">
        <f t="shared" si="48"/>
        <v>0</v>
      </c>
      <c r="AD166" s="123">
        <f t="shared" si="48"/>
        <v>0</v>
      </c>
      <c r="AE166" s="123">
        <f t="shared" si="48"/>
        <v>0</v>
      </c>
      <c r="AF166" s="123">
        <f t="shared" si="48"/>
        <v>0</v>
      </c>
      <c r="AG166" s="126">
        <v>3</v>
      </c>
      <c r="AH166" s="55"/>
      <c r="AI166" s="56"/>
      <c r="AK166" s="57"/>
    </row>
    <row r="167" spans="1:37" x14ac:dyDescent="0.25">
      <c r="A167" s="111" t="s">
        <v>171</v>
      </c>
      <c r="B167" s="123">
        <f t="shared" si="46"/>
        <v>0.8</v>
      </c>
      <c r="C167" s="124">
        <v>0.8</v>
      </c>
      <c r="D167" s="123">
        <f t="shared" si="47"/>
        <v>0.8</v>
      </c>
      <c r="E167" s="123">
        <f t="shared" si="47"/>
        <v>0.8</v>
      </c>
      <c r="F167" s="123">
        <f t="shared" si="47"/>
        <v>0.8</v>
      </c>
      <c r="G167" s="123">
        <f t="shared" si="47"/>
        <v>0.8</v>
      </c>
      <c r="H167" s="123">
        <f t="shared" si="47"/>
        <v>0.8</v>
      </c>
      <c r="I167" s="123">
        <f t="shared" si="47"/>
        <v>0.8</v>
      </c>
      <c r="J167" s="123">
        <f t="shared" si="47"/>
        <v>0.8</v>
      </c>
      <c r="K167" s="123">
        <f t="shared" si="47"/>
        <v>0.8</v>
      </c>
      <c r="L167" s="123">
        <f t="shared" si="47"/>
        <v>0.8</v>
      </c>
      <c r="M167" s="123">
        <f t="shared" si="47"/>
        <v>0.8</v>
      </c>
      <c r="N167" s="123">
        <f t="shared" si="47"/>
        <v>0.8</v>
      </c>
      <c r="O167" s="123">
        <f t="shared" si="47"/>
        <v>0.8</v>
      </c>
      <c r="P167" s="123">
        <f t="shared" si="47"/>
        <v>0.8</v>
      </c>
      <c r="Q167" s="123">
        <f t="shared" si="47"/>
        <v>0.8</v>
      </c>
      <c r="R167" s="123">
        <f t="shared" si="47"/>
        <v>0.8</v>
      </c>
      <c r="S167" s="123">
        <f t="shared" si="48"/>
        <v>0.8</v>
      </c>
      <c r="T167" s="123">
        <f t="shared" si="48"/>
        <v>0.8</v>
      </c>
      <c r="U167" s="123">
        <f t="shared" si="48"/>
        <v>0.8</v>
      </c>
      <c r="V167" s="123">
        <f t="shared" si="48"/>
        <v>0.8</v>
      </c>
      <c r="W167" s="123">
        <f t="shared" si="48"/>
        <v>0.8</v>
      </c>
      <c r="X167" s="123">
        <f t="shared" si="48"/>
        <v>0.8</v>
      </c>
      <c r="Y167" s="123">
        <f t="shared" si="48"/>
        <v>0.8</v>
      </c>
      <c r="Z167" s="123">
        <f t="shared" si="48"/>
        <v>0.8</v>
      </c>
      <c r="AA167" s="123">
        <f t="shared" si="48"/>
        <v>0.8</v>
      </c>
      <c r="AB167" s="123">
        <f t="shared" si="48"/>
        <v>0.8</v>
      </c>
      <c r="AC167" s="123">
        <f t="shared" si="48"/>
        <v>0.8</v>
      </c>
      <c r="AD167" s="123">
        <f t="shared" si="48"/>
        <v>0.8</v>
      </c>
      <c r="AE167" s="123">
        <f t="shared" si="48"/>
        <v>0.8</v>
      </c>
      <c r="AF167" s="123">
        <f t="shared" si="48"/>
        <v>0.8</v>
      </c>
      <c r="AG167" s="126">
        <v>3</v>
      </c>
      <c r="AH167" s="55"/>
      <c r="AI167" s="56"/>
      <c r="AK167" s="57"/>
    </row>
    <row r="168" spans="1:37" x14ac:dyDescent="0.25">
      <c r="A168" s="111" t="s">
        <v>172</v>
      </c>
      <c r="B168" s="123">
        <f t="shared" si="46"/>
        <v>1.5</v>
      </c>
      <c r="C168" s="124">
        <v>1.5</v>
      </c>
      <c r="D168" s="123">
        <f t="shared" si="47"/>
        <v>1.5</v>
      </c>
      <c r="E168" s="123">
        <f t="shared" si="47"/>
        <v>1.5</v>
      </c>
      <c r="F168" s="123">
        <f t="shared" si="47"/>
        <v>1.5</v>
      </c>
      <c r="G168" s="123">
        <f t="shared" si="47"/>
        <v>1.5</v>
      </c>
      <c r="H168" s="123">
        <f t="shared" si="47"/>
        <v>1.5</v>
      </c>
      <c r="I168" s="123">
        <f t="shared" si="47"/>
        <v>1.5</v>
      </c>
      <c r="J168" s="123">
        <f t="shared" si="47"/>
        <v>1.5</v>
      </c>
      <c r="K168" s="123">
        <f t="shared" si="47"/>
        <v>1.5</v>
      </c>
      <c r="L168" s="123">
        <f t="shared" si="47"/>
        <v>1.5</v>
      </c>
      <c r="M168" s="123">
        <f t="shared" si="47"/>
        <v>1.5</v>
      </c>
      <c r="N168" s="123">
        <f t="shared" si="47"/>
        <v>1.5</v>
      </c>
      <c r="O168" s="123">
        <f t="shared" si="47"/>
        <v>1.5</v>
      </c>
      <c r="P168" s="123">
        <f t="shared" si="47"/>
        <v>1.5</v>
      </c>
      <c r="Q168" s="123">
        <f t="shared" si="47"/>
        <v>1.5</v>
      </c>
      <c r="R168" s="123">
        <f t="shared" si="47"/>
        <v>1.5</v>
      </c>
      <c r="S168" s="123">
        <f t="shared" si="48"/>
        <v>1.5</v>
      </c>
      <c r="T168" s="123">
        <f t="shared" si="48"/>
        <v>1.5</v>
      </c>
      <c r="U168" s="123">
        <f t="shared" si="48"/>
        <v>1.5</v>
      </c>
      <c r="V168" s="123">
        <f t="shared" si="48"/>
        <v>1.5</v>
      </c>
      <c r="W168" s="123">
        <f t="shared" si="48"/>
        <v>1.5</v>
      </c>
      <c r="X168" s="123">
        <f t="shared" si="48"/>
        <v>1.5</v>
      </c>
      <c r="Y168" s="123">
        <f t="shared" si="48"/>
        <v>1.5</v>
      </c>
      <c r="Z168" s="123">
        <f t="shared" si="48"/>
        <v>1.5</v>
      </c>
      <c r="AA168" s="123">
        <f t="shared" si="48"/>
        <v>1.5</v>
      </c>
      <c r="AB168" s="123">
        <f t="shared" si="48"/>
        <v>1.5</v>
      </c>
      <c r="AC168" s="123">
        <f t="shared" si="48"/>
        <v>1.5</v>
      </c>
      <c r="AD168" s="123">
        <f t="shared" si="48"/>
        <v>1.5</v>
      </c>
      <c r="AE168" s="123">
        <f t="shared" si="48"/>
        <v>1.5</v>
      </c>
      <c r="AF168" s="123">
        <f t="shared" si="48"/>
        <v>1.5</v>
      </c>
      <c r="AG168" s="126">
        <v>3</v>
      </c>
      <c r="AH168" s="55"/>
      <c r="AI168" s="56"/>
      <c r="AK168" s="57"/>
    </row>
    <row r="169" spans="1:37" x14ac:dyDescent="0.25">
      <c r="A169" s="111" t="s">
        <v>173</v>
      </c>
      <c r="B169" s="123">
        <f t="shared" si="46"/>
        <v>1</v>
      </c>
      <c r="C169" s="124">
        <v>1</v>
      </c>
      <c r="D169" s="123">
        <f t="shared" si="47"/>
        <v>1</v>
      </c>
      <c r="E169" s="123">
        <f t="shared" si="47"/>
        <v>1</v>
      </c>
      <c r="F169" s="123">
        <f t="shared" si="47"/>
        <v>1</v>
      </c>
      <c r="G169" s="123">
        <f t="shared" si="47"/>
        <v>1</v>
      </c>
      <c r="H169" s="123">
        <f t="shared" si="47"/>
        <v>1</v>
      </c>
      <c r="I169" s="123">
        <f t="shared" si="47"/>
        <v>1</v>
      </c>
      <c r="J169" s="123">
        <f t="shared" si="47"/>
        <v>1</v>
      </c>
      <c r="K169" s="123">
        <f t="shared" si="47"/>
        <v>1</v>
      </c>
      <c r="L169" s="123">
        <f t="shared" si="47"/>
        <v>1</v>
      </c>
      <c r="M169" s="123">
        <f t="shared" si="47"/>
        <v>1</v>
      </c>
      <c r="N169" s="123">
        <f t="shared" si="47"/>
        <v>1</v>
      </c>
      <c r="O169" s="123">
        <f t="shared" si="47"/>
        <v>1</v>
      </c>
      <c r="P169" s="123">
        <f t="shared" si="47"/>
        <v>1</v>
      </c>
      <c r="Q169" s="123">
        <f t="shared" si="47"/>
        <v>1</v>
      </c>
      <c r="R169" s="123">
        <f t="shared" si="47"/>
        <v>1</v>
      </c>
      <c r="S169" s="123">
        <f t="shared" si="48"/>
        <v>1</v>
      </c>
      <c r="T169" s="123">
        <f t="shared" si="48"/>
        <v>1</v>
      </c>
      <c r="U169" s="123">
        <f t="shared" si="48"/>
        <v>1</v>
      </c>
      <c r="V169" s="123">
        <f t="shared" si="48"/>
        <v>1</v>
      </c>
      <c r="W169" s="123">
        <f t="shared" si="48"/>
        <v>1</v>
      </c>
      <c r="X169" s="123">
        <f t="shared" si="48"/>
        <v>1</v>
      </c>
      <c r="Y169" s="123">
        <f t="shared" si="48"/>
        <v>1</v>
      </c>
      <c r="Z169" s="123">
        <f t="shared" si="48"/>
        <v>1</v>
      </c>
      <c r="AA169" s="123">
        <f t="shared" si="48"/>
        <v>1</v>
      </c>
      <c r="AB169" s="123">
        <f t="shared" si="48"/>
        <v>1</v>
      </c>
      <c r="AC169" s="123">
        <f t="shared" si="48"/>
        <v>1</v>
      </c>
      <c r="AD169" s="123">
        <f t="shared" si="48"/>
        <v>1</v>
      </c>
      <c r="AE169" s="123">
        <f t="shared" si="48"/>
        <v>1</v>
      </c>
      <c r="AF169" s="123">
        <f t="shared" si="48"/>
        <v>1</v>
      </c>
      <c r="AG169" s="126">
        <v>3</v>
      </c>
      <c r="AH169" s="55"/>
      <c r="AI169" s="56"/>
      <c r="AK169" s="57"/>
    </row>
    <row r="170" spans="1:37" x14ac:dyDescent="0.25">
      <c r="A170" s="111" t="s">
        <v>174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5"/>
      <c r="AI170" s="56"/>
      <c r="AK170" s="57"/>
    </row>
    <row r="171" spans="1:37" x14ac:dyDescent="0.25">
      <c r="A171" s="111" t="s">
        <v>175</v>
      </c>
      <c r="B171" s="123">
        <f t="shared" ref="B171:B178" si="49">AF171</f>
        <v>1</v>
      </c>
      <c r="C171" s="124">
        <v>1</v>
      </c>
      <c r="D171" s="123">
        <f t="shared" ref="D171:S178" si="50">C171</f>
        <v>1</v>
      </c>
      <c r="E171" s="123">
        <f t="shared" si="50"/>
        <v>1</v>
      </c>
      <c r="F171" s="123">
        <f t="shared" si="50"/>
        <v>1</v>
      </c>
      <c r="G171" s="123">
        <f t="shared" si="50"/>
        <v>1</v>
      </c>
      <c r="H171" s="123">
        <f t="shared" si="50"/>
        <v>1</v>
      </c>
      <c r="I171" s="123">
        <f t="shared" si="50"/>
        <v>1</v>
      </c>
      <c r="J171" s="123">
        <f t="shared" si="50"/>
        <v>1</v>
      </c>
      <c r="K171" s="123">
        <f t="shared" si="50"/>
        <v>1</v>
      </c>
      <c r="L171" s="123">
        <f t="shared" si="50"/>
        <v>1</v>
      </c>
      <c r="M171" s="123">
        <f t="shared" si="50"/>
        <v>1</v>
      </c>
      <c r="N171" s="123">
        <f t="shared" si="50"/>
        <v>1</v>
      </c>
      <c r="O171" s="123">
        <f t="shared" si="50"/>
        <v>1</v>
      </c>
      <c r="P171" s="123">
        <f t="shared" si="50"/>
        <v>1</v>
      </c>
      <c r="Q171" s="123">
        <f t="shared" si="50"/>
        <v>1</v>
      </c>
      <c r="R171" s="123">
        <f t="shared" si="50"/>
        <v>1</v>
      </c>
      <c r="S171" s="123">
        <f t="shared" si="50"/>
        <v>1</v>
      </c>
      <c r="T171" s="123">
        <f t="shared" ref="S171:AF178" si="51">S171</f>
        <v>1</v>
      </c>
      <c r="U171" s="123">
        <f t="shared" si="51"/>
        <v>1</v>
      </c>
      <c r="V171" s="123">
        <f t="shared" si="51"/>
        <v>1</v>
      </c>
      <c r="W171" s="123">
        <f t="shared" si="51"/>
        <v>1</v>
      </c>
      <c r="X171" s="123">
        <f t="shared" si="51"/>
        <v>1</v>
      </c>
      <c r="Y171" s="123">
        <f t="shared" si="51"/>
        <v>1</v>
      </c>
      <c r="Z171" s="123">
        <f t="shared" si="51"/>
        <v>1</v>
      </c>
      <c r="AA171" s="123">
        <f t="shared" si="51"/>
        <v>1</v>
      </c>
      <c r="AB171" s="123">
        <f t="shared" si="51"/>
        <v>1</v>
      </c>
      <c r="AC171" s="123">
        <f t="shared" si="51"/>
        <v>1</v>
      </c>
      <c r="AD171" s="123">
        <f t="shared" si="51"/>
        <v>1</v>
      </c>
      <c r="AE171" s="123">
        <f t="shared" si="51"/>
        <v>1</v>
      </c>
      <c r="AF171" s="123">
        <f t="shared" si="51"/>
        <v>1</v>
      </c>
      <c r="AG171" s="126">
        <v>2.5</v>
      </c>
      <c r="AH171" s="55"/>
      <c r="AI171" s="56"/>
      <c r="AK171" s="57"/>
    </row>
    <row r="172" spans="1:37" x14ac:dyDescent="0.25">
      <c r="A172" s="111" t="s">
        <v>176</v>
      </c>
      <c r="B172" s="123">
        <f t="shared" si="49"/>
        <v>0.42</v>
      </c>
      <c r="C172" s="124">
        <v>0.42</v>
      </c>
      <c r="D172" s="123">
        <f t="shared" si="50"/>
        <v>0.42</v>
      </c>
      <c r="E172" s="123">
        <f t="shared" si="50"/>
        <v>0.42</v>
      </c>
      <c r="F172" s="123">
        <f t="shared" si="50"/>
        <v>0.42</v>
      </c>
      <c r="G172" s="123">
        <f t="shared" si="50"/>
        <v>0.42</v>
      </c>
      <c r="H172" s="123">
        <f t="shared" si="50"/>
        <v>0.42</v>
      </c>
      <c r="I172" s="123">
        <f t="shared" si="50"/>
        <v>0.42</v>
      </c>
      <c r="J172" s="123">
        <f t="shared" si="50"/>
        <v>0.42</v>
      </c>
      <c r="K172" s="123">
        <f t="shared" si="50"/>
        <v>0.42</v>
      </c>
      <c r="L172" s="123">
        <f t="shared" si="50"/>
        <v>0.42</v>
      </c>
      <c r="M172" s="123">
        <f t="shared" si="50"/>
        <v>0.42</v>
      </c>
      <c r="N172" s="123">
        <f t="shared" si="50"/>
        <v>0.42</v>
      </c>
      <c r="O172" s="123">
        <f t="shared" si="50"/>
        <v>0.42</v>
      </c>
      <c r="P172" s="123">
        <f t="shared" si="50"/>
        <v>0.42</v>
      </c>
      <c r="Q172" s="123">
        <f t="shared" si="50"/>
        <v>0.42</v>
      </c>
      <c r="R172" s="123">
        <f t="shared" si="50"/>
        <v>0.42</v>
      </c>
      <c r="S172" s="123">
        <f t="shared" si="51"/>
        <v>0.42</v>
      </c>
      <c r="T172" s="123">
        <f t="shared" si="51"/>
        <v>0.42</v>
      </c>
      <c r="U172" s="123">
        <f t="shared" si="51"/>
        <v>0.42</v>
      </c>
      <c r="V172" s="123">
        <f t="shared" si="51"/>
        <v>0.42</v>
      </c>
      <c r="W172" s="123">
        <f t="shared" si="51"/>
        <v>0.42</v>
      </c>
      <c r="X172" s="123">
        <f t="shared" si="51"/>
        <v>0.42</v>
      </c>
      <c r="Y172" s="123">
        <f t="shared" si="51"/>
        <v>0.42</v>
      </c>
      <c r="Z172" s="123">
        <f t="shared" si="51"/>
        <v>0.42</v>
      </c>
      <c r="AA172" s="123">
        <f t="shared" si="51"/>
        <v>0.42</v>
      </c>
      <c r="AB172" s="123">
        <f t="shared" si="51"/>
        <v>0.42</v>
      </c>
      <c r="AC172" s="123">
        <f t="shared" si="51"/>
        <v>0.42</v>
      </c>
      <c r="AD172" s="123">
        <f t="shared" si="51"/>
        <v>0.42</v>
      </c>
      <c r="AE172" s="123">
        <f t="shared" si="51"/>
        <v>0.42</v>
      </c>
      <c r="AF172" s="123">
        <f t="shared" si="51"/>
        <v>0.42</v>
      </c>
      <c r="AG172" s="126">
        <v>2.5</v>
      </c>
      <c r="AH172" s="55"/>
      <c r="AI172" s="56"/>
      <c r="AK172" s="57"/>
    </row>
    <row r="173" spans="1:37" x14ac:dyDescent="0.25">
      <c r="A173" s="111" t="s">
        <v>177</v>
      </c>
      <c r="B173" s="123">
        <f t="shared" si="49"/>
        <v>0.46</v>
      </c>
      <c r="C173" s="124">
        <v>0.46</v>
      </c>
      <c r="D173" s="123">
        <f t="shared" si="50"/>
        <v>0.46</v>
      </c>
      <c r="E173" s="123">
        <f t="shared" si="50"/>
        <v>0.46</v>
      </c>
      <c r="F173" s="123">
        <f t="shared" si="50"/>
        <v>0.46</v>
      </c>
      <c r="G173" s="123">
        <f t="shared" si="50"/>
        <v>0.46</v>
      </c>
      <c r="H173" s="123">
        <f t="shared" si="50"/>
        <v>0.46</v>
      </c>
      <c r="I173" s="123">
        <f t="shared" si="50"/>
        <v>0.46</v>
      </c>
      <c r="J173" s="123">
        <f t="shared" si="50"/>
        <v>0.46</v>
      </c>
      <c r="K173" s="123">
        <f t="shared" si="50"/>
        <v>0.46</v>
      </c>
      <c r="L173" s="123">
        <f t="shared" si="50"/>
        <v>0.46</v>
      </c>
      <c r="M173" s="123">
        <f t="shared" si="50"/>
        <v>0.46</v>
      </c>
      <c r="N173" s="123">
        <f t="shared" si="50"/>
        <v>0.46</v>
      </c>
      <c r="O173" s="123">
        <f t="shared" si="50"/>
        <v>0.46</v>
      </c>
      <c r="P173" s="123">
        <f t="shared" si="50"/>
        <v>0.46</v>
      </c>
      <c r="Q173" s="123">
        <f t="shared" si="50"/>
        <v>0.46</v>
      </c>
      <c r="R173" s="123">
        <f t="shared" si="50"/>
        <v>0.46</v>
      </c>
      <c r="S173" s="123">
        <f t="shared" si="51"/>
        <v>0.46</v>
      </c>
      <c r="T173" s="123">
        <f t="shared" si="51"/>
        <v>0.46</v>
      </c>
      <c r="U173" s="123">
        <f t="shared" si="51"/>
        <v>0.46</v>
      </c>
      <c r="V173" s="123">
        <f t="shared" si="51"/>
        <v>0.46</v>
      </c>
      <c r="W173" s="123">
        <f t="shared" si="51"/>
        <v>0.46</v>
      </c>
      <c r="X173" s="123">
        <f t="shared" si="51"/>
        <v>0.46</v>
      </c>
      <c r="Y173" s="123">
        <f t="shared" si="51"/>
        <v>0.46</v>
      </c>
      <c r="Z173" s="123">
        <f t="shared" si="51"/>
        <v>0.46</v>
      </c>
      <c r="AA173" s="123">
        <f t="shared" si="51"/>
        <v>0.46</v>
      </c>
      <c r="AB173" s="123">
        <f t="shared" si="51"/>
        <v>0.46</v>
      </c>
      <c r="AC173" s="123">
        <f t="shared" si="51"/>
        <v>0.46</v>
      </c>
      <c r="AD173" s="123">
        <f t="shared" si="51"/>
        <v>0.46</v>
      </c>
      <c r="AE173" s="123">
        <f t="shared" si="51"/>
        <v>0.46</v>
      </c>
      <c r="AF173" s="123">
        <f t="shared" si="51"/>
        <v>0.46</v>
      </c>
      <c r="AG173" s="126">
        <v>2.4</v>
      </c>
      <c r="AH173" s="55"/>
      <c r="AI173" s="56"/>
      <c r="AK173" s="57"/>
    </row>
    <row r="174" spans="1:37" x14ac:dyDescent="0.25">
      <c r="A174" s="111" t="s">
        <v>178</v>
      </c>
      <c r="B174" s="123">
        <f t="shared" si="49"/>
        <v>0.85</v>
      </c>
      <c r="C174" s="124">
        <v>0.85</v>
      </c>
      <c r="D174" s="123">
        <f t="shared" si="50"/>
        <v>0.85</v>
      </c>
      <c r="E174" s="123">
        <f t="shared" si="50"/>
        <v>0.85</v>
      </c>
      <c r="F174" s="123">
        <f t="shared" si="50"/>
        <v>0.85</v>
      </c>
      <c r="G174" s="123">
        <f t="shared" si="50"/>
        <v>0.85</v>
      </c>
      <c r="H174" s="123">
        <f t="shared" si="50"/>
        <v>0.85</v>
      </c>
      <c r="I174" s="123">
        <f t="shared" si="50"/>
        <v>0.85</v>
      </c>
      <c r="J174" s="123">
        <f t="shared" si="50"/>
        <v>0.85</v>
      </c>
      <c r="K174" s="123">
        <f t="shared" si="50"/>
        <v>0.85</v>
      </c>
      <c r="L174" s="123">
        <f t="shared" si="50"/>
        <v>0.85</v>
      </c>
      <c r="M174" s="123">
        <f t="shared" si="50"/>
        <v>0.85</v>
      </c>
      <c r="N174" s="123">
        <f t="shared" si="50"/>
        <v>0.85</v>
      </c>
      <c r="O174" s="123">
        <f t="shared" si="50"/>
        <v>0.85</v>
      </c>
      <c r="P174" s="123">
        <f t="shared" si="50"/>
        <v>0.85</v>
      </c>
      <c r="Q174" s="123">
        <f t="shared" si="50"/>
        <v>0.85</v>
      </c>
      <c r="R174" s="123">
        <f t="shared" si="50"/>
        <v>0.85</v>
      </c>
      <c r="S174" s="123">
        <f t="shared" si="51"/>
        <v>0.85</v>
      </c>
      <c r="T174" s="123">
        <f t="shared" si="51"/>
        <v>0.85</v>
      </c>
      <c r="U174" s="123">
        <f t="shared" si="51"/>
        <v>0.85</v>
      </c>
      <c r="V174" s="123">
        <f t="shared" si="51"/>
        <v>0.85</v>
      </c>
      <c r="W174" s="123">
        <f t="shared" si="51"/>
        <v>0.85</v>
      </c>
      <c r="X174" s="123">
        <f t="shared" si="51"/>
        <v>0.85</v>
      </c>
      <c r="Y174" s="123">
        <f t="shared" si="51"/>
        <v>0.85</v>
      </c>
      <c r="Z174" s="123">
        <f t="shared" si="51"/>
        <v>0.85</v>
      </c>
      <c r="AA174" s="123">
        <f t="shared" si="51"/>
        <v>0.85</v>
      </c>
      <c r="AB174" s="123">
        <f t="shared" si="51"/>
        <v>0.85</v>
      </c>
      <c r="AC174" s="123">
        <f t="shared" si="51"/>
        <v>0.85</v>
      </c>
      <c r="AD174" s="123">
        <f t="shared" si="51"/>
        <v>0.85</v>
      </c>
      <c r="AE174" s="123">
        <f t="shared" si="51"/>
        <v>0.85</v>
      </c>
      <c r="AF174" s="123">
        <f t="shared" si="51"/>
        <v>0.85</v>
      </c>
      <c r="AG174" s="126">
        <v>2.4</v>
      </c>
      <c r="AH174" s="55"/>
      <c r="AI174" s="56"/>
      <c r="AK174" s="57"/>
    </row>
    <row r="175" spans="1:37" x14ac:dyDescent="0.25">
      <c r="A175" s="111" t="s">
        <v>179</v>
      </c>
      <c r="B175" s="123">
        <f t="shared" si="49"/>
        <v>0.9</v>
      </c>
      <c r="C175" s="124">
        <v>0.9</v>
      </c>
      <c r="D175" s="123">
        <f t="shared" si="50"/>
        <v>0.9</v>
      </c>
      <c r="E175" s="123">
        <f t="shared" si="50"/>
        <v>0.9</v>
      </c>
      <c r="F175" s="123">
        <f t="shared" si="50"/>
        <v>0.9</v>
      </c>
      <c r="G175" s="123">
        <f t="shared" si="50"/>
        <v>0.9</v>
      </c>
      <c r="H175" s="123">
        <f t="shared" si="50"/>
        <v>0.9</v>
      </c>
      <c r="I175" s="123">
        <f t="shared" si="50"/>
        <v>0.9</v>
      </c>
      <c r="J175" s="123">
        <f t="shared" si="50"/>
        <v>0.9</v>
      </c>
      <c r="K175" s="123">
        <f t="shared" si="50"/>
        <v>0.9</v>
      </c>
      <c r="L175" s="123">
        <f t="shared" si="50"/>
        <v>0.9</v>
      </c>
      <c r="M175" s="123">
        <f t="shared" si="50"/>
        <v>0.9</v>
      </c>
      <c r="N175" s="123">
        <f t="shared" si="50"/>
        <v>0.9</v>
      </c>
      <c r="O175" s="123">
        <f t="shared" si="50"/>
        <v>0.9</v>
      </c>
      <c r="P175" s="123">
        <f t="shared" si="50"/>
        <v>0.9</v>
      </c>
      <c r="Q175" s="123">
        <f t="shared" si="50"/>
        <v>0.9</v>
      </c>
      <c r="R175" s="123">
        <f t="shared" si="50"/>
        <v>0.9</v>
      </c>
      <c r="S175" s="123">
        <f t="shared" si="51"/>
        <v>0.9</v>
      </c>
      <c r="T175" s="123">
        <f t="shared" si="51"/>
        <v>0.9</v>
      </c>
      <c r="U175" s="123">
        <f t="shared" si="51"/>
        <v>0.9</v>
      </c>
      <c r="V175" s="123">
        <f t="shared" si="51"/>
        <v>0.9</v>
      </c>
      <c r="W175" s="123">
        <f t="shared" si="51"/>
        <v>0.9</v>
      </c>
      <c r="X175" s="123">
        <f t="shared" si="51"/>
        <v>0.9</v>
      </c>
      <c r="Y175" s="123">
        <f t="shared" si="51"/>
        <v>0.9</v>
      </c>
      <c r="Z175" s="123">
        <f t="shared" si="51"/>
        <v>0.9</v>
      </c>
      <c r="AA175" s="123">
        <f t="shared" si="51"/>
        <v>0.9</v>
      </c>
      <c r="AB175" s="123">
        <f t="shared" si="51"/>
        <v>0.9</v>
      </c>
      <c r="AC175" s="123">
        <f t="shared" si="51"/>
        <v>0.9</v>
      </c>
      <c r="AD175" s="123">
        <f t="shared" si="51"/>
        <v>0.9</v>
      </c>
      <c r="AE175" s="123">
        <f t="shared" si="51"/>
        <v>0.9</v>
      </c>
      <c r="AF175" s="123">
        <f t="shared" si="51"/>
        <v>0.9</v>
      </c>
      <c r="AG175" s="126">
        <v>2.2000000000000002</v>
      </c>
      <c r="AH175" s="55"/>
      <c r="AI175" s="56"/>
      <c r="AK175" s="57"/>
    </row>
    <row r="176" spans="1:37" x14ac:dyDescent="0.25">
      <c r="A176" s="111" t="s">
        <v>180</v>
      </c>
      <c r="B176" s="123">
        <f t="shared" si="49"/>
        <v>0.44</v>
      </c>
      <c r="C176" s="124">
        <v>0.44</v>
      </c>
      <c r="D176" s="123">
        <f t="shared" si="50"/>
        <v>0.44</v>
      </c>
      <c r="E176" s="123">
        <f t="shared" si="50"/>
        <v>0.44</v>
      </c>
      <c r="F176" s="123">
        <f t="shared" si="50"/>
        <v>0.44</v>
      </c>
      <c r="G176" s="123">
        <f t="shared" si="50"/>
        <v>0.44</v>
      </c>
      <c r="H176" s="123">
        <f t="shared" si="50"/>
        <v>0.44</v>
      </c>
      <c r="I176" s="123">
        <f t="shared" si="50"/>
        <v>0.44</v>
      </c>
      <c r="J176" s="123">
        <f t="shared" si="50"/>
        <v>0.44</v>
      </c>
      <c r="K176" s="123">
        <f t="shared" si="50"/>
        <v>0.44</v>
      </c>
      <c r="L176" s="123">
        <f t="shared" si="50"/>
        <v>0.44</v>
      </c>
      <c r="M176" s="123">
        <f t="shared" si="50"/>
        <v>0.44</v>
      </c>
      <c r="N176" s="123">
        <f t="shared" si="50"/>
        <v>0.44</v>
      </c>
      <c r="O176" s="123">
        <f t="shared" si="50"/>
        <v>0.44</v>
      </c>
      <c r="P176" s="123">
        <f t="shared" si="50"/>
        <v>0.44</v>
      </c>
      <c r="Q176" s="123">
        <f t="shared" si="50"/>
        <v>0.44</v>
      </c>
      <c r="R176" s="123">
        <f t="shared" si="50"/>
        <v>0.44</v>
      </c>
      <c r="S176" s="123">
        <f t="shared" si="51"/>
        <v>0.44</v>
      </c>
      <c r="T176" s="123">
        <f t="shared" si="51"/>
        <v>0.44</v>
      </c>
      <c r="U176" s="123">
        <f t="shared" si="51"/>
        <v>0.44</v>
      </c>
      <c r="V176" s="123">
        <f t="shared" si="51"/>
        <v>0.44</v>
      </c>
      <c r="W176" s="123">
        <f t="shared" si="51"/>
        <v>0.44</v>
      </c>
      <c r="X176" s="123">
        <f t="shared" si="51"/>
        <v>0.44</v>
      </c>
      <c r="Y176" s="123">
        <f t="shared" si="51"/>
        <v>0.44</v>
      </c>
      <c r="Z176" s="123">
        <f t="shared" si="51"/>
        <v>0.44</v>
      </c>
      <c r="AA176" s="123">
        <f t="shared" si="51"/>
        <v>0.44</v>
      </c>
      <c r="AB176" s="123">
        <f t="shared" si="51"/>
        <v>0.44</v>
      </c>
      <c r="AC176" s="123">
        <f t="shared" si="51"/>
        <v>0.44</v>
      </c>
      <c r="AD176" s="123">
        <f t="shared" si="51"/>
        <v>0.44</v>
      </c>
      <c r="AE176" s="123">
        <f t="shared" si="51"/>
        <v>0.44</v>
      </c>
      <c r="AF176" s="123">
        <f t="shared" si="51"/>
        <v>0.44</v>
      </c>
      <c r="AG176" s="126">
        <v>2</v>
      </c>
      <c r="AH176" s="55"/>
      <c r="AI176" s="56"/>
      <c r="AK176" s="57"/>
    </row>
    <row r="177" spans="1:37" x14ac:dyDescent="0.25">
      <c r="A177" s="111" t="s">
        <v>181</v>
      </c>
      <c r="B177" s="123">
        <f t="shared" si="49"/>
        <v>2.1</v>
      </c>
      <c r="C177" s="124">
        <v>2.1</v>
      </c>
      <c r="D177" s="123">
        <f t="shared" si="50"/>
        <v>2.1</v>
      </c>
      <c r="E177" s="123">
        <f t="shared" si="50"/>
        <v>2.1</v>
      </c>
      <c r="F177" s="123">
        <f t="shared" si="50"/>
        <v>2.1</v>
      </c>
      <c r="G177" s="123">
        <f t="shared" si="50"/>
        <v>2.1</v>
      </c>
      <c r="H177" s="123">
        <f t="shared" si="50"/>
        <v>2.1</v>
      </c>
      <c r="I177" s="123">
        <f t="shared" si="50"/>
        <v>2.1</v>
      </c>
      <c r="J177" s="123">
        <f t="shared" si="50"/>
        <v>2.1</v>
      </c>
      <c r="K177" s="123">
        <f t="shared" si="50"/>
        <v>2.1</v>
      </c>
      <c r="L177" s="123">
        <f t="shared" si="50"/>
        <v>2.1</v>
      </c>
      <c r="M177" s="123">
        <f t="shared" si="50"/>
        <v>2.1</v>
      </c>
      <c r="N177" s="123">
        <f t="shared" si="50"/>
        <v>2.1</v>
      </c>
      <c r="O177" s="123">
        <f t="shared" si="50"/>
        <v>2.1</v>
      </c>
      <c r="P177" s="123">
        <f t="shared" si="50"/>
        <v>2.1</v>
      </c>
      <c r="Q177" s="123">
        <f t="shared" si="50"/>
        <v>2.1</v>
      </c>
      <c r="R177" s="123">
        <f t="shared" si="50"/>
        <v>2.1</v>
      </c>
      <c r="S177" s="123">
        <f t="shared" si="51"/>
        <v>2.1</v>
      </c>
      <c r="T177" s="123">
        <f t="shared" si="51"/>
        <v>2.1</v>
      </c>
      <c r="U177" s="123">
        <f t="shared" si="51"/>
        <v>2.1</v>
      </c>
      <c r="V177" s="123">
        <f t="shared" si="51"/>
        <v>2.1</v>
      </c>
      <c r="W177" s="123">
        <f t="shared" si="51"/>
        <v>2.1</v>
      </c>
      <c r="X177" s="123">
        <f t="shared" si="51"/>
        <v>2.1</v>
      </c>
      <c r="Y177" s="123">
        <f t="shared" si="51"/>
        <v>2.1</v>
      </c>
      <c r="Z177" s="123">
        <f t="shared" si="51"/>
        <v>2.1</v>
      </c>
      <c r="AA177" s="123">
        <f t="shared" si="51"/>
        <v>2.1</v>
      </c>
      <c r="AB177" s="123">
        <f t="shared" si="51"/>
        <v>2.1</v>
      </c>
      <c r="AC177" s="123">
        <f t="shared" si="51"/>
        <v>2.1</v>
      </c>
      <c r="AD177" s="123">
        <f t="shared" si="51"/>
        <v>2.1</v>
      </c>
      <c r="AE177" s="123">
        <f t="shared" si="51"/>
        <v>2.1</v>
      </c>
      <c r="AF177" s="123">
        <f t="shared" si="51"/>
        <v>2.1</v>
      </c>
      <c r="AG177" s="126">
        <v>2</v>
      </c>
      <c r="AH177" s="55"/>
      <c r="AI177" s="56"/>
      <c r="AK177" s="57"/>
    </row>
    <row r="178" spans="1:37" x14ac:dyDescent="0.25">
      <c r="A178" s="111" t="s">
        <v>182</v>
      </c>
      <c r="B178" s="123">
        <f t="shared" si="49"/>
        <v>0.9</v>
      </c>
      <c r="C178" s="124">
        <v>0.9</v>
      </c>
      <c r="D178" s="123">
        <f t="shared" si="50"/>
        <v>0.9</v>
      </c>
      <c r="E178" s="123">
        <f t="shared" si="50"/>
        <v>0.9</v>
      </c>
      <c r="F178" s="123">
        <f t="shared" si="50"/>
        <v>0.9</v>
      </c>
      <c r="G178" s="123">
        <f t="shared" si="50"/>
        <v>0.9</v>
      </c>
      <c r="H178" s="123">
        <f t="shared" si="50"/>
        <v>0.9</v>
      </c>
      <c r="I178" s="123">
        <f t="shared" si="50"/>
        <v>0.9</v>
      </c>
      <c r="J178" s="123">
        <f t="shared" si="50"/>
        <v>0.9</v>
      </c>
      <c r="K178" s="123">
        <f t="shared" si="50"/>
        <v>0.9</v>
      </c>
      <c r="L178" s="123">
        <f t="shared" si="50"/>
        <v>0.9</v>
      </c>
      <c r="M178" s="123">
        <f t="shared" si="50"/>
        <v>0.9</v>
      </c>
      <c r="N178" s="123">
        <f t="shared" si="50"/>
        <v>0.9</v>
      </c>
      <c r="O178" s="123">
        <f t="shared" si="50"/>
        <v>0.9</v>
      </c>
      <c r="P178" s="123">
        <f t="shared" si="50"/>
        <v>0.9</v>
      </c>
      <c r="Q178" s="123">
        <f t="shared" si="50"/>
        <v>0.9</v>
      </c>
      <c r="R178" s="123">
        <f t="shared" si="50"/>
        <v>0.9</v>
      </c>
      <c r="S178" s="123">
        <f t="shared" si="51"/>
        <v>0.9</v>
      </c>
      <c r="T178" s="123">
        <f t="shared" si="51"/>
        <v>0.9</v>
      </c>
      <c r="U178" s="123">
        <f t="shared" si="51"/>
        <v>0.9</v>
      </c>
      <c r="V178" s="123">
        <f t="shared" si="51"/>
        <v>0.9</v>
      </c>
      <c r="W178" s="123">
        <f t="shared" si="51"/>
        <v>0.9</v>
      </c>
      <c r="X178" s="123">
        <f t="shared" si="51"/>
        <v>0.9</v>
      </c>
      <c r="Y178" s="123">
        <f t="shared" si="51"/>
        <v>0.9</v>
      </c>
      <c r="Z178" s="123">
        <f t="shared" si="51"/>
        <v>0.9</v>
      </c>
      <c r="AA178" s="123">
        <f t="shared" si="51"/>
        <v>0.9</v>
      </c>
      <c r="AB178" s="123">
        <f t="shared" si="51"/>
        <v>0.9</v>
      </c>
      <c r="AC178" s="123">
        <f t="shared" si="51"/>
        <v>0.9</v>
      </c>
      <c r="AD178" s="123">
        <f t="shared" si="51"/>
        <v>0.9</v>
      </c>
      <c r="AE178" s="123">
        <f t="shared" si="51"/>
        <v>0.9</v>
      </c>
      <c r="AF178" s="123">
        <f t="shared" si="51"/>
        <v>0.9</v>
      </c>
      <c r="AG178" s="126">
        <v>2</v>
      </c>
      <c r="AH178" s="55"/>
      <c r="AI178" s="56"/>
      <c r="AK178" s="57"/>
    </row>
    <row r="179" spans="1:37" x14ac:dyDescent="0.25">
      <c r="A179" s="111" t="s">
        <v>183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5"/>
      <c r="AI179" s="56"/>
      <c r="AK179" s="57"/>
    </row>
    <row r="180" spans="1:37" x14ac:dyDescent="0.25">
      <c r="A180" s="111" t="s">
        <v>184</v>
      </c>
      <c r="B180" s="123">
        <f t="shared" ref="B180:B192" si="52">AF180</f>
        <v>0.57999999999999996</v>
      </c>
      <c r="C180" s="124">
        <v>0.57999999999999996</v>
      </c>
      <c r="D180" s="123">
        <f t="shared" ref="D180:S192" si="53">C180</f>
        <v>0.57999999999999996</v>
      </c>
      <c r="E180" s="123">
        <f t="shared" si="53"/>
        <v>0.57999999999999996</v>
      </c>
      <c r="F180" s="123">
        <f t="shared" si="53"/>
        <v>0.57999999999999996</v>
      </c>
      <c r="G180" s="123">
        <f t="shared" si="53"/>
        <v>0.57999999999999996</v>
      </c>
      <c r="H180" s="123">
        <f t="shared" si="53"/>
        <v>0.57999999999999996</v>
      </c>
      <c r="I180" s="123">
        <f t="shared" si="53"/>
        <v>0.57999999999999996</v>
      </c>
      <c r="J180" s="123">
        <f t="shared" si="53"/>
        <v>0.57999999999999996</v>
      </c>
      <c r="K180" s="123">
        <f t="shared" si="53"/>
        <v>0.57999999999999996</v>
      </c>
      <c r="L180" s="123">
        <f t="shared" si="53"/>
        <v>0.57999999999999996</v>
      </c>
      <c r="M180" s="123">
        <f t="shared" si="53"/>
        <v>0.57999999999999996</v>
      </c>
      <c r="N180" s="123">
        <f t="shared" si="53"/>
        <v>0.57999999999999996</v>
      </c>
      <c r="O180" s="123">
        <f t="shared" si="53"/>
        <v>0.57999999999999996</v>
      </c>
      <c r="P180" s="123">
        <f t="shared" si="53"/>
        <v>0.57999999999999996</v>
      </c>
      <c r="Q180" s="123">
        <f t="shared" si="53"/>
        <v>0.57999999999999996</v>
      </c>
      <c r="R180" s="123">
        <f t="shared" si="53"/>
        <v>0.57999999999999996</v>
      </c>
      <c r="S180" s="123">
        <f t="shared" si="53"/>
        <v>0.57999999999999996</v>
      </c>
      <c r="T180" s="123">
        <f t="shared" ref="S180:AF192" si="54">S180</f>
        <v>0.57999999999999996</v>
      </c>
      <c r="U180" s="123">
        <f t="shared" si="54"/>
        <v>0.57999999999999996</v>
      </c>
      <c r="V180" s="123">
        <f t="shared" si="54"/>
        <v>0.57999999999999996</v>
      </c>
      <c r="W180" s="123">
        <f t="shared" si="54"/>
        <v>0.57999999999999996</v>
      </c>
      <c r="X180" s="123">
        <f t="shared" si="54"/>
        <v>0.57999999999999996</v>
      </c>
      <c r="Y180" s="123">
        <f t="shared" si="54"/>
        <v>0.57999999999999996</v>
      </c>
      <c r="Z180" s="123">
        <f t="shared" si="54"/>
        <v>0.57999999999999996</v>
      </c>
      <c r="AA180" s="123">
        <f t="shared" si="54"/>
        <v>0.57999999999999996</v>
      </c>
      <c r="AB180" s="123">
        <f t="shared" si="54"/>
        <v>0.57999999999999996</v>
      </c>
      <c r="AC180" s="123">
        <f t="shared" si="54"/>
        <v>0.57999999999999996</v>
      </c>
      <c r="AD180" s="123">
        <f t="shared" si="54"/>
        <v>0.57999999999999996</v>
      </c>
      <c r="AE180" s="123">
        <f t="shared" si="54"/>
        <v>0.57999999999999996</v>
      </c>
      <c r="AF180" s="123">
        <f t="shared" si="54"/>
        <v>0.57999999999999996</v>
      </c>
      <c r="AG180" s="126">
        <v>1.8</v>
      </c>
      <c r="AH180" s="55"/>
      <c r="AI180" s="56"/>
      <c r="AK180" s="57"/>
    </row>
    <row r="181" spans="1:37" x14ac:dyDescent="0.25">
      <c r="A181" s="111" t="s">
        <v>185</v>
      </c>
      <c r="B181" s="123">
        <f t="shared" si="52"/>
        <v>0.8</v>
      </c>
      <c r="C181" s="124">
        <v>0.8</v>
      </c>
      <c r="D181" s="123">
        <f t="shared" si="53"/>
        <v>0.8</v>
      </c>
      <c r="E181" s="123">
        <f t="shared" si="53"/>
        <v>0.8</v>
      </c>
      <c r="F181" s="123">
        <f t="shared" si="53"/>
        <v>0.8</v>
      </c>
      <c r="G181" s="123">
        <f t="shared" si="53"/>
        <v>0.8</v>
      </c>
      <c r="H181" s="123">
        <f t="shared" si="53"/>
        <v>0.8</v>
      </c>
      <c r="I181" s="123">
        <f t="shared" si="53"/>
        <v>0.8</v>
      </c>
      <c r="J181" s="123">
        <f t="shared" si="53"/>
        <v>0.8</v>
      </c>
      <c r="K181" s="123">
        <f t="shared" si="53"/>
        <v>0.8</v>
      </c>
      <c r="L181" s="123">
        <f t="shared" si="53"/>
        <v>0.8</v>
      </c>
      <c r="M181" s="123">
        <f t="shared" si="53"/>
        <v>0.8</v>
      </c>
      <c r="N181" s="123">
        <f t="shared" si="53"/>
        <v>0.8</v>
      </c>
      <c r="O181" s="123">
        <f t="shared" si="53"/>
        <v>0.8</v>
      </c>
      <c r="P181" s="123">
        <f t="shared" si="53"/>
        <v>0.8</v>
      </c>
      <c r="Q181" s="123">
        <f t="shared" si="53"/>
        <v>0.8</v>
      </c>
      <c r="R181" s="123">
        <f t="shared" si="53"/>
        <v>0.8</v>
      </c>
      <c r="S181" s="123">
        <f t="shared" si="53"/>
        <v>0.8</v>
      </c>
      <c r="T181" s="123">
        <f t="shared" si="54"/>
        <v>0.8</v>
      </c>
      <c r="U181" s="123">
        <f t="shared" si="54"/>
        <v>0.8</v>
      </c>
      <c r="V181" s="123">
        <f t="shared" si="54"/>
        <v>0.8</v>
      </c>
      <c r="W181" s="123">
        <f t="shared" si="54"/>
        <v>0.8</v>
      </c>
      <c r="X181" s="123">
        <f t="shared" si="54"/>
        <v>0.8</v>
      </c>
      <c r="Y181" s="123">
        <f t="shared" si="54"/>
        <v>0.8</v>
      </c>
      <c r="Z181" s="123">
        <f t="shared" si="54"/>
        <v>0.8</v>
      </c>
      <c r="AA181" s="123">
        <f t="shared" si="54"/>
        <v>0.8</v>
      </c>
      <c r="AB181" s="123">
        <f t="shared" si="54"/>
        <v>0.8</v>
      </c>
      <c r="AC181" s="123">
        <f t="shared" si="54"/>
        <v>0.8</v>
      </c>
      <c r="AD181" s="123">
        <f t="shared" si="54"/>
        <v>0.8</v>
      </c>
      <c r="AE181" s="123">
        <f t="shared" si="54"/>
        <v>0.8</v>
      </c>
      <c r="AF181" s="123">
        <f t="shared" si="54"/>
        <v>0.8</v>
      </c>
      <c r="AG181" s="126">
        <v>1.65</v>
      </c>
      <c r="AH181" s="55"/>
      <c r="AI181" s="56"/>
      <c r="AK181" s="57"/>
    </row>
    <row r="182" spans="1:37" x14ac:dyDescent="0.25">
      <c r="A182" s="111" t="s">
        <v>186</v>
      </c>
      <c r="B182" s="123">
        <f t="shared" si="52"/>
        <v>0</v>
      </c>
      <c r="C182" s="124">
        <v>0</v>
      </c>
      <c r="D182" s="123">
        <f t="shared" si="53"/>
        <v>0</v>
      </c>
      <c r="E182" s="123">
        <f t="shared" si="53"/>
        <v>0</v>
      </c>
      <c r="F182" s="123">
        <f t="shared" si="53"/>
        <v>0</v>
      </c>
      <c r="G182" s="123">
        <f t="shared" si="53"/>
        <v>0</v>
      </c>
      <c r="H182" s="123">
        <f t="shared" si="53"/>
        <v>0</v>
      </c>
      <c r="I182" s="123">
        <f t="shared" si="53"/>
        <v>0</v>
      </c>
      <c r="J182" s="123">
        <f t="shared" si="53"/>
        <v>0</v>
      </c>
      <c r="K182" s="123">
        <f t="shared" si="53"/>
        <v>0</v>
      </c>
      <c r="L182" s="123">
        <f t="shared" si="53"/>
        <v>0</v>
      </c>
      <c r="M182" s="123">
        <f t="shared" si="53"/>
        <v>0</v>
      </c>
      <c r="N182" s="123">
        <f t="shared" si="53"/>
        <v>0</v>
      </c>
      <c r="O182" s="123">
        <f t="shared" si="53"/>
        <v>0</v>
      </c>
      <c r="P182" s="123">
        <f t="shared" si="53"/>
        <v>0</v>
      </c>
      <c r="Q182" s="123">
        <f t="shared" si="53"/>
        <v>0</v>
      </c>
      <c r="R182" s="123">
        <f t="shared" si="53"/>
        <v>0</v>
      </c>
      <c r="S182" s="123">
        <f t="shared" si="53"/>
        <v>0</v>
      </c>
      <c r="T182" s="123">
        <f t="shared" si="54"/>
        <v>0</v>
      </c>
      <c r="U182" s="123">
        <f t="shared" si="54"/>
        <v>0</v>
      </c>
      <c r="V182" s="123">
        <f t="shared" si="54"/>
        <v>0</v>
      </c>
      <c r="W182" s="123">
        <f t="shared" si="54"/>
        <v>0</v>
      </c>
      <c r="X182" s="123">
        <f t="shared" si="54"/>
        <v>0</v>
      </c>
      <c r="Y182" s="123">
        <f t="shared" si="54"/>
        <v>0</v>
      </c>
      <c r="Z182" s="123">
        <f t="shared" si="54"/>
        <v>0</v>
      </c>
      <c r="AA182" s="123">
        <f t="shared" si="54"/>
        <v>0</v>
      </c>
      <c r="AB182" s="123">
        <f t="shared" si="54"/>
        <v>0</v>
      </c>
      <c r="AC182" s="123">
        <f t="shared" si="54"/>
        <v>0</v>
      </c>
      <c r="AD182" s="123">
        <f t="shared" si="54"/>
        <v>0</v>
      </c>
      <c r="AE182" s="123">
        <f t="shared" si="54"/>
        <v>0</v>
      </c>
      <c r="AF182" s="123">
        <f t="shared" si="54"/>
        <v>0</v>
      </c>
      <c r="AG182" s="126">
        <v>1.5</v>
      </c>
      <c r="AH182" s="55"/>
      <c r="AI182" s="56"/>
      <c r="AK182" s="57"/>
    </row>
    <row r="183" spans="1:37" x14ac:dyDescent="0.25">
      <c r="A183" s="111" t="s">
        <v>187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0.998</v>
      </c>
      <c r="AH183" s="55"/>
      <c r="AI183" s="56"/>
      <c r="AK183" s="57"/>
    </row>
    <row r="184" spans="1:37" x14ac:dyDescent="0.25">
      <c r="A184" s="111" t="s">
        <v>188</v>
      </c>
      <c r="B184" s="123">
        <f t="shared" si="52"/>
        <v>0.6</v>
      </c>
      <c r="C184" s="124">
        <v>0.6</v>
      </c>
      <c r="D184" s="123">
        <f t="shared" si="53"/>
        <v>0.6</v>
      </c>
      <c r="E184" s="123">
        <f t="shared" si="53"/>
        <v>0.6</v>
      </c>
      <c r="F184" s="123">
        <f t="shared" si="53"/>
        <v>0.6</v>
      </c>
      <c r="G184" s="123">
        <f t="shared" si="53"/>
        <v>0.6</v>
      </c>
      <c r="H184" s="123">
        <f t="shared" si="53"/>
        <v>0.6</v>
      </c>
      <c r="I184" s="123">
        <f t="shared" si="53"/>
        <v>0.6</v>
      </c>
      <c r="J184" s="123">
        <f t="shared" si="53"/>
        <v>0.6</v>
      </c>
      <c r="K184" s="123">
        <f t="shared" si="53"/>
        <v>0.6</v>
      </c>
      <c r="L184" s="123">
        <f t="shared" si="53"/>
        <v>0.6</v>
      </c>
      <c r="M184" s="123">
        <f t="shared" si="53"/>
        <v>0.6</v>
      </c>
      <c r="N184" s="123">
        <f t="shared" si="53"/>
        <v>0.6</v>
      </c>
      <c r="O184" s="123">
        <f t="shared" si="53"/>
        <v>0.6</v>
      </c>
      <c r="P184" s="123">
        <f t="shared" si="53"/>
        <v>0.6</v>
      </c>
      <c r="Q184" s="123">
        <f t="shared" si="53"/>
        <v>0.6</v>
      </c>
      <c r="R184" s="123">
        <f t="shared" si="53"/>
        <v>0.6</v>
      </c>
      <c r="S184" s="123">
        <f t="shared" si="53"/>
        <v>0.6</v>
      </c>
      <c r="T184" s="123">
        <f t="shared" si="54"/>
        <v>0.6</v>
      </c>
      <c r="U184" s="123">
        <f t="shared" si="54"/>
        <v>0.6</v>
      </c>
      <c r="V184" s="123">
        <f t="shared" si="54"/>
        <v>0.6</v>
      </c>
      <c r="W184" s="123">
        <f t="shared" si="54"/>
        <v>0.6</v>
      </c>
      <c r="X184" s="123">
        <f t="shared" si="54"/>
        <v>0.6</v>
      </c>
      <c r="Y184" s="123">
        <f t="shared" si="54"/>
        <v>0.6</v>
      </c>
      <c r="Z184" s="123">
        <f t="shared" si="54"/>
        <v>0.6</v>
      </c>
      <c r="AA184" s="123">
        <f t="shared" si="54"/>
        <v>0.6</v>
      </c>
      <c r="AB184" s="123">
        <f t="shared" si="54"/>
        <v>0.6</v>
      </c>
      <c r="AC184" s="123">
        <f t="shared" si="54"/>
        <v>0.6</v>
      </c>
      <c r="AD184" s="123">
        <f t="shared" si="54"/>
        <v>0.6</v>
      </c>
      <c r="AE184" s="123">
        <f t="shared" si="54"/>
        <v>0.6</v>
      </c>
      <c r="AF184" s="123">
        <f t="shared" si="54"/>
        <v>0.6</v>
      </c>
      <c r="AG184" s="126">
        <v>0.997</v>
      </c>
      <c r="AH184" s="55"/>
      <c r="AI184" s="56"/>
      <c r="AK184" s="57"/>
    </row>
    <row r="185" spans="1:37" x14ac:dyDescent="0.25">
      <c r="A185" s="111" t="s">
        <v>189</v>
      </c>
      <c r="B185" s="123">
        <f t="shared" si="52"/>
        <v>0.35</v>
      </c>
      <c r="C185" s="124">
        <v>0.35</v>
      </c>
      <c r="D185" s="123">
        <f t="shared" si="53"/>
        <v>0.35</v>
      </c>
      <c r="E185" s="123">
        <f t="shared" si="53"/>
        <v>0.35</v>
      </c>
      <c r="F185" s="123">
        <f t="shared" si="53"/>
        <v>0.35</v>
      </c>
      <c r="G185" s="123">
        <f t="shared" si="53"/>
        <v>0.35</v>
      </c>
      <c r="H185" s="123">
        <f t="shared" si="53"/>
        <v>0.35</v>
      </c>
      <c r="I185" s="123">
        <f t="shared" si="53"/>
        <v>0.35</v>
      </c>
      <c r="J185" s="123">
        <f t="shared" si="53"/>
        <v>0.35</v>
      </c>
      <c r="K185" s="123">
        <f t="shared" si="53"/>
        <v>0.35</v>
      </c>
      <c r="L185" s="123">
        <f t="shared" si="53"/>
        <v>0.35</v>
      </c>
      <c r="M185" s="123">
        <f t="shared" si="53"/>
        <v>0.35</v>
      </c>
      <c r="N185" s="123">
        <f t="shared" si="53"/>
        <v>0.35</v>
      </c>
      <c r="O185" s="123">
        <f t="shared" si="53"/>
        <v>0.35</v>
      </c>
      <c r="P185" s="123">
        <f t="shared" si="53"/>
        <v>0.35</v>
      </c>
      <c r="Q185" s="123">
        <f t="shared" si="53"/>
        <v>0.35</v>
      </c>
      <c r="R185" s="123">
        <f t="shared" si="53"/>
        <v>0.35</v>
      </c>
      <c r="S185" s="123">
        <f t="shared" si="53"/>
        <v>0.35</v>
      </c>
      <c r="T185" s="123">
        <f t="shared" si="54"/>
        <v>0.35</v>
      </c>
      <c r="U185" s="123">
        <f t="shared" si="54"/>
        <v>0.35</v>
      </c>
      <c r="V185" s="123">
        <f t="shared" si="54"/>
        <v>0.35</v>
      </c>
      <c r="W185" s="123">
        <f t="shared" si="54"/>
        <v>0.35</v>
      </c>
      <c r="X185" s="123">
        <f t="shared" si="54"/>
        <v>0.35</v>
      </c>
      <c r="Y185" s="123">
        <f t="shared" si="54"/>
        <v>0.35</v>
      </c>
      <c r="Z185" s="123">
        <f t="shared" si="54"/>
        <v>0.35</v>
      </c>
      <c r="AA185" s="123">
        <f t="shared" si="54"/>
        <v>0.35</v>
      </c>
      <c r="AB185" s="123">
        <f t="shared" si="54"/>
        <v>0.35</v>
      </c>
      <c r="AC185" s="123">
        <f t="shared" si="54"/>
        <v>0.35</v>
      </c>
      <c r="AD185" s="123">
        <f t="shared" si="54"/>
        <v>0.35</v>
      </c>
      <c r="AE185" s="123">
        <f t="shared" si="54"/>
        <v>0.35</v>
      </c>
      <c r="AF185" s="123">
        <f t="shared" si="54"/>
        <v>0.35</v>
      </c>
      <c r="AG185" s="126">
        <v>0.997</v>
      </c>
      <c r="AH185" s="55"/>
      <c r="AI185" s="56"/>
      <c r="AK185" s="57"/>
    </row>
    <row r="186" spans="1:37" x14ac:dyDescent="0.25">
      <c r="A186" s="111" t="s">
        <v>190</v>
      </c>
      <c r="B186" s="123">
        <f t="shared" si="52"/>
        <v>0.28999999999999998</v>
      </c>
      <c r="C186" s="124">
        <v>0.28999999999999998</v>
      </c>
      <c r="D186" s="123">
        <f t="shared" si="53"/>
        <v>0.28999999999999998</v>
      </c>
      <c r="E186" s="123">
        <f t="shared" si="53"/>
        <v>0.28999999999999998</v>
      </c>
      <c r="F186" s="123">
        <f t="shared" si="53"/>
        <v>0.28999999999999998</v>
      </c>
      <c r="G186" s="123">
        <f t="shared" si="53"/>
        <v>0.28999999999999998</v>
      </c>
      <c r="H186" s="123">
        <f t="shared" si="53"/>
        <v>0.28999999999999998</v>
      </c>
      <c r="I186" s="123">
        <f t="shared" si="53"/>
        <v>0.28999999999999998</v>
      </c>
      <c r="J186" s="123">
        <f t="shared" si="53"/>
        <v>0.28999999999999998</v>
      </c>
      <c r="K186" s="123">
        <f t="shared" si="53"/>
        <v>0.28999999999999998</v>
      </c>
      <c r="L186" s="123">
        <f t="shared" si="53"/>
        <v>0.28999999999999998</v>
      </c>
      <c r="M186" s="123">
        <f t="shared" si="53"/>
        <v>0.28999999999999998</v>
      </c>
      <c r="N186" s="123">
        <f t="shared" si="53"/>
        <v>0.28999999999999998</v>
      </c>
      <c r="O186" s="123">
        <f t="shared" si="53"/>
        <v>0.28999999999999998</v>
      </c>
      <c r="P186" s="123">
        <f t="shared" si="53"/>
        <v>0.28999999999999998</v>
      </c>
      <c r="Q186" s="123">
        <f t="shared" si="53"/>
        <v>0.28999999999999998</v>
      </c>
      <c r="R186" s="123">
        <f t="shared" si="53"/>
        <v>0.28999999999999998</v>
      </c>
      <c r="S186" s="123">
        <f t="shared" si="53"/>
        <v>0.28999999999999998</v>
      </c>
      <c r="T186" s="123">
        <f t="shared" si="54"/>
        <v>0.28999999999999998</v>
      </c>
      <c r="U186" s="123">
        <f t="shared" si="54"/>
        <v>0.28999999999999998</v>
      </c>
      <c r="V186" s="123">
        <f t="shared" si="54"/>
        <v>0.28999999999999998</v>
      </c>
      <c r="W186" s="123">
        <f t="shared" si="54"/>
        <v>0.28999999999999998</v>
      </c>
      <c r="X186" s="123">
        <f t="shared" si="54"/>
        <v>0.28999999999999998</v>
      </c>
      <c r="Y186" s="123">
        <f t="shared" si="54"/>
        <v>0.28999999999999998</v>
      </c>
      <c r="Z186" s="123">
        <f t="shared" si="54"/>
        <v>0.28999999999999998</v>
      </c>
      <c r="AA186" s="123">
        <f t="shared" si="54"/>
        <v>0.28999999999999998</v>
      </c>
      <c r="AB186" s="123">
        <f t="shared" si="54"/>
        <v>0.28999999999999998</v>
      </c>
      <c r="AC186" s="123">
        <f t="shared" si="54"/>
        <v>0.28999999999999998</v>
      </c>
      <c r="AD186" s="123">
        <f t="shared" si="54"/>
        <v>0.28999999999999998</v>
      </c>
      <c r="AE186" s="123">
        <f t="shared" si="54"/>
        <v>0.28999999999999998</v>
      </c>
      <c r="AF186" s="123">
        <f t="shared" si="54"/>
        <v>0.28999999999999998</v>
      </c>
      <c r="AG186" s="126">
        <v>0.996</v>
      </c>
      <c r="AH186" s="55"/>
      <c r="AI186" s="56"/>
      <c r="AK186" s="57"/>
    </row>
    <row r="187" spans="1:37" x14ac:dyDescent="0.25">
      <c r="A187" s="111" t="s">
        <v>191</v>
      </c>
      <c r="B187" s="123">
        <f t="shared" si="52"/>
        <v>0.06</v>
      </c>
      <c r="C187" s="124">
        <v>0.06</v>
      </c>
      <c r="D187" s="123">
        <f t="shared" si="53"/>
        <v>0.06</v>
      </c>
      <c r="E187" s="123">
        <f t="shared" si="53"/>
        <v>0.06</v>
      </c>
      <c r="F187" s="123">
        <f t="shared" si="53"/>
        <v>0.06</v>
      </c>
      <c r="G187" s="123">
        <f t="shared" si="53"/>
        <v>0.06</v>
      </c>
      <c r="H187" s="123">
        <f t="shared" si="53"/>
        <v>0.06</v>
      </c>
      <c r="I187" s="123">
        <f t="shared" si="53"/>
        <v>0.06</v>
      </c>
      <c r="J187" s="123">
        <f t="shared" si="53"/>
        <v>0.06</v>
      </c>
      <c r="K187" s="123">
        <f t="shared" si="53"/>
        <v>0.06</v>
      </c>
      <c r="L187" s="123">
        <f t="shared" si="53"/>
        <v>0.06</v>
      </c>
      <c r="M187" s="123">
        <f t="shared" si="53"/>
        <v>0.06</v>
      </c>
      <c r="N187" s="123">
        <f t="shared" si="53"/>
        <v>0.06</v>
      </c>
      <c r="O187" s="123">
        <f t="shared" si="53"/>
        <v>0.06</v>
      </c>
      <c r="P187" s="123">
        <f t="shared" si="53"/>
        <v>0.06</v>
      </c>
      <c r="Q187" s="123">
        <f t="shared" si="53"/>
        <v>0.06</v>
      </c>
      <c r="R187" s="123">
        <f t="shared" si="53"/>
        <v>0.06</v>
      </c>
      <c r="S187" s="123">
        <f t="shared" si="53"/>
        <v>0.06</v>
      </c>
      <c r="T187" s="123">
        <f t="shared" si="54"/>
        <v>0.06</v>
      </c>
      <c r="U187" s="123">
        <f t="shared" si="54"/>
        <v>0.06</v>
      </c>
      <c r="V187" s="123">
        <f t="shared" si="54"/>
        <v>0.06</v>
      </c>
      <c r="W187" s="123">
        <f t="shared" si="54"/>
        <v>0.06</v>
      </c>
      <c r="X187" s="123">
        <f t="shared" si="54"/>
        <v>0.06</v>
      </c>
      <c r="Y187" s="123">
        <f t="shared" si="54"/>
        <v>0.06</v>
      </c>
      <c r="Z187" s="123">
        <f t="shared" si="54"/>
        <v>0.06</v>
      </c>
      <c r="AA187" s="123">
        <f t="shared" si="54"/>
        <v>0.06</v>
      </c>
      <c r="AB187" s="123">
        <f t="shared" si="54"/>
        <v>0.06</v>
      </c>
      <c r="AC187" s="123">
        <f t="shared" si="54"/>
        <v>0.06</v>
      </c>
      <c r="AD187" s="123">
        <f t="shared" si="54"/>
        <v>0.06</v>
      </c>
      <c r="AE187" s="123">
        <f t="shared" si="54"/>
        <v>0.06</v>
      </c>
      <c r="AF187" s="123">
        <f t="shared" si="54"/>
        <v>0.06</v>
      </c>
      <c r="AG187" s="126">
        <v>0.996</v>
      </c>
      <c r="AH187" s="55"/>
      <c r="AI187" s="56"/>
      <c r="AK187" s="57"/>
    </row>
    <row r="188" spans="1:37" x14ac:dyDescent="0.25">
      <c r="A188" s="111" t="s">
        <v>192</v>
      </c>
      <c r="B188" s="123">
        <f t="shared" si="52"/>
        <v>0.11</v>
      </c>
      <c r="C188" s="124">
        <v>0.11</v>
      </c>
      <c r="D188" s="123">
        <f t="shared" si="53"/>
        <v>0.11</v>
      </c>
      <c r="E188" s="123">
        <f t="shared" si="53"/>
        <v>0.11</v>
      </c>
      <c r="F188" s="123">
        <f t="shared" si="53"/>
        <v>0.11</v>
      </c>
      <c r="G188" s="123">
        <f t="shared" si="53"/>
        <v>0.11</v>
      </c>
      <c r="H188" s="123">
        <f t="shared" si="53"/>
        <v>0.11</v>
      </c>
      <c r="I188" s="123">
        <f t="shared" si="53"/>
        <v>0.11</v>
      </c>
      <c r="J188" s="123">
        <f t="shared" si="53"/>
        <v>0.11</v>
      </c>
      <c r="K188" s="123">
        <f t="shared" si="53"/>
        <v>0.11</v>
      </c>
      <c r="L188" s="123">
        <f t="shared" si="53"/>
        <v>0.11</v>
      </c>
      <c r="M188" s="123">
        <f t="shared" si="53"/>
        <v>0.11</v>
      </c>
      <c r="N188" s="123">
        <f t="shared" si="53"/>
        <v>0.11</v>
      </c>
      <c r="O188" s="123">
        <f t="shared" si="53"/>
        <v>0.11</v>
      </c>
      <c r="P188" s="123">
        <f t="shared" si="53"/>
        <v>0.11</v>
      </c>
      <c r="Q188" s="123">
        <f t="shared" si="53"/>
        <v>0.11</v>
      </c>
      <c r="R188" s="123">
        <f t="shared" si="53"/>
        <v>0.11</v>
      </c>
      <c r="S188" s="123">
        <f t="shared" si="53"/>
        <v>0.11</v>
      </c>
      <c r="T188" s="123">
        <f t="shared" si="54"/>
        <v>0.11</v>
      </c>
      <c r="U188" s="123">
        <f t="shared" si="54"/>
        <v>0.11</v>
      </c>
      <c r="V188" s="123">
        <f t="shared" si="54"/>
        <v>0.11</v>
      </c>
      <c r="W188" s="123">
        <f t="shared" si="54"/>
        <v>0.11</v>
      </c>
      <c r="X188" s="123">
        <f t="shared" si="54"/>
        <v>0.11</v>
      </c>
      <c r="Y188" s="123">
        <f t="shared" si="54"/>
        <v>0.11</v>
      </c>
      <c r="Z188" s="123">
        <f t="shared" si="54"/>
        <v>0.11</v>
      </c>
      <c r="AA188" s="123">
        <f t="shared" si="54"/>
        <v>0.11</v>
      </c>
      <c r="AB188" s="123">
        <f t="shared" si="54"/>
        <v>0.11</v>
      </c>
      <c r="AC188" s="123">
        <f t="shared" si="54"/>
        <v>0.11</v>
      </c>
      <c r="AD188" s="123">
        <f t="shared" si="54"/>
        <v>0.11</v>
      </c>
      <c r="AE188" s="123">
        <f t="shared" si="54"/>
        <v>0.11</v>
      </c>
      <c r="AF188" s="123">
        <f t="shared" si="54"/>
        <v>0.11</v>
      </c>
      <c r="AG188" s="126">
        <v>0.996</v>
      </c>
      <c r="AH188" s="55"/>
      <c r="AI188" s="56"/>
      <c r="AK188" s="57"/>
    </row>
    <row r="189" spans="1:37" x14ac:dyDescent="0.25">
      <c r="A189" s="111" t="s">
        <v>193</v>
      </c>
      <c r="B189" s="123">
        <f t="shared" si="52"/>
        <v>0.1</v>
      </c>
      <c r="C189" s="124">
        <v>0.1</v>
      </c>
      <c r="D189" s="123">
        <f t="shared" si="53"/>
        <v>0.1</v>
      </c>
      <c r="E189" s="123">
        <f t="shared" si="53"/>
        <v>0.1</v>
      </c>
      <c r="F189" s="123">
        <f t="shared" si="53"/>
        <v>0.1</v>
      </c>
      <c r="G189" s="123">
        <f t="shared" si="53"/>
        <v>0.1</v>
      </c>
      <c r="H189" s="123">
        <f t="shared" si="53"/>
        <v>0.1</v>
      </c>
      <c r="I189" s="123">
        <f t="shared" si="53"/>
        <v>0.1</v>
      </c>
      <c r="J189" s="123">
        <f t="shared" si="53"/>
        <v>0.1</v>
      </c>
      <c r="K189" s="123">
        <f t="shared" si="53"/>
        <v>0.1</v>
      </c>
      <c r="L189" s="123">
        <f t="shared" si="53"/>
        <v>0.1</v>
      </c>
      <c r="M189" s="123">
        <f t="shared" si="53"/>
        <v>0.1</v>
      </c>
      <c r="N189" s="123">
        <f t="shared" si="53"/>
        <v>0.1</v>
      </c>
      <c r="O189" s="123">
        <f t="shared" si="53"/>
        <v>0.1</v>
      </c>
      <c r="P189" s="123">
        <f t="shared" si="53"/>
        <v>0.1</v>
      </c>
      <c r="Q189" s="123">
        <f t="shared" si="53"/>
        <v>0.1</v>
      </c>
      <c r="R189" s="123">
        <f t="shared" si="53"/>
        <v>0.1</v>
      </c>
      <c r="S189" s="123">
        <f t="shared" si="54"/>
        <v>0.1</v>
      </c>
      <c r="T189" s="123">
        <f t="shared" si="54"/>
        <v>0.1</v>
      </c>
      <c r="U189" s="123">
        <f t="shared" si="54"/>
        <v>0.1</v>
      </c>
      <c r="V189" s="123">
        <f t="shared" si="54"/>
        <v>0.1</v>
      </c>
      <c r="W189" s="123">
        <f t="shared" si="54"/>
        <v>0.1</v>
      </c>
      <c r="X189" s="123">
        <f t="shared" si="54"/>
        <v>0.1</v>
      </c>
      <c r="Y189" s="123">
        <f t="shared" si="54"/>
        <v>0.1</v>
      </c>
      <c r="Z189" s="123">
        <f t="shared" si="54"/>
        <v>0.1</v>
      </c>
      <c r="AA189" s="123">
        <f t="shared" si="54"/>
        <v>0.1</v>
      </c>
      <c r="AB189" s="123">
        <f t="shared" si="54"/>
        <v>0.1</v>
      </c>
      <c r="AC189" s="123">
        <f t="shared" si="54"/>
        <v>0.1</v>
      </c>
      <c r="AD189" s="123">
        <f t="shared" si="54"/>
        <v>0.1</v>
      </c>
      <c r="AE189" s="123">
        <f t="shared" si="54"/>
        <v>0.1</v>
      </c>
      <c r="AF189" s="123">
        <f t="shared" si="54"/>
        <v>0.1</v>
      </c>
      <c r="AG189" s="126">
        <v>0.995</v>
      </c>
      <c r="AH189" s="55"/>
      <c r="AI189" s="56"/>
      <c r="AK189" s="57"/>
    </row>
    <row r="190" spans="1:37" x14ac:dyDescent="0.25">
      <c r="A190" s="111" t="s">
        <v>194</v>
      </c>
      <c r="B190" s="123">
        <f t="shared" si="52"/>
        <v>0.09</v>
      </c>
      <c r="C190" s="124">
        <v>0.09</v>
      </c>
      <c r="D190" s="123">
        <f t="shared" si="53"/>
        <v>0.09</v>
      </c>
      <c r="E190" s="123">
        <f t="shared" si="53"/>
        <v>0.09</v>
      </c>
      <c r="F190" s="123">
        <f t="shared" si="53"/>
        <v>0.09</v>
      </c>
      <c r="G190" s="123">
        <f t="shared" si="53"/>
        <v>0.09</v>
      </c>
      <c r="H190" s="123">
        <f t="shared" si="53"/>
        <v>0.09</v>
      </c>
      <c r="I190" s="123">
        <f t="shared" si="53"/>
        <v>0.09</v>
      </c>
      <c r="J190" s="123">
        <f t="shared" si="53"/>
        <v>0.09</v>
      </c>
      <c r="K190" s="123">
        <f t="shared" si="53"/>
        <v>0.09</v>
      </c>
      <c r="L190" s="123">
        <f t="shared" si="53"/>
        <v>0.09</v>
      </c>
      <c r="M190" s="123">
        <f t="shared" si="53"/>
        <v>0.09</v>
      </c>
      <c r="N190" s="123">
        <f t="shared" si="53"/>
        <v>0.09</v>
      </c>
      <c r="O190" s="123">
        <f t="shared" si="53"/>
        <v>0.09</v>
      </c>
      <c r="P190" s="123">
        <f t="shared" si="53"/>
        <v>0.09</v>
      </c>
      <c r="Q190" s="123">
        <f t="shared" si="53"/>
        <v>0.09</v>
      </c>
      <c r="R190" s="123">
        <f t="shared" si="53"/>
        <v>0.09</v>
      </c>
      <c r="S190" s="123">
        <f t="shared" si="54"/>
        <v>0.09</v>
      </c>
      <c r="T190" s="123">
        <f t="shared" si="54"/>
        <v>0.09</v>
      </c>
      <c r="U190" s="123">
        <f t="shared" si="54"/>
        <v>0.09</v>
      </c>
      <c r="V190" s="123">
        <f t="shared" si="54"/>
        <v>0.09</v>
      </c>
      <c r="W190" s="123">
        <f t="shared" si="54"/>
        <v>0.09</v>
      </c>
      <c r="X190" s="123">
        <f t="shared" si="54"/>
        <v>0.09</v>
      </c>
      <c r="Y190" s="123">
        <f t="shared" si="54"/>
        <v>0.09</v>
      </c>
      <c r="Z190" s="123">
        <f t="shared" si="54"/>
        <v>0.09</v>
      </c>
      <c r="AA190" s="123">
        <f t="shared" si="54"/>
        <v>0.09</v>
      </c>
      <c r="AB190" s="123">
        <f t="shared" si="54"/>
        <v>0.09</v>
      </c>
      <c r="AC190" s="123">
        <f t="shared" si="54"/>
        <v>0.09</v>
      </c>
      <c r="AD190" s="123">
        <f t="shared" si="54"/>
        <v>0.09</v>
      </c>
      <c r="AE190" s="123">
        <f t="shared" si="54"/>
        <v>0.09</v>
      </c>
      <c r="AF190" s="123">
        <f t="shared" si="54"/>
        <v>0.09</v>
      </c>
      <c r="AG190" s="126">
        <v>0.99299999999999999</v>
      </c>
      <c r="AH190" s="55"/>
      <c r="AI190" s="56"/>
      <c r="AK190" s="57"/>
    </row>
    <row r="191" spans="1:37" x14ac:dyDescent="0.25">
      <c r="A191" s="111" t="s">
        <v>195</v>
      </c>
      <c r="B191" s="123">
        <f t="shared" si="52"/>
        <v>0.04</v>
      </c>
      <c r="C191" s="54">
        <v>0.04</v>
      </c>
      <c r="D191" s="123">
        <f t="shared" si="53"/>
        <v>0.04</v>
      </c>
      <c r="E191" s="123">
        <f t="shared" si="53"/>
        <v>0.04</v>
      </c>
      <c r="F191" s="123">
        <f t="shared" si="53"/>
        <v>0.04</v>
      </c>
      <c r="G191" s="123">
        <f t="shared" si="53"/>
        <v>0.04</v>
      </c>
      <c r="H191" s="123">
        <f t="shared" si="53"/>
        <v>0.04</v>
      </c>
      <c r="I191" s="123">
        <f t="shared" si="53"/>
        <v>0.04</v>
      </c>
      <c r="J191" s="123">
        <f t="shared" si="53"/>
        <v>0.04</v>
      </c>
      <c r="K191" s="123">
        <f t="shared" si="53"/>
        <v>0.04</v>
      </c>
      <c r="L191" s="123">
        <f t="shared" si="53"/>
        <v>0.04</v>
      </c>
      <c r="M191" s="123">
        <f t="shared" si="53"/>
        <v>0.04</v>
      </c>
      <c r="N191" s="123">
        <f t="shared" si="53"/>
        <v>0.04</v>
      </c>
      <c r="O191" s="123">
        <f t="shared" si="53"/>
        <v>0.04</v>
      </c>
      <c r="P191" s="123">
        <f t="shared" si="53"/>
        <v>0.04</v>
      </c>
      <c r="Q191" s="123">
        <f t="shared" si="53"/>
        <v>0.04</v>
      </c>
      <c r="R191" s="123">
        <f t="shared" si="53"/>
        <v>0.04</v>
      </c>
      <c r="S191" s="123">
        <f t="shared" si="54"/>
        <v>0.04</v>
      </c>
      <c r="T191" s="123">
        <f t="shared" si="54"/>
        <v>0.04</v>
      </c>
      <c r="U191" s="123">
        <f t="shared" si="54"/>
        <v>0.04</v>
      </c>
      <c r="V191" s="123">
        <f t="shared" si="54"/>
        <v>0.04</v>
      </c>
      <c r="W191" s="123">
        <f t="shared" si="54"/>
        <v>0.04</v>
      </c>
      <c r="X191" s="123">
        <f t="shared" si="54"/>
        <v>0.04</v>
      </c>
      <c r="Y191" s="123">
        <f t="shared" si="54"/>
        <v>0.04</v>
      </c>
      <c r="Z191" s="123">
        <f t="shared" si="54"/>
        <v>0.04</v>
      </c>
      <c r="AA191" s="123">
        <f t="shared" si="54"/>
        <v>0.04</v>
      </c>
      <c r="AB191" s="123">
        <f t="shared" si="54"/>
        <v>0.04</v>
      </c>
      <c r="AC191" s="123">
        <f t="shared" si="54"/>
        <v>0.04</v>
      </c>
      <c r="AD191" s="123">
        <f t="shared" si="54"/>
        <v>0.04</v>
      </c>
      <c r="AE191" s="123">
        <f t="shared" si="54"/>
        <v>0.04</v>
      </c>
      <c r="AF191" s="123">
        <f t="shared" si="54"/>
        <v>0.04</v>
      </c>
      <c r="AG191" s="126">
        <v>0.99</v>
      </c>
      <c r="AH191" s="55"/>
      <c r="AI191" s="56"/>
      <c r="AK191" s="57"/>
    </row>
    <row r="192" spans="1:37" x14ac:dyDescent="0.25">
      <c r="A192" s="111" t="s">
        <v>196</v>
      </c>
      <c r="B192" s="123">
        <f t="shared" si="52"/>
        <v>2.3E-2</v>
      </c>
      <c r="C192" s="54">
        <v>2.3E-2</v>
      </c>
      <c r="D192" s="123">
        <f>C192</f>
        <v>2.3E-2</v>
      </c>
      <c r="E192" s="123">
        <f t="shared" si="53"/>
        <v>2.3E-2</v>
      </c>
      <c r="F192" s="123">
        <f t="shared" si="53"/>
        <v>2.3E-2</v>
      </c>
      <c r="G192" s="123">
        <f t="shared" si="53"/>
        <v>2.3E-2</v>
      </c>
      <c r="H192" s="123">
        <f t="shared" si="53"/>
        <v>2.3E-2</v>
      </c>
      <c r="I192" s="123">
        <f t="shared" si="53"/>
        <v>2.3E-2</v>
      </c>
      <c r="J192" s="123">
        <f t="shared" si="53"/>
        <v>2.3E-2</v>
      </c>
      <c r="K192" s="123">
        <f t="shared" si="53"/>
        <v>2.3E-2</v>
      </c>
      <c r="L192" s="123">
        <f t="shared" si="53"/>
        <v>2.3E-2</v>
      </c>
      <c r="M192" s="123">
        <f t="shared" si="53"/>
        <v>2.3E-2</v>
      </c>
      <c r="N192" s="123">
        <f t="shared" si="53"/>
        <v>2.3E-2</v>
      </c>
      <c r="O192" s="123">
        <f t="shared" si="53"/>
        <v>2.3E-2</v>
      </c>
      <c r="P192" s="123">
        <f t="shared" si="53"/>
        <v>2.3E-2</v>
      </c>
      <c r="Q192" s="123">
        <f t="shared" si="53"/>
        <v>2.3E-2</v>
      </c>
      <c r="R192" s="123">
        <f t="shared" si="53"/>
        <v>2.3E-2</v>
      </c>
      <c r="S192" s="123">
        <f t="shared" si="54"/>
        <v>2.3E-2</v>
      </c>
      <c r="T192" s="123">
        <f t="shared" si="54"/>
        <v>2.3E-2</v>
      </c>
      <c r="U192" s="123">
        <f t="shared" si="54"/>
        <v>2.3E-2</v>
      </c>
      <c r="V192" s="123">
        <f t="shared" si="54"/>
        <v>2.3E-2</v>
      </c>
      <c r="W192" s="123">
        <f t="shared" si="54"/>
        <v>2.3E-2</v>
      </c>
      <c r="X192" s="123">
        <f t="shared" si="54"/>
        <v>2.3E-2</v>
      </c>
      <c r="Y192" s="123">
        <f t="shared" si="54"/>
        <v>2.3E-2</v>
      </c>
      <c r="Z192" s="123">
        <f t="shared" si="54"/>
        <v>2.3E-2</v>
      </c>
      <c r="AA192" s="123">
        <f t="shared" si="54"/>
        <v>2.3E-2</v>
      </c>
      <c r="AB192" s="123">
        <f t="shared" si="54"/>
        <v>2.3E-2</v>
      </c>
      <c r="AC192" s="123">
        <f t="shared" si="54"/>
        <v>2.3E-2</v>
      </c>
      <c r="AD192" s="123">
        <f t="shared" si="54"/>
        <v>2.3E-2</v>
      </c>
      <c r="AE192" s="123">
        <f t="shared" si="54"/>
        <v>2.3E-2</v>
      </c>
      <c r="AF192" s="123">
        <f t="shared" si="54"/>
        <v>2.3E-2</v>
      </c>
      <c r="AG192" s="126">
        <v>0.97899999999999998</v>
      </c>
      <c r="AH192" s="55"/>
      <c r="AI192" s="56"/>
      <c r="AK192" s="57"/>
    </row>
    <row r="193" spans="1:37" ht="15.75" thickBot="1" x14ac:dyDescent="0.3">
      <c r="A193" s="127" t="s">
        <v>197</v>
      </c>
      <c r="B193" s="128">
        <f>SUM(B103:B192)</f>
        <v>187.10600000000005</v>
      </c>
      <c r="C193" s="128">
        <f t="shared" ref="C193:AG193" si="55">SUM(C103:C192)</f>
        <v>194.70600000000002</v>
      </c>
      <c r="D193" s="128">
        <f t="shared" si="55"/>
        <v>194.70600000000002</v>
      </c>
      <c r="E193" s="128">
        <f t="shared" si="55"/>
        <v>194.70600000000002</v>
      </c>
      <c r="F193" s="128">
        <f t="shared" si="55"/>
        <v>194.70600000000002</v>
      </c>
      <c r="G193" s="128">
        <f t="shared" si="55"/>
        <v>194.70600000000002</v>
      </c>
      <c r="H193" s="128">
        <f t="shared" si="55"/>
        <v>194.70600000000002</v>
      </c>
      <c r="I193" s="128">
        <f t="shared" si="55"/>
        <v>189.70600000000005</v>
      </c>
      <c r="J193" s="128">
        <f t="shared" si="55"/>
        <v>187.10600000000005</v>
      </c>
      <c r="K193" s="128">
        <f t="shared" si="55"/>
        <v>187.10600000000005</v>
      </c>
      <c r="L193" s="128">
        <f t="shared" si="55"/>
        <v>187.10600000000005</v>
      </c>
      <c r="M193" s="128">
        <f t="shared" si="55"/>
        <v>187.10600000000005</v>
      </c>
      <c r="N193" s="128">
        <f t="shared" si="55"/>
        <v>187.10600000000005</v>
      </c>
      <c r="O193" s="128">
        <f t="shared" si="55"/>
        <v>187.10600000000005</v>
      </c>
      <c r="P193" s="128">
        <f t="shared" si="55"/>
        <v>187.10600000000005</v>
      </c>
      <c r="Q193" s="128">
        <f t="shared" si="55"/>
        <v>187.10600000000005</v>
      </c>
      <c r="R193" s="128">
        <f t="shared" si="55"/>
        <v>187.10600000000005</v>
      </c>
      <c r="S193" s="128">
        <f t="shared" si="55"/>
        <v>187.10600000000005</v>
      </c>
      <c r="T193" s="128">
        <f t="shared" si="55"/>
        <v>187.10600000000005</v>
      </c>
      <c r="U193" s="128">
        <f t="shared" si="55"/>
        <v>187.10600000000005</v>
      </c>
      <c r="V193" s="128">
        <f t="shared" si="55"/>
        <v>187.10600000000005</v>
      </c>
      <c r="W193" s="128">
        <f t="shared" si="55"/>
        <v>187.10600000000005</v>
      </c>
      <c r="X193" s="128">
        <f t="shared" si="55"/>
        <v>187.10600000000005</v>
      </c>
      <c r="Y193" s="128">
        <f t="shared" si="55"/>
        <v>187.10600000000005</v>
      </c>
      <c r="Z193" s="128">
        <f t="shared" si="55"/>
        <v>187.10600000000005</v>
      </c>
      <c r="AA193" s="128">
        <f t="shared" si="55"/>
        <v>187.10600000000005</v>
      </c>
      <c r="AB193" s="128">
        <f t="shared" si="55"/>
        <v>187.10600000000005</v>
      </c>
      <c r="AC193" s="128">
        <f t="shared" si="55"/>
        <v>187.10600000000005</v>
      </c>
      <c r="AD193" s="128">
        <f t="shared" si="55"/>
        <v>187.10600000000005</v>
      </c>
      <c r="AE193" s="128">
        <f t="shared" si="55"/>
        <v>187.10600000000005</v>
      </c>
      <c r="AF193" s="128">
        <f t="shared" si="55"/>
        <v>187.10600000000005</v>
      </c>
      <c r="AG193" s="129">
        <f t="shared" si="55"/>
        <v>412.72299999999984</v>
      </c>
      <c r="AH193" s="55"/>
      <c r="AI193" s="56"/>
      <c r="AK193" s="57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5"/>
      <c r="AI194" s="56"/>
      <c r="AK194" s="57"/>
    </row>
    <row r="195" spans="1:37" x14ac:dyDescent="0.25">
      <c r="A195" s="105" t="s">
        <v>198</v>
      </c>
      <c r="B195" s="130">
        <f t="shared" ref="B195:B200" si="56">AF195</f>
        <v>0.3</v>
      </c>
      <c r="C195" s="130">
        <v>0.3</v>
      </c>
      <c r="D195" s="130">
        <f t="shared" ref="D195:S200" si="57">C195</f>
        <v>0.3</v>
      </c>
      <c r="E195" s="130">
        <f t="shared" si="57"/>
        <v>0.3</v>
      </c>
      <c r="F195" s="130">
        <f t="shared" si="57"/>
        <v>0.3</v>
      </c>
      <c r="G195" s="130">
        <f t="shared" si="57"/>
        <v>0.3</v>
      </c>
      <c r="H195" s="130">
        <f t="shared" si="57"/>
        <v>0.3</v>
      </c>
      <c r="I195" s="130">
        <f t="shared" si="57"/>
        <v>0.3</v>
      </c>
      <c r="J195" s="130">
        <f t="shared" si="57"/>
        <v>0.3</v>
      </c>
      <c r="K195" s="130">
        <f t="shared" si="57"/>
        <v>0.3</v>
      </c>
      <c r="L195" s="130">
        <f t="shared" si="57"/>
        <v>0.3</v>
      </c>
      <c r="M195" s="130">
        <f t="shared" si="57"/>
        <v>0.3</v>
      </c>
      <c r="N195" s="130">
        <f t="shared" si="57"/>
        <v>0.3</v>
      </c>
      <c r="O195" s="130">
        <f t="shared" si="57"/>
        <v>0.3</v>
      </c>
      <c r="P195" s="130">
        <f t="shared" si="57"/>
        <v>0.3</v>
      </c>
      <c r="Q195" s="130">
        <f t="shared" si="57"/>
        <v>0.3</v>
      </c>
      <c r="R195" s="130">
        <f t="shared" si="57"/>
        <v>0.3</v>
      </c>
      <c r="S195" s="130">
        <f t="shared" si="57"/>
        <v>0.3</v>
      </c>
      <c r="T195" s="130">
        <f t="shared" ref="T195:AF200" si="58">S195</f>
        <v>0.3</v>
      </c>
      <c r="U195" s="130">
        <f t="shared" si="58"/>
        <v>0.3</v>
      </c>
      <c r="V195" s="130">
        <f t="shared" si="58"/>
        <v>0.3</v>
      </c>
      <c r="W195" s="130">
        <f t="shared" si="58"/>
        <v>0.3</v>
      </c>
      <c r="X195" s="130">
        <f t="shared" si="58"/>
        <v>0.3</v>
      </c>
      <c r="Y195" s="130">
        <f t="shared" si="58"/>
        <v>0.3</v>
      </c>
      <c r="Z195" s="130">
        <f t="shared" si="58"/>
        <v>0.3</v>
      </c>
      <c r="AA195" s="130">
        <f t="shared" si="58"/>
        <v>0.3</v>
      </c>
      <c r="AB195" s="130">
        <f t="shared" si="58"/>
        <v>0.3</v>
      </c>
      <c r="AC195" s="130">
        <f t="shared" si="58"/>
        <v>0.3</v>
      </c>
      <c r="AD195" s="130">
        <f t="shared" si="58"/>
        <v>0.3</v>
      </c>
      <c r="AE195" s="130">
        <f t="shared" si="58"/>
        <v>0.3</v>
      </c>
      <c r="AF195" s="130">
        <f t="shared" si="58"/>
        <v>0.3</v>
      </c>
      <c r="AG195" s="131">
        <v>2.4</v>
      </c>
      <c r="AH195" s="55"/>
      <c r="AI195" s="56"/>
      <c r="AK195" s="57"/>
    </row>
    <row r="196" spans="1:37" x14ac:dyDescent="0.25">
      <c r="A196" s="109" t="s">
        <v>199</v>
      </c>
      <c r="B196" s="123">
        <f t="shared" si="56"/>
        <v>0.4</v>
      </c>
      <c r="C196" s="123">
        <v>0.4</v>
      </c>
      <c r="D196" s="123">
        <f t="shared" si="57"/>
        <v>0.4</v>
      </c>
      <c r="E196" s="123">
        <f t="shared" si="57"/>
        <v>0.4</v>
      </c>
      <c r="F196" s="123">
        <f t="shared" si="57"/>
        <v>0.4</v>
      </c>
      <c r="G196" s="123">
        <f t="shared" si="57"/>
        <v>0.4</v>
      </c>
      <c r="H196" s="123">
        <f t="shared" si="57"/>
        <v>0.4</v>
      </c>
      <c r="I196" s="123">
        <f t="shared" si="57"/>
        <v>0.4</v>
      </c>
      <c r="J196" s="123">
        <f t="shared" si="57"/>
        <v>0.4</v>
      </c>
      <c r="K196" s="123">
        <f t="shared" si="57"/>
        <v>0.4</v>
      </c>
      <c r="L196" s="123">
        <f t="shared" si="57"/>
        <v>0.4</v>
      </c>
      <c r="M196" s="123">
        <f t="shared" si="57"/>
        <v>0.4</v>
      </c>
      <c r="N196" s="123">
        <f t="shared" si="57"/>
        <v>0.4</v>
      </c>
      <c r="O196" s="123">
        <f t="shared" si="57"/>
        <v>0.4</v>
      </c>
      <c r="P196" s="123">
        <f t="shared" si="57"/>
        <v>0.4</v>
      </c>
      <c r="Q196" s="123">
        <f t="shared" si="57"/>
        <v>0.4</v>
      </c>
      <c r="R196" s="123">
        <f t="shared" si="57"/>
        <v>0.4</v>
      </c>
      <c r="S196" s="123">
        <f t="shared" si="57"/>
        <v>0.4</v>
      </c>
      <c r="T196" s="123">
        <f t="shared" si="58"/>
        <v>0.4</v>
      </c>
      <c r="U196" s="123">
        <f t="shared" si="58"/>
        <v>0.4</v>
      </c>
      <c r="V196" s="123">
        <f t="shared" si="58"/>
        <v>0.4</v>
      </c>
      <c r="W196" s="123">
        <f>V196</f>
        <v>0.4</v>
      </c>
      <c r="X196" s="123">
        <f>W196</f>
        <v>0.4</v>
      </c>
      <c r="Y196" s="123">
        <f t="shared" si="58"/>
        <v>0.4</v>
      </c>
      <c r="Z196" s="123">
        <f t="shared" si="58"/>
        <v>0.4</v>
      </c>
      <c r="AA196" s="123">
        <f t="shared" si="58"/>
        <v>0.4</v>
      </c>
      <c r="AB196" s="123">
        <f t="shared" si="58"/>
        <v>0.4</v>
      </c>
      <c r="AC196" s="123">
        <f t="shared" si="58"/>
        <v>0.4</v>
      </c>
      <c r="AD196" s="123">
        <f t="shared" si="58"/>
        <v>0.4</v>
      </c>
      <c r="AE196" s="123">
        <f t="shared" si="58"/>
        <v>0.4</v>
      </c>
      <c r="AF196" s="123">
        <f t="shared" si="58"/>
        <v>0.4</v>
      </c>
      <c r="AG196" s="132">
        <v>2</v>
      </c>
      <c r="AH196" s="55"/>
      <c r="AI196" s="56"/>
      <c r="AK196" s="57"/>
    </row>
    <row r="197" spans="1:37" x14ac:dyDescent="0.25">
      <c r="A197" s="109" t="s">
        <v>200</v>
      </c>
      <c r="B197" s="123">
        <f t="shared" si="56"/>
        <v>1.5</v>
      </c>
      <c r="C197" s="123">
        <v>1.5</v>
      </c>
      <c r="D197" s="123">
        <f t="shared" si="57"/>
        <v>1.5</v>
      </c>
      <c r="E197" s="123">
        <f t="shared" si="57"/>
        <v>1.5</v>
      </c>
      <c r="F197" s="123">
        <f t="shared" si="57"/>
        <v>1.5</v>
      </c>
      <c r="G197" s="123">
        <f t="shared" si="57"/>
        <v>1.5</v>
      </c>
      <c r="H197" s="123">
        <f t="shared" si="57"/>
        <v>1.5</v>
      </c>
      <c r="I197" s="123">
        <f t="shared" si="57"/>
        <v>1.5</v>
      </c>
      <c r="J197" s="123">
        <f t="shared" si="57"/>
        <v>1.5</v>
      </c>
      <c r="K197" s="123">
        <f t="shared" si="57"/>
        <v>1.5</v>
      </c>
      <c r="L197" s="123">
        <f t="shared" si="57"/>
        <v>1.5</v>
      </c>
      <c r="M197" s="123">
        <f t="shared" si="57"/>
        <v>1.5</v>
      </c>
      <c r="N197" s="123">
        <f t="shared" si="57"/>
        <v>1.5</v>
      </c>
      <c r="O197" s="123">
        <f t="shared" si="57"/>
        <v>1.5</v>
      </c>
      <c r="P197" s="123">
        <f t="shared" si="57"/>
        <v>1.5</v>
      </c>
      <c r="Q197" s="123">
        <f t="shared" si="57"/>
        <v>1.5</v>
      </c>
      <c r="R197" s="123">
        <f t="shared" si="57"/>
        <v>1.5</v>
      </c>
      <c r="S197" s="123">
        <f t="shared" si="57"/>
        <v>1.5</v>
      </c>
      <c r="T197" s="123">
        <f t="shared" si="58"/>
        <v>1.5</v>
      </c>
      <c r="U197" s="123">
        <f t="shared" si="58"/>
        <v>1.5</v>
      </c>
      <c r="V197" s="123">
        <f t="shared" si="58"/>
        <v>1.5</v>
      </c>
      <c r="W197" s="123">
        <f t="shared" si="58"/>
        <v>1.5</v>
      </c>
      <c r="X197" s="123">
        <f t="shared" si="58"/>
        <v>1.5</v>
      </c>
      <c r="Y197" s="123">
        <f t="shared" si="58"/>
        <v>1.5</v>
      </c>
      <c r="Z197" s="123">
        <f t="shared" si="58"/>
        <v>1.5</v>
      </c>
      <c r="AA197" s="123">
        <f t="shared" si="58"/>
        <v>1.5</v>
      </c>
      <c r="AB197" s="123">
        <f t="shared" si="58"/>
        <v>1.5</v>
      </c>
      <c r="AC197" s="123">
        <f t="shared" si="58"/>
        <v>1.5</v>
      </c>
      <c r="AD197" s="123">
        <f t="shared" si="58"/>
        <v>1.5</v>
      </c>
      <c r="AE197" s="123">
        <f t="shared" si="58"/>
        <v>1.5</v>
      </c>
      <c r="AF197" s="123">
        <f t="shared" si="58"/>
        <v>1.5</v>
      </c>
      <c r="AG197" s="132">
        <v>1.5</v>
      </c>
      <c r="AH197" s="55"/>
      <c r="AI197" s="56"/>
      <c r="AK197" s="57"/>
    </row>
    <row r="198" spans="1:37" x14ac:dyDescent="0.25">
      <c r="A198" s="109" t="s">
        <v>201</v>
      </c>
      <c r="B198" s="123">
        <f t="shared" si="56"/>
        <v>0.3</v>
      </c>
      <c r="C198" s="123">
        <v>0.3</v>
      </c>
      <c r="D198" s="123">
        <f t="shared" si="57"/>
        <v>0.3</v>
      </c>
      <c r="E198" s="123">
        <f t="shared" si="57"/>
        <v>0.3</v>
      </c>
      <c r="F198" s="123">
        <f t="shared" si="57"/>
        <v>0.3</v>
      </c>
      <c r="G198" s="123">
        <f t="shared" si="57"/>
        <v>0.3</v>
      </c>
      <c r="H198" s="123">
        <f t="shared" si="57"/>
        <v>0.3</v>
      </c>
      <c r="I198" s="123">
        <f t="shared" si="57"/>
        <v>0.3</v>
      </c>
      <c r="J198" s="123">
        <f t="shared" si="57"/>
        <v>0.3</v>
      </c>
      <c r="K198" s="123">
        <f t="shared" si="57"/>
        <v>0.3</v>
      </c>
      <c r="L198" s="123">
        <f t="shared" si="57"/>
        <v>0.3</v>
      </c>
      <c r="M198" s="123">
        <f t="shared" si="57"/>
        <v>0.3</v>
      </c>
      <c r="N198" s="123">
        <f t="shared" si="57"/>
        <v>0.3</v>
      </c>
      <c r="O198" s="123">
        <f t="shared" si="57"/>
        <v>0.3</v>
      </c>
      <c r="P198" s="123">
        <f t="shared" si="57"/>
        <v>0.3</v>
      </c>
      <c r="Q198" s="123">
        <f t="shared" si="57"/>
        <v>0.3</v>
      </c>
      <c r="R198" s="123">
        <f t="shared" si="57"/>
        <v>0.3</v>
      </c>
      <c r="S198" s="123">
        <f t="shared" si="57"/>
        <v>0.3</v>
      </c>
      <c r="T198" s="123">
        <f t="shared" si="58"/>
        <v>0.3</v>
      </c>
      <c r="U198" s="123">
        <f t="shared" si="58"/>
        <v>0.3</v>
      </c>
      <c r="V198" s="123">
        <f t="shared" si="58"/>
        <v>0.3</v>
      </c>
      <c r="W198" s="123">
        <f t="shared" si="58"/>
        <v>0.3</v>
      </c>
      <c r="X198" s="123">
        <f t="shared" si="58"/>
        <v>0.3</v>
      </c>
      <c r="Y198" s="123">
        <f t="shared" si="58"/>
        <v>0.3</v>
      </c>
      <c r="Z198" s="123">
        <f t="shared" si="58"/>
        <v>0.3</v>
      </c>
      <c r="AA198" s="123">
        <f t="shared" si="58"/>
        <v>0.3</v>
      </c>
      <c r="AB198" s="123">
        <f t="shared" si="58"/>
        <v>0.3</v>
      </c>
      <c r="AC198" s="123">
        <f t="shared" si="58"/>
        <v>0.3</v>
      </c>
      <c r="AD198" s="123">
        <f t="shared" si="58"/>
        <v>0.3</v>
      </c>
      <c r="AE198" s="123">
        <f t="shared" si="58"/>
        <v>0.3</v>
      </c>
      <c r="AF198" s="123">
        <f t="shared" si="58"/>
        <v>0.3</v>
      </c>
      <c r="AG198" s="132">
        <v>1</v>
      </c>
      <c r="AH198" s="55"/>
      <c r="AI198" s="56"/>
      <c r="AK198" s="57"/>
    </row>
    <row r="199" spans="1:37" x14ac:dyDescent="0.25">
      <c r="A199" s="109" t="s">
        <v>202</v>
      </c>
      <c r="B199" s="123">
        <f t="shared" si="56"/>
        <v>0.4</v>
      </c>
      <c r="C199" s="123">
        <v>0.4</v>
      </c>
      <c r="D199" s="123">
        <f t="shared" si="57"/>
        <v>0.4</v>
      </c>
      <c r="E199" s="123">
        <f t="shared" si="57"/>
        <v>0.4</v>
      </c>
      <c r="F199" s="123">
        <f t="shared" si="57"/>
        <v>0.4</v>
      </c>
      <c r="G199" s="123">
        <f t="shared" si="57"/>
        <v>0.4</v>
      </c>
      <c r="H199" s="123">
        <f t="shared" si="57"/>
        <v>0.4</v>
      </c>
      <c r="I199" s="123">
        <f t="shared" si="57"/>
        <v>0.4</v>
      </c>
      <c r="J199" s="123">
        <f t="shared" si="57"/>
        <v>0.4</v>
      </c>
      <c r="K199" s="123">
        <f t="shared" si="57"/>
        <v>0.4</v>
      </c>
      <c r="L199" s="123">
        <f t="shared" si="57"/>
        <v>0.4</v>
      </c>
      <c r="M199" s="123">
        <f t="shared" si="57"/>
        <v>0.4</v>
      </c>
      <c r="N199" s="123">
        <f t="shared" si="57"/>
        <v>0.4</v>
      </c>
      <c r="O199" s="123">
        <f t="shared" si="57"/>
        <v>0.4</v>
      </c>
      <c r="P199" s="123">
        <f t="shared" si="57"/>
        <v>0.4</v>
      </c>
      <c r="Q199" s="123">
        <f t="shared" si="57"/>
        <v>0.4</v>
      </c>
      <c r="R199" s="123">
        <f t="shared" si="57"/>
        <v>0.4</v>
      </c>
      <c r="S199" s="123">
        <f t="shared" si="57"/>
        <v>0.4</v>
      </c>
      <c r="T199" s="123">
        <f t="shared" si="58"/>
        <v>0.4</v>
      </c>
      <c r="U199" s="123">
        <f t="shared" si="58"/>
        <v>0.4</v>
      </c>
      <c r="V199" s="123">
        <f t="shared" si="58"/>
        <v>0.4</v>
      </c>
      <c r="W199" s="123">
        <f t="shared" si="58"/>
        <v>0.4</v>
      </c>
      <c r="X199" s="123">
        <f t="shared" si="58"/>
        <v>0.4</v>
      </c>
      <c r="Y199" s="123">
        <f t="shared" si="58"/>
        <v>0.4</v>
      </c>
      <c r="Z199" s="123">
        <f t="shared" si="58"/>
        <v>0.4</v>
      </c>
      <c r="AA199" s="123">
        <f t="shared" si="58"/>
        <v>0.4</v>
      </c>
      <c r="AB199" s="123">
        <f t="shared" si="58"/>
        <v>0.4</v>
      </c>
      <c r="AC199" s="123">
        <f t="shared" si="58"/>
        <v>0.4</v>
      </c>
      <c r="AD199" s="123">
        <f t="shared" si="58"/>
        <v>0.4</v>
      </c>
      <c r="AE199" s="123">
        <f t="shared" si="58"/>
        <v>0.4</v>
      </c>
      <c r="AF199" s="123">
        <f t="shared" si="58"/>
        <v>0.4</v>
      </c>
      <c r="AG199" s="132">
        <v>1</v>
      </c>
      <c r="AH199" s="55"/>
      <c r="AI199" s="56"/>
      <c r="AK199" s="57"/>
    </row>
    <row r="200" spans="1:37" ht="15.75" thickBot="1" x14ac:dyDescent="0.3">
      <c r="A200" s="111" t="s">
        <v>203</v>
      </c>
      <c r="B200" s="133">
        <f t="shared" si="56"/>
        <v>0.64</v>
      </c>
      <c r="C200" s="133">
        <v>0.64</v>
      </c>
      <c r="D200" s="133">
        <f t="shared" si="57"/>
        <v>0.64</v>
      </c>
      <c r="E200" s="133">
        <f t="shared" si="57"/>
        <v>0.64</v>
      </c>
      <c r="F200" s="133">
        <f t="shared" si="57"/>
        <v>0.64</v>
      </c>
      <c r="G200" s="133">
        <f t="shared" si="57"/>
        <v>0.64</v>
      </c>
      <c r="H200" s="133">
        <f t="shared" si="57"/>
        <v>0.64</v>
      </c>
      <c r="I200" s="133">
        <f t="shared" si="57"/>
        <v>0.64</v>
      </c>
      <c r="J200" s="133">
        <f t="shared" si="57"/>
        <v>0.64</v>
      </c>
      <c r="K200" s="133">
        <f t="shared" si="57"/>
        <v>0.64</v>
      </c>
      <c r="L200" s="133">
        <f t="shared" si="57"/>
        <v>0.64</v>
      </c>
      <c r="M200" s="133">
        <f t="shared" si="57"/>
        <v>0.64</v>
      </c>
      <c r="N200" s="133">
        <f t="shared" si="57"/>
        <v>0.64</v>
      </c>
      <c r="O200" s="133">
        <f t="shared" si="57"/>
        <v>0.64</v>
      </c>
      <c r="P200" s="133">
        <f t="shared" si="57"/>
        <v>0.64</v>
      </c>
      <c r="Q200" s="133">
        <f t="shared" si="57"/>
        <v>0.64</v>
      </c>
      <c r="R200" s="133">
        <f t="shared" si="57"/>
        <v>0.64</v>
      </c>
      <c r="S200" s="133">
        <f t="shared" si="57"/>
        <v>0.64</v>
      </c>
      <c r="T200" s="133">
        <f t="shared" si="58"/>
        <v>0.64</v>
      </c>
      <c r="U200" s="133">
        <f t="shared" si="58"/>
        <v>0.64</v>
      </c>
      <c r="V200" s="133">
        <f t="shared" si="58"/>
        <v>0.64</v>
      </c>
      <c r="W200" s="133">
        <f t="shared" si="58"/>
        <v>0.64</v>
      </c>
      <c r="X200" s="133">
        <f t="shared" si="58"/>
        <v>0.64</v>
      </c>
      <c r="Y200" s="133">
        <f t="shared" si="58"/>
        <v>0.64</v>
      </c>
      <c r="Z200" s="133">
        <f t="shared" si="58"/>
        <v>0.64</v>
      </c>
      <c r="AA200" s="133">
        <f t="shared" si="58"/>
        <v>0.64</v>
      </c>
      <c r="AB200" s="133">
        <f t="shared" si="58"/>
        <v>0.64</v>
      </c>
      <c r="AC200" s="133">
        <f t="shared" si="58"/>
        <v>0.64</v>
      </c>
      <c r="AD200" s="133">
        <f t="shared" si="58"/>
        <v>0.64</v>
      </c>
      <c r="AE200" s="133">
        <f t="shared" si="58"/>
        <v>0.64</v>
      </c>
      <c r="AF200" s="133">
        <f t="shared" si="58"/>
        <v>0.64</v>
      </c>
      <c r="AG200" s="134">
        <v>0.66</v>
      </c>
      <c r="AH200" s="55"/>
      <c r="AI200" s="56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59">SUM(D195:D200)</f>
        <v>3.54</v>
      </c>
      <c r="E201" s="136">
        <f t="shared" si="59"/>
        <v>3.54</v>
      </c>
      <c r="F201" s="136">
        <f t="shared" si="59"/>
        <v>3.54</v>
      </c>
      <c r="G201" s="136">
        <f t="shared" si="59"/>
        <v>3.54</v>
      </c>
      <c r="H201" s="136">
        <f t="shared" si="59"/>
        <v>3.54</v>
      </c>
      <c r="I201" s="136">
        <f t="shared" si="59"/>
        <v>3.54</v>
      </c>
      <c r="J201" s="136">
        <f t="shared" si="59"/>
        <v>3.54</v>
      </c>
      <c r="K201" s="136">
        <f t="shared" si="59"/>
        <v>3.54</v>
      </c>
      <c r="L201" s="136">
        <f t="shared" si="59"/>
        <v>3.54</v>
      </c>
      <c r="M201" s="136">
        <f>SUM(M195:M200)</f>
        <v>3.54</v>
      </c>
      <c r="N201" s="136">
        <f t="shared" ref="N201:S201" si="60">SUM(N195:N200)</f>
        <v>3.54</v>
      </c>
      <c r="O201" s="136">
        <f t="shared" si="60"/>
        <v>3.54</v>
      </c>
      <c r="P201" s="136">
        <f t="shared" si="60"/>
        <v>3.54</v>
      </c>
      <c r="Q201" s="136">
        <f t="shared" si="60"/>
        <v>3.54</v>
      </c>
      <c r="R201" s="136">
        <f t="shared" si="60"/>
        <v>3.54</v>
      </c>
      <c r="S201" s="136">
        <f t="shared" si="60"/>
        <v>3.54</v>
      </c>
      <c r="T201" s="136">
        <f>SUM(T195:T200)</f>
        <v>3.54</v>
      </c>
      <c r="U201" s="136">
        <f t="shared" ref="U201:AG201" si="61">SUM(U195:U200)</f>
        <v>3.54</v>
      </c>
      <c r="V201" s="136">
        <f t="shared" si="61"/>
        <v>3.54</v>
      </c>
      <c r="W201" s="136">
        <f t="shared" si="61"/>
        <v>3.54</v>
      </c>
      <c r="X201" s="136">
        <f t="shared" si="61"/>
        <v>3.54</v>
      </c>
      <c r="Y201" s="136">
        <f t="shared" si="61"/>
        <v>3.54</v>
      </c>
      <c r="Z201" s="136">
        <f t="shared" si="61"/>
        <v>3.54</v>
      </c>
      <c r="AA201" s="136">
        <f t="shared" si="61"/>
        <v>3.54</v>
      </c>
      <c r="AB201" s="136">
        <f t="shared" si="61"/>
        <v>3.54</v>
      </c>
      <c r="AC201" s="136">
        <f t="shared" si="61"/>
        <v>3.54</v>
      </c>
      <c r="AD201" s="136">
        <f t="shared" si="61"/>
        <v>3.54</v>
      </c>
      <c r="AE201" s="136">
        <f t="shared" si="61"/>
        <v>3.54</v>
      </c>
      <c r="AF201" s="136">
        <f t="shared" si="61"/>
        <v>3.54</v>
      </c>
      <c r="AG201" s="137">
        <f t="shared" si="61"/>
        <v>8.56</v>
      </c>
      <c r="AH201" s="55"/>
      <c r="AI201" s="56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204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5"/>
      <c r="AI203" s="56"/>
    </row>
    <row r="204" spans="1:37" x14ac:dyDescent="0.25">
      <c r="A204" s="140" t="s">
        <v>205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5"/>
      <c r="AI204" s="56"/>
    </row>
    <row r="205" spans="1:37" x14ac:dyDescent="0.25">
      <c r="A205" s="92" t="s">
        <v>206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x14ac:dyDescent="0.25">
      <c r="A206" s="92" t="s">
        <v>207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5"/>
      <c r="AI206" s="56"/>
    </row>
    <row r="207" spans="1:37" ht="15.75" thickBot="1" x14ac:dyDescent="0.3">
      <c r="A207" s="146" t="s">
        <v>208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5"/>
      <c r="AI207" s="56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209</v>
      </c>
      <c r="B210" s="150">
        <f>MAX(G75:N75)</f>
        <v>1675.94</v>
      </c>
      <c r="C210" s="151">
        <f>INDEX(G9:N9,1,MATCH(MAX(G75:N75),G75:N75,0))</f>
        <v>0.22916666666666666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18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8" t="s">
        <v>210</v>
      </c>
      <c r="B212" s="198"/>
      <c r="C212" s="47"/>
      <c r="D212" s="152" t="str">
        <f ca="1">"Pie Chart of Daily Peak Demand(Inclusive of Export) of Nepal ("&amp;A4&amp;" "&amp;B4&amp;")"</f>
        <v>Pie Chart of Daily Peak Demand(Inclusive of Export) of Nepal (Nepali Date: 2079/02/18)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2079/02/18)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211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212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213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214</v>
      </c>
      <c r="T215" s="161">
        <f t="shared" ref="T215:AX215" si="62">B75</f>
        <v>1729.1399999999999</v>
      </c>
      <c r="U215" s="161">
        <f t="shared" si="62"/>
        <v>1694.14</v>
      </c>
      <c r="V215" s="161">
        <f t="shared" si="62"/>
        <v>1639.2400000000002</v>
      </c>
      <c r="W215" s="161">
        <f t="shared" si="62"/>
        <v>1636.9400000000003</v>
      </c>
      <c r="X215" s="161">
        <f t="shared" si="62"/>
        <v>1551.8400000000001</v>
      </c>
      <c r="Y215" s="161">
        <f t="shared" si="62"/>
        <v>1630.14</v>
      </c>
      <c r="Z215" s="161">
        <f t="shared" si="62"/>
        <v>1675.94</v>
      </c>
      <c r="AA215" s="161">
        <f t="shared" si="62"/>
        <v>1673.24</v>
      </c>
      <c r="AB215" s="161">
        <f t="shared" si="62"/>
        <v>1636.8400000000001</v>
      </c>
      <c r="AC215" s="161">
        <f t="shared" si="62"/>
        <v>1651.7400000000002</v>
      </c>
      <c r="AD215" s="161">
        <f t="shared" si="62"/>
        <v>1615.7400000000002</v>
      </c>
      <c r="AE215" s="161">
        <f t="shared" si="62"/>
        <v>1636.9399999999998</v>
      </c>
      <c r="AF215" s="161">
        <f t="shared" si="62"/>
        <v>3.54</v>
      </c>
      <c r="AG215" s="161">
        <f t="shared" si="62"/>
        <v>1555.44</v>
      </c>
      <c r="AH215" s="161">
        <f t="shared" si="62"/>
        <v>1565.0400000000002</v>
      </c>
      <c r="AI215" s="161">
        <f t="shared" si="62"/>
        <v>1629.64</v>
      </c>
      <c r="AJ215" s="161">
        <f t="shared" si="62"/>
        <v>1634.3400000000001</v>
      </c>
      <c r="AK215" s="161">
        <f t="shared" si="62"/>
        <v>1639.14</v>
      </c>
      <c r="AL215" s="161">
        <f t="shared" si="62"/>
        <v>1639.14</v>
      </c>
      <c r="AM215" s="161">
        <f t="shared" si="62"/>
        <v>1646.14</v>
      </c>
      <c r="AN215" s="161">
        <f t="shared" si="62"/>
        <v>1660.44</v>
      </c>
      <c r="AO215" s="161">
        <f t="shared" si="62"/>
        <v>1647.74</v>
      </c>
      <c r="AP215" s="161">
        <f t="shared" si="62"/>
        <v>1659.64</v>
      </c>
      <c r="AQ215" s="161">
        <f t="shared" si="62"/>
        <v>1669.04</v>
      </c>
      <c r="AR215" s="161">
        <f t="shared" si="62"/>
        <v>1669.04</v>
      </c>
      <c r="AS215" s="161">
        <f t="shared" si="62"/>
        <v>1699.04</v>
      </c>
      <c r="AT215" s="161">
        <f t="shared" si="62"/>
        <v>1711.0400000000002</v>
      </c>
      <c r="AU215" s="161">
        <f t="shared" si="62"/>
        <v>1711.2400000000002</v>
      </c>
      <c r="AV215" s="161">
        <f t="shared" si="62"/>
        <v>1708.44</v>
      </c>
      <c r="AW215" s="161">
        <f t="shared" si="62"/>
        <v>1704.3400000000001</v>
      </c>
      <c r="AX215" s="161">
        <f t="shared" si="62"/>
        <v>1712.8400000000001</v>
      </c>
    </row>
    <row r="216" spans="1:50" x14ac:dyDescent="0.25">
      <c r="A216" s="153" t="s">
        <v>215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216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217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218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219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204</v>
      </c>
      <c r="B236" s="164">
        <f t="shared" ref="B236:AE236" si="63">C200</f>
        <v>0.64</v>
      </c>
      <c r="C236" s="164">
        <f t="shared" si="63"/>
        <v>0.64</v>
      </c>
      <c r="D236" s="164">
        <f t="shared" si="63"/>
        <v>0.64</v>
      </c>
      <c r="E236" s="164">
        <f t="shared" si="63"/>
        <v>0.64</v>
      </c>
      <c r="F236" s="164">
        <f t="shared" si="63"/>
        <v>0.64</v>
      </c>
      <c r="G236" s="164">
        <f t="shared" si="63"/>
        <v>0.64</v>
      </c>
      <c r="H236" s="164">
        <f t="shared" si="63"/>
        <v>0.64</v>
      </c>
      <c r="I236" s="164">
        <f t="shared" si="63"/>
        <v>0.64</v>
      </c>
      <c r="J236" s="164">
        <f t="shared" si="63"/>
        <v>0.64</v>
      </c>
      <c r="K236" s="164">
        <f t="shared" si="63"/>
        <v>0.64</v>
      </c>
      <c r="L236" s="164">
        <f t="shared" si="63"/>
        <v>0.64</v>
      </c>
      <c r="M236" s="164">
        <f t="shared" si="63"/>
        <v>0.64</v>
      </c>
      <c r="N236" s="164">
        <f t="shared" si="63"/>
        <v>0.64</v>
      </c>
      <c r="O236" s="164">
        <f t="shared" si="63"/>
        <v>0.64</v>
      </c>
      <c r="P236" s="164">
        <f t="shared" si="63"/>
        <v>0.64</v>
      </c>
      <c r="Q236" s="164">
        <f t="shared" si="63"/>
        <v>0.64</v>
      </c>
      <c r="R236" s="164">
        <f t="shared" si="63"/>
        <v>0.64</v>
      </c>
      <c r="S236" s="164">
        <f t="shared" si="63"/>
        <v>0.64</v>
      </c>
      <c r="T236" s="164">
        <f t="shared" si="63"/>
        <v>0.64</v>
      </c>
      <c r="U236" s="164">
        <f t="shared" si="63"/>
        <v>0.64</v>
      </c>
      <c r="V236" s="164">
        <f t="shared" si="63"/>
        <v>0.64</v>
      </c>
      <c r="W236" s="164">
        <f t="shared" si="63"/>
        <v>0.64</v>
      </c>
      <c r="X236" s="164">
        <f t="shared" si="63"/>
        <v>0.64</v>
      </c>
      <c r="Y236" s="164">
        <f t="shared" si="63"/>
        <v>0.64</v>
      </c>
      <c r="Z236" s="164">
        <f t="shared" si="63"/>
        <v>0.64</v>
      </c>
      <c r="AA236" s="164">
        <f t="shared" si="63"/>
        <v>0.64</v>
      </c>
      <c r="AB236" s="164">
        <f t="shared" si="63"/>
        <v>0.64</v>
      </c>
      <c r="AC236" s="164">
        <f t="shared" si="63"/>
        <v>0.64</v>
      </c>
      <c r="AD236" s="164">
        <f t="shared" si="63"/>
        <v>0.64</v>
      </c>
      <c r="AE236" s="164">
        <f t="shared" si="63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64">IF(C204&lt;100,"",C204-520)</f>
        <v/>
      </c>
      <c r="D237" s="107" t="str">
        <f t="shared" si="64"/>
        <v/>
      </c>
      <c r="E237" s="107" t="str">
        <f t="shared" si="64"/>
        <v/>
      </c>
      <c r="F237" s="107" t="str">
        <f t="shared" si="64"/>
        <v/>
      </c>
      <c r="G237" s="107" t="str">
        <f t="shared" si="64"/>
        <v/>
      </c>
      <c r="H237" s="107" t="str">
        <f t="shared" si="64"/>
        <v/>
      </c>
      <c r="I237" s="107" t="str">
        <f t="shared" si="64"/>
        <v/>
      </c>
      <c r="J237" s="107" t="str">
        <f t="shared" si="64"/>
        <v/>
      </c>
      <c r="K237" s="107" t="str">
        <f t="shared" si="64"/>
        <v/>
      </c>
      <c r="L237" s="107" t="str">
        <f t="shared" si="64"/>
        <v/>
      </c>
      <c r="M237" s="107" t="str">
        <f t="shared" si="64"/>
        <v/>
      </c>
      <c r="N237" s="107" t="str">
        <f t="shared" si="64"/>
        <v/>
      </c>
      <c r="O237" s="107" t="str">
        <f t="shared" si="64"/>
        <v/>
      </c>
      <c r="P237" s="107" t="str">
        <f t="shared" si="64"/>
        <v/>
      </c>
      <c r="Q237" s="107" t="str">
        <f t="shared" si="64"/>
        <v/>
      </c>
      <c r="R237" s="107" t="str">
        <f t="shared" si="64"/>
        <v/>
      </c>
      <c r="S237" s="107" t="str">
        <f t="shared" si="64"/>
        <v/>
      </c>
      <c r="T237" s="107" t="str">
        <f t="shared" si="64"/>
        <v/>
      </c>
      <c r="U237" s="107" t="str">
        <f t="shared" si="64"/>
        <v/>
      </c>
      <c r="V237" s="107" t="str">
        <f t="shared" si="64"/>
        <v/>
      </c>
      <c r="W237" s="107" t="str">
        <f t="shared" si="64"/>
        <v/>
      </c>
      <c r="X237" s="107" t="str">
        <f t="shared" si="64"/>
        <v/>
      </c>
      <c r="Y237" s="107" t="str">
        <f t="shared" si="64"/>
        <v/>
      </c>
      <c r="Z237" s="107" t="str">
        <f t="shared" si="64"/>
        <v/>
      </c>
      <c r="AA237" s="107" t="str">
        <f t="shared" si="64"/>
        <v/>
      </c>
      <c r="AB237" s="107" t="str">
        <f t="shared" si="64"/>
        <v/>
      </c>
      <c r="AC237" s="107" t="str">
        <f t="shared" si="64"/>
        <v/>
      </c>
      <c r="AD237" s="107" t="str">
        <f t="shared" si="64"/>
        <v/>
      </c>
      <c r="AE237" s="107" t="str">
        <f t="shared" si="64"/>
        <v/>
      </c>
      <c r="AF237" s="107" t="str">
        <f t="shared" si="64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65">IF(B205&lt;100,"",B205-620)</f>
        <v/>
      </c>
      <c r="C238" s="107" t="str">
        <f t="shared" si="65"/>
        <v/>
      </c>
      <c r="D238" s="107" t="str">
        <f t="shared" si="65"/>
        <v/>
      </c>
      <c r="E238" s="107" t="str">
        <f t="shared" si="65"/>
        <v/>
      </c>
      <c r="F238" s="107" t="str">
        <f t="shared" si="65"/>
        <v/>
      </c>
      <c r="G238" s="107" t="str">
        <f t="shared" si="65"/>
        <v/>
      </c>
      <c r="H238" s="107" t="str">
        <f t="shared" si="65"/>
        <v/>
      </c>
      <c r="I238" s="107" t="str">
        <f t="shared" si="65"/>
        <v/>
      </c>
      <c r="J238" s="107" t="str">
        <f t="shared" si="65"/>
        <v/>
      </c>
      <c r="K238" s="107" t="str">
        <f t="shared" si="65"/>
        <v/>
      </c>
      <c r="L238" s="107" t="str">
        <f t="shared" si="65"/>
        <v/>
      </c>
      <c r="M238" s="107" t="str">
        <f t="shared" si="65"/>
        <v/>
      </c>
      <c r="N238" s="107" t="str">
        <f t="shared" si="65"/>
        <v/>
      </c>
      <c r="O238" s="107" t="str">
        <f t="shared" si="65"/>
        <v/>
      </c>
      <c r="P238" s="107" t="str">
        <f t="shared" si="65"/>
        <v/>
      </c>
      <c r="Q238" s="107" t="str">
        <f t="shared" si="65"/>
        <v/>
      </c>
      <c r="R238" s="107" t="str">
        <f t="shared" si="65"/>
        <v/>
      </c>
      <c r="S238" s="107" t="str">
        <f t="shared" si="65"/>
        <v/>
      </c>
      <c r="T238" s="107" t="str">
        <f t="shared" si="65"/>
        <v/>
      </c>
      <c r="U238" s="107" t="str">
        <f t="shared" si="65"/>
        <v/>
      </c>
      <c r="V238" s="107" t="str">
        <f t="shared" si="65"/>
        <v/>
      </c>
      <c r="W238" s="107" t="str">
        <f t="shared" si="65"/>
        <v/>
      </c>
      <c r="X238" s="107" t="str">
        <f t="shared" si="65"/>
        <v/>
      </c>
      <c r="Y238" s="107" t="str">
        <f t="shared" si="65"/>
        <v/>
      </c>
      <c r="Z238" s="107" t="str">
        <f t="shared" si="65"/>
        <v/>
      </c>
      <c r="AA238" s="107" t="str">
        <f t="shared" si="65"/>
        <v/>
      </c>
      <c r="AB238" s="107" t="str">
        <f t="shared" si="65"/>
        <v/>
      </c>
      <c r="AC238" s="107" t="str">
        <f t="shared" si="65"/>
        <v/>
      </c>
      <c r="AD238" s="107" t="str">
        <f t="shared" si="65"/>
        <v/>
      </c>
      <c r="AE238" s="107" t="str">
        <f t="shared" si="65"/>
        <v/>
      </c>
      <c r="AF238" s="107" t="str">
        <f t="shared" si="65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66">IF(B206&lt;100,"",B206-330)</f>
        <v/>
      </c>
      <c r="C239" s="107" t="str">
        <f t="shared" si="66"/>
        <v/>
      </c>
      <c r="D239" s="107" t="str">
        <f t="shared" si="66"/>
        <v/>
      </c>
      <c r="E239" s="107" t="str">
        <f t="shared" si="66"/>
        <v/>
      </c>
      <c r="F239" s="107" t="str">
        <f t="shared" si="66"/>
        <v/>
      </c>
      <c r="G239" s="107" t="str">
        <f t="shared" si="66"/>
        <v/>
      </c>
      <c r="H239" s="107" t="str">
        <f t="shared" si="66"/>
        <v/>
      </c>
      <c r="I239" s="107" t="str">
        <f t="shared" si="66"/>
        <v/>
      </c>
      <c r="J239" s="107" t="str">
        <f t="shared" si="66"/>
        <v/>
      </c>
      <c r="K239" s="107" t="str">
        <f t="shared" si="66"/>
        <v/>
      </c>
      <c r="L239" s="107" t="str">
        <f t="shared" si="66"/>
        <v/>
      </c>
      <c r="M239" s="107" t="str">
        <f t="shared" si="66"/>
        <v/>
      </c>
      <c r="N239" s="107" t="str">
        <f t="shared" si="66"/>
        <v/>
      </c>
      <c r="O239" s="107" t="str">
        <f t="shared" si="66"/>
        <v/>
      </c>
      <c r="P239" s="107" t="str">
        <f t="shared" si="66"/>
        <v/>
      </c>
      <c r="Q239" s="107" t="str">
        <f t="shared" si="66"/>
        <v/>
      </c>
      <c r="R239" s="107" t="str">
        <f t="shared" si="66"/>
        <v/>
      </c>
      <c r="S239" s="107" t="str">
        <f t="shared" si="66"/>
        <v/>
      </c>
      <c r="T239" s="107" t="str">
        <f t="shared" si="66"/>
        <v/>
      </c>
      <c r="U239" s="107" t="str">
        <f t="shared" si="66"/>
        <v/>
      </c>
      <c r="V239" s="107" t="str">
        <f t="shared" si="66"/>
        <v/>
      </c>
      <c r="W239" s="107" t="str">
        <f t="shared" si="66"/>
        <v/>
      </c>
      <c r="X239" s="107" t="str">
        <f t="shared" si="66"/>
        <v/>
      </c>
      <c r="Y239" s="107" t="str">
        <f t="shared" si="66"/>
        <v/>
      </c>
      <c r="Z239" s="107" t="str">
        <f t="shared" si="66"/>
        <v/>
      </c>
      <c r="AA239" s="107" t="str">
        <f t="shared" si="66"/>
        <v/>
      </c>
      <c r="AB239" s="107" t="str">
        <f t="shared" si="66"/>
        <v/>
      </c>
      <c r="AC239" s="107" t="str">
        <f t="shared" si="66"/>
        <v/>
      </c>
      <c r="AD239" s="107" t="str">
        <f t="shared" si="66"/>
        <v/>
      </c>
      <c r="AE239" s="107" t="str">
        <f t="shared" si="66"/>
        <v/>
      </c>
      <c r="AF239" s="107" t="str">
        <f t="shared" si="66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67">IF(C207&lt;100,"",C207-1500)</f>
        <v/>
      </c>
      <c r="D240" s="107" t="str">
        <f t="shared" si="67"/>
        <v/>
      </c>
      <c r="E240" s="107" t="str">
        <f t="shared" si="67"/>
        <v/>
      </c>
      <c r="F240" s="107" t="str">
        <f t="shared" si="67"/>
        <v/>
      </c>
      <c r="G240" s="107" t="str">
        <f t="shared" si="67"/>
        <v/>
      </c>
      <c r="H240" s="107" t="str">
        <f t="shared" si="67"/>
        <v/>
      </c>
      <c r="I240" s="107" t="str">
        <f t="shared" si="67"/>
        <v/>
      </c>
      <c r="J240" s="107" t="str">
        <f t="shared" si="67"/>
        <v/>
      </c>
      <c r="K240" s="107" t="str">
        <f t="shared" si="67"/>
        <v/>
      </c>
      <c r="L240" s="107" t="str">
        <f t="shared" si="67"/>
        <v/>
      </c>
      <c r="M240" s="107" t="str">
        <f t="shared" si="67"/>
        <v/>
      </c>
      <c r="N240" s="107" t="str">
        <f t="shared" si="67"/>
        <v/>
      </c>
      <c r="O240" s="107" t="str">
        <f t="shared" si="67"/>
        <v/>
      </c>
      <c r="P240" s="107" t="str">
        <f t="shared" si="67"/>
        <v/>
      </c>
      <c r="Q240" s="107" t="str">
        <f t="shared" si="67"/>
        <v/>
      </c>
      <c r="R240" s="107" t="str">
        <f t="shared" si="67"/>
        <v/>
      </c>
      <c r="S240" s="107" t="str">
        <f t="shared" si="67"/>
        <v/>
      </c>
      <c r="T240" s="107" t="str">
        <f t="shared" si="67"/>
        <v/>
      </c>
      <c r="U240" s="107" t="str">
        <f t="shared" si="67"/>
        <v/>
      </c>
      <c r="V240" s="107" t="str">
        <f t="shared" si="67"/>
        <v/>
      </c>
      <c r="W240" s="107" t="str">
        <f t="shared" si="67"/>
        <v/>
      </c>
      <c r="X240" s="107" t="str">
        <f t="shared" si="67"/>
        <v/>
      </c>
      <c r="Y240" s="107" t="str">
        <f t="shared" si="67"/>
        <v/>
      </c>
      <c r="Z240" s="107" t="str">
        <f t="shared" si="67"/>
        <v/>
      </c>
      <c r="AA240" s="107" t="str">
        <f t="shared" si="67"/>
        <v/>
      </c>
      <c r="AB240" s="107" t="str">
        <f t="shared" si="67"/>
        <v/>
      </c>
      <c r="AC240" s="107" t="str">
        <f t="shared" si="67"/>
        <v/>
      </c>
      <c r="AD240" s="107" t="str">
        <f t="shared" si="67"/>
        <v/>
      </c>
      <c r="AE240" s="107" t="str">
        <f t="shared" si="67"/>
        <v/>
      </c>
      <c r="AF240" s="107" t="str">
        <f t="shared" si="67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C94:AF101 U11:AF11">
    <cfRule type="expression" dxfId="3329" priority="210">
      <formula>B$9&gt;=20/24</formula>
    </cfRule>
    <cfRule type="expression" dxfId="3328" priority="211">
      <formula>AND(B$9&gt;=14/24,B$9&lt;20/24)</formula>
    </cfRule>
    <cfRule type="expression" dxfId="3327" priority="212">
      <formula>AND(B$9&gt;=8/24,B$9&lt;14/24)</formula>
    </cfRule>
    <cfRule type="expression" dxfId="3326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3325" priority="205">
      <formula>AB$9&gt;=20/24</formula>
    </cfRule>
    <cfRule type="expression" dxfId="3324" priority="206">
      <formula>AND(AB$9&gt;=14/24,AB$9&lt;20/24)</formula>
    </cfRule>
    <cfRule type="expression" dxfId="3323" priority="207">
      <formula>AND(AB$9&gt;=8/24,AB$9&lt;14/24)</formula>
    </cfRule>
    <cfRule type="expression" dxfId="3322" priority="208">
      <formula>AB$9&lt;8/24</formula>
    </cfRule>
  </conditionalFormatting>
  <conditionalFormatting sqref="AG51 AB37:AF37 O11:AF11">
    <cfRule type="expression" dxfId="3321" priority="204">
      <formula>O11&gt;$AG11</formula>
    </cfRule>
  </conditionalFormatting>
  <conditionalFormatting sqref="A102:A158 A84:A97 A11:A14 A16:A32 A45:A72 A80:A82 A74:A78 A35:A43 A171:A201">
    <cfRule type="expression" dxfId="3320" priority="203">
      <formula>$AH11=0</formula>
    </cfRule>
  </conditionalFormatting>
  <conditionalFormatting sqref="A98">
    <cfRule type="expression" dxfId="3319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318" priority="200">
      <formula>$AH34=0</formula>
    </cfRule>
  </conditionalFormatting>
  <conditionalFormatting sqref="A83">
    <cfRule type="expression" dxfId="3317" priority="199">
      <formula>$AH83=0</formula>
    </cfRule>
  </conditionalFormatting>
  <conditionalFormatting sqref="A15">
    <cfRule type="expression" dxfId="3316" priority="198">
      <formula>$AH15=0</formula>
    </cfRule>
  </conditionalFormatting>
  <conditionalFormatting sqref="A165:A170">
    <cfRule type="expression" dxfId="3315" priority="197">
      <formula>$AH165=0</formula>
    </cfRule>
  </conditionalFormatting>
  <conditionalFormatting sqref="A159:A164">
    <cfRule type="expression" dxfId="3314" priority="196">
      <formula>$AH159=0</formula>
    </cfRule>
  </conditionalFormatting>
  <conditionalFormatting sqref="A44">
    <cfRule type="expression" dxfId="3313" priority="195">
      <formula>$AH44=0</formula>
    </cfRule>
  </conditionalFormatting>
  <conditionalFormatting sqref="A79">
    <cfRule type="expression" dxfId="3312" priority="194">
      <formula>$AH79=0</formula>
    </cfRule>
  </conditionalFormatting>
  <conditionalFormatting sqref="A73">
    <cfRule type="expression" dxfId="3311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310" priority="189">
      <formula>C$9&gt;=20/24</formula>
    </cfRule>
    <cfRule type="expression" dxfId="3309" priority="190">
      <formula>AND(C$9&gt;=14/24,C$9&lt;20/24)</formula>
    </cfRule>
    <cfRule type="expression" dxfId="3308" priority="191">
      <formula>AND(C$9&gt;=8/24,C$9&lt;14/24)</formula>
    </cfRule>
    <cfRule type="expression" dxfId="3307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306" priority="217">
      <formula>C$9&gt;=20/24</formula>
    </cfRule>
    <cfRule type="expression" dxfId="3305" priority="218">
      <formula>AND(C$9&gt;=14/24,C$9&lt;20/24)</formula>
    </cfRule>
    <cfRule type="expression" dxfId="3304" priority="219">
      <formula>AND(C$9&gt;=8/24,C$9&lt;14/24)</formula>
    </cfRule>
    <cfRule type="expression" dxfId="3303" priority="220">
      <formula>C$9&lt;8/24</formula>
    </cfRule>
  </conditionalFormatting>
  <conditionalFormatting sqref="A202">
    <cfRule type="expression" dxfId="3302" priority="221">
      <formula>$AH202=0</formula>
    </cfRule>
  </conditionalFormatting>
  <conditionalFormatting sqref="AG214">
    <cfRule type="expression" dxfId="3301" priority="222">
      <formula>B$9&gt;=20/24</formula>
    </cfRule>
    <cfRule type="expression" dxfId="3300" priority="223">
      <formula>AND(B$9&gt;=14/24,B$9&lt;20/24)</formula>
    </cfRule>
    <cfRule type="expression" dxfId="3299" priority="224">
      <formula>AND(B$9&gt;=8/24,B$9&lt;14/24)</formula>
    </cfRule>
    <cfRule type="expression" dxfId="3298" priority="225">
      <formula>B$9&lt;8/24</formula>
    </cfRule>
  </conditionalFormatting>
  <conditionalFormatting sqref="S8">
    <cfRule type="expression" dxfId="3297" priority="184">
      <formula>U$9&gt;=20/24</formula>
    </cfRule>
    <cfRule type="expression" dxfId="3296" priority="185">
      <formula>AND(U$9&gt;=14/24,U$9&lt;20/24)</formula>
    </cfRule>
    <cfRule type="expression" dxfId="3295" priority="186">
      <formula>AND(U$9&gt;=8/24,U$9&lt;14/24)</formula>
    </cfRule>
    <cfRule type="expression" dxfId="3294" priority="187">
      <formula>U$9&lt;8/24</formula>
    </cfRule>
  </conditionalFormatting>
  <conditionalFormatting sqref="AB8">
    <cfRule type="expression" dxfId="3293" priority="180">
      <formula>AD$9&gt;=20/24</formula>
    </cfRule>
    <cfRule type="expression" dxfId="3292" priority="181">
      <formula>AND(AD$9&gt;=14/24,AD$9&lt;20/24)</formula>
    </cfRule>
    <cfRule type="expression" dxfId="3291" priority="182">
      <formula>AND(AD$9&gt;=8/24,AD$9&lt;14/24)</formula>
    </cfRule>
    <cfRule type="expression" dxfId="3290" priority="183">
      <formula>AD$9&lt;8/24</formula>
    </cfRule>
  </conditionalFormatting>
  <conditionalFormatting sqref="AH214:AX214">
    <cfRule type="expression" dxfId="3289" priority="226">
      <formula>AG$9&gt;=20/24</formula>
    </cfRule>
    <cfRule type="expression" dxfId="3288" priority="227">
      <formula>AND(AG$9&gt;=14/24,AG$9&lt;20/24)</formula>
    </cfRule>
    <cfRule type="expression" dxfId="3287" priority="228">
      <formula>AND(AG$9&gt;=8/24,AG$9&lt;14/24)</formula>
    </cfRule>
    <cfRule type="expression" dxfId="3286" priority="229">
      <formula>AG$9&lt;8/24</formula>
    </cfRule>
  </conditionalFormatting>
  <conditionalFormatting sqref="T214">
    <cfRule type="expression" dxfId="3285" priority="230">
      <formula>AX$9&gt;=20/24</formula>
    </cfRule>
    <cfRule type="expression" dxfId="3284" priority="231">
      <formula>AND(AX$9&gt;=14/24,AX$9&lt;20/24)</formula>
    </cfRule>
    <cfRule type="expression" dxfId="3283" priority="232">
      <formula>AND(AX$9&gt;=8/24,AX$9&lt;14/24)</formula>
    </cfRule>
    <cfRule type="expression" dxfId="3282" priority="233">
      <formula>AX$9&lt;8/24</formula>
    </cfRule>
  </conditionalFormatting>
  <conditionalFormatting sqref="A99:A101">
    <cfRule type="expression" dxfId="3281" priority="179">
      <formula>$AH99=0</formula>
    </cfRule>
  </conditionalFormatting>
  <conditionalFormatting sqref="C57:AF57 G40:L41 W40:AF41 AE36:AF36">
    <cfRule type="expression" dxfId="3280" priority="175">
      <formula>C$9&gt;=20/24</formula>
    </cfRule>
    <cfRule type="expression" dxfId="3279" priority="176">
      <formula>AND(C$9&gt;=14/24,C$9&lt;20/24)</formula>
    </cfRule>
    <cfRule type="expression" dxfId="3278" priority="177">
      <formula>AND(C$9&gt;=8/24,C$9&lt;14/24)</formula>
    </cfRule>
    <cfRule type="expression" dxfId="3277" priority="178">
      <formula>C$9&lt;8/24</formula>
    </cfRule>
  </conditionalFormatting>
  <conditionalFormatting sqref="G39:L39 W39:AF39">
    <cfRule type="expression" dxfId="3276" priority="171">
      <formula>G$9&gt;=20/24</formula>
    </cfRule>
    <cfRule type="expression" dxfId="3275" priority="172">
      <formula>AND(G$9&gt;=14/24,G$9&lt;20/24)</formula>
    </cfRule>
    <cfRule type="expression" dxfId="3274" priority="173">
      <formula>AND(G$9&gt;=8/24,G$9&lt;14/24)</formula>
    </cfRule>
    <cfRule type="expression" dxfId="3273" priority="174">
      <formula>G$9&lt;8/24</formula>
    </cfRule>
  </conditionalFormatting>
  <conditionalFormatting sqref="G39:L41 W39:AF41 AE36:AF36">
    <cfRule type="expression" dxfId="3272" priority="170">
      <formula>G36&gt;$AG36</formula>
    </cfRule>
  </conditionalFormatting>
  <conditionalFormatting sqref="C81:AF81 C69:AF72 F60:F63 AF58:AF67 C58:F59 K58:AE59 G58:J63 N37:P37 H67:L67 K60:L63 O36:P36 O11:R14 C85:AF91 Q36:AA37 C53:AF56 AB36:AD36 S12:AF14 O16:AF16 O28:AF31 O18:AF22 M60:AF67 O24:AF26">
    <cfRule type="expression" dxfId="3271" priority="166">
      <formula>C$9&gt;=20/24</formula>
    </cfRule>
    <cfRule type="expression" dxfId="3270" priority="167">
      <formula>AND(C$9&gt;=14/24,C$9&lt;20/24)</formula>
    </cfRule>
    <cfRule type="expression" dxfId="3269" priority="168">
      <formula>AND(C$9&gt;=8/24,C$9&lt;14/24)</formula>
    </cfRule>
    <cfRule type="expression" dxfId="3268" priority="169">
      <formula>C$9&lt;8/24</formula>
    </cfRule>
  </conditionalFormatting>
  <conditionalFormatting sqref="O32:AF32">
    <cfRule type="expression" dxfId="3267" priority="162">
      <formula>O$9&gt;=20/24</formula>
    </cfRule>
    <cfRule type="expression" dxfId="3266" priority="163">
      <formula>AND(O$9&gt;=14/24,O$9&lt;20/24)</formula>
    </cfRule>
    <cfRule type="expression" dxfId="3265" priority="164">
      <formula>AND(O$9&gt;=8/24,O$9&lt;14/24)</formula>
    </cfRule>
    <cfRule type="expression" dxfId="3264" priority="165">
      <formula>O$9&lt;8/24</formula>
    </cfRule>
  </conditionalFormatting>
  <conditionalFormatting sqref="O35:AF35">
    <cfRule type="expression" dxfId="3263" priority="158">
      <formula>O$9&gt;=20/24</formula>
    </cfRule>
    <cfRule type="expression" dxfId="3262" priority="159">
      <formula>AND(O$9&gt;=14/24,O$9&lt;20/24)</formula>
    </cfRule>
    <cfRule type="expression" dxfId="3261" priority="160">
      <formula>AND(O$9&gt;=8/24,O$9&lt;14/24)</formula>
    </cfRule>
    <cfRule type="expression" dxfId="3260" priority="161">
      <formula>O$9&lt;8/24</formula>
    </cfRule>
  </conditionalFormatting>
  <conditionalFormatting sqref="AB42:AF43 N37:P37 G42:L44 O34:P36 O11:R16 Q34:AA37 C51:AF51 C53:AF56 AB34:AD36 S12:AF16 AE34:AF35 O18:AF22 O24:AF32">
    <cfRule type="expression" dxfId="3259" priority="157">
      <formula>C11&gt;$AG11</formula>
    </cfRule>
  </conditionalFormatting>
  <conditionalFormatting sqref="O34:AF34">
    <cfRule type="expression" dxfId="3258" priority="153">
      <formula>O$9&gt;=20/24</formula>
    </cfRule>
    <cfRule type="expression" dxfId="3257" priority="154">
      <formula>AND(O$9&gt;=14/24,O$9&lt;20/24)</formula>
    </cfRule>
    <cfRule type="expression" dxfId="3256" priority="155">
      <formula>AND(O$9&gt;=8/24,O$9&lt;14/24)</formula>
    </cfRule>
    <cfRule type="expression" dxfId="3255" priority="156">
      <formula>O$9&lt;8/24</formula>
    </cfRule>
  </conditionalFormatting>
  <conditionalFormatting sqref="O15:AF15">
    <cfRule type="expression" dxfId="3254" priority="149">
      <formula>O$9&gt;=20/24</formula>
    </cfRule>
    <cfRule type="expression" dxfId="3253" priority="150">
      <formula>AND(O$9&gt;=14/24,O$9&lt;20/24)</formula>
    </cfRule>
    <cfRule type="expression" dxfId="3252" priority="151">
      <formula>AND(O$9&gt;=8/24,O$9&lt;14/24)</formula>
    </cfRule>
    <cfRule type="expression" dxfId="3251" priority="152">
      <formula>O$9&lt;8/24</formula>
    </cfRule>
  </conditionalFormatting>
  <conditionalFormatting sqref="O33:AF33">
    <cfRule type="expression" dxfId="3250" priority="145">
      <formula>O$9&gt;=20/24</formula>
    </cfRule>
    <cfRule type="expression" dxfId="3249" priority="146">
      <formula>AND(O$9&gt;=14/24,O$9&lt;20/24)</formula>
    </cfRule>
    <cfRule type="expression" dxfId="3248" priority="147">
      <formula>AND(O$9&gt;=8/24,O$9&lt;14/24)</formula>
    </cfRule>
    <cfRule type="expression" dxfId="3247" priority="148">
      <formula>O$9&lt;8/24</formula>
    </cfRule>
  </conditionalFormatting>
  <conditionalFormatting sqref="O33:AF33">
    <cfRule type="expression" dxfId="3246" priority="144">
      <formula>O33&gt;$AG33</formula>
    </cfRule>
  </conditionalFormatting>
  <conditionalFormatting sqref="S11:T11">
    <cfRule type="expression" dxfId="3245" priority="140">
      <formula>S$9&gt;=20/24</formula>
    </cfRule>
    <cfRule type="expression" dxfId="3244" priority="141">
      <formula>AND(S$9&gt;=14/24,S$9&lt;20/24)</formula>
    </cfRule>
    <cfRule type="expression" dxfId="3243" priority="142">
      <formula>AND(S$9&gt;=8/24,S$9&lt;14/24)</formula>
    </cfRule>
    <cfRule type="expression" dxfId="3242" priority="143">
      <formula>S$9&lt;8/24</formula>
    </cfRule>
  </conditionalFormatting>
  <conditionalFormatting sqref="AF44:AF46 AB44:AE45">
    <cfRule type="expression" dxfId="3241" priority="136">
      <formula>AB$9&gt;=20/24</formula>
    </cfRule>
    <cfRule type="expression" dxfId="3240" priority="137">
      <formula>AND(AB$9&gt;=14/24,AB$9&lt;20/24)</formula>
    </cfRule>
    <cfRule type="expression" dxfId="3239" priority="138">
      <formula>AND(AB$9&gt;=8/24,AB$9&lt;14/24)</formula>
    </cfRule>
    <cfRule type="expression" dxfId="3238" priority="139">
      <formula>AB$9&lt;8/24</formula>
    </cfRule>
  </conditionalFormatting>
  <conditionalFormatting sqref="AF44:AF46 AB44:AE45">
    <cfRule type="expression" dxfId="3237" priority="135">
      <formula>AB44&gt;$AG44</formula>
    </cfRule>
  </conditionalFormatting>
  <conditionalFormatting sqref="M39:V50 W42:AA50 AB46:AE50 AF47:AF50">
    <cfRule type="expression" dxfId="3236" priority="131">
      <formula>M$9&gt;=20/24</formula>
    </cfRule>
    <cfRule type="expression" dxfId="3235" priority="132">
      <formula>AND(M$9&gt;=14/24,M$9&lt;20/24)</formula>
    </cfRule>
    <cfRule type="expression" dxfId="3234" priority="133">
      <formula>AND(M$9&gt;=8/24,M$9&lt;14/24)</formula>
    </cfRule>
    <cfRule type="expression" dxfId="3233" priority="134">
      <formula>M$9&lt;8/24</formula>
    </cfRule>
  </conditionalFormatting>
  <conditionalFormatting sqref="M39:V50 W42:AA50 AB46:AE50 AF47:AF50">
    <cfRule type="expression" dxfId="3232" priority="130">
      <formula>M39&gt;$AG39</formula>
    </cfRule>
  </conditionalFormatting>
  <conditionalFormatting sqref="O27:AF27">
    <cfRule type="expression" dxfId="3231" priority="126">
      <formula>O$9&gt;=20/24</formula>
    </cfRule>
    <cfRule type="expression" dxfId="3230" priority="127">
      <formula>AND(O$9&gt;=14/24,O$9&lt;20/24)</formula>
    </cfRule>
    <cfRule type="expression" dxfId="3229" priority="128">
      <formula>AND(O$9&gt;=8/24,O$9&lt;14/24)</formula>
    </cfRule>
    <cfRule type="expression" dxfId="3228" priority="129">
      <formula>O$9&lt;8/24</formula>
    </cfRule>
  </conditionalFormatting>
  <conditionalFormatting sqref="D11:N14 O17:AF17 O23:AF23">
    <cfRule type="expression" dxfId="3227" priority="122">
      <formula>D$9&gt;=20/24</formula>
    </cfRule>
    <cfRule type="expression" dxfId="3226" priority="123">
      <formula>AND(D$9&gt;=14/24,D$9&lt;20/24)</formula>
    </cfRule>
    <cfRule type="expression" dxfId="3225" priority="124">
      <formula>AND(D$9&gt;=8/24,D$9&lt;14/24)</formula>
    </cfRule>
    <cfRule type="expression" dxfId="3224" priority="125">
      <formula>D$9&lt;8/24</formula>
    </cfRule>
  </conditionalFormatting>
  <conditionalFormatting sqref="D11:N14 O17:AF17 O23:AF23">
    <cfRule type="expression" dxfId="3223" priority="113">
      <formula>D11&gt;$AG11</formula>
    </cfRule>
  </conditionalFormatting>
  <conditionalFormatting sqref="D40:F41">
    <cfRule type="expression" dxfId="3222" priority="96">
      <formula>D$9&gt;=20/24</formula>
    </cfRule>
    <cfRule type="expression" dxfId="3221" priority="97">
      <formula>AND(D$9&gt;=14/24,D$9&lt;20/24)</formula>
    </cfRule>
    <cfRule type="expression" dxfId="3220" priority="98">
      <formula>AND(D$9&gt;=8/24,D$9&lt;14/24)</formula>
    </cfRule>
    <cfRule type="expression" dxfId="3219" priority="99">
      <formula>D$9&lt;8/24</formula>
    </cfRule>
  </conditionalFormatting>
  <conditionalFormatting sqref="D39:F39">
    <cfRule type="expression" dxfId="3218" priority="92">
      <formula>D$9&gt;=20/24</formula>
    </cfRule>
    <cfRule type="expression" dxfId="3217" priority="93">
      <formula>AND(D$9&gt;=14/24,D$9&lt;20/24)</formula>
    </cfRule>
    <cfRule type="expression" dxfId="3216" priority="94">
      <formula>AND(D$9&gt;=8/24,D$9&lt;14/24)</formula>
    </cfRule>
    <cfRule type="expression" dxfId="3215" priority="95">
      <formula>D$9&lt;8/24</formula>
    </cfRule>
  </conditionalFormatting>
  <conditionalFormatting sqref="D39:F41">
    <cfRule type="expression" dxfId="3214" priority="91">
      <formula>D39&gt;$AG39</formula>
    </cfRule>
  </conditionalFormatting>
  <conditionalFormatting sqref="H64:L66">
    <cfRule type="expression" dxfId="3213" priority="87">
      <formula>H$9&gt;=20/24</formula>
    </cfRule>
    <cfRule type="expression" dxfId="3212" priority="88">
      <formula>AND(H$9&gt;=14/24,H$9&lt;20/24)</formula>
    </cfRule>
    <cfRule type="expression" dxfId="3211" priority="89">
      <formula>AND(H$9&gt;=8/24,H$9&lt;14/24)</formula>
    </cfRule>
    <cfRule type="expression" dxfId="3210" priority="90">
      <formula>H$9&lt;8/24</formula>
    </cfRule>
  </conditionalFormatting>
  <conditionalFormatting sqref="B43:C43 D42:F43">
    <cfRule type="expression" dxfId="3209" priority="86">
      <formula>B42&gt;$AG42</formula>
    </cfRule>
  </conditionalFormatting>
  <conditionalFormatting sqref="G45:L50">
    <cfRule type="expression" dxfId="3208" priority="82">
      <formula>G$9&gt;=20/24</formula>
    </cfRule>
    <cfRule type="expression" dxfId="3207" priority="83">
      <formula>AND(G$9&gt;=14/24,G$9&lt;20/24)</formula>
    </cfRule>
    <cfRule type="expression" dxfId="3206" priority="84">
      <formula>AND(G$9&gt;=8/24,G$9&lt;14/24)</formula>
    </cfRule>
    <cfRule type="expression" dxfId="3205" priority="85">
      <formula>G$9&lt;8/24</formula>
    </cfRule>
  </conditionalFormatting>
  <conditionalFormatting sqref="G45:L50">
    <cfRule type="expression" dxfId="3204" priority="81">
      <formula>G45&gt;$AG45</formula>
    </cfRule>
  </conditionalFormatting>
  <conditionalFormatting sqref="B94:B101 B74:AF74 B82:AF82 B11:C11">
    <cfRule type="expression" dxfId="3203" priority="68">
      <formula>B$9&gt;=20/24</formula>
    </cfRule>
    <cfRule type="expression" dxfId="3202" priority="69">
      <formula>AND(B$9&gt;=14/24,B$9&lt;20/24)</formula>
    </cfRule>
    <cfRule type="expression" dxfId="3201" priority="70">
      <formula>AND(B$9&gt;=8/24,B$9&lt;14/24)</formula>
    </cfRule>
    <cfRule type="expression" dxfId="3200" priority="71">
      <formula>B$9&lt;8/24</formula>
    </cfRule>
  </conditionalFormatting>
  <conditionalFormatting sqref="B37:M37">
    <cfRule type="expression" dxfId="3199" priority="64">
      <formula>B$9&gt;=20/24</formula>
    </cfRule>
    <cfRule type="expression" dxfId="3198" priority="65">
      <formula>AND(B$9&gt;=14/24,B$9&lt;20/24)</formula>
    </cfRule>
    <cfRule type="expression" dxfId="3197" priority="66">
      <formula>AND(B$9&gt;=8/24,B$9&lt;14/24)</formula>
    </cfRule>
    <cfRule type="expression" dxfId="3196" priority="67">
      <formula>B$9&lt;8/24</formula>
    </cfRule>
  </conditionalFormatting>
  <conditionalFormatting sqref="B11:C11 B37:M37">
    <cfRule type="expression" dxfId="3195" priority="63">
      <formula>B11&gt;$AG11</formula>
    </cfRule>
  </conditionalFormatting>
  <conditionalFormatting sqref="B84">
    <cfRule type="expression" dxfId="3194" priority="59">
      <formula>B$9&gt;=20/24</formula>
    </cfRule>
    <cfRule type="expression" dxfId="3193" priority="60">
      <formula>AND(B$9&gt;=14/24,B$9&lt;20/24)</formula>
    </cfRule>
    <cfRule type="expression" dxfId="3192" priority="61">
      <formula>AND(B$9&gt;=8/24,B$9&lt;14/24)</formula>
    </cfRule>
    <cfRule type="expression" dxfId="3191" priority="62">
      <formula>B$9&lt;8/24</formula>
    </cfRule>
  </conditionalFormatting>
  <conditionalFormatting sqref="B57 B40:C41 B36:N36">
    <cfRule type="expression" dxfId="3190" priority="55">
      <formula>B$9&gt;=20/24</formula>
    </cfRule>
    <cfRule type="expression" dxfId="3189" priority="56">
      <formula>AND(B$9&gt;=14/24,B$9&lt;20/24)</formula>
    </cfRule>
    <cfRule type="expression" dxfId="3188" priority="57">
      <formula>AND(B$9&gt;=8/24,B$9&lt;14/24)</formula>
    </cfRule>
    <cfRule type="expression" dxfId="3187" priority="58">
      <formula>B$9&lt;8/24</formula>
    </cfRule>
  </conditionalFormatting>
  <conditionalFormatting sqref="B39:C39">
    <cfRule type="expression" dxfId="3186" priority="51">
      <formula>B$9&gt;=20/24</formula>
    </cfRule>
    <cfRule type="expression" dxfId="3185" priority="52">
      <formula>AND(B$9&gt;=14/24,B$9&lt;20/24)</formula>
    </cfRule>
    <cfRule type="expression" dxfId="3184" priority="53">
      <formula>AND(B$9&gt;=8/24,B$9&lt;14/24)</formula>
    </cfRule>
    <cfRule type="expression" dxfId="3183" priority="54">
      <formula>B$9&lt;8/24</formula>
    </cfRule>
  </conditionalFormatting>
  <conditionalFormatting sqref="B39:C41 B36:N36">
    <cfRule type="expression" dxfId="3182" priority="50">
      <formula>B36&gt;$AG36</formula>
    </cfRule>
  </conditionalFormatting>
  <conditionalFormatting sqref="B85:B91 B53:B56 B58:B67 B69:B73 B75:AF75 C73:AF73 B81 B83:AF83 B12:C14 C60:E67 F64:G67 B16:N16 B28:N31 B18:N22 B24:N26">
    <cfRule type="expression" dxfId="3181" priority="46">
      <formula>B$9&gt;=20/24</formula>
    </cfRule>
    <cfRule type="expression" dxfId="3180" priority="47">
      <formula>AND(B$9&gt;=14/24,B$9&lt;20/24)</formula>
    </cfRule>
    <cfRule type="expression" dxfId="3179" priority="48">
      <formula>AND(B$9&gt;=8/24,B$9&lt;14/24)</formula>
    </cfRule>
    <cfRule type="expression" dxfId="3178" priority="49">
      <formula>B$9&lt;8/24</formula>
    </cfRule>
  </conditionalFormatting>
  <conditionalFormatting sqref="B32:N32">
    <cfRule type="expression" dxfId="3177" priority="42">
      <formula>B$9&gt;=20/24</formula>
    </cfRule>
    <cfRule type="expression" dxfId="3176" priority="43">
      <formula>AND(B$9&gt;=14/24,B$9&lt;20/24)</formula>
    </cfRule>
    <cfRule type="expression" dxfId="3175" priority="44">
      <formula>AND(B$9&gt;=8/24,B$9&lt;14/24)</formula>
    </cfRule>
    <cfRule type="expression" dxfId="3174" priority="45">
      <formula>B$9&lt;8/24</formula>
    </cfRule>
  </conditionalFormatting>
  <conditionalFormatting sqref="B35:N35">
    <cfRule type="expression" dxfId="3173" priority="38">
      <formula>B$9&gt;=20/24</formula>
    </cfRule>
    <cfRule type="expression" dxfId="3172" priority="39">
      <formula>AND(B$9&gt;=14/24,B$9&lt;20/24)</formula>
    </cfRule>
    <cfRule type="expression" dxfId="3171" priority="40">
      <formula>AND(B$9&gt;=8/24,B$9&lt;14/24)</formula>
    </cfRule>
    <cfRule type="expression" dxfId="3170" priority="41">
      <formula>B$9&lt;8/24</formula>
    </cfRule>
  </conditionalFormatting>
  <conditionalFormatting sqref="B51:B56 B38:AF38 C52:AF52 B12:C16 B42:C42 B34:N35 D15:N16 B18:N22 B24:N32">
    <cfRule type="expression" dxfId="3169" priority="37">
      <formula>B12&gt;$AG12</formula>
    </cfRule>
  </conditionalFormatting>
  <conditionalFormatting sqref="B34:N34">
    <cfRule type="expression" dxfId="3168" priority="33">
      <formula>B$9&gt;=20/24</formula>
    </cfRule>
    <cfRule type="expression" dxfId="3167" priority="34">
      <formula>AND(B$9&gt;=14/24,B$9&lt;20/24)</formula>
    </cfRule>
    <cfRule type="expression" dxfId="3166" priority="35">
      <formula>AND(B$9&gt;=8/24,B$9&lt;14/24)</formula>
    </cfRule>
    <cfRule type="expression" dxfId="3165" priority="36">
      <formula>B$9&lt;8/24</formula>
    </cfRule>
  </conditionalFormatting>
  <conditionalFormatting sqref="B15:N15">
    <cfRule type="expression" dxfId="3164" priority="29">
      <formula>B$9&gt;=20/24</formula>
    </cfRule>
    <cfRule type="expression" dxfId="3163" priority="30">
      <formula>AND(B$9&gt;=14/24,B$9&lt;20/24)</formula>
    </cfRule>
    <cfRule type="expression" dxfId="3162" priority="31">
      <formula>AND(B$9&gt;=8/24,B$9&lt;14/24)</formula>
    </cfRule>
    <cfRule type="expression" dxfId="3161" priority="32">
      <formula>B$9&lt;8/24</formula>
    </cfRule>
  </conditionalFormatting>
  <conditionalFormatting sqref="B33:N33">
    <cfRule type="expression" dxfId="3160" priority="25">
      <formula>B$9&gt;=20/24</formula>
    </cfRule>
    <cfRule type="expression" dxfId="3159" priority="26">
      <formula>AND(B$9&gt;=14/24,B$9&lt;20/24)</formula>
    </cfRule>
    <cfRule type="expression" dxfId="3158" priority="27">
      <formula>AND(B$9&gt;=8/24,B$9&lt;14/24)</formula>
    </cfRule>
    <cfRule type="expression" dxfId="3157" priority="28">
      <formula>B$9&lt;8/24</formula>
    </cfRule>
  </conditionalFormatting>
  <conditionalFormatting sqref="B33:N33">
    <cfRule type="expression" dxfId="3156" priority="24">
      <formula>B33&gt;$AG33</formula>
    </cfRule>
  </conditionalFormatting>
  <conditionalFormatting sqref="B44:F50">
    <cfRule type="expression" dxfId="3155" priority="20">
      <formula>B$9&gt;=20/24</formula>
    </cfRule>
    <cfRule type="expression" dxfId="3154" priority="21">
      <formula>AND(B$9&gt;=14/24,B$9&lt;20/24)</formula>
    </cfRule>
    <cfRule type="expression" dxfId="3153" priority="22">
      <formula>AND(B$9&gt;=8/24,B$9&lt;14/24)</formula>
    </cfRule>
    <cfRule type="expression" dxfId="3152" priority="23">
      <formula>B$9&lt;8/24</formula>
    </cfRule>
  </conditionalFormatting>
  <conditionalFormatting sqref="B44:F50">
    <cfRule type="expression" dxfId="3151" priority="19">
      <formula>B44&gt;$AG44</formula>
    </cfRule>
  </conditionalFormatting>
  <conditionalFormatting sqref="B27:N27">
    <cfRule type="expression" dxfId="3150" priority="15">
      <formula>B$9&gt;=20/24</formula>
    </cfRule>
    <cfRule type="expression" dxfId="3149" priority="16">
      <formula>AND(B$9&gt;=14/24,B$9&lt;20/24)</formula>
    </cfRule>
    <cfRule type="expression" dxfId="3148" priority="17">
      <formula>AND(B$9&gt;=8/24,B$9&lt;14/24)</formula>
    </cfRule>
    <cfRule type="expression" dxfId="3147" priority="18">
      <formula>B$9&lt;8/24</formula>
    </cfRule>
  </conditionalFormatting>
  <conditionalFormatting sqref="B17:N17 B23:N23">
    <cfRule type="expression" dxfId="3146" priority="11">
      <formula>B$9&gt;=20/24</formula>
    </cfRule>
    <cfRule type="expression" dxfId="3145" priority="12">
      <formula>AND(B$9&gt;=14/24,B$9&lt;20/24)</formula>
    </cfRule>
    <cfRule type="expression" dxfId="3144" priority="13">
      <formula>AND(B$9&gt;=8/24,B$9&lt;14/24)</formula>
    </cfRule>
    <cfRule type="expression" dxfId="3143" priority="14">
      <formula>B$9&lt;8/24</formula>
    </cfRule>
  </conditionalFormatting>
  <conditionalFormatting sqref="B17:N17 B23:N23">
    <cfRule type="expression" dxfId="3142" priority="10">
      <formula>B17&gt;$AG17</formula>
    </cfRule>
  </conditionalFormatting>
  <conditionalFormatting sqref="A33">
    <cfRule type="expression" dxfId="3141" priority="9">
      <formula>$AH33=0</formula>
    </cfRule>
  </conditionalFormatting>
  <conditionalFormatting sqref="B68:AF68">
    <cfRule type="expression" dxfId="3140" priority="5">
      <formula>B$9&gt;=20/24</formula>
    </cfRule>
    <cfRule type="expression" dxfId="3139" priority="6">
      <formula>AND(B$9&gt;=14/24,B$9&lt;20/24)</formula>
    </cfRule>
    <cfRule type="expression" dxfId="3138" priority="7">
      <formula>AND(B$9&gt;=8/24,B$9&lt;14/24)</formula>
    </cfRule>
    <cfRule type="expression" dxfId="3137" priority="8">
      <formula>B$9&lt;8/24</formula>
    </cfRule>
  </conditionalFormatting>
  <conditionalFormatting sqref="B76:AF80">
    <cfRule type="expression" dxfId="3136" priority="1">
      <formula>B$9&gt;=20/24</formula>
    </cfRule>
    <cfRule type="expression" dxfId="3135" priority="2">
      <formula>AND(B$9&gt;=14/24,B$9&lt;20/24)</formula>
    </cfRule>
    <cfRule type="expression" dxfId="3134" priority="3">
      <formula>AND(B$9&gt;=8/24,B$9&lt;14/24)</formula>
    </cfRule>
    <cfRule type="expression" dxfId="3133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3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T26" sqref="T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2079/02/19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</v>
      </c>
      <c r="C5" s="32">
        <f t="shared" si="0"/>
        <v>8</v>
      </c>
      <c r="D5" s="32">
        <f t="shared" si="0"/>
        <v>19</v>
      </c>
      <c r="E5" s="32">
        <f t="shared" si="0"/>
        <v>22</v>
      </c>
      <c r="F5" s="32">
        <f t="shared" si="0"/>
        <v>5</v>
      </c>
      <c r="G5" s="32">
        <f t="shared" si="0"/>
        <v>12</v>
      </c>
      <c r="H5" s="32">
        <f t="shared" si="0"/>
        <v>12.9</v>
      </c>
      <c r="I5" s="32">
        <f t="shared" si="0"/>
        <v>12.7</v>
      </c>
      <c r="J5" s="32">
        <f t="shared" si="0"/>
        <v>20</v>
      </c>
      <c r="K5" s="32">
        <f t="shared" si="0"/>
        <v>52</v>
      </c>
      <c r="L5" s="32">
        <f t="shared" si="0"/>
        <v>46.5</v>
      </c>
      <c r="M5" s="32">
        <f t="shared" si="0"/>
        <v>57.5</v>
      </c>
      <c r="N5" s="32">
        <f t="shared" si="0"/>
        <v>68.099999999999994</v>
      </c>
      <c r="O5" s="32">
        <f t="shared" si="0"/>
        <v>70.7</v>
      </c>
      <c r="P5" s="32">
        <f t="shared" si="0"/>
        <v>64.400000000000006</v>
      </c>
      <c r="Q5" s="32">
        <f t="shared" si="0"/>
        <v>76.2</v>
      </c>
      <c r="R5" s="32">
        <f t="shared" si="0"/>
        <v>71.3</v>
      </c>
      <c r="S5" s="32">
        <f t="shared" si="0"/>
        <v>70.8</v>
      </c>
      <c r="T5" s="32">
        <f t="shared" si="0"/>
        <v>70.400000000000006</v>
      </c>
      <c r="U5" s="32">
        <f t="shared" si="0"/>
        <v>63.6</v>
      </c>
      <c r="V5" s="32">
        <f t="shared" si="0"/>
        <v>57.1</v>
      </c>
      <c r="W5" s="32">
        <f t="shared" si="0"/>
        <v>56</v>
      </c>
      <c r="X5" s="32">
        <f t="shared" si="0"/>
        <v>54.5</v>
      </c>
      <c r="Y5" s="32">
        <f t="shared" si="0"/>
        <v>53.8</v>
      </c>
      <c r="Z5" s="32">
        <f t="shared" si="0"/>
        <v>61.8</v>
      </c>
      <c r="AA5" s="32">
        <f t="shared" si="0"/>
        <v>52</v>
      </c>
      <c r="AB5" s="32">
        <f t="shared" si="0"/>
        <v>54</v>
      </c>
      <c r="AC5" s="32">
        <f t="shared" si="0"/>
        <v>56</v>
      </c>
      <c r="AD5" s="32">
        <f t="shared" si="0"/>
        <v>60</v>
      </c>
      <c r="AE5" s="32">
        <f t="shared" si="0"/>
        <v>50</v>
      </c>
      <c r="AF5" s="32">
        <f>B68</f>
        <v>7.3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1754MW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Load=1620</v>
      </c>
      <c r="B7" s="37">
        <f>B75</f>
        <v>1704.5400000000002</v>
      </c>
      <c r="C7" s="37">
        <f t="shared" ref="C7:AF7" si="1">C75</f>
        <v>1704.0400000000002</v>
      </c>
      <c r="D7" s="37">
        <f t="shared" si="1"/>
        <v>1699.44</v>
      </c>
      <c r="E7" s="37">
        <f t="shared" si="1"/>
        <v>1681.14</v>
      </c>
      <c r="F7" s="37">
        <f t="shared" si="1"/>
        <v>1632.7400000000002</v>
      </c>
      <c r="G7" s="37">
        <f t="shared" si="1"/>
        <v>1632.94</v>
      </c>
      <c r="H7" s="37">
        <f t="shared" si="1"/>
        <v>1655.94</v>
      </c>
      <c r="I7" s="37">
        <f t="shared" si="1"/>
        <v>1636.0400000000002</v>
      </c>
      <c r="J7" s="37">
        <f t="shared" si="1"/>
        <v>1629.8400000000001</v>
      </c>
      <c r="K7" s="37">
        <f t="shared" si="1"/>
        <v>1644.14</v>
      </c>
      <c r="L7" s="37">
        <f t="shared" si="1"/>
        <v>1675.94</v>
      </c>
      <c r="M7" s="37">
        <f t="shared" si="1"/>
        <v>1725.5400000000002</v>
      </c>
      <c r="N7" s="37">
        <f t="shared" si="1"/>
        <v>1754.2400000000002</v>
      </c>
      <c r="O7" s="37">
        <f t="shared" si="1"/>
        <v>1735.8400000000001</v>
      </c>
      <c r="P7" s="37">
        <f t="shared" si="1"/>
        <v>1734.4400000000003</v>
      </c>
      <c r="Q7" s="37">
        <f t="shared" si="1"/>
        <v>1746.34</v>
      </c>
      <c r="R7" s="37">
        <f t="shared" si="1"/>
        <v>1754.5399999999997</v>
      </c>
      <c r="S7" s="37">
        <f t="shared" si="1"/>
        <v>1775.8399999999997</v>
      </c>
      <c r="T7" s="37">
        <f t="shared" si="1"/>
        <v>1690.7399999999998</v>
      </c>
      <c r="U7" s="37">
        <f t="shared" si="1"/>
        <v>1620.4400000000003</v>
      </c>
      <c r="V7" s="37">
        <f t="shared" si="1"/>
        <v>1632.1399999999999</v>
      </c>
      <c r="W7" s="37">
        <f t="shared" si="1"/>
        <v>1750.5399999999997</v>
      </c>
      <c r="X7" s="37">
        <f t="shared" si="1"/>
        <v>1759.74</v>
      </c>
      <c r="Y7" s="37">
        <f t="shared" si="1"/>
        <v>1752.6399999999999</v>
      </c>
      <c r="Z7" s="37">
        <f t="shared" si="1"/>
        <v>1751.9399999999998</v>
      </c>
      <c r="AA7" s="37">
        <f t="shared" si="1"/>
        <v>1762.84</v>
      </c>
      <c r="AB7" s="37">
        <f t="shared" si="1"/>
        <v>1752.94</v>
      </c>
      <c r="AC7" s="37">
        <f t="shared" si="1"/>
        <v>1745.1399999999999</v>
      </c>
      <c r="AD7" s="37">
        <f t="shared" si="1"/>
        <v>1754.1399999999999</v>
      </c>
      <c r="AE7" s="37">
        <f t="shared" si="1"/>
        <v>1760.1399999999999</v>
      </c>
      <c r="AF7" s="37">
        <f t="shared" si="1"/>
        <v>1750.1399999999999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50">
        <v>456</v>
      </c>
      <c r="D11" s="50">
        <v>456</v>
      </c>
      <c r="E11" s="50">
        <v>456</v>
      </c>
      <c r="F11" s="50">
        <v>456</v>
      </c>
      <c r="G11" s="50">
        <v>456</v>
      </c>
      <c r="H11" s="50">
        <v>456</v>
      </c>
      <c r="I11" s="50">
        <v>456</v>
      </c>
      <c r="J11" s="50">
        <v>456</v>
      </c>
      <c r="K11" s="50">
        <v>456</v>
      </c>
      <c r="L11" s="50">
        <v>456</v>
      </c>
      <c r="M11" s="50">
        <v>456</v>
      </c>
      <c r="N11" s="50">
        <v>456</v>
      </c>
      <c r="O11" s="50">
        <v>456</v>
      </c>
      <c r="P11" s="50">
        <v>456</v>
      </c>
      <c r="Q11" s="50">
        <v>456</v>
      </c>
      <c r="R11" s="50">
        <v>456</v>
      </c>
      <c r="S11" s="53">
        <v>456</v>
      </c>
      <c r="T11" s="53">
        <v>380</v>
      </c>
      <c r="U11" s="53">
        <v>380</v>
      </c>
      <c r="V11" s="53">
        <v>380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380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</v>
      </c>
      <c r="C13" s="51">
        <v>54</v>
      </c>
      <c r="D13" s="51">
        <v>54</v>
      </c>
      <c r="E13" s="51">
        <v>54</v>
      </c>
      <c r="F13" s="51">
        <v>54</v>
      </c>
      <c r="G13" s="51">
        <v>54</v>
      </c>
      <c r="H13" s="51">
        <v>54</v>
      </c>
      <c r="I13" s="51">
        <v>54</v>
      </c>
      <c r="J13" s="51">
        <v>54</v>
      </c>
      <c r="K13" s="51">
        <v>54</v>
      </c>
      <c r="L13" s="51">
        <v>54</v>
      </c>
      <c r="M13" s="51">
        <v>54</v>
      </c>
      <c r="N13" s="51">
        <v>54</v>
      </c>
      <c r="O13" s="51">
        <v>54</v>
      </c>
      <c r="P13" s="51">
        <v>54</v>
      </c>
      <c r="Q13" s="51">
        <v>54.4</v>
      </c>
      <c r="R13" s="51">
        <v>54.4</v>
      </c>
      <c r="S13" s="51">
        <v>54.4</v>
      </c>
      <c r="T13" s="51">
        <v>54.4</v>
      </c>
      <c r="U13" s="51">
        <v>54.4</v>
      </c>
      <c r="V13" s="51">
        <v>54</v>
      </c>
      <c r="W13" s="51">
        <v>54</v>
      </c>
      <c r="X13" s="51">
        <v>54</v>
      </c>
      <c r="Y13" s="51">
        <v>54</v>
      </c>
      <c r="Z13" s="51">
        <v>54</v>
      </c>
      <c r="AA13" s="51">
        <v>54</v>
      </c>
      <c r="AB13" s="51">
        <v>54</v>
      </c>
      <c r="AC13" s="51">
        <v>54</v>
      </c>
      <c r="AD13" s="51">
        <v>54</v>
      </c>
      <c r="AE13" s="51">
        <v>54</v>
      </c>
      <c r="AF13" s="51">
        <v>54</v>
      </c>
      <c r="AG13" s="59">
        <v>52.4</v>
      </c>
      <c r="AH13" s="55">
        <f t="shared" si="2"/>
        <v>54.4</v>
      </c>
      <c r="AI13" s="56">
        <f t="shared" si="3"/>
        <v>54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</v>
      </c>
      <c r="C14" s="51">
        <v>50</v>
      </c>
      <c r="D14" s="51">
        <v>50</v>
      </c>
      <c r="E14" s="51">
        <v>50</v>
      </c>
      <c r="F14" s="51">
        <v>50</v>
      </c>
      <c r="G14" s="51">
        <v>50</v>
      </c>
      <c r="H14" s="51">
        <v>50</v>
      </c>
      <c r="I14" s="51">
        <v>50</v>
      </c>
      <c r="J14" s="51">
        <v>50</v>
      </c>
      <c r="K14" s="51">
        <v>50</v>
      </c>
      <c r="L14" s="51">
        <v>50</v>
      </c>
      <c r="M14" s="51">
        <v>50</v>
      </c>
      <c r="N14" s="51">
        <v>50</v>
      </c>
      <c r="O14" s="51">
        <v>50</v>
      </c>
      <c r="P14" s="51">
        <v>50</v>
      </c>
      <c r="Q14" s="51">
        <v>50.4</v>
      </c>
      <c r="R14" s="51">
        <v>50.4</v>
      </c>
      <c r="S14" s="51">
        <v>50.4</v>
      </c>
      <c r="T14" s="51">
        <v>19.899999999999999</v>
      </c>
      <c r="U14" s="51">
        <v>33</v>
      </c>
      <c r="V14" s="51">
        <v>50.6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9">
        <v>50</v>
      </c>
      <c r="AH14" s="55">
        <f t="shared" si="2"/>
        <v>50.6</v>
      </c>
      <c r="AI14" s="56">
        <f t="shared" si="3"/>
        <v>19.899999999999999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45.8</v>
      </c>
      <c r="C15" s="51">
        <v>45.8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45.8</v>
      </c>
      <c r="P15" s="51">
        <v>45.8</v>
      </c>
      <c r="Q15" s="51">
        <v>45.8</v>
      </c>
      <c r="R15" s="51">
        <v>45.8</v>
      </c>
      <c r="S15" s="51">
        <v>45.8</v>
      </c>
      <c r="T15" s="51">
        <v>45.8</v>
      </c>
      <c r="U15" s="51">
        <v>45.8</v>
      </c>
      <c r="V15" s="51">
        <v>45.9</v>
      </c>
      <c r="W15" s="51">
        <v>45.9</v>
      </c>
      <c r="X15" s="51">
        <v>45.9</v>
      </c>
      <c r="Y15" s="51">
        <v>45.9</v>
      </c>
      <c r="Z15" s="51">
        <v>45.9</v>
      </c>
      <c r="AA15" s="51">
        <v>45.9</v>
      </c>
      <c r="AB15" s="51">
        <v>45.9</v>
      </c>
      <c r="AC15" s="51">
        <v>45.9</v>
      </c>
      <c r="AD15" s="51">
        <v>45.9</v>
      </c>
      <c r="AE15" s="51">
        <v>45.9</v>
      </c>
      <c r="AF15" s="51">
        <v>45.9</v>
      </c>
      <c r="AG15" s="60">
        <v>45</v>
      </c>
      <c r="AH15" s="55">
        <f t="shared" si="2"/>
        <v>45.9</v>
      </c>
      <c r="AI15" s="56">
        <f t="shared" si="3"/>
        <v>45.8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35</v>
      </c>
      <c r="C16" s="51">
        <v>28</v>
      </c>
      <c r="D16" s="51">
        <v>28</v>
      </c>
      <c r="E16" s="51">
        <v>28</v>
      </c>
      <c r="F16" s="51">
        <v>35</v>
      </c>
      <c r="G16" s="51">
        <v>30</v>
      </c>
      <c r="H16" s="51">
        <v>40</v>
      </c>
      <c r="I16" s="51">
        <v>40</v>
      </c>
      <c r="J16" s="51">
        <v>40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28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12.5</v>
      </c>
      <c r="N17" s="51">
        <v>12.5</v>
      </c>
      <c r="O17" s="51">
        <v>7</v>
      </c>
      <c r="P17" s="51">
        <v>0</v>
      </c>
      <c r="Q17" s="51">
        <v>0</v>
      </c>
      <c r="R17" s="51">
        <v>0</v>
      </c>
      <c r="S17" s="51">
        <v>25</v>
      </c>
      <c r="T17" s="51">
        <v>0</v>
      </c>
      <c r="U17" s="51">
        <v>0</v>
      </c>
      <c r="V17" s="51">
        <v>0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</v>
      </c>
      <c r="C19" s="51">
        <v>26</v>
      </c>
      <c r="D19" s="51">
        <v>26</v>
      </c>
      <c r="E19" s="51">
        <v>26</v>
      </c>
      <c r="F19" s="51">
        <v>26</v>
      </c>
      <c r="G19" s="51">
        <v>26</v>
      </c>
      <c r="H19" s="51">
        <v>26</v>
      </c>
      <c r="I19" s="51">
        <v>26</v>
      </c>
      <c r="J19" s="51">
        <v>26</v>
      </c>
      <c r="K19" s="51">
        <v>26</v>
      </c>
      <c r="L19" s="51">
        <v>26</v>
      </c>
      <c r="M19" s="51">
        <v>26</v>
      </c>
      <c r="N19" s="51">
        <v>26</v>
      </c>
      <c r="O19" s="51">
        <v>26</v>
      </c>
      <c r="P19" s="51">
        <v>26</v>
      </c>
      <c r="Q19" s="51">
        <v>26</v>
      </c>
      <c r="R19" s="51">
        <v>26</v>
      </c>
      <c r="S19" s="51">
        <v>26</v>
      </c>
      <c r="T19" s="51">
        <v>26</v>
      </c>
      <c r="U19" s="51">
        <v>26.1</v>
      </c>
      <c r="V19" s="51">
        <v>26.1</v>
      </c>
      <c r="W19" s="51">
        <v>25.7</v>
      </c>
      <c r="X19" s="51">
        <v>25.7</v>
      </c>
      <c r="Y19" s="51">
        <v>25.7</v>
      </c>
      <c r="Z19" s="51">
        <v>25.7</v>
      </c>
      <c r="AA19" s="51">
        <v>25.7</v>
      </c>
      <c r="AB19" s="51">
        <v>25.7</v>
      </c>
      <c r="AC19" s="51">
        <v>25.7</v>
      </c>
      <c r="AD19" s="51">
        <v>25.7</v>
      </c>
      <c r="AE19" s="51">
        <v>25.7</v>
      </c>
      <c r="AF19" s="51">
        <v>25.7</v>
      </c>
      <c r="AG19" s="59">
        <v>30</v>
      </c>
      <c r="AH19" s="55">
        <f t="shared" si="2"/>
        <v>26.1</v>
      </c>
      <c r="AI19" s="56">
        <f t="shared" si="3"/>
        <v>25.7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19.5</v>
      </c>
      <c r="C20" s="51">
        <v>19.5</v>
      </c>
      <c r="D20" s="51">
        <v>19.5</v>
      </c>
      <c r="E20" s="51">
        <v>19.5</v>
      </c>
      <c r="F20" s="51">
        <v>19.5</v>
      </c>
      <c r="G20" s="51">
        <v>19.5</v>
      </c>
      <c r="H20" s="51">
        <v>19.5</v>
      </c>
      <c r="I20" s="51">
        <v>19.5</v>
      </c>
      <c r="J20" s="51">
        <v>19.5</v>
      </c>
      <c r="K20" s="51">
        <v>19.5</v>
      </c>
      <c r="L20" s="51">
        <v>19.5</v>
      </c>
      <c r="M20" s="51">
        <v>19.5</v>
      </c>
      <c r="N20" s="51">
        <v>19.5</v>
      </c>
      <c r="O20" s="51">
        <v>19.5</v>
      </c>
      <c r="P20" s="51">
        <v>19.5</v>
      </c>
      <c r="Q20" s="51">
        <v>19.5</v>
      </c>
      <c r="R20" s="51">
        <v>19.5</v>
      </c>
      <c r="S20" s="51">
        <v>19.5</v>
      </c>
      <c r="T20" s="51">
        <v>19.5</v>
      </c>
      <c r="U20" s="51">
        <v>19.5</v>
      </c>
      <c r="V20" s="51">
        <v>19.5</v>
      </c>
      <c r="W20" s="51">
        <v>19.5</v>
      </c>
      <c r="X20" s="51">
        <v>19.5</v>
      </c>
      <c r="Y20" s="51">
        <v>19.5</v>
      </c>
      <c r="Z20" s="51">
        <v>19.5</v>
      </c>
      <c r="AA20" s="51">
        <v>19.5</v>
      </c>
      <c r="AB20" s="51">
        <v>19.5</v>
      </c>
      <c r="AC20" s="51">
        <v>19.5</v>
      </c>
      <c r="AD20" s="51">
        <v>19.5</v>
      </c>
      <c r="AE20" s="51">
        <v>19.5</v>
      </c>
      <c r="AF20" s="51">
        <v>19.5</v>
      </c>
      <c r="AG20" s="59">
        <v>27</v>
      </c>
      <c r="AH20" s="55">
        <f t="shared" si="2"/>
        <v>19.5</v>
      </c>
      <c r="AI20" s="56">
        <f t="shared" si="3"/>
        <v>19.5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19</v>
      </c>
      <c r="AC21" s="51">
        <v>19</v>
      </c>
      <c r="AD21" s="51">
        <v>19</v>
      </c>
      <c r="AE21" s="51">
        <v>19</v>
      </c>
      <c r="AF21" s="51">
        <v>19</v>
      </c>
      <c r="AG21" s="59">
        <v>25</v>
      </c>
      <c r="AH21" s="55">
        <f t="shared" si="2"/>
        <v>19</v>
      </c>
      <c r="AI21" s="56">
        <f t="shared" si="3"/>
        <v>19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0</v>
      </c>
      <c r="J23" s="51">
        <v>0</v>
      </c>
      <c r="K23" s="51">
        <v>0</v>
      </c>
      <c r="L23" s="51">
        <v>0</v>
      </c>
      <c r="M23" s="51">
        <v>22</v>
      </c>
      <c r="N23" s="51">
        <v>22</v>
      </c>
      <c r="O23" s="51">
        <v>0</v>
      </c>
      <c r="P23" s="51">
        <v>0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5</v>
      </c>
      <c r="E26" s="51">
        <v>5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5</v>
      </c>
      <c r="N26" s="51">
        <v>5</v>
      </c>
      <c r="O26" s="51">
        <v>5</v>
      </c>
      <c r="P26" s="51">
        <v>8</v>
      </c>
      <c r="Q26" s="51">
        <v>8</v>
      </c>
      <c r="R26" s="51">
        <v>8</v>
      </c>
      <c r="S26" s="51">
        <v>8</v>
      </c>
      <c r="T26" s="51">
        <v>0</v>
      </c>
      <c r="U26" s="51">
        <v>0</v>
      </c>
      <c r="V26" s="51">
        <v>0</v>
      </c>
      <c r="W26" s="51">
        <v>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13.6</v>
      </c>
      <c r="C28" s="51">
        <v>13.6</v>
      </c>
      <c r="D28" s="51">
        <v>13.6</v>
      </c>
      <c r="E28" s="51">
        <v>13.6</v>
      </c>
      <c r="F28" s="51">
        <v>13.6</v>
      </c>
      <c r="G28" s="51">
        <v>13.6</v>
      </c>
      <c r="H28" s="51">
        <v>13.6</v>
      </c>
      <c r="I28" s="51">
        <v>13.6</v>
      </c>
      <c r="J28" s="51">
        <v>13.6</v>
      </c>
      <c r="K28" s="51">
        <v>13.6</v>
      </c>
      <c r="L28" s="51">
        <v>13.6</v>
      </c>
      <c r="M28" s="51">
        <v>13.6</v>
      </c>
      <c r="N28" s="51">
        <v>13.6</v>
      </c>
      <c r="O28" s="51">
        <v>13.6</v>
      </c>
      <c r="P28" s="51">
        <v>13.6</v>
      </c>
      <c r="Q28" s="51">
        <v>13.6</v>
      </c>
      <c r="R28" s="51">
        <v>13.6</v>
      </c>
      <c r="S28" s="51">
        <v>13.6</v>
      </c>
      <c r="T28" s="51">
        <v>13.6</v>
      </c>
      <c r="U28" s="51">
        <v>13.6</v>
      </c>
      <c r="V28" s="51">
        <v>13.6</v>
      </c>
      <c r="W28" s="51">
        <v>13.6</v>
      </c>
      <c r="X28" s="51">
        <v>13.6</v>
      </c>
      <c r="Y28" s="51">
        <v>13.6</v>
      </c>
      <c r="Z28" s="51">
        <v>13.6</v>
      </c>
      <c r="AA28" s="51">
        <v>13.6</v>
      </c>
      <c r="AB28" s="51">
        <v>13.6</v>
      </c>
      <c r="AC28" s="51">
        <v>13.6</v>
      </c>
      <c r="AD28" s="51">
        <v>13.6</v>
      </c>
      <c r="AE28" s="51">
        <v>13.6</v>
      </c>
      <c r="AF28" s="51">
        <v>13.6</v>
      </c>
      <c r="AG28" s="59">
        <v>22.2</v>
      </c>
      <c r="AH28" s="55">
        <f t="shared" si="2"/>
        <v>13.6</v>
      </c>
      <c r="AI28" s="56">
        <f t="shared" si="3"/>
        <v>13.6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60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10</v>
      </c>
      <c r="C32" s="51">
        <v>10</v>
      </c>
      <c r="D32" s="51">
        <v>10</v>
      </c>
      <c r="E32" s="51">
        <v>10</v>
      </c>
      <c r="F32" s="51">
        <v>10</v>
      </c>
      <c r="G32" s="51">
        <v>10</v>
      </c>
      <c r="H32" s="51">
        <v>10</v>
      </c>
      <c r="I32" s="51">
        <v>10</v>
      </c>
      <c r="J32" s="51">
        <v>10</v>
      </c>
      <c r="K32" s="51">
        <v>10</v>
      </c>
      <c r="L32" s="51">
        <v>10</v>
      </c>
      <c r="M32" s="51">
        <v>6</v>
      </c>
      <c r="N32" s="51">
        <v>6</v>
      </c>
      <c r="O32" s="51">
        <v>6</v>
      </c>
      <c r="P32" s="51">
        <v>6</v>
      </c>
      <c r="Q32" s="51">
        <v>6</v>
      </c>
      <c r="R32" s="51">
        <v>6</v>
      </c>
      <c r="S32" s="51">
        <v>6</v>
      </c>
      <c r="T32" s="51">
        <v>6</v>
      </c>
      <c r="U32" s="51">
        <v>6</v>
      </c>
      <c r="V32" s="51">
        <v>6</v>
      </c>
      <c r="W32" s="51">
        <v>6</v>
      </c>
      <c r="X32" s="51">
        <v>6</v>
      </c>
      <c r="Y32" s="51">
        <v>6</v>
      </c>
      <c r="Z32" s="51">
        <v>6</v>
      </c>
      <c r="AA32" s="51">
        <v>6</v>
      </c>
      <c r="AB32" s="51">
        <v>6</v>
      </c>
      <c r="AC32" s="51">
        <v>6</v>
      </c>
      <c r="AD32" s="51">
        <v>6</v>
      </c>
      <c r="AE32" s="51">
        <v>6</v>
      </c>
      <c r="AF32" s="51">
        <v>6</v>
      </c>
      <c r="AG32" s="64">
        <v>22</v>
      </c>
      <c r="AH32" s="55">
        <f t="shared" si="2"/>
        <v>10</v>
      </c>
      <c r="AI32" s="56">
        <f t="shared" si="3"/>
        <v>6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10</v>
      </c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1">
        <v>10</v>
      </c>
      <c r="S34" s="51">
        <v>10</v>
      </c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1"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64">
        <v>20</v>
      </c>
      <c r="AH34" s="55">
        <f t="shared" si="2"/>
        <v>10</v>
      </c>
      <c r="AI34" s="56">
        <f t="shared" si="3"/>
        <v>10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99+57.6</f>
        <v>156.6</v>
      </c>
      <c r="C37" s="66">
        <f>98.7+57.6</f>
        <v>156.30000000000001</v>
      </c>
      <c r="D37" s="66">
        <f>99.1+57.7</f>
        <v>156.80000000000001</v>
      </c>
      <c r="E37" s="66">
        <f>99.1+57.7</f>
        <v>156.80000000000001</v>
      </c>
      <c r="F37" s="66">
        <f>99.1+57.7</f>
        <v>156.80000000000001</v>
      </c>
      <c r="G37" s="66">
        <f>99.1+57.7</f>
        <v>156.80000000000001</v>
      </c>
      <c r="H37" s="66">
        <v>98</v>
      </c>
      <c r="I37" s="66">
        <v>115</v>
      </c>
      <c r="J37" s="66">
        <v>133</v>
      </c>
      <c r="K37" s="66">
        <v>133</v>
      </c>
      <c r="L37" s="66">
        <v>112</v>
      </c>
      <c r="M37" s="66">
        <f>90+48</f>
        <v>138</v>
      </c>
      <c r="N37" s="66">
        <f>48+88</f>
        <v>136</v>
      </c>
      <c r="O37" s="66">
        <f>28+67.4</f>
        <v>95.4</v>
      </c>
      <c r="P37" s="66">
        <f>26.3+71</f>
        <v>97.3</v>
      </c>
      <c r="Q37" s="66">
        <f>39+81.8</f>
        <v>120.8</v>
      </c>
      <c r="R37" s="66">
        <f>39.5+83.5</f>
        <v>123</v>
      </c>
      <c r="S37" s="68">
        <f>57.3+98.7</f>
        <v>156</v>
      </c>
      <c r="T37" s="68">
        <f>47.2+90</f>
        <v>137.19999999999999</v>
      </c>
      <c r="U37" s="68">
        <f>38.9+83</f>
        <v>121.9</v>
      </c>
      <c r="V37" s="68">
        <f>57.1+97.9</f>
        <v>155</v>
      </c>
      <c r="W37" s="68">
        <f>54.3+88.4</f>
        <v>142.69999999999999</v>
      </c>
      <c r="X37" s="68">
        <f>54.2+88.3</f>
        <v>142.5</v>
      </c>
      <c r="Y37" s="68">
        <f>54.2+88.3</f>
        <v>142.5</v>
      </c>
      <c r="Z37" s="68">
        <f>56.6+97</f>
        <v>153.6</v>
      </c>
      <c r="AA37" s="68">
        <f>56.3+96.3</f>
        <v>152.6</v>
      </c>
      <c r="AB37" s="68">
        <f>56.3+96.3</f>
        <v>152.6</v>
      </c>
      <c r="AC37" s="68">
        <f>56.3+96.3</f>
        <v>152.6</v>
      </c>
      <c r="AD37" s="68">
        <f>56.3+96.3</f>
        <v>152.6</v>
      </c>
      <c r="AE37" s="68">
        <v>157</v>
      </c>
      <c r="AF37" s="68">
        <v>157</v>
      </c>
      <c r="AG37" s="64">
        <v>240</v>
      </c>
      <c r="AH37" s="55">
        <f t="shared" si="2"/>
        <v>157</v>
      </c>
      <c r="AI37" s="56">
        <f t="shared" si="3"/>
        <v>95.4</v>
      </c>
      <c r="AK37" s="57"/>
    </row>
    <row r="38" spans="1:88" ht="15.75" thickBot="1" x14ac:dyDescent="0.3">
      <c r="A38" s="69" t="s">
        <v>46</v>
      </c>
      <c r="B38" s="70">
        <f>SUM(B11:B36)</f>
        <v>1275.4000000000001</v>
      </c>
      <c r="C38" s="70">
        <f t="shared" ref="C38:AF38" si="4">SUM(C11:C36)</f>
        <v>1268.4000000000001</v>
      </c>
      <c r="D38" s="70">
        <f t="shared" si="4"/>
        <v>1263.4000000000001</v>
      </c>
      <c r="E38" s="70">
        <f t="shared" si="4"/>
        <v>1263.4000000000001</v>
      </c>
      <c r="F38" s="70">
        <f t="shared" si="4"/>
        <v>1275.4000000000001</v>
      </c>
      <c r="G38" s="70">
        <f t="shared" si="4"/>
        <v>1270.4000000000001</v>
      </c>
      <c r="H38" s="70">
        <f t="shared" si="4"/>
        <v>1280.4000000000001</v>
      </c>
      <c r="I38" s="70">
        <f t="shared" si="4"/>
        <v>1258.4000000000001</v>
      </c>
      <c r="J38" s="70">
        <f t="shared" si="4"/>
        <v>1258.4000000000001</v>
      </c>
      <c r="K38" s="70">
        <f t="shared" si="4"/>
        <v>1258.4000000000001</v>
      </c>
      <c r="L38" s="70">
        <f t="shared" si="4"/>
        <v>1258.4000000000001</v>
      </c>
      <c r="M38" s="70">
        <f t="shared" si="4"/>
        <v>1258.9000000000001</v>
      </c>
      <c r="N38" s="70">
        <f t="shared" si="4"/>
        <v>1258.9000000000001</v>
      </c>
      <c r="O38" s="70">
        <f t="shared" si="4"/>
        <v>1231.4000000000001</v>
      </c>
      <c r="P38" s="70">
        <f t="shared" si="4"/>
        <v>1227.4000000000001</v>
      </c>
      <c r="Q38" s="70">
        <f t="shared" si="4"/>
        <v>1250.1999999999998</v>
      </c>
      <c r="R38" s="70">
        <f t="shared" si="4"/>
        <v>1250.1999999999998</v>
      </c>
      <c r="S38" s="70">
        <f t="shared" si="4"/>
        <v>1275.1999999999998</v>
      </c>
      <c r="T38" s="70">
        <f t="shared" si="4"/>
        <v>1135.6999999999998</v>
      </c>
      <c r="U38" s="70">
        <f t="shared" si="4"/>
        <v>1148.9000000000001</v>
      </c>
      <c r="V38" s="70">
        <f t="shared" si="4"/>
        <v>1166.2</v>
      </c>
      <c r="W38" s="70">
        <f t="shared" si="4"/>
        <v>1266.5999999999999</v>
      </c>
      <c r="X38" s="70">
        <f t="shared" si="4"/>
        <v>1276.5999999999999</v>
      </c>
      <c r="Y38" s="70">
        <f t="shared" si="4"/>
        <v>1276.5999999999999</v>
      </c>
      <c r="Z38" s="70">
        <f t="shared" si="4"/>
        <v>1276.5999999999999</v>
      </c>
      <c r="AA38" s="70">
        <f t="shared" si="4"/>
        <v>1276.5999999999999</v>
      </c>
      <c r="AB38" s="70">
        <f t="shared" si="4"/>
        <v>1276.5999999999999</v>
      </c>
      <c r="AC38" s="70">
        <f t="shared" si="4"/>
        <v>1276.5999999999999</v>
      </c>
      <c r="AD38" s="70">
        <f t="shared" si="4"/>
        <v>1276.5999999999999</v>
      </c>
      <c r="AE38" s="70">
        <f t="shared" si="4"/>
        <v>1276.5999999999999</v>
      </c>
      <c r="AF38" s="70">
        <f t="shared" si="4"/>
        <v>1276.5999999999999</v>
      </c>
      <c r="AG38" s="64">
        <f>SUM(AG11:AG37)</f>
        <v>1492.8299999999997</v>
      </c>
      <c r="AH38" s="55">
        <f t="shared" si="2"/>
        <v>1280.4000000000001</v>
      </c>
      <c r="AI38" s="56">
        <f t="shared" si="3"/>
        <v>1135.6999999999998</v>
      </c>
      <c r="AK38" s="57"/>
    </row>
    <row r="39" spans="1:88" x14ac:dyDescent="0.25">
      <c r="A39" s="58" t="s">
        <v>47</v>
      </c>
      <c r="B39" s="51">
        <v>143.69999999999999</v>
      </c>
      <c r="C39" s="51">
        <v>142.9</v>
      </c>
      <c r="D39" s="51">
        <v>141.30000000000001</v>
      </c>
      <c r="E39" s="51">
        <v>142</v>
      </c>
      <c r="F39" s="51">
        <v>141.69999999999999</v>
      </c>
      <c r="G39" s="51">
        <v>141.69999999999999</v>
      </c>
      <c r="H39" s="51">
        <v>141.4</v>
      </c>
      <c r="I39" s="51">
        <v>141.9</v>
      </c>
      <c r="J39" s="51">
        <v>141.9</v>
      </c>
      <c r="K39" s="51">
        <v>141.9</v>
      </c>
      <c r="L39" s="51">
        <v>141.4</v>
      </c>
      <c r="M39" s="51">
        <v>141.4</v>
      </c>
      <c r="N39" s="51">
        <v>142.1</v>
      </c>
      <c r="O39" s="51">
        <v>142.1</v>
      </c>
      <c r="P39" s="51">
        <v>142.1</v>
      </c>
      <c r="Q39" s="51">
        <v>141.69999999999999</v>
      </c>
      <c r="R39" s="51">
        <v>142.19999999999999</v>
      </c>
      <c r="S39" s="51">
        <v>142.69999999999999</v>
      </c>
      <c r="T39" s="51">
        <v>142.9</v>
      </c>
      <c r="U39" s="51">
        <v>142.4</v>
      </c>
      <c r="V39" s="51">
        <v>142.69999999999999</v>
      </c>
      <c r="W39" s="51">
        <v>142.9</v>
      </c>
      <c r="X39" s="51">
        <v>142.9</v>
      </c>
      <c r="Y39" s="51">
        <v>143.1</v>
      </c>
      <c r="Z39" s="51">
        <v>143.1</v>
      </c>
      <c r="AA39" s="51">
        <v>143.1</v>
      </c>
      <c r="AB39" s="51">
        <v>143</v>
      </c>
      <c r="AC39" s="51">
        <v>143</v>
      </c>
      <c r="AD39" s="51">
        <v>143</v>
      </c>
      <c r="AE39" s="51">
        <v>143</v>
      </c>
      <c r="AF39" s="51">
        <v>143</v>
      </c>
      <c r="AG39" s="60">
        <v>144</v>
      </c>
      <c r="AH39" s="55">
        <f t="shared" si="2"/>
        <v>143.69999999999999</v>
      </c>
      <c r="AI39" s="56">
        <f t="shared" si="3"/>
        <v>141.30000000000001</v>
      </c>
      <c r="AK39" s="57"/>
    </row>
    <row r="40" spans="1:88" x14ac:dyDescent="0.25">
      <c r="A40" s="63" t="s">
        <v>48</v>
      </c>
      <c r="B40" s="49">
        <v>71.3</v>
      </c>
      <c r="C40" s="49">
        <v>71.8</v>
      </c>
      <c r="D40" s="49">
        <v>72.900000000000006</v>
      </c>
      <c r="E40" s="49">
        <v>72.900000000000006</v>
      </c>
      <c r="F40" s="49">
        <v>72</v>
      </c>
      <c r="G40" s="49">
        <v>72</v>
      </c>
      <c r="H40" s="49">
        <v>71.3</v>
      </c>
      <c r="I40" s="49">
        <v>72</v>
      </c>
      <c r="J40" s="49">
        <v>72</v>
      </c>
      <c r="K40" s="49">
        <v>72</v>
      </c>
      <c r="L40" s="49">
        <v>72.3</v>
      </c>
      <c r="M40" s="49">
        <v>72.3</v>
      </c>
      <c r="N40" s="49">
        <v>71.7</v>
      </c>
      <c r="O40" s="49">
        <v>70.900000000000006</v>
      </c>
      <c r="P40" s="49">
        <v>70.900000000000006</v>
      </c>
      <c r="Q40" s="51">
        <v>70.599999999999994</v>
      </c>
      <c r="R40" s="51">
        <v>71</v>
      </c>
      <c r="S40" s="49">
        <v>71.599999999999994</v>
      </c>
      <c r="T40" s="49">
        <v>70</v>
      </c>
      <c r="U40" s="49">
        <v>70.7</v>
      </c>
      <c r="V40" s="49">
        <v>71.900000000000006</v>
      </c>
      <c r="W40" s="49">
        <v>71.5</v>
      </c>
      <c r="X40" s="49">
        <v>71.599999999999994</v>
      </c>
      <c r="Y40" s="49">
        <v>70.599999999999994</v>
      </c>
      <c r="Z40" s="49">
        <v>70.599999999999994</v>
      </c>
      <c r="AA40" s="49">
        <v>70.599999999999994</v>
      </c>
      <c r="AB40" s="49">
        <v>70.599999999999994</v>
      </c>
      <c r="AC40" s="49">
        <v>65</v>
      </c>
      <c r="AD40" s="49">
        <v>70</v>
      </c>
      <c r="AE40" s="49">
        <v>70</v>
      </c>
      <c r="AF40" s="49">
        <v>70</v>
      </c>
      <c r="AG40" s="64">
        <v>70</v>
      </c>
      <c r="AH40" s="55">
        <f t="shared" si="2"/>
        <v>72.900000000000006</v>
      </c>
      <c r="AI40" s="56">
        <f t="shared" si="3"/>
        <v>65</v>
      </c>
      <c r="AK40" s="57"/>
    </row>
    <row r="41" spans="1:88" x14ac:dyDescent="0.25">
      <c r="A41" s="63" t="s">
        <v>49</v>
      </c>
      <c r="B41" s="49">
        <v>62.2</v>
      </c>
      <c r="C41" s="49">
        <v>62.6</v>
      </c>
      <c r="D41" s="49">
        <v>62.2</v>
      </c>
      <c r="E41" s="49">
        <v>62.2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49">
        <v>46.6</v>
      </c>
      <c r="N41" s="49">
        <v>64.2</v>
      </c>
      <c r="O41" s="49">
        <v>63.5</v>
      </c>
      <c r="P41" s="49">
        <v>63.5</v>
      </c>
      <c r="Q41" s="51">
        <v>63.7</v>
      </c>
      <c r="R41" s="51">
        <v>63.7</v>
      </c>
      <c r="S41" s="49">
        <v>63.8</v>
      </c>
      <c r="T41" s="49">
        <v>63.8</v>
      </c>
      <c r="U41" s="49">
        <v>64</v>
      </c>
      <c r="V41" s="49">
        <v>63.5</v>
      </c>
      <c r="W41" s="49">
        <v>63.8</v>
      </c>
      <c r="X41" s="49">
        <v>63.8</v>
      </c>
      <c r="Y41" s="49">
        <v>64</v>
      </c>
      <c r="Z41" s="49">
        <v>64</v>
      </c>
      <c r="AA41" s="49">
        <v>64.2</v>
      </c>
      <c r="AB41" s="49">
        <v>64.2</v>
      </c>
      <c r="AC41" s="49">
        <v>60</v>
      </c>
      <c r="AD41" s="49">
        <v>62</v>
      </c>
      <c r="AE41" s="49">
        <v>64</v>
      </c>
      <c r="AF41" s="49">
        <v>64</v>
      </c>
      <c r="AG41" s="64">
        <v>69</v>
      </c>
      <c r="AH41" s="55">
        <f t="shared" si="2"/>
        <v>64.2</v>
      </c>
      <c r="AI41" s="56">
        <f t="shared" si="3"/>
        <v>0</v>
      </c>
      <c r="AK41" s="57"/>
    </row>
    <row r="42" spans="1:88" x14ac:dyDescent="0.25">
      <c r="A42" s="63" t="s">
        <v>50</v>
      </c>
      <c r="B42" s="66">
        <v>60.7</v>
      </c>
      <c r="C42" s="66">
        <v>60.4</v>
      </c>
      <c r="D42" s="66">
        <v>60.7</v>
      </c>
      <c r="E42" s="66">
        <v>60.7</v>
      </c>
      <c r="F42" s="66">
        <v>60.7</v>
      </c>
      <c r="G42" s="66">
        <v>60.7</v>
      </c>
      <c r="H42" s="66">
        <v>60.7</v>
      </c>
      <c r="I42" s="66">
        <v>60.7</v>
      </c>
      <c r="J42" s="66">
        <v>60.7</v>
      </c>
      <c r="K42" s="66">
        <v>60.7</v>
      </c>
      <c r="L42" s="66">
        <v>60.7</v>
      </c>
      <c r="M42" s="66">
        <v>60.7</v>
      </c>
      <c r="N42" s="66">
        <v>60.7</v>
      </c>
      <c r="O42" s="66">
        <v>60.7</v>
      </c>
      <c r="P42" s="66">
        <v>60.7</v>
      </c>
      <c r="Q42" s="51">
        <v>60.7</v>
      </c>
      <c r="R42" s="51">
        <v>60.7</v>
      </c>
      <c r="S42" s="51">
        <v>60.7</v>
      </c>
      <c r="T42" s="51">
        <v>60.7</v>
      </c>
      <c r="U42" s="51">
        <v>60.7</v>
      </c>
      <c r="V42" s="51">
        <v>60.9</v>
      </c>
      <c r="W42" s="51">
        <v>60.9</v>
      </c>
      <c r="X42" s="51">
        <v>61.2</v>
      </c>
      <c r="Y42" s="51">
        <v>61.2</v>
      </c>
      <c r="Z42" s="51">
        <v>61.2</v>
      </c>
      <c r="AA42" s="51">
        <v>61.2</v>
      </c>
      <c r="AB42" s="51">
        <v>61.2</v>
      </c>
      <c r="AC42" s="51">
        <v>61.2</v>
      </c>
      <c r="AD42" s="51">
        <v>61.2</v>
      </c>
      <c r="AE42" s="51">
        <v>61.2</v>
      </c>
      <c r="AF42" s="51">
        <v>61.2</v>
      </c>
      <c r="AG42" s="64">
        <v>60</v>
      </c>
      <c r="AH42" s="55">
        <f t="shared" si="2"/>
        <v>61.2</v>
      </c>
      <c r="AI42" s="56">
        <f t="shared" si="3"/>
        <v>60.4</v>
      </c>
      <c r="AK42" s="57"/>
    </row>
    <row r="43" spans="1:88" x14ac:dyDescent="0.25">
      <c r="A43" s="63" t="s">
        <v>51</v>
      </c>
      <c r="B43" s="66">
        <v>30</v>
      </c>
      <c r="C43" s="66">
        <v>30</v>
      </c>
      <c r="D43" s="66">
        <v>30</v>
      </c>
      <c r="E43" s="66">
        <v>0</v>
      </c>
      <c r="F43" s="66">
        <v>0</v>
      </c>
      <c r="G43" s="66">
        <v>29</v>
      </c>
      <c r="H43" s="66">
        <v>29</v>
      </c>
      <c r="I43" s="66">
        <v>29</v>
      </c>
      <c r="J43" s="66">
        <v>30</v>
      </c>
      <c r="K43" s="66">
        <v>30</v>
      </c>
      <c r="L43" s="66">
        <v>30</v>
      </c>
      <c r="M43" s="66">
        <v>30</v>
      </c>
      <c r="N43" s="66">
        <v>30</v>
      </c>
      <c r="O43" s="66">
        <v>30</v>
      </c>
      <c r="P43" s="66">
        <v>30</v>
      </c>
      <c r="Q43" s="51">
        <v>30</v>
      </c>
      <c r="R43" s="51">
        <v>30</v>
      </c>
      <c r="S43" s="51">
        <v>30</v>
      </c>
      <c r="T43" s="51">
        <v>0</v>
      </c>
      <c r="U43" s="51">
        <v>0</v>
      </c>
      <c r="V43" s="51">
        <v>0</v>
      </c>
      <c r="W43" s="51">
        <v>29.4</v>
      </c>
      <c r="X43" s="51">
        <v>29.3</v>
      </c>
      <c r="Y43" s="51">
        <v>29.3</v>
      </c>
      <c r="Z43" s="51">
        <v>29.3</v>
      </c>
      <c r="AA43" s="51">
        <v>29.3</v>
      </c>
      <c r="AB43" s="51">
        <v>29.3</v>
      </c>
      <c r="AC43" s="51">
        <v>29.3</v>
      </c>
      <c r="AD43" s="51">
        <v>29.3</v>
      </c>
      <c r="AE43" s="51">
        <v>29.3</v>
      </c>
      <c r="AF43" s="51">
        <v>29.3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8</v>
      </c>
      <c r="N44" s="66">
        <v>8</v>
      </c>
      <c r="O44" s="66">
        <v>8</v>
      </c>
      <c r="P44" s="66">
        <v>8</v>
      </c>
      <c r="Q44" s="51">
        <v>10</v>
      </c>
      <c r="R44" s="51">
        <v>10</v>
      </c>
      <c r="S44" s="51">
        <v>10</v>
      </c>
      <c r="T44" s="51">
        <v>10</v>
      </c>
      <c r="U44" s="51">
        <v>10</v>
      </c>
      <c r="V44" s="51">
        <v>10</v>
      </c>
      <c r="W44" s="51">
        <v>5</v>
      </c>
      <c r="X44" s="51">
        <v>5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10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15.1</v>
      </c>
      <c r="C45" s="49">
        <v>15</v>
      </c>
      <c r="D45" s="49">
        <v>15</v>
      </c>
      <c r="E45" s="49">
        <v>15</v>
      </c>
      <c r="F45" s="49">
        <v>15</v>
      </c>
      <c r="G45" s="49">
        <v>15</v>
      </c>
      <c r="H45" s="49">
        <v>15</v>
      </c>
      <c r="I45" s="49">
        <v>15</v>
      </c>
      <c r="J45" s="49">
        <v>15</v>
      </c>
      <c r="K45" s="49">
        <v>15</v>
      </c>
      <c r="L45" s="49">
        <v>15</v>
      </c>
      <c r="M45" s="49">
        <v>15</v>
      </c>
      <c r="N45" s="49">
        <v>15</v>
      </c>
      <c r="O45" s="49">
        <v>15</v>
      </c>
      <c r="P45" s="49">
        <v>15</v>
      </c>
      <c r="Q45" s="51">
        <v>12.5</v>
      </c>
      <c r="R45" s="51">
        <v>10</v>
      </c>
      <c r="S45" s="51">
        <v>10</v>
      </c>
      <c r="T45" s="51">
        <v>10</v>
      </c>
      <c r="U45" s="51">
        <v>10</v>
      </c>
      <c r="V45" s="51">
        <v>10</v>
      </c>
      <c r="W45" s="51">
        <v>10</v>
      </c>
      <c r="X45" s="51">
        <v>10</v>
      </c>
      <c r="Y45" s="51">
        <v>10</v>
      </c>
      <c r="Z45" s="51">
        <v>10</v>
      </c>
      <c r="AA45" s="51">
        <v>12.7</v>
      </c>
      <c r="AB45" s="51">
        <v>12.7</v>
      </c>
      <c r="AC45" s="51">
        <v>12.7</v>
      </c>
      <c r="AD45" s="51">
        <v>12.7</v>
      </c>
      <c r="AE45" s="51">
        <v>12.7</v>
      </c>
      <c r="AF45" s="51">
        <v>12.7</v>
      </c>
      <c r="AG45" s="64">
        <v>24</v>
      </c>
      <c r="AH45" s="55">
        <f t="shared" si="2"/>
        <v>15.1</v>
      </c>
      <c r="AI45" s="56">
        <f t="shared" si="3"/>
        <v>10</v>
      </c>
      <c r="AK45" s="57"/>
    </row>
    <row r="46" spans="1:88" x14ac:dyDescent="0.25">
      <c r="A46" s="63" t="s">
        <v>54</v>
      </c>
      <c r="B46" s="49">
        <v>3</v>
      </c>
      <c r="C46" s="49">
        <v>3</v>
      </c>
      <c r="D46" s="49">
        <v>3</v>
      </c>
      <c r="E46" s="49">
        <v>3</v>
      </c>
      <c r="F46" s="49">
        <v>3</v>
      </c>
      <c r="G46" s="49">
        <v>3</v>
      </c>
      <c r="H46" s="49">
        <v>3</v>
      </c>
      <c r="I46" s="49">
        <v>3</v>
      </c>
      <c r="J46" s="49">
        <v>3</v>
      </c>
      <c r="K46" s="49">
        <v>3</v>
      </c>
      <c r="L46" s="49">
        <v>3</v>
      </c>
      <c r="M46" s="49">
        <v>3</v>
      </c>
      <c r="N46" s="49">
        <v>3</v>
      </c>
      <c r="O46" s="49">
        <v>3</v>
      </c>
      <c r="P46" s="49">
        <v>3</v>
      </c>
      <c r="Q46" s="51">
        <v>0</v>
      </c>
      <c r="R46" s="51">
        <v>0</v>
      </c>
      <c r="S46" s="51">
        <v>0</v>
      </c>
      <c r="T46" s="51">
        <v>2.6</v>
      </c>
      <c r="U46" s="51">
        <v>2.6</v>
      </c>
      <c r="V46" s="51">
        <v>2.6</v>
      </c>
      <c r="W46" s="51">
        <v>2.6</v>
      </c>
      <c r="X46" s="51">
        <v>2.6</v>
      </c>
      <c r="Y46" s="51">
        <v>2.6</v>
      </c>
      <c r="Z46" s="51">
        <v>2.6</v>
      </c>
      <c r="AA46" s="51">
        <v>2.6</v>
      </c>
      <c r="AB46" s="51">
        <v>2.6</v>
      </c>
      <c r="AC46" s="51">
        <v>2.6</v>
      </c>
      <c r="AD46" s="51">
        <v>2.6</v>
      </c>
      <c r="AE46" s="51">
        <v>2.6</v>
      </c>
      <c r="AF46" s="51">
        <v>2.6</v>
      </c>
      <c r="AG46" s="64">
        <v>15</v>
      </c>
      <c r="AH46" s="55">
        <f t="shared" si="2"/>
        <v>3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10</v>
      </c>
      <c r="C47" s="49">
        <v>10</v>
      </c>
      <c r="D47" s="49">
        <v>10</v>
      </c>
      <c r="E47" s="49">
        <v>10</v>
      </c>
      <c r="F47" s="49">
        <v>10</v>
      </c>
      <c r="G47" s="49">
        <v>10</v>
      </c>
      <c r="H47" s="49">
        <v>10</v>
      </c>
      <c r="I47" s="49">
        <v>10</v>
      </c>
      <c r="J47" s="49">
        <v>10</v>
      </c>
      <c r="K47" s="49">
        <v>10</v>
      </c>
      <c r="L47" s="49">
        <v>10</v>
      </c>
      <c r="M47" s="49">
        <v>10</v>
      </c>
      <c r="N47" s="49">
        <v>10</v>
      </c>
      <c r="O47" s="49">
        <v>10</v>
      </c>
      <c r="P47" s="49">
        <v>10</v>
      </c>
      <c r="Q47" s="51">
        <v>10</v>
      </c>
      <c r="R47" s="51">
        <v>8</v>
      </c>
      <c r="S47" s="51">
        <v>8</v>
      </c>
      <c r="T47" s="51">
        <v>8</v>
      </c>
      <c r="U47" s="51">
        <v>8</v>
      </c>
      <c r="V47" s="51">
        <v>8</v>
      </c>
      <c r="W47" s="51">
        <v>8</v>
      </c>
      <c r="X47" s="51">
        <v>8</v>
      </c>
      <c r="Y47" s="51">
        <v>8</v>
      </c>
      <c r="Z47" s="51">
        <v>8</v>
      </c>
      <c r="AA47" s="51">
        <v>8</v>
      </c>
      <c r="AB47" s="51">
        <v>8</v>
      </c>
      <c r="AC47" s="51">
        <v>8</v>
      </c>
      <c r="AD47" s="51">
        <v>8</v>
      </c>
      <c r="AE47" s="51">
        <v>8</v>
      </c>
      <c r="AF47" s="51">
        <v>8</v>
      </c>
      <c r="AG47" s="64">
        <v>14.1</v>
      </c>
      <c r="AH47" s="55">
        <f t="shared" si="2"/>
        <v>10</v>
      </c>
      <c r="AI47" s="56">
        <f t="shared" si="3"/>
        <v>8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6.7</v>
      </c>
      <c r="C48" s="49">
        <v>13.8</v>
      </c>
      <c r="D48" s="49">
        <v>13.8</v>
      </c>
      <c r="E48" s="49">
        <v>13.8</v>
      </c>
      <c r="F48" s="49">
        <v>13.8</v>
      </c>
      <c r="G48" s="49">
        <v>7</v>
      </c>
      <c r="H48" s="49">
        <v>14</v>
      </c>
      <c r="I48" s="49">
        <v>14</v>
      </c>
      <c r="J48" s="49">
        <v>7</v>
      </c>
      <c r="K48" s="49">
        <v>14</v>
      </c>
      <c r="L48" s="49">
        <v>14</v>
      </c>
      <c r="M48" s="49">
        <v>14</v>
      </c>
      <c r="N48" s="49">
        <v>14</v>
      </c>
      <c r="O48" s="49">
        <v>14</v>
      </c>
      <c r="P48" s="49">
        <v>14</v>
      </c>
      <c r="Q48" s="51">
        <v>13.7</v>
      </c>
      <c r="R48" s="51">
        <v>13.7</v>
      </c>
      <c r="S48" s="51">
        <v>13.7</v>
      </c>
      <c r="T48" s="51">
        <v>13.7</v>
      </c>
      <c r="U48" s="51">
        <v>13.8</v>
      </c>
      <c r="V48" s="51">
        <v>13.8</v>
      </c>
      <c r="W48" s="51">
        <v>13.8</v>
      </c>
      <c r="X48" s="51">
        <v>13.8</v>
      </c>
      <c r="Y48" s="51">
        <v>13.8</v>
      </c>
      <c r="Z48" s="51">
        <v>13.8</v>
      </c>
      <c r="AA48" s="51">
        <v>13.8</v>
      </c>
      <c r="AB48" s="51">
        <v>13.8</v>
      </c>
      <c r="AC48" s="51">
        <v>13.8</v>
      </c>
      <c r="AD48" s="51">
        <v>13.8</v>
      </c>
      <c r="AE48" s="51">
        <v>13.8</v>
      </c>
      <c r="AF48" s="51">
        <v>13.8</v>
      </c>
      <c r="AG48" s="64">
        <v>14</v>
      </c>
      <c r="AH48" s="55">
        <f t="shared" si="2"/>
        <v>14</v>
      </c>
      <c r="AI48" s="56">
        <f t="shared" si="3"/>
        <v>6.7</v>
      </c>
      <c r="AK48" s="57"/>
    </row>
    <row r="49" spans="1:37" x14ac:dyDescent="0.25">
      <c r="A49" s="63" t="s">
        <v>57</v>
      </c>
      <c r="B49" s="49">
        <v>9.6</v>
      </c>
      <c r="C49" s="49">
        <v>9.6</v>
      </c>
      <c r="D49" s="49">
        <v>9.6</v>
      </c>
      <c r="E49" s="49">
        <v>9.6</v>
      </c>
      <c r="F49" s="49">
        <v>9.6</v>
      </c>
      <c r="G49" s="49">
        <v>9.6</v>
      </c>
      <c r="H49" s="49">
        <v>9.6</v>
      </c>
      <c r="I49" s="49">
        <v>9.6</v>
      </c>
      <c r="J49" s="49">
        <v>9.6</v>
      </c>
      <c r="K49" s="49">
        <v>9.6</v>
      </c>
      <c r="L49" s="49">
        <v>9.6</v>
      </c>
      <c r="M49" s="49">
        <v>9.6</v>
      </c>
      <c r="N49" s="49">
        <v>9.6</v>
      </c>
      <c r="O49" s="49">
        <v>9.6</v>
      </c>
      <c r="P49" s="49">
        <v>9.6</v>
      </c>
      <c r="Q49" s="51">
        <v>9.3000000000000007</v>
      </c>
      <c r="R49" s="51">
        <v>9.3000000000000007</v>
      </c>
      <c r="S49" s="51">
        <v>9.3000000000000007</v>
      </c>
      <c r="T49" s="51">
        <v>93</v>
      </c>
      <c r="U49" s="51">
        <v>9.4</v>
      </c>
      <c r="V49" s="51">
        <v>9.4</v>
      </c>
      <c r="W49" s="51">
        <v>9.4</v>
      </c>
      <c r="X49" s="51">
        <v>9.4</v>
      </c>
      <c r="Y49" s="51">
        <v>9.4</v>
      </c>
      <c r="Z49" s="51">
        <v>9.4</v>
      </c>
      <c r="AA49" s="51">
        <v>9.4</v>
      </c>
      <c r="AB49" s="51">
        <v>9.4</v>
      </c>
      <c r="AC49" s="51">
        <v>9.4</v>
      </c>
      <c r="AD49" s="51">
        <v>9.4</v>
      </c>
      <c r="AE49" s="51">
        <v>9.4</v>
      </c>
      <c r="AF49" s="51">
        <v>9.4</v>
      </c>
      <c r="AG49" s="64">
        <v>10.050000000000001</v>
      </c>
      <c r="AH49" s="55">
        <f t="shared" si="2"/>
        <v>93</v>
      </c>
      <c r="AI49" s="56">
        <f t="shared" si="3"/>
        <v>9.3000000000000007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49">
        <v>6</v>
      </c>
      <c r="O50" s="49">
        <v>6</v>
      </c>
      <c r="P50" s="49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51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AG201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421.84000000000003</v>
      </c>
      <c r="C52" s="70">
        <f t="shared" ref="C52:AF52" si="6">SUM(C39:C51)</f>
        <v>428.64000000000004</v>
      </c>
      <c r="D52" s="70">
        <f t="shared" si="6"/>
        <v>428.04000000000008</v>
      </c>
      <c r="E52" s="70">
        <f t="shared" si="6"/>
        <v>398.74000000000007</v>
      </c>
      <c r="F52" s="70">
        <f t="shared" si="6"/>
        <v>335.34000000000003</v>
      </c>
      <c r="G52" s="70">
        <f t="shared" si="6"/>
        <v>357.54</v>
      </c>
      <c r="H52" s="70">
        <f t="shared" si="6"/>
        <v>363.54</v>
      </c>
      <c r="I52" s="70">
        <f t="shared" si="6"/>
        <v>364.74000000000007</v>
      </c>
      <c r="J52" s="70">
        <f t="shared" si="6"/>
        <v>358.74000000000007</v>
      </c>
      <c r="K52" s="70">
        <f t="shared" si="6"/>
        <v>365.74000000000007</v>
      </c>
      <c r="L52" s="70">
        <f t="shared" si="6"/>
        <v>365.54</v>
      </c>
      <c r="M52" s="70">
        <f t="shared" si="6"/>
        <v>420.14000000000004</v>
      </c>
      <c r="N52" s="70">
        <f t="shared" si="6"/>
        <v>437.84000000000003</v>
      </c>
      <c r="O52" s="70">
        <f t="shared" si="6"/>
        <v>436.34000000000003</v>
      </c>
      <c r="P52" s="70">
        <f t="shared" si="6"/>
        <v>436.34000000000003</v>
      </c>
      <c r="Q52" s="70">
        <f t="shared" si="6"/>
        <v>431.74</v>
      </c>
      <c r="R52" s="70">
        <f t="shared" si="6"/>
        <v>428.14</v>
      </c>
      <c r="S52" s="70">
        <f t="shared" si="6"/>
        <v>429.34</v>
      </c>
      <c r="T52" s="70">
        <f t="shared" si="6"/>
        <v>484.24</v>
      </c>
      <c r="U52" s="70">
        <f t="shared" si="6"/>
        <v>401.14000000000004</v>
      </c>
      <c r="V52" s="70">
        <f t="shared" si="6"/>
        <v>402.34000000000003</v>
      </c>
      <c r="W52" s="70">
        <f t="shared" si="6"/>
        <v>426.84</v>
      </c>
      <c r="X52" s="70">
        <f t="shared" si="6"/>
        <v>427.14000000000004</v>
      </c>
      <c r="Y52" s="70">
        <f t="shared" si="6"/>
        <v>421.54</v>
      </c>
      <c r="Z52" s="70">
        <f t="shared" si="6"/>
        <v>421.54</v>
      </c>
      <c r="AA52" s="70">
        <f t="shared" si="6"/>
        <v>424.44</v>
      </c>
      <c r="AB52" s="70">
        <f t="shared" si="6"/>
        <v>424.34000000000003</v>
      </c>
      <c r="AC52" s="70">
        <f t="shared" si="6"/>
        <v>414.54</v>
      </c>
      <c r="AD52" s="70">
        <f t="shared" si="6"/>
        <v>421.54</v>
      </c>
      <c r="AE52" s="70">
        <f t="shared" si="6"/>
        <v>423.54</v>
      </c>
      <c r="AF52" s="70">
        <f t="shared" si="6"/>
        <v>423.54</v>
      </c>
      <c r="AG52" s="74">
        <f>SUM(AG39:AG51)</f>
        <v>489.91</v>
      </c>
      <c r="AH52" s="55">
        <f t="shared" si="2"/>
        <v>484.24</v>
      </c>
      <c r="AI52" s="56">
        <f t="shared" si="3"/>
        <v>335.34000000000003</v>
      </c>
      <c r="AK52" s="57"/>
    </row>
    <row r="53" spans="1:37" x14ac:dyDescent="0.25">
      <c r="A53" s="58" t="s">
        <v>61</v>
      </c>
      <c r="B53" s="51">
        <v>14</v>
      </c>
      <c r="C53" s="51">
        <v>10</v>
      </c>
      <c r="D53" s="51">
        <v>10</v>
      </c>
      <c r="E53" s="51">
        <v>0</v>
      </c>
      <c r="F53" s="51">
        <v>0</v>
      </c>
      <c r="G53" s="51">
        <v>0</v>
      </c>
      <c r="H53" s="51">
        <v>10</v>
      </c>
      <c r="I53" s="51">
        <v>10</v>
      </c>
      <c r="J53" s="51">
        <v>10</v>
      </c>
      <c r="K53" s="51">
        <v>44.6</v>
      </c>
      <c r="L53" s="51">
        <v>60</v>
      </c>
      <c r="M53" s="51">
        <v>50</v>
      </c>
      <c r="N53" s="51">
        <v>29.8</v>
      </c>
      <c r="O53" s="51">
        <v>59.8</v>
      </c>
      <c r="P53" s="51">
        <v>60</v>
      </c>
      <c r="Q53" s="51">
        <v>39.299999999999997</v>
      </c>
      <c r="R53" s="51">
        <v>53.3</v>
      </c>
      <c r="S53" s="51">
        <v>49.5</v>
      </c>
      <c r="T53" s="51">
        <v>60</v>
      </c>
      <c r="U53" s="51">
        <v>60</v>
      </c>
      <c r="V53" s="51">
        <v>40</v>
      </c>
      <c r="W53" s="51">
        <v>20</v>
      </c>
      <c r="X53" s="51">
        <v>14.2</v>
      </c>
      <c r="Y53" s="51">
        <v>14.2</v>
      </c>
      <c r="Z53" s="51">
        <v>13.6</v>
      </c>
      <c r="AA53" s="51">
        <v>59.3</v>
      </c>
      <c r="AB53" s="51">
        <v>59.3</v>
      </c>
      <c r="AC53" s="51">
        <v>59.3</v>
      </c>
      <c r="AD53" s="51">
        <v>59.3</v>
      </c>
      <c r="AE53" s="51">
        <v>14</v>
      </c>
      <c r="AF53" s="51">
        <v>20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4.5999999999999996</v>
      </c>
      <c r="C54" s="49">
        <v>4.7</v>
      </c>
      <c r="D54" s="49">
        <v>4.7</v>
      </c>
      <c r="E54" s="49">
        <v>0</v>
      </c>
      <c r="F54" s="49">
        <v>0</v>
      </c>
      <c r="G54" s="49">
        <v>0</v>
      </c>
      <c r="H54" s="49">
        <v>4</v>
      </c>
      <c r="I54" s="49">
        <v>4</v>
      </c>
      <c r="J54" s="49">
        <v>4</v>
      </c>
      <c r="K54" s="49">
        <v>26.4</v>
      </c>
      <c r="L54" s="49">
        <v>30.3</v>
      </c>
      <c r="M54" s="49">
        <v>24</v>
      </c>
      <c r="N54" s="49">
        <v>17</v>
      </c>
      <c r="O54" s="49">
        <v>31.5</v>
      </c>
      <c r="P54" s="49">
        <v>31.7</v>
      </c>
      <c r="Q54" s="49">
        <v>19.399999999999999</v>
      </c>
      <c r="R54" s="49">
        <v>17.600000000000001</v>
      </c>
      <c r="S54" s="49">
        <v>24.1</v>
      </c>
      <c r="T54" s="49">
        <v>30</v>
      </c>
      <c r="U54" s="49">
        <v>30</v>
      </c>
      <c r="V54" s="49">
        <v>18</v>
      </c>
      <c r="W54" s="49">
        <v>9.5</v>
      </c>
      <c r="X54" s="49">
        <v>9.8000000000000007</v>
      </c>
      <c r="Y54" s="49">
        <v>9.8000000000000007</v>
      </c>
      <c r="Z54" s="49">
        <v>9.1</v>
      </c>
      <c r="AA54" s="49">
        <v>29.5</v>
      </c>
      <c r="AB54" s="49">
        <v>29.5</v>
      </c>
      <c r="AC54" s="49">
        <v>29.5</v>
      </c>
      <c r="AD54" s="49">
        <v>29.5</v>
      </c>
      <c r="AE54" s="49">
        <v>14</v>
      </c>
      <c r="AF54" s="49">
        <v>5</v>
      </c>
      <c r="AG54" s="64">
        <v>32</v>
      </c>
      <c r="AH54" s="55">
        <f t="shared" si="2"/>
        <v>31.7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1.7</v>
      </c>
      <c r="C55" s="75">
        <v>1.7</v>
      </c>
      <c r="D55" s="75">
        <v>1.7</v>
      </c>
      <c r="E55" s="75">
        <v>0</v>
      </c>
      <c r="F55" s="75">
        <v>0</v>
      </c>
      <c r="G55" s="75">
        <v>0</v>
      </c>
      <c r="H55" s="75">
        <v>2</v>
      </c>
      <c r="I55" s="75">
        <v>2</v>
      </c>
      <c r="J55" s="75">
        <v>2</v>
      </c>
      <c r="K55" s="75">
        <v>9.6999999999999993</v>
      </c>
      <c r="L55" s="75">
        <v>11</v>
      </c>
      <c r="M55" s="75">
        <v>9</v>
      </c>
      <c r="N55" s="75">
        <v>6.2</v>
      </c>
      <c r="O55" s="75">
        <v>11.5</v>
      </c>
      <c r="P55" s="75">
        <v>11.6</v>
      </c>
      <c r="Q55" s="75">
        <v>7.1</v>
      </c>
      <c r="R55" s="75">
        <v>6.4</v>
      </c>
      <c r="S55" s="75">
        <v>8.8000000000000007</v>
      </c>
      <c r="T55" s="75">
        <v>10.8</v>
      </c>
      <c r="U55" s="75">
        <v>10.8</v>
      </c>
      <c r="V55" s="75">
        <v>8.6</v>
      </c>
      <c r="W55" s="75">
        <v>3.5</v>
      </c>
      <c r="X55" s="75">
        <v>3.6</v>
      </c>
      <c r="Y55" s="75">
        <v>3.6</v>
      </c>
      <c r="Z55" s="75">
        <v>3.3</v>
      </c>
      <c r="AA55" s="75">
        <v>10.8</v>
      </c>
      <c r="AB55" s="75">
        <v>10.8</v>
      </c>
      <c r="AC55" s="75">
        <v>10.8</v>
      </c>
      <c r="AD55" s="75">
        <v>10.8</v>
      </c>
      <c r="AE55" s="75">
        <v>5</v>
      </c>
      <c r="AF55" s="75">
        <v>2</v>
      </c>
      <c r="AG55" s="76">
        <v>14</v>
      </c>
      <c r="AH55" s="55">
        <f t="shared" si="2"/>
        <v>11.6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7">SUM(B53:B55)</f>
        <v>20.3</v>
      </c>
      <c r="C56" s="70">
        <f t="shared" si="7"/>
        <v>16.399999999999999</v>
      </c>
      <c r="D56" s="70">
        <f t="shared" si="7"/>
        <v>16.399999999999999</v>
      </c>
      <c r="E56" s="70">
        <f t="shared" si="7"/>
        <v>0</v>
      </c>
      <c r="F56" s="70">
        <f t="shared" si="7"/>
        <v>0</v>
      </c>
      <c r="G56" s="70">
        <f t="shared" si="7"/>
        <v>0</v>
      </c>
      <c r="H56" s="70">
        <f t="shared" si="7"/>
        <v>16</v>
      </c>
      <c r="I56" s="70">
        <f t="shared" si="7"/>
        <v>16</v>
      </c>
      <c r="J56" s="70">
        <f t="shared" si="7"/>
        <v>16</v>
      </c>
      <c r="K56" s="70">
        <f t="shared" si="7"/>
        <v>80.7</v>
      </c>
      <c r="L56" s="70">
        <f t="shared" si="7"/>
        <v>101.3</v>
      </c>
      <c r="M56" s="70">
        <f t="shared" si="7"/>
        <v>83</v>
      </c>
      <c r="N56" s="70">
        <f t="shared" si="7"/>
        <v>53</v>
      </c>
      <c r="O56" s="70">
        <f t="shared" si="7"/>
        <v>102.8</v>
      </c>
      <c r="P56" s="70">
        <f t="shared" si="7"/>
        <v>103.3</v>
      </c>
      <c r="Q56" s="70">
        <f t="shared" si="7"/>
        <v>65.8</v>
      </c>
      <c r="R56" s="70">
        <f t="shared" si="7"/>
        <v>77.300000000000011</v>
      </c>
      <c r="S56" s="70">
        <f t="shared" si="7"/>
        <v>82.399999999999991</v>
      </c>
      <c r="T56" s="70">
        <f t="shared" si="7"/>
        <v>100.8</v>
      </c>
      <c r="U56" s="70">
        <f t="shared" si="7"/>
        <v>100.8</v>
      </c>
      <c r="V56" s="70">
        <f t="shared" si="7"/>
        <v>66.599999999999994</v>
      </c>
      <c r="W56" s="70">
        <f t="shared" si="7"/>
        <v>33</v>
      </c>
      <c r="X56" s="70">
        <f t="shared" si="7"/>
        <v>27.6</v>
      </c>
      <c r="Y56" s="70">
        <f t="shared" si="7"/>
        <v>27.6</v>
      </c>
      <c r="Z56" s="70">
        <f t="shared" si="7"/>
        <v>26</v>
      </c>
      <c r="AA56" s="70">
        <f t="shared" si="7"/>
        <v>99.6</v>
      </c>
      <c r="AB56" s="70">
        <f t="shared" si="7"/>
        <v>99.6</v>
      </c>
      <c r="AC56" s="70">
        <f t="shared" si="7"/>
        <v>99.6</v>
      </c>
      <c r="AD56" s="70">
        <f t="shared" si="7"/>
        <v>99.6</v>
      </c>
      <c r="AE56" s="70">
        <f t="shared" si="7"/>
        <v>33</v>
      </c>
      <c r="AF56" s="70">
        <f t="shared" si="7"/>
        <v>27</v>
      </c>
      <c r="AG56" s="74">
        <f>SUM(AG53:AG55)</f>
        <v>106</v>
      </c>
      <c r="AH56" s="55">
        <f t="shared" si="2"/>
        <v>103.3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7.3</v>
      </c>
      <c r="C57" s="51">
        <v>7</v>
      </c>
      <c r="D57" s="51">
        <v>8</v>
      </c>
      <c r="E57" s="51">
        <v>19</v>
      </c>
      <c r="F57" s="51">
        <v>22</v>
      </c>
      <c r="G57" s="51">
        <v>5</v>
      </c>
      <c r="H57" s="51">
        <v>12</v>
      </c>
      <c r="I57" s="51">
        <v>12.9</v>
      </c>
      <c r="J57" s="51">
        <v>12.7</v>
      </c>
      <c r="K57" s="51">
        <v>20</v>
      </c>
      <c r="L57" s="51">
        <v>52</v>
      </c>
      <c r="M57" s="51">
        <v>46.5</v>
      </c>
      <c r="N57" s="51">
        <v>57.5</v>
      </c>
      <c r="O57" s="51">
        <v>68.099999999999994</v>
      </c>
      <c r="P57" s="51">
        <v>70.7</v>
      </c>
      <c r="Q57" s="51">
        <v>64.400000000000006</v>
      </c>
      <c r="R57" s="51">
        <v>76.2</v>
      </c>
      <c r="S57" s="51">
        <v>66.3</v>
      </c>
      <c r="T57" s="51">
        <v>65.8</v>
      </c>
      <c r="U57" s="51">
        <v>65.400000000000006</v>
      </c>
      <c r="V57" s="51">
        <v>58.6</v>
      </c>
      <c r="W57" s="51">
        <v>52.1</v>
      </c>
      <c r="X57" s="51">
        <v>51</v>
      </c>
      <c r="Y57" s="51">
        <v>49.5</v>
      </c>
      <c r="Z57" s="51">
        <v>48.8</v>
      </c>
      <c r="AA57" s="51">
        <v>56.8</v>
      </c>
      <c r="AB57" s="51">
        <v>47</v>
      </c>
      <c r="AC57" s="51">
        <v>49</v>
      </c>
      <c r="AD57" s="51">
        <v>51</v>
      </c>
      <c r="AE57" s="51">
        <v>52</v>
      </c>
      <c r="AF57" s="51">
        <v>46</v>
      </c>
      <c r="AG57" s="60"/>
      <c r="AH57" s="55">
        <f t="shared" si="2"/>
        <v>76.2</v>
      </c>
      <c r="AI57" s="56">
        <f t="shared" si="3"/>
        <v>5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-390</v>
      </c>
      <c r="C59" s="49">
        <v>-406.4</v>
      </c>
      <c r="D59" s="49">
        <v>-403.2</v>
      </c>
      <c r="E59" s="49">
        <v>-413</v>
      </c>
      <c r="F59" s="49">
        <v>-380</v>
      </c>
      <c r="G59" s="49">
        <v>-369</v>
      </c>
      <c r="H59" s="49">
        <v>-381</v>
      </c>
      <c r="I59" s="49">
        <v>-383</v>
      </c>
      <c r="J59" s="49">
        <v>-365</v>
      </c>
      <c r="K59" s="49">
        <v>-367</v>
      </c>
      <c r="L59" s="49">
        <v>-330</v>
      </c>
      <c r="M59" s="49">
        <v>-362</v>
      </c>
      <c r="N59" s="49">
        <v>-362</v>
      </c>
      <c r="O59" s="49">
        <v>-356</v>
      </c>
      <c r="P59" s="49">
        <v>-317</v>
      </c>
      <c r="Q59" s="49">
        <v>-368</v>
      </c>
      <c r="R59" s="49">
        <v>-361</v>
      </c>
      <c r="S59" s="49">
        <v>-363</v>
      </c>
      <c r="T59" s="49">
        <v>-215</v>
      </c>
      <c r="U59" s="49">
        <v>-288</v>
      </c>
      <c r="V59" s="49">
        <v>-378</v>
      </c>
      <c r="W59" s="49">
        <v>-372</v>
      </c>
      <c r="X59" s="49">
        <v>-386</v>
      </c>
      <c r="Y59" s="49">
        <v>-416</v>
      </c>
      <c r="Z59" s="49">
        <v>-320</v>
      </c>
      <c r="AA59" s="49">
        <v>-292</v>
      </c>
      <c r="AB59" s="49">
        <v>-252</v>
      </c>
      <c r="AC59" s="49">
        <v>-245</v>
      </c>
      <c r="AD59" s="49">
        <v>-280</v>
      </c>
      <c r="AE59" s="49">
        <v>-320</v>
      </c>
      <c r="AF59" s="49">
        <v>-364</v>
      </c>
      <c r="AG59" s="77"/>
      <c r="AH59" s="55">
        <f t="shared" si="2"/>
        <v>-215</v>
      </c>
      <c r="AI59" s="56">
        <f t="shared" si="3"/>
        <v>-416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78">
        <v>0</v>
      </c>
      <c r="C61" s="78">
        <v>0</v>
      </c>
      <c r="D61" s="78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8">
        <v>0</v>
      </c>
      <c r="C62" s="78">
        <v>0</v>
      </c>
      <c r="D62" s="78">
        <v>0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9">
        <v>0</v>
      </c>
      <c r="R62" s="79">
        <v>0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8</v>
      </c>
      <c r="AF62" s="79">
        <v>4</v>
      </c>
      <c r="AG62" s="77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3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78">
        <v>0</v>
      </c>
      <c r="C66" s="78">
        <v>0</v>
      </c>
      <c r="D66" s="78">
        <v>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78">
        <v>0</v>
      </c>
      <c r="C67" s="78">
        <v>0</v>
      </c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7.3</v>
      </c>
      <c r="C68" s="70">
        <f t="shared" ref="C68:AF68" si="8">SUMIF(C57:C67,"&gt;0")</f>
        <v>7</v>
      </c>
      <c r="D68" s="70">
        <f t="shared" si="8"/>
        <v>8</v>
      </c>
      <c r="E68" s="70">
        <f t="shared" si="8"/>
        <v>19</v>
      </c>
      <c r="F68" s="70">
        <f t="shared" si="8"/>
        <v>22</v>
      </c>
      <c r="G68" s="70">
        <f t="shared" si="8"/>
        <v>5</v>
      </c>
      <c r="H68" s="70">
        <f t="shared" si="8"/>
        <v>12</v>
      </c>
      <c r="I68" s="70">
        <f t="shared" si="8"/>
        <v>12.9</v>
      </c>
      <c r="J68" s="70">
        <f t="shared" si="8"/>
        <v>12.7</v>
      </c>
      <c r="K68" s="70">
        <f t="shared" si="8"/>
        <v>20</v>
      </c>
      <c r="L68" s="70">
        <f t="shared" si="8"/>
        <v>52</v>
      </c>
      <c r="M68" s="70">
        <f t="shared" si="8"/>
        <v>46.5</v>
      </c>
      <c r="N68" s="70">
        <f t="shared" si="8"/>
        <v>57.5</v>
      </c>
      <c r="O68" s="70">
        <f t="shared" si="8"/>
        <v>68.099999999999994</v>
      </c>
      <c r="P68" s="70">
        <f t="shared" si="8"/>
        <v>70.7</v>
      </c>
      <c r="Q68" s="70">
        <f t="shared" si="8"/>
        <v>64.400000000000006</v>
      </c>
      <c r="R68" s="70">
        <f t="shared" si="8"/>
        <v>76.2</v>
      </c>
      <c r="S68" s="70">
        <f t="shared" si="8"/>
        <v>71.3</v>
      </c>
      <c r="T68" s="70">
        <f t="shared" si="8"/>
        <v>70.8</v>
      </c>
      <c r="U68" s="70">
        <f t="shared" si="8"/>
        <v>70.400000000000006</v>
      </c>
      <c r="V68" s="70">
        <f t="shared" si="8"/>
        <v>63.6</v>
      </c>
      <c r="W68" s="70">
        <f t="shared" si="8"/>
        <v>57.1</v>
      </c>
      <c r="X68" s="70">
        <f t="shared" si="8"/>
        <v>56</v>
      </c>
      <c r="Y68" s="70">
        <f t="shared" si="8"/>
        <v>54.5</v>
      </c>
      <c r="Z68" s="70">
        <f t="shared" si="8"/>
        <v>53.8</v>
      </c>
      <c r="AA68" s="70">
        <f t="shared" si="8"/>
        <v>61.8</v>
      </c>
      <c r="AB68" s="70">
        <f t="shared" si="8"/>
        <v>52</v>
      </c>
      <c r="AC68" s="70">
        <f t="shared" si="8"/>
        <v>54</v>
      </c>
      <c r="AD68" s="70">
        <f t="shared" si="8"/>
        <v>56</v>
      </c>
      <c r="AE68" s="70">
        <f t="shared" si="8"/>
        <v>60</v>
      </c>
      <c r="AF68" s="70">
        <f t="shared" si="8"/>
        <v>50</v>
      </c>
      <c r="AG68" s="74">
        <f>SUM(AG57:AG67)</f>
        <v>0</v>
      </c>
      <c r="AH68" s="55">
        <f t="shared" si="2"/>
        <v>76.2</v>
      </c>
      <c r="AI68" s="56">
        <f t="shared" si="3"/>
        <v>5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1704.5400000000002</v>
      </c>
      <c r="C73" s="84">
        <f t="shared" ref="C73:AF73" si="9">C38+C52+C68+C72</f>
        <v>1704.0400000000002</v>
      </c>
      <c r="D73" s="84">
        <f t="shared" si="9"/>
        <v>1699.44</v>
      </c>
      <c r="E73" s="84">
        <f t="shared" si="9"/>
        <v>1681.14</v>
      </c>
      <c r="F73" s="84">
        <f t="shared" si="9"/>
        <v>1632.7400000000002</v>
      </c>
      <c r="G73" s="84">
        <f t="shared" si="9"/>
        <v>1632.94</v>
      </c>
      <c r="H73" s="84">
        <f t="shared" si="9"/>
        <v>1655.94</v>
      </c>
      <c r="I73" s="84">
        <f t="shared" si="9"/>
        <v>1636.0400000000002</v>
      </c>
      <c r="J73" s="84">
        <f t="shared" si="9"/>
        <v>1629.8400000000001</v>
      </c>
      <c r="K73" s="84">
        <f t="shared" si="9"/>
        <v>1644.14</v>
      </c>
      <c r="L73" s="84">
        <f t="shared" si="9"/>
        <v>1675.94</v>
      </c>
      <c r="M73" s="84">
        <f t="shared" si="9"/>
        <v>1725.5400000000002</v>
      </c>
      <c r="N73" s="84">
        <f t="shared" si="9"/>
        <v>1754.2400000000002</v>
      </c>
      <c r="O73" s="84">
        <f t="shared" si="9"/>
        <v>1735.8400000000001</v>
      </c>
      <c r="P73" s="84">
        <f t="shared" si="9"/>
        <v>1734.4400000000003</v>
      </c>
      <c r="Q73" s="84">
        <f t="shared" si="9"/>
        <v>1746.34</v>
      </c>
      <c r="R73" s="84">
        <f t="shared" si="9"/>
        <v>1754.5399999999997</v>
      </c>
      <c r="S73" s="84">
        <f t="shared" si="9"/>
        <v>1775.8399999999997</v>
      </c>
      <c r="T73" s="84">
        <f t="shared" si="9"/>
        <v>1690.7399999999998</v>
      </c>
      <c r="U73" s="84">
        <f t="shared" si="9"/>
        <v>1620.4400000000003</v>
      </c>
      <c r="V73" s="84">
        <f t="shared" si="9"/>
        <v>1632.1399999999999</v>
      </c>
      <c r="W73" s="84">
        <f t="shared" si="9"/>
        <v>1750.5399999999997</v>
      </c>
      <c r="X73" s="84">
        <f t="shared" si="9"/>
        <v>1759.74</v>
      </c>
      <c r="Y73" s="84">
        <f t="shared" si="9"/>
        <v>1752.6399999999999</v>
      </c>
      <c r="Z73" s="84">
        <f t="shared" si="9"/>
        <v>1751.9399999999998</v>
      </c>
      <c r="AA73" s="84">
        <f t="shared" si="9"/>
        <v>1762.84</v>
      </c>
      <c r="AB73" s="84">
        <f t="shared" si="9"/>
        <v>1752.94</v>
      </c>
      <c r="AC73" s="84">
        <f t="shared" si="9"/>
        <v>1745.1399999999999</v>
      </c>
      <c r="AD73" s="84">
        <f t="shared" si="9"/>
        <v>1754.1399999999999</v>
      </c>
      <c r="AE73" s="84">
        <f t="shared" si="9"/>
        <v>1760.1399999999999</v>
      </c>
      <c r="AF73" s="84">
        <f t="shared" si="9"/>
        <v>1750.1399999999999</v>
      </c>
      <c r="AG73" s="84">
        <f t="shared" ref="AG73" si="10">AG68+AG56+AG52+AG38+AG72</f>
        <v>2144.14</v>
      </c>
      <c r="AH73" s="55">
        <f t="shared" si="2"/>
        <v>1775.8399999999997</v>
      </c>
      <c r="AI73" s="56">
        <f t="shared" si="3"/>
        <v>1620.4400000000003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1704.5400000000002</v>
      </c>
      <c r="C75" s="84">
        <f t="shared" ref="C75:AF75" si="11">C73+C74</f>
        <v>1704.0400000000002</v>
      </c>
      <c r="D75" s="84">
        <f t="shared" si="11"/>
        <v>1699.44</v>
      </c>
      <c r="E75" s="84">
        <f t="shared" si="11"/>
        <v>1681.14</v>
      </c>
      <c r="F75" s="84">
        <f t="shared" si="11"/>
        <v>1632.7400000000002</v>
      </c>
      <c r="G75" s="84">
        <f t="shared" si="11"/>
        <v>1632.94</v>
      </c>
      <c r="H75" s="84">
        <f t="shared" si="11"/>
        <v>1655.94</v>
      </c>
      <c r="I75" s="84">
        <f t="shared" si="11"/>
        <v>1636.0400000000002</v>
      </c>
      <c r="J75" s="84">
        <f t="shared" si="11"/>
        <v>1629.8400000000001</v>
      </c>
      <c r="K75" s="84">
        <f t="shared" si="11"/>
        <v>1644.14</v>
      </c>
      <c r="L75" s="84">
        <f t="shared" si="11"/>
        <v>1675.94</v>
      </c>
      <c r="M75" s="84">
        <f t="shared" si="11"/>
        <v>1725.5400000000002</v>
      </c>
      <c r="N75" s="84">
        <f t="shared" si="11"/>
        <v>1754.2400000000002</v>
      </c>
      <c r="O75" s="84">
        <f t="shared" si="11"/>
        <v>1735.8400000000001</v>
      </c>
      <c r="P75" s="84">
        <f t="shared" si="11"/>
        <v>1734.4400000000003</v>
      </c>
      <c r="Q75" s="84">
        <f t="shared" si="11"/>
        <v>1746.34</v>
      </c>
      <c r="R75" s="84">
        <f t="shared" si="11"/>
        <v>1754.5399999999997</v>
      </c>
      <c r="S75" s="84">
        <f t="shared" si="11"/>
        <v>1775.8399999999997</v>
      </c>
      <c r="T75" s="84">
        <f t="shared" si="11"/>
        <v>1690.7399999999998</v>
      </c>
      <c r="U75" s="84">
        <f t="shared" si="11"/>
        <v>1620.4400000000003</v>
      </c>
      <c r="V75" s="84">
        <f t="shared" si="11"/>
        <v>1632.1399999999999</v>
      </c>
      <c r="W75" s="84">
        <f t="shared" si="11"/>
        <v>1750.5399999999997</v>
      </c>
      <c r="X75" s="84">
        <f t="shared" si="11"/>
        <v>1759.74</v>
      </c>
      <c r="Y75" s="84">
        <f t="shared" si="11"/>
        <v>1752.6399999999999</v>
      </c>
      <c r="Z75" s="84">
        <f t="shared" si="11"/>
        <v>1751.9399999999998</v>
      </c>
      <c r="AA75" s="84">
        <f t="shared" si="11"/>
        <v>1762.84</v>
      </c>
      <c r="AB75" s="84">
        <f t="shared" si="11"/>
        <v>1752.94</v>
      </c>
      <c r="AC75" s="84">
        <f t="shared" si="11"/>
        <v>1745.1399999999999</v>
      </c>
      <c r="AD75" s="84">
        <f t="shared" si="11"/>
        <v>1754.1399999999999</v>
      </c>
      <c r="AE75" s="84">
        <f t="shared" si="11"/>
        <v>1760.1399999999999</v>
      </c>
      <c r="AF75" s="84">
        <f t="shared" si="11"/>
        <v>1750.1399999999999</v>
      </c>
      <c r="AG75" s="74">
        <f>AG72+AG68+AG56+AG52+AG38+AG74</f>
        <v>2144.14</v>
      </c>
      <c r="AH75" s="55">
        <f t="shared" si="2"/>
        <v>1775.8399999999997</v>
      </c>
      <c r="AI75" s="56">
        <f t="shared" si="3"/>
        <v>1620.4400000000003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2">IF(C60&lt;0,C60*-1,0)</f>
        <v>0</v>
      </c>
      <c r="D76" s="78">
        <f t="shared" si="12"/>
        <v>0</v>
      </c>
      <c r="E76" s="78">
        <f t="shared" si="12"/>
        <v>0</v>
      </c>
      <c r="F76" s="78">
        <f t="shared" si="12"/>
        <v>0</v>
      </c>
      <c r="G76" s="78">
        <f t="shared" si="12"/>
        <v>0</v>
      </c>
      <c r="H76" s="78">
        <f t="shared" si="12"/>
        <v>0</v>
      </c>
      <c r="I76" s="78">
        <f t="shared" si="12"/>
        <v>0</v>
      </c>
      <c r="J76" s="78">
        <f t="shared" si="12"/>
        <v>0</v>
      </c>
      <c r="K76" s="78">
        <f t="shared" si="12"/>
        <v>0</v>
      </c>
      <c r="L76" s="78">
        <f t="shared" si="12"/>
        <v>0</v>
      </c>
      <c r="M76" s="78">
        <f t="shared" si="12"/>
        <v>0</v>
      </c>
      <c r="N76" s="78">
        <f t="shared" si="12"/>
        <v>0</v>
      </c>
      <c r="O76" s="78">
        <f t="shared" si="12"/>
        <v>0</v>
      </c>
      <c r="P76" s="78">
        <f t="shared" si="12"/>
        <v>0</v>
      </c>
      <c r="Q76" s="78">
        <f t="shared" si="12"/>
        <v>0</v>
      </c>
      <c r="R76" s="78">
        <f t="shared" si="12"/>
        <v>0</v>
      </c>
      <c r="S76" s="78">
        <f t="shared" si="12"/>
        <v>0</v>
      </c>
      <c r="T76" s="78">
        <f t="shared" si="12"/>
        <v>0</v>
      </c>
      <c r="U76" s="78">
        <f t="shared" si="12"/>
        <v>0</v>
      </c>
      <c r="V76" s="78">
        <f t="shared" si="12"/>
        <v>0</v>
      </c>
      <c r="W76" s="78">
        <f t="shared" si="12"/>
        <v>0</v>
      </c>
      <c r="X76" s="78">
        <f t="shared" si="12"/>
        <v>0</v>
      </c>
      <c r="Y76" s="78">
        <f t="shared" si="12"/>
        <v>0</v>
      </c>
      <c r="Z76" s="78">
        <f t="shared" si="12"/>
        <v>0</v>
      </c>
      <c r="AA76" s="78">
        <f t="shared" si="12"/>
        <v>0</v>
      </c>
      <c r="AB76" s="78">
        <f t="shared" si="12"/>
        <v>0</v>
      </c>
      <c r="AC76" s="78">
        <f t="shared" si="12"/>
        <v>0</v>
      </c>
      <c r="AD76" s="78">
        <f t="shared" si="12"/>
        <v>0</v>
      </c>
      <c r="AE76" s="78">
        <f t="shared" si="12"/>
        <v>0</v>
      </c>
      <c r="AF76" s="78">
        <f t="shared" si="12"/>
        <v>0</v>
      </c>
      <c r="AG76" s="60"/>
      <c r="AH76" s="55">
        <f t="shared" ref="AH76:AH91" si="13">MAX(B76:AF76)</f>
        <v>0</v>
      </c>
      <c r="AI76" s="56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5">IF(C58&lt;0,C58*-1,0)</f>
        <v>0</v>
      </c>
      <c r="D77" s="78">
        <f t="shared" si="15"/>
        <v>0</v>
      </c>
      <c r="E77" s="78">
        <f t="shared" si="15"/>
        <v>0</v>
      </c>
      <c r="F77" s="78">
        <f t="shared" si="15"/>
        <v>0</v>
      </c>
      <c r="G77" s="78">
        <f t="shared" si="15"/>
        <v>0</v>
      </c>
      <c r="H77" s="78">
        <f t="shared" si="15"/>
        <v>0</v>
      </c>
      <c r="I77" s="78">
        <f t="shared" si="15"/>
        <v>0</v>
      </c>
      <c r="J77" s="78">
        <f t="shared" si="15"/>
        <v>0</v>
      </c>
      <c r="K77" s="78">
        <f t="shared" si="15"/>
        <v>0</v>
      </c>
      <c r="L77" s="78">
        <f t="shared" si="15"/>
        <v>0</v>
      </c>
      <c r="M77" s="78">
        <f t="shared" si="15"/>
        <v>0</v>
      </c>
      <c r="N77" s="78">
        <f t="shared" si="15"/>
        <v>0</v>
      </c>
      <c r="O77" s="78">
        <f t="shared" si="15"/>
        <v>0</v>
      </c>
      <c r="P77" s="78">
        <f t="shared" si="15"/>
        <v>0</v>
      </c>
      <c r="Q77" s="78">
        <f t="shared" si="15"/>
        <v>0</v>
      </c>
      <c r="R77" s="78">
        <f t="shared" si="15"/>
        <v>0</v>
      </c>
      <c r="S77" s="78">
        <f t="shared" si="15"/>
        <v>0</v>
      </c>
      <c r="T77" s="78">
        <f t="shared" si="15"/>
        <v>0</v>
      </c>
      <c r="U77" s="78">
        <f t="shared" si="15"/>
        <v>0</v>
      </c>
      <c r="V77" s="78">
        <f t="shared" si="15"/>
        <v>0</v>
      </c>
      <c r="W77" s="78">
        <f t="shared" si="15"/>
        <v>0</v>
      </c>
      <c r="X77" s="78">
        <f t="shared" si="15"/>
        <v>0</v>
      </c>
      <c r="Y77" s="78">
        <f t="shared" si="15"/>
        <v>0</v>
      </c>
      <c r="Z77" s="78">
        <f t="shared" si="15"/>
        <v>0</v>
      </c>
      <c r="AA77" s="78">
        <f t="shared" si="15"/>
        <v>0</v>
      </c>
      <c r="AB77" s="78">
        <f t="shared" si="15"/>
        <v>0</v>
      </c>
      <c r="AC77" s="78">
        <f t="shared" si="15"/>
        <v>0</v>
      </c>
      <c r="AD77" s="78">
        <f t="shared" si="15"/>
        <v>0</v>
      </c>
      <c r="AE77" s="78">
        <f t="shared" si="15"/>
        <v>0</v>
      </c>
      <c r="AF77" s="78">
        <f t="shared" si="15"/>
        <v>0</v>
      </c>
      <c r="AG77" s="64"/>
      <c r="AH77" s="55">
        <f t="shared" si="13"/>
        <v>0</v>
      </c>
      <c r="AI77" s="56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6">IF(C61&lt;0,C61*-1,0)</f>
        <v>0</v>
      </c>
      <c r="D78" s="78">
        <f t="shared" si="16"/>
        <v>0</v>
      </c>
      <c r="E78" s="78">
        <f t="shared" si="16"/>
        <v>0</v>
      </c>
      <c r="F78" s="78">
        <f t="shared" si="16"/>
        <v>0</v>
      </c>
      <c r="G78" s="78">
        <f t="shared" si="16"/>
        <v>0</v>
      </c>
      <c r="H78" s="78">
        <f t="shared" si="16"/>
        <v>0</v>
      </c>
      <c r="I78" s="78">
        <f t="shared" si="16"/>
        <v>0</v>
      </c>
      <c r="J78" s="78">
        <f t="shared" si="16"/>
        <v>0</v>
      </c>
      <c r="K78" s="78">
        <f t="shared" si="16"/>
        <v>0</v>
      </c>
      <c r="L78" s="78">
        <f t="shared" si="16"/>
        <v>0</v>
      </c>
      <c r="M78" s="78">
        <f t="shared" si="16"/>
        <v>0</v>
      </c>
      <c r="N78" s="78">
        <f t="shared" si="16"/>
        <v>0</v>
      </c>
      <c r="O78" s="78">
        <f t="shared" si="16"/>
        <v>0</v>
      </c>
      <c r="P78" s="78">
        <f t="shared" si="16"/>
        <v>0</v>
      </c>
      <c r="Q78" s="78">
        <f t="shared" si="16"/>
        <v>0</v>
      </c>
      <c r="R78" s="78">
        <f t="shared" si="16"/>
        <v>0</v>
      </c>
      <c r="S78" s="78">
        <f t="shared" si="16"/>
        <v>0</v>
      </c>
      <c r="T78" s="78">
        <f t="shared" si="16"/>
        <v>0</v>
      </c>
      <c r="U78" s="78">
        <f t="shared" si="16"/>
        <v>0</v>
      </c>
      <c r="V78" s="78">
        <f t="shared" si="16"/>
        <v>0</v>
      </c>
      <c r="W78" s="78">
        <f t="shared" si="16"/>
        <v>0</v>
      </c>
      <c r="X78" s="78">
        <f t="shared" si="16"/>
        <v>0</v>
      </c>
      <c r="Y78" s="78">
        <f t="shared" si="16"/>
        <v>0</v>
      </c>
      <c r="Z78" s="78">
        <f t="shared" si="16"/>
        <v>0</v>
      </c>
      <c r="AA78" s="78">
        <f t="shared" si="16"/>
        <v>0</v>
      </c>
      <c r="AB78" s="78">
        <f t="shared" si="16"/>
        <v>0</v>
      </c>
      <c r="AC78" s="78">
        <f t="shared" si="16"/>
        <v>0</v>
      </c>
      <c r="AD78" s="78">
        <f t="shared" si="16"/>
        <v>0</v>
      </c>
      <c r="AE78" s="78">
        <f t="shared" si="16"/>
        <v>0</v>
      </c>
      <c r="AF78" s="78">
        <f t="shared" si="16"/>
        <v>0</v>
      </c>
      <c r="AG78" s="87"/>
      <c r="AH78" s="55">
        <f t="shared" si="13"/>
        <v>0</v>
      </c>
      <c r="AI78" s="56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390</v>
      </c>
      <c r="C79" s="78">
        <f t="shared" ref="C79:AF79" si="17">IF(C59&lt;0,C59*-1,0)</f>
        <v>406.4</v>
      </c>
      <c r="D79" s="78">
        <f t="shared" si="17"/>
        <v>403.2</v>
      </c>
      <c r="E79" s="78">
        <f t="shared" si="17"/>
        <v>413</v>
      </c>
      <c r="F79" s="78">
        <f t="shared" si="17"/>
        <v>380</v>
      </c>
      <c r="G79" s="78">
        <f t="shared" si="17"/>
        <v>369</v>
      </c>
      <c r="H79" s="78">
        <f t="shared" si="17"/>
        <v>381</v>
      </c>
      <c r="I79" s="78">
        <f t="shared" si="17"/>
        <v>383</v>
      </c>
      <c r="J79" s="78">
        <f t="shared" si="17"/>
        <v>365</v>
      </c>
      <c r="K79" s="78">
        <f t="shared" si="17"/>
        <v>367</v>
      </c>
      <c r="L79" s="78">
        <f t="shared" si="17"/>
        <v>330</v>
      </c>
      <c r="M79" s="78">
        <f t="shared" si="17"/>
        <v>362</v>
      </c>
      <c r="N79" s="78">
        <f t="shared" si="17"/>
        <v>362</v>
      </c>
      <c r="O79" s="78">
        <f t="shared" si="17"/>
        <v>356</v>
      </c>
      <c r="P79" s="78">
        <f t="shared" si="17"/>
        <v>317</v>
      </c>
      <c r="Q79" s="78">
        <f t="shared" si="17"/>
        <v>368</v>
      </c>
      <c r="R79" s="78">
        <f t="shared" si="17"/>
        <v>361</v>
      </c>
      <c r="S79" s="78">
        <f t="shared" si="17"/>
        <v>363</v>
      </c>
      <c r="T79" s="78">
        <f t="shared" si="17"/>
        <v>215</v>
      </c>
      <c r="U79" s="78">
        <f t="shared" si="17"/>
        <v>288</v>
      </c>
      <c r="V79" s="78">
        <f t="shared" si="17"/>
        <v>378</v>
      </c>
      <c r="W79" s="78">
        <f t="shared" si="17"/>
        <v>372</v>
      </c>
      <c r="X79" s="78">
        <f t="shared" si="17"/>
        <v>386</v>
      </c>
      <c r="Y79" s="78">
        <f t="shared" si="17"/>
        <v>416</v>
      </c>
      <c r="Z79" s="78">
        <f t="shared" si="17"/>
        <v>320</v>
      </c>
      <c r="AA79" s="78">
        <f t="shared" si="17"/>
        <v>292</v>
      </c>
      <c r="AB79" s="78">
        <f t="shared" si="17"/>
        <v>252</v>
      </c>
      <c r="AC79" s="78">
        <f t="shared" si="17"/>
        <v>245</v>
      </c>
      <c r="AD79" s="78">
        <f t="shared" si="17"/>
        <v>280</v>
      </c>
      <c r="AE79" s="78">
        <f t="shared" si="17"/>
        <v>320</v>
      </c>
      <c r="AF79" s="78">
        <f t="shared" si="17"/>
        <v>364</v>
      </c>
      <c r="AG79" s="87"/>
      <c r="AH79" s="55">
        <f t="shared" si="13"/>
        <v>416</v>
      </c>
      <c r="AI79" s="56">
        <f t="shared" si="14"/>
        <v>215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18">IF(C57&lt;0,C57*-1,0)</f>
        <v>0</v>
      </c>
      <c r="D80" s="78">
        <f t="shared" si="18"/>
        <v>0</v>
      </c>
      <c r="E80" s="78">
        <f t="shared" si="18"/>
        <v>0</v>
      </c>
      <c r="F80" s="78">
        <f t="shared" si="18"/>
        <v>0</v>
      </c>
      <c r="G80" s="78">
        <f t="shared" si="18"/>
        <v>0</v>
      </c>
      <c r="H80" s="78">
        <f t="shared" si="18"/>
        <v>0</v>
      </c>
      <c r="I80" s="78">
        <f t="shared" si="18"/>
        <v>0</v>
      </c>
      <c r="J80" s="78">
        <f t="shared" si="18"/>
        <v>0</v>
      </c>
      <c r="K80" s="78">
        <f t="shared" si="18"/>
        <v>0</v>
      </c>
      <c r="L80" s="78">
        <f t="shared" si="18"/>
        <v>0</v>
      </c>
      <c r="M80" s="78">
        <f t="shared" si="18"/>
        <v>0</v>
      </c>
      <c r="N80" s="78">
        <f t="shared" si="18"/>
        <v>0</v>
      </c>
      <c r="O80" s="78">
        <f t="shared" si="18"/>
        <v>0</v>
      </c>
      <c r="P80" s="78">
        <f t="shared" si="18"/>
        <v>0</v>
      </c>
      <c r="Q80" s="78">
        <f t="shared" si="18"/>
        <v>0</v>
      </c>
      <c r="R80" s="78">
        <f t="shared" si="18"/>
        <v>0</v>
      </c>
      <c r="S80" s="78">
        <f t="shared" si="18"/>
        <v>0</v>
      </c>
      <c r="T80" s="78">
        <f t="shared" si="18"/>
        <v>0</v>
      </c>
      <c r="U80" s="78">
        <f t="shared" si="18"/>
        <v>0</v>
      </c>
      <c r="V80" s="78">
        <f t="shared" si="18"/>
        <v>0</v>
      </c>
      <c r="W80" s="78">
        <f t="shared" si="18"/>
        <v>0</v>
      </c>
      <c r="X80" s="78">
        <f t="shared" si="18"/>
        <v>0</v>
      </c>
      <c r="Y80" s="78">
        <f t="shared" si="18"/>
        <v>0</v>
      </c>
      <c r="Z80" s="78">
        <f t="shared" si="18"/>
        <v>0</v>
      </c>
      <c r="AA80" s="78">
        <f t="shared" si="18"/>
        <v>0</v>
      </c>
      <c r="AB80" s="78">
        <f t="shared" si="18"/>
        <v>0</v>
      </c>
      <c r="AC80" s="78">
        <f t="shared" si="18"/>
        <v>0</v>
      </c>
      <c r="AD80" s="78">
        <f t="shared" si="18"/>
        <v>0</v>
      </c>
      <c r="AE80" s="78">
        <f t="shared" si="18"/>
        <v>0</v>
      </c>
      <c r="AF80" s="78">
        <f t="shared" si="18"/>
        <v>0</v>
      </c>
      <c r="AG80" s="87"/>
      <c r="AH80" s="55">
        <f t="shared" si="13"/>
        <v>0</v>
      </c>
      <c r="AI80" s="56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3"/>
        <v>0</v>
      </c>
      <c r="AI81" s="56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390</v>
      </c>
      <c r="C82" s="70">
        <f t="shared" ref="C82:AG82" si="19">SUM(C76:C81)</f>
        <v>406.4</v>
      </c>
      <c r="D82" s="70">
        <f t="shared" si="19"/>
        <v>403.2</v>
      </c>
      <c r="E82" s="70">
        <f t="shared" si="19"/>
        <v>413</v>
      </c>
      <c r="F82" s="70">
        <f t="shared" si="19"/>
        <v>380</v>
      </c>
      <c r="G82" s="70">
        <f t="shared" si="19"/>
        <v>369</v>
      </c>
      <c r="H82" s="70">
        <f t="shared" si="19"/>
        <v>381</v>
      </c>
      <c r="I82" s="70">
        <f t="shared" si="19"/>
        <v>383</v>
      </c>
      <c r="J82" s="70">
        <f t="shared" si="19"/>
        <v>365</v>
      </c>
      <c r="K82" s="70">
        <f t="shared" si="19"/>
        <v>367</v>
      </c>
      <c r="L82" s="70">
        <f t="shared" si="19"/>
        <v>330</v>
      </c>
      <c r="M82" s="70">
        <f t="shared" si="19"/>
        <v>362</v>
      </c>
      <c r="N82" s="70">
        <f t="shared" si="19"/>
        <v>362</v>
      </c>
      <c r="O82" s="70">
        <f t="shared" si="19"/>
        <v>356</v>
      </c>
      <c r="P82" s="70">
        <f t="shared" si="19"/>
        <v>317</v>
      </c>
      <c r="Q82" s="70">
        <f t="shared" si="19"/>
        <v>368</v>
      </c>
      <c r="R82" s="70">
        <f t="shared" si="19"/>
        <v>361</v>
      </c>
      <c r="S82" s="70">
        <f t="shared" si="19"/>
        <v>363</v>
      </c>
      <c r="T82" s="70">
        <f t="shared" si="19"/>
        <v>215</v>
      </c>
      <c r="U82" s="70">
        <f t="shared" si="19"/>
        <v>288</v>
      </c>
      <c r="V82" s="70">
        <f t="shared" si="19"/>
        <v>378</v>
      </c>
      <c r="W82" s="70">
        <f t="shared" si="19"/>
        <v>372</v>
      </c>
      <c r="X82" s="70">
        <f t="shared" si="19"/>
        <v>386</v>
      </c>
      <c r="Y82" s="70">
        <f t="shared" si="19"/>
        <v>416</v>
      </c>
      <c r="Z82" s="70">
        <f t="shared" si="19"/>
        <v>320</v>
      </c>
      <c r="AA82" s="70">
        <f t="shared" si="19"/>
        <v>292</v>
      </c>
      <c r="AB82" s="70">
        <f t="shared" si="19"/>
        <v>252</v>
      </c>
      <c r="AC82" s="70">
        <f t="shared" si="19"/>
        <v>245</v>
      </c>
      <c r="AD82" s="70">
        <f t="shared" si="19"/>
        <v>280</v>
      </c>
      <c r="AE82" s="70">
        <f t="shared" si="19"/>
        <v>320</v>
      </c>
      <c r="AF82" s="70">
        <f t="shared" si="19"/>
        <v>364</v>
      </c>
      <c r="AG82" s="74">
        <f t="shared" si="19"/>
        <v>0</v>
      </c>
      <c r="AH82" s="55">
        <f t="shared" si="13"/>
        <v>416</v>
      </c>
      <c r="AI82" s="56">
        <f t="shared" si="14"/>
        <v>215</v>
      </c>
      <c r="AK82" s="57"/>
    </row>
    <row r="83" spans="1:88" s="1" customFormat="1" ht="15.75" thickBot="1" x14ac:dyDescent="0.3">
      <c r="A83" s="69" t="s">
        <v>88</v>
      </c>
      <c r="B83" s="70">
        <f>B68-B82</f>
        <v>-382.7</v>
      </c>
      <c r="C83" s="70">
        <f t="shared" ref="C83:AF83" si="20">C68-C82</f>
        <v>-399.4</v>
      </c>
      <c r="D83" s="70">
        <f t="shared" si="20"/>
        <v>-395.2</v>
      </c>
      <c r="E83" s="70">
        <f t="shared" si="20"/>
        <v>-394</v>
      </c>
      <c r="F83" s="70">
        <f t="shared" si="20"/>
        <v>-358</v>
      </c>
      <c r="G83" s="70">
        <f t="shared" si="20"/>
        <v>-364</v>
      </c>
      <c r="H83" s="70">
        <f t="shared" si="20"/>
        <v>-369</v>
      </c>
      <c r="I83" s="70">
        <f t="shared" si="20"/>
        <v>-370.1</v>
      </c>
      <c r="J83" s="70">
        <f t="shared" si="20"/>
        <v>-352.3</v>
      </c>
      <c r="K83" s="70">
        <f t="shared" si="20"/>
        <v>-347</v>
      </c>
      <c r="L83" s="70">
        <f t="shared" si="20"/>
        <v>-278</v>
      </c>
      <c r="M83" s="70">
        <f t="shared" si="20"/>
        <v>-315.5</v>
      </c>
      <c r="N83" s="70">
        <f t="shared" si="20"/>
        <v>-304.5</v>
      </c>
      <c r="O83" s="70">
        <f t="shared" si="20"/>
        <v>-287.89999999999998</v>
      </c>
      <c r="P83" s="70">
        <f t="shared" si="20"/>
        <v>-246.3</v>
      </c>
      <c r="Q83" s="70">
        <f t="shared" si="20"/>
        <v>-303.60000000000002</v>
      </c>
      <c r="R83" s="70">
        <f t="shared" si="20"/>
        <v>-284.8</v>
      </c>
      <c r="S83" s="70">
        <f t="shared" si="20"/>
        <v>-291.7</v>
      </c>
      <c r="T83" s="70">
        <f t="shared" si="20"/>
        <v>-144.19999999999999</v>
      </c>
      <c r="U83" s="70">
        <f t="shared" si="20"/>
        <v>-217.6</v>
      </c>
      <c r="V83" s="70">
        <f t="shared" si="20"/>
        <v>-314.39999999999998</v>
      </c>
      <c r="W83" s="70">
        <f t="shared" si="20"/>
        <v>-314.89999999999998</v>
      </c>
      <c r="X83" s="70">
        <f t="shared" si="20"/>
        <v>-330</v>
      </c>
      <c r="Y83" s="70">
        <f t="shared" si="20"/>
        <v>-361.5</v>
      </c>
      <c r="Z83" s="70">
        <f t="shared" si="20"/>
        <v>-266.2</v>
      </c>
      <c r="AA83" s="70">
        <f t="shared" si="20"/>
        <v>-230.2</v>
      </c>
      <c r="AB83" s="70">
        <f t="shared" si="20"/>
        <v>-200</v>
      </c>
      <c r="AC83" s="70">
        <f t="shared" si="20"/>
        <v>-191</v>
      </c>
      <c r="AD83" s="70">
        <f t="shared" si="20"/>
        <v>-224</v>
      </c>
      <c r="AE83" s="70">
        <f t="shared" si="20"/>
        <v>-260</v>
      </c>
      <c r="AF83" s="70">
        <f t="shared" si="20"/>
        <v>-314</v>
      </c>
      <c r="AG83" s="74">
        <f t="shared" ref="AG83" si="21">SUM(AG70:AG82)</f>
        <v>4360.08</v>
      </c>
      <c r="AH83" s="55">
        <f t="shared" si="13"/>
        <v>-144.19999999999999</v>
      </c>
      <c r="AI83" s="56">
        <f t="shared" si="14"/>
        <v>-399.4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50.01</v>
      </c>
      <c r="C84" s="90">
        <v>50.03</v>
      </c>
      <c r="D84" s="90">
        <v>49.963999999999999</v>
      </c>
      <c r="E84" s="90">
        <v>50.017000000000003</v>
      </c>
      <c r="F84" s="90">
        <v>50.045000000000002</v>
      </c>
      <c r="G84" s="90">
        <v>50.015999999999998</v>
      </c>
      <c r="H84" s="90">
        <v>50.03</v>
      </c>
      <c r="I84" s="90">
        <v>49.991999999999997</v>
      </c>
      <c r="J84" s="90">
        <v>49.951999999999998</v>
      </c>
      <c r="K84" s="90">
        <v>50.036999999999999</v>
      </c>
      <c r="L84" s="90">
        <v>50.021000000000001</v>
      </c>
      <c r="M84" s="90">
        <v>49.987000000000002</v>
      </c>
      <c r="N84" s="90">
        <v>50.094999999999999</v>
      </c>
      <c r="O84" s="90">
        <v>50.091999999999999</v>
      </c>
      <c r="P84" s="90">
        <v>50.082000000000001</v>
      </c>
      <c r="Q84" s="90">
        <v>50.06</v>
      </c>
      <c r="R84" s="90">
        <v>50.000999999999998</v>
      </c>
      <c r="S84" s="90">
        <v>49.948</v>
      </c>
      <c r="T84" s="90">
        <v>50.03</v>
      </c>
      <c r="U84" s="90">
        <v>50.1</v>
      </c>
      <c r="V84" s="90">
        <v>50</v>
      </c>
      <c r="W84" s="90">
        <v>50.06</v>
      </c>
      <c r="X84" s="90">
        <v>50.04</v>
      </c>
      <c r="Y84" s="90">
        <v>49.86</v>
      </c>
      <c r="Z84" s="90">
        <v>50.01</v>
      </c>
      <c r="AA84" s="90">
        <v>49.98</v>
      </c>
      <c r="AB84" s="90">
        <v>50</v>
      </c>
      <c r="AC84" s="90">
        <v>50.02</v>
      </c>
      <c r="AD84" s="90">
        <v>49.9</v>
      </c>
      <c r="AE84" s="90">
        <v>50.06</v>
      </c>
      <c r="AF84" s="90">
        <v>49.98</v>
      </c>
      <c r="AG84" s="91"/>
      <c r="AH84" s="55">
        <f t="shared" si="13"/>
        <v>50.1</v>
      </c>
      <c r="AI84" s="56">
        <f t="shared" si="14"/>
        <v>49.86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124.6</v>
      </c>
      <c r="C85" s="49">
        <v>124.3</v>
      </c>
      <c r="D85" s="49">
        <v>124.6</v>
      </c>
      <c r="E85" s="49">
        <v>125</v>
      </c>
      <c r="F85" s="49">
        <v>123.5</v>
      </c>
      <c r="G85" s="49">
        <v>123.5</v>
      </c>
      <c r="H85" s="49">
        <v>125.6</v>
      </c>
      <c r="I85" s="49">
        <v>125.9</v>
      </c>
      <c r="J85" s="49">
        <v>125.9</v>
      </c>
      <c r="K85" s="49">
        <v>123.9</v>
      </c>
      <c r="L85" s="49">
        <v>123</v>
      </c>
      <c r="M85" s="49">
        <v>123.3</v>
      </c>
      <c r="N85" s="49">
        <v>123.4</v>
      </c>
      <c r="O85" s="49">
        <v>123.1</v>
      </c>
      <c r="P85" s="49">
        <v>121.8</v>
      </c>
      <c r="Q85" s="49">
        <v>122.5</v>
      </c>
      <c r="R85" s="49">
        <v>124.7</v>
      </c>
      <c r="S85" s="49">
        <v>122.4</v>
      </c>
      <c r="T85" s="49">
        <v>123</v>
      </c>
      <c r="U85" s="49">
        <v>123</v>
      </c>
      <c r="V85" s="49">
        <v>121.4</v>
      </c>
      <c r="W85" s="49">
        <v>122.9</v>
      </c>
      <c r="X85" s="49">
        <v>123.1</v>
      </c>
      <c r="Y85" s="49">
        <v>124.4</v>
      </c>
      <c r="Z85" s="49">
        <v>124.4</v>
      </c>
      <c r="AA85" s="49">
        <v>124.6</v>
      </c>
      <c r="AB85" s="49">
        <v>124.6</v>
      </c>
      <c r="AC85" s="49">
        <v>125</v>
      </c>
      <c r="AD85" s="49">
        <v>124</v>
      </c>
      <c r="AE85" s="49">
        <v>125</v>
      </c>
      <c r="AF85" s="49">
        <v>124</v>
      </c>
      <c r="AG85" s="93"/>
      <c r="AH85" s="55">
        <f t="shared" si="13"/>
        <v>125.9</v>
      </c>
      <c r="AI85" s="56">
        <f t="shared" si="14"/>
        <v>121.4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129.4</v>
      </c>
      <c r="C86" s="49">
        <v>129.4</v>
      </c>
      <c r="D86" s="49">
        <v>129.6</v>
      </c>
      <c r="E86" s="49">
        <v>129</v>
      </c>
      <c r="F86" s="49">
        <v>128</v>
      </c>
      <c r="G86" s="49">
        <v>128</v>
      </c>
      <c r="H86" s="49">
        <v>129</v>
      </c>
      <c r="I86" s="49">
        <v>129</v>
      </c>
      <c r="J86" s="49">
        <v>129</v>
      </c>
      <c r="K86" s="49">
        <v>127.5</v>
      </c>
      <c r="L86" s="49">
        <v>127</v>
      </c>
      <c r="M86" s="49">
        <v>127</v>
      </c>
      <c r="N86" s="49">
        <v>126.8</v>
      </c>
      <c r="O86" s="49">
        <v>126.9</v>
      </c>
      <c r="P86" s="49">
        <v>126.3</v>
      </c>
      <c r="Q86" s="49">
        <v>126.5</v>
      </c>
      <c r="R86" s="49">
        <v>127.9</v>
      </c>
      <c r="S86" s="49">
        <v>126.6</v>
      </c>
      <c r="T86" s="49">
        <v>126.8</v>
      </c>
      <c r="U86" s="49">
        <v>126.8</v>
      </c>
      <c r="V86" s="49">
        <v>126.5</v>
      </c>
      <c r="W86" s="49">
        <v>127.6</v>
      </c>
      <c r="X86" s="49">
        <v>127.8</v>
      </c>
      <c r="Y86" s="49">
        <v>128.5</v>
      </c>
      <c r="Z86" s="49">
        <v>128</v>
      </c>
      <c r="AA86" s="49">
        <v>127.7</v>
      </c>
      <c r="AB86" s="49">
        <v>127.7</v>
      </c>
      <c r="AC86" s="49">
        <v>129</v>
      </c>
      <c r="AD86" s="49">
        <v>128.5</v>
      </c>
      <c r="AE86" s="49">
        <v>130</v>
      </c>
      <c r="AF86" s="49">
        <v>129</v>
      </c>
      <c r="AG86" s="93"/>
      <c r="AH86" s="55">
        <f t="shared" si="13"/>
        <v>130</v>
      </c>
      <c r="AI86" s="56">
        <f t="shared" si="14"/>
        <v>126.3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128.19999999999999</v>
      </c>
      <c r="C87" s="49">
        <v>127.4</v>
      </c>
      <c r="D87" s="49">
        <v>128.30000000000001</v>
      </c>
      <c r="E87" s="49">
        <v>129</v>
      </c>
      <c r="F87" s="49">
        <v>129</v>
      </c>
      <c r="G87" s="49">
        <v>129</v>
      </c>
      <c r="H87" s="49">
        <v>129</v>
      </c>
      <c r="I87" s="49">
        <v>130</v>
      </c>
      <c r="J87" s="49">
        <v>130</v>
      </c>
      <c r="K87" s="49">
        <v>128</v>
      </c>
      <c r="L87" s="49">
        <v>125</v>
      </c>
      <c r="M87" s="49">
        <v>126.3</v>
      </c>
      <c r="N87" s="49">
        <v>124</v>
      </c>
      <c r="O87" s="49">
        <v>126.5</v>
      </c>
      <c r="P87" s="49">
        <v>125.2</v>
      </c>
      <c r="Q87" s="49">
        <v>129</v>
      </c>
      <c r="R87" s="49">
        <v>126.4</v>
      </c>
      <c r="S87" s="49">
        <v>126.7</v>
      </c>
      <c r="T87" s="49">
        <v>125</v>
      </c>
      <c r="U87" s="49">
        <v>125</v>
      </c>
      <c r="V87" s="49">
        <v>122.9</v>
      </c>
      <c r="W87" s="49">
        <v>125.7</v>
      </c>
      <c r="X87" s="49">
        <v>126.6</v>
      </c>
      <c r="Y87" s="49">
        <v>128.5</v>
      </c>
      <c r="Z87" s="49">
        <v>127.5</v>
      </c>
      <c r="AA87" s="49">
        <v>125.8</v>
      </c>
      <c r="AB87" s="49">
        <v>125.8</v>
      </c>
      <c r="AC87" s="49">
        <v>127</v>
      </c>
      <c r="AD87" s="49">
        <v>124</v>
      </c>
      <c r="AE87" s="49">
        <v>127</v>
      </c>
      <c r="AF87" s="49">
        <v>124</v>
      </c>
      <c r="AG87" s="93"/>
      <c r="AH87" s="55">
        <f t="shared" si="13"/>
        <v>130</v>
      </c>
      <c r="AI87" s="56">
        <f t="shared" si="14"/>
        <v>122.9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3"/>
        <v>0</v>
      </c>
      <c r="AI88" s="56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132.30000000000001</v>
      </c>
      <c r="C89" s="95">
        <v>133</v>
      </c>
      <c r="D89" s="95">
        <v>132.80000000000001</v>
      </c>
      <c r="E89" s="95">
        <v>132</v>
      </c>
      <c r="F89" s="95">
        <v>131</v>
      </c>
      <c r="G89" s="95">
        <v>131</v>
      </c>
      <c r="H89" s="95">
        <v>133</v>
      </c>
      <c r="I89" s="95">
        <v>135</v>
      </c>
      <c r="J89" s="95">
        <v>135</v>
      </c>
      <c r="K89" s="95">
        <v>132</v>
      </c>
      <c r="L89" s="95">
        <v>132.9</v>
      </c>
      <c r="M89" s="95">
        <v>132</v>
      </c>
      <c r="N89" s="95">
        <v>134</v>
      </c>
      <c r="O89" s="95">
        <v>134.30000000000001</v>
      </c>
      <c r="P89" s="95">
        <v>133.1</v>
      </c>
      <c r="Q89" s="95">
        <v>130.6</v>
      </c>
      <c r="R89" s="95">
        <v>134.1</v>
      </c>
      <c r="S89" s="95">
        <v>134.19999999999999</v>
      </c>
      <c r="T89" s="95">
        <v>132.30000000000001</v>
      </c>
      <c r="U89" s="95">
        <v>132.30000000000001</v>
      </c>
      <c r="V89" s="95">
        <v>135.30000000000001</v>
      </c>
      <c r="W89" s="95">
        <v>134.19999999999999</v>
      </c>
      <c r="X89" s="95">
        <v>135.1</v>
      </c>
      <c r="Y89" s="95">
        <v>143.5</v>
      </c>
      <c r="Z89" s="95">
        <v>133.6</v>
      </c>
      <c r="AA89" s="95">
        <v>134</v>
      </c>
      <c r="AB89" s="95">
        <v>134</v>
      </c>
      <c r="AC89" s="95">
        <v>133</v>
      </c>
      <c r="AD89" s="95">
        <v>132</v>
      </c>
      <c r="AE89" s="95">
        <v>135</v>
      </c>
      <c r="AF89" s="95">
        <v>132</v>
      </c>
      <c r="AG89" s="96"/>
      <c r="AH89" s="55">
        <f t="shared" si="13"/>
        <v>143.5</v>
      </c>
      <c r="AI89" s="56">
        <f t="shared" si="14"/>
        <v>130.6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127.5</v>
      </c>
      <c r="C90" s="49">
        <v>129.4</v>
      </c>
      <c r="D90" s="49">
        <v>129.69999999999999</v>
      </c>
      <c r="E90" s="49">
        <v>125</v>
      </c>
      <c r="F90" s="49">
        <v>128</v>
      </c>
      <c r="G90" s="49">
        <v>128</v>
      </c>
      <c r="H90" s="49">
        <v>130</v>
      </c>
      <c r="I90" s="49">
        <v>132</v>
      </c>
      <c r="J90" s="49">
        <v>132</v>
      </c>
      <c r="K90" s="49">
        <v>128</v>
      </c>
      <c r="L90" s="49">
        <v>127</v>
      </c>
      <c r="M90" s="49">
        <v>126</v>
      </c>
      <c r="N90" s="49">
        <v>133.19999999999999</v>
      </c>
      <c r="O90" s="49">
        <v>134.30000000000001</v>
      </c>
      <c r="P90" s="49">
        <v>129.4</v>
      </c>
      <c r="Q90" s="49">
        <v>125.2</v>
      </c>
      <c r="R90" s="49">
        <v>130</v>
      </c>
      <c r="S90" s="49">
        <v>130.9</v>
      </c>
      <c r="T90" s="49">
        <v>127.7</v>
      </c>
      <c r="U90" s="49">
        <v>127.7</v>
      </c>
      <c r="V90" s="49">
        <v>133.69999999999999</v>
      </c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93"/>
      <c r="AH90" s="55">
        <f t="shared" si="13"/>
        <v>134.30000000000001</v>
      </c>
      <c r="AI90" s="56">
        <f t="shared" si="14"/>
        <v>125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65.900000000000006</v>
      </c>
      <c r="C91" s="97">
        <v>65.7</v>
      </c>
      <c r="D91" s="97">
        <v>65.900000000000006</v>
      </c>
      <c r="E91" s="97">
        <v>65</v>
      </c>
      <c r="F91" s="97">
        <v>64.7</v>
      </c>
      <c r="G91" s="97">
        <v>64.7</v>
      </c>
      <c r="H91" s="97">
        <v>65</v>
      </c>
      <c r="I91" s="97">
        <v>65</v>
      </c>
      <c r="J91" s="97">
        <v>64.8</v>
      </c>
      <c r="K91" s="97">
        <v>64</v>
      </c>
      <c r="L91" s="97">
        <v>63.9</v>
      </c>
      <c r="M91" s="97">
        <v>64.099999999999994</v>
      </c>
      <c r="N91" s="97">
        <v>64.099999999999994</v>
      </c>
      <c r="O91" s="97">
        <v>63.8</v>
      </c>
      <c r="P91" s="97">
        <v>63.5</v>
      </c>
      <c r="Q91" s="97">
        <v>63.8</v>
      </c>
      <c r="R91" s="97">
        <v>64.099999999999994</v>
      </c>
      <c r="S91" s="97">
        <v>63.7</v>
      </c>
      <c r="T91" s="97">
        <v>63.7</v>
      </c>
      <c r="U91" s="97">
        <v>63.7</v>
      </c>
      <c r="V91" s="97">
        <v>63.8</v>
      </c>
      <c r="W91" s="97">
        <v>64.400000000000006</v>
      </c>
      <c r="X91" s="97">
        <v>64.5</v>
      </c>
      <c r="Y91" s="97">
        <v>64.900000000000006</v>
      </c>
      <c r="Z91" s="97">
        <v>64.7</v>
      </c>
      <c r="AA91" s="97">
        <v>64.400000000000006</v>
      </c>
      <c r="AB91" s="97">
        <v>64.400000000000006</v>
      </c>
      <c r="AC91" s="97">
        <v>65.2</v>
      </c>
      <c r="AD91" s="97">
        <v>65.099999999999994</v>
      </c>
      <c r="AE91" s="97">
        <v>65.8</v>
      </c>
      <c r="AF91" s="97">
        <v>65.400000000000006</v>
      </c>
      <c r="AG91" s="98"/>
      <c r="AH91" s="55">
        <f t="shared" si="13"/>
        <v>65.900000000000006</v>
      </c>
      <c r="AI91" s="56">
        <f t="shared" si="14"/>
        <v>63.5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2">SUM(B15,B18,B21:B22,B42,B44:B45,B47,B49,B94:B97,B104,B110,B116,B125,B127,B139,B146,B149:B150,B157,B159,B161,B165:B167,B169:B171,B176,B182:B183,B185:B187,B195,B200)</f>
        <v>119.23999999999997</v>
      </c>
      <c r="C93" s="103">
        <f t="shared" si="22"/>
        <v>115.33999999999999</v>
      </c>
      <c r="D93" s="103">
        <f t="shared" si="22"/>
        <v>91.939999999999984</v>
      </c>
      <c r="E93" s="103">
        <f t="shared" si="22"/>
        <v>87.440000000000012</v>
      </c>
      <c r="F93" s="103">
        <f t="shared" si="22"/>
        <v>102.83999999999999</v>
      </c>
      <c r="G93" s="103">
        <f t="shared" si="22"/>
        <v>123.44000000000001</v>
      </c>
      <c r="H93" s="103">
        <f t="shared" si="22"/>
        <v>136.04</v>
      </c>
      <c r="I93" s="103">
        <f t="shared" si="22"/>
        <v>164.23999999999998</v>
      </c>
      <c r="J93" s="103">
        <f t="shared" si="22"/>
        <v>192.13999999999996</v>
      </c>
      <c r="K93" s="103">
        <f t="shared" si="22"/>
        <v>194.73999999999995</v>
      </c>
      <c r="L93" s="103">
        <f t="shared" si="22"/>
        <v>206.64</v>
      </c>
      <c r="M93" s="103">
        <f t="shared" si="22"/>
        <v>248.43999999999994</v>
      </c>
      <c r="N93" s="103">
        <f t="shared" si="22"/>
        <v>230.73999999999995</v>
      </c>
      <c r="O93" s="103">
        <f t="shared" si="22"/>
        <v>255.53999999999994</v>
      </c>
      <c r="P93" s="103">
        <f t="shared" si="22"/>
        <v>257.44</v>
      </c>
      <c r="Q93" s="103">
        <f t="shared" si="22"/>
        <v>298.64000000000004</v>
      </c>
      <c r="R93" s="103">
        <f t="shared" si="22"/>
        <v>262.84000000000003</v>
      </c>
      <c r="S93" s="103">
        <f t="shared" si="22"/>
        <v>234.23999999999998</v>
      </c>
      <c r="T93" s="103">
        <f t="shared" si="22"/>
        <v>299.14</v>
      </c>
      <c r="U93" s="103">
        <f t="shared" si="22"/>
        <v>247.33999999999997</v>
      </c>
      <c r="V93" s="103">
        <f t="shared" si="22"/>
        <v>218.53999999999996</v>
      </c>
      <c r="W93" s="103">
        <f>SUM(W15,W18,W21:W22,W42,W44:W45,W47,W49,W94:W97,W104,W110,W116,W125,W127,W139,W146,W149:W150,W157,W159,W161,W165:W167,W169:W171,W176,W182:W183,W185:W187,W195,W200)</f>
        <v>185.23999999999998</v>
      </c>
      <c r="X93" s="103">
        <f>SUM(X15,X18,X21:X22,X42,X44:X45,X47,X49,X94:X97,X104,X110,X116,X125,X127,X139,X146,X149:X150,X157,X159,X161,X165:X167,X169:X171,X176,X182:X183,X185:X187,X195,X200)</f>
        <v>201.94</v>
      </c>
      <c r="Y93" s="103">
        <f t="shared" si="22"/>
        <v>210.03999999999996</v>
      </c>
      <c r="Z93" s="103">
        <f t="shared" si="22"/>
        <v>243.34</v>
      </c>
      <c r="AA93" s="103">
        <f t="shared" si="22"/>
        <v>247.54</v>
      </c>
      <c r="AB93" s="103">
        <f t="shared" si="22"/>
        <v>266.64000000000004</v>
      </c>
      <c r="AC93" s="103">
        <f t="shared" si="22"/>
        <v>281.04000000000002</v>
      </c>
      <c r="AD93" s="103">
        <f t="shared" si="22"/>
        <v>227.04</v>
      </c>
      <c r="AE93" s="103">
        <f t="shared" si="22"/>
        <v>163.04</v>
      </c>
      <c r="AF93" s="103">
        <f t="shared" si="22"/>
        <v>159.04</v>
      </c>
      <c r="AG93" s="104"/>
      <c r="AH93" s="55">
        <f>MAX(C93:AF93)</f>
        <v>299.14</v>
      </c>
      <c r="AI93" s="56">
        <f>MIN(C93:AF93)</f>
        <v>87.440000000000012</v>
      </c>
    </row>
    <row r="94" spans="1:88" x14ac:dyDescent="0.25">
      <c r="A94" s="105" t="s">
        <v>98</v>
      </c>
      <c r="B94" s="106">
        <v>8.6</v>
      </c>
      <c r="C94" s="106">
        <v>11.8</v>
      </c>
      <c r="D94" s="106">
        <v>11.7</v>
      </c>
      <c r="E94" s="106">
        <v>8.4</v>
      </c>
      <c r="F94" s="106">
        <v>4.4000000000000004</v>
      </c>
      <c r="G94" s="106">
        <v>3.8</v>
      </c>
      <c r="H94" s="106">
        <v>9.3000000000000007</v>
      </c>
      <c r="I94" s="106">
        <v>9.5</v>
      </c>
      <c r="J94" s="106">
        <v>11</v>
      </c>
      <c r="K94" s="106">
        <v>7.2</v>
      </c>
      <c r="L94" s="106">
        <v>9.5</v>
      </c>
      <c r="M94" s="106">
        <v>27</v>
      </c>
      <c r="N94" s="106">
        <v>30.4</v>
      </c>
      <c r="O94" s="106">
        <v>34.299999999999997</v>
      </c>
      <c r="P94" s="106">
        <v>27.7</v>
      </c>
      <c r="Q94" s="106">
        <f>53.6+33.6</f>
        <v>87.2</v>
      </c>
      <c r="R94" s="106">
        <v>27.8</v>
      </c>
      <c r="S94" s="106">
        <v>33.1</v>
      </c>
      <c r="T94" s="106">
        <v>20.9</v>
      </c>
      <c r="U94" s="106">
        <v>27.5</v>
      </c>
      <c r="V94" s="106">
        <v>34.1</v>
      </c>
      <c r="W94" s="106">
        <v>36.799999999999997</v>
      </c>
      <c r="X94" s="106">
        <v>37.1</v>
      </c>
      <c r="Y94" s="106">
        <v>34.799999999999997</v>
      </c>
      <c r="Z94" s="106">
        <v>33.200000000000003</v>
      </c>
      <c r="AA94" s="106">
        <v>28.6</v>
      </c>
      <c r="AB94" s="106">
        <v>29.6</v>
      </c>
      <c r="AC94" s="106">
        <v>9</v>
      </c>
      <c r="AD94" s="106">
        <v>31</v>
      </c>
      <c r="AE94" s="106">
        <v>40</v>
      </c>
      <c r="AF94" s="106">
        <v>52</v>
      </c>
      <c r="AG94" s="107">
        <v>75</v>
      </c>
      <c r="AH94" s="55">
        <f t="shared" ref="AH94:AH101" si="23">IF(ABS(MAX(C94:AF94))&gt;ABS(MIN(C94:AF94)),MAX(C94:AF94),MIN(C94:AF94))</f>
        <v>87.2</v>
      </c>
      <c r="AI94" s="108">
        <f t="shared" ref="AI94:AI101" si="24">INDEX($C$9:$AF$9,1,MATCH(AH94,C94:AF94,0))</f>
        <v>0.5</v>
      </c>
    </row>
    <row r="95" spans="1:88" x14ac:dyDescent="0.25">
      <c r="A95" s="109" t="s">
        <v>99</v>
      </c>
      <c r="B95" s="110">
        <f>-65.5-71.3</f>
        <v>-136.80000000000001</v>
      </c>
      <c r="C95" s="110">
        <v>-140</v>
      </c>
      <c r="D95" s="110">
        <v>-162</v>
      </c>
      <c r="E95" s="110">
        <v>-160</v>
      </c>
      <c r="F95" s="110">
        <v>-140</v>
      </c>
      <c r="G95" s="110">
        <v>-123</v>
      </c>
      <c r="H95" s="110">
        <v>-125</v>
      </c>
      <c r="I95" s="110">
        <v>-100</v>
      </c>
      <c r="J95" s="110">
        <v>-111.7</v>
      </c>
      <c r="K95" s="110">
        <v>-129</v>
      </c>
      <c r="L95" s="110">
        <v>-131</v>
      </c>
      <c r="M95" s="110">
        <f>-43-54</f>
        <v>-97</v>
      </c>
      <c r="N95" s="110">
        <f>-49.8-58</f>
        <v>-107.8</v>
      </c>
      <c r="O95" s="110">
        <f>-43.3-55.7</f>
        <v>-99</v>
      </c>
      <c r="P95" s="110">
        <f>-42-57</f>
        <v>-99</v>
      </c>
      <c r="Q95" s="110">
        <f>-47.9-57</f>
        <v>-104.9</v>
      </c>
      <c r="R95" s="110">
        <f>-40.7-49.3</f>
        <v>-90</v>
      </c>
      <c r="S95" s="110">
        <f>-48.3-58.3</f>
        <v>-106.6</v>
      </c>
      <c r="T95" s="110">
        <f>-82-51.1</f>
        <v>-133.1</v>
      </c>
      <c r="U95" s="110">
        <f>-44.8-56.8</f>
        <v>-101.6</v>
      </c>
      <c r="V95" s="110">
        <f>-54.3-61</f>
        <v>-115.3</v>
      </c>
      <c r="W95" s="110">
        <f>-69.5-62.2</f>
        <v>-131.69999999999999</v>
      </c>
      <c r="X95" s="110">
        <f>-56-62.3</f>
        <v>-118.3</v>
      </c>
      <c r="Y95" s="110">
        <f>-53.3-59</f>
        <v>-112.3</v>
      </c>
      <c r="Z95" s="110">
        <f>-54-48.5</f>
        <v>-102.5</v>
      </c>
      <c r="AA95" s="110">
        <f>-76.7-44.5</f>
        <v>-121.2</v>
      </c>
      <c r="AB95" s="110">
        <v>-115</v>
      </c>
      <c r="AC95" s="110">
        <v>-79</v>
      </c>
      <c r="AD95" s="110">
        <v>-140</v>
      </c>
      <c r="AE95" s="110">
        <v>-145</v>
      </c>
      <c r="AF95" s="110">
        <v>-150</v>
      </c>
      <c r="AG95" s="107">
        <v>240</v>
      </c>
      <c r="AH95" s="55">
        <f t="shared" si="23"/>
        <v>-162</v>
      </c>
      <c r="AI95" s="108">
        <f t="shared" si="24"/>
        <v>8.3333333333333301E-2</v>
      </c>
    </row>
    <row r="96" spans="1:88" x14ac:dyDescent="0.25">
      <c r="A96" s="109" t="s">
        <v>100</v>
      </c>
      <c r="B96" s="110">
        <v>5.4</v>
      </c>
      <c r="C96" s="110">
        <v>1.9</v>
      </c>
      <c r="D96" s="110">
        <v>0.3</v>
      </c>
      <c r="E96" s="110">
        <v>-2.9</v>
      </c>
      <c r="F96" s="110">
        <v>-3.5</v>
      </c>
      <c r="G96" s="110">
        <v>0.7</v>
      </c>
      <c r="H96" s="110">
        <v>9.8000000000000007</v>
      </c>
      <c r="I96" s="110">
        <v>12.8</v>
      </c>
      <c r="J96" s="110">
        <v>11.1</v>
      </c>
      <c r="K96" s="110">
        <v>34.6</v>
      </c>
      <c r="L96" s="110">
        <v>44</v>
      </c>
      <c r="M96" s="110">
        <v>36.299999999999997</v>
      </c>
      <c r="N96" s="110">
        <v>24.2</v>
      </c>
      <c r="O96" s="110">
        <v>42.7</v>
      </c>
      <c r="P96" s="110">
        <v>44.4</v>
      </c>
      <c r="Q96" s="110">
        <v>29.9</v>
      </c>
      <c r="R96" s="110">
        <v>40.1</v>
      </c>
      <c r="S96" s="110">
        <v>38.1</v>
      </c>
      <c r="T96" s="110">
        <v>47.3</v>
      </c>
      <c r="U96" s="110">
        <v>45</v>
      </c>
      <c r="V96" s="110">
        <v>20.6</v>
      </c>
      <c r="W96" s="110">
        <v>17.899999999999999</v>
      </c>
      <c r="X96" s="110">
        <v>14.5</v>
      </c>
      <c r="Y96" s="110">
        <v>17.399999999999999</v>
      </c>
      <c r="Z96" s="110">
        <v>21.2</v>
      </c>
      <c r="AA96" s="110">
        <v>51.2</v>
      </c>
      <c r="AB96" s="110">
        <v>50</v>
      </c>
      <c r="AC96" s="110">
        <v>49</v>
      </c>
      <c r="AD96" s="110">
        <v>45</v>
      </c>
      <c r="AE96" s="110">
        <v>30</v>
      </c>
      <c r="AF96" s="110">
        <v>19</v>
      </c>
      <c r="AG96" s="107">
        <v>60</v>
      </c>
      <c r="AH96" s="55">
        <f t="shared" si="23"/>
        <v>51.2</v>
      </c>
      <c r="AI96" s="108">
        <f t="shared" si="24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39.799999999999997</v>
      </c>
      <c r="K97" s="112">
        <v>40</v>
      </c>
      <c r="L97" s="112">
        <v>42.2</v>
      </c>
      <c r="M97" s="112">
        <v>32.200000000000003</v>
      </c>
      <c r="N97" s="112">
        <v>34</v>
      </c>
      <c r="O97" s="112">
        <v>27.6</v>
      </c>
      <c r="P97" s="112">
        <v>34.4</v>
      </c>
      <c r="Q97" s="112">
        <v>37.299999999999997</v>
      </c>
      <c r="R97" s="112">
        <v>40.299999999999997</v>
      </c>
      <c r="S97" s="112">
        <v>25</v>
      </c>
      <c r="T97" s="112">
        <v>35.700000000000003</v>
      </c>
      <c r="U97" s="112">
        <v>31.7</v>
      </c>
      <c r="V97" s="112">
        <v>34.1</v>
      </c>
      <c r="W97" s="112">
        <v>22.2</v>
      </c>
      <c r="X97" s="112">
        <v>28.3</v>
      </c>
      <c r="Y97" s="112">
        <v>34.799999999999997</v>
      </c>
      <c r="Z97" s="112">
        <v>56.1</v>
      </c>
      <c r="AA97" s="112">
        <v>50.9</v>
      </c>
      <c r="AB97" s="112">
        <v>64</v>
      </c>
      <c r="AC97" s="112">
        <v>64</v>
      </c>
      <c r="AD97" s="112">
        <v>53</v>
      </c>
      <c r="AE97" s="112">
        <v>0</v>
      </c>
      <c r="AF97" s="112">
        <v>0</v>
      </c>
      <c r="AG97" s="113">
        <v>120</v>
      </c>
      <c r="AH97" s="55">
        <f t="shared" si="23"/>
        <v>64</v>
      </c>
      <c r="AI97" s="108">
        <f t="shared" si="24"/>
        <v>0.83333333333333337</v>
      </c>
    </row>
    <row r="98" spans="1:37" x14ac:dyDescent="0.25">
      <c r="A98" s="111" t="s">
        <v>102</v>
      </c>
      <c r="B98" s="112">
        <v>43.1</v>
      </c>
      <c r="C98" s="112">
        <v>32.1</v>
      </c>
      <c r="D98" s="112">
        <v>34.6</v>
      </c>
      <c r="E98" s="112">
        <v>42</v>
      </c>
      <c r="F98" s="112">
        <v>47.4</v>
      </c>
      <c r="G98" s="112">
        <v>58.4</v>
      </c>
      <c r="H98" s="112">
        <v>34.9</v>
      </c>
      <c r="I98" s="112">
        <v>54.8</v>
      </c>
      <c r="J98" s="112">
        <v>48</v>
      </c>
      <c r="K98" s="112">
        <v>45</v>
      </c>
      <c r="L98" s="112">
        <v>44.3</v>
      </c>
      <c r="M98" s="112">
        <v>36.5</v>
      </c>
      <c r="N98" s="112">
        <v>41</v>
      </c>
      <c r="O98" s="112">
        <v>31</v>
      </c>
      <c r="P98" s="112">
        <v>42</v>
      </c>
      <c r="Q98" s="112">
        <v>49.6</v>
      </c>
      <c r="R98" s="112">
        <v>36.200000000000003</v>
      </c>
      <c r="S98" s="112">
        <v>38.6</v>
      </c>
      <c r="T98" s="112">
        <v>46.2</v>
      </c>
      <c r="U98" s="112">
        <v>13.2</v>
      </c>
      <c r="V98" s="112">
        <v>43.9</v>
      </c>
      <c r="W98" s="112">
        <v>29.8</v>
      </c>
      <c r="X98" s="112">
        <v>35.6</v>
      </c>
      <c r="Y98" s="112">
        <v>29.6</v>
      </c>
      <c r="Z98" s="112">
        <v>54.7</v>
      </c>
      <c r="AA98" s="112">
        <v>46.9</v>
      </c>
      <c r="AB98" s="112">
        <v>42</v>
      </c>
      <c r="AC98" s="112">
        <v>62</v>
      </c>
      <c r="AD98" s="112">
        <v>54</v>
      </c>
      <c r="AE98" s="112">
        <v>50</v>
      </c>
      <c r="AF98" s="112">
        <v>46</v>
      </c>
      <c r="AG98" s="113"/>
      <c r="AH98" s="55">
        <f t="shared" si="23"/>
        <v>62</v>
      </c>
      <c r="AI98" s="108">
        <f t="shared" si="24"/>
        <v>0.85416666666666663</v>
      </c>
    </row>
    <row r="99" spans="1:37" x14ac:dyDescent="0.25">
      <c r="A99" s="111" t="s">
        <v>253</v>
      </c>
      <c r="B99" s="112">
        <v>61.4</v>
      </c>
      <c r="C99" s="112">
        <v>43</v>
      </c>
      <c r="D99" s="112">
        <v>52.1</v>
      </c>
      <c r="E99" s="112">
        <v>55</v>
      </c>
      <c r="F99" s="112">
        <v>37.700000000000003</v>
      </c>
      <c r="G99" s="112">
        <v>29.7</v>
      </c>
      <c r="H99" s="112">
        <v>19.5</v>
      </c>
      <c r="I99" s="112">
        <v>22.8</v>
      </c>
      <c r="J99" s="112">
        <v>18.600000000000001</v>
      </c>
      <c r="K99" s="112">
        <v>30.5</v>
      </c>
      <c r="L99" s="112">
        <v>12.1</v>
      </c>
      <c r="M99" s="112">
        <v>5.4</v>
      </c>
      <c r="N99" s="112">
        <v>11.3</v>
      </c>
      <c r="O99" s="112">
        <v>-2.4</v>
      </c>
      <c r="P99" s="112">
        <v>27.3</v>
      </c>
      <c r="Q99" s="112">
        <v>4.5999999999999996</v>
      </c>
      <c r="R99" s="112">
        <v>33.1</v>
      </c>
      <c r="S99" s="112">
        <v>3.4</v>
      </c>
      <c r="T99" s="112">
        <v>45.3</v>
      </c>
      <c r="U99" s="112">
        <v>13.5</v>
      </c>
      <c r="V99" s="112">
        <v>-9.8000000000000007</v>
      </c>
      <c r="W99" s="112">
        <v>-14.1</v>
      </c>
      <c r="X99" s="112">
        <v>-15.8</v>
      </c>
      <c r="Y99" s="112">
        <v>-13</v>
      </c>
      <c r="Z99" s="112">
        <v>0</v>
      </c>
      <c r="AA99" s="112">
        <v>10.9</v>
      </c>
      <c r="AB99" s="112">
        <v>75</v>
      </c>
      <c r="AC99" s="112">
        <v>74</v>
      </c>
      <c r="AD99" s="112">
        <v>53</v>
      </c>
      <c r="AE99" s="112">
        <v>53</v>
      </c>
      <c r="AF99" s="112">
        <v>53</v>
      </c>
      <c r="AG99" s="114"/>
      <c r="AH99" s="55">
        <f t="shared" si="23"/>
        <v>75</v>
      </c>
      <c r="AI99" s="108">
        <f t="shared" si="24"/>
        <v>0.83333333333333337</v>
      </c>
    </row>
    <row r="100" spans="1:37" x14ac:dyDescent="0.25">
      <c r="A100" s="115" t="s">
        <v>104</v>
      </c>
      <c r="B100" s="95">
        <v>24.8</v>
      </c>
      <c r="C100" s="95">
        <v>19.600000000000001</v>
      </c>
      <c r="D100" s="95">
        <v>7.5</v>
      </c>
      <c r="E100" s="95">
        <v>13.3</v>
      </c>
      <c r="F100" s="95">
        <v>14.2</v>
      </c>
      <c r="G100" s="95">
        <v>8.9</v>
      </c>
      <c r="H100" s="95">
        <v>24.9</v>
      </c>
      <c r="I100" s="95">
        <v>20.8</v>
      </c>
      <c r="J100" s="95">
        <v>18.5</v>
      </c>
      <c r="K100" s="95">
        <v>21.7</v>
      </c>
      <c r="L100" s="95">
        <v>42.2</v>
      </c>
      <c r="M100" s="95">
        <v>32.700000000000003</v>
      </c>
      <c r="N100" s="95">
        <v>37.4</v>
      </c>
      <c r="O100" s="95">
        <v>49.4</v>
      </c>
      <c r="P100" s="95">
        <v>47.8</v>
      </c>
      <c r="Q100" s="95">
        <v>27.3</v>
      </c>
      <c r="R100" s="95">
        <v>31.2</v>
      </c>
      <c r="S100" s="95">
        <v>22.6</v>
      </c>
      <c r="T100" s="95">
        <v>53.5</v>
      </c>
      <c r="U100" s="95">
        <v>37.6</v>
      </c>
      <c r="V100" s="95">
        <v>17.7</v>
      </c>
      <c r="W100" s="95">
        <v>31.7</v>
      </c>
      <c r="X100" s="95">
        <v>28.5</v>
      </c>
      <c r="Y100" s="95">
        <v>20.5</v>
      </c>
      <c r="Z100" s="95">
        <v>42.3</v>
      </c>
      <c r="AA100" s="95">
        <v>49.5</v>
      </c>
      <c r="AB100" s="95">
        <v>42</v>
      </c>
      <c r="AC100" s="95">
        <v>44</v>
      </c>
      <c r="AD100" s="95">
        <v>42</v>
      </c>
      <c r="AE100" s="95">
        <v>40</v>
      </c>
      <c r="AF100" s="95">
        <v>34</v>
      </c>
      <c r="AG100" s="114"/>
      <c r="AH100" s="55">
        <f t="shared" si="23"/>
        <v>53.5</v>
      </c>
      <c r="AI100" s="108">
        <f t="shared" si="24"/>
        <v>0.625</v>
      </c>
    </row>
    <row r="101" spans="1:37" ht="18" customHeight="1" thickBot="1" x14ac:dyDescent="0.3">
      <c r="A101" s="168" t="s">
        <v>254</v>
      </c>
      <c r="B101" s="95">
        <v>98</v>
      </c>
      <c r="C101" s="95">
        <v>95.7</v>
      </c>
      <c r="D101" s="95">
        <v>95</v>
      </c>
      <c r="E101" s="95">
        <v>95</v>
      </c>
      <c r="F101" s="95">
        <v>83.2</v>
      </c>
      <c r="G101" s="95">
        <v>70</v>
      </c>
      <c r="H101" s="95">
        <v>74.7</v>
      </c>
      <c r="I101" s="95">
        <v>56.9</v>
      </c>
      <c r="J101" s="95">
        <v>65</v>
      </c>
      <c r="K101" s="95">
        <v>74.5</v>
      </c>
      <c r="L101" s="95">
        <v>76.599999999999994</v>
      </c>
      <c r="M101" s="95">
        <v>86</v>
      </c>
      <c r="N101" s="95">
        <v>78</v>
      </c>
      <c r="O101" s="95">
        <v>87</v>
      </c>
      <c r="P101" s="95">
        <v>90.6</v>
      </c>
      <c r="Q101" s="95">
        <v>89.6</v>
      </c>
      <c r="R101" s="95">
        <v>75</v>
      </c>
      <c r="S101" s="95">
        <v>92</v>
      </c>
      <c r="T101" s="95">
        <v>53.4</v>
      </c>
      <c r="U101" s="95">
        <v>93</v>
      </c>
      <c r="V101" s="95">
        <v>83.9</v>
      </c>
      <c r="W101" s="95">
        <v>87.3</v>
      </c>
      <c r="X101" s="95">
        <v>86.1</v>
      </c>
      <c r="Y101" s="95">
        <v>82.1</v>
      </c>
      <c r="Z101" s="95">
        <v>66.5</v>
      </c>
      <c r="AA101" s="95">
        <v>77.900000000000006</v>
      </c>
      <c r="AB101" s="95">
        <v>65</v>
      </c>
      <c r="AC101" s="95">
        <v>67</v>
      </c>
      <c r="AD101" s="95">
        <v>83</v>
      </c>
      <c r="AE101" s="95">
        <v>87</v>
      </c>
      <c r="AF101" s="95">
        <v>90</v>
      </c>
      <c r="AG101" s="107"/>
      <c r="AH101" s="55">
        <f t="shared" si="23"/>
        <v>95.7</v>
      </c>
      <c r="AI101" s="108">
        <f t="shared" si="24"/>
        <v>4.1666666666666664E-2</v>
      </c>
    </row>
    <row r="102" spans="1:37" ht="15.75" thickBot="1" x14ac:dyDescent="0.3">
      <c r="A102" s="116" t="s">
        <v>105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9"/>
      <c r="AI102" s="56"/>
      <c r="AK102" s="57"/>
    </row>
    <row r="103" spans="1:37" x14ac:dyDescent="0.25">
      <c r="A103" s="120" t="s">
        <v>106</v>
      </c>
      <c r="B103" s="121">
        <f t="shared" ref="B103:B108" si="25">AF103</f>
        <v>9.9</v>
      </c>
      <c r="C103" s="54">
        <v>9.9</v>
      </c>
      <c r="D103" s="121">
        <f t="shared" ref="D103:S108" si="26">C103</f>
        <v>9.9</v>
      </c>
      <c r="E103" s="121">
        <f t="shared" si="26"/>
        <v>9.9</v>
      </c>
      <c r="F103" s="121">
        <f t="shared" si="26"/>
        <v>9.9</v>
      </c>
      <c r="G103" s="121">
        <f t="shared" si="26"/>
        <v>9.9</v>
      </c>
      <c r="H103" s="121">
        <f t="shared" si="26"/>
        <v>9.9</v>
      </c>
      <c r="I103" s="121">
        <f t="shared" si="26"/>
        <v>9.9</v>
      </c>
      <c r="J103" s="121">
        <f t="shared" si="26"/>
        <v>9.9</v>
      </c>
      <c r="K103" s="121">
        <f t="shared" si="26"/>
        <v>9.9</v>
      </c>
      <c r="L103" s="121">
        <f t="shared" si="26"/>
        <v>9.9</v>
      </c>
      <c r="M103" s="121">
        <f t="shared" si="26"/>
        <v>9.9</v>
      </c>
      <c r="N103" s="121">
        <f t="shared" si="26"/>
        <v>9.9</v>
      </c>
      <c r="O103" s="121">
        <f t="shared" si="26"/>
        <v>9.9</v>
      </c>
      <c r="P103" s="121">
        <f t="shared" si="26"/>
        <v>9.9</v>
      </c>
      <c r="Q103" s="121">
        <f t="shared" si="26"/>
        <v>9.9</v>
      </c>
      <c r="R103" s="121">
        <f t="shared" si="26"/>
        <v>9.9</v>
      </c>
      <c r="S103" s="121">
        <f t="shared" si="26"/>
        <v>9.9</v>
      </c>
      <c r="T103" s="121">
        <f t="shared" ref="T103:AF108" si="27">S103</f>
        <v>9.9</v>
      </c>
      <c r="U103" s="121">
        <f t="shared" si="27"/>
        <v>9.9</v>
      </c>
      <c r="V103" s="121">
        <f t="shared" si="27"/>
        <v>9.9</v>
      </c>
      <c r="W103" s="121">
        <f t="shared" si="27"/>
        <v>9.9</v>
      </c>
      <c r="X103" s="121">
        <f t="shared" si="27"/>
        <v>9.9</v>
      </c>
      <c r="Y103" s="121">
        <f t="shared" si="27"/>
        <v>9.9</v>
      </c>
      <c r="Z103" s="121">
        <f t="shared" si="27"/>
        <v>9.9</v>
      </c>
      <c r="AA103" s="121">
        <f t="shared" si="27"/>
        <v>9.9</v>
      </c>
      <c r="AB103" s="121">
        <f t="shared" si="27"/>
        <v>9.9</v>
      </c>
      <c r="AC103" s="121">
        <f t="shared" si="27"/>
        <v>9.9</v>
      </c>
      <c r="AD103" s="121">
        <f t="shared" si="27"/>
        <v>9.9</v>
      </c>
      <c r="AE103" s="121">
        <f t="shared" si="27"/>
        <v>9.9</v>
      </c>
      <c r="AF103" s="121">
        <f t="shared" si="27"/>
        <v>9.9</v>
      </c>
      <c r="AG103" s="122">
        <v>9.94</v>
      </c>
      <c r="AH103" s="55"/>
      <c r="AI103" s="56"/>
      <c r="AK103" s="57"/>
    </row>
    <row r="104" spans="1:37" x14ac:dyDescent="0.25">
      <c r="A104" s="109" t="s">
        <v>107</v>
      </c>
      <c r="B104" s="123">
        <f t="shared" si="25"/>
        <v>9.6</v>
      </c>
      <c r="C104" s="124">
        <v>9.6</v>
      </c>
      <c r="D104" s="123">
        <f t="shared" si="26"/>
        <v>9.6</v>
      </c>
      <c r="E104" s="123">
        <f t="shared" si="26"/>
        <v>9.6</v>
      </c>
      <c r="F104" s="123">
        <f t="shared" si="26"/>
        <v>9.6</v>
      </c>
      <c r="G104" s="123">
        <f t="shared" si="26"/>
        <v>9.6</v>
      </c>
      <c r="H104" s="123">
        <f t="shared" si="26"/>
        <v>9.6</v>
      </c>
      <c r="I104" s="123">
        <f t="shared" si="26"/>
        <v>9.6</v>
      </c>
      <c r="J104" s="123">
        <f t="shared" si="26"/>
        <v>9.6</v>
      </c>
      <c r="K104" s="123">
        <f t="shared" si="26"/>
        <v>9.6</v>
      </c>
      <c r="L104" s="123">
        <f t="shared" si="26"/>
        <v>9.6</v>
      </c>
      <c r="M104" s="123">
        <f t="shared" si="26"/>
        <v>9.6</v>
      </c>
      <c r="N104" s="123">
        <f t="shared" si="26"/>
        <v>9.6</v>
      </c>
      <c r="O104" s="123">
        <f t="shared" si="26"/>
        <v>9.6</v>
      </c>
      <c r="P104" s="123">
        <f t="shared" si="26"/>
        <v>9.6</v>
      </c>
      <c r="Q104" s="123">
        <f t="shared" si="26"/>
        <v>9.6</v>
      </c>
      <c r="R104" s="123">
        <f t="shared" si="26"/>
        <v>9.6</v>
      </c>
      <c r="S104" s="123">
        <f t="shared" si="26"/>
        <v>9.6</v>
      </c>
      <c r="T104" s="123">
        <f t="shared" si="27"/>
        <v>9.6</v>
      </c>
      <c r="U104" s="123">
        <f t="shared" si="27"/>
        <v>9.6</v>
      </c>
      <c r="V104" s="123">
        <f t="shared" si="27"/>
        <v>9.6</v>
      </c>
      <c r="W104" s="123">
        <f t="shared" si="27"/>
        <v>9.6</v>
      </c>
      <c r="X104" s="123">
        <f t="shared" si="27"/>
        <v>9.6</v>
      </c>
      <c r="Y104" s="123">
        <f t="shared" si="27"/>
        <v>9.6</v>
      </c>
      <c r="Z104" s="123">
        <f t="shared" si="27"/>
        <v>9.6</v>
      </c>
      <c r="AA104" s="123">
        <f t="shared" si="27"/>
        <v>9.6</v>
      </c>
      <c r="AB104" s="123">
        <f t="shared" si="27"/>
        <v>9.6</v>
      </c>
      <c r="AC104" s="123">
        <f t="shared" si="27"/>
        <v>9.6</v>
      </c>
      <c r="AD104" s="123">
        <f t="shared" si="27"/>
        <v>9.6</v>
      </c>
      <c r="AE104" s="123">
        <f t="shared" si="27"/>
        <v>9.6</v>
      </c>
      <c r="AF104" s="123">
        <f t="shared" si="27"/>
        <v>9.6</v>
      </c>
      <c r="AG104" s="125">
        <v>9.9</v>
      </c>
      <c r="AH104" s="55"/>
      <c r="AI104" s="56"/>
      <c r="AK104" s="57"/>
    </row>
    <row r="105" spans="1:37" x14ac:dyDescent="0.25">
      <c r="A105" s="111" t="s">
        <v>108</v>
      </c>
      <c r="B105" s="123">
        <f t="shared" si="25"/>
        <v>9.98</v>
      </c>
      <c r="C105" s="124">
        <v>9.98</v>
      </c>
      <c r="D105" s="123">
        <f t="shared" si="26"/>
        <v>9.98</v>
      </c>
      <c r="E105" s="123">
        <f t="shared" si="26"/>
        <v>9.98</v>
      </c>
      <c r="F105" s="123">
        <f t="shared" si="26"/>
        <v>9.98</v>
      </c>
      <c r="G105" s="123">
        <f t="shared" si="26"/>
        <v>9.98</v>
      </c>
      <c r="H105" s="123">
        <f t="shared" si="26"/>
        <v>9.98</v>
      </c>
      <c r="I105" s="123">
        <f t="shared" si="26"/>
        <v>9.98</v>
      </c>
      <c r="J105" s="123">
        <f t="shared" si="26"/>
        <v>9.98</v>
      </c>
      <c r="K105" s="123">
        <f t="shared" si="26"/>
        <v>9.98</v>
      </c>
      <c r="L105" s="123">
        <f t="shared" si="26"/>
        <v>9.98</v>
      </c>
      <c r="M105" s="123">
        <f t="shared" si="26"/>
        <v>9.98</v>
      </c>
      <c r="N105" s="123">
        <f t="shared" si="26"/>
        <v>9.98</v>
      </c>
      <c r="O105" s="123">
        <f t="shared" si="26"/>
        <v>9.98</v>
      </c>
      <c r="P105" s="123">
        <f t="shared" si="26"/>
        <v>9.98</v>
      </c>
      <c r="Q105" s="123">
        <f t="shared" si="26"/>
        <v>9.98</v>
      </c>
      <c r="R105" s="123">
        <f t="shared" si="26"/>
        <v>9.98</v>
      </c>
      <c r="S105" s="123">
        <f t="shared" si="26"/>
        <v>9.98</v>
      </c>
      <c r="T105" s="123">
        <f t="shared" si="27"/>
        <v>9.98</v>
      </c>
      <c r="U105" s="123">
        <f t="shared" si="27"/>
        <v>9.98</v>
      </c>
      <c r="V105" s="123">
        <f t="shared" si="27"/>
        <v>9.98</v>
      </c>
      <c r="W105" s="123">
        <f t="shared" si="27"/>
        <v>9.98</v>
      </c>
      <c r="X105" s="123">
        <f t="shared" si="27"/>
        <v>9.98</v>
      </c>
      <c r="Y105" s="123">
        <f t="shared" si="27"/>
        <v>9.98</v>
      </c>
      <c r="Z105" s="123">
        <f t="shared" si="27"/>
        <v>9.98</v>
      </c>
      <c r="AA105" s="123">
        <f t="shared" si="27"/>
        <v>9.98</v>
      </c>
      <c r="AB105" s="123">
        <f t="shared" si="27"/>
        <v>9.98</v>
      </c>
      <c r="AC105" s="123">
        <f t="shared" si="27"/>
        <v>9.98</v>
      </c>
      <c r="AD105" s="123">
        <f t="shared" si="27"/>
        <v>9.98</v>
      </c>
      <c r="AE105" s="123">
        <f t="shared" si="27"/>
        <v>9.98</v>
      </c>
      <c r="AF105" s="123">
        <f t="shared" si="27"/>
        <v>9.98</v>
      </c>
      <c r="AG105" s="126">
        <v>9.6579999999999995</v>
      </c>
      <c r="AH105" s="55"/>
      <c r="AI105" s="56"/>
      <c r="AK105" s="57"/>
    </row>
    <row r="106" spans="1:37" x14ac:dyDescent="0.25">
      <c r="A106" s="111" t="s">
        <v>109</v>
      </c>
      <c r="B106" s="123">
        <f t="shared" si="25"/>
        <v>9.1</v>
      </c>
      <c r="C106" s="124">
        <v>9.1</v>
      </c>
      <c r="D106" s="123">
        <f t="shared" si="26"/>
        <v>9.1</v>
      </c>
      <c r="E106" s="123">
        <f t="shared" si="26"/>
        <v>9.1</v>
      </c>
      <c r="F106" s="123">
        <f t="shared" si="26"/>
        <v>9.1</v>
      </c>
      <c r="G106" s="123">
        <f t="shared" si="26"/>
        <v>9.1</v>
      </c>
      <c r="H106" s="123">
        <f t="shared" si="26"/>
        <v>9.1</v>
      </c>
      <c r="I106" s="123">
        <f t="shared" si="26"/>
        <v>9.1</v>
      </c>
      <c r="J106" s="123">
        <f t="shared" si="26"/>
        <v>9.1</v>
      </c>
      <c r="K106" s="123">
        <f t="shared" si="26"/>
        <v>9.1</v>
      </c>
      <c r="L106" s="123">
        <f t="shared" si="26"/>
        <v>9.1</v>
      </c>
      <c r="M106" s="123">
        <f t="shared" si="26"/>
        <v>9.1</v>
      </c>
      <c r="N106" s="123">
        <f t="shared" si="26"/>
        <v>9.1</v>
      </c>
      <c r="O106" s="123">
        <f t="shared" si="26"/>
        <v>9.1</v>
      </c>
      <c r="P106" s="123">
        <f t="shared" si="26"/>
        <v>9.1</v>
      </c>
      <c r="Q106" s="123">
        <f t="shared" si="26"/>
        <v>9.1</v>
      </c>
      <c r="R106" s="123">
        <f t="shared" si="26"/>
        <v>9.1</v>
      </c>
      <c r="S106" s="123">
        <f t="shared" si="26"/>
        <v>9.1</v>
      </c>
      <c r="T106" s="123">
        <f t="shared" si="27"/>
        <v>9.1</v>
      </c>
      <c r="U106" s="123">
        <f t="shared" si="27"/>
        <v>9.1</v>
      </c>
      <c r="V106" s="123">
        <f t="shared" si="27"/>
        <v>9.1</v>
      </c>
      <c r="W106" s="123">
        <f t="shared" si="27"/>
        <v>9.1</v>
      </c>
      <c r="X106" s="123">
        <f t="shared" si="27"/>
        <v>9.1</v>
      </c>
      <c r="Y106" s="123">
        <f t="shared" si="27"/>
        <v>9.1</v>
      </c>
      <c r="Z106" s="123">
        <f t="shared" si="27"/>
        <v>9.1</v>
      </c>
      <c r="AA106" s="123">
        <f t="shared" si="27"/>
        <v>9.1</v>
      </c>
      <c r="AB106" s="123">
        <f t="shared" si="27"/>
        <v>9.1</v>
      </c>
      <c r="AC106" s="123">
        <f t="shared" si="27"/>
        <v>9.1</v>
      </c>
      <c r="AD106" s="123">
        <f t="shared" si="27"/>
        <v>9.1</v>
      </c>
      <c r="AE106" s="123">
        <f t="shared" si="27"/>
        <v>9.1</v>
      </c>
      <c r="AF106" s="123">
        <f t="shared" si="27"/>
        <v>9.1</v>
      </c>
      <c r="AG106" s="126">
        <v>9.6</v>
      </c>
      <c r="AH106" s="55"/>
      <c r="AI106" s="56"/>
      <c r="AK106" s="57"/>
    </row>
    <row r="107" spans="1:37" x14ac:dyDescent="0.25">
      <c r="A107" s="111" t="s">
        <v>110</v>
      </c>
      <c r="B107" s="123">
        <f t="shared" si="25"/>
        <v>9.18</v>
      </c>
      <c r="C107" s="124">
        <v>9.18</v>
      </c>
      <c r="D107" s="123">
        <f t="shared" si="26"/>
        <v>9.18</v>
      </c>
      <c r="E107" s="123">
        <f t="shared" si="26"/>
        <v>9.18</v>
      </c>
      <c r="F107" s="123">
        <f t="shared" si="26"/>
        <v>9.18</v>
      </c>
      <c r="G107" s="123">
        <f t="shared" si="26"/>
        <v>9.18</v>
      </c>
      <c r="H107" s="123">
        <f t="shared" si="26"/>
        <v>9.18</v>
      </c>
      <c r="I107" s="123">
        <f t="shared" si="26"/>
        <v>9.18</v>
      </c>
      <c r="J107" s="123">
        <f t="shared" si="26"/>
        <v>9.18</v>
      </c>
      <c r="K107" s="123">
        <f t="shared" si="26"/>
        <v>9.18</v>
      </c>
      <c r="L107" s="123">
        <f t="shared" si="26"/>
        <v>9.18</v>
      </c>
      <c r="M107" s="123">
        <f t="shared" si="26"/>
        <v>9.18</v>
      </c>
      <c r="N107" s="123">
        <f t="shared" si="26"/>
        <v>9.18</v>
      </c>
      <c r="O107" s="123">
        <f t="shared" si="26"/>
        <v>9.18</v>
      </c>
      <c r="P107" s="123">
        <f t="shared" si="26"/>
        <v>9.18</v>
      </c>
      <c r="Q107" s="123">
        <f t="shared" si="26"/>
        <v>9.18</v>
      </c>
      <c r="R107" s="123">
        <f t="shared" si="26"/>
        <v>9.18</v>
      </c>
      <c r="S107" s="123">
        <f t="shared" si="26"/>
        <v>9.18</v>
      </c>
      <c r="T107" s="123">
        <f t="shared" si="27"/>
        <v>9.18</v>
      </c>
      <c r="U107" s="123">
        <f t="shared" si="27"/>
        <v>9.18</v>
      </c>
      <c r="V107" s="123">
        <f t="shared" si="27"/>
        <v>9.18</v>
      </c>
      <c r="W107" s="123">
        <f t="shared" si="27"/>
        <v>9.18</v>
      </c>
      <c r="X107" s="123">
        <f t="shared" si="27"/>
        <v>9.18</v>
      </c>
      <c r="Y107" s="123">
        <f t="shared" si="27"/>
        <v>9.18</v>
      </c>
      <c r="Z107" s="123">
        <f t="shared" si="27"/>
        <v>9.18</v>
      </c>
      <c r="AA107" s="123">
        <f t="shared" si="27"/>
        <v>9.18</v>
      </c>
      <c r="AB107" s="123">
        <f t="shared" si="27"/>
        <v>9.18</v>
      </c>
      <c r="AC107" s="123">
        <f t="shared" si="27"/>
        <v>9.18</v>
      </c>
      <c r="AD107" s="123">
        <f t="shared" si="27"/>
        <v>9.18</v>
      </c>
      <c r="AE107" s="123">
        <f t="shared" si="27"/>
        <v>9.18</v>
      </c>
      <c r="AF107" s="123">
        <f t="shared" si="27"/>
        <v>9.18</v>
      </c>
      <c r="AG107" s="126">
        <v>9.51</v>
      </c>
      <c r="AH107" s="55"/>
      <c r="AI107" s="56"/>
      <c r="AK107" s="57"/>
    </row>
    <row r="108" spans="1:37" x14ac:dyDescent="0.25">
      <c r="A108" s="111" t="s">
        <v>111</v>
      </c>
      <c r="B108" s="123">
        <f t="shared" si="25"/>
        <v>7</v>
      </c>
      <c r="C108" s="124">
        <v>7</v>
      </c>
      <c r="D108" s="123">
        <f t="shared" si="26"/>
        <v>7</v>
      </c>
      <c r="E108" s="123">
        <f t="shared" si="26"/>
        <v>7</v>
      </c>
      <c r="F108" s="123">
        <f t="shared" si="26"/>
        <v>7</v>
      </c>
      <c r="G108" s="123">
        <f t="shared" si="26"/>
        <v>7</v>
      </c>
      <c r="H108" s="123">
        <f t="shared" si="26"/>
        <v>7</v>
      </c>
      <c r="I108" s="123">
        <f t="shared" si="26"/>
        <v>7</v>
      </c>
      <c r="J108" s="123">
        <f t="shared" si="26"/>
        <v>7</v>
      </c>
      <c r="K108" s="123">
        <f t="shared" si="26"/>
        <v>7</v>
      </c>
      <c r="L108" s="123">
        <f t="shared" si="26"/>
        <v>7</v>
      </c>
      <c r="M108" s="123">
        <f t="shared" si="26"/>
        <v>7</v>
      </c>
      <c r="N108" s="123">
        <f t="shared" si="26"/>
        <v>7</v>
      </c>
      <c r="O108" s="123">
        <f t="shared" si="26"/>
        <v>7</v>
      </c>
      <c r="P108" s="123">
        <f t="shared" si="26"/>
        <v>7</v>
      </c>
      <c r="Q108" s="123">
        <f t="shared" si="26"/>
        <v>7</v>
      </c>
      <c r="R108" s="123">
        <f t="shared" si="26"/>
        <v>7</v>
      </c>
      <c r="S108" s="123">
        <f t="shared" si="26"/>
        <v>7</v>
      </c>
      <c r="T108" s="123">
        <f t="shared" si="27"/>
        <v>7</v>
      </c>
      <c r="U108" s="123">
        <f t="shared" si="27"/>
        <v>7</v>
      </c>
      <c r="V108" s="123">
        <f t="shared" si="27"/>
        <v>7</v>
      </c>
      <c r="W108" s="123">
        <f t="shared" si="27"/>
        <v>7</v>
      </c>
      <c r="X108" s="123">
        <f t="shared" si="27"/>
        <v>7</v>
      </c>
      <c r="Y108" s="123">
        <f t="shared" si="27"/>
        <v>7</v>
      </c>
      <c r="Z108" s="123">
        <f t="shared" si="27"/>
        <v>7</v>
      </c>
      <c r="AA108" s="123">
        <f t="shared" si="27"/>
        <v>7</v>
      </c>
      <c r="AB108" s="123">
        <f t="shared" si="27"/>
        <v>7</v>
      </c>
      <c r="AC108" s="123">
        <f t="shared" si="27"/>
        <v>7</v>
      </c>
      <c r="AD108" s="123">
        <f t="shared" si="27"/>
        <v>7</v>
      </c>
      <c r="AE108" s="123">
        <f t="shared" si="27"/>
        <v>7</v>
      </c>
      <c r="AF108" s="123">
        <f t="shared" si="27"/>
        <v>7</v>
      </c>
      <c r="AG108" s="126">
        <v>9.4</v>
      </c>
      <c r="AH108" s="55"/>
      <c r="AI108" s="56"/>
      <c r="AK108" s="57"/>
    </row>
    <row r="109" spans="1:37" x14ac:dyDescent="0.25">
      <c r="A109" s="111" t="s">
        <v>112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5"/>
      <c r="AI109" s="56"/>
      <c r="AK109" s="57"/>
    </row>
    <row r="110" spans="1:37" x14ac:dyDescent="0.25">
      <c r="A110" s="111" t="s">
        <v>113</v>
      </c>
      <c r="B110" s="123">
        <f>AF110</f>
        <v>2.25</v>
      </c>
      <c r="C110" s="124">
        <v>2.25</v>
      </c>
      <c r="D110" s="123">
        <f t="shared" ref="D110:S111" si="28">C110</f>
        <v>2.25</v>
      </c>
      <c r="E110" s="123">
        <f t="shared" si="28"/>
        <v>2.25</v>
      </c>
      <c r="F110" s="123">
        <f t="shared" si="28"/>
        <v>2.25</v>
      </c>
      <c r="G110" s="123">
        <f t="shared" si="28"/>
        <v>2.25</v>
      </c>
      <c r="H110" s="123">
        <f t="shared" si="28"/>
        <v>2.25</v>
      </c>
      <c r="I110" s="123">
        <f t="shared" si="28"/>
        <v>2.25</v>
      </c>
      <c r="J110" s="123">
        <f t="shared" si="28"/>
        <v>2.25</v>
      </c>
      <c r="K110" s="123">
        <f t="shared" si="28"/>
        <v>2.25</v>
      </c>
      <c r="L110" s="123">
        <f t="shared" si="28"/>
        <v>2.25</v>
      </c>
      <c r="M110" s="123">
        <f t="shared" si="28"/>
        <v>2.25</v>
      </c>
      <c r="N110" s="123">
        <f t="shared" si="28"/>
        <v>2.25</v>
      </c>
      <c r="O110" s="123">
        <f t="shared" si="28"/>
        <v>2.25</v>
      </c>
      <c r="P110" s="123">
        <f t="shared" si="28"/>
        <v>2.25</v>
      </c>
      <c r="Q110" s="123">
        <f t="shared" si="28"/>
        <v>2.25</v>
      </c>
      <c r="R110" s="123">
        <f t="shared" si="28"/>
        <v>2.25</v>
      </c>
      <c r="S110" s="123">
        <f t="shared" si="28"/>
        <v>2.25</v>
      </c>
      <c r="T110" s="123">
        <f t="shared" ref="T110:AF111" si="29">S110</f>
        <v>2.25</v>
      </c>
      <c r="U110" s="123">
        <f t="shared" si="29"/>
        <v>2.25</v>
      </c>
      <c r="V110" s="123">
        <f t="shared" si="29"/>
        <v>2.25</v>
      </c>
      <c r="W110" s="123">
        <f t="shared" si="29"/>
        <v>2.25</v>
      </c>
      <c r="X110" s="123">
        <f t="shared" si="29"/>
        <v>2.25</v>
      </c>
      <c r="Y110" s="123">
        <f t="shared" si="29"/>
        <v>2.25</v>
      </c>
      <c r="Z110" s="123">
        <f t="shared" si="29"/>
        <v>2.25</v>
      </c>
      <c r="AA110" s="123">
        <f t="shared" si="29"/>
        <v>2.25</v>
      </c>
      <c r="AB110" s="123">
        <f t="shared" si="29"/>
        <v>2.25</v>
      </c>
      <c r="AC110" s="123">
        <f t="shared" si="29"/>
        <v>2.25</v>
      </c>
      <c r="AD110" s="123">
        <f t="shared" si="29"/>
        <v>2.25</v>
      </c>
      <c r="AE110" s="123">
        <f t="shared" si="29"/>
        <v>2.25</v>
      </c>
      <c r="AF110" s="123">
        <f t="shared" si="29"/>
        <v>2.25</v>
      </c>
      <c r="AG110" s="126">
        <v>8.5</v>
      </c>
      <c r="AH110" s="55"/>
      <c r="AI110" s="56"/>
      <c r="AK110" s="57"/>
    </row>
    <row r="111" spans="1:37" x14ac:dyDescent="0.25">
      <c r="A111" s="111" t="s">
        <v>114</v>
      </c>
      <c r="B111" s="123">
        <f>AF111</f>
        <v>1.64</v>
      </c>
      <c r="C111" s="124">
        <v>1.64</v>
      </c>
      <c r="D111" s="123">
        <f t="shared" si="28"/>
        <v>1.64</v>
      </c>
      <c r="E111" s="123">
        <f t="shared" si="28"/>
        <v>1.64</v>
      </c>
      <c r="F111" s="123">
        <f t="shared" si="28"/>
        <v>1.64</v>
      </c>
      <c r="G111" s="123">
        <f t="shared" si="28"/>
        <v>1.64</v>
      </c>
      <c r="H111" s="123">
        <f t="shared" si="28"/>
        <v>1.64</v>
      </c>
      <c r="I111" s="123">
        <f t="shared" si="28"/>
        <v>1.64</v>
      </c>
      <c r="J111" s="123">
        <f t="shared" si="28"/>
        <v>1.64</v>
      </c>
      <c r="K111" s="123">
        <f t="shared" si="28"/>
        <v>1.64</v>
      </c>
      <c r="L111" s="123">
        <f t="shared" si="28"/>
        <v>1.64</v>
      </c>
      <c r="M111" s="123">
        <f t="shared" si="28"/>
        <v>1.64</v>
      </c>
      <c r="N111" s="123">
        <f t="shared" si="28"/>
        <v>1.64</v>
      </c>
      <c r="O111" s="123">
        <f t="shared" si="28"/>
        <v>1.64</v>
      </c>
      <c r="P111" s="123">
        <f t="shared" si="28"/>
        <v>1.64</v>
      </c>
      <c r="Q111" s="123">
        <f t="shared" si="28"/>
        <v>1.64</v>
      </c>
      <c r="R111" s="123">
        <f t="shared" si="28"/>
        <v>1.64</v>
      </c>
      <c r="S111" s="123">
        <f t="shared" si="28"/>
        <v>1.64</v>
      </c>
      <c r="T111" s="123">
        <f t="shared" si="29"/>
        <v>1.64</v>
      </c>
      <c r="U111" s="123">
        <f t="shared" si="29"/>
        <v>1.64</v>
      </c>
      <c r="V111" s="123">
        <f t="shared" si="29"/>
        <v>1.64</v>
      </c>
      <c r="W111" s="123">
        <f t="shared" si="29"/>
        <v>1.64</v>
      </c>
      <c r="X111" s="123">
        <f t="shared" si="29"/>
        <v>1.64</v>
      </c>
      <c r="Y111" s="123">
        <f t="shared" si="29"/>
        <v>1.64</v>
      </c>
      <c r="Z111" s="123">
        <f t="shared" si="29"/>
        <v>1.64</v>
      </c>
      <c r="AA111" s="123">
        <f t="shared" si="29"/>
        <v>1.64</v>
      </c>
      <c r="AB111" s="123">
        <f t="shared" si="29"/>
        <v>1.64</v>
      </c>
      <c r="AC111" s="123">
        <f t="shared" si="29"/>
        <v>1.64</v>
      </c>
      <c r="AD111" s="123">
        <f t="shared" si="29"/>
        <v>1.64</v>
      </c>
      <c r="AE111" s="123">
        <f t="shared" si="29"/>
        <v>1.64</v>
      </c>
      <c r="AF111" s="123">
        <f t="shared" si="29"/>
        <v>1.64</v>
      </c>
      <c r="AG111" s="126">
        <v>8.5</v>
      </c>
      <c r="AH111" s="55"/>
      <c r="AI111" s="56"/>
      <c r="AK111" s="57"/>
    </row>
    <row r="112" spans="1:37" x14ac:dyDescent="0.25">
      <c r="A112" s="111" t="s">
        <v>115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5"/>
      <c r="AI112" s="56"/>
      <c r="AK112" s="57"/>
    </row>
    <row r="113" spans="1:37" ht="13.5" customHeight="1" x14ac:dyDescent="0.25">
      <c r="A113" s="111" t="s">
        <v>116</v>
      </c>
      <c r="B113" s="123">
        <f t="shared" ref="B113:B130" si="30">AF113</f>
        <v>1.62</v>
      </c>
      <c r="C113" s="124">
        <v>1.62</v>
      </c>
      <c r="D113" s="123">
        <f t="shared" ref="D113:S120" si="31">C113</f>
        <v>1.62</v>
      </c>
      <c r="E113" s="123">
        <f t="shared" si="31"/>
        <v>1.62</v>
      </c>
      <c r="F113" s="123">
        <f t="shared" si="31"/>
        <v>1.62</v>
      </c>
      <c r="G113" s="123">
        <f t="shared" si="31"/>
        <v>1.62</v>
      </c>
      <c r="H113" s="123">
        <f t="shared" si="31"/>
        <v>1.62</v>
      </c>
      <c r="I113" s="123">
        <f t="shared" si="31"/>
        <v>1.62</v>
      </c>
      <c r="J113" s="123">
        <f t="shared" si="31"/>
        <v>1.62</v>
      </c>
      <c r="K113" s="123">
        <f t="shared" si="31"/>
        <v>1.62</v>
      </c>
      <c r="L113" s="123">
        <f t="shared" si="31"/>
        <v>1.62</v>
      </c>
      <c r="M113" s="123">
        <f t="shared" si="31"/>
        <v>1.62</v>
      </c>
      <c r="N113" s="123">
        <f t="shared" si="31"/>
        <v>1.62</v>
      </c>
      <c r="O113" s="123">
        <f t="shared" si="31"/>
        <v>1.62</v>
      </c>
      <c r="P113" s="123">
        <f t="shared" si="31"/>
        <v>1.62</v>
      </c>
      <c r="Q113" s="123">
        <f t="shared" si="31"/>
        <v>1.62</v>
      </c>
      <c r="R113" s="123">
        <f t="shared" si="31"/>
        <v>1.62</v>
      </c>
      <c r="S113" s="123">
        <f t="shared" si="31"/>
        <v>1.62</v>
      </c>
      <c r="T113" s="123">
        <f t="shared" ref="T113:AF128" si="32">S113</f>
        <v>1.62</v>
      </c>
      <c r="U113" s="123">
        <f t="shared" si="32"/>
        <v>1.62</v>
      </c>
      <c r="V113" s="123">
        <f t="shared" si="32"/>
        <v>1.62</v>
      </c>
      <c r="W113" s="123">
        <f t="shared" si="32"/>
        <v>1.62</v>
      </c>
      <c r="X113" s="123">
        <f t="shared" si="32"/>
        <v>1.62</v>
      </c>
      <c r="Y113" s="123">
        <f t="shared" si="32"/>
        <v>1.62</v>
      </c>
      <c r="Z113" s="123">
        <f t="shared" si="32"/>
        <v>1.62</v>
      </c>
      <c r="AA113" s="123">
        <f t="shared" si="32"/>
        <v>1.62</v>
      </c>
      <c r="AB113" s="123">
        <f t="shared" si="32"/>
        <v>1.62</v>
      </c>
      <c r="AC113" s="123">
        <f t="shared" si="32"/>
        <v>1.62</v>
      </c>
      <c r="AD113" s="123">
        <f t="shared" si="32"/>
        <v>1.62</v>
      </c>
      <c r="AE113" s="123">
        <f t="shared" si="32"/>
        <v>1.62</v>
      </c>
      <c r="AF113" s="123">
        <f t="shared" si="32"/>
        <v>1.62</v>
      </c>
      <c r="AG113" s="126">
        <v>8</v>
      </c>
      <c r="AH113" s="55"/>
      <c r="AI113" s="56"/>
      <c r="AK113" s="57"/>
    </row>
    <row r="114" spans="1:37" x14ac:dyDescent="0.25">
      <c r="A114" s="111" t="s">
        <v>117</v>
      </c>
      <c r="B114" s="123">
        <f t="shared" si="30"/>
        <v>8.36</v>
      </c>
      <c r="C114" s="124">
        <v>8.36</v>
      </c>
      <c r="D114" s="123">
        <f t="shared" si="31"/>
        <v>8.36</v>
      </c>
      <c r="E114" s="123">
        <f t="shared" si="31"/>
        <v>8.36</v>
      </c>
      <c r="F114" s="123">
        <f t="shared" si="31"/>
        <v>8.36</v>
      </c>
      <c r="G114" s="123">
        <f t="shared" si="31"/>
        <v>8.36</v>
      </c>
      <c r="H114" s="123">
        <f t="shared" si="31"/>
        <v>8.36</v>
      </c>
      <c r="I114" s="123">
        <f t="shared" si="31"/>
        <v>8.36</v>
      </c>
      <c r="J114" s="123">
        <f t="shared" si="31"/>
        <v>8.36</v>
      </c>
      <c r="K114" s="123">
        <f t="shared" si="31"/>
        <v>8.36</v>
      </c>
      <c r="L114" s="123">
        <f t="shared" si="31"/>
        <v>8.36</v>
      </c>
      <c r="M114" s="123">
        <f t="shared" si="31"/>
        <v>8.36</v>
      </c>
      <c r="N114" s="123">
        <f t="shared" si="31"/>
        <v>8.36</v>
      </c>
      <c r="O114" s="123">
        <f t="shared" si="31"/>
        <v>8.36</v>
      </c>
      <c r="P114" s="123">
        <f t="shared" si="31"/>
        <v>8.36</v>
      </c>
      <c r="Q114" s="123">
        <f t="shared" si="31"/>
        <v>8.36</v>
      </c>
      <c r="R114" s="123">
        <f t="shared" si="31"/>
        <v>8.36</v>
      </c>
      <c r="S114" s="123">
        <f t="shared" si="31"/>
        <v>8.36</v>
      </c>
      <c r="T114" s="123">
        <f t="shared" si="32"/>
        <v>8.36</v>
      </c>
      <c r="U114" s="123">
        <f t="shared" si="32"/>
        <v>8.36</v>
      </c>
      <c r="V114" s="123">
        <f t="shared" si="32"/>
        <v>8.36</v>
      </c>
      <c r="W114" s="123">
        <f t="shared" si="32"/>
        <v>8.36</v>
      </c>
      <c r="X114" s="123">
        <f t="shared" si="32"/>
        <v>8.36</v>
      </c>
      <c r="Y114" s="123">
        <f t="shared" si="32"/>
        <v>8.36</v>
      </c>
      <c r="Z114" s="123">
        <f t="shared" si="32"/>
        <v>8.36</v>
      </c>
      <c r="AA114" s="123">
        <f t="shared" si="32"/>
        <v>8.36</v>
      </c>
      <c r="AB114" s="123">
        <f t="shared" si="32"/>
        <v>8.36</v>
      </c>
      <c r="AC114" s="123">
        <f t="shared" si="32"/>
        <v>8.36</v>
      </c>
      <c r="AD114" s="123">
        <f t="shared" si="32"/>
        <v>8.36</v>
      </c>
      <c r="AE114" s="123">
        <f t="shared" si="32"/>
        <v>8.36</v>
      </c>
      <c r="AF114" s="123">
        <f t="shared" si="32"/>
        <v>8.36</v>
      </c>
      <c r="AG114" s="126">
        <v>8</v>
      </c>
      <c r="AH114" s="55"/>
      <c r="AI114" s="56"/>
      <c r="AK114" s="57"/>
    </row>
    <row r="115" spans="1:37" x14ac:dyDescent="0.25">
      <c r="A115" s="111" t="s">
        <v>118</v>
      </c>
      <c r="B115" s="123">
        <f t="shared" si="30"/>
        <v>5.4</v>
      </c>
      <c r="C115" s="124">
        <v>8</v>
      </c>
      <c r="D115" s="123">
        <f t="shared" si="31"/>
        <v>8</v>
      </c>
      <c r="E115" s="123">
        <f t="shared" si="31"/>
        <v>8</v>
      </c>
      <c r="F115" s="123">
        <f t="shared" si="31"/>
        <v>8</v>
      </c>
      <c r="G115" s="123">
        <f t="shared" si="31"/>
        <v>8</v>
      </c>
      <c r="H115" s="123">
        <f t="shared" si="31"/>
        <v>8</v>
      </c>
      <c r="I115" s="123">
        <f t="shared" si="31"/>
        <v>8</v>
      </c>
      <c r="J115" s="123">
        <v>5.4</v>
      </c>
      <c r="K115" s="123">
        <f t="shared" si="31"/>
        <v>5.4</v>
      </c>
      <c r="L115" s="123">
        <f t="shared" si="31"/>
        <v>5.4</v>
      </c>
      <c r="M115" s="123">
        <f t="shared" si="31"/>
        <v>5.4</v>
      </c>
      <c r="N115" s="123">
        <f t="shared" si="31"/>
        <v>5.4</v>
      </c>
      <c r="O115" s="123">
        <f t="shared" si="31"/>
        <v>5.4</v>
      </c>
      <c r="P115" s="123">
        <f t="shared" si="31"/>
        <v>5.4</v>
      </c>
      <c r="Q115" s="123">
        <f t="shared" si="31"/>
        <v>5.4</v>
      </c>
      <c r="R115" s="123">
        <f t="shared" si="31"/>
        <v>5.4</v>
      </c>
      <c r="S115" s="123">
        <f t="shared" si="31"/>
        <v>5.4</v>
      </c>
      <c r="T115" s="123">
        <f t="shared" si="32"/>
        <v>5.4</v>
      </c>
      <c r="U115" s="123">
        <f t="shared" si="32"/>
        <v>5.4</v>
      </c>
      <c r="V115" s="123">
        <f t="shared" si="32"/>
        <v>5.4</v>
      </c>
      <c r="W115" s="123">
        <f t="shared" si="32"/>
        <v>5.4</v>
      </c>
      <c r="X115" s="123">
        <f t="shared" si="32"/>
        <v>5.4</v>
      </c>
      <c r="Y115" s="123">
        <f t="shared" si="32"/>
        <v>5.4</v>
      </c>
      <c r="Z115" s="123">
        <f t="shared" si="32"/>
        <v>5.4</v>
      </c>
      <c r="AA115" s="123">
        <f t="shared" si="32"/>
        <v>5.4</v>
      </c>
      <c r="AB115" s="123">
        <f t="shared" si="32"/>
        <v>5.4</v>
      </c>
      <c r="AC115" s="123">
        <f t="shared" si="32"/>
        <v>5.4</v>
      </c>
      <c r="AD115" s="123">
        <f t="shared" si="32"/>
        <v>5.4</v>
      </c>
      <c r="AE115" s="123">
        <f t="shared" si="32"/>
        <v>5.4</v>
      </c>
      <c r="AF115" s="123">
        <f t="shared" si="32"/>
        <v>5.4</v>
      </c>
      <c r="AG115" s="126">
        <v>8</v>
      </c>
      <c r="AH115" s="55"/>
      <c r="AI115" s="56"/>
      <c r="AK115" s="57"/>
    </row>
    <row r="116" spans="1:37" x14ac:dyDescent="0.25">
      <c r="A116" s="111" t="s">
        <v>119</v>
      </c>
      <c r="B116" s="123">
        <f t="shared" si="30"/>
        <v>6.57</v>
      </c>
      <c r="C116" s="124">
        <v>6.57</v>
      </c>
      <c r="D116" s="123">
        <f t="shared" si="31"/>
        <v>6.57</v>
      </c>
      <c r="E116" s="123">
        <f t="shared" si="31"/>
        <v>6.57</v>
      </c>
      <c r="F116" s="123">
        <f t="shared" si="31"/>
        <v>6.57</v>
      </c>
      <c r="G116" s="123">
        <f t="shared" si="31"/>
        <v>6.57</v>
      </c>
      <c r="H116" s="123">
        <f t="shared" si="31"/>
        <v>6.57</v>
      </c>
      <c r="I116" s="123">
        <f t="shared" si="31"/>
        <v>6.57</v>
      </c>
      <c r="J116" s="123">
        <f t="shared" si="31"/>
        <v>6.57</v>
      </c>
      <c r="K116" s="123">
        <f t="shared" si="31"/>
        <v>6.57</v>
      </c>
      <c r="L116" s="123">
        <f t="shared" si="31"/>
        <v>6.57</v>
      </c>
      <c r="M116" s="123">
        <f t="shared" si="31"/>
        <v>6.57</v>
      </c>
      <c r="N116" s="123">
        <f t="shared" si="31"/>
        <v>6.57</v>
      </c>
      <c r="O116" s="123">
        <f t="shared" si="31"/>
        <v>6.57</v>
      </c>
      <c r="P116" s="123">
        <f t="shared" si="31"/>
        <v>6.57</v>
      </c>
      <c r="Q116" s="123">
        <f t="shared" si="31"/>
        <v>6.57</v>
      </c>
      <c r="R116" s="123">
        <f t="shared" si="31"/>
        <v>6.57</v>
      </c>
      <c r="S116" s="123">
        <f t="shared" si="31"/>
        <v>6.57</v>
      </c>
      <c r="T116" s="123">
        <f t="shared" si="32"/>
        <v>6.57</v>
      </c>
      <c r="U116" s="123">
        <f t="shared" si="32"/>
        <v>6.57</v>
      </c>
      <c r="V116" s="123">
        <f t="shared" si="32"/>
        <v>6.57</v>
      </c>
      <c r="W116" s="123">
        <f t="shared" si="32"/>
        <v>6.57</v>
      </c>
      <c r="X116" s="123">
        <f t="shared" si="32"/>
        <v>6.57</v>
      </c>
      <c r="Y116" s="123">
        <f t="shared" si="32"/>
        <v>6.57</v>
      </c>
      <c r="Z116" s="123">
        <f t="shared" si="32"/>
        <v>6.57</v>
      </c>
      <c r="AA116" s="123">
        <f t="shared" si="32"/>
        <v>6.57</v>
      </c>
      <c r="AB116" s="123">
        <f t="shared" si="32"/>
        <v>6.57</v>
      </c>
      <c r="AC116" s="123">
        <f t="shared" si="32"/>
        <v>6.57</v>
      </c>
      <c r="AD116" s="123">
        <f t="shared" si="32"/>
        <v>6.57</v>
      </c>
      <c r="AE116" s="123">
        <f t="shared" si="32"/>
        <v>6.57</v>
      </c>
      <c r="AF116" s="123">
        <f t="shared" si="32"/>
        <v>6.57</v>
      </c>
      <c r="AG116" s="126">
        <v>7.8</v>
      </c>
      <c r="AH116" s="55"/>
      <c r="AI116" s="56"/>
      <c r="AK116" s="57"/>
    </row>
    <row r="117" spans="1:37" x14ac:dyDescent="0.25">
      <c r="A117" s="111" t="s">
        <v>120</v>
      </c>
      <c r="B117" s="123">
        <f t="shared" si="30"/>
        <v>3.43</v>
      </c>
      <c r="C117" s="124">
        <v>3.43</v>
      </c>
      <c r="D117" s="123">
        <f t="shared" si="31"/>
        <v>3.43</v>
      </c>
      <c r="E117" s="123">
        <f t="shared" si="31"/>
        <v>3.43</v>
      </c>
      <c r="F117" s="123">
        <f t="shared" si="31"/>
        <v>3.43</v>
      </c>
      <c r="G117" s="123">
        <f t="shared" si="31"/>
        <v>3.43</v>
      </c>
      <c r="H117" s="123">
        <f t="shared" si="31"/>
        <v>3.43</v>
      </c>
      <c r="I117" s="123">
        <f t="shared" si="31"/>
        <v>3.43</v>
      </c>
      <c r="J117" s="123">
        <f t="shared" si="31"/>
        <v>3.43</v>
      </c>
      <c r="K117" s="123">
        <f t="shared" si="31"/>
        <v>3.43</v>
      </c>
      <c r="L117" s="123">
        <f t="shared" si="31"/>
        <v>3.43</v>
      </c>
      <c r="M117" s="123">
        <f t="shared" si="31"/>
        <v>3.43</v>
      </c>
      <c r="N117" s="123">
        <f t="shared" si="31"/>
        <v>3.43</v>
      </c>
      <c r="O117" s="123">
        <f t="shared" si="31"/>
        <v>3.43</v>
      </c>
      <c r="P117" s="123">
        <f t="shared" si="31"/>
        <v>3.43</v>
      </c>
      <c r="Q117" s="123">
        <f t="shared" si="31"/>
        <v>3.43</v>
      </c>
      <c r="R117" s="123">
        <f t="shared" si="31"/>
        <v>3.43</v>
      </c>
      <c r="S117" s="123">
        <f t="shared" si="31"/>
        <v>3.43</v>
      </c>
      <c r="T117" s="123">
        <f t="shared" si="32"/>
        <v>3.43</v>
      </c>
      <c r="U117" s="123">
        <f t="shared" si="32"/>
        <v>3.43</v>
      </c>
      <c r="V117" s="123">
        <f t="shared" si="32"/>
        <v>3.43</v>
      </c>
      <c r="W117" s="123">
        <f t="shared" si="32"/>
        <v>3.43</v>
      </c>
      <c r="X117" s="123">
        <f t="shared" si="32"/>
        <v>3.43</v>
      </c>
      <c r="Y117" s="123">
        <f t="shared" si="32"/>
        <v>3.43</v>
      </c>
      <c r="Z117" s="123">
        <f t="shared" si="32"/>
        <v>3.43</v>
      </c>
      <c r="AA117" s="123">
        <f t="shared" si="32"/>
        <v>3.43</v>
      </c>
      <c r="AB117" s="123">
        <f t="shared" si="32"/>
        <v>3.43</v>
      </c>
      <c r="AC117" s="123">
        <f t="shared" si="32"/>
        <v>3.43</v>
      </c>
      <c r="AD117" s="123">
        <f t="shared" si="32"/>
        <v>3.43</v>
      </c>
      <c r="AE117" s="123">
        <f t="shared" si="32"/>
        <v>3.43</v>
      </c>
      <c r="AF117" s="123">
        <f t="shared" si="32"/>
        <v>3.43</v>
      </c>
      <c r="AG117" s="126">
        <v>7.6</v>
      </c>
      <c r="AH117" s="55"/>
      <c r="AI117" s="56"/>
      <c r="AK117" s="57"/>
    </row>
    <row r="118" spans="1:37" x14ac:dyDescent="0.25">
      <c r="A118" s="111" t="s">
        <v>121</v>
      </c>
      <c r="B118" s="123">
        <f t="shared" si="30"/>
        <v>2.96</v>
      </c>
      <c r="C118" s="124">
        <v>2.96</v>
      </c>
      <c r="D118" s="123">
        <f t="shared" si="31"/>
        <v>2.96</v>
      </c>
      <c r="E118" s="123">
        <f t="shared" si="31"/>
        <v>2.96</v>
      </c>
      <c r="F118" s="123">
        <f t="shared" si="31"/>
        <v>2.96</v>
      </c>
      <c r="G118" s="123">
        <f t="shared" si="31"/>
        <v>2.96</v>
      </c>
      <c r="H118" s="123">
        <f t="shared" si="31"/>
        <v>2.96</v>
      </c>
      <c r="I118" s="123">
        <f t="shared" si="31"/>
        <v>2.96</v>
      </c>
      <c r="J118" s="123">
        <f t="shared" si="31"/>
        <v>2.96</v>
      </c>
      <c r="K118" s="123">
        <f t="shared" si="31"/>
        <v>2.96</v>
      </c>
      <c r="L118" s="123">
        <f t="shared" si="31"/>
        <v>2.96</v>
      </c>
      <c r="M118" s="123">
        <f t="shared" si="31"/>
        <v>2.96</v>
      </c>
      <c r="N118" s="123">
        <f t="shared" si="31"/>
        <v>2.96</v>
      </c>
      <c r="O118" s="123">
        <f t="shared" si="31"/>
        <v>2.96</v>
      </c>
      <c r="P118" s="123">
        <f t="shared" si="31"/>
        <v>2.96</v>
      </c>
      <c r="Q118" s="123">
        <f t="shared" si="31"/>
        <v>2.96</v>
      </c>
      <c r="R118" s="123">
        <f t="shared" si="31"/>
        <v>2.96</v>
      </c>
      <c r="S118" s="123">
        <f t="shared" si="31"/>
        <v>2.96</v>
      </c>
      <c r="T118" s="123">
        <f t="shared" si="32"/>
        <v>2.96</v>
      </c>
      <c r="U118" s="123">
        <f t="shared" si="32"/>
        <v>2.96</v>
      </c>
      <c r="V118" s="123">
        <f t="shared" si="32"/>
        <v>2.96</v>
      </c>
      <c r="W118" s="123">
        <f t="shared" si="32"/>
        <v>2.96</v>
      </c>
      <c r="X118" s="123">
        <f t="shared" si="32"/>
        <v>2.96</v>
      </c>
      <c r="Y118" s="123">
        <f t="shared" si="32"/>
        <v>2.96</v>
      </c>
      <c r="Z118" s="123">
        <f t="shared" si="32"/>
        <v>2.96</v>
      </c>
      <c r="AA118" s="123">
        <f t="shared" si="32"/>
        <v>2.96</v>
      </c>
      <c r="AB118" s="123">
        <f t="shared" si="32"/>
        <v>2.96</v>
      </c>
      <c r="AC118" s="123">
        <f t="shared" si="32"/>
        <v>2.96</v>
      </c>
      <c r="AD118" s="123">
        <f t="shared" si="32"/>
        <v>2.96</v>
      </c>
      <c r="AE118" s="123">
        <f t="shared" si="32"/>
        <v>2.96</v>
      </c>
      <c r="AF118" s="123">
        <f t="shared" si="32"/>
        <v>2.96</v>
      </c>
      <c r="AG118" s="126">
        <v>7.5</v>
      </c>
      <c r="AH118" s="55"/>
      <c r="AI118" s="56"/>
      <c r="AK118" s="57"/>
    </row>
    <row r="119" spans="1:37" x14ac:dyDescent="0.25">
      <c r="A119" s="111" t="s">
        <v>122</v>
      </c>
      <c r="B119" s="123">
        <f t="shared" si="30"/>
        <v>8</v>
      </c>
      <c r="C119" s="124">
        <v>8</v>
      </c>
      <c r="D119" s="123">
        <f t="shared" si="31"/>
        <v>8</v>
      </c>
      <c r="E119" s="123">
        <f t="shared" si="31"/>
        <v>8</v>
      </c>
      <c r="F119" s="123">
        <f t="shared" si="31"/>
        <v>8</v>
      </c>
      <c r="G119" s="123">
        <f t="shared" si="31"/>
        <v>8</v>
      </c>
      <c r="H119" s="123">
        <f t="shared" si="31"/>
        <v>8</v>
      </c>
      <c r="I119" s="123">
        <f t="shared" si="31"/>
        <v>8</v>
      </c>
      <c r="J119" s="123">
        <f t="shared" si="31"/>
        <v>8</v>
      </c>
      <c r="K119" s="123">
        <f t="shared" si="31"/>
        <v>8</v>
      </c>
      <c r="L119" s="123">
        <f t="shared" si="31"/>
        <v>8</v>
      </c>
      <c r="M119" s="123">
        <f t="shared" si="31"/>
        <v>8</v>
      </c>
      <c r="N119" s="123">
        <f t="shared" si="31"/>
        <v>8</v>
      </c>
      <c r="O119" s="123">
        <f t="shared" si="31"/>
        <v>8</v>
      </c>
      <c r="P119" s="123">
        <f t="shared" si="31"/>
        <v>8</v>
      </c>
      <c r="Q119" s="123">
        <f t="shared" si="31"/>
        <v>8</v>
      </c>
      <c r="R119" s="123">
        <f t="shared" si="31"/>
        <v>8</v>
      </c>
      <c r="S119" s="123">
        <f t="shared" si="31"/>
        <v>8</v>
      </c>
      <c r="T119" s="123">
        <f t="shared" si="32"/>
        <v>8</v>
      </c>
      <c r="U119" s="123">
        <f t="shared" si="32"/>
        <v>8</v>
      </c>
      <c r="V119" s="123">
        <f t="shared" si="32"/>
        <v>8</v>
      </c>
      <c r="W119" s="123">
        <f t="shared" si="32"/>
        <v>8</v>
      </c>
      <c r="X119" s="123">
        <f t="shared" si="32"/>
        <v>8</v>
      </c>
      <c r="Y119" s="123">
        <f t="shared" si="32"/>
        <v>8</v>
      </c>
      <c r="Z119" s="123">
        <f t="shared" si="32"/>
        <v>8</v>
      </c>
      <c r="AA119" s="123">
        <f t="shared" si="32"/>
        <v>8</v>
      </c>
      <c r="AB119" s="123">
        <f t="shared" si="32"/>
        <v>8</v>
      </c>
      <c r="AC119" s="123">
        <f t="shared" si="32"/>
        <v>8</v>
      </c>
      <c r="AD119" s="123">
        <f t="shared" si="32"/>
        <v>8</v>
      </c>
      <c r="AE119" s="123">
        <f t="shared" si="32"/>
        <v>8</v>
      </c>
      <c r="AF119" s="123">
        <f t="shared" si="32"/>
        <v>8</v>
      </c>
      <c r="AG119" s="126">
        <v>7.5</v>
      </c>
      <c r="AH119" s="55"/>
      <c r="AI119" s="56"/>
      <c r="AK119" s="57"/>
    </row>
    <row r="120" spans="1:37" x14ac:dyDescent="0.25">
      <c r="A120" s="111" t="s">
        <v>123</v>
      </c>
      <c r="B120" s="123">
        <f t="shared" si="30"/>
        <v>7</v>
      </c>
      <c r="C120" s="124">
        <v>7</v>
      </c>
      <c r="D120" s="123">
        <f>C120</f>
        <v>7</v>
      </c>
      <c r="E120" s="123">
        <f t="shared" si="31"/>
        <v>7</v>
      </c>
      <c r="F120" s="123">
        <f t="shared" si="31"/>
        <v>7</v>
      </c>
      <c r="G120" s="123">
        <f t="shared" si="31"/>
        <v>7</v>
      </c>
      <c r="H120" s="123">
        <f t="shared" si="31"/>
        <v>7</v>
      </c>
      <c r="I120" s="123">
        <f t="shared" si="31"/>
        <v>7</v>
      </c>
      <c r="J120" s="123">
        <f t="shared" si="31"/>
        <v>7</v>
      </c>
      <c r="K120" s="123">
        <f t="shared" si="31"/>
        <v>7</v>
      </c>
      <c r="L120" s="123">
        <f t="shared" si="31"/>
        <v>7</v>
      </c>
      <c r="M120" s="123">
        <f t="shared" si="31"/>
        <v>7</v>
      </c>
      <c r="N120" s="123">
        <f t="shared" si="31"/>
        <v>7</v>
      </c>
      <c r="O120" s="123">
        <f t="shared" si="31"/>
        <v>7</v>
      </c>
      <c r="P120" s="123">
        <f t="shared" si="31"/>
        <v>7</v>
      </c>
      <c r="Q120" s="123">
        <f t="shared" si="31"/>
        <v>7</v>
      </c>
      <c r="R120" s="123">
        <f t="shared" si="31"/>
        <v>7</v>
      </c>
      <c r="S120" s="123">
        <f t="shared" si="31"/>
        <v>7</v>
      </c>
      <c r="T120" s="123">
        <f t="shared" si="32"/>
        <v>7</v>
      </c>
      <c r="U120" s="123">
        <f t="shared" si="32"/>
        <v>7</v>
      </c>
      <c r="V120" s="123">
        <f t="shared" si="32"/>
        <v>7</v>
      </c>
      <c r="W120" s="123">
        <f t="shared" si="32"/>
        <v>7</v>
      </c>
      <c r="X120" s="123">
        <f t="shared" si="32"/>
        <v>7</v>
      </c>
      <c r="Y120" s="123">
        <f t="shared" si="32"/>
        <v>7</v>
      </c>
      <c r="Z120" s="123">
        <f t="shared" si="32"/>
        <v>7</v>
      </c>
      <c r="AA120" s="123">
        <f t="shared" si="32"/>
        <v>7</v>
      </c>
      <c r="AB120" s="123">
        <f t="shared" si="32"/>
        <v>7</v>
      </c>
      <c r="AC120" s="123">
        <f t="shared" si="32"/>
        <v>7</v>
      </c>
      <c r="AD120" s="123">
        <f t="shared" si="32"/>
        <v>7</v>
      </c>
      <c r="AE120" s="123">
        <f t="shared" si="32"/>
        <v>7</v>
      </c>
      <c r="AF120" s="123">
        <f t="shared" si="32"/>
        <v>7</v>
      </c>
      <c r="AG120" s="126">
        <v>7</v>
      </c>
      <c r="AH120" s="55"/>
      <c r="AI120" s="56"/>
      <c r="AK120" s="57"/>
    </row>
    <row r="121" spans="1:37" x14ac:dyDescent="0.25">
      <c r="A121" s="111" t="s">
        <v>124</v>
      </c>
      <c r="B121" s="123">
        <f t="shared" si="30"/>
        <v>3.47</v>
      </c>
      <c r="C121" s="124">
        <v>3.47</v>
      </c>
      <c r="D121" s="123">
        <f t="shared" ref="D121:S130" si="33">C121</f>
        <v>3.47</v>
      </c>
      <c r="E121" s="123">
        <f t="shared" si="33"/>
        <v>3.47</v>
      </c>
      <c r="F121" s="123">
        <f t="shared" si="33"/>
        <v>3.47</v>
      </c>
      <c r="G121" s="123">
        <f t="shared" si="33"/>
        <v>3.47</v>
      </c>
      <c r="H121" s="123">
        <f t="shared" si="33"/>
        <v>3.47</v>
      </c>
      <c r="I121" s="123">
        <f t="shared" si="33"/>
        <v>3.47</v>
      </c>
      <c r="J121" s="123">
        <f t="shared" si="33"/>
        <v>3.47</v>
      </c>
      <c r="K121" s="123">
        <f t="shared" si="33"/>
        <v>3.47</v>
      </c>
      <c r="L121" s="123">
        <f t="shared" si="33"/>
        <v>3.47</v>
      </c>
      <c r="M121" s="123">
        <f t="shared" si="33"/>
        <v>3.47</v>
      </c>
      <c r="N121" s="123">
        <f t="shared" si="33"/>
        <v>3.47</v>
      </c>
      <c r="O121" s="123">
        <f t="shared" si="33"/>
        <v>3.47</v>
      </c>
      <c r="P121" s="123">
        <f t="shared" si="33"/>
        <v>3.47</v>
      </c>
      <c r="Q121" s="123">
        <f t="shared" si="33"/>
        <v>3.47</v>
      </c>
      <c r="R121" s="123">
        <f t="shared" si="33"/>
        <v>3.47</v>
      </c>
      <c r="S121" s="123">
        <f t="shared" si="33"/>
        <v>3.47</v>
      </c>
      <c r="T121" s="123">
        <f t="shared" si="32"/>
        <v>3.47</v>
      </c>
      <c r="U121" s="123">
        <f t="shared" si="32"/>
        <v>3.47</v>
      </c>
      <c r="V121" s="123">
        <f t="shared" si="32"/>
        <v>3.47</v>
      </c>
      <c r="W121" s="123">
        <f t="shared" si="32"/>
        <v>3.47</v>
      </c>
      <c r="X121" s="123">
        <f t="shared" si="32"/>
        <v>3.47</v>
      </c>
      <c r="Y121" s="123">
        <f t="shared" si="32"/>
        <v>3.47</v>
      </c>
      <c r="Z121" s="123">
        <f t="shared" si="32"/>
        <v>3.47</v>
      </c>
      <c r="AA121" s="123">
        <f t="shared" si="32"/>
        <v>3.47</v>
      </c>
      <c r="AB121" s="123">
        <f t="shared" si="32"/>
        <v>3.47</v>
      </c>
      <c r="AC121" s="123">
        <f t="shared" si="32"/>
        <v>3.47</v>
      </c>
      <c r="AD121" s="123">
        <f t="shared" si="32"/>
        <v>3.47</v>
      </c>
      <c r="AE121" s="123">
        <f t="shared" si="32"/>
        <v>3.47</v>
      </c>
      <c r="AF121" s="123">
        <f t="shared" si="32"/>
        <v>3.47</v>
      </c>
      <c r="AG121" s="126">
        <v>7</v>
      </c>
      <c r="AH121" s="55"/>
      <c r="AI121" s="56"/>
      <c r="AK121" s="57"/>
    </row>
    <row r="122" spans="1:37" x14ac:dyDescent="0.25">
      <c r="A122" s="111" t="s">
        <v>125</v>
      </c>
      <c r="B122" s="123">
        <f t="shared" si="30"/>
        <v>2.1</v>
      </c>
      <c r="C122" s="124">
        <v>2.1</v>
      </c>
      <c r="D122" s="123">
        <f t="shared" si="33"/>
        <v>2.1</v>
      </c>
      <c r="E122" s="123">
        <f t="shared" si="33"/>
        <v>2.1</v>
      </c>
      <c r="F122" s="123">
        <f t="shared" si="33"/>
        <v>2.1</v>
      </c>
      <c r="G122" s="123">
        <f t="shared" si="33"/>
        <v>2.1</v>
      </c>
      <c r="H122" s="123">
        <f t="shared" si="33"/>
        <v>2.1</v>
      </c>
      <c r="I122" s="123">
        <f t="shared" si="33"/>
        <v>2.1</v>
      </c>
      <c r="J122" s="123">
        <f t="shared" si="33"/>
        <v>2.1</v>
      </c>
      <c r="K122" s="123">
        <f t="shared" si="33"/>
        <v>2.1</v>
      </c>
      <c r="L122" s="123">
        <f t="shared" si="33"/>
        <v>2.1</v>
      </c>
      <c r="M122" s="123">
        <f t="shared" si="33"/>
        <v>2.1</v>
      </c>
      <c r="N122" s="123">
        <f t="shared" si="33"/>
        <v>2.1</v>
      </c>
      <c r="O122" s="123">
        <f t="shared" si="33"/>
        <v>2.1</v>
      </c>
      <c r="P122" s="123">
        <f t="shared" si="33"/>
        <v>2.1</v>
      </c>
      <c r="Q122" s="123">
        <f t="shared" si="33"/>
        <v>2.1</v>
      </c>
      <c r="R122" s="123">
        <f t="shared" si="33"/>
        <v>2.1</v>
      </c>
      <c r="S122" s="123">
        <f t="shared" si="33"/>
        <v>2.1</v>
      </c>
      <c r="T122" s="123">
        <f t="shared" si="32"/>
        <v>2.1</v>
      </c>
      <c r="U122" s="123">
        <f t="shared" si="32"/>
        <v>2.1</v>
      </c>
      <c r="V122" s="123">
        <f t="shared" si="32"/>
        <v>2.1</v>
      </c>
      <c r="W122" s="123">
        <f t="shared" si="32"/>
        <v>2.1</v>
      </c>
      <c r="X122" s="123">
        <f t="shared" si="32"/>
        <v>2.1</v>
      </c>
      <c r="Y122" s="123">
        <f t="shared" si="32"/>
        <v>2.1</v>
      </c>
      <c r="Z122" s="123">
        <f t="shared" si="32"/>
        <v>2.1</v>
      </c>
      <c r="AA122" s="123">
        <f t="shared" si="32"/>
        <v>2.1</v>
      </c>
      <c r="AB122" s="123">
        <f t="shared" si="32"/>
        <v>2.1</v>
      </c>
      <c r="AC122" s="123">
        <f t="shared" si="32"/>
        <v>2.1</v>
      </c>
      <c r="AD122" s="123">
        <f t="shared" si="32"/>
        <v>2.1</v>
      </c>
      <c r="AE122" s="123">
        <f t="shared" si="32"/>
        <v>2.1</v>
      </c>
      <c r="AF122" s="123">
        <f t="shared" si="32"/>
        <v>2.1</v>
      </c>
      <c r="AG122" s="126">
        <v>7</v>
      </c>
      <c r="AH122" s="55"/>
      <c r="AI122" s="56"/>
      <c r="AK122" s="57"/>
    </row>
    <row r="123" spans="1:37" x14ac:dyDescent="0.25">
      <c r="A123" s="111" t="s">
        <v>126</v>
      </c>
      <c r="B123" s="123">
        <f t="shared" si="30"/>
        <v>9.3000000000000007</v>
      </c>
      <c r="C123" s="124">
        <v>9.3000000000000007</v>
      </c>
      <c r="D123" s="123">
        <f t="shared" si="33"/>
        <v>9.3000000000000007</v>
      </c>
      <c r="E123" s="123">
        <f t="shared" si="33"/>
        <v>9.3000000000000007</v>
      </c>
      <c r="F123" s="123">
        <f t="shared" si="33"/>
        <v>9.3000000000000007</v>
      </c>
      <c r="G123" s="123">
        <f t="shared" si="33"/>
        <v>9.3000000000000007</v>
      </c>
      <c r="H123" s="123">
        <f t="shared" si="33"/>
        <v>9.3000000000000007</v>
      </c>
      <c r="I123" s="123">
        <f t="shared" si="33"/>
        <v>9.3000000000000007</v>
      </c>
      <c r="J123" s="123">
        <f t="shared" si="33"/>
        <v>9.3000000000000007</v>
      </c>
      <c r="K123" s="123">
        <f t="shared" si="33"/>
        <v>9.3000000000000007</v>
      </c>
      <c r="L123" s="123">
        <f t="shared" si="33"/>
        <v>9.3000000000000007</v>
      </c>
      <c r="M123" s="123">
        <f t="shared" si="33"/>
        <v>9.3000000000000007</v>
      </c>
      <c r="N123" s="123">
        <f t="shared" si="33"/>
        <v>9.3000000000000007</v>
      </c>
      <c r="O123" s="123">
        <f t="shared" si="33"/>
        <v>9.3000000000000007</v>
      </c>
      <c r="P123" s="123">
        <f t="shared" si="33"/>
        <v>9.3000000000000007</v>
      </c>
      <c r="Q123" s="123">
        <f t="shared" si="33"/>
        <v>9.3000000000000007</v>
      </c>
      <c r="R123" s="123">
        <f t="shared" si="33"/>
        <v>9.3000000000000007</v>
      </c>
      <c r="S123" s="123">
        <f t="shared" si="33"/>
        <v>9.3000000000000007</v>
      </c>
      <c r="T123" s="123">
        <f t="shared" si="32"/>
        <v>9.3000000000000007</v>
      </c>
      <c r="U123" s="123">
        <f t="shared" si="32"/>
        <v>9.3000000000000007</v>
      </c>
      <c r="V123" s="123">
        <f t="shared" si="32"/>
        <v>9.3000000000000007</v>
      </c>
      <c r="W123" s="123">
        <f t="shared" si="32"/>
        <v>9.3000000000000007</v>
      </c>
      <c r="X123" s="123">
        <f t="shared" si="32"/>
        <v>9.3000000000000007</v>
      </c>
      <c r="Y123" s="123">
        <f t="shared" si="32"/>
        <v>9.3000000000000007</v>
      </c>
      <c r="Z123" s="123">
        <f t="shared" si="32"/>
        <v>9.3000000000000007</v>
      </c>
      <c r="AA123" s="123">
        <f t="shared" si="32"/>
        <v>9.3000000000000007</v>
      </c>
      <c r="AB123" s="123">
        <f t="shared" si="32"/>
        <v>9.3000000000000007</v>
      </c>
      <c r="AC123" s="123">
        <f t="shared" si="32"/>
        <v>9.3000000000000007</v>
      </c>
      <c r="AD123" s="123">
        <f t="shared" si="32"/>
        <v>9.3000000000000007</v>
      </c>
      <c r="AE123" s="123">
        <f t="shared" si="32"/>
        <v>9.3000000000000007</v>
      </c>
      <c r="AF123" s="123">
        <f t="shared" si="32"/>
        <v>9.3000000000000007</v>
      </c>
      <c r="AG123" s="126">
        <v>7</v>
      </c>
      <c r="AH123" s="55"/>
      <c r="AI123" s="56"/>
      <c r="AK123" s="57"/>
    </row>
    <row r="124" spans="1:37" x14ac:dyDescent="0.25">
      <c r="A124" s="111" t="s">
        <v>127</v>
      </c>
      <c r="B124" s="123">
        <f t="shared" si="30"/>
        <v>0</v>
      </c>
      <c r="C124" s="124">
        <v>0</v>
      </c>
      <c r="D124" s="123">
        <f t="shared" si="33"/>
        <v>0</v>
      </c>
      <c r="E124" s="123">
        <f t="shared" si="33"/>
        <v>0</v>
      </c>
      <c r="F124" s="123">
        <f t="shared" si="33"/>
        <v>0</v>
      </c>
      <c r="G124" s="123">
        <f t="shared" si="33"/>
        <v>0</v>
      </c>
      <c r="H124" s="123">
        <f t="shared" si="33"/>
        <v>0</v>
      </c>
      <c r="I124" s="123">
        <f t="shared" si="33"/>
        <v>0</v>
      </c>
      <c r="J124" s="123">
        <f t="shared" si="33"/>
        <v>0</v>
      </c>
      <c r="K124" s="123">
        <f t="shared" si="33"/>
        <v>0</v>
      </c>
      <c r="L124" s="123">
        <f t="shared" si="33"/>
        <v>0</v>
      </c>
      <c r="M124" s="123">
        <f t="shared" si="33"/>
        <v>0</v>
      </c>
      <c r="N124" s="123">
        <f t="shared" si="33"/>
        <v>0</v>
      </c>
      <c r="O124" s="123">
        <f t="shared" si="33"/>
        <v>0</v>
      </c>
      <c r="P124" s="123">
        <f t="shared" si="33"/>
        <v>0</v>
      </c>
      <c r="Q124" s="123">
        <f t="shared" si="33"/>
        <v>0</v>
      </c>
      <c r="R124" s="123">
        <f t="shared" si="33"/>
        <v>0</v>
      </c>
      <c r="S124" s="123">
        <f t="shared" si="33"/>
        <v>0</v>
      </c>
      <c r="T124" s="123">
        <f t="shared" si="32"/>
        <v>0</v>
      </c>
      <c r="U124" s="123">
        <f t="shared" si="32"/>
        <v>0</v>
      </c>
      <c r="V124" s="123">
        <f t="shared" si="32"/>
        <v>0</v>
      </c>
      <c r="W124" s="123">
        <f t="shared" si="32"/>
        <v>0</v>
      </c>
      <c r="X124" s="123">
        <f t="shared" si="32"/>
        <v>0</v>
      </c>
      <c r="Y124" s="123">
        <f t="shared" si="32"/>
        <v>0</v>
      </c>
      <c r="Z124" s="123">
        <f t="shared" si="32"/>
        <v>0</v>
      </c>
      <c r="AA124" s="123">
        <f t="shared" si="32"/>
        <v>0</v>
      </c>
      <c r="AB124" s="123">
        <f t="shared" si="32"/>
        <v>0</v>
      </c>
      <c r="AC124" s="123">
        <f t="shared" si="32"/>
        <v>0</v>
      </c>
      <c r="AD124" s="123">
        <f t="shared" si="32"/>
        <v>0</v>
      </c>
      <c r="AE124" s="123">
        <f t="shared" si="32"/>
        <v>0</v>
      </c>
      <c r="AF124" s="123">
        <f t="shared" si="32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128</v>
      </c>
      <c r="B125" s="123">
        <f t="shared" si="30"/>
        <v>0</v>
      </c>
      <c r="C125" s="124">
        <v>0</v>
      </c>
      <c r="D125" s="123">
        <f t="shared" si="33"/>
        <v>0</v>
      </c>
      <c r="E125" s="123">
        <f t="shared" si="33"/>
        <v>0</v>
      </c>
      <c r="F125" s="123">
        <f t="shared" si="33"/>
        <v>0</v>
      </c>
      <c r="G125" s="123">
        <f t="shared" si="33"/>
        <v>0</v>
      </c>
      <c r="H125" s="123">
        <f t="shared" si="33"/>
        <v>0</v>
      </c>
      <c r="I125" s="123">
        <f t="shared" si="33"/>
        <v>0</v>
      </c>
      <c r="J125" s="123">
        <f t="shared" si="33"/>
        <v>0</v>
      </c>
      <c r="K125" s="123">
        <f t="shared" si="33"/>
        <v>0</v>
      </c>
      <c r="L125" s="123">
        <f t="shared" si="33"/>
        <v>0</v>
      </c>
      <c r="M125" s="123">
        <f t="shared" si="33"/>
        <v>0</v>
      </c>
      <c r="N125" s="123">
        <f t="shared" si="33"/>
        <v>0</v>
      </c>
      <c r="O125" s="123">
        <f t="shared" si="33"/>
        <v>0</v>
      </c>
      <c r="P125" s="123">
        <f t="shared" si="33"/>
        <v>0</v>
      </c>
      <c r="Q125" s="123">
        <f t="shared" si="33"/>
        <v>0</v>
      </c>
      <c r="R125" s="123">
        <f t="shared" si="33"/>
        <v>0</v>
      </c>
      <c r="S125" s="123">
        <f t="shared" si="33"/>
        <v>0</v>
      </c>
      <c r="T125" s="123">
        <f t="shared" si="32"/>
        <v>0</v>
      </c>
      <c r="U125" s="123">
        <f t="shared" si="32"/>
        <v>0</v>
      </c>
      <c r="V125" s="123">
        <f t="shared" si="32"/>
        <v>0</v>
      </c>
      <c r="W125" s="123">
        <f t="shared" si="32"/>
        <v>0</v>
      </c>
      <c r="X125" s="123">
        <f t="shared" si="32"/>
        <v>0</v>
      </c>
      <c r="Y125" s="123">
        <f t="shared" si="32"/>
        <v>0</v>
      </c>
      <c r="Z125" s="123">
        <f t="shared" si="32"/>
        <v>0</v>
      </c>
      <c r="AA125" s="123">
        <f t="shared" si="32"/>
        <v>0</v>
      </c>
      <c r="AB125" s="123">
        <f t="shared" si="32"/>
        <v>0</v>
      </c>
      <c r="AC125" s="123">
        <f t="shared" si="32"/>
        <v>0</v>
      </c>
      <c r="AD125" s="123">
        <f t="shared" si="32"/>
        <v>0</v>
      </c>
      <c r="AE125" s="123">
        <f t="shared" si="32"/>
        <v>0</v>
      </c>
      <c r="AF125" s="123">
        <f t="shared" si="32"/>
        <v>0</v>
      </c>
      <c r="AG125" s="126">
        <v>6.6</v>
      </c>
      <c r="AH125" s="55"/>
      <c r="AI125" s="56"/>
      <c r="AK125" s="57"/>
    </row>
    <row r="126" spans="1:37" x14ac:dyDescent="0.25">
      <c r="A126" s="111" t="s">
        <v>129</v>
      </c>
      <c r="B126" s="123" t="str">
        <f t="shared" si="30"/>
        <v>;/</v>
      </c>
      <c r="C126" s="124">
        <v>5</v>
      </c>
      <c r="D126" s="123">
        <f t="shared" si="33"/>
        <v>5</v>
      </c>
      <c r="E126" s="123">
        <f t="shared" si="33"/>
        <v>5</v>
      </c>
      <c r="F126" s="123">
        <f t="shared" si="33"/>
        <v>5</v>
      </c>
      <c r="G126" s="123">
        <f t="shared" si="33"/>
        <v>5</v>
      </c>
      <c r="H126" s="123">
        <f t="shared" si="33"/>
        <v>5</v>
      </c>
      <c r="I126" s="123" t="s">
        <v>130</v>
      </c>
      <c r="J126" s="123" t="str">
        <f t="shared" si="33"/>
        <v>;/</v>
      </c>
      <c r="K126" s="123" t="str">
        <f t="shared" si="33"/>
        <v>;/</v>
      </c>
      <c r="L126" s="123" t="str">
        <f t="shared" si="33"/>
        <v>;/</v>
      </c>
      <c r="M126" s="123" t="str">
        <f t="shared" si="33"/>
        <v>;/</v>
      </c>
      <c r="N126" s="123" t="str">
        <f t="shared" si="33"/>
        <v>;/</v>
      </c>
      <c r="O126" s="123" t="str">
        <f t="shared" si="33"/>
        <v>;/</v>
      </c>
      <c r="P126" s="123" t="str">
        <f t="shared" si="33"/>
        <v>;/</v>
      </c>
      <c r="Q126" s="123" t="str">
        <f t="shared" si="33"/>
        <v>;/</v>
      </c>
      <c r="R126" s="123" t="str">
        <f t="shared" si="33"/>
        <v>;/</v>
      </c>
      <c r="S126" s="123" t="str">
        <f t="shared" si="33"/>
        <v>;/</v>
      </c>
      <c r="T126" s="123" t="str">
        <f t="shared" si="32"/>
        <v>;/</v>
      </c>
      <c r="U126" s="123" t="str">
        <f t="shared" si="32"/>
        <v>;/</v>
      </c>
      <c r="V126" s="123" t="str">
        <f t="shared" si="32"/>
        <v>;/</v>
      </c>
      <c r="W126" s="123" t="str">
        <f t="shared" si="32"/>
        <v>;/</v>
      </c>
      <c r="X126" s="123" t="str">
        <f t="shared" si="32"/>
        <v>;/</v>
      </c>
      <c r="Y126" s="123" t="str">
        <f t="shared" si="32"/>
        <v>;/</v>
      </c>
      <c r="Z126" s="123" t="str">
        <f t="shared" si="32"/>
        <v>;/</v>
      </c>
      <c r="AA126" s="123" t="str">
        <f t="shared" si="32"/>
        <v>;/</v>
      </c>
      <c r="AB126" s="123" t="str">
        <f t="shared" si="32"/>
        <v>;/</v>
      </c>
      <c r="AC126" s="123" t="str">
        <f t="shared" si="32"/>
        <v>;/</v>
      </c>
      <c r="AD126" s="123" t="str">
        <f t="shared" si="32"/>
        <v>;/</v>
      </c>
      <c r="AE126" s="123" t="str">
        <f t="shared" si="32"/>
        <v>;/</v>
      </c>
      <c r="AF126" s="123" t="str">
        <f t="shared" si="32"/>
        <v>;/</v>
      </c>
      <c r="AG126" s="126">
        <v>6.4</v>
      </c>
      <c r="AH126" s="55"/>
      <c r="AI126" s="56"/>
      <c r="AK126" s="57"/>
    </row>
    <row r="127" spans="1:37" x14ac:dyDescent="0.25">
      <c r="A127" s="111" t="s">
        <v>131</v>
      </c>
      <c r="B127" s="123">
        <f t="shared" si="30"/>
        <v>1</v>
      </c>
      <c r="C127" s="124">
        <v>1</v>
      </c>
      <c r="D127" s="123">
        <f t="shared" si="33"/>
        <v>1</v>
      </c>
      <c r="E127" s="123">
        <f t="shared" si="33"/>
        <v>1</v>
      </c>
      <c r="F127" s="123">
        <f t="shared" si="33"/>
        <v>1</v>
      </c>
      <c r="G127" s="123">
        <f t="shared" si="33"/>
        <v>1</v>
      </c>
      <c r="H127" s="123">
        <f t="shared" si="33"/>
        <v>1</v>
      </c>
      <c r="I127" s="123">
        <f t="shared" si="33"/>
        <v>1</v>
      </c>
      <c r="J127" s="123">
        <f t="shared" si="33"/>
        <v>1</v>
      </c>
      <c r="K127" s="123">
        <f t="shared" si="33"/>
        <v>1</v>
      </c>
      <c r="L127" s="123">
        <f t="shared" si="33"/>
        <v>1</v>
      </c>
      <c r="M127" s="123">
        <f t="shared" si="33"/>
        <v>1</v>
      </c>
      <c r="N127" s="123">
        <f t="shared" si="33"/>
        <v>1</v>
      </c>
      <c r="O127" s="123">
        <f t="shared" si="33"/>
        <v>1</v>
      </c>
      <c r="P127" s="123">
        <f t="shared" si="33"/>
        <v>1</v>
      </c>
      <c r="Q127" s="123">
        <f t="shared" si="33"/>
        <v>1</v>
      </c>
      <c r="R127" s="123">
        <f t="shared" si="33"/>
        <v>1</v>
      </c>
      <c r="S127" s="123">
        <f t="shared" si="33"/>
        <v>1</v>
      </c>
      <c r="T127" s="123">
        <f t="shared" si="32"/>
        <v>1</v>
      </c>
      <c r="U127" s="123">
        <f t="shared" si="32"/>
        <v>1</v>
      </c>
      <c r="V127" s="123">
        <f t="shared" si="32"/>
        <v>1</v>
      </c>
      <c r="W127" s="123">
        <f t="shared" si="32"/>
        <v>1</v>
      </c>
      <c r="X127" s="123">
        <f t="shared" si="32"/>
        <v>1</v>
      </c>
      <c r="Y127" s="123">
        <f t="shared" si="32"/>
        <v>1</v>
      </c>
      <c r="Z127" s="123">
        <f t="shared" si="32"/>
        <v>1</v>
      </c>
      <c r="AA127" s="123">
        <f t="shared" si="32"/>
        <v>1</v>
      </c>
      <c r="AB127" s="123">
        <f t="shared" si="32"/>
        <v>1</v>
      </c>
      <c r="AC127" s="123">
        <f t="shared" si="32"/>
        <v>1</v>
      </c>
      <c r="AD127" s="123">
        <f t="shared" si="32"/>
        <v>1</v>
      </c>
      <c r="AE127" s="123">
        <f t="shared" si="32"/>
        <v>1</v>
      </c>
      <c r="AF127" s="123">
        <f t="shared" si="32"/>
        <v>1</v>
      </c>
      <c r="AG127" s="126">
        <v>6</v>
      </c>
      <c r="AH127" s="55"/>
      <c r="AI127" s="56"/>
      <c r="AK127" s="57"/>
    </row>
    <row r="128" spans="1:37" x14ac:dyDescent="0.25">
      <c r="A128" s="111" t="s">
        <v>132</v>
      </c>
      <c r="B128" s="123">
        <f t="shared" si="30"/>
        <v>1.58</v>
      </c>
      <c r="C128" s="124">
        <v>1.58</v>
      </c>
      <c r="D128" s="123">
        <f t="shared" si="33"/>
        <v>1.58</v>
      </c>
      <c r="E128" s="123">
        <f t="shared" si="33"/>
        <v>1.58</v>
      </c>
      <c r="F128" s="123">
        <f t="shared" si="33"/>
        <v>1.58</v>
      </c>
      <c r="G128" s="123">
        <f t="shared" si="33"/>
        <v>1.58</v>
      </c>
      <c r="H128" s="123">
        <f t="shared" si="33"/>
        <v>1.58</v>
      </c>
      <c r="I128" s="123">
        <f t="shared" si="33"/>
        <v>1.58</v>
      </c>
      <c r="J128" s="123">
        <f t="shared" si="33"/>
        <v>1.58</v>
      </c>
      <c r="K128" s="123">
        <f t="shared" si="33"/>
        <v>1.58</v>
      </c>
      <c r="L128" s="123">
        <f t="shared" si="33"/>
        <v>1.58</v>
      </c>
      <c r="M128" s="123">
        <f t="shared" si="33"/>
        <v>1.58</v>
      </c>
      <c r="N128" s="123">
        <f t="shared" si="33"/>
        <v>1.58</v>
      </c>
      <c r="O128" s="123">
        <f t="shared" si="33"/>
        <v>1.58</v>
      </c>
      <c r="P128" s="123">
        <f t="shared" si="33"/>
        <v>1.58</v>
      </c>
      <c r="Q128" s="123">
        <f t="shared" si="33"/>
        <v>1.58</v>
      </c>
      <c r="R128" s="123">
        <f t="shared" si="33"/>
        <v>1.58</v>
      </c>
      <c r="S128" s="123">
        <f t="shared" si="33"/>
        <v>1.58</v>
      </c>
      <c r="T128" s="123">
        <f t="shared" si="32"/>
        <v>1.58</v>
      </c>
      <c r="U128" s="123">
        <f t="shared" si="32"/>
        <v>1.58</v>
      </c>
      <c r="V128" s="123">
        <f t="shared" si="32"/>
        <v>1.58</v>
      </c>
      <c r="W128" s="123">
        <f t="shared" si="32"/>
        <v>1.58</v>
      </c>
      <c r="X128" s="123">
        <f t="shared" si="32"/>
        <v>1.58</v>
      </c>
      <c r="Y128" s="123">
        <f t="shared" si="32"/>
        <v>1.58</v>
      </c>
      <c r="Z128" s="123">
        <f t="shared" si="32"/>
        <v>1.58</v>
      </c>
      <c r="AA128" s="123">
        <f t="shared" si="32"/>
        <v>1.58</v>
      </c>
      <c r="AB128" s="123">
        <f t="shared" si="32"/>
        <v>1.58</v>
      </c>
      <c r="AC128" s="123">
        <f t="shared" si="32"/>
        <v>1.58</v>
      </c>
      <c r="AD128" s="123">
        <f t="shared" si="32"/>
        <v>1.58</v>
      </c>
      <c r="AE128" s="123">
        <f t="shared" si="32"/>
        <v>1.58</v>
      </c>
      <c r="AF128" s="123">
        <f t="shared" si="32"/>
        <v>1.58</v>
      </c>
      <c r="AG128" s="126">
        <v>5.0999999999999996</v>
      </c>
      <c r="AH128" s="55"/>
      <c r="AI128" s="56"/>
      <c r="AK128" s="57"/>
    </row>
    <row r="129" spans="1:37" x14ac:dyDescent="0.25">
      <c r="A129" s="111" t="s">
        <v>133</v>
      </c>
      <c r="B129" s="123">
        <f t="shared" si="30"/>
        <v>1.46</v>
      </c>
      <c r="C129" s="124">
        <v>1.46</v>
      </c>
      <c r="D129" s="123">
        <f t="shared" si="33"/>
        <v>1.46</v>
      </c>
      <c r="E129" s="123">
        <f t="shared" si="33"/>
        <v>1.46</v>
      </c>
      <c r="F129" s="123">
        <f t="shared" si="33"/>
        <v>1.46</v>
      </c>
      <c r="G129" s="123">
        <f t="shared" si="33"/>
        <v>1.46</v>
      </c>
      <c r="H129" s="123">
        <f t="shared" si="33"/>
        <v>1.46</v>
      </c>
      <c r="I129" s="123">
        <f t="shared" si="33"/>
        <v>1.46</v>
      </c>
      <c r="J129" s="123">
        <f t="shared" si="33"/>
        <v>1.46</v>
      </c>
      <c r="K129" s="123">
        <f t="shared" si="33"/>
        <v>1.46</v>
      </c>
      <c r="L129" s="123">
        <f t="shared" si="33"/>
        <v>1.46</v>
      </c>
      <c r="M129" s="123">
        <f t="shared" si="33"/>
        <v>1.46</v>
      </c>
      <c r="N129" s="123">
        <f t="shared" si="33"/>
        <v>1.46</v>
      </c>
      <c r="O129" s="123">
        <f t="shared" si="33"/>
        <v>1.46</v>
      </c>
      <c r="P129" s="123">
        <f t="shared" si="33"/>
        <v>1.46</v>
      </c>
      <c r="Q129" s="123">
        <f t="shared" si="33"/>
        <v>1.46</v>
      </c>
      <c r="R129" s="123">
        <f t="shared" si="33"/>
        <v>1.46</v>
      </c>
      <c r="S129" s="123">
        <f t="shared" si="33"/>
        <v>1.46</v>
      </c>
      <c r="T129" s="123">
        <f t="shared" ref="T129:AF130" si="34">S129</f>
        <v>1.46</v>
      </c>
      <c r="U129" s="123">
        <f t="shared" si="34"/>
        <v>1.46</v>
      </c>
      <c r="V129" s="123">
        <f t="shared" si="34"/>
        <v>1.46</v>
      </c>
      <c r="W129" s="123">
        <f t="shared" si="34"/>
        <v>1.46</v>
      </c>
      <c r="X129" s="123">
        <f t="shared" si="34"/>
        <v>1.46</v>
      </c>
      <c r="Y129" s="123">
        <f t="shared" si="34"/>
        <v>1.46</v>
      </c>
      <c r="Z129" s="123">
        <f t="shared" si="34"/>
        <v>1.46</v>
      </c>
      <c r="AA129" s="123">
        <f t="shared" si="34"/>
        <v>1.46</v>
      </c>
      <c r="AB129" s="123">
        <f t="shared" si="34"/>
        <v>1.46</v>
      </c>
      <c r="AC129" s="123">
        <f t="shared" si="34"/>
        <v>1.46</v>
      </c>
      <c r="AD129" s="123">
        <f t="shared" si="34"/>
        <v>1.46</v>
      </c>
      <c r="AE129" s="123">
        <f t="shared" si="34"/>
        <v>1.46</v>
      </c>
      <c r="AF129" s="123">
        <f t="shared" si="34"/>
        <v>1.46</v>
      </c>
      <c r="AG129" s="126">
        <v>5</v>
      </c>
      <c r="AH129" s="55"/>
      <c r="AI129" s="56"/>
      <c r="AK129" s="57"/>
    </row>
    <row r="130" spans="1:37" x14ac:dyDescent="0.25">
      <c r="A130" s="109" t="s">
        <v>134</v>
      </c>
      <c r="B130" s="123">
        <f t="shared" si="30"/>
        <v>1.48</v>
      </c>
      <c r="C130" s="124">
        <v>1.48</v>
      </c>
      <c r="D130" s="123">
        <f t="shared" si="33"/>
        <v>1.48</v>
      </c>
      <c r="E130" s="123">
        <f t="shared" si="33"/>
        <v>1.48</v>
      </c>
      <c r="F130" s="123">
        <f t="shared" si="33"/>
        <v>1.48</v>
      </c>
      <c r="G130" s="123">
        <f t="shared" si="33"/>
        <v>1.48</v>
      </c>
      <c r="H130" s="123">
        <f t="shared" si="33"/>
        <v>1.48</v>
      </c>
      <c r="I130" s="123">
        <f t="shared" si="33"/>
        <v>1.48</v>
      </c>
      <c r="J130" s="123">
        <f t="shared" si="33"/>
        <v>1.48</v>
      </c>
      <c r="K130" s="123">
        <f t="shared" si="33"/>
        <v>1.48</v>
      </c>
      <c r="L130" s="123">
        <f t="shared" si="33"/>
        <v>1.48</v>
      </c>
      <c r="M130" s="123">
        <f t="shared" si="33"/>
        <v>1.48</v>
      </c>
      <c r="N130" s="123">
        <f t="shared" si="33"/>
        <v>1.48</v>
      </c>
      <c r="O130" s="123">
        <f t="shared" si="33"/>
        <v>1.48</v>
      </c>
      <c r="P130" s="123">
        <f t="shared" si="33"/>
        <v>1.48</v>
      </c>
      <c r="Q130" s="123">
        <f t="shared" si="33"/>
        <v>1.48</v>
      </c>
      <c r="R130" s="123">
        <f t="shared" si="33"/>
        <v>1.48</v>
      </c>
      <c r="S130" s="123">
        <f t="shared" si="33"/>
        <v>1.48</v>
      </c>
      <c r="T130" s="123">
        <f t="shared" si="34"/>
        <v>1.48</v>
      </c>
      <c r="U130" s="123">
        <f t="shared" si="34"/>
        <v>1.48</v>
      </c>
      <c r="V130" s="123">
        <f t="shared" si="34"/>
        <v>1.48</v>
      </c>
      <c r="W130" s="123">
        <f t="shared" si="34"/>
        <v>1.48</v>
      </c>
      <c r="X130" s="123">
        <f t="shared" si="34"/>
        <v>1.48</v>
      </c>
      <c r="Y130" s="123">
        <f t="shared" si="34"/>
        <v>1.48</v>
      </c>
      <c r="Z130" s="123">
        <f t="shared" si="34"/>
        <v>1.48</v>
      </c>
      <c r="AA130" s="123">
        <f t="shared" si="34"/>
        <v>1.48</v>
      </c>
      <c r="AB130" s="123">
        <f t="shared" si="34"/>
        <v>1.48</v>
      </c>
      <c r="AC130" s="123">
        <f t="shared" si="34"/>
        <v>1.48</v>
      </c>
      <c r="AD130" s="123">
        <f t="shared" si="34"/>
        <v>1.48</v>
      </c>
      <c r="AE130" s="123">
        <f t="shared" si="34"/>
        <v>1.48</v>
      </c>
      <c r="AF130" s="123">
        <f t="shared" si="34"/>
        <v>1.48</v>
      </c>
      <c r="AG130" s="125">
        <v>5</v>
      </c>
      <c r="AH130" s="55"/>
      <c r="AI130" s="56"/>
      <c r="AK130" s="57"/>
    </row>
    <row r="131" spans="1:37" x14ac:dyDescent="0.25">
      <c r="A131" s="111" t="s">
        <v>135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5"/>
      <c r="AI131" s="56"/>
      <c r="AK131" s="57"/>
    </row>
    <row r="132" spans="1:37" x14ac:dyDescent="0.25">
      <c r="A132" s="111" t="s">
        <v>136</v>
      </c>
      <c r="B132" s="123">
        <f t="shared" ref="B132:B139" si="35">AF132</f>
        <v>2.2000000000000002</v>
      </c>
      <c r="C132" s="124">
        <v>2.2000000000000002</v>
      </c>
      <c r="D132" s="123">
        <f t="shared" ref="D132:S139" si="36">C132</f>
        <v>2.2000000000000002</v>
      </c>
      <c r="E132" s="123">
        <f t="shared" si="36"/>
        <v>2.2000000000000002</v>
      </c>
      <c r="F132" s="123">
        <f t="shared" si="36"/>
        <v>2.2000000000000002</v>
      </c>
      <c r="G132" s="123">
        <f t="shared" si="36"/>
        <v>2.2000000000000002</v>
      </c>
      <c r="H132" s="123">
        <f t="shared" si="36"/>
        <v>2.2000000000000002</v>
      </c>
      <c r="I132" s="123">
        <f t="shared" si="36"/>
        <v>2.2000000000000002</v>
      </c>
      <c r="J132" s="123">
        <f t="shared" si="36"/>
        <v>2.2000000000000002</v>
      </c>
      <c r="K132" s="123">
        <f t="shared" si="36"/>
        <v>2.2000000000000002</v>
      </c>
      <c r="L132" s="123">
        <f t="shared" si="36"/>
        <v>2.2000000000000002</v>
      </c>
      <c r="M132" s="123">
        <f t="shared" si="36"/>
        <v>2.2000000000000002</v>
      </c>
      <c r="N132" s="123">
        <f t="shared" si="36"/>
        <v>2.2000000000000002</v>
      </c>
      <c r="O132" s="123">
        <f t="shared" si="36"/>
        <v>2.2000000000000002</v>
      </c>
      <c r="P132" s="123">
        <f t="shared" si="36"/>
        <v>2.2000000000000002</v>
      </c>
      <c r="Q132" s="123">
        <f t="shared" si="36"/>
        <v>2.2000000000000002</v>
      </c>
      <c r="R132" s="123">
        <f t="shared" si="36"/>
        <v>2.2000000000000002</v>
      </c>
      <c r="S132" s="123">
        <f t="shared" si="36"/>
        <v>2.2000000000000002</v>
      </c>
      <c r="T132" s="123">
        <f t="shared" ref="T132:AF139" si="37">S132</f>
        <v>2.2000000000000002</v>
      </c>
      <c r="U132" s="123">
        <f t="shared" si="37"/>
        <v>2.2000000000000002</v>
      </c>
      <c r="V132" s="123">
        <f t="shared" si="37"/>
        <v>2.2000000000000002</v>
      </c>
      <c r="W132" s="123">
        <f t="shared" si="37"/>
        <v>2.2000000000000002</v>
      </c>
      <c r="X132" s="123">
        <f t="shared" si="37"/>
        <v>2.2000000000000002</v>
      </c>
      <c r="Y132" s="123">
        <f t="shared" si="37"/>
        <v>2.2000000000000002</v>
      </c>
      <c r="Z132" s="123">
        <f t="shared" si="37"/>
        <v>2.2000000000000002</v>
      </c>
      <c r="AA132" s="123">
        <f t="shared" si="37"/>
        <v>2.2000000000000002</v>
      </c>
      <c r="AB132" s="123">
        <f t="shared" si="37"/>
        <v>2.2000000000000002</v>
      </c>
      <c r="AC132" s="123">
        <f t="shared" si="37"/>
        <v>2.2000000000000002</v>
      </c>
      <c r="AD132" s="123">
        <f t="shared" si="37"/>
        <v>2.2000000000000002</v>
      </c>
      <c r="AE132" s="123">
        <f t="shared" si="37"/>
        <v>2.2000000000000002</v>
      </c>
      <c r="AF132" s="123">
        <f t="shared" si="37"/>
        <v>2.2000000000000002</v>
      </c>
      <c r="AG132" s="126">
        <v>5</v>
      </c>
      <c r="AH132" s="55"/>
      <c r="AI132" s="56"/>
      <c r="AK132" s="57"/>
    </row>
    <row r="133" spans="1:37" x14ac:dyDescent="0.25">
      <c r="A133" s="111" t="s">
        <v>137</v>
      </c>
      <c r="B133" s="123">
        <f t="shared" si="35"/>
        <v>2</v>
      </c>
      <c r="C133" s="124">
        <v>2</v>
      </c>
      <c r="D133" s="123">
        <f t="shared" si="36"/>
        <v>2</v>
      </c>
      <c r="E133" s="123">
        <f t="shared" si="36"/>
        <v>2</v>
      </c>
      <c r="F133" s="123">
        <f t="shared" si="36"/>
        <v>2</v>
      </c>
      <c r="G133" s="123">
        <f t="shared" si="36"/>
        <v>2</v>
      </c>
      <c r="H133" s="123">
        <f t="shared" si="36"/>
        <v>2</v>
      </c>
      <c r="I133" s="123">
        <f t="shared" si="36"/>
        <v>2</v>
      </c>
      <c r="J133" s="123">
        <f t="shared" si="36"/>
        <v>2</v>
      </c>
      <c r="K133" s="123">
        <f t="shared" si="36"/>
        <v>2</v>
      </c>
      <c r="L133" s="123">
        <f t="shared" si="36"/>
        <v>2</v>
      </c>
      <c r="M133" s="123">
        <f t="shared" si="36"/>
        <v>2</v>
      </c>
      <c r="N133" s="123">
        <f t="shared" si="36"/>
        <v>2</v>
      </c>
      <c r="O133" s="123">
        <f t="shared" si="36"/>
        <v>2</v>
      </c>
      <c r="P133" s="123">
        <f t="shared" si="36"/>
        <v>2</v>
      </c>
      <c r="Q133" s="123">
        <f t="shared" si="36"/>
        <v>2</v>
      </c>
      <c r="R133" s="123">
        <f t="shared" si="36"/>
        <v>2</v>
      </c>
      <c r="S133" s="123">
        <f t="shared" si="36"/>
        <v>2</v>
      </c>
      <c r="T133" s="123">
        <f t="shared" si="37"/>
        <v>2</v>
      </c>
      <c r="U133" s="123">
        <f t="shared" si="37"/>
        <v>2</v>
      </c>
      <c r="V133" s="123">
        <f t="shared" si="37"/>
        <v>2</v>
      </c>
      <c r="W133" s="123">
        <f t="shared" si="37"/>
        <v>2</v>
      </c>
      <c r="X133" s="123">
        <f t="shared" si="37"/>
        <v>2</v>
      </c>
      <c r="Y133" s="123">
        <f t="shared" si="37"/>
        <v>2</v>
      </c>
      <c r="Z133" s="123">
        <f t="shared" si="37"/>
        <v>2</v>
      </c>
      <c r="AA133" s="123">
        <f t="shared" si="37"/>
        <v>2</v>
      </c>
      <c r="AB133" s="123">
        <f t="shared" si="37"/>
        <v>2</v>
      </c>
      <c r="AC133" s="123">
        <f t="shared" si="37"/>
        <v>2</v>
      </c>
      <c r="AD133" s="123">
        <f t="shared" si="37"/>
        <v>2</v>
      </c>
      <c r="AE133" s="123">
        <f t="shared" si="37"/>
        <v>2</v>
      </c>
      <c r="AF133" s="123">
        <f t="shared" si="37"/>
        <v>2</v>
      </c>
      <c r="AG133" s="126">
        <v>5</v>
      </c>
      <c r="AH133" s="55"/>
      <c r="AI133" s="56"/>
      <c r="AK133" s="57"/>
    </row>
    <row r="134" spans="1:37" x14ac:dyDescent="0.25">
      <c r="A134" s="111" t="s">
        <v>138</v>
      </c>
      <c r="B134" s="123">
        <f t="shared" si="35"/>
        <v>1.25</v>
      </c>
      <c r="C134" s="124">
        <v>1.25</v>
      </c>
      <c r="D134" s="123">
        <f t="shared" si="36"/>
        <v>1.25</v>
      </c>
      <c r="E134" s="123">
        <f t="shared" si="36"/>
        <v>1.25</v>
      </c>
      <c r="F134" s="123">
        <f t="shared" si="36"/>
        <v>1.25</v>
      </c>
      <c r="G134" s="123">
        <f t="shared" si="36"/>
        <v>1.25</v>
      </c>
      <c r="H134" s="123">
        <f t="shared" si="36"/>
        <v>1.25</v>
      </c>
      <c r="I134" s="123">
        <f t="shared" si="36"/>
        <v>1.25</v>
      </c>
      <c r="J134" s="123">
        <f t="shared" si="36"/>
        <v>1.25</v>
      </c>
      <c r="K134" s="123">
        <f t="shared" si="36"/>
        <v>1.25</v>
      </c>
      <c r="L134" s="123">
        <f t="shared" si="36"/>
        <v>1.25</v>
      </c>
      <c r="M134" s="123">
        <f t="shared" si="36"/>
        <v>1.25</v>
      </c>
      <c r="N134" s="123">
        <f t="shared" si="36"/>
        <v>1.25</v>
      </c>
      <c r="O134" s="123">
        <f t="shared" si="36"/>
        <v>1.25</v>
      </c>
      <c r="P134" s="123">
        <f t="shared" si="36"/>
        <v>1.25</v>
      </c>
      <c r="Q134" s="123">
        <f t="shared" si="36"/>
        <v>1.25</v>
      </c>
      <c r="R134" s="123">
        <f t="shared" si="36"/>
        <v>1.25</v>
      </c>
      <c r="S134" s="123">
        <f t="shared" si="36"/>
        <v>1.25</v>
      </c>
      <c r="T134" s="123">
        <f t="shared" si="37"/>
        <v>1.25</v>
      </c>
      <c r="U134" s="123">
        <f t="shared" si="37"/>
        <v>1.25</v>
      </c>
      <c r="V134" s="123">
        <f t="shared" si="37"/>
        <v>1.25</v>
      </c>
      <c r="W134" s="123">
        <f t="shared" si="37"/>
        <v>1.25</v>
      </c>
      <c r="X134" s="123">
        <f t="shared" si="37"/>
        <v>1.25</v>
      </c>
      <c r="Y134" s="123">
        <f t="shared" si="37"/>
        <v>1.25</v>
      </c>
      <c r="Z134" s="123">
        <f t="shared" si="37"/>
        <v>1.25</v>
      </c>
      <c r="AA134" s="123">
        <f t="shared" si="37"/>
        <v>1.25</v>
      </c>
      <c r="AB134" s="123">
        <f t="shared" si="37"/>
        <v>1.25</v>
      </c>
      <c r="AC134" s="123">
        <f t="shared" si="37"/>
        <v>1.25</v>
      </c>
      <c r="AD134" s="123">
        <f t="shared" si="37"/>
        <v>1.25</v>
      </c>
      <c r="AE134" s="123">
        <f t="shared" si="37"/>
        <v>1.25</v>
      </c>
      <c r="AF134" s="123">
        <f t="shared" si="37"/>
        <v>1.25</v>
      </c>
      <c r="AG134" s="126">
        <v>5</v>
      </c>
      <c r="AH134" s="55"/>
      <c r="AI134" s="56"/>
      <c r="AK134" s="57"/>
    </row>
    <row r="135" spans="1:37" x14ac:dyDescent="0.25">
      <c r="A135" s="111" t="s">
        <v>139</v>
      </c>
      <c r="B135" s="123">
        <f t="shared" si="35"/>
        <v>1.1499999999999999</v>
      </c>
      <c r="C135" s="124">
        <v>1.1499999999999999</v>
      </c>
      <c r="D135" s="123">
        <f t="shared" si="36"/>
        <v>1.1499999999999999</v>
      </c>
      <c r="E135" s="123">
        <f t="shared" si="36"/>
        <v>1.1499999999999999</v>
      </c>
      <c r="F135" s="123">
        <f t="shared" si="36"/>
        <v>1.1499999999999999</v>
      </c>
      <c r="G135" s="123">
        <f t="shared" si="36"/>
        <v>1.1499999999999999</v>
      </c>
      <c r="H135" s="123">
        <f t="shared" si="36"/>
        <v>1.1499999999999999</v>
      </c>
      <c r="I135" s="123">
        <f t="shared" si="36"/>
        <v>1.1499999999999999</v>
      </c>
      <c r="J135" s="123">
        <f t="shared" si="36"/>
        <v>1.1499999999999999</v>
      </c>
      <c r="K135" s="123">
        <f t="shared" si="36"/>
        <v>1.1499999999999999</v>
      </c>
      <c r="L135" s="123">
        <f t="shared" si="36"/>
        <v>1.1499999999999999</v>
      </c>
      <c r="M135" s="123">
        <f t="shared" si="36"/>
        <v>1.1499999999999999</v>
      </c>
      <c r="N135" s="123">
        <f t="shared" si="36"/>
        <v>1.1499999999999999</v>
      </c>
      <c r="O135" s="123">
        <f t="shared" si="36"/>
        <v>1.1499999999999999</v>
      </c>
      <c r="P135" s="123">
        <f t="shared" si="36"/>
        <v>1.1499999999999999</v>
      </c>
      <c r="Q135" s="123">
        <f t="shared" si="36"/>
        <v>1.1499999999999999</v>
      </c>
      <c r="R135" s="123">
        <f t="shared" si="36"/>
        <v>1.1499999999999999</v>
      </c>
      <c r="S135" s="123">
        <f t="shared" si="36"/>
        <v>1.1499999999999999</v>
      </c>
      <c r="T135" s="123">
        <f t="shared" si="37"/>
        <v>1.1499999999999999</v>
      </c>
      <c r="U135" s="123">
        <f t="shared" si="37"/>
        <v>1.1499999999999999</v>
      </c>
      <c r="V135" s="123">
        <f t="shared" si="37"/>
        <v>1.1499999999999999</v>
      </c>
      <c r="W135" s="123">
        <f t="shared" si="37"/>
        <v>1.1499999999999999</v>
      </c>
      <c r="X135" s="123">
        <f t="shared" si="37"/>
        <v>1.1499999999999999</v>
      </c>
      <c r="Y135" s="123">
        <f t="shared" si="37"/>
        <v>1.1499999999999999</v>
      </c>
      <c r="Z135" s="123">
        <f t="shared" si="37"/>
        <v>1.1499999999999999</v>
      </c>
      <c r="AA135" s="123">
        <f t="shared" si="37"/>
        <v>1.1499999999999999</v>
      </c>
      <c r="AB135" s="123">
        <f t="shared" si="37"/>
        <v>1.1499999999999999</v>
      </c>
      <c r="AC135" s="123">
        <f t="shared" si="37"/>
        <v>1.1499999999999999</v>
      </c>
      <c r="AD135" s="123">
        <f t="shared" si="37"/>
        <v>1.1499999999999999</v>
      </c>
      <c r="AE135" s="123">
        <f t="shared" si="37"/>
        <v>1.1499999999999999</v>
      </c>
      <c r="AF135" s="123">
        <f t="shared" si="37"/>
        <v>1.1499999999999999</v>
      </c>
      <c r="AG135" s="126">
        <v>5</v>
      </c>
      <c r="AH135" s="55"/>
      <c r="AI135" s="56"/>
      <c r="AK135" s="57"/>
    </row>
    <row r="136" spans="1:37" x14ac:dyDescent="0.25">
      <c r="A136" s="111" t="s">
        <v>140</v>
      </c>
      <c r="B136" s="123">
        <f t="shared" si="35"/>
        <v>2.133</v>
      </c>
      <c r="C136" s="124">
        <v>2.133</v>
      </c>
      <c r="D136" s="123">
        <f t="shared" si="36"/>
        <v>2.133</v>
      </c>
      <c r="E136" s="123">
        <f t="shared" si="36"/>
        <v>2.133</v>
      </c>
      <c r="F136" s="123">
        <f t="shared" si="36"/>
        <v>2.133</v>
      </c>
      <c r="G136" s="123">
        <f t="shared" si="36"/>
        <v>2.133</v>
      </c>
      <c r="H136" s="123">
        <f t="shared" si="36"/>
        <v>2.133</v>
      </c>
      <c r="I136" s="123">
        <f t="shared" si="36"/>
        <v>2.133</v>
      </c>
      <c r="J136" s="123">
        <f t="shared" si="36"/>
        <v>2.133</v>
      </c>
      <c r="K136" s="123">
        <f t="shared" si="36"/>
        <v>2.133</v>
      </c>
      <c r="L136" s="123">
        <f t="shared" si="36"/>
        <v>2.133</v>
      </c>
      <c r="M136" s="123">
        <f t="shared" si="36"/>
        <v>2.133</v>
      </c>
      <c r="N136" s="123">
        <f t="shared" si="36"/>
        <v>2.133</v>
      </c>
      <c r="O136" s="123">
        <f t="shared" si="36"/>
        <v>2.133</v>
      </c>
      <c r="P136" s="123">
        <f t="shared" si="36"/>
        <v>2.133</v>
      </c>
      <c r="Q136" s="123">
        <f t="shared" si="36"/>
        <v>2.133</v>
      </c>
      <c r="R136" s="123">
        <f t="shared" si="36"/>
        <v>2.133</v>
      </c>
      <c r="S136" s="123">
        <f t="shared" si="36"/>
        <v>2.133</v>
      </c>
      <c r="T136" s="123">
        <f t="shared" si="37"/>
        <v>2.133</v>
      </c>
      <c r="U136" s="123">
        <f t="shared" si="37"/>
        <v>2.133</v>
      </c>
      <c r="V136" s="123">
        <f t="shared" si="37"/>
        <v>2.133</v>
      </c>
      <c r="W136" s="123">
        <f t="shared" si="37"/>
        <v>2.133</v>
      </c>
      <c r="X136" s="123">
        <f t="shared" si="37"/>
        <v>2.133</v>
      </c>
      <c r="Y136" s="123">
        <f t="shared" si="37"/>
        <v>2.133</v>
      </c>
      <c r="Z136" s="123">
        <f t="shared" si="37"/>
        <v>2.133</v>
      </c>
      <c r="AA136" s="123">
        <f t="shared" si="37"/>
        <v>2.133</v>
      </c>
      <c r="AB136" s="123">
        <f t="shared" si="37"/>
        <v>2.133</v>
      </c>
      <c r="AC136" s="123">
        <f t="shared" si="37"/>
        <v>2.133</v>
      </c>
      <c r="AD136" s="123">
        <f t="shared" si="37"/>
        <v>2.133</v>
      </c>
      <c r="AE136" s="123">
        <f t="shared" si="37"/>
        <v>2.133</v>
      </c>
      <c r="AF136" s="123">
        <f t="shared" si="37"/>
        <v>2.133</v>
      </c>
      <c r="AG136" s="126">
        <v>4.9930000000000003</v>
      </c>
      <c r="AH136" s="55"/>
      <c r="AI136" s="56"/>
      <c r="AK136" s="57"/>
    </row>
    <row r="137" spans="1:37" x14ac:dyDescent="0.25">
      <c r="A137" s="111" t="s">
        <v>141</v>
      </c>
      <c r="B137" s="123">
        <f t="shared" si="35"/>
        <v>2.09</v>
      </c>
      <c r="C137" s="124">
        <v>2.09</v>
      </c>
      <c r="D137" s="123">
        <f t="shared" si="36"/>
        <v>2.09</v>
      </c>
      <c r="E137" s="123">
        <f t="shared" si="36"/>
        <v>2.09</v>
      </c>
      <c r="F137" s="123">
        <f t="shared" si="36"/>
        <v>2.09</v>
      </c>
      <c r="G137" s="123">
        <f t="shared" si="36"/>
        <v>2.09</v>
      </c>
      <c r="H137" s="123">
        <f t="shared" si="36"/>
        <v>2.09</v>
      </c>
      <c r="I137" s="123">
        <f t="shared" si="36"/>
        <v>2.09</v>
      </c>
      <c r="J137" s="123">
        <f t="shared" si="36"/>
        <v>2.09</v>
      </c>
      <c r="K137" s="123">
        <f t="shared" si="36"/>
        <v>2.09</v>
      </c>
      <c r="L137" s="123">
        <f t="shared" si="36"/>
        <v>2.09</v>
      </c>
      <c r="M137" s="123">
        <f t="shared" si="36"/>
        <v>2.09</v>
      </c>
      <c r="N137" s="123">
        <f t="shared" si="36"/>
        <v>2.09</v>
      </c>
      <c r="O137" s="123">
        <f t="shared" si="36"/>
        <v>2.09</v>
      </c>
      <c r="P137" s="123">
        <f t="shared" si="36"/>
        <v>2.09</v>
      </c>
      <c r="Q137" s="123">
        <f t="shared" si="36"/>
        <v>2.09</v>
      </c>
      <c r="R137" s="123">
        <f t="shared" si="36"/>
        <v>2.09</v>
      </c>
      <c r="S137" s="123">
        <f t="shared" si="36"/>
        <v>2.09</v>
      </c>
      <c r="T137" s="123">
        <f t="shared" si="37"/>
        <v>2.09</v>
      </c>
      <c r="U137" s="123">
        <f t="shared" si="37"/>
        <v>2.09</v>
      </c>
      <c r="V137" s="123">
        <f t="shared" si="37"/>
        <v>2.09</v>
      </c>
      <c r="W137" s="123">
        <f t="shared" si="37"/>
        <v>2.09</v>
      </c>
      <c r="X137" s="123">
        <f t="shared" si="37"/>
        <v>2.09</v>
      </c>
      <c r="Y137" s="123">
        <f t="shared" si="37"/>
        <v>2.09</v>
      </c>
      <c r="Z137" s="123">
        <f t="shared" si="37"/>
        <v>2.09</v>
      </c>
      <c r="AA137" s="123">
        <f t="shared" si="37"/>
        <v>2.09</v>
      </c>
      <c r="AB137" s="123">
        <f t="shared" si="37"/>
        <v>2.09</v>
      </c>
      <c r="AC137" s="123">
        <f t="shared" si="37"/>
        <v>2.09</v>
      </c>
      <c r="AD137" s="123">
        <f t="shared" si="37"/>
        <v>2.09</v>
      </c>
      <c r="AE137" s="123">
        <f t="shared" si="37"/>
        <v>2.09</v>
      </c>
      <c r="AF137" s="123">
        <f t="shared" si="37"/>
        <v>2.09</v>
      </c>
      <c r="AG137" s="126">
        <v>4.9800000000000004</v>
      </c>
      <c r="AH137" s="55"/>
      <c r="AI137" s="56"/>
      <c r="AK137" s="57"/>
    </row>
    <row r="138" spans="1:37" x14ac:dyDescent="0.25">
      <c r="A138" s="111" t="s">
        <v>142</v>
      </c>
      <c r="B138" s="123">
        <f t="shared" si="35"/>
        <v>1.1399999999999999</v>
      </c>
      <c r="C138" s="124">
        <v>1.1399999999999999</v>
      </c>
      <c r="D138" s="123">
        <f t="shared" si="36"/>
        <v>1.1399999999999999</v>
      </c>
      <c r="E138" s="123">
        <f t="shared" si="36"/>
        <v>1.1399999999999999</v>
      </c>
      <c r="F138" s="123">
        <f t="shared" si="36"/>
        <v>1.1399999999999999</v>
      </c>
      <c r="G138" s="123">
        <f t="shared" si="36"/>
        <v>1.1399999999999999</v>
      </c>
      <c r="H138" s="123">
        <f t="shared" si="36"/>
        <v>1.1399999999999999</v>
      </c>
      <c r="I138" s="123">
        <f t="shared" si="36"/>
        <v>1.1399999999999999</v>
      </c>
      <c r="J138" s="123">
        <f t="shared" si="36"/>
        <v>1.1399999999999999</v>
      </c>
      <c r="K138" s="123">
        <f t="shared" si="36"/>
        <v>1.1399999999999999</v>
      </c>
      <c r="L138" s="123">
        <f t="shared" si="36"/>
        <v>1.1399999999999999</v>
      </c>
      <c r="M138" s="123">
        <f t="shared" si="36"/>
        <v>1.1399999999999999</v>
      </c>
      <c r="N138" s="123">
        <f t="shared" si="36"/>
        <v>1.1399999999999999</v>
      </c>
      <c r="O138" s="123">
        <f t="shared" si="36"/>
        <v>1.1399999999999999</v>
      </c>
      <c r="P138" s="123">
        <f t="shared" si="36"/>
        <v>1.1399999999999999</v>
      </c>
      <c r="Q138" s="123">
        <f t="shared" si="36"/>
        <v>1.1399999999999999</v>
      </c>
      <c r="R138" s="123">
        <f t="shared" si="36"/>
        <v>1.1399999999999999</v>
      </c>
      <c r="S138" s="123">
        <f t="shared" si="36"/>
        <v>1.1399999999999999</v>
      </c>
      <c r="T138" s="123">
        <f t="shared" si="37"/>
        <v>1.1399999999999999</v>
      </c>
      <c r="U138" s="123">
        <f t="shared" si="37"/>
        <v>1.1399999999999999</v>
      </c>
      <c r="V138" s="123">
        <f t="shared" si="37"/>
        <v>1.1399999999999999</v>
      </c>
      <c r="W138" s="123">
        <f t="shared" si="37"/>
        <v>1.1399999999999999</v>
      </c>
      <c r="X138" s="123">
        <f t="shared" si="37"/>
        <v>1.1399999999999999</v>
      </c>
      <c r="Y138" s="123">
        <f t="shared" si="37"/>
        <v>1.1399999999999999</v>
      </c>
      <c r="Z138" s="123">
        <f t="shared" si="37"/>
        <v>1.1399999999999999</v>
      </c>
      <c r="AA138" s="123">
        <f t="shared" si="37"/>
        <v>1.1399999999999999</v>
      </c>
      <c r="AB138" s="123">
        <f t="shared" si="37"/>
        <v>1.1399999999999999</v>
      </c>
      <c r="AC138" s="123">
        <f t="shared" si="37"/>
        <v>1.1399999999999999</v>
      </c>
      <c r="AD138" s="123">
        <f t="shared" si="37"/>
        <v>1.1399999999999999</v>
      </c>
      <c r="AE138" s="123">
        <f t="shared" si="37"/>
        <v>1.1399999999999999</v>
      </c>
      <c r="AF138" s="123">
        <f t="shared" si="37"/>
        <v>1.1399999999999999</v>
      </c>
      <c r="AG138" s="126">
        <v>4.95</v>
      </c>
      <c r="AH138" s="55"/>
      <c r="AI138" s="56"/>
      <c r="AK138" s="57"/>
    </row>
    <row r="139" spans="1:37" x14ac:dyDescent="0.25">
      <c r="A139" s="111" t="s">
        <v>143</v>
      </c>
      <c r="B139" s="123">
        <f t="shared" si="35"/>
        <v>0.82</v>
      </c>
      <c r="C139" s="124">
        <v>0.82</v>
      </c>
      <c r="D139" s="123">
        <f t="shared" si="36"/>
        <v>0.82</v>
      </c>
      <c r="E139" s="123">
        <f t="shared" si="36"/>
        <v>0.82</v>
      </c>
      <c r="F139" s="123">
        <f t="shared" si="36"/>
        <v>0.82</v>
      </c>
      <c r="G139" s="123">
        <f t="shared" si="36"/>
        <v>0.82</v>
      </c>
      <c r="H139" s="123">
        <f t="shared" si="36"/>
        <v>0.82</v>
      </c>
      <c r="I139" s="123">
        <f t="shared" si="36"/>
        <v>0.82</v>
      </c>
      <c r="J139" s="123">
        <f t="shared" si="36"/>
        <v>0.82</v>
      </c>
      <c r="K139" s="123">
        <f t="shared" si="36"/>
        <v>0.82</v>
      </c>
      <c r="L139" s="123">
        <f t="shared" si="36"/>
        <v>0.82</v>
      </c>
      <c r="M139" s="123">
        <f t="shared" si="36"/>
        <v>0.82</v>
      </c>
      <c r="N139" s="123">
        <f t="shared" si="36"/>
        <v>0.82</v>
      </c>
      <c r="O139" s="123">
        <f t="shared" si="36"/>
        <v>0.82</v>
      </c>
      <c r="P139" s="123">
        <f t="shared" si="36"/>
        <v>0.82</v>
      </c>
      <c r="Q139" s="123">
        <f t="shared" si="36"/>
        <v>0.82</v>
      </c>
      <c r="R139" s="123">
        <f t="shared" si="36"/>
        <v>0.82</v>
      </c>
      <c r="S139" s="123">
        <f t="shared" si="36"/>
        <v>0.82</v>
      </c>
      <c r="T139" s="123">
        <f t="shared" si="37"/>
        <v>0.82</v>
      </c>
      <c r="U139" s="123">
        <f t="shared" si="37"/>
        <v>0.82</v>
      </c>
      <c r="V139" s="123">
        <f t="shared" si="37"/>
        <v>0.82</v>
      </c>
      <c r="W139" s="123">
        <f t="shared" si="37"/>
        <v>0.82</v>
      </c>
      <c r="X139" s="123">
        <f t="shared" si="37"/>
        <v>0.82</v>
      </c>
      <c r="Y139" s="123">
        <f t="shared" si="37"/>
        <v>0.82</v>
      </c>
      <c r="Z139" s="123">
        <f t="shared" si="37"/>
        <v>0.82</v>
      </c>
      <c r="AA139" s="123">
        <f t="shared" si="37"/>
        <v>0.82</v>
      </c>
      <c r="AB139" s="123">
        <f t="shared" si="37"/>
        <v>0.82</v>
      </c>
      <c r="AC139" s="123">
        <f t="shared" si="37"/>
        <v>0.82</v>
      </c>
      <c r="AD139" s="123">
        <f t="shared" si="37"/>
        <v>0.82</v>
      </c>
      <c r="AE139" s="123">
        <f t="shared" si="37"/>
        <v>0.82</v>
      </c>
      <c r="AF139" s="123">
        <f t="shared" si="37"/>
        <v>0.82</v>
      </c>
      <c r="AG139" s="126">
        <v>4.95</v>
      </c>
      <c r="AH139" s="55"/>
      <c r="AI139" s="56"/>
      <c r="AK139" s="57"/>
    </row>
    <row r="140" spans="1:37" x14ac:dyDescent="0.25">
      <c r="A140" s="111" t="s">
        <v>144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5"/>
      <c r="AI140" s="56"/>
      <c r="AK140" s="57"/>
    </row>
    <row r="141" spans="1:37" x14ac:dyDescent="0.25">
      <c r="A141" s="111" t="s">
        <v>145</v>
      </c>
      <c r="B141" s="123">
        <f t="shared" ref="B141:B147" si="38">AF141</f>
        <v>2</v>
      </c>
      <c r="C141" s="124">
        <v>2</v>
      </c>
      <c r="D141" s="123">
        <f t="shared" ref="D141:S147" si="39">C141</f>
        <v>2</v>
      </c>
      <c r="E141" s="123">
        <f t="shared" si="39"/>
        <v>2</v>
      </c>
      <c r="F141" s="123">
        <f t="shared" si="39"/>
        <v>2</v>
      </c>
      <c r="G141" s="123">
        <f t="shared" si="39"/>
        <v>2</v>
      </c>
      <c r="H141" s="123">
        <f t="shared" si="39"/>
        <v>2</v>
      </c>
      <c r="I141" s="123">
        <f t="shared" si="39"/>
        <v>2</v>
      </c>
      <c r="J141" s="123">
        <f t="shared" si="39"/>
        <v>2</v>
      </c>
      <c r="K141" s="123">
        <f t="shared" si="39"/>
        <v>2</v>
      </c>
      <c r="L141" s="123">
        <f t="shared" si="39"/>
        <v>2</v>
      </c>
      <c r="M141" s="123">
        <f t="shared" si="39"/>
        <v>2</v>
      </c>
      <c r="N141" s="123">
        <f t="shared" si="39"/>
        <v>2</v>
      </c>
      <c r="O141" s="123">
        <f t="shared" si="39"/>
        <v>2</v>
      </c>
      <c r="P141" s="123">
        <f t="shared" si="39"/>
        <v>2</v>
      </c>
      <c r="Q141" s="123">
        <f t="shared" si="39"/>
        <v>2</v>
      </c>
      <c r="R141" s="123">
        <f t="shared" si="39"/>
        <v>2</v>
      </c>
      <c r="S141" s="123">
        <f t="shared" si="39"/>
        <v>2</v>
      </c>
      <c r="T141" s="123">
        <f t="shared" ref="T141:AF147" si="40">S141</f>
        <v>2</v>
      </c>
      <c r="U141" s="123">
        <f t="shared" si="40"/>
        <v>2</v>
      </c>
      <c r="V141" s="123">
        <f t="shared" si="40"/>
        <v>2</v>
      </c>
      <c r="W141" s="123">
        <f t="shared" si="40"/>
        <v>2</v>
      </c>
      <c r="X141" s="123">
        <f t="shared" si="40"/>
        <v>2</v>
      </c>
      <c r="Y141" s="123">
        <f t="shared" si="40"/>
        <v>2</v>
      </c>
      <c r="Z141" s="123">
        <f t="shared" si="40"/>
        <v>2</v>
      </c>
      <c r="AA141" s="123">
        <f t="shared" si="40"/>
        <v>2</v>
      </c>
      <c r="AB141" s="123">
        <f t="shared" si="40"/>
        <v>2</v>
      </c>
      <c r="AC141" s="123">
        <f t="shared" si="40"/>
        <v>2</v>
      </c>
      <c r="AD141" s="123">
        <f t="shared" si="40"/>
        <v>2</v>
      </c>
      <c r="AE141" s="123">
        <f t="shared" si="40"/>
        <v>2</v>
      </c>
      <c r="AF141" s="123">
        <f t="shared" si="40"/>
        <v>2</v>
      </c>
      <c r="AG141" s="126">
        <v>4.8</v>
      </c>
      <c r="AH141" s="55"/>
      <c r="AI141" s="56"/>
      <c r="AK141" s="57"/>
    </row>
    <row r="142" spans="1:37" x14ac:dyDescent="0.25">
      <c r="A142" s="111" t="s">
        <v>146</v>
      </c>
      <c r="B142" s="123">
        <f t="shared" si="38"/>
        <v>5.61</v>
      </c>
      <c r="C142" s="124">
        <v>5.61</v>
      </c>
      <c r="D142" s="123">
        <f t="shared" si="39"/>
        <v>5.61</v>
      </c>
      <c r="E142" s="123">
        <f t="shared" si="39"/>
        <v>5.61</v>
      </c>
      <c r="F142" s="123">
        <f t="shared" si="39"/>
        <v>5.61</v>
      </c>
      <c r="G142" s="123">
        <f t="shared" si="39"/>
        <v>5.61</v>
      </c>
      <c r="H142" s="123">
        <f t="shared" si="39"/>
        <v>5.61</v>
      </c>
      <c r="I142" s="123">
        <f t="shared" si="39"/>
        <v>5.61</v>
      </c>
      <c r="J142" s="123">
        <f t="shared" si="39"/>
        <v>5.61</v>
      </c>
      <c r="K142" s="123">
        <f t="shared" si="39"/>
        <v>5.61</v>
      </c>
      <c r="L142" s="123">
        <f t="shared" si="39"/>
        <v>5.61</v>
      </c>
      <c r="M142" s="123">
        <f t="shared" si="39"/>
        <v>5.61</v>
      </c>
      <c r="N142" s="123">
        <f t="shared" si="39"/>
        <v>5.61</v>
      </c>
      <c r="O142" s="123">
        <f t="shared" si="39"/>
        <v>5.61</v>
      </c>
      <c r="P142" s="123">
        <f t="shared" si="39"/>
        <v>5.61</v>
      </c>
      <c r="Q142" s="123">
        <f t="shared" si="39"/>
        <v>5.61</v>
      </c>
      <c r="R142" s="123">
        <f t="shared" si="39"/>
        <v>5.61</v>
      </c>
      <c r="S142" s="123">
        <f t="shared" si="39"/>
        <v>5.61</v>
      </c>
      <c r="T142" s="123">
        <f t="shared" si="40"/>
        <v>5.61</v>
      </c>
      <c r="U142" s="123">
        <f t="shared" si="40"/>
        <v>5.61</v>
      </c>
      <c r="V142" s="123">
        <f t="shared" si="40"/>
        <v>5.61</v>
      </c>
      <c r="W142" s="123">
        <f t="shared" si="40"/>
        <v>5.61</v>
      </c>
      <c r="X142" s="123">
        <f t="shared" si="40"/>
        <v>5.61</v>
      </c>
      <c r="Y142" s="123">
        <f t="shared" si="40"/>
        <v>5.61</v>
      </c>
      <c r="Z142" s="123">
        <f t="shared" si="40"/>
        <v>5.61</v>
      </c>
      <c r="AA142" s="123">
        <f t="shared" si="40"/>
        <v>5.61</v>
      </c>
      <c r="AB142" s="123">
        <f t="shared" si="40"/>
        <v>5.61</v>
      </c>
      <c r="AC142" s="123">
        <f t="shared" si="40"/>
        <v>5.61</v>
      </c>
      <c r="AD142" s="123">
        <f t="shared" si="40"/>
        <v>5.61</v>
      </c>
      <c r="AE142" s="123">
        <f t="shared" si="40"/>
        <v>5.61</v>
      </c>
      <c r="AF142" s="123">
        <f t="shared" si="40"/>
        <v>5.61</v>
      </c>
      <c r="AG142" s="126">
        <v>4.8</v>
      </c>
      <c r="AH142" s="55"/>
      <c r="AI142" s="56"/>
      <c r="AK142" s="57"/>
    </row>
    <row r="143" spans="1:37" x14ac:dyDescent="0.25">
      <c r="A143" s="111" t="s">
        <v>147</v>
      </c>
      <c r="B143" s="123">
        <f t="shared" si="38"/>
        <v>1.25</v>
      </c>
      <c r="C143" s="124">
        <v>1.25</v>
      </c>
      <c r="D143" s="123">
        <f t="shared" si="39"/>
        <v>1.25</v>
      </c>
      <c r="E143" s="123">
        <f t="shared" si="39"/>
        <v>1.25</v>
      </c>
      <c r="F143" s="123">
        <f t="shared" si="39"/>
        <v>1.25</v>
      </c>
      <c r="G143" s="123">
        <f t="shared" si="39"/>
        <v>1.25</v>
      </c>
      <c r="H143" s="123">
        <f t="shared" si="39"/>
        <v>1.25</v>
      </c>
      <c r="I143" s="123">
        <f t="shared" si="39"/>
        <v>1.25</v>
      </c>
      <c r="J143" s="123">
        <f t="shared" si="39"/>
        <v>1.25</v>
      </c>
      <c r="K143" s="123">
        <f t="shared" si="39"/>
        <v>1.25</v>
      </c>
      <c r="L143" s="123">
        <f t="shared" si="39"/>
        <v>1.25</v>
      </c>
      <c r="M143" s="123">
        <f t="shared" si="39"/>
        <v>1.25</v>
      </c>
      <c r="N143" s="123">
        <f t="shared" si="39"/>
        <v>1.25</v>
      </c>
      <c r="O143" s="123">
        <f t="shared" si="39"/>
        <v>1.25</v>
      </c>
      <c r="P143" s="123">
        <f t="shared" si="39"/>
        <v>1.25</v>
      </c>
      <c r="Q143" s="123">
        <f t="shared" si="39"/>
        <v>1.25</v>
      </c>
      <c r="R143" s="123">
        <f t="shared" si="39"/>
        <v>1.25</v>
      </c>
      <c r="S143" s="123">
        <f t="shared" si="39"/>
        <v>1.25</v>
      </c>
      <c r="T143" s="123">
        <f t="shared" si="40"/>
        <v>1.25</v>
      </c>
      <c r="U143" s="123">
        <f t="shared" si="40"/>
        <v>1.25</v>
      </c>
      <c r="V143" s="123">
        <f t="shared" si="40"/>
        <v>1.25</v>
      </c>
      <c r="W143" s="123">
        <f t="shared" si="40"/>
        <v>1.25</v>
      </c>
      <c r="X143" s="123">
        <f t="shared" si="40"/>
        <v>1.25</v>
      </c>
      <c r="Y143" s="123">
        <f t="shared" si="40"/>
        <v>1.25</v>
      </c>
      <c r="Z143" s="123">
        <f t="shared" si="40"/>
        <v>1.25</v>
      </c>
      <c r="AA143" s="123">
        <f t="shared" si="40"/>
        <v>1.25</v>
      </c>
      <c r="AB143" s="123">
        <f t="shared" si="40"/>
        <v>1.25</v>
      </c>
      <c r="AC143" s="123">
        <f t="shared" si="40"/>
        <v>1.25</v>
      </c>
      <c r="AD143" s="123">
        <f t="shared" si="40"/>
        <v>1.25</v>
      </c>
      <c r="AE143" s="123">
        <f t="shared" si="40"/>
        <v>1.25</v>
      </c>
      <c r="AF143" s="123">
        <f t="shared" si="40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148</v>
      </c>
      <c r="B144" s="123">
        <f t="shared" si="38"/>
        <v>1.25</v>
      </c>
      <c r="C144" s="124">
        <v>1.25</v>
      </c>
      <c r="D144" s="123">
        <f t="shared" si="39"/>
        <v>1.25</v>
      </c>
      <c r="E144" s="123">
        <f t="shared" si="39"/>
        <v>1.25</v>
      </c>
      <c r="F144" s="123">
        <f t="shared" si="39"/>
        <v>1.25</v>
      </c>
      <c r="G144" s="123">
        <f t="shared" si="39"/>
        <v>1.25</v>
      </c>
      <c r="H144" s="123">
        <f t="shared" si="39"/>
        <v>1.25</v>
      </c>
      <c r="I144" s="123">
        <f t="shared" si="39"/>
        <v>1.25</v>
      </c>
      <c r="J144" s="123">
        <f t="shared" si="39"/>
        <v>1.25</v>
      </c>
      <c r="K144" s="123">
        <f t="shared" si="39"/>
        <v>1.25</v>
      </c>
      <c r="L144" s="123">
        <f t="shared" si="39"/>
        <v>1.25</v>
      </c>
      <c r="M144" s="123">
        <f t="shared" si="39"/>
        <v>1.25</v>
      </c>
      <c r="N144" s="123">
        <f t="shared" si="39"/>
        <v>1.25</v>
      </c>
      <c r="O144" s="123">
        <f t="shared" si="39"/>
        <v>1.25</v>
      </c>
      <c r="P144" s="123">
        <f t="shared" si="39"/>
        <v>1.25</v>
      </c>
      <c r="Q144" s="123">
        <f t="shared" si="39"/>
        <v>1.25</v>
      </c>
      <c r="R144" s="123">
        <f t="shared" si="39"/>
        <v>1.25</v>
      </c>
      <c r="S144" s="123">
        <f t="shared" si="39"/>
        <v>1.25</v>
      </c>
      <c r="T144" s="123">
        <f t="shared" si="40"/>
        <v>1.25</v>
      </c>
      <c r="U144" s="123">
        <f t="shared" si="40"/>
        <v>1.25</v>
      </c>
      <c r="V144" s="123">
        <f t="shared" si="40"/>
        <v>1.25</v>
      </c>
      <c r="W144" s="123">
        <f t="shared" si="40"/>
        <v>1.25</v>
      </c>
      <c r="X144" s="123">
        <f t="shared" si="40"/>
        <v>1.25</v>
      </c>
      <c r="Y144" s="123">
        <f t="shared" si="40"/>
        <v>1.25</v>
      </c>
      <c r="Z144" s="123">
        <f t="shared" si="40"/>
        <v>1.25</v>
      </c>
      <c r="AA144" s="123">
        <f t="shared" si="40"/>
        <v>1.25</v>
      </c>
      <c r="AB144" s="123">
        <f t="shared" si="40"/>
        <v>1.25</v>
      </c>
      <c r="AC144" s="123">
        <f t="shared" si="40"/>
        <v>1.25</v>
      </c>
      <c r="AD144" s="123">
        <f t="shared" si="40"/>
        <v>1.25</v>
      </c>
      <c r="AE144" s="123">
        <f t="shared" si="40"/>
        <v>1.25</v>
      </c>
      <c r="AF144" s="123">
        <f t="shared" si="40"/>
        <v>1.25</v>
      </c>
      <c r="AG144" s="126">
        <v>4.5</v>
      </c>
      <c r="AH144" s="55"/>
      <c r="AI144" s="56"/>
      <c r="AK144" s="57"/>
    </row>
    <row r="145" spans="1:37" x14ac:dyDescent="0.25">
      <c r="A145" s="111" t="s">
        <v>149</v>
      </c>
      <c r="B145" s="123">
        <f t="shared" si="38"/>
        <v>1.46</v>
      </c>
      <c r="C145" s="124">
        <v>1.46</v>
      </c>
      <c r="D145" s="123">
        <f t="shared" si="39"/>
        <v>1.46</v>
      </c>
      <c r="E145" s="123">
        <f t="shared" si="39"/>
        <v>1.46</v>
      </c>
      <c r="F145" s="123">
        <f t="shared" si="39"/>
        <v>1.46</v>
      </c>
      <c r="G145" s="123">
        <f t="shared" si="39"/>
        <v>1.46</v>
      </c>
      <c r="H145" s="123">
        <f t="shared" si="39"/>
        <v>1.46</v>
      </c>
      <c r="I145" s="123">
        <f t="shared" si="39"/>
        <v>1.46</v>
      </c>
      <c r="J145" s="123">
        <f t="shared" si="39"/>
        <v>1.46</v>
      </c>
      <c r="K145" s="123">
        <f t="shared" si="39"/>
        <v>1.46</v>
      </c>
      <c r="L145" s="123">
        <f t="shared" si="39"/>
        <v>1.46</v>
      </c>
      <c r="M145" s="123">
        <f t="shared" si="39"/>
        <v>1.46</v>
      </c>
      <c r="N145" s="123">
        <f t="shared" si="39"/>
        <v>1.46</v>
      </c>
      <c r="O145" s="123">
        <f t="shared" si="39"/>
        <v>1.46</v>
      </c>
      <c r="P145" s="123">
        <f t="shared" si="39"/>
        <v>1.46</v>
      </c>
      <c r="Q145" s="123">
        <f t="shared" si="39"/>
        <v>1.46</v>
      </c>
      <c r="R145" s="123">
        <f t="shared" si="39"/>
        <v>1.46</v>
      </c>
      <c r="S145" s="123">
        <f t="shared" si="39"/>
        <v>1.46</v>
      </c>
      <c r="T145" s="123">
        <f t="shared" si="40"/>
        <v>1.46</v>
      </c>
      <c r="U145" s="123">
        <f t="shared" si="40"/>
        <v>1.46</v>
      </c>
      <c r="V145" s="123">
        <f t="shared" si="40"/>
        <v>1.46</v>
      </c>
      <c r="W145" s="123">
        <f t="shared" si="40"/>
        <v>1.46</v>
      </c>
      <c r="X145" s="123">
        <f t="shared" si="40"/>
        <v>1.46</v>
      </c>
      <c r="Y145" s="123">
        <f t="shared" si="40"/>
        <v>1.46</v>
      </c>
      <c r="Z145" s="123">
        <f t="shared" si="40"/>
        <v>1.46</v>
      </c>
      <c r="AA145" s="123">
        <f t="shared" si="40"/>
        <v>1.46</v>
      </c>
      <c r="AB145" s="123">
        <f t="shared" si="40"/>
        <v>1.46</v>
      </c>
      <c r="AC145" s="123">
        <f t="shared" si="40"/>
        <v>1.46</v>
      </c>
      <c r="AD145" s="123">
        <f t="shared" si="40"/>
        <v>1.46</v>
      </c>
      <c r="AE145" s="123">
        <f t="shared" si="40"/>
        <v>1.46</v>
      </c>
      <c r="AF145" s="123">
        <f t="shared" si="40"/>
        <v>1.46</v>
      </c>
      <c r="AG145" s="126">
        <v>4.4550000000000001</v>
      </c>
      <c r="AH145" s="55"/>
      <c r="AI145" s="56"/>
      <c r="AK145" s="57"/>
    </row>
    <row r="146" spans="1:37" x14ac:dyDescent="0.25">
      <c r="A146" s="111" t="s">
        <v>150</v>
      </c>
      <c r="B146" s="123">
        <f t="shared" si="38"/>
        <v>3</v>
      </c>
      <c r="C146" s="124">
        <v>3</v>
      </c>
      <c r="D146" s="123">
        <f t="shared" si="39"/>
        <v>3</v>
      </c>
      <c r="E146" s="123">
        <f t="shared" si="39"/>
        <v>3</v>
      </c>
      <c r="F146" s="123">
        <f t="shared" si="39"/>
        <v>3</v>
      </c>
      <c r="G146" s="123">
        <f t="shared" si="39"/>
        <v>3</v>
      </c>
      <c r="H146" s="123">
        <f t="shared" si="39"/>
        <v>3</v>
      </c>
      <c r="I146" s="123">
        <f t="shared" si="39"/>
        <v>3</v>
      </c>
      <c r="J146" s="123">
        <f t="shared" si="39"/>
        <v>3</v>
      </c>
      <c r="K146" s="123">
        <f t="shared" si="39"/>
        <v>3</v>
      </c>
      <c r="L146" s="123">
        <f t="shared" si="39"/>
        <v>3</v>
      </c>
      <c r="M146" s="123">
        <f t="shared" si="39"/>
        <v>3</v>
      </c>
      <c r="N146" s="123">
        <f t="shared" si="39"/>
        <v>3</v>
      </c>
      <c r="O146" s="123">
        <f t="shared" si="39"/>
        <v>3</v>
      </c>
      <c r="P146" s="123">
        <f t="shared" si="39"/>
        <v>3</v>
      </c>
      <c r="Q146" s="123">
        <f t="shared" si="39"/>
        <v>3</v>
      </c>
      <c r="R146" s="123">
        <f t="shared" si="39"/>
        <v>3</v>
      </c>
      <c r="S146" s="123">
        <f t="shared" si="39"/>
        <v>3</v>
      </c>
      <c r="T146" s="123">
        <f t="shared" si="40"/>
        <v>3</v>
      </c>
      <c r="U146" s="123">
        <f t="shared" si="40"/>
        <v>3</v>
      </c>
      <c r="V146" s="123">
        <f t="shared" si="40"/>
        <v>3</v>
      </c>
      <c r="W146" s="123">
        <f t="shared" si="40"/>
        <v>3</v>
      </c>
      <c r="X146" s="123">
        <f t="shared" si="40"/>
        <v>3</v>
      </c>
      <c r="Y146" s="123">
        <f t="shared" si="40"/>
        <v>3</v>
      </c>
      <c r="Z146" s="123">
        <f t="shared" si="40"/>
        <v>3</v>
      </c>
      <c r="AA146" s="123">
        <f t="shared" si="40"/>
        <v>3</v>
      </c>
      <c r="AB146" s="123">
        <f t="shared" si="40"/>
        <v>3</v>
      </c>
      <c r="AC146" s="123">
        <f t="shared" si="40"/>
        <v>3</v>
      </c>
      <c r="AD146" s="123">
        <f t="shared" si="40"/>
        <v>3</v>
      </c>
      <c r="AE146" s="123">
        <f t="shared" si="40"/>
        <v>3</v>
      </c>
      <c r="AF146" s="123">
        <f t="shared" si="40"/>
        <v>3</v>
      </c>
      <c r="AG146" s="126">
        <v>4.41</v>
      </c>
      <c r="AH146" s="55"/>
      <c r="AI146" s="56"/>
      <c r="AK146" s="57"/>
    </row>
    <row r="147" spans="1:37" x14ac:dyDescent="0.25">
      <c r="A147" s="111" t="s">
        <v>151</v>
      </c>
      <c r="B147" s="123">
        <f t="shared" si="38"/>
        <v>3.3</v>
      </c>
      <c r="C147" s="124">
        <v>3.3</v>
      </c>
      <c r="D147" s="123">
        <f t="shared" si="39"/>
        <v>3.3</v>
      </c>
      <c r="E147" s="123">
        <f t="shared" si="39"/>
        <v>3.3</v>
      </c>
      <c r="F147" s="123">
        <f t="shared" si="39"/>
        <v>3.3</v>
      </c>
      <c r="G147" s="123">
        <f t="shared" si="39"/>
        <v>3.3</v>
      </c>
      <c r="H147" s="123">
        <f t="shared" si="39"/>
        <v>3.3</v>
      </c>
      <c r="I147" s="123">
        <f t="shared" si="39"/>
        <v>3.3</v>
      </c>
      <c r="J147" s="123">
        <f t="shared" si="39"/>
        <v>3.3</v>
      </c>
      <c r="K147" s="123">
        <f t="shared" si="39"/>
        <v>3.3</v>
      </c>
      <c r="L147" s="123">
        <f t="shared" si="39"/>
        <v>3.3</v>
      </c>
      <c r="M147" s="123">
        <f t="shared" si="39"/>
        <v>3.3</v>
      </c>
      <c r="N147" s="123">
        <f t="shared" si="39"/>
        <v>3.3</v>
      </c>
      <c r="O147" s="123">
        <f t="shared" si="39"/>
        <v>3.3</v>
      </c>
      <c r="P147" s="123">
        <f t="shared" si="39"/>
        <v>3.3</v>
      </c>
      <c r="Q147" s="123">
        <f t="shared" si="39"/>
        <v>3.3</v>
      </c>
      <c r="R147" s="123">
        <f t="shared" si="39"/>
        <v>3.3</v>
      </c>
      <c r="S147" s="123">
        <f t="shared" si="39"/>
        <v>3.3</v>
      </c>
      <c r="T147" s="123">
        <f t="shared" si="40"/>
        <v>3.3</v>
      </c>
      <c r="U147" s="123">
        <f t="shared" si="40"/>
        <v>3.3</v>
      </c>
      <c r="V147" s="123">
        <f t="shared" si="40"/>
        <v>3.3</v>
      </c>
      <c r="W147" s="123">
        <f t="shared" si="40"/>
        <v>3.3</v>
      </c>
      <c r="X147" s="123">
        <f t="shared" si="40"/>
        <v>3.3</v>
      </c>
      <c r="Y147" s="123">
        <f t="shared" si="40"/>
        <v>3.3</v>
      </c>
      <c r="Z147" s="123">
        <f t="shared" si="40"/>
        <v>3.3</v>
      </c>
      <c r="AA147" s="123">
        <f t="shared" si="40"/>
        <v>3.3</v>
      </c>
      <c r="AB147" s="123">
        <f t="shared" si="40"/>
        <v>3.3</v>
      </c>
      <c r="AC147" s="123">
        <f t="shared" si="40"/>
        <v>3.3</v>
      </c>
      <c r="AD147" s="123">
        <f t="shared" si="40"/>
        <v>3.3</v>
      </c>
      <c r="AE147" s="123">
        <f t="shared" si="40"/>
        <v>3.3</v>
      </c>
      <c r="AF147" s="123">
        <f t="shared" si="40"/>
        <v>3.3</v>
      </c>
      <c r="AG147" s="126">
        <v>4.4000000000000004</v>
      </c>
      <c r="AH147" s="55"/>
      <c r="AI147" s="56"/>
      <c r="AK147" s="57"/>
    </row>
    <row r="148" spans="1:37" x14ac:dyDescent="0.25">
      <c r="A148" s="111" t="s">
        <v>152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5"/>
      <c r="AI148" s="56"/>
      <c r="AK148" s="57"/>
    </row>
    <row r="149" spans="1:37" x14ac:dyDescent="0.25">
      <c r="A149" s="111" t="s">
        <v>153</v>
      </c>
      <c r="B149" s="123">
        <f>AF149</f>
        <v>1.76</v>
      </c>
      <c r="C149" s="124">
        <v>1.76</v>
      </c>
      <c r="D149" s="123">
        <f t="shared" ref="D149:S150" si="41">C149</f>
        <v>1.76</v>
      </c>
      <c r="E149" s="123">
        <f t="shared" si="41"/>
        <v>1.76</v>
      </c>
      <c r="F149" s="123">
        <f t="shared" si="41"/>
        <v>1.76</v>
      </c>
      <c r="G149" s="123">
        <f t="shared" si="41"/>
        <v>1.76</v>
      </c>
      <c r="H149" s="123">
        <f t="shared" si="41"/>
        <v>1.76</v>
      </c>
      <c r="I149" s="123">
        <f t="shared" si="41"/>
        <v>1.76</v>
      </c>
      <c r="J149" s="123">
        <f t="shared" si="41"/>
        <v>1.76</v>
      </c>
      <c r="K149" s="123">
        <f t="shared" si="41"/>
        <v>1.76</v>
      </c>
      <c r="L149" s="123">
        <f t="shared" si="41"/>
        <v>1.76</v>
      </c>
      <c r="M149" s="123">
        <f t="shared" si="41"/>
        <v>1.76</v>
      </c>
      <c r="N149" s="123">
        <f t="shared" si="41"/>
        <v>1.76</v>
      </c>
      <c r="O149" s="123">
        <f t="shared" si="41"/>
        <v>1.76</v>
      </c>
      <c r="P149" s="123">
        <f t="shared" si="41"/>
        <v>1.76</v>
      </c>
      <c r="Q149" s="123">
        <f t="shared" si="41"/>
        <v>1.76</v>
      </c>
      <c r="R149" s="123">
        <f t="shared" si="41"/>
        <v>1.76</v>
      </c>
      <c r="S149" s="123">
        <f t="shared" si="41"/>
        <v>1.76</v>
      </c>
      <c r="T149" s="123">
        <f t="shared" ref="T149:AF150" si="42">S149</f>
        <v>1.76</v>
      </c>
      <c r="U149" s="123">
        <f t="shared" si="42"/>
        <v>1.76</v>
      </c>
      <c r="V149" s="123">
        <f t="shared" si="42"/>
        <v>1.76</v>
      </c>
      <c r="W149" s="123">
        <f t="shared" si="42"/>
        <v>1.76</v>
      </c>
      <c r="X149" s="123">
        <f t="shared" si="42"/>
        <v>1.76</v>
      </c>
      <c r="Y149" s="123">
        <f t="shared" si="42"/>
        <v>1.76</v>
      </c>
      <c r="Z149" s="123">
        <f t="shared" si="42"/>
        <v>1.76</v>
      </c>
      <c r="AA149" s="123">
        <f t="shared" si="42"/>
        <v>1.76</v>
      </c>
      <c r="AB149" s="123">
        <f t="shared" si="42"/>
        <v>1.76</v>
      </c>
      <c r="AC149" s="123">
        <f t="shared" si="42"/>
        <v>1.76</v>
      </c>
      <c r="AD149" s="123">
        <f t="shared" si="42"/>
        <v>1.76</v>
      </c>
      <c r="AE149" s="123">
        <f t="shared" si="42"/>
        <v>1.76</v>
      </c>
      <c r="AF149" s="123">
        <f t="shared" si="42"/>
        <v>1.76</v>
      </c>
      <c r="AG149" s="126">
        <v>4.2</v>
      </c>
      <c r="AH149" s="55"/>
      <c r="AI149" s="56"/>
      <c r="AK149" s="57"/>
    </row>
    <row r="150" spans="1:37" x14ac:dyDescent="0.25">
      <c r="A150" s="111" t="s">
        <v>154</v>
      </c>
      <c r="B150" s="123">
        <f>AF150</f>
        <v>0</v>
      </c>
      <c r="C150" s="124">
        <v>0</v>
      </c>
      <c r="D150" s="123">
        <f t="shared" si="41"/>
        <v>0</v>
      </c>
      <c r="E150" s="123">
        <f t="shared" si="41"/>
        <v>0</v>
      </c>
      <c r="F150" s="123">
        <f t="shared" si="41"/>
        <v>0</v>
      </c>
      <c r="G150" s="123">
        <f t="shared" si="41"/>
        <v>0</v>
      </c>
      <c r="H150" s="123">
        <f t="shared" si="41"/>
        <v>0</v>
      </c>
      <c r="I150" s="123">
        <f t="shared" si="41"/>
        <v>0</v>
      </c>
      <c r="J150" s="123">
        <f t="shared" si="41"/>
        <v>0</v>
      </c>
      <c r="K150" s="123">
        <f t="shared" si="41"/>
        <v>0</v>
      </c>
      <c r="L150" s="123">
        <f t="shared" si="41"/>
        <v>0</v>
      </c>
      <c r="M150" s="123">
        <f t="shared" si="41"/>
        <v>0</v>
      </c>
      <c r="N150" s="123">
        <f t="shared" si="41"/>
        <v>0</v>
      </c>
      <c r="O150" s="123">
        <f t="shared" si="41"/>
        <v>0</v>
      </c>
      <c r="P150" s="123">
        <f t="shared" si="41"/>
        <v>0</v>
      </c>
      <c r="Q150" s="123">
        <f t="shared" si="41"/>
        <v>0</v>
      </c>
      <c r="R150" s="123">
        <f t="shared" si="41"/>
        <v>0</v>
      </c>
      <c r="S150" s="123">
        <f t="shared" si="41"/>
        <v>0</v>
      </c>
      <c r="T150" s="123">
        <f t="shared" si="42"/>
        <v>0</v>
      </c>
      <c r="U150" s="123">
        <f t="shared" si="42"/>
        <v>0</v>
      </c>
      <c r="V150" s="123">
        <f t="shared" si="42"/>
        <v>0</v>
      </c>
      <c r="W150" s="123">
        <f t="shared" si="42"/>
        <v>0</v>
      </c>
      <c r="X150" s="123">
        <f t="shared" si="42"/>
        <v>0</v>
      </c>
      <c r="Y150" s="123">
        <f t="shared" si="42"/>
        <v>0</v>
      </c>
      <c r="Z150" s="123">
        <f t="shared" si="42"/>
        <v>0</v>
      </c>
      <c r="AA150" s="123">
        <f t="shared" si="42"/>
        <v>0</v>
      </c>
      <c r="AB150" s="123">
        <f t="shared" si="42"/>
        <v>0</v>
      </c>
      <c r="AC150" s="123">
        <f t="shared" si="42"/>
        <v>0</v>
      </c>
      <c r="AD150" s="123">
        <f t="shared" si="42"/>
        <v>0</v>
      </c>
      <c r="AE150" s="123">
        <f t="shared" si="42"/>
        <v>0</v>
      </c>
      <c r="AF150" s="123">
        <f t="shared" si="42"/>
        <v>0</v>
      </c>
      <c r="AG150" s="126">
        <v>4</v>
      </c>
      <c r="AH150" s="55"/>
      <c r="AI150" s="56"/>
      <c r="AK150" s="57"/>
    </row>
    <row r="151" spans="1:37" x14ac:dyDescent="0.25">
      <c r="A151" s="111" t="s">
        <v>155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5"/>
      <c r="AI151" s="56"/>
      <c r="AK151" s="57"/>
    </row>
    <row r="152" spans="1:37" x14ac:dyDescent="0.25">
      <c r="A152" s="111" t="s">
        <v>156</v>
      </c>
      <c r="B152" s="123">
        <f>AF152</f>
        <v>0.1</v>
      </c>
      <c r="C152" s="124">
        <v>0.1</v>
      </c>
      <c r="D152" s="123">
        <f t="shared" ref="D152:S155" si="43">C152</f>
        <v>0.1</v>
      </c>
      <c r="E152" s="123">
        <f t="shared" si="43"/>
        <v>0.1</v>
      </c>
      <c r="F152" s="123">
        <f t="shared" si="43"/>
        <v>0.1</v>
      </c>
      <c r="G152" s="123">
        <f t="shared" si="43"/>
        <v>0.1</v>
      </c>
      <c r="H152" s="123">
        <f t="shared" si="43"/>
        <v>0.1</v>
      </c>
      <c r="I152" s="123">
        <f t="shared" si="43"/>
        <v>0.1</v>
      </c>
      <c r="J152" s="123">
        <f t="shared" si="43"/>
        <v>0.1</v>
      </c>
      <c r="K152" s="123">
        <f t="shared" si="43"/>
        <v>0.1</v>
      </c>
      <c r="L152" s="123">
        <f t="shared" si="43"/>
        <v>0.1</v>
      </c>
      <c r="M152" s="123">
        <f t="shared" si="43"/>
        <v>0.1</v>
      </c>
      <c r="N152" s="123">
        <f t="shared" si="43"/>
        <v>0.1</v>
      </c>
      <c r="O152" s="123">
        <f t="shared" si="43"/>
        <v>0.1</v>
      </c>
      <c r="P152" s="123">
        <f t="shared" si="43"/>
        <v>0.1</v>
      </c>
      <c r="Q152" s="123">
        <f t="shared" si="43"/>
        <v>0.1</v>
      </c>
      <c r="R152" s="123">
        <f t="shared" si="43"/>
        <v>0.1</v>
      </c>
      <c r="S152" s="123">
        <f t="shared" si="43"/>
        <v>0.1</v>
      </c>
      <c r="T152" s="123">
        <f t="shared" ref="T152:AF155" si="44">S152</f>
        <v>0.1</v>
      </c>
      <c r="U152" s="123">
        <f t="shared" si="44"/>
        <v>0.1</v>
      </c>
      <c r="V152" s="123">
        <f t="shared" si="44"/>
        <v>0.1</v>
      </c>
      <c r="W152" s="123">
        <f t="shared" si="44"/>
        <v>0.1</v>
      </c>
      <c r="X152" s="123">
        <f t="shared" si="44"/>
        <v>0.1</v>
      </c>
      <c r="Y152" s="123">
        <f t="shared" si="44"/>
        <v>0.1</v>
      </c>
      <c r="Z152" s="123">
        <f t="shared" si="44"/>
        <v>0.1</v>
      </c>
      <c r="AA152" s="123">
        <f t="shared" si="44"/>
        <v>0.1</v>
      </c>
      <c r="AB152" s="123">
        <f t="shared" si="44"/>
        <v>0.1</v>
      </c>
      <c r="AC152" s="123">
        <f t="shared" si="44"/>
        <v>0.1</v>
      </c>
      <c r="AD152" s="123">
        <f t="shared" si="44"/>
        <v>0.1</v>
      </c>
      <c r="AE152" s="123">
        <f t="shared" si="44"/>
        <v>0.1</v>
      </c>
      <c r="AF152" s="123">
        <f t="shared" si="44"/>
        <v>0.1</v>
      </c>
      <c r="AG152" s="126">
        <v>4</v>
      </c>
      <c r="AH152" s="55"/>
      <c r="AI152" s="56"/>
      <c r="AK152" s="57"/>
    </row>
    <row r="153" spans="1:37" x14ac:dyDescent="0.25">
      <c r="A153" s="111" t="s">
        <v>157</v>
      </c>
      <c r="B153" s="123">
        <f>AF153</f>
        <v>2.0499999999999998</v>
      </c>
      <c r="C153" s="124">
        <v>2.0499999999999998</v>
      </c>
      <c r="D153" s="123">
        <f t="shared" si="43"/>
        <v>2.0499999999999998</v>
      </c>
      <c r="E153" s="123">
        <f t="shared" si="43"/>
        <v>2.0499999999999998</v>
      </c>
      <c r="F153" s="123">
        <f t="shared" si="43"/>
        <v>2.0499999999999998</v>
      </c>
      <c r="G153" s="123">
        <f t="shared" si="43"/>
        <v>2.0499999999999998</v>
      </c>
      <c r="H153" s="123">
        <f t="shared" si="43"/>
        <v>2.0499999999999998</v>
      </c>
      <c r="I153" s="123">
        <f t="shared" si="43"/>
        <v>2.0499999999999998</v>
      </c>
      <c r="J153" s="123">
        <f t="shared" si="43"/>
        <v>2.0499999999999998</v>
      </c>
      <c r="K153" s="123">
        <f t="shared" si="43"/>
        <v>2.0499999999999998</v>
      </c>
      <c r="L153" s="123">
        <f t="shared" si="43"/>
        <v>2.0499999999999998</v>
      </c>
      <c r="M153" s="123">
        <f t="shared" si="43"/>
        <v>2.0499999999999998</v>
      </c>
      <c r="N153" s="123">
        <f t="shared" si="43"/>
        <v>2.0499999999999998</v>
      </c>
      <c r="O153" s="123">
        <f t="shared" si="43"/>
        <v>2.0499999999999998</v>
      </c>
      <c r="P153" s="123">
        <f t="shared" si="43"/>
        <v>2.0499999999999998</v>
      </c>
      <c r="Q153" s="123">
        <f t="shared" si="43"/>
        <v>2.0499999999999998</v>
      </c>
      <c r="R153" s="123">
        <f t="shared" si="43"/>
        <v>2.0499999999999998</v>
      </c>
      <c r="S153" s="123">
        <f t="shared" si="43"/>
        <v>2.0499999999999998</v>
      </c>
      <c r="T153" s="123">
        <f t="shared" si="44"/>
        <v>2.0499999999999998</v>
      </c>
      <c r="U153" s="123">
        <f t="shared" si="44"/>
        <v>2.0499999999999998</v>
      </c>
      <c r="V153" s="123">
        <f t="shared" si="44"/>
        <v>2.0499999999999998</v>
      </c>
      <c r="W153" s="123">
        <f t="shared" si="44"/>
        <v>2.0499999999999998</v>
      </c>
      <c r="X153" s="123">
        <f t="shared" si="44"/>
        <v>2.0499999999999998</v>
      </c>
      <c r="Y153" s="123">
        <f t="shared" si="44"/>
        <v>2.0499999999999998</v>
      </c>
      <c r="Z153" s="123">
        <f t="shared" si="44"/>
        <v>2.0499999999999998</v>
      </c>
      <c r="AA153" s="123">
        <f t="shared" si="44"/>
        <v>2.0499999999999998</v>
      </c>
      <c r="AB153" s="123">
        <f t="shared" si="44"/>
        <v>2.0499999999999998</v>
      </c>
      <c r="AC153" s="123">
        <f t="shared" si="44"/>
        <v>2.0499999999999998</v>
      </c>
      <c r="AD153" s="123">
        <f t="shared" si="44"/>
        <v>2.0499999999999998</v>
      </c>
      <c r="AE153" s="123">
        <f t="shared" si="44"/>
        <v>2.0499999999999998</v>
      </c>
      <c r="AF153" s="123">
        <f t="shared" si="44"/>
        <v>2.0499999999999998</v>
      </c>
      <c r="AG153" s="126">
        <v>4</v>
      </c>
      <c r="AH153" s="55"/>
      <c r="AI153" s="56"/>
      <c r="AK153" s="57"/>
    </row>
    <row r="154" spans="1:37" x14ac:dyDescent="0.25">
      <c r="A154" s="111" t="s">
        <v>158</v>
      </c>
      <c r="B154" s="123">
        <f>AF154</f>
        <v>2.7</v>
      </c>
      <c r="C154" s="124">
        <v>2.7</v>
      </c>
      <c r="D154" s="123">
        <f t="shared" si="43"/>
        <v>2.7</v>
      </c>
      <c r="E154" s="123">
        <f t="shared" si="43"/>
        <v>2.7</v>
      </c>
      <c r="F154" s="123">
        <f t="shared" si="43"/>
        <v>2.7</v>
      </c>
      <c r="G154" s="123">
        <f t="shared" si="43"/>
        <v>2.7</v>
      </c>
      <c r="H154" s="123">
        <f t="shared" si="43"/>
        <v>2.7</v>
      </c>
      <c r="I154" s="123">
        <f t="shared" si="43"/>
        <v>2.7</v>
      </c>
      <c r="J154" s="123">
        <f t="shared" si="43"/>
        <v>2.7</v>
      </c>
      <c r="K154" s="123">
        <f t="shared" si="43"/>
        <v>2.7</v>
      </c>
      <c r="L154" s="123">
        <f t="shared" si="43"/>
        <v>2.7</v>
      </c>
      <c r="M154" s="123">
        <f t="shared" si="43"/>
        <v>2.7</v>
      </c>
      <c r="N154" s="123">
        <f t="shared" si="43"/>
        <v>2.7</v>
      </c>
      <c r="O154" s="123">
        <f t="shared" si="43"/>
        <v>2.7</v>
      </c>
      <c r="P154" s="123">
        <f t="shared" si="43"/>
        <v>2.7</v>
      </c>
      <c r="Q154" s="123">
        <f t="shared" si="43"/>
        <v>2.7</v>
      </c>
      <c r="R154" s="123">
        <f t="shared" si="43"/>
        <v>2.7</v>
      </c>
      <c r="S154" s="123">
        <f t="shared" si="43"/>
        <v>2.7</v>
      </c>
      <c r="T154" s="123">
        <f t="shared" si="44"/>
        <v>2.7</v>
      </c>
      <c r="U154" s="123">
        <f t="shared" si="44"/>
        <v>2.7</v>
      </c>
      <c r="V154" s="123">
        <f t="shared" si="44"/>
        <v>2.7</v>
      </c>
      <c r="W154" s="123">
        <f t="shared" si="44"/>
        <v>2.7</v>
      </c>
      <c r="X154" s="123">
        <f t="shared" si="44"/>
        <v>2.7</v>
      </c>
      <c r="Y154" s="123">
        <f t="shared" si="44"/>
        <v>2.7</v>
      </c>
      <c r="Z154" s="123">
        <f t="shared" si="44"/>
        <v>2.7</v>
      </c>
      <c r="AA154" s="123">
        <f t="shared" si="44"/>
        <v>2.7</v>
      </c>
      <c r="AB154" s="123">
        <f t="shared" si="44"/>
        <v>2.7</v>
      </c>
      <c r="AC154" s="123">
        <f t="shared" si="44"/>
        <v>2.7</v>
      </c>
      <c r="AD154" s="123">
        <f t="shared" si="44"/>
        <v>2.7</v>
      </c>
      <c r="AE154" s="123">
        <f t="shared" si="44"/>
        <v>2.7</v>
      </c>
      <c r="AF154" s="123">
        <f t="shared" si="44"/>
        <v>2.7</v>
      </c>
      <c r="AG154" s="126">
        <v>4</v>
      </c>
      <c r="AH154" s="55"/>
      <c r="AI154" s="56"/>
      <c r="AK154" s="57"/>
    </row>
    <row r="155" spans="1:37" x14ac:dyDescent="0.25">
      <c r="A155" s="111" t="s">
        <v>159</v>
      </c>
      <c r="B155" s="123">
        <f>AF155</f>
        <v>2.15</v>
      </c>
      <c r="C155" s="124">
        <v>2.15</v>
      </c>
      <c r="D155" s="123">
        <f t="shared" si="43"/>
        <v>2.15</v>
      </c>
      <c r="E155" s="123">
        <f t="shared" si="43"/>
        <v>2.15</v>
      </c>
      <c r="F155" s="123">
        <f t="shared" si="43"/>
        <v>2.15</v>
      </c>
      <c r="G155" s="123">
        <f t="shared" si="43"/>
        <v>2.15</v>
      </c>
      <c r="H155" s="123">
        <f t="shared" si="43"/>
        <v>2.15</v>
      </c>
      <c r="I155" s="123">
        <f t="shared" si="43"/>
        <v>2.15</v>
      </c>
      <c r="J155" s="123">
        <f t="shared" si="43"/>
        <v>2.15</v>
      </c>
      <c r="K155" s="123">
        <f t="shared" si="43"/>
        <v>2.15</v>
      </c>
      <c r="L155" s="123">
        <f t="shared" si="43"/>
        <v>2.15</v>
      </c>
      <c r="M155" s="123">
        <f t="shared" si="43"/>
        <v>2.15</v>
      </c>
      <c r="N155" s="123">
        <f t="shared" si="43"/>
        <v>2.15</v>
      </c>
      <c r="O155" s="123">
        <f t="shared" si="43"/>
        <v>2.15</v>
      </c>
      <c r="P155" s="123">
        <f t="shared" si="43"/>
        <v>2.15</v>
      </c>
      <c r="Q155" s="123">
        <f t="shared" si="43"/>
        <v>2.15</v>
      </c>
      <c r="R155" s="123">
        <f t="shared" si="43"/>
        <v>2.15</v>
      </c>
      <c r="S155" s="123">
        <f t="shared" si="43"/>
        <v>2.15</v>
      </c>
      <c r="T155" s="123">
        <f t="shared" si="44"/>
        <v>2.15</v>
      </c>
      <c r="U155" s="123">
        <f t="shared" si="44"/>
        <v>2.15</v>
      </c>
      <c r="V155" s="123">
        <f t="shared" si="44"/>
        <v>2.15</v>
      </c>
      <c r="W155" s="123">
        <f t="shared" si="44"/>
        <v>2.15</v>
      </c>
      <c r="X155" s="123">
        <f t="shared" si="44"/>
        <v>2.15</v>
      </c>
      <c r="Y155" s="123">
        <f t="shared" si="44"/>
        <v>2.15</v>
      </c>
      <c r="Z155" s="123">
        <f t="shared" si="44"/>
        <v>2.15</v>
      </c>
      <c r="AA155" s="123">
        <f t="shared" si="44"/>
        <v>2.15</v>
      </c>
      <c r="AB155" s="123">
        <f t="shared" si="44"/>
        <v>2.15</v>
      </c>
      <c r="AC155" s="123">
        <f t="shared" si="44"/>
        <v>2.15</v>
      </c>
      <c r="AD155" s="123">
        <f t="shared" si="44"/>
        <v>2.15</v>
      </c>
      <c r="AE155" s="123">
        <f t="shared" si="44"/>
        <v>2.15</v>
      </c>
      <c r="AF155" s="123">
        <f t="shared" si="44"/>
        <v>2.15</v>
      </c>
      <c r="AG155" s="126">
        <v>4</v>
      </c>
      <c r="AH155" s="55"/>
      <c r="AI155" s="56"/>
      <c r="AK155" s="57"/>
    </row>
    <row r="156" spans="1:37" x14ac:dyDescent="0.25">
      <c r="A156" s="111" t="s">
        <v>160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5"/>
      <c r="AI156" s="56"/>
      <c r="AK156" s="57"/>
    </row>
    <row r="157" spans="1:37" x14ac:dyDescent="0.25">
      <c r="A157" s="111" t="s">
        <v>161</v>
      </c>
      <c r="B157" s="123">
        <f t="shared" ref="B157:B169" si="45">AF157</f>
        <v>0.9</v>
      </c>
      <c r="C157" s="124">
        <v>0.9</v>
      </c>
      <c r="D157" s="123">
        <f t="shared" ref="D157:S169" si="46">C157</f>
        <v>0.9</v>
      </c>
      <c r="E157" s="123">
        <f t="shared" si="46"/>
        <v>0.9</v>
      </c>
      <c r="F157" s="123">
        <f t="shared" si="46"/>
        <v>0.9</v>
      </c>
      <c r="G157" s="123">
        <f t="shared" si="46"/>
        <v>0.9</v>
      </c>
      <c r="H157" s="123">
        <f t="shared" si="46"/>
        <v>0.9</v>
      </c>
      <c r="I157" s="123">
        <f t="shared" si="46"/>
        <v>0.9</v>
      </c>
      <c r="J157" s="123">
        <f t="shared" si="46"/>
        <v>0.9</v>
      </c>
      <c r="K157" s="123">
        <f t="shared" si="46"/>
        <v>0.9</v>
      </c>
      <c r="L157" s="123">
        <f t="shared" si="46"/>
        <v>0.9</v>
      </c>
      <c r="M157" s="123">
        <f t="shared" si="46"/>
        <v>0.9</v>
      </c>
      <c r="N157" s="123">
        <f t="shared" si="46"/>
        <v>0.9</v>
      </c>
      <c r="O157" s="123">
        <f t="shared" si="46"/>
        <v>0.9</v>
      </c>
      <c r="P157" s="123">
        <f t="shared" si="46"/>
        <v>0.9</v>
      </c>
      <c r="Q157" s="123">
        <f t="shared" si="46"/>
        <v>0.9</v>
      </c>
      <c r="R157" s="123">
        <f t="shared" si="46"/>
        <v>0.9</v>
      </c>
      <c r="S157" s="123">
        <f t="shared" si="46"/>
        <v>0.9</v>
      </c>
      <c r="T157" s="123">
        <f t="shared" ref="S157:AF169" si="47">S157</f>
        <v>0.9</v>
      </c>
      <c r="U157" s="123">
        <f t="shared" si="47"/>
        <v>0.9</v>
      </c>
      <c r="V157" s="123">
        <f t="shared" si="47"/>
        <v>0.9</v>
      </c>
      <c r="W157" s="123">
        <f t="shared" si="47"/>
        <v>0.9</v>
      </c>
      <c r="X157" s="123">
        <f t="shared" si="47"/>
        <v>0.9</v>
      </c>
      <c r="Y157" s="123">
        <f t="shared" si="47"/>
        <v>0.9</v>
      </c>
      <c r="Z157" s="123">
        <f t="shared" si="47"/>
        <v>0.9</v>
      </c>
      <c r="AA157" s="123">
        <f t="shared" si="47"/>
        <v>0.9</v>
      </c>
      <c r="AB157" s="123">
        <f t="shared" si="47"/>
        <v>0.9</v>
      </c>
      <c r="AC157" s="123">
        <f t="shared" si="47"/>
        <v>0.9</v>
      </c>
      <c r="AD157" s="123">
        <f t="shared" si="47"/>
        <v>0.9</v>
      </c>
      <c r="AE157" s="123">
        <f t="shared" si="47"/>
        <v>0.9</v>
      </c>
      <c r="AF157" s="123">
        <f t="shared" si="47"/>
        <v>0.9</v>
      </c>
      <c r="AG157" s="126">
        <v>4</v>
      </c>
      <c r="AH157" s="55"/>
      <c r="AI157" s="56"/>
      <c r="AK157" s="57"/>
    </row>
    <row r="158" spans="1:37" x14ac:dyDescent="0.25">
      <c r="A158" s="111" t="s">
        <v>162</v>
      </c>
      <c r="B158" s="123">
        <f t="shared" si="45"/>
        <v>1.08</v>
      </c>
      <c r="C158" s="124">
        <v>1.08</v>
      </c>
      <c r="D158" s="123">
        <f t="shared" si="46"/>
        <v>1.08</v>
      </c>
      <c r="E158" s="123">
        <f t="shared" si="46"/>
        <v>1.08</v>
      </c>
      <c r="F158" s="123">
        <f t="shared" si="46"/>
        <v>1.08</v>
      </c>
      <c r="G158" s="123">
        <f t="shared" si="46"/>
        <v>1.08</v>
      </c>
      <c r="H158" s="123">
        <f t="shared" si="46"/>
        <v>1.08</v>
      </c>
      <c r="I158" s="123">
        <f t="shared" si="46"/>
        <v>1.08</v>
      </c>
      <c r="J158" s="123">
        <f t="shared" si="46"/>
        <v>1.08</v>
      </c>
      <c r="K158" s="123">
        <f t="shared" si="46"/>
        <v>1.08</v>
      </c>
      <c r="L158" s="123">
        <f t="shared" si="46"/>
        <v>1.08</v>
      </c>
      <c r="M158" s="123">
        <f t="shared" si="46"/>
        <v>1.08</v>
      </c>
      <c r="N158" s="123">
        <f t="shared" si="46"/>
        <v>1.08</v>
      </c>
      <c r="O158" s="123">
        <f t="shared" si="46"/>
        <v>1.08</v>
      </c>
      <c r="P158" s="123">
        <f t="shared" si="46"/>
        <v>1.08</v>
      </c>
      <c r="Q158" s="123">
        <f t="shared" si="46"/>
        <v>1.08</v>
      </c>
      <c r="R158" s="123">
        <f t="shared" si="46"/>
        <v>1.08</v>
      </c>
      <c r="S158" s="123">
        <f t="shared" si="46"/>
        <v>1.08</v>
      </c>
      <c r="T158" s="123">
        <f t="shared" si="47"/>
        <v>1.08</v>
      </c>
      <c r="U158" s="123">
        <f t="shared" si="47"/>
        <v>1.08</v>
      </c>
      <c r="V158" s="123">
        <f t="shared" si="47"/>
        <v>1.08</v>
      </c>
      <c r="W158" s="123">
        <f t="shared" si="47"/>
        <v>1.08</v>
      </c>
      <c r="X158" s="123">
        <f t="shared" si="47"/>
        <v>1.08</v>
      </c>
      <c r="Y158" s="123">
        <f t="shared" si="47"/>
        <v>1.08</v>
      </c>
      <c r="Z158" s="123">
        <f t="shared" si="47"/>
        <v>1.08</v>
      </c>
      <c r="AA158" s="123">
        <f t="shared" si="47"/>
        <v>1.08</v>
      </c>
      <c r="AB158" s="123">
        <f t="shared" si="47"/>
        <v>1.08</v>
      </c>
      <c r="AC158" s="123">
        <f t="shared" si="47"/>
        <v>1.08</v>
      </c>
      <c r="AD158" s="123">
        <f t="shared" si="47"/>
        <v>1.08</v>
      </c>
      <c r="AE158" s="123">
        <f t="shared" si="47"/>
        <v>1.08</v>
      </c>
      <c r="AF158" s="123">
        <f t="shared" si="47"/>
        <v>1.08</v>
      </c>
      <c r="AG158" s="126">
        <v>3.75</v>
      </c>
      <c r="AH158" s="55"/>
      <c r="AI158" s="56"/>
      <c r="AK158" s="57"/>
    </row>
    <row r="159" spans="1:37" x14ac:dyDescent="0.25">
      <c r="A159" s="111" t="s">
        <v>163</v>
      </c>
      <c r="B159" s="123">
        <f t="shared" si="45"/>
        <v>2.37</v>
      </c>
      <c r="C159" s="124">
        <v>2.37</v>
      </c>
      <c r="D159" s="123">
        <f t="shared" si="46"/>
        <v>2.37</v>
      </c>
      <c r="E159" s="123">
        <f t="shared" si="46"/>
        <v>2.37</v>
      </c>
      <c r="F159" s="123">
        <f t="shared" si="46"/>
        <v>2.37</v>
      </c>
      <c r="G159" s="123">
        <f t="shared" si="46"/>
        <v>2.37</v>
      </c>
      <c r="H159" s="123">
        <f t="shared" si="46"/>
        <v>2.37</v>
      </c>
      <c r="I159" s="123">
        <f t="shared" si="46"/>
        <v>2.37</v>
      </c>
      <c r="J159" s="123">
        <f t="shared" si="46"/>
        <v>2.37</v>
      </c>
      <c r="K159" s="123">
        <f t="shared" si="46"/>
        <v>2.37</v>
      </c>
      <c r="L159" s="123">
        <f t="shared" si="46"/>
        <v>2.37</v>
      </c>
      <c r="M159" s="123">
        <f t="shared" si="46"/>
        <v>2.37</v>
      </c>
      <c r="N159" s="123">
        <f t="shared" si="46"/>
        <v>2.37</v>
      </c>
      <c r="O159" s="123">
        <f t="shared" si="46"/>
        <v>2.37</v>
      </c>
      <c r="P159" s="123">
        <f t="shared" si="46"/>
        <v>2.37</v>
      </c>
      <c r="Q159" s="123">
        <f t="shared" si="46"/>
        <v>2.37</v>
      </c>
      <c r="R159" s="123">
        <f t="shared" si="46"/>
        <v>2.37</v>
      </c>
      <c r="S159" s="123">
        <f t="shared" si="46"/>
        <v>2.37</v>
      </c>
      <c r="T159" s="123">
        <f t="shared" si="47"/>
        <v>2.37</v>
      </c>
      <c r="U159" s="123">
        <f t="shared" si="47"/>
        <v>2.37</v>
      </c>
      <c r="V159" s="123">
        <f t="shared" si="47"/>
        <v>2.37</v>
      </c>
      <c r="W159" s="123">
        <f t="shared" si="47"/>
        <v>2.37</v>
      </c>
      <c r="X159" s="123">
        <f t="shared" si="47"/>
        <v>2.37</v>
      </c>
      <c r="Y159" s="123">
        <f t="shared" si="47"/>
        <v>2.37</v>
      </c>
      <c r="Z159" s="123">
        <f t="shared" si="47"/>
        <v>2.37</v>
      </c>
      <c r="AA159" s="123">
        <f t="shared" si="47"/>
        <v>2.37</v>
      </c>
      <c r="AB159" s="123">
        <f t="shared" si="47"/>
        <v>2.37</v>
      </c>
      <c r="AC159" s="123">
        <f t="shared" si="47"/>
        <v>2.37</v>
      </c>
      <c r="AD159" s="123">
        <f t="shared" si="47"/>
        <v>2.37</v>
      </c>
      <c r="AE159" s="123">
        <f t="shared" si="47"/>
        <v>2.37</v>
      </c>
      <c r="AF159" s="123">
        <f t="shared" si="47"/>
        <v>2.37</v>
      </c>
      <c r="AG159" s="126">
        <v>3.52</v>
      </c>
      <c r="AH159" s="55"/>
      <c r="AI159" s="56"/>
      <c r="AK159" s="57"/>
    </row>
    <row r="160" spans="1:37" x14ac:dyDescent="0.25">
      <c r="A160" s="111" t="s">
        <v>164</v>
      </c>
      <c r="B160" s="123">
        <f t="shared" si="45"/>
        <v>1.81</v>
      </c>
      <c r="C160" s="124">
        <v>1.81</v>
      </c>
      <c r="D160" s="123">
        <f t="shared" si="46"/>
        <v>1.81</v>
      </c>
      <c r="E160" s="123">
        <f t="shared" si="46"/>
        <v>1.81</v>
      </c>
      <c r="F160" s="123">
        <f t="shared" si="46"/>
        <v>1.81</v>
      </c>
      <c r="G160" s="123">
        <f t="shared" si="46"/>
        <v>1.81</v>
      </c>
      <c r="H160" s="123">
        <f t="shared" si="46"/>
        <v>1.81</v>
      </c>
      <c r="I160" s="123">
        <f t="shared" si="46"/>
        <v>1.81</v>
      </c>
      <c r="J160" s="123">
        <f t="shared" si="46"/>
        <v>1.81</v>
      </c>
      <c r="K160" s="123">
        <f t="shared" si="46"/>
        <v>1.81</v>
      </c>
      <c r="L160" s="123">
        <f t="shared" si="46"/>
        <v>1.81</v>
      </c>
      <c r="M160" s="123">
        <f t="shared" si="46"/>
        <v>1.81</v>
      </c>
      <c r="N160" s="123">
        <f t="shared" si="46"/>
        <v>1.81</v>
      </c>
      <c r="O160" s="123">
        <f t="shared" si="46"/>
        <v>1.81</v>
      </c>
      <c r="P160" s="123">
        <f t="shared" si="46"/>
        <v>1.81</v>
      </c>
      <c r="Q160" s="123">
        <f t="shared" si="46"/>
        <v>1.81</v>
      </c>
      <c r="R160" s="123">
        <f t="shared" si="46"/>
        <v>1.81</v>
      </c>
      <c r="S160" s="123">
        <f t="shared" si="46"/>
        <v>1.81</v>
      </c>
      <c r="T160" s="123">
        <f t="shared" si="47"/>
        <v>1.81</v>
      </c>
      <c r="U160" s="123">
        <f t="shared" si="47"/>
        <v>1.81</v>
      </c>
      <c r="V160" s="123">
        <f t="shared" si="47"/>
        <v>1.81</v>
      </c>
      <c r="W160" s="123">
        <f t="shared" si="47"/>
        <v>1.81</v>
      </c>
      <c r="X160" s="123">
        <f t="shared" si="47"/>
        <v>1.81</v>
      </c>
      <c r="Y160" s="123">
        <f t="shared" si="47"/>
        <v>1.81</v>
      </c>
      <c r="Z160" s="123">
        <f t="shared" si="47"/>
        <v>1.81</v>
      </c>
      <c r="AA160" s="123">
        <f t="shared" si="47"/>
        <v>1.81</v>
      </c>
      <c r="AB160" s="123">
        <f t="shared" si="47"/>
        <v>1.81</v>
      </c>
      <c r="AC160" s="123">
        <f t="shared" si="47"/>
        <v>1.81</v>
      </c>
      <c r="AD160" s="123">
        <f t="shared" si="47"/>
        <v>1.81</v>
      </c>
      <c r="AE160" s="123">
        <f t="shared" si="47"/>
        <v>1.81</v>
      </c>
      <c r="AF160" s="123">
        <f t="shared" si="47"/>
        <v>1.81</v>
      </c>
      <c r="AG160" s="126">
        <v>3.33</v>
      </c>
      <c r="AH160" s="55"/>
      <c r="AI160" s="56"/>
      <c r="AK160" s="57"/>
    </row>
    <row r="161" spans="1:37" x14ac:dyDescent="0.25">
      <c r="A161" s="111" t="s">
        <v>165</v>
      </c>
      <c r="B161" s="123">
        <f t="shared" si="45"/>
        <v>1.0900000000000001</v>
      </c>
      <c r="C161" s="124">
        <v>1.0900000000000001</v>
      </c>
      <c r="D161" s="123">
        <f t="shared" si="46"/>
        <v>1.0900000000000001</v>
      </c>
      <c r="E161" s="123">
        <f t="shared" si="46"/>
        <v>1.0900000000000001</v>
      </c>
      <c r="F161" s="123">
        <f t="shared" si="46"/>
        <v>1.0900000000000001</v>
      </c>
      <c r="G161" s="123">
        <f t="shared" si="46"/>
        <v>1.0900000000000001</v>
      </c>
      <c r="H161" s="123">
        <f t="shared" si="46"/>
        <v>1.0900000000000001</v>
      </c>
      <c r="I161" s="123">
        <f t="shared" si="46"/>
        <v>1.0900000000000001</v>
      </c>
      <c r="J161" s="123">
        <f t="shared" si="46"/>
        <v>1.0900000000000001</v>
      </c>
      <c r="K161" s="123">
        <f t="shared" si="46"/>
        <v>1.0900000000000001</v>
      </c>
      <c r="L161" s="123">
        <f t="shared" si="46"/>
        <v>1.0900000000000001</v>
      </c>
      <c r="M161" s="123">
        <f t="shared" si="46"/>
        <v>1.0900000000000001</v>
      </c>
      <c r="N161" s="123">
        <f t="shared" si="46"/>
        <v>1.0900000000000001</v>
      </c>
      <c r="O161" s="123">
        <f t="shared" si="46"/>
        <v>1.0900000000000001</v>
      </c>
      <c r="P161" s="123">
        <f t="shared" si="46"/>
        <v>1.0900000000000001</v>
      </c>
      <c r="Q161" s="123">
        <f t="shared" si="46"/>
        <v>1.0900000000000001</v>
      </c>
      <c r="R161" s="123">
        <f t="shared" si="46"/>
        <v>1.0900000000000001</v>
      </c>
      <c r="S161" s="123">
        <f t="shared" si="46"/>
        <v>1.0900000000000001</v>
      </c>
      <c r="T161" s="123">
        <f t="shared" si="47"/>
        <v>1.0900000000000001</v>
      </c>
      <c r="U161" s="123">
        <f t="shared" si="47"/>
        <v>1.0900000000000001</v>
      </c>
      <c r="V161" s="123">
        <f t="shared" si="47"/>
        <v>1.0900000000000001</v>
      </c>
      <c r="W161" s="123">
        <f t="shared" si="47"/>
        <v>1.0900000000000001</v>
      </c>
      <c r="X161" s="123">
        <f t="shared" si="47"/>
        <v>1.0900000000000001</v>
      </c>
      <c r="Y161" s="123">
        <f t="shared" si="47"/>
        <v>1.0900000000000001</v>
      </c>
      <c r="Z161" s="123">
        <f t="shared" si="47"/>
        <v>1.0900000000000001</v>
      </c>
      <c r="AA161" s="123">
        <f t="shared" si="47"/>
        <v>1.0900000000000001</v>
      </c>
      <c r="AB161" s="123">
        <f t="shared" si="47"/>
        <v>1.0900000000000001</v>
      </c>
      <c r="AC161" s="123">
        <f t="shared" si="47"/>
        <v>1.0900000000000001</v>
      </c>
      <c r="AD161" s="123">
        <f t="shared" si="47"/>
        <v>1.0900000000000001</v>
      </c>
      <c r="AE161" s="123">
        <f t="shared" si="47"/>
        <v>1.0900000000000001</v>
      </c>
      <c r="AF161" s="123">
        <f t="shared" si="47"/>
        <v>1.0900000000000001</v>
      </c>
      <c r="AG161" s="126">
        <v>3.2</v>
      </c>
      <c r="AH161" s="55"/>
      <c r="AI161" s="56"/>
      <c r="AK161" s="57"/>
    </row>
    <row r="162" spans="1:37" x14ac:dyDescent="0.25">
      <c r="A162" s="111" t="s">
        <v>166</v>
      </c>
      <c r="B162" s="123">
        <f t="shared" si="45"/>
        <v>1.58</v>
      </c>
      <c r="C162" s="124">
        <v>1.58</v>
      </c>
      <c r="D162" s="123">
        <f t="shared" si="46"/>
        <v>1.58</v>
      </c>
      <c r="E162" s="123">
        <f t="shared" si="46"/>
        <v>1.58</v>
      </c>
      <c r="F162" s="123">
        <f t="shared" si="46"/>
        <v>1.58</v>
      </c>
      <c r="G162" s="123">
        <f t="shared" si="46"/>
        <v>1.58</v>
      </c>
      <c r="H162" s="123">
        <f t="shared" si="46"/>
        <v>1.58</v>
      </c>
      <c r="I162" s="123">
        <f t="shared" si="46"/>
        <v>1.58</v>
      </c>
      <c r="J162" s="123">
        <f t="shared" si="46"/>
        <v>1.58</v>
      </c>
      <c r="K162" s="123">
        <f t="shared" si="46"/>
        <v>1.58</v>
      </c>
      <c r="L162" s="123">
        <f t="shared" si="46"/>
        <v>1.58</v>
      </c>
      <c r="M162" s="123">
        <f t="shared" si="46"/>
        <v>1.58</v>
      </c>
      <c r="N162" s="123">
        <f t="shared" si="46"/>
        <v>1.58</v>
      </c>
      <c r="O162" s="123">
        <f t="shared" si="46"/>
        <v>1.58</v>
      </c>
      <c r="P162" s="123">
        <f t="shared" si="46"/>
        <v>1.58</v>
      </c>
      <c r="Q162" s="123">
        <f t="shared" si="46"/>
        <v>1.58</v>
      </c>
      <c r="R162" s="123">
        <f t="shared" si="46"/>
        <v>1.58</v>
      </c>
      <c r="S162" s="123">
        <f t="shared" si="46"/>
        <v>1.58</v>
      </c>
      <c r="T162" s="123">
        <f t="shared" si="47"/>
        <v>1.58</v>
      </c>
      <c r="U162" s="123">
        <f t="shared" si="47"/>
        <v>1.58</v>
      </c>
      <c r="V162" s="123">
        <f t="shared" si="47"/>
        <v>1.58</v>
      </c>
      <c r="W162" s="123">
        <f t="shared" si="47"/>
        <v>1.58</v>
      </c>
      <c r="X162" s="123">
        <f t="shared" si="47"/>
        <v>1.58</v>
      </c>
      <c r="Y162" s="123">
        <f t="shared" si="47"/>
        <v>1.58</v>
      </c>
      <c r="Z162" s="123">
        <f t="shared" si="47"/>
        <v>1.58</v>
      </c>
      <c r="AA162" s="123">
        <f t="shared" si="47"/>
        <v>1.58</v>
      </c>
      <c r="AB162" s="123">
        <f t="shared" si="47"/>
        <v>1.58</v>
      </c>
      <c r="AC162" s="123">
        <f t="shared" si="47"/>
        <v>1.58</v>
      </c>
      <c r="AD162" s="123">
        <f t="shared" si="47"/>
        <v>1.58</v>
      </c>
      <c r="AE162" s="123">
        <f t="shared" si="47"/>
        <v>1.58</v>
      </c>
      <c r="AF162" s="123">
        <f t="shared" si="47"/>
        <v>1.58</v>
      </c>
      <c r="AG162" s="126">
        <v>3</v>
      </c>
      <c r="AH162" s="55"/>
      <c r="AI162" s="56"/>
      <c r="AK162" s="57"/>
    </row>
    <row r="163" spans="1:37" x14ac:dyDescent="0.25">
      <c r="A163" s="111" t="s">
        <v>167</v>
      </c>
      <c r="B163" s="123">
        <f t="shared" si="45"/>
        <v>2</v>
      </c>
      <c r="C163" s="124">
        <v>2</v>
      </c>
      <c r="D163" s="123">
        <f t="shared" si="46"/>
        <v>2</v>
      </c>
      <c r="E163" s="123">
        <f t="shared" si="46"/>
        <v>2</v>
      </c>
      <c r="F163" s="123">
        <f t="shared" si="46"/>
        <v>2</v>
      </c>
      <c r="G163" s="123">
        <f t="shared" si="46"/>
        <v>2</v>
      </c>
      <c r="H163" s="123">
        <f t="shared" si="46"/>
        <v>2</v>
      </c>
      <c r="I163" s="123">
        <f t="shared" si="46"/>
        <v>2</v>
      </c>
      <c r="J163" s="123">
        <f t="shared" si="46"/>
        <v>2</v>
      </c>
      <c r="K163" s="123">
        <f t="shared" si="46"/>
        <v>2</v>
      </c>
      <c r="L163" s="123">
        <f t="shared" si="46"/>
        <v>2</v>
      </c>
      <c r="M163" s="123">
        <f t="shared" si="46"/>
        <v>2</v>
      </c>
      <c r="N163" s="123">
        <f t="shared" si="46"/>
        <v>2</v>
      </c>
      <c r="O163" s="123">
        <f t="shared" si="46"/>
        <v>2</v>
      </c>
      <c r="P163" s="123">
        <f t="shared" si="46"/>
        <v>2</v>
      </c>
      <c r="Q163" s="123">
        <f t="shared" si="46"/>
        <v>2</v>
      </c>
      <c r="R163" s="123">
        <f t="shared" si="46"/>
        <v>2</v>
      </c>
      <c r="S163" s="123">
        <f t="shared" si="46"/>
        <v>2</v>
      </c>
      <c r="T163" s="123">
        <f t="shared" si="47"/>
        <v>2</v>
      </c>
      <c r="U163" s="123">
        <f t="shared" si="47"/>
        <v>2</v>
      </c>
      <c r="V163" s="123">
        <f t="shared" si="47"/>
        <v>2</v>
      </c>
      <c r="W163" s="123">
        <f t="shared" si="47"/>
        <v>2</v>
      </c>
      <c r="X163" s="123">
        <f t="shared" si="47"/>
        <v>2</v>
      </c>
      <c r="Y163" s="123">
        <f t="shared" si="47"/>
        <v>2</v>
      </c>
      <c r="Z163" s="123">
        <f t="shared" si="47"/>
        <v>2</v>
      </c>
      <c r="AA163" s="123">
        <f t="shared" si="47"/>
        <v>2</v>
      </c>
      <c r="AB163" s="123">
        <f t="shared" si="47"/>
        <v>2</v>
      </c>
      <c r="AC163" s="123">
        <f t="shared" si="47"/>
        <v>2</v>
      </c>
      <c r="AD163" s="123">
        <f t="shared" si="47"/>
        <v>2</v>
      </c>
      <c r="AE163" s="123">
        <f t="shared" si="47"/>
        <v>2</v>
      </c>
      <c r="AF163" s="123">
        <f t="shared" si="47"/>
        <v>2</v>
      </c>
      <c r="AG163" s="126">
        <v>3</v>
      </c>
      <c r="AH163" s="55"/>
      <c r="AI163" s="56"/>
      <c r="AK163" s="57"/>
    </row>
    <row r="164" spans="1:37" x14ac:dyDescent="0.25">
      <c r="A164" s="111" t="s">
        <v>168</v>
      </c>
      <c r="B164" s="123">
        <f t="shared" si="45"/>
        <v>0.47</v>
      </c>
      <c r="C164" s="124">
        <v>0.47</v>
      </c>
      <c r="D164" s="123">
        <f t="shared" si="46"/>
        <v>0.47</v>
      </c>
      <c r="E164" s="123">
        <f t="shared" si="46"/>
        <v>0.47</v>
      </c>
      <c r="F164" s="123">
        <f t="shared" si="46"/>
        <v>0.47</v>
      </c>
      <c r="G164" s="123">
        <f t="shared" si="46"/>
        <v>0.47</v>
      </c>
      <c r="H164" s="123">
        <f t="shared" si="46"/>
        <v>0.47</v>
      </c>
      <c r="I164" s="123">
        <f t="shared" si="46"/>
        <v>0.47</v>
      </c>
      <c r="J164" s="123">
        <f t="shared" si="46"/>
        <v>0.47</v>
      </c>
      <c r="K164" s="123">
        <f t="shared" si="46"/>
        <v>0.47</v>
      </c>
      <c r="L164" s="123">
        <f t="shared" si="46"/>
        <v>0.47</v>
      </c>
      <c r="M164" s="123">
        <f t="shared" si="46"/>
        <v>0.47</v>
      </c>
      <c r="N164" s="123">
        <f t="shared" si="46"/>
        <v>0.47</v>
      </c>
      <c r="O164" s="123">
        <f t="shared" si="46"/>
        <v>0.47</v>
      </c>
      <c r="P164" s="123">
        <f t="shared" si="46"/>
        <v>0.47</v>
      </c>
      <c r="Q164" s="123">
        <f t="shared" si="46"/>
        <v>0.47</v>
      </c>
      <c r="R164" s="123">
        <f t="shared" si="46"/>
        <v>0.47</v>
      </c>
      <c r="S164" s="123">
        <f t="shared" si="46"/>
        <v>0.47</v>
      </c>
      <c r="T164" s="123">
        <f t="shared" si="47"/>
        <v>0.47</v>
      </c>
      <c r="U164" s="123">
        <f t="shared" si="47"/>
        <v>0.47</v>
      </c>
      <c r="V164" s="123">
        <f t="shared" si="47"/>
        <v>0.47</v>
      </c>
      <c r="W164" s="123">
        <f t="shared" si="47"/>
        <v>0.47</v>
      </c>
      <c r="X164" s="123">
        <f t="shared" si="47"/>
        <v>0.47</v>
      </c>
      <c r="Y164" s="123">
        <f t="shared" si="47"/>
        <v>0.47</v>
      </c>
      <c r="Z164" s="123">
        <f t="shared" si="47"/>
        <v>0.47</v>
      </c>
      <c r="AA164" s="123">
        <f t="shared" si="47"/>
        <v>0.47</v>
      </c>
      <c r="AB164" s="123">
        <f t="shared" si="47"/>
        <v>0.47</v>
      </c>
      <c r="AC164" s="123">
        <f t="shared" si="47"/>
        <v>0.47</v>
      </c>
      <c r="AD164" s="123">
        <f t="shared" si="47"/>
        <v>0.47</v>
      </c>
      <c r="AE164" s="123">
        <f t="shared" si="47"/>
        <v>0.47</v>
      </c>
      <c r="AF164" s="123">
        <f t="shared" si="47"/>
        <v>0.47</v>
      </c>
      <c r="AG164" s="126">
        <v>3</v>
      </c>
      <c r="AH164" s="55"/>
      <c r="AI164" s="56"/>
      <c r="AK164" s="57"/>
    </row>
    <row r="165" spans="1:37" x14ac:dyDescent="0.25">
      <c r="A165" s="111" t="s">
        <v>169</v>
      </c>
      <c r="B165" s="123">
        <f t="shared" si="45"/>
        <v>0</v>
      </c>
      <c r="C165" s="124">
        <v>0</v>
      </c>
      <c r="D165" s="123">
        <f t="shared" si="46"/>
        <v>0</v>
      </c>
      <c r="E165" s="123">
        <f t="shared" si="46"/>
        <v>0</v>
      </c>
      <c r="F165" s="123">
        <f t="shared" si="46"/>
        <v>0</v>
      </c>
      <c r="G165" s="123">
        <f t="shared" si="46"/>
        <v>0</v>
      </c>
      <c r="H165" s="123">
        <f t="shared" si="46"/>
        <v>0</v>
      </c>
      <c r="I165" s="123">
        <f t="shared" si="46"/>
        <v>0</v>
      </c>
      <c r="J165" s="123">
        <f t="shared" si="46"/>
        <v>0</v>
      </c>
      <c r="K165" s="123">
        <f t="shared" si="46"/>
        <v>0</v>
      </c>
      <c r="L165" s="123">
        <f t="shared" si="46"/>
        <v>0</v>
      </c>
      <c r="M165" s="123">
        <f t="shared" si="46"/>
        <v>0</v>
      </c>
      <c r="N165" s="123">
        <f t="shared" si="46"/>
        <v>0</v>
      </c>
      <c r="O165" s="123">
        <f t="shared" si="46"/>
        <v>0</v>
      </c>
      <c r="P165" s="123">
        <f t="shared" si="46"/>
        <v>0</v>
      </c>
      <c r="Q165" s="123">
        <f t="shared" si="46"/>
        <v>0</v>
      </c>
      <c r="R165" s="123">
        <f t="shared" si="46"/>
        <v>0</v>
      </c>
      <c r="S165" s="123">
        <f t="shared" si="46"/>
        <v>0</v>
      </c>
      <c r="T165" s="123">
        <f t="shared" si="47"/>
        <v>0</v>
      </c>
      <c r="U165" s="123">
        <f t="shared" si="47"/>
        <v>0</v>
      </c>
      <c r="V165" s="123">
        <f t="shared" si="47"/>
        <v>0</v>
      </c>
      <c r="W165" s="123">
        <f t="shared" si="47"/>
        <v>0</v>
      </c>
      <c r="X165" s="123">
        <f t="shared" si="47"/>
        <v>0</v>
      </c>
      <c r="Y165" s="123">
        <f t="shared" si="47"/>
        <v>0</v>
      </c>
      <c r="Z165" s="123">
        <f t="shared" si="47"/>
        <v>0</v>
      </c>
      <c r="AA165" s="123">
        <f t="shared" si="47"/>
        <v>0</v>
      </c>
      <c r="AB165" s="123">
        <f t="shared" si="47"/>
        <v>0</v>
      </c>
      <c r="AC165" s="123">
        <f t="shared" si="47"/>
        <v>0</v>
      </c>
      <c r="AD165" s="123">
        <f t="shared" si="47"/>
        <v>0</v>
      </c>
      <c r="AE165" s="123">
        <f t="shared" si="47"/>
        <v>0</v>
      </c>
      <c r="AF165" s="123">
        <f t="shared" si="47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170</v>
      </c>
      <c r="B166" s="123">
        <f t="shared" si="45"/>
        <v>0</v>
      </c>
      <c r="C166" s="124">
        <v>0</v>
      </c>
      <c r="D166" s="123">
        <f t="shared" si="46"/>
        <v>0</v>
      </c>
      <c r="E166" s="123">
        <f t="shared" si="46"/>
        <v>0</v>
      </c>
      <c r="F166" s="123">
        <f t="shared" si="46"/>
        <v>0</v>
      </c>
      <c r="G166" s="123">
        <f t="shared" si="46"/>
        <v>0</v>
      </c>
      <c r="H166" s="123">
        <f t="shared" si="46"/>
        <v>0</v>
      </c>
      <c r="I166" s="123">
        <f t="shared" si="46"/>
        <v>0</v>
      </c>
      <c r="J166" s="123">
        <f t="shared" si="46"/>
        <v>0</v>
      </c>
      <c r="K166" s="123">
        <f t="shared" si="46"/>
        <v>0</v>
      </c>
      <c r="L166" s="123">
        <f t="shared" si="46"/>
        <v>0</v>
      </c>
      <c r="M166" s="123">
        <f t="shared" si="46"/>
        <v>0</v>
      </c>
      <c r="N166" s="123">
        <f t="shared" si="46"/>
        <v>0</v>
      </c>
      <c r="O166" s="123">
        <f t="shared" si="46"/>
        <v>0</v>
      </c>
      <c r="P166" s="123">
        <f t="shared" si="46"/>
        <v>0</v>
      </c>
      <c r="Q166" s="123">
        <f t="shared" si="46"/>
        <v>0</v>
      </c>
      <c r="R166" s="123">
        <f t="shared" si="46"/>
        <v>0</v>
      </c>
      <c r="S166" s="123">
        <f t="shared" si="47"/>
        <v>0</v>
      </c>
      <c r="T166" s="123">
        <f t="shared" si="47"/>
        <v>0</v>
      </c>
      <c r="U166" s="123">
        <f t="shared" si="47"/>
        <v>0</v>
      </c>
      <c r="V166" s="123">
        <f t="shared" si="47"/>
        <v>0</v>
      </c>
      <c r="W166" s="123">
        <f t="shared" si="47"/>
        <v>0</v>
      </c>
      <c r="X166" s="123">
        <f t="shared" si="47"/>
        <v>0</v>
      </c>
      <c r="Y166" s="123">
        <f t="shared" si="47"/>
        <v>0</v>
      </c>
      <c r="Z166" s="123">
        <f t="shared" si="47"/>
        <v>0</v>
      </c>
      <c r="AA166" s="123">
        <f t="shared" si="47"/>
        <v>0</v>
      </c>
      <c r="AB166" s="123">
        <f t="shared" si="47"/>
        <v>0</v>
      </c>
      <c r="AC166" s="123">
        <f t="shared" si="47"/>
        <v>0</v>
      </c>
      <c r="AD166" s="123">
        <f t="shared" si="47"/>
        <v>0</v>
      </c>
      <c r="AE166" s="123">
        <f t="shared" si="47"/>
        <v>0</v>
      </c>
      <c r="AF166" s="123">
        <f t="shared" si="47"/>
        <v>0</v>
      </c>
      <c r="AG166" s="126">
        <v>3</v>
      </c>
      <c r="AH166" s="55"/>
      <c r="AI166" s="56"/>
      <c r="AK166" s="57"/>
    </row>
    <row r="167" spans="1:37" x14ac:dyDescent="0.25">
      <c r="A167" s="111" t="s">
        <v>171</v>
      </c>
      <c r="B167" s="123">
        <f t="shared" si="45"/>
        <v>0.8</v>
      </c>
      <c r="C167" s="124">
        <v>0.8</v>
      </c>
      <c r="D167" s="123">
        <f t="shared" si="46"/>
        <v>0.8</v>
      </c>
      <c r="E167" s="123">
        <f t="shared" si="46"/>
        <v>0.8</v>
      </c>
      <c r="F167" s="123">
        <f t="shared" si="46"/>
        <v>0.8</v>
      </c>
      <c r="G167" s="123">
        <f t="shared" si="46"/>
        <v>0.8</v>
      </c>
      <c r="H167" s="123">
        <f t="shared" si="46"/>
        <v>0.8</v>
      </c>
      <c r="I167" s="123">
        <f t="shared" si="46"/>
        <v>0.8</v>
      </c>
      <c r="J167" s="123">
        <f t="shared" si="46"/>
        <v>0.8</v>
      </c>
      <c r="K167" s="123">
        <f t="shared" si="46"/>
        <v>0.8</v>
      </c>
      <c r="L167" s="123">
        <f t="shared" si="46"/>
        <v>0.8</v>
      </c>
      <c r="M167" s="123">
        <f t="shared" si="46"/>
        <v>0.8</v>
      </c>
      <c r="N167" s="123">
        <f t="shared" si="46"/>
        <v>0.8</v>
      </c>
      <c r="O167" s="123">
        <f t="shared" si="46"/>
        <v>0.8</v>
      </c>
      <c r="P167" s="123">
        <f t="shared" si="46"/>
        <v>0.8</v>
      </c>
      <c r="Q167" s="123">
        <f t="shared" si="46"/>
        <v>0.8</v>
      </c>
      <c r="R167" s="123">
        <f t="shared" si="46"/>
        <v>0.8</v>
      </c>
      <c r="S167" s="123">
        <f t="shared" si="47"/>
        <v>0.8</v>
      </c>
      <c r="T167" s="123">
        <f t="shared" si="47"/>
        <v>0.8</v>
      </c>
      <c r="U167" s="123">
        <f t="shared" si="47"/>
        <v>0.8</v>
      </c>
      <c r="V167" s="123">
        <f t="shared" si="47"/>
        <v>0.8</v>
      </c>
      <c r="W167" s="123">
        <f t="shared" si="47"/>
        <v>0.8</v>
      </c>
      <c r="X167" s="123">
        <f t="shared" si="47"/>
        <v>0.8</v>
      </c>
      <c r="Y167" s="123">
        <f t="shared" si="47"/>
        <v>0.8</v>
      </c>
      <c r="Z167" s="123">
        <f t="shared" si="47"/>
        <v>0.8</v>
      </c>
      <c r="AA167" s="123">
        <f t="shared" si="47"/>
        <v>0.8</v>
      </c>
      <c r="AB167" s="123">
        <f t="shared" si="47"/>
        <v>0.8</v>
      </c>
      <c r="AC167" s="123">
        <f t="shared" si="47"/>
        <v>0.8</v>
      </c>
      <c r="AD167" s="123">
        <f t="shared" si="47"/>
        <v>0.8</v>
      </c>
      <c r="AE167" s="123">
        <f t="shared" si="47"/>
        <v>0.8</v>
      </c>
      <c r="AF167" s="123">
        <f t="shared" si="47"/>
        <v>0.8</v>
      </c>
      <c r="AG167" s="126">
        <v>3</v>
      </c>
      <c r="AH167" s="55"/>
      <c r="AI167" s="56"/>
      <c r="AK167" s="57"/>
    </row>
    <row r="168" spans="1:37" x14ac:dyDescent="0.25">
      <c r="A168" s="111" t="s">
        <v>172</v>
      </c>
      <c r="B168" s="123">
        <f t="shared" si="45"/>
        <v>1.5</v>
      </c>
      <c r="C168" s="124">
        <v>1.5</v>
      </c>
      <c r="D168" s="123">
        <f t="shared" si="46"/>
        <v>1.5</v>
      </c>
      <c r="E168" s="123">
        <f t="shared" si="46"/>
        <v>1.5</v>
      </c>
      <c r="F168" s="123">
        <f t="shared" si="46"/>
        <v>1.5</v>
      </c>
      <c r="G168" s="123">
        <f t="shared" si="46"/>
        <v>1.5</v>
      </c>
      <c r="H168" s="123">
        <f t="shared" si="46"/>
        <v>1.5</v>
      </c>
      <c r="I168" s="123">
        <f t="shared" si="46"/>
        <v>1.5</v>
      </c>
      <c r="J168" s="123">
        <f t="shared" si="46"/>
        <v>1.5</v>
      </c>
      <c r="K168" s="123">
        <f t="shared" si="46"/>
        <v>1.5</v>
      </c>
      <c r="L168" s="123">
        <f t="shared" si="46"/>
        <v>1.5</v>
      </c>
      <c r="M168" s="123">
        <f t="shared" si="46"/>
        <v>1.5</v>
      </c>
      <c r="N168" s="123">
        <f t="shared" si="46"/>
        <v>1.5</v>
      </c>
      <c r="O168" s="123">
        <f t="shared" si="46"/>
        <v>1.5</v>
      </c>
      <c r="P168" s="123">
        <f t="shared" si="46"/>
        <v>1.5</v>
      </c>
      <c r="Q168" s="123">
        <f t="shared" si="46"/>
        <v>1.5</v>
      </c>
      <c r="R168" s="123">
        <f t="shared" si="46"/>
        <v>1.5</v>
      </c>
      <c r="S168" s="123">
        <f t="shared" si="47"/>
        <v>1.5</v>
      </c>
      <c r="T168" s="123">
        <f t="shared" si="47"/>
        <v>1.5</v>
      </c>
      <c r="U168" s="123">
        <f t="shared" si="47"/>
        <v>1.5</v>
      </c>
      <c r="V168" s="123">
        <f t="shared" si="47"/>
        <v>1.5</v>
      </c>
      <c r="W168" s="123">
        <f t="shared" si="47"/>
        <v>1.5</v>
      </c>
      <c r="X168" s="123">
        <f t="shared" si="47"/>
        <v>1.5</v>
      </c>
      <c r="Y168" s="123">
        <f t="shared" si="47"/>
        <v>1.5</v>
      </c>
      <c r="Z168" s="123">
        <f t="shared" si="47"/>
        <v>1.5</v>
      </c>
      <c r="AA168" s="123">
        <f t="shared" si="47"/>
        <v>1.5</v>
      </c>
      <c r="AB168" s="123">
        <f t="shared" si="47"/>
        <v>1.5</v>
      </c>
      <c r="AC168" s="123">
        <f t="shared" si="47"/>
        <v>1.5</v>
      </c>
      <c r="AD168" s="123">
        <f t="shared" si="47"/>
        <v>1.5</v>
      </c>
      <c r="AE168" s="123">
        <f t="shared" si="47"/>
        <v>1.5</v>
      </c>
      <c r="AF168" s="123">
        <f t="shared" si="47"/>
        <v>1.5</v>
      </c>
      <c r="AG168" s="126">
        <v>3</v>
      </c>
      <c r="AH168" s="55"/>
      <c r="AI168" s="56"/>
      <c r="AK168" s="57"/>
    </row>
    <row r="169" spans="1:37" x14ac:dyDescent="0.25">
      <c r="A169" s="111" t="s">
        <v>173</v>
      </c>
      <c r="B169" s="123">
        <f t="shared" si="45"/>
        <v>1</v>
      </c>
      <c r="C169" s="124">
        <v>1</v>
      </c>
      <c r="D169" s="123">
        <f t="shared" si="46"/>
        <v>1</v>
      </c>
      <c r="E169" s="123">
        <f t="shared" si="46"/>
        <v>1</v>
      </c>
      <c r="F169" s="123">
        <f t="shared" si="46"/>
        <v>1</v>
      </c>
      <c r="G169" s="123">
        <f t="shared" si="46"/>
        <v>1</v>
      </c>
      <c r="H169" s="123">
        <f t="shared" si="46"/>
        <v>1</v>
      </c>
      <c r="I169" s="123">
        <f t="shared" si="46"/>
        <v>1</v>
      </c>
      <c r="J169" s="123">
        <f t="shared" si="46"/>
        <v>1</v>
      </c>
      <c r="K169" s="123">
        <f t="shared" si="46"/>
        <v>1</v>
      </c>
      <c r="L169" s="123">
        <f t="shared" si="46"/>
        <v>1</v>
      </c>
      <c r="M169" s="123">
        <f t="shared" si="46"/>
        <v>1</v>
      </c>
      <c r="N169" s="123">
        <f t="shared" si="46"/>
        <v>1</v>
      </c>
      <c r="O169" s="123">
        <f t="shared" si="46"/>
        <v>1</v>
      </c>
      <c r="P169" s="123">
        <f t="shared" si="46"/>
        <v>1</v>
      </c>
      <c r="Q169" s="123">
        <f t="shared" si="46"/>
        <v>1</v>
      </c>
      <c r="R169" s="123">
        <f t="shared" si="46"/>
        <v>1</v>
      </c>
      <c r="S169" s="123">
        <f t="shared" si="47"/>
        <v>1</v>
      </c>
      <c r="T169" s="123">
        <f t="shared" si="47"/>
        <v>1</v>
      </c>
      <c r="U169" s="123">
        <f t="shared" si="47"/>
        <v>1</v>
      </c>
      <c r="V169" s="123">
        <f t="shared" si="47"/>
        <v>1</v>
      </c>
      <c r="W169" s="123">
        <f t="shared" si="47"/>
        <v>1</v>
      </c>
      <c r="X169" s="123">
        <f t="shared" si="47"/>
        <v>1</v>
      </c>
      <c r="Y169" s="123">
        <f t="shared" si="47"/>
        <v>1</v>
      </c>
      <c r="Z169" s="123">
        <f t="shared" si="47"/>
        <v>1</v>
      </c>
      <c r="AA169" s="123">
        <f t="shared" si="47"/>
        <v>1</v>
      </c>
      <c r="AB169" s="123">
        <f t="shared" si="47"/>
        <v>1</v>
      </c>
      <c r="AC169" s="123">
        <f t="shared" si="47"/>
        <v>1</v>
      </c>
      <c r="AD169" s="123">
        <f t="shared" si="47"/>
        <v>1</v>
      </c>
      <c r="AE169" s="123">
        <f t="shared" si="47"/>
        <v>1</v>
      </c>
      <c r="AF169" s="123">
        <f t="shared" si="47"/>
        <v>1</v>
      </c>
      <c r="AG169" s="126">
        <v>3</v>
      </c>
      <c r="AH169" s="55"/>
      <c r="AI169" s="56"/>
      <c r="AK169" s="57"/>
    </row>
    <row r="170" spans="1:37" x14ac:dyDescent="0.25">
      <c r="A170" s="111" t="s">
        <v>174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5"/>
      <c r="AI170" s="56"/>
      <c r="AK170" s="57"/>
    </row>
    <row r="171" spans="1:37" x14ac:dyDescent="0.25">
      <c r="A171" s="111" t="s">
        <v>175</v>
      </c>
      <c r="B171" s="123">
        <f t="shared" ref="B171:B178" si="48">AF171</f>
        <v>1</v>
      </c>
      <c r="C171" s="124">
        <v>1</v>
      </c>
      <c r="D171" s="123">
        <f t="shared" ref="D171:S178" si="49">C171</f>
        <v>1</v>
      </c>
      <c r="E171" s="123">
        <f t="shared" si="49"/>
        <v>1</v>
      </c>
      <c r="F171" s="123">
        <f t="shared" si="49"/>
        <v>1</v>
      </c>
      <c r="G171" s="123">
        <f t="shared" si="49"/>
        <v>1</v>
      </c>
      <c r="H171" s="123">
        <f t="shared" si="49"/>
        <v>1</v>
      </c>
      <c r="I171" s="123">
        <f t="shared" si="49"/>
        <v>1</v>
      </c>
      <c r="J171" s="123">
        <f t="shared" si="49"/>
        <v>1</v>
      </c>
      <c r="K171" s="123">
        <f t="shared" si="49"/>
        <v>1</v>
      </c>
      <c r="L171" s="123">
        <f t="shared" si="49"/>
        <v>1</v>
      </c>
      <c r="M171" s="123">
        <f t="shared" si="49"/>
        <v>1</v>
      </c>
      <c r="N171" s="123">
        <f t="shared" si="49"/>
        <v>1</v>
      </c>
      <c r="O171" s="123">
        <f t="shared" si="49"/>
        <v>1</v>
      </c>
      <c r="P171" s="123">
        <f t="shared" si="49"/>
        <v>1</v>
      </c>
      <c r="Q171" s="123">
        <f t="shared" si="49"/>
        <v>1</v>
      </c>
      <c r="R171" s="123">
        <f t="shared" si="49"/>
        <v>1</v>
      </c>
      <c r="S171" s="123">
        <f t="shared" si="49"/>
        <v>1</v>
      </c>
      <c r="T171" s="123">
        <f t="shared" ref="S171:AF178" si="50">S171</f>
        <v>1</v>
      </c>
      <c r="U171" s="123">
        <f t="shared" si="50"/>
        <v>1</v>
      </c>
      <c r="V171" s="123">
        <f t="shared" si="50"/>
        <v>1</v>
      </c>
      <c r="W171" s="123">
        <f t="shared" si="50"/>
        <v>1</v>
      </c>
      <c r="X171" s="123">
        <f t="shared" si="50"/>
        <v>1</v>
      </c>
      <c r="Y171" s="123">
        <f t="shared" si="50"/>
        <v>1</v>
      </c>
      <c r="Z171" s="123">
        <f t="shared" si="50"/>
        <v>1</v>
      </c>
      <c r="AA171" s="123">
        <f t="shared" si="50"/>
        <v>1</v>
      </c>
      <c r="AB171" s="123">
        <f t="shared" si="50"/>
        <v>1</v>
      </c>
      <c r="AC171" s="123">
        <f t="shared" si="50"/>
        <v>1</v>
      </c>
      <c r="AD171" s="123">
        <f t="shared" si="50"/>
        <v>1</v>
      </c>
      <c r="AE171" s="123">
        <f t="shared" si="50"/>
        <v>1</v>
      </c>
      <c r="AF171" s="123">
        <f t="shared" si="50"/>
        <v>1</v>
      </c>
      <c r="AG171" s="126">
        <v>2.5</v>
      </c>
      <c r="AH171" s="55"/>
      <c r="AI171" s="56"/>
      <c r="AK171" s="57"/>
    </row>
    <row r="172" spans="1:37" x14ac:dyDescent="0.25">
      <c r="A172" s="111" t="s">
        <v>176</v>
      </c>
      <c r="B172" s="123">
        <f t="shared" si="48"/>
        <v>0.42</v>
      </c>
      <c r="C172" s="124">
        <v>0.42</v>
      </c>
      <c r="D172" s="123">
        <f t="shared" si="49"/>
        <v>0.42</v>
      </c>
      <c r="E172" s="123">
        <f t="shared" si="49"/>
        <v>0.42</v>
      </c>
      <c r="F172" s="123">
        <f t="shared" si="49"/>
        <v>0.42</v>
      </c>
      <c r="G172" s="123">
        <f t="shared" si="49"/>
        <v>0.42</v>
      </c>
      <c r="H172" s="123">
        <f t="shared" si="49"/>
        <v>0.42</v>
      </c>
      <c r="I172" s="123">
        <f t="shared" si="49"/>
        <v>0.42</v>
      </c>
      <c r="J172" s="123">
        <f t="shared" si="49"/>
        <v>0.42</v>
      </c>
      <c r="K172" s="123">
        <f t="shared" si="49"/>
        <v>0.42</v>
      </c>
      <c r="L172" s="123">
        <f t="shared" si="49"/>
        <v>0.42</v>
      </c>
      <c r="M172" s="123">
        <f t="shared" si="49"/>
        <v>0.42</v>
      </c>
      <c r="N172" s="123">
        <f t="shared" si="49"/>
        <v>0.42</v>
      </c>
      <c r="O172" s="123">
        <f t="shared" si="49"/>
        <v>0.42</v>
      </c>
      <c r="P172" s="123">
        <f t="shared" si="49"/>
        <v>0.42</v>
      </c>
      <c r="Q172" s="123">
        <f t="shared" si="49"/>
        <v>0.42</v>
      </c>
      <c r="R172" s="123">
        <f t="shared" si="49"/>
        <v>0.42</v>
      </c>
      <c r="S172" s="123">
        <f t="shared" si="50"/>
        <v>0.42</v>
      </c>
      <c r="T172" s="123">
        <f t="shared" si="50"/>
        <v>0.42</v>
      </c>
      <c r="U172" s="123">
        <f t="shared" si="50"/>
        <v>0.42</v>
      </c>
      <c r="V172" s="123">
        <f t="shared" si="50"/>
        <v>0.42</v>
      </c>
      <c r="W172" s="123">
        <f t="shared" si="50"/>
        <v>0.42</v>
      </c>
      <c r="X172" s="123">
        <f t="shared" si="50"/>
        <v>0.42</v>
      </c>
      <c r="Y172" s="123">
        <f t="shared" si="50"/>
        <v>0.42</v>
      </c>
      <c r="Z172" s="123">
        <f t="shared" si="50"/>
        <v>0.42</v>
      </c>
      <c r="AA172" s="123">
        <f t="shared" si="50"/>
        <v>0.42</v>
      </c>
      <c r="AB172" s="123">
        <f t="shared" si="50"/>
        <v>0.42</v>
      </c>
      <c r="AC172" s="123">
        <f t="shared" si="50"/>
        <v>0.42</v>
      </c>
      <c r="AD172" s="123">
        <f t="shared" si="50"/>
        <v>0.42</v>
      </c>
      <c r="AE172" s="123">
        <f t="shared" si="50"/>
        <v>0.42</v>
      </c>
      <c r="AF172" s="123">
        <f t="shared" si="50"/>
        <v>0.42</v>
      </c>
      <c r="AG172" s="126">
        <v>2.5</v>
      </c>
      <c r="AH172" s="55"/>
      <c r="AI172" s="56"/>
      <c r="AK172" s="57"/>
    </row>
    <row r="173" spans="1:37" x14ac:dyDescent="0.25">
      <c r="A173" s="111" t="s">
        <v>177</v>
      </c>
      <c r="B173" s="123">
        <f t="shared" si="48"/>
        <v>0.46</v>
      </c>
      <c r="C173" s="124">
        <v>0.46</v>
      </c>
      <c r="D173" s="123">
        <f t="shared" si="49"/>
        <v>0.46</v>
      </c>
      <c r="E173" s="123">
        <f t="shared" si="49"/>
        <v>0.46</v>
      </c>
      <c r="F173" s="123">
        <f t="shared" si="49"/>
        <v>0.46</v>
      </c>
      <c r="G173" s="123">
        <f t="shared" si="49"/>
        <v>0.46</v>
      </c>
      <c r="H173" s="123">
        <f t="shared" si="49"/>
        <v>0.46</v>
      </c>
      <c r="I173" s="123">
        <f t="shared" si="49"/>
        <v>0.46</v>
      </c>
      <c r="J173" s="123">
        <f t="shared" si="49"/>
        <v>0.46</v>
      </c>
      <c r="K173" s="123">
        <f t="shared" si="49"/>
        <v>0.46</v>
      </c>
      <c r="L173" s="123">
        <f t="shared" si="49"/>
        <v>0.46</v>
      </c>
      <c r="M173" s="123">
        <f t="shared" si="49"/>
        <v>0.46</v>
      </c>
      <c r="N173" s="123">
        <f t="shared" si="49"/>
        <v>0.46</v>
      </c>
      <c r="O173" s="123">
        <f t="shared" si="49"/>
        <v>0.46</v>
      </c>
      <c r="P173" s="123">
        <f t="shared" si="49"/>
        <v>0.46</v>
      </c>
      <c r="Q173" s="123">
        <f t="shared" si="49"/>
        <v>0.46</v>
      </c>
      <c r="R173" s="123">
        <f t="shared" si="49"/>
        <v>0.46</v>
      </c>
      <c r="S173" s="123">
        <f t="shared" si="50"/>
        <v>0.46</v>
      </c>
      <c r="T173" s="123">
        <f t="shared" si="50"/>
        <v>0.46</v>
      </c>
      <c r="U173" s="123">
        <f t="shared" si="50"/>
        <v>0.46</v>
      </c>
      <c r="V173" s="123">
        <f t="shared" si="50"/>
        <v>0.46</v>
      </c>
      <c r="W173" s="123">
        <f t="shared" si="50"/>
        <v>0.46</v>
      </c>
      <c r="X173" s="123">
        <f t="shared" si="50"/>
        <v>0.46</v>
      </c>
      <c r="Y173" s="123">
        <f t="shared" si="50"/>
        <v>0.46</v>
      </c>
      <c r="Z173" s="123">
        <f t="shared" si="50"/>
        <v>0.46</v>
      </c>
      <c r="AA173" s="123">
        <f t="shared" si="50"/>
        <v>0.46</v>
      </c>
      <c r="AB173" s="123">
        <f t="shared" si="50"/>
        <v>0.46</v>
      </c>
      <c r="AC173" s="123">
        <f t="shared" si="50"/>
        <v>0.46</v>
      </c>
      <c r="AD173" s="123">
        <f t="shared" si="50"/>
        <v>0.46</v>
      </c>
      <c r="AE173" s="123">
        <f t="shared" si="50"/>
        <v>0.46</v>
      </c>
      <c r="AF173" s="123">
        <f t="shared" si="50"/>
        <v>0.46</v>
      </c>
      <c r="AG173" s="126">
        <v>2.4</v>
      </c>
      <c r="AH173" s="55"/>
      <c r="AI173" s="56"/>
      <c r="AK173" s="57"/>
    </row>
    <row r="174" spans="1:37" x14ac:dyDescent="0.25">
      <c r="A174" s="111" t="s">
        <v>178</v>
      </c>
      <c r="B174" s="123">
        <f t="shared" si="48"/>
        <v>0.85</v>
      </c>
      <c r="C174" s="124">
        <v>0.85</v>
      </c>
      <c r="D174" s="123">
        <f t="shared" si="49"/>
        <v>0.85</v>
      </c>
      <c r="E174" s="123">
        <f t="shared" si="49"/>
        <v>0.85</v>
      </c>
      <c r="F174" s="123">
        <f t="shared" si="49"/>
        <v>0.85</v>
      </c>
      <c r="G174" s="123">
        <f t="shared" si="49"/>
        <v>0.85</v>
      </c>
      <c r="H174" s="123">
        <f t="shared" si="49"/>
        <v>0.85</v>
      </c>
      <c r="I174" s="123">
        <f t="shared" si="49"/>
        <v>0.85</v>
      </c>
      <c r="J174" s="123">
        <f t="shared" si="49"/>
        <v>0.85</v>
      </c>
      <c r="K174" s="123">
        <f t="shared" si="49"/>
        <v>0.85</v>
      </c>
      <c r="L174" s="123">
        <f t="shared" si="49"/>
        <v>0.85</v>
      </c>
      <c r="M174" s="123">
        <f t="shared" si="49"/>
        <v>0.85</v>
      </c>
      <c r="N174" s="123">
        <f t="shared" si="49"/>
        <v>0.85</v>
      </c>
      <c r="O174" s="123">
        <f t="shared" si="49"/>
        <v>0.85</v>
      </c>
      <c r="P174" s="123">
        <f t="shared" si="49"/>
        <v>0.85</v>
      </c>
      <c r="Q174" s="123">
        <f t="shared" si="49"/>
        <v>0.85</v>
      </c>
      <c r="R174" s="123">
        <f t="shared" si="49"/>
        <v>0.85</v>
      </c>
      <c r="S174" s="123">
        <f t="shared" si="50"/>
        <v>0.85</v>
      </c>
      <c r="T174" s="123">
        <f t="shared" si="50"/>
        <v>0.85</v>
      </c>
      <c r="U174" s="123">
        <f t="shared" si="50"/>
        <v>0.85</v>
      </c>
      <c r="V174" s="123">
        <f t="shared" si="50"/>
        <v>0.85</v>
      </c>
      <c r="W174" s="123">
        <f t="shared" si="50"/>
        <v>0.85</v>
      </c>
      <c r="X174" s="123">
        <f t="shared" si="50"/>
        <v>0.85</v>
      </c>
      <c r="Y174" s="123">
        <f t="shared" si="50"/>
        <v>0.85</v>
      </c>
      <c r="Z174" s="123">
        <f t="shared" si="50"/>
        <v>0.85</v>
      </c>
      <c r="AA174" s="123">
        <f t="shared" si="50"/>
        <v>0.85</v>
      </c>
      <c r="AB174" s="123">
        <f t="shared" si="50"/>
        <v>0.85</v>
      </c>
      <c r="AC174" s="123">
        <f t="shared" si="50"/>
        <v>0.85</v>
      </c>
      <c r="AD174" s="123">
        <f t="shared" si="50"/>
        <v>0.85</v>
      </c>
      <c r="AE174" s="123">
        <f t="shared" si="50"/>
        <v>0.85</v>
      </c>
      <c r="AF174" s="123">
        <f t="shared" si="50"/>
        <v>0.85</v>
      </c>
      <c r="AG174" s="126">
        <v>2.4</v>
      </c>
      <c r="AH174" s="55"/>
      <c r="AI174" s="56"/>
      <c r="AK174" s="57"/>
    </row>
    <row r="175" spans="1:37" x14ac:dyDescent="0.25">
      <c r="A175" s="111" t="s">
        <v>179</v>
      </c>
      <c r="B175" s="123">
        <f t="shared" si="48"/>
        <v>0.9</v>
      </c>
      <c r="C175" s="124">
        <v>0.9</v>
      </c>
      <c r="D175" s="123">
        <f t="shared" si="49"/>
        <v>0.9</v>
      </c>
      <c r="E175" s="123">
        <f t="shared" si="49"/>
        <v>0.9</v>
      </c>
      <c r="F175" s="123">
        <f t="shared" si="49"/>
        <v>0.9</v>
      </c>
      <c r="G175" s="123">
        <f t="shared" si="49"/>
        <v>0.9</v>
      </c>
      <c r="H175" s="123">
        <f t="shared" si="49"/>
        <v>0.9</v>
      </c>
      <c r="I175" s="123">
        <f t="shared" si="49"/>
        <v>0.9</v>
      </c>
      <c r="J175" s="123">
        <f t="shared" si="49"/>
        <v>0.9</v>
      </c>
      <c r="K175" s="123">
        <f t="shared" si="49"/>
        <v>0.9</v>
      </c>
      <c r="L175" s="123">
        <f t="shared" si="49"/>
        <v>0.9</v>
      </c>
      <c r="M175" s="123">
        <f t="shared" si="49"/>
        <v>0.9</v>
      </c>
      <c r="N175" s="123">
        <f t="shared" si="49"/>
        <v>0.9</v>
      </c>
      <c r="O175" s="123">
        <f t="shared" si="49"/>
        <v>0.9</v>
      </c>
      <c r="P175" s="123">
        <f t="shared" si="49"/>
        <v>0.9</v>
      </c>
      <c r="Q175" s="123">
        <f t="shared" si="49"/>
        <v>0.9</v>
      </c>
      <c r="R175" s="123">
        <f t="shared" si="49"/>
        <v>0.9</v>
      </c>
      <c r="S175" s="123">
        <f t="shared" si="50"/>
        <v>0.9</v>
      </c>
      <c r="T175" s="123">
        <f t="shared" si="50"/>
        <v>0.9</v>
      </c>
      <c r="U175" s="123">
        <f t="shared" si="50"/>
        <v>0.9</v>
      </c>
      <c r="V175" s="123">
        <f t="shared" si="50"/>
        <v>0.9</v>
      </c>
      <c r="W175" s="123">
        <f t="shared" si="50"/>
        <v>0.9</v>
      </c>
      <c r="X175" s="123">
        <f t="shared" si="50"/>
        <v>0.9</v>
      </c>
      <c r="Y175" s="123">
        <f t="shared" si="50"/>
        <v>0.9</v>
      </c>
      <c r="Z175" s="123">
        <f t="shared" si="50"/>
        <v>0.9</v>
      </c>
      <c r="AA175" s="123">
        <f t="shared" si="50"/>
        <v>0.9</v>
      </c>
      <c r="AB175" s="123">
        <f t="shared" si="50"/>
        <v>0.9</v>
      </c>
      <c r="AC175" s="123">
        <f t="shared" si="50"/>
        <v>0.9</v>
      </c>
      <c r="AD175" s="123">
        <f t="shared" si="50"/>
        <v>0.9</v>
      </c>
      <c r="AE175" s="123">
        <f t="shared" si="50"/>
        <v>0.9</v>
      </c>
      <c r="AF175" s="123">
        <f t="shared" si="50"/>
        <v>0.9</v>
      </c>
      <c r="AG175" s="126">
        <v>2.2000000000000002</v>
      </c>
      <c r="AH175" s="55"/>
      <c r="AI175" s="56"/>
      <c r="AK175" s="57"/>
    </row>
    <row r="176" spans="1:37" x14ac:dyDescent="0.25">
      <c r="A176" s="111" t="s">
        <v>180</v>
      </c>
      <c r="B176" s="123">
        <f t="shared" si="48"/>
        <v>0.44</v>
      </c>
      <c r="C176" s="124">
        <v>0.44</v>
      </c>
      <c r="D176" s="123">
        <f t="shared" si="49"/>
        <v>0.44</v>
      </c>
      <c r="E176" s="123">
        <f t="shared" si="49"/>
        <v>0.44</v>
      </c>
      <c r="F176" s="123">
        <f t="shared" si="49"/>
        <v>0.44</v>
      </c>
      <c r="G176" s="123">
        <f t="shared" si="49"/>
        <v>0.44</v>
      </c>
      <c r="H176" s="123">
        <f t="shared" si="49"/>
        <v>0.44</v>
      </c>
      <c r="I176" s="123">
        <f t="shared" si="49"/>
        <v>0.44</v>
      </c>
      <c r="J176" s="123">
        <f t="shared" si="49"/>
        <v>0.44</v>
      </c>
      <c r="K176" s="123">
        <f t="shared" si="49"/>
        <v>0.44</v>
      </c>
      <c r="L176" s="123">
        <f t="shared" si="49"/>
        <v>0.44</v>
      </c>
      <c r="M176" s="123">
        <f t="shared" si="49"/>
        <v>0.44</v>
      </c>
      <c r="N176" s="123">
        <f t="shared" si="49"/>
        <v>0.44</v>
      </c>
      <c r="O176" s="123">
        <f t="shared" si="49"/>
        <v>0.44</v>
      </c>
      <c r="P176" s="123">
        <f t="shared" si="49"/>
        <v>0.44</v>
      </c>
      <c r="Q176" s="123">
        <f t="shared" si="49"/>
        <v>0.44</v>
      </c>
      <c r="R176" s="123">
        <f t="shared" si="49"/>
        <v>0.44</v>
      </c>
      <c r="S176" s="123">
        <f t="shared" si="50"/>
        <v>0.44</v>
      </c>
      <c r="T176" s="123">
        <f t="shared" si="50"/>
        <v>0.44</v>
      </c>
      <c r="U176" s="123">
        <f t="shared" si="50"/>
        <v>0.44</v>
      </c>
      <c r="V176" s="123">
        <f t="shared" si="50"/>
        <v>0.44</v>
      </c>
      <c r="W176" s="123">
        <f t="shared" si="50"/>
        <v>0.44</v>
      </c>
      <c r="X176" s="123">
        <f t="shared" si="50"/>
        <v>0.44</v>
      </c>
      <c r="Y176" s="123">
        <f t="shared" si="50"/>
        <v>0.44</v>
      </c>
      <c r="Z176" s="123">
        <f t="shared" si="50"/>
        <v>0.44</v>
      </c>
      <c r="AA176" s="123">
        <f t="shared" si="50"/>
        <v>0.44</v>
      </c>
      <c r="AB176" s="123">
        <f t="shared" si="50"/>
        <v>0.44</v>
      </c>
      <c r="AC176" s="123">
        <f t="shared" si="50"/>
        <v>0.44</v>
      </c>
      <c r="AD176" s="123">
        <f t="shared" si="50"/>
        <v>0.44</v>
      </c>
      <c r="AE176" s="123">
        <f t="shared" si="50"/>
        <v>0.44</v>
      </c>
      <c r="AF176" s="123">
        <f t="shared" si="50"/>
        <v>0.44</v>
      </c>
      <c r="AG176" s="126">
        <v>2</v>
      </c>
      <c r="AH176" s="55"/>
      <c r="AI176" s="56"/>
      <c r="AK176" s="57"/>
    </row>
    <row r="177" spans="1:37" x14ac:dyDescent="0.25">
      <c r="A177" s="111" t="s">
        <v>181</v>
      </c>
      <c r="B177" s="123">
        <f t="shared" si="48"/>
        <v>2.1</v>
      </c>
      <c r="C177" s="124">
        <v>2.1</v>
      </c>
      <c r="D177" s="123">
        <f t="shared" si="49"/>
        <v>2.1</v>
      </c>
      <c r="E177" s="123">
        <f t="shared" si="49"/>
        <v>2.1</v>
      </c>
      <c r="F177" s="123">
        <f t="shared" si="49"/>
        <v>2.1</v>
      </c>
      <c r="G177" s="123">
        <f t="shared" si="49"/>
        <v>2.1</v>
      </c>
      <c r="H177" s="123">
        <f t="shared" si="49"/>
        <v>2.1</v>
      </c>
      <c r="I177" s="123">
        <f t="shared" si="49"/>
        <v>2.1</v>
      </c>
      <c r="J177" s="123">
        <f t="shared" si="49"/>
        <v>2.1</v>
      </c>
      <c r="K177" s="123">
        <f t="shared" si="49"/>
        <v>2.1</v>
      </c>
      <c r="L177" s="123">
        <f t="shared" si="49"/>
        <v>2.1</v>
      </c>
      <c r="M177" s="123">
        <f t="shared" si="49"/>
        <v>2.1</v>
      </c>
      <c r="N177" s="123">
        <f t="shared" si="49"/>
        <v>2.1</v>
      </c>
      <c r="O177" s="123">
        <f t="shared" si="49"/>
        <v>2.1</v>
      </c>
      <c r="P177" s="123">
        <f t="shared" si="49"/>
        <v>2.1</v>
      </c>
      <c r="Q177" s="123">
        <f t="shared" si="49"/>
        <v>2.1</v>
      </c>
      <c r="R177" s="123">
        <f t="shared" si="49"/>
        <v>2.1</v>
      </c>
      <c r="S177" s="123">
        <f t="shared" si="50"/>
        <v>2.1</v>
      </c>
      <c r="T177" s="123">
        <f t="shared" si="50"/>
        <v>2.1</v>
      </c>
      <c r="U177" s="123">
        <f t="shared" si="50"/>
        <v>2.1</v>
      </c>
      <c r="V177" s="123">
        <f t="shared" si="50"/>
        <v>2.1</v>
      </c>
      <c r="W177" s="123">
        <f t="shared" si="50"/>
        <v>2.1</v>
      </c>
      <c r="X177" s="123">
        <f t="shared" si="50"/>
        <v>2.1</v>
      </c>
      <c r="Y177" s="123">
        <f t="shared" si="50"/>
        <v>2.1</v>
      </c>
      <c r="Z177" s="123">
        <f t="shared" si="50"/>
        <v>2.1</v>
      </c>
      <c r="AA177" s="123">
        <f t="shared" si="50"/>
        <v>2.1</v>
      </c>
      <c r="AB177" s="123">
        <f t="shared" si="50"/>
        <v>2.1</v>
      </c>
      <c r="AC177" s="123">
        <f t="shared" si="50"/>
        <v>2.1</v>
      </c>
      <c r="AD177" s="123">
        <f t="shared" si="50"/>
        <v>2.1</v>
      </c>
      <c r="AE177" s="123">
        <f t="shared" si="50"/>
        <v>2.1</v>
      </c>
      <c r="AF177" s="123">
        <f t="shared" si="50"/>
        <v>2.1</v>
      </c>
      <c r="AG177" s="126">
        <v>2</v>
      </c>
      <c r="AH177" s="55"/>
      <c r="AI177" s="56"/>
      <c r="AK177" s="57"/>
    </row>
    <row r="178" spans="1:37" x14ac:dyDescent="0.25">
      <c r="A178" s="111" t="s">
        <v>182</v>
      </c>
      <c r="B178" s="123">
        <f t="shared" si="48"/>
        <v>0.9</v>
      </c>
      <c r="C178" s="124">
        <v>0.9</v>
      </c>
      <c r="D178" s="123">
        <f t="shared" si="49"/>
        <v>0.9</v>
      </c>
      <c r="E178" s="123">
        <f t="shared" si="49"/>
        <v>0.9</v>
      </c>
      <c r="F178" s="123">
        <f t="shared" si="49"/>
        <v>0.9</v>
      </c>
      <c r="G178" s="123">
        <f t="shared" si="49"/>
        <v>0.9</v>
      </c>
      <c r="H178" s="123">
        <f t="shared" si="49"/>
        <v>0.9</v>
      </c>
      <c r="I178" s="123">
        <f t="shared" si="49"/>
        <v>0.9</v>
      </c>
      <c r="J178" s="123">
        <f t="shared" si="49"/>
        <v>0.9</v>
      </c>
      <c r="K178" s="123">
        <f t="shared" si="49"/>
        <v>0.9</v>
      </c>
      <c r="L178" s="123">
        <f t="shared" si="49"/>
        <v>0.9</v>
      </c>
      <c r="M178" s="123">
        <f t="shared" si="49"/>
        <v>0.9</v>
      </c>
      <c r="N178" s="123">
        <f t="shared" si="49"/>
        <v>0.9</v>
      </c>
      <c r="O178" s="123">
        <f t="shared" si="49"/>
        <v>0.9</v>
      </c>
      <c r="P178" s="123">
        <f t="shared" si="49"/>
        <v>0.9</v>
      </c>
      <c r="Q178" s="123">
        <f t="shared" si="49"/>
        <v>0.9</v>
      </c>
      <c r="R178" s="123">
        <f t="shared" si="49"/>
        <v>0.9</v>
      </c>
      <c r="S178" s="123">
        <f t="shared" si="50"/>
        <v>0.9</v>
      </c>
      <c r="T178" s="123">
        <f t="shared" si="50"/>
        <v>0.9</v>
      </c>
      <c r="U178" s="123">
        <f t="shared" si="50"/>
        <v>0.9</v>
      </c>
      <c r="V178" s="123">
        <f t="shared" si="50"/>
        <v>0.9</v>
      </c>
      <c r="W178" s="123">
        <f t="shared" si="50"/>
        <v>0.9</v>
      </c>
      <c r="X178" s="123">
        <f t="shared" si="50"/>
        <v>0.9</v>
      </c>
      <c r="Y178" s="123">
        <f t="shared" si="50"/>
        <v>0.9</v>
      </c>
      <c r="Z178" s="123">
        <f t="shared" si="50"/>
        <v>0.9</v>
      </c>
      <c r="AA178" s="123">
        <f t="shared" si="50"/>
        <v>0.9</v>
      </c>
      <c r="AB178" s="123">
        <f t="shared" si="50"/>
        <v>0.9</v>
      </c>
      <c r="AC178" s="123">
        <f t="shared" si="50"/>
        <v>0.9</v>
      </c>
      <c r="AD178" s="123">
        <f t="shared" si="50"/>
        <v>0.9</v>
      </c>
      <c r="AE178" s="123">
        <f t="shared" si="50"/>
        <v>0.9</v>
      </c>
      <c r="AF178" s="123">
        <f t="shared" si="50"/>
        <v>0.9</v>
      </c>
      <c r="AG178" s="126">
        <v>2</v>
      </c>
      <c r="AH178" s="55"/>
      <c r="AI178" s="56"/>
      <c r="AK178" s="57"/>
    </row>
    <row r="179" spans="1:37" x14ac:dyDescent="0.25">
      <c r="A179" s="111" t="s">
        <v>183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5"/>
      <c r="AI179" s="56"/>
      <c r="AK179" s="57"/>
    </row>
    <row r="180" spans="1:37" x14ac:dyDescent="0.25">
      <c r="A180" s="111" t="s">
        <v>184</v>
      </c>
      <c r="B180" s="123">
        <f t="shared" ref="B180:B192" si="51">AF180</f>
        <v>0.57999999999999996</v>
      </c>
      <c r="C180" s="124">
        <v>0.57999999999999996</v>
      </c>
      <c r="D180" s="123">
        <f t="shared" ref="D180:S192" si="52">C180</f>
        <v>0.57999999999999996</v>
      </c>
      <c r="E180" s="123">
        <f t="shared" si="52"/>
        <v>0.57999999999999996</v>
      </c>
      <c r="F180" s="123">
        <f t="shared" si="52"/>
        <v>0.57999999999999996</v>
      </c>
      <c r="G180" s="123">
        <f t="shared" si="52"/>
        <v>0.57999999999999996</v>
      </c>
      <c r="H180" s="123">
        <f t="shared" si="52"/>
        <v>0.57999999999999996</v>
      </c>
      <c r="I180" s="123">
        <f t="shared" si="52"/>
        <v>0.57999999999999996</v>
      </c>
      <c r="J180" s="123">
        <f t="shared" si="52"/>
        <v>0.57999999999999996</v>
      </c>
      <c r="K180" s="123">
        <f t="shared" si="52"/>
        <v>0.57999999999999996</v>
      </c>
      <c r="L180" s="123">
        <f t="shared" si="52"/>
        <v>0.57999999999999996</v>
      </c>
      <c r="M180" s="123">
        <f t="shared" si="52"/>
        <v>0.57999999999999996</v>
      </c>
      <c r="N180" s="123">
        <f t="shared" si="52"/>
        <v>0.57999999999999996</v>
      </c>
      <c r="O180" s="123">
        <f t="shared" si="52"/>
        <v>0.57999999999999996</v>
      </c>
      <c r="P180" s="123">
        <f t="shared" si="52"/>
        <v>0.57999999999999996</v>
      </c>
      <c r="Q180" s="123">
        <f t="shared" si="52"/>
        <v>0.57999999999999996</v>
      </c>
      <c r="R180" s="123">
        <f t="shared" si="52"/>
        <v>0.57999999999999996</v>
      </c>
      <c r="S180" s="123">
        <f t="shared" si="52"/>
        <v>0.57999999999999996</v>
      </c>
      <c r="T180" s="123">
        <f t="shared" ref="S180:AF192" si="53">S180</f>
        <v>0.57999999999999996</v>
      </c>
      <c r="U180" s="123">
        <f t="shared" si="53"/>
        <v>0.57999999999999996</v>
      </c>
      <c r="V180" s="123">
        <f t="shared" si="53"/>
        <v>0.57999999999999996</v>
      </c>
      <c r="W180" s="123">
        <f t="shared" si="53"/>
        <v>0.57999999999999996</v>
      </c>
      <c r="X180" s="123">
        <f t="shared" si="53"/>
        <v>0.57999999999999996</v>
      </c>
      <c r="Y180" s="123">
        <f t="shared" si="53"/>
        <v>0.57999999999999996</v>
      </c>
      <c r="Z180" s="123">
        <f t="shared" si="53"/>
        <v>0.57999999999999996</v>
      </c>
      <c r="AA180" s="123">
        <f t="shared" si="53"/>
        <v>0.57999999999999996</v>
      </c>
      <c r="AB180" s="123">
        <f t="shared" si="53"/>
        <v>0.57999999999999996</v>
      </c>
      <c r="AC180" s="123">
        <f t="shared" si="53"/>
        <v>0.57999999999999996</v>
      </c>
      <c r="AD180" s="123">
        <f t="shared" si="53"/>
        <v>0.57999999999999996</v>
      </c>
      <c r="AE180" s="123">
        <f t="shared" si="53"/>
        <v>0.57999999999999996</v>
      </c>
      <c r="AF180" s="123">
        <f t="shared" si="53"/>
        <v>0.57999999999999996</v>
      </c>
      <c r="AG180" s="126">
        <v>1.8</v>
      </c>
      <c r="AH180" s="55"/>
      <c r="AI180" s="56"/>
      <c r="AK180" s="57"/>
    </row>
    <row r="181" spans="1:37" x14ac:dyDescent="0.25">
      <c r="A181" s="111" t="s">
        <v>185</v>
      </c>
      <c r="B181" s="123">
        <f t="shared" si="51"/>
        <v>0.8</v>
      </c>
      <c r="C181" s="124">
        <v>0.8</v>
      </c>
      <c r="D181" s="123">
        <f t="shared" si="52"/>
        <v>0.8</v>
      </c>
      <c r="E181" s="123">
        <f t="shared" si="52"/>
        <v>0.8</v>
      </c>
      <c r="F181" s="123">
        <f t="shared" si="52"/>
        <v>0.8</v>
      </c>
      <c r="G181" s="123">
        <f t="shared" si="52"/>
        <v>0.8</v>
      </c>
      <c r="H181" s="123">
        <f t="shared" si="52"/>
        <v>0.8</v>
      </c>
      <c r="I181" s="123">
        <f t="shared" si="52"/>
        <v>0.8</v>
      </c>
      <c r="J181" s="123">
        <f t="shared" si="52"/>
        <v>0.8</v>
      </c>
      <c r="K181" s="123">
        <f t="shared" si="52"/>
        <v>0.8</v>
      </c>
      <c r="L181" s="123">
        <f t="shared" si="52"/>
        <v>0.8</v>
      </c>
      <c r="M181" s="123">
        <f t="shared" si="52"/>
        <v>0.8</v>
      </c>
      <c r="N181" s="123">
        <f t="shared" si="52"/>
        <v>0.8</v>
      </c>
      <c r="O181" s="123">
        <f t="shared" si="52"/>
        <v>0.8</v>
      </c>
      <c r="P181" s="123">
        <f t="shared" si="52"/>
        <v>0.8</v>
      </c>
      <c r="Q181" s="123">
        <f t="shared" si="52"/>
        <v>0.8</v>
      </c>
      <c r="R181" s="123">
        <f t="shared" si="52"/>
        <v>0.8</v>
      </c>
      <c r="S181" s="123">
        <f t="shared" si="52"/>
        <v>0.8</v>
      </c>
      <c r="T181" s="123">
        <f t="shared" si="53"/>
        <v>0.8</v>
      </c>
      <c r="U181" s="123">
        <f t="shared" si="53"/>
        <v>0.8</v>
      </c>
      <c r="V181" s="123">
        <f t="shared" si="53"/>
        <v>0.8</v>
      </c>
      <c r="W181" s="123">
        <f t="shared" si="53"/>
        <v>0.8</v>
      </c>
      <c r="X181" s="123">
        <f t="shared" si="53"/>
        <v>0.8</v>
      </c>
      <c r="Y181" s="123">
        <f t="shared" si="53"/>
        <v>0.8</v>
      </c>
      <c r="Z181" s="123">
        <f t="shared" si="53"/>
        <v>0.8</v>
      </c>
      <c r="AA181" s="123">
        <f t="shared" si="53"/>
        <v>0.8</v>
      </c>
      <c r="AB181" s="123">
        <f t="shared" si="53"/>
        <v>0.8</v>
      </c>
      <c r="AC181" s="123">
        <f t="shared" si="53"/>
        <v>0.8</v>
      </c>
      <c r="AD181" s="123">
        <f t="shared" si="53"/>
        <v>0.8</v>
      </c>
      <c r="AE181" s="123">
        <f t="shared" si="53"/>
        <v>0.8</v>
      </c>
      <c r="AF181" s="123">
        <f t="shared" si="53"/>
        <v>0.8</v>
      </c>
      <c r="AG181" s="126">
        <v>1.65</v>
      </c>
      <c r="AH181" s="55"/>
      <c r="AI181" s="56"/>
      <c r="AK181" s="57"/>
    </row>
    <row r="182" spans="1:37" x14ac:dyDescent="0.25">
      <c r="A182" s="111" t="s">
        <v>186</v>
      </c>
      <c r="B182" s="123">
        <f t="shared" si="51"/>
        <v>0</v>
      </c>
      <c r="C182" s="124">
        <v>0</v>
      </c>
      <c r="D182" s="123">
        <f t="shared" si="52"/>
        <v>0</v>
      </c>
      <c r="E182" s="123">
        <f t="shared" si="52"/>
        <v>0</v>
      </c>
      <c r="F182" s="123">
        <f t="shared" si="52"/>
        <v>0</v>
      </c>
      <c r="G182" s="123">
        <f t="shared" si="52"/>
        <v>0</v>
      </c>
      <c r="H182" s="123">
        <f t="shared" si="52"/>
        <v>0</v>
      </c>
      <c r="I182" s="123">
        <f t="shared" si="52"/>
        <v>0</v>
      </c>
      <c r="J182" s="123">
        <f t="shared" si="52"/>
        <v>0</v>
      </c>
      <c r="K182" s="123">
        <f t="shared" si="52"/>
        <v>0</v>
      </c>
      <c r="L182" s="123">
        <f t="shared" si="52"/>
        <v>0</v>
      </c>
      <c r="M182" s="123">
        <f t="shared" si="52"/>
        <v>0</v>
      </c>
      <c r="N182" s="123">
        <f t="shared" si="52"/>
        <v>0</v>
      </c>
      <c r="O182" s="123">
        <f t="shared" si="52"/>
        <v>0</v>
      </c>
      <c r="P182" s="123">
        <f t="shared" si="52"/>
        <v>0</v>
      </c>
      <c r="Q182" s="123">
        <f t="shared" si="52"/>
        <v>0</v>
      </c>
      <c r="R182" s="123">
        <f t="shared" si="52"/>
        <v>0</v>
      </c>
      <c r="S182" s="123">
        <f t="shared" si="52"/>
        <v>0</v>
      </c>
      <c r="T182" s="123">
        <f t="shared" si="53"/>
        <v>0</v>
      </c>
      <c r="U182" s="123">
        <f t="shared" si="53"/>
        <v>0</v>
      </c>
      <c r="V182" s="123">
        <f t="shared" si="53"/>
        <v>0</v>
      </c>
      <c r="W182" s="123">
        <f t="shared" si="53"/>
        <v>0</v>
      </c>
      <c r="X182" s="123">
        <f t="shared" si="53"/>
        <v>0</v>
      </c>
      <c r="Y182" s="123">
        <f t="shared" si="53"/>
        <v>0</v>
      </c>
      <c r="Z182" s="123">
        <f t="shared" si="53"/>
        <v>0</v>
      </c>
      <c r="AA182" s="123">
        <f t="shared" si="53"/>
        <v>0</v>
      </c>
      <c r="AB182" s="123">
        <f t="shared" si="53"/>
        <v>0</v>
      </c>
      <c r="AC182" s="123">
        <f t="shared" si="53"/>
        <v>0</v>
      </c>
      <c r="AD182" s="123">
        <f t="shared" si="53"/>
        <v>0</v>
      </c>
      <c r="AE182" s="123">
        <f t="shared" si="53"/>
        <v>0</v>
      </c>
      <c r="AF182" s="123">
        <f t="shared" si="53"/>
        <v>0</v>
      </c>
      <c r="AG182" s="126">
        <v>1.5</v>
      </c>
      <c r="AH182" s="55"/>
      <c r="AI182" s="56"/>
      <c r="AK182" s="57"/>
    </row>
    <row r="183" spans="1:37" x14ac:dyDescent="0.25">
      <c r="A183" s="111" t="s">
        <v>187</v>
      </c>
      <c r="B183" s="123">
        <f t="shared" si="51"/>
        <v>0.6</v>
      </c>
      <c r="C183" s="124">
        <v>0.6</v>
      </c>
      <c r="D183" s="123">
        <f t="shared" si="52"/>
        <v>0.6</v>
      </c>
      <c r="E183" s="123">
        <f t="shared" si="52"/>
        <v>0.6</v>
      </c>
      <c r="F183" s="123">
        <f t="shared" si="52"/>
        <v>0.6</v>
      </c>
      <c r="G183" s="123">
        <f t="shared" si="52"/>
        <v>0.6</v>
      </c>
      <c r="H183" s="123">
        <f t="shared" si="52"/>
        <v>0.6</v>
      </c>
      <c r="I183" s="123">
        <f t="shared" si="52"/>
        <v>0.6</v>
      </c>
      <c r="J183" s="123">
        <f t="shared" si="52"/>
        <v>0.6</v>
      </c>
      <c r="K183" s="123">
        <f t="shared" si="52"/>
        <v>0.6</v>
      </c>
      <c r="L183" s="123">
        <f t="shared" si="52"/>
        <v>0.6</v>
      </c>
      <c r="M183" s="123">
        <f t="shared" si="52"/>
        <v>0.6</v>
      </c>
      <c r="N183" s="123">
        <f t="shared" si="52"/>
        <v>0.6</v>
      </c>
      <c r="O183" s="123">
        <f t="shared" si="52"/>
        <v>0.6</v>
      </c>
      <c r="P183" s="123">
        <f t="shared" si="52"/>
        <v>0.6</v>
      </c>
      <c r="Q183" s="123">
        <f t="shared" si="52"/>
        <v>0.6</v>
      </c>
      <c r="R183" s="123">
        <f t="shared" si="52"/>
        <v>0.6</v>
      </c>
      <c r="S183" s="123">
        <f t="shared" si="52"/>
        <v>0.6</v>
      </c>
      <c r="T183" s="123">
        <f t="shared" si="53"/>
        <v>0.6</v>
      </c>
      <c r="U183" s="123">
        <f t="shared" si="53"/>
        <v>0.6</v>
      </c>
      <c r="V183" s="123">
        <f t="shared" si="53"/>
        <v>0.6</v>
      </c>
      <c r="W183" s="123">
        <f t="shared" si="53"/>
        <v>0.6</v>
      </c>
      <c r="X183" s="123">
        <f t="shared" si="53"/>
        <v>0.6</v>
      </c>
      <c r="Y183" s="123">
        <f t="shared" si="53"/>
        <v>0.6</v>
      </c>
      <c r="Z183" s="123">
        <f t="shared" si="53"/>
        <v>0.6</v>
      </c>
      <c r="AA183" s="123">
        <f t="shared" si="53"/>
        <v>0.6</v>
      </c>
      <c r="AB183" s="123">
        <f t="shared" si="53"/>
        <v>0.6</v>
      </c>
      <c r="AC183" s="123">
        <f t="shared" si="53"/>
        <v>0.6</v>
      </c>
      <c r="AD183" s="123">
        <f t="shared" si="53"/>
        <v>0.6</v>
      </c>
      <c r="AE183" s="123">
        <f t="shared" si="53"/>
        <v>0.6</v>
      </c>
      <c r="AF183" s="123">
        <f t="shared" si="53"/>
        <v>0.6</v>
      </c>
      <c r="AG183" s="126">
        <v>0.998</v>
      </c>
      <c r="AH183" s="55"/>
      <c r="AI183" s="56"/>
      <c r="AK183" s="57"/>
    </row>
    <row r="184" spans="1:37" x14ac:dyDescent="0.25">
      <c r="A184" s="111" t="s">
        <v>188</v>
      </c>
      <c r="B184" s="123">
        <f t="shared" si="51"/>
        <v>0.6</v>
      </c>
      <c r="C184" s="124">
        <v>0.6</v>
      </c>
      <c r="D184" s="123">
        <f t="shared" si="52"/>
        <v>0.6</v>
      </c>
      <c r="E184" s="123">
        <f t="shared" si="52"/>
        <v>0.6</v>
      </c>
      <c r="F184" s="123">
        <f t="shared" si="52"/>
        <v>0.6</v>
      </c>
      <c r="G184" s="123">
        <f t="shared" si="52"/>
        <v>0.6</v>
      </c>
      <c r="H184" s="123">
        <f t="shared" si="52"/>
        <v>0.6</v>
      </c>
      <c r="I184" s="123">
        <f t="shared" si="52"/>
        <v>0.6</v>
      </c>
      <c r="J184" s="123">
        <f t="shared" si="52"/>
        <v>0.6</v>
      </c>
      <c r="K184" s="123">
        <f t="shared" si="52"/>
        <v>0.6</v>
      </c>
      <c r="L184" s="123">
        <f t="shared" si="52"/>
        <v>0.6</v>
      </c>
      <c r="M184" s="123">
        <f t="shared" si="52"/>
        <v>0.6</v>
      </c>
      <c r="N184" s="123">
        <f t="shared" si="52"/>
        <v>0.6</v>
      </c>
      <c r="O184" s="123">
        <f t="shared" si="52"/>
        <v>0.6</v>
      </c>
      <c r="P184" s="123">
        <f t="shared" si="52"/>
        <v>0.6</v>
      </c>
      <c r="Q184" s="123">
        <f t="shared" si="52"/>
        <v>0.6</v>
      </c>
      <c r="R184" s="123">
        <f t="shared" si="52"/>
        <v>0.6</v>
      </c>
      <c r="S184" s="123">
        <f t="shared" si="52"/>
        <v>0.6</v>
      </c>
      <c r="T184" s="123">
        <f t="shared" si="53"/>
        <v>0.6</v>
      </c>
      <c r="U184" s="123">
        <f t="shared" si="53"/>
        <v>0.6</v>
      </c>
      <c r="V184" s="123">
        <f t="shared" si="53"/>
        <v>0.6</v>
      </c>
      <c r="W184" s="123">
        <f t="shared" si="53"/>
        <v>0.6</v>
      </c>
      <c r="X184" s="123">
        <f t="shared" si="53"/>
        <v>0.6</v>
      </c>
      <c r="Y184" s="123">
        <f t="shared" si="53"/>
        <v>0.6</v>
      </c>
      <c r="Z184" s="123">
        <f t="shared" si="53"/>
        <v>0.6</v>
      </c>
      <c r="AA184" s="123">
        <f t="shared" si="53"/>
        <v>0.6</v>
      </c>
      <c r="AB184" s="123">
        <f t="shared" si="53"/>
        <v>0.6</v>
      </c>
      <c r="AC184" s="123">
        <f t="shared" si="53"/>
        <v>0.6</v>
      </c>
      <c r="AD184" s="123">
        <f t="shared" si="53"/>
        <v>0.6</v>
      </c>
      <c r="AE184" s="123">
        <f t="shared" si="53"/>
        <v>0.6</v>
      </c>
      <c r="AF184" s="123">
        <f t="shared" si="53"/>
        <v>0.6</v>
      </c>
      <c r="AG184" s="126">
        <v>0.997</v>
      </c>
      <c r="AH184" s="55"/>
      <c r="AI184" s="56"/>
      <c r="AK184" s="57"/>
    </row>
    <row r="185" spans="1:37" x14ac:dyDescent="0.25">
      <c r="A185" s="111" t="s">
        <v>189</v>
      </c>
      <c r="B185" s="123">
        <f t="shared" si="51"/>
        <v>0.35</v>
      </c>
      <c r="C185" s="124">
        <v>0.35</v>
      </c>
      <c r="D185" s="123">
        <f t="shared" si="52"/>
        <v>0.35</v>
      </c>
      <c r="E185" s="123">
        <f t="shared" si="52"/>
        <v>0.35</v>
      </c>
      <c r="F185" s="123">
        <f t="shared" si="52"/>
        <v>0.35</v>
      </c>
      <c r="G185" s="123">
        <f t="shared" si="52"/>
        <v>0.35</v>
      </c>
      <c r="H185" s="123">
        <f t="shared" si="52"/>
        <v>0.35</v>
      </c>
      <c r="I185" s="123">
        <f t="shared" si="52"/>
        <v>0.35</v>
      </c>
      <c r="J185" s="123">
        <f t="shared" si="52"/>
        <v>0.35</v>
      </c>
      <c r="K185" s="123">
        <f t="shared" si="52"/>
        <v>0.35</v>
      </c>
      <c r="L185" s="123">
        <f t="shared" si="52"/>
        <v>0.35</v>
      </c>
      <c r="M185" s="123">
        <f t="shared" si="52"/>
        <v>0.35</v>
      </c>
      <c r="N185" s="123">
        <f t="shared" si="52"/>
        <v>0.35</v>
      </c>
      <c r="O185" s="123">
        <f t="shared" si="52"/>
        <v>0.35</v>
      </c>
      <c r="P185" s="123">
        <f t="shared" si="52"/>
        <v>0.35</v>
      </c>
      <c r="Q185" s="123">
        <f t="shared" si="52"/>
        <v>0.35</v>
      </c>
      <c r="R185" s="123">
        <f t="shared" si="52"/>
        <v>0.35</v>
      </c>
      <c r="S185" s="123">
        <f t="shared" si="52"/>
        <v>0.35</v>
      </c>
      <c r="T185" s="123">
        <f t="shared" si="53"/>
        <v>0.35</v>
      </c>
      <c r="U185" s="123">
        <f t="shared" si="53"/>
        <v>0.35</v>
      </c>
      <c r="V185" s="123">
        <f t="shared" si="53"/>
        <v>0.35</v>
      </c>
      <c r="W185" s="123">
        <f t="shared" si="53"/>
        <v>0.35</v>
      </c>
      <c r="X185" s="123">
        <f t="shared" si="53"/>
        <v>0.35</v>
      </c>
      <c r="Y185" s="123">
        <f t="shared" si="53"/>
        <v>0.35</v>
      </c>
      <c r="Z185" s="123">
        <f t="shared" si="53"/>
        <v>0.35</v>
      </c>
      <c r="AA185" s="123">
        <f t="shared" si="53"/>
        <v>0.35</v>
      </c>
      <c r="AB185" s="123">
        <f t="shared" si="53"/>
        <v>0.35</v>
      </c>
      <c r="AC185" s="123">
        <f t="shared" si="53"/>
        <v>0.35</v>
      </c>
      <c r="AD185" s="123">
        <f t="shared" si="53"/>
        <v>0.35</v>
      </c>
      <c r="AE185" s="123">
        <f t="shared" si="53"/>
        <v>0.35</v>
      </c>
      <c r="AF185" s="123">
        <f t="shared" si="53"/>
        <v>0.35</v>
      </c>
      <c r="AG185" s="126">
        <v>0.997</v>
      </c>
      <c r="AH185" s="55"/>
      <c r="AI185" s="56"/>
      <c r="AK185" s="57"/>
    </row>
    <row r="186" spans="1:37" x14ac:dyDescent="0.25">
      <c r="A186" s="111" t="s">
        <v>190</v>
      </c>
      <c r="B186" s="123">
        <f t="shared" si="51"/>
        <v>0.28999999999999998</v>
      </c>
      <c r="C186" s="124">
        <v>0.28999999999999998</v>
      </c>
      <c r="D186" s="123">
        <f t="shared" si="52"/>
        <v>0.28999999999999998</v>
      </c>
      <c r="E186" s="123">
        <f t="shared" si="52"/>
        <v>0.28999999999999998</v>
      </c>
      <c r="F186" s="123">
        <f t="shared" si="52"/>
        <v>0.28999999999999998</v>
      </c>
      <c r="G186" s="123">
        <f t="shared" si="52"/>
        <v>0.28999999999999998</v>
      </c>
      <c r="H186" s="123">
        <f t="shared" si="52"/>
        <v>0.28999999999999998</v>
      </c>
      <c r="I186" s="123">
        <f t="shared" si="52"/>
        <v>0.28999999999999998</v>
      </c>
      <c r="J186" s="123">
        <f t="shared" si="52"/>
        <v>0.28999999999999998</v>
      </c>
      <c r="K186" s="123">
        <f t="shared" si="52"/>
        <v>0.28999999999999998</v>
      </c>
      <c r="L186" s="123">
        <f t="shared" si="52"/>
        <v>0.28999999999999998</v>
      </c>
      <c r="M186" s="123">
        <f t="shared" si="52"/>
        <v>0.28999999999999998</v>
      </c>
      <c r="N186" s="123">
        <f t="shared" si="52"/>
        <v>0.28999999999999998</v>
      </c>
      <c r="O186" s="123">
        <f t="shared" si="52"/>
        <v>0.28999999999999998</v>
      </c>
      <c r="P186" s="123">
        <f t="shared" si="52"/>
        <v>0.28999999999999998</v>
      </c>
      <c r="Q186" s="123">
        <f t="shared" si="52"/>
        <v>0.28999999999999998</v>
      </c>
      <c r="R186" s="123">
        <f t="shared" si="52"/>
        <v>0.28999999999999998</v>
      </c>
      <c r="S186" s="123">
        <f t="shared" si="52"/>
        <v>0.28999999999999998</v>
      </c>
      <c r="T186" s="123">
        <f t="shared" si="53"/>
        <v>0.28999999999999998</v>
      </c>
      <c r="U186" s="123">
        <f t="shared" si="53"/>
        <v>0.28999999999999998</v>
      </c>
      <c r="V186" s="123">
        <f t="shared" si="53"/>
        <v>0.28999999999999998</v>
      </c>
      <c r="W186" s="123">
        <f t="shared" si="53"/>
        <v>0.28999999999999998</v>
      </c>
      <c r="X186" s="123">
        <f t="shared" si="53"/>
        <v>0.28999999999999998</v>
      </c>
      <c r="Y186" s="123">
        <f t="shared" si="53"/>
        <v>0.28999999999999998</v>
      </c>
      <c r="Z186" s="123">
        <f t="shared" si="53"/>
        <v>0.28999999999999998</v>
      </c>
      <c r="AA186" s="123">
        <f t="shared" si="53"/>
        <v>0.28999999999999998</v>
      </c>
      <c r="AB186" s="123">
        <f t="shared" si="53"/>
        <v>0.28999999999999998</v>
      </c>
      <c r="AC186" s="123">
        <f t="shared" si="53"/>
        <v>0.28999999999999998</v>
      </c>
      <c r="AD186" s="123">
        <f t="shared" si="53"/>
        <v>0.28999999999999998</v>
      </c>
      <c r="AE186" s="123">
        <f t="shared" si="53"/>
        <v>0.28999999999999998</v>
      </c>
      <c r="AF186" s="123">
        <f t="shared" si="53"/>
        <v>0.28999999999999998</v>
      </c>
      <c r="AG186" s="126">
        <v>0.996</v>
      </c>
      <c r="AH186" s="55"/>
      <c r="AI186" s="56"/>
      <c r="AK186" s="57"/>
    </row>
    <row r="187" spans="1:37" x14ac:dyDescent="0.25">
      <c r="A187" s="111" t="s">
        <v>191</v>
      </c>
      <c r="B187" s="123">
        <f t="shared" si="51"/>
        <v>0.06</v>
      </c>
      <c r="C187" s="124">
        <v>0.06</v>
      </c>
      <c r="D187" s="123">
        <f t="shared" si="52"/>
        <v>0.06</v>
      </c>
      <c r="E187" s="123">
        <f t="shared" si="52"/>
        <v>0.06</v>
      </c>
      <c r="F187" s="123">
        <f t="shared" si="52"/>
        <v>0.06</v>
      </c>
      <c r="G187" s="123">
        <f t="shared" si="52"/>
        <v>0.06</v>
      </c>
      <c r="H187" s="123">
        <f t="shared" si="52"/>
        <v>0.06</v>
      </c>
      <c r="I187" s="123">
        <f t="shared" si="52"/>
        <v>0.06</v>
      </c>
      <c r="J187" s="123">
        <f t="shared" si="52"/>
        <v>0.06</v>
      </c>
      <c r="K187" s="123">
        <f t="shared" si="52"/>
        <v>0.06</v>
      </c>
      <c r="L187" s="123">
        <f t="shared" si="52"/>
        <v>0.06</v>
      </c>
      <c r="M187" s="123">
        <f t="shared" si="52"/>
        <v>0.06</v>
      </c>
      <c r="N187" s="123">
        <f t="shared" si="52"/>
        <v>0.06</v>
      </c>
      <c r="O187" s="123">
        <f t="shared" si="52"/>
        <v>0.06</v>
      </c>
      <c r="P187" s="123">
        <f t="shared" si="52"/>
        <v>0.06</v>
      </c>
      <c r="Q187" s="123">
        <f t="shared" si="52"/>
        <v>0.06</v>
      </c>
      <c r="R187" s="123">
        <f t="shared" si="52"/>
        <v>0.06</v>
      </c>
      <c r="S187" s="123">
        <f t="shared" si="52"/>
        <v>0.06</v>
      </c>
      <c r="T187" s="123">
        <f t="shared" si="53"/>
        <v>0.06</v>
      </c>
      <c r="U187" s="123">
        <f t="shared" si="53"/>
        <v>0.06</v>
      </c>
      <c r="V187" s="123">
        <f t="shared" si="53"/>
        <v>0.06</v>
      </c>
      <c r="W187" s="123">
        <f t="shared" si="53"/>
        <v>0.06</v>
      </c>
      <c r="X187" s="123">
        <f t="shared" si="53"/>
        <v>0.06</v>
      </c>
      <c r="Y187" s="123">
        <f t="shared" si="53"/>
        <v>0.06</v>
      </c>
      <c r="Z187" s="123">
        <f t="shared" si="53"/>
        <v>0.06</v>
      </c>
      <c r="AA187" s="123">
        <f t="shared" si="53"/>
        <v>0.06</v>
      </c>
      <c r="AB187" s="123">
        <f t="shared" si="53"/>
        <v>0.06</v>
      </c>
      <c r="AC187" s="123">
        <f t="shared" si="53"/>
        <v>0.06</v>
      </c>
      <c r="AD187" s="123">
        <f t="shared" si="53"/>
        <v>0.06</v>
      </c>
      <c r="AE187" s="123">
        <f t="shared" si="53"/>
        <v>0.06</v>
      </c>
      <c r="AF187" s="123">
        <f t="shared" si="53"/>
        <v>0.06</v>
      </c>
      <c r="AG187" s="126">
        <v>0.996</v>
      </c>
      <c r="AH187" s="55"/>
      <c r="AI187" s="56"/>
      <c r="AK187" s="57"/>
    </row>
    <row r="188" spans="1:37" x14ac:dyDescent="0.25">
      <c r="A188" s="111" t="s">
        <v>192</v>
      </c>
      <c r="B188" s="123">
        <f t="shared" si="51"/>
        <v>0.11</v>
      </c>
      <c r="C188" s="124">
        <v>0.11</v>
      </c>
      <c r="D188" s="123">
        <f t="shared" si="52"/>
        <v>0.11</v>
      </c>
      <c r="E188" s="123">
        <f t="shared" si="52"/>
        <v>0.11</v>
      </c>
      <c r="F188" s="123">
        <f t="shared" si="52"/>
        <v>0.11</v>
      </c>
      <c r="G188" s="123">
        <f t="shared" si="52"/>
        <v>0.11</v>
      </c>
      <c r="H188" s="123">
        <f t="shared" si="52"/>
        <v>0.11</v>
      </c>
      <c r="I188" s="123">
        <f t="shared" si="52"/>
        <v>0.11</v>
      </c>
      <c r="J188" s="123">
        <f t="shared" si="52"/>
        <v>0.11</v>
      </c>
      <c r="K188" s="123">
        <f t="shared" si="52"/>
        <v>0.11</v>
      </c>
      <c r="L188" s="123">
        <f t="shared" si="52"/>
        <v>0.11</v>
      </c>
      <c r="M188" s="123">
        <f t="shared" si="52"/>
        <v>0.11</v>
      </c>
      <c r="N188" s="123">
        <f t="shared" si="52"/>
        <v>0.11</v>
      </c>
      <c r="O188" s="123">
        <f t="shared" si="52"/>
        <v>0.11</v>
      </c>
      <c r="P188" s="123">
        <f t="shared" si="52"/>
        <v>0.11</v>
      </c>
      <c r="Q188" s="123">
        <f t="shared" si="52"/>
        <v>0.11</v>
      </c>
      <c r="R188" s="123">
        <f t="shared" si="52"/>
        <v>0.11</v>
      </c>
      <c r="S188" s="123">
        <f t="shared" si="52"/>
        <v>0.11</v>
      </c>
      <c r="T188" s="123">
        <f t="shared" si="53"/>
        <v>0.11</v>
      </c>
      <c r="U188" s="123">
        <f t="shared" si="53"/>
        <v>0.11</v>
      </c>
      <c r="V188" s="123">
        <f t="shared" si="53"/>
        <v>0.11</v>
      </c>
      <c r="W188" s="123">
        <f t="shared" si="53"/>
        <v>0.11</v>
      </c>
      <c r="X188" s="123">
        <f t="shared" si="53"/>
        <v>0.11</v>
      </c>
      <c r="Y188" s="123">
        <f t="shared" si="53"/>
        <v>0.11</v>
      </c>
      <c r="Z188" s="123">
        <f t="shared" si="53"/>
        <v>0.11</v>
      </c>
      <c r="AA188" s="123">
        <f t="shared" si="53"/>
        <v>0.11</v>
      </c>
      <c r="AB188" s="123">
        <f t="shared" si="53"/>
        <v>0.11</v>
      </c>
      <c r="AC188" s="123">
        <f t="shared" si="53"/>
        <v>0.11</v>
      </c>
      <c r="AD188" s="123">
        <f t="shared" si="53"/>
        <v>0.11</v>
      </c>
      <c r="AE188" s="123">
        <f t="shared" si="53"/>
        <v>0.11</v>
      </c>
      <c r="AF188" s="123">
        <f t="shared" si="53"/>
        <v>0.11</v>
      </c>
      <c r="AG188" s="126">
        <v>0.996</v>
      </c>
      <c r="AH188" s="55"/>
      <c r="AI188" s="56"/>
      <c r="AK188" s="57"/>
    </row>
    <row r="189" spans="1:37" x14ac:dyDescent="0.25">
      <c r="A189" s="111" t="s">
        <v>193</v>
      </c>
      <c r="B189" s="123">
        <f t="shared" si="51"/>
        <v>0.1</v>
      </c>
      <c r="C189" s="124">
        <v>0.1</v>
      </c>
      <c r="D189" s="123">
        <f t="shared" si="52"/>
        <v>0.1</v>
      </c>
      <c r="E189" s="123">
        <f t="shared" si="52"/>
        <v>0.1</v>
      </c>
      <c r="F189" s="123">
        <f t="shared" si="52"/>
        <v>0.1</v>
      </c>
      <c r="G189" s="123">
        <f t="shared" si="52"/>
        <v>0.1</v>
      </c>
      <c r="H189" s="123">
        <f t="shared" si="52"/>
        <v>0.1</v>
      </c>
      <c r="I189" s="123">
        <f t="shared" si="52"/>
        <v>0.1</v>
      </c>
      <c r="J189" s="123">
        <f t="shared" si="52"/>
        <v>0.1</v>
      </c>
      <c r="K189" s="123">
        <f t="shared" si="52"/>
        <v>0.1</v>
      </c>
      <c r="L189" s="123">
        <f t="shared" si="52"/>
        <v>0.1</v>
      </c>
      <c r="M189" s="123">
        <f t="shared" si="52"/>
        <v>0.1</v>
      </c>
      <c r="N189" s="123">
        <f t="shared" si="52"/>
        <v>0.1</v>
      </c>
      <c r="O189" s="123">
        <f t="shared" si="52"/>
        <v>0.1</v>
      </c>
      <c r="P189" s="123">
        <f t="shared" si="52"/>
        <v>0.1</v>
      </c>
      <c r="Q189" s="123">
        <f t="shared" si="52"/>
        <v>0.1</v>
      </c>
      <c r="R189" s="123">
        <f t="shared" si="52"/>
        <v>0.1</v>
      </c>
      <c r="S189" s="123">
        <f t="shared" si="53"/>
        <v>0.1</v>
      </c>
      <c r="T189" s="123">
        <f t="shared" si="53"/>
        <v>0.1</v>
      </c>
      <c r="U189" s="123">
        <f t="shared" si="53"/>
        <v>0.1</v>
      </c>
      <c r="V189" s="123">
        <f t="shared" si="53"/>
        <v>0.1</v>
      </c>
      <c r="W189" s="123">
        <f t="shared" si="53"/>
        <v>0.1</v>
      </c>
      <c r="X189" s="123">
        <f t="shared" si="53"/>
        <v>0.1</v>
      </c>
      <c r="Y189" s="123">
        <f t="shared" si="53"/>
        <v>0.1</v>
      </c>
      <c r="Z189" s="123">
        <f t="shared" si="53"/>
        <v>0.1</v>
      </c>
      <c r="AA189" s="123">
        <f t="shared" si="53"/>
        <v>0.1</v>
      </c>
      <c r="AB189" s="123">
        <f t="shared" si="53"/>
        <v>0.1</v>
      </c>
      <c r="AC189" s="123">
        <f t="shared" si="53"/>
        <v>0.1</v>
      </c>
      <c r="AD189" s="123">
        <f t="shared" si="53"/>
        <v>0.1</v>
      </c>
      <c r="AE189" s="123">
        <f t="shared" si="53"/>
        <v>0.1</v>
      </c>
      <c r="AF189" s="123">
        <f t="shared" si="53"/>
        <v>0.1</v>
      </c>
      <c r="AG189" s="126">
        <v>0.995</v>
      </c>
      <c r="AH189" s="55"/>
      <c r="AI189" s="56"/>
      <c r="AK189" s="57"/>
    </row>
    <row r="190" spans="1:37" x14ac:dyDescent="0.25">
      <c r="A190" s="111" t="s">
        <v>194</v>
      </c>
      <c r="B190" s="123">
        <f t="shared" si="51"/>
        <v>0.09</v>
      </c>
      <c r="C190" s="124">
        <v>0.09</v>
      </c>
      <c r="D190" s="123">
        <f t="shared" si="52"/>
        <v>0.09</v>
      </c>
      <c r="E190" s="123">
        <f t="shared" si="52"/>
        <v>0.09</v>
      </c>
      <c r="F190" s="123">
        <f t="shared" si="52"/>
        <v>0.09</v>
      </c>
      <c r="G190" s="123">
        <f t="shared" si="52"/>
        <v>0.09</v>
      </c>
      <c r="H190" s="123">
        <f t="shared" si="52"/>
        <v>0.09</v>
      </c>
      <c r="I190" s="123">
        <f t="shared" si="52"/>
        <v>0.09</v>
      </c>
      <c r="J190" s="123">
        <f t="shared" si="52"/>
        <v>0.09</v>
      </c>
      <c r="K190" s="123">
        <f t="shared" si="52"/>
        <v>0.09</v>
      </c>
      <c r="L190" s="123">
        <f t="shared" si="52"/>
        <v>0.09</v>
      </c>
      <c r="M190" s="123">
        <f t="shared" si="52"/>
        <v>0.09</v>
      </c>
      <c r="N190" s="123">
        <f t="shared" si="52"/>
        <v>0.09</v>
      </c>
      <c r="O190" s="123">
        <f t="shared" si="52"/>
        <v>0.09</v>
      </c>
      <c r="P190" s="123">
        <f t="shared" si="52"/>
        <v>0.09</v>
      </c>
      <c r="Q190" s="123">
        <f t="shared" si="52"/>
        <v>0.09</v>
      </c>
      <c r="R190" s="123">
        <f t="shared" si="52"/>
        <v>0.09</v>
      </c>
      <c r="S190" s="123">
        <f t="shared" si="53"/>
        <v>0.09</v>
      </c>
      <c r="T190" s="123">
        <f t="shared" si="53"/>
        <v>0.09</v>
      </c>
      <c r="U190" s="123">
        <f t="shared" si="53"/>
        <v>0.09</v>
      </c>
      <c r="V190" s="123">
        <f t="shared" si="53"/>
        <v>0.09</v>
      </c>
      <c r="W190" s="123">
        <f t="shared" si="53"/>
        <v>0.09</v>
      </c>
      <c r="X190" s="123">
        <f t="shared" si="53"/>
        <v>0.09</v>
      </c>
      <c r="Y190" s="123">
        <f t="shared" si="53"/>
        <v>0.09</v>
      </c>
      <c r="Z190" s="123">
        <f t="shared" si="53"/>
        <v>0.09</v>
      </c>
      <c r="AA190" s="123">
        <f t="shared" si="53"/>
        <v>0.09</v>
      </c>
      <c r="AB190" s="123">
        <f t="shared" si="53"/>
        <v>0.09</v>
      </c>
      <c r="AC190" s="123">
        <f t="shared" si="53"/>
        <v>0.09</v>
      </c>
      <c r="AD190" s="123">
        <f t="shared" si="53"/>
        <v>0.09</v>
      </c>
      <c r="AE190" s="123">
        <f t="shared" si="53"/>
        <v>0.09</v>
      </c>
      <c r="AF190" s="123">
        <f t="shared" si="53"/>
        <v>0.09</v>
      </c>
      <c r="AG190" s="126">
        <v>0.99299999999999999</v>
      </c>
      <c r="AH190" s="55"/>
      <c r="AI190" s="56"/>
      <c r="AK190" s="57"/>
    </row>
    <row r="191" spans="1:37" x14ac:dyDescent="0.25">
      <c r="A191" s="111" t="s">
        <v>195</v>
      </c>
      <c r="B191" s="123">
        <f t="shared" si="51"/>
        <v>0.04</v>
      </c>
      <c r="C191" s="54">
        <v>0.04</v>
      </c>
      <c r="D191" s="123">
        <f t="shared" si="52"/>
        <v>0.04</v>
      </c>
      <c r="E191" s="123">
        <f t="shared" si="52"/>
        <v>0.04</v>
      </c>
      <c r="F191" s="123">
        <f t="shared" si="52"/>
        <v>0.04</v>
      </c>
      <c r="G191" s="123">
        <f t="shared" si="52"/>
        <v>0.04</v>
      </c>
      <c r="H191" s="123">
        <f t="shared" si="52"/>
        <v>0.04</v>
      </c>
      <c r="I191" s="123">
        <f t="shared" si="52"/>
        <v>0.04</v>
      </c>
      <c r="J191" s="123">
        <f t="shared" si="52"/>
        <v>0.04</v>
      </c>
      <c r="K191" s="123">
        <f t="shared" si="52"/>
        <v>0.04</v>
      </c>
      <c r="L191" s="123">
        <f t="shared" si="52"/>
        <v>0.04</v>
      </c>
      <c r="M191" s="123">
        <f t="shared" si="52"/>
        <v>0.04</v>
      </c>
      <c r="N191" s="123">
        <f t="shared" si="52"/>
        <v>0.04</v>
      </c>
      <c r="O191" s="123">
        <f t="shared" si="52"/>
        <v>0.04</v>
      </c>
      <c r="P191" s="123">
        <f t="shared" si="52"/>
        <v>0.04</v>
      </c>
      <c r="Q191" s="123">
        <f t="shared" si="52"/>
        <v>0.04</v>
      </c>
      <c r="R191" s="123">
        <f t="shared" si="52"/>
        <v>0.04</v>
      </c>
      <c r="S191" s="123">
        <f t="shared" si="53"/>
        <v>0.04</v>
      </c>
      <c r="T191" s="123">
        <f t="shared" si="53"/>
        <v>0.04</v>
      </c>
      <c r="U191" s="123">
        <f t="shared" si="53"/>
        <v>0.04</v>
      </c>
      <c r="V191" s="123">
        <f t="shared" si="53"/>
        <v>0.04</v>
      </c>
      <c r="W191" s="123">
        <f t="shared" si="53"/>
        <v>0.04</v>
      </c>
      <c r="X191" s="123">
        <f t="shared" si="53"/>
        <v>0.04</v>
      </c>
      <c r="Y191" s="123">
        <f t="shared" si="53"/>
        <v>0.04</v>
      </c>
      <c r="Z191" s="123">
        <f t="shared" si="53"/>
        <v>0.04</v>
      </c>
      <c r="AA191" s="123">
        <f t="shared" si="53"/>
        <v>0.04</v>
      </c>
      <c r="AB191" s="123">
        <f t="shared" si="53"/>
        <v>0.04</v>
      </c>
      <c r="AC191" s="123">
        <f t="shared" si="53"/>
        <v>0.04</v>
      </c>
      <c r="AD191" s="123">
        <f t="shared" si="53"/>
        <v>0.04</v>
      </c>
      <c r="AE191" s="123">
        <f t="shared" si="53"/>
        <v>0.04</v>
      </c>
      <c r="AF191" s="123">
        <f t="shared" si="53"/>
        <v>0.04</v>
      </c>
      <c r="AG191" s="126">
        <v>0.99</v>
      </c>
      <c r="AH191" s="55"/>
      <c r="AI191" s="56"/>
      <c r="AK191" s="57"/>
    </row>
    <row r="192" spans="1:37" x14ac:dyDescent="0.25">
      <c r="A192" s="111" t="s">
        <v>196</v>
      </c>
      <c r="B192" s="123">
        <f t="shared" si="51"/>
        <v>2.3E-2</v>
      </c>
      <c r="C192" s="54">
        <v>2.3E-2</v>
      </c>
      <c r="D192" s="123">
        <f>C192</f>
        <v>2.3E-2</v>
      </c>
      <c r="E192" s="123">
        <f t="shared" si="52"/>
        <v>2.3E-2</v>
      </c>
      <c r="F192" s="123">
        <f t="shared" si="52"/>
        <v>2.3E-2</v>
      </c>
      <c r="G192" s="123">
        <f t="shared" si="52"/>
        <v>2.3E-2</v>
      </c>
      <c r="H192" s="123">
        <f t="shared" si="52"/>
        <v>2.3E-2</v>
      </c>
      <c r="I192" s="123">
        <f t="shared" si="52"/>
        <v>2.3E-2</v>
      </c>
      <c r="J192" s="123">
        <f t="shared" si="52"/>
        <v>2.3E-2</v>
      </c>
      <c r="K192" s="123">
        <f t="shared" si="52"/>
        <v>2.3E-2</v>
      </c>
      <c r="L192" s="123">
        <f t="shared" si="52"/>
        <v>2.3E-2</v>
      </c>
      <c r="M192" s="123">
        <f t="shared" si="52"/>
        <v>2.3E-2</v>
      </c>
      <c r="N192" s="123">
        <f t="shared" si="52"/>
        <v>2.3E-2</v>
      </c>
      <c r="O192" s="123">
        <f t="shared" si="52"/>
        <v>2.3E-2</v>
      </c>
      <c r="P192" s="123">
        <f t="shared" si="52"/>
        <v>2.3E-2</v>
      </c>
      <c r="Q192" s="123">
        <f t="shared" si="52"/>
        <v>2.3E-2</v>
      </c>
      <c r="R192" s="123">
        <f t="shared" si="52"/>
        <v>2.3E-2</v>
      </c>
      <c r="S192" s="123">
        <f t="shared" si="53"/>
        <v>2.3E-2</v>
      </c>
      <c r="T192" s="123">
        <f t="shared" si="53"/>
        <v>2.3E-2</v>
      </c>
      <c r="U192" s="123">
        <f t="shared" si="53"/>
        <v>2.3E-2</v>
      </c>
      <c r="V192" s="123">
        <f t="shared" si="53"/>
        <v>2.3E-2</v>
      </c>
      <c r="W192" s="123">
        <f t="shared" si="53"/>
        <v>2.3E-2</v>
      </c>
      <c r="X192" s="123">
        <f t="shared" si="53"/>
        <v>2.3E-2</v>
      </c>
      <c r="Y192" s="123">
        <f t="shared" si="53"/>
        <v>2.3E-2</v>
      </c>
      <c r="Z192" s="123">
        <f t="shared" si="53"/>
        <v>2.3E-2</v>
      </c>
      <c r="AA192" s="123">
        <f t="shared" si="53"/>
        <v>2.3E-2</v>
      </c>
      <c r="AB192" s="123">
        <f t="shared" si="53"/>
        <v>2.3E-2</v>
      </c>
      <c r="AC192" s="123">
        <f t="shared" si="53"/>
        <v>2.3E-2</v>
      </c>
      <c r="AD192" s="123">
        <f t="shared" si="53"/>
        <v>2.3E-2</v>
      </c>
      <c r="AE192" s="123">
        <f t="shared" si="53"/>
        <v>2.3E-2</v>
      </c>
      <c r="AF192" s="123">
        <f t="shared" si="53"/>
        <v>2.3E-2</v>
      </c>
      <c r="AG192" s="126">
        <v>0.97899999999999998</v>
      </c>
      <c r="AH192" s="55"/>
      <c r="AI192" s="56"/>
      <c r="AK192" s="57"/>
    </row>
    <row r="193" spans="1:37" ht="15.75" thickBot="1" x14ac:dyDescent="0.3">
      <c r="A193" s="127" t="s">
        <v>197</v>
      </c>
      <c r="B193" s="128">
        <f>SUM(B103:B192)</f>
        <v>187.10600000000005</v>
      </c>
      <c r="C193" s="128">
        <f t="shared" ref="C193:AG193" si="54">SUM(C103:C192)</f>
        <v>194.70600000000002</v>
      </c>
      <c r="D193" s="128">
        <f t="shared" si="54"/>
        <v>194.70600000000002</v>
      </c>
      <c r="E193" s="128">
        <f t="shared" si="54"/>
        <v>194.70600000000002</v>
      </c>
      <c r="F193" s="128">
        <f t="shared" si="54"/>
        <v>194.70600000000002</v>
      </c>
      <c r="G193" s="128">
        <f t="shared" si="54"/>
        <v>194.70600000000002</v>
      </c>
      <c r="H193" s="128">
        <f t="shared" si="54"/>
        <v>194.70600000000002</v>
      </c>
      <c r="I193" s="128">
        <f t="shared" si="54"/>
        <v>189.70600000000005</v>
      </c>
      <c r="J193" s="128">
        <f t="shared" si="54"/>
        <v>187.10600000000005</v>
      </c>
      <c r="K193" s="128">
        <f t="shared" si="54"/>
        <v>187.10600000000005</v>
      </c>
      <c r="L193" s="128">
        <f t="shared" si="54"/>
        <v>187.10600000000005</v>
      </c>
      <c r="M193" s="128">
        <f t="shared" si="54"/>
        <v>187.10600000000005</v>
      </c>
      <c r="N193" s="128">
        <f t="shared" si="54"/>
        <v>187.10600000000005</v>
      </c>
      <c r="O193" s="128">
        <f t="shared" si="54"/>
        <v>187.10600000000005</v>
      </c>
      <c r="P193" s="128">
        <f t="shared" si="54"/>
        <v>187.10600000000005</v>
      </c>
      <c r="Q193" s="128">
        <f t="shared" si="54"/>
        <v>187.10600000000005</v>
      </c>
      <c r="R193" s="128">
        <f t="shared" si="54"/>
        <v>187.10600000000005</v>
      </c>
      <c r="S193" s="128">
        <f t="shared" si="54"/>
        <v>187.10600000000005</v>
      </c>
      <c r="T193" s="128">
        <f t="shared" si="54"/>
        <v>187.10600000000005</v>
      </c>
      <c r="U193" s="128">
        <f t="shared" si="54"/>
        <v>187.10600000000005</v>
      </c>
      <c r="V193" s="128">
        <f t="shared" si="54"/>
        <v>187.10600000000005</v>
      </c>
      <c r="W193" s="128">
        <f t="shared" si="54"/>
        <v>187.10600000000005</v>
      </c>
      <c r="X193" s="128">
        <f t="shared" si="54"/>
        <v>187.10600000000005</v>
      </c>
      <c r="Y193" s="128">
        <f t="shared" si="54"/>
        <v>187.10600000000005</v>
      </c>
      <c r="Z193" s="128">
        <f t="shared" si="54"/>
        <v>187.10600000000005</v>
      </c>
      <c r="AA193" s="128">
        <f t="shared" si="54"/>
        <v>187.10600000000005</v>
      </c>
      <c r="AB193" s="128">
        <f t="shared" si="54"/>
        <v>187.10600000000005</v>
      </c>
      <c r="AC193" s="128">
        <f t="shared" si="54"/>
        <v>187.10600000000005</v>
      </c>
      <c r="AD193" s="128">
        <f t="shared" si="54"/>
        <v>187.10600000000005</v>
      </c>
      <c r="AE193" s="128">
        <f t="shared" si="54"/>
        <v>187.10600000000005</v>
      </c>
      <c r="AF193" s="128">
        <f t="shared" si="54"/>
        <v>187.10600000000005</v>
      </c>
      <c r="AG193" s="129">
        <f t="shared" si="54"/>
        <v>412.72299999999984</v>
      </c>
      <c r="AH193" s="55"/>
      <c r="AI193" s="56"/>
      <c r="AK193" s="57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5"/>
      <c r="AI194" s="56"/>
      <c r="AK194" s="57"/>
    </row>
    <row r="195" spans="1:37" x14ac:dyDescent="0.25">
      <c r="A195" s="105" t="s">
        <v>198</v>
      </c>
      <c r="B195" s="130">
        <f t="shared" ref="B195:B200" si="55">AF195</f>
        <v>0.3</v>
      </c>
      <c r="C195" s="130">
        <v>0.3</v>
      </c>
      <c r="D195" s="130">
        <f t="shared" ref="D195:S200" si="56">C195</f>
        <v>0.3</v>
      </c>
      <c r="E195" s="130">
        <f t="shared" si="56"/>
        <v>0.3</v>
      </c>
      <c r="F195" s="130">
        <f t="shared" si="56"/>
        <v>0.3</v>
      </c>
      <c r="G195" s="130">
        <f t="shared" si="56"/>
        <v>0.3</v>
      </c>
      <c r="H195" s="130">
        <f t="shared" si="56"/>
        <v>0.3</v>
      </c>
      <c r="I195" s="130">
        <f t="shared" si="56"/>
        <v>0.3</v>
      </c>
      <c r="J195" s="130">
        <f t="shared" si="56"/>
        <v>0.3</v>
      </c>
      <c r="K195" s="130">
        <f t="shared" si="56"/>
        <v>0.3</v>
      </c>
      <c r="L195" s="130">
        <f t="shared" si="56"/>
        <v>0.3</v>
      </c>
      <c r="M195" s="130">
        <f t="shared" si="56"/>
        <v>0.3</v>
      </c>
      <c r="N195" s="130">
        <f t="shared" si="56"/>
        <v>0.3</v>
      </c>
      <c r="O195" s="130">
        <f t="shared" si="56"/>
        <v>0.3</v>
      </c>
      <c r="P195" s="130">
        <f t="shared" si="56"/>
        <v>0.3</v>
      </c>
      <c r="Q195" s="130">
        <f t="shared" si="56"/>
        <v>0.3</v>
      </c>
      <c r="R195" s="130">
        <f t="shared" si="56"/>
        <v>0.3</v>
      </c>
      <c r="S195" s="130">
        <f t="shared" si="56"/>
        <v>0.3</v>
      </c>
      <c r="T195" s="130">
        <f t="shared" ref="T195:AF200" si="57">S195</f>
        <v>0.3</v>
      </c>
      <c r="U195" s="130">
        <f t="shared" si="57"/>
        <v>0.3</v>
      </c>
      <c r="V195" s="130">
        <f t="shared" si="57"/>
        <v>0.3</v>
      </c>
      <c r="W195" s="130">
        <f t="shared" si="57"/>
        <v>0.3</v>
      </c>
      <c r="X195" s="130">
        <f t="shared" si="57"/>
        <v>0.3</v>
      </c>
      <c r="Y195" s="130">
        <f t="shared" si="57"/>
        <v>0.3</v>
      </c>
      <c r="Z195" s="130">
        <f t="shared" si="57"/>
        <v>0.3</v>
      </c>
      <c r="AA195" s="130">
        <f t="shared" si="57"/>
        <v>0.3</v>
      </c>
      <c r="AB195" s="130">
        <f t="shared" si="57"/>
        <v>0.3</v>
      </c>
      <c r="AC195" s="130">
        <f t="shared" si="57"/>
        <v>0.3</v>
      </c>
      <c r="AD195" s="130">
        <f t="shared" si="57"/>
        <v>0.3</v>
      </c>
      <c r="AE195" s="130">
        <f t="shared" si="57"/>
        <v>0.3</v>
      </c>
      <c r="AF195" s="130">
        <f t="shared" si="57"/>
        <v>0.3</v>
      </c>
      <c r="AG195" s="131">
        <v>2.4</v>
      </c>
      <c r="AH195" s="55"/>
      <c r="AI195" s="56"/>
      <c r="AK195" s="57"/>
    </row>
    <row r="196" spans="1:37" x14ac:dyDescent="0.25">
      <c r="A196" s="109" t="s">
        <v>199</v>
      </c>
      <c r="B196" s="123">
        <f t="shared" si="55"/>
        <v>0.4</v>
      </c>
      <c r="C196" s="123">
        <v>0.4</v>
      </c>
      <c r="D196" s="123">
        <f t="shared" si="56"/>
        <v>0.4</v>
      </c>
      <c r="E196" s="123">
        <f t="shared" si="56"/>
        <v>0.4</v>
      </c>
      <c r="F196" s="123">
        <f t="shared" si="56"/>
        <v>0.4</v>
      </c>
      <c r="G196" s="123">
        <f t="shared" si="56"/>
        <v>0.4</v>
      </c>
      <c r="H196" s="123">
        <f t="shared" si="56"/>
        <v>0.4</v>
      </c>
      <c r="I196" s="123">
        <f t="shared" si="56"/>
        <v>0.4</v>
      </c>
      <c r="J196" s="123">
        <f t="shared" si="56"/>
        <v>0.4</v>
      </c>
      <c r="K196" s="123">
        <f t="shared" si="56"/>
        <v>0.4</v>
      </c>
      <c r="L196" s="123">
        <f t="shared" si="56"/>
        <v>0.4</v>
      </c>
      <c r="M196" s="123">
        <f t="shared" si="56"/>
        <v>0.4</v>
      </c>
      <c r="N196" s="123">
        <f t="shared" si="56"/>
        <v>0.4</v>
      </c>
      <c r="O196" s="123">
        <f t="shared" si="56"/>
        <v>0.4</v>
      </c>
      <c r="P196" s="123">
        <f t="shared" si="56"/>
        <v>0.4</v>
      </c>
      <c r="Q196" s="123">
        <f t="shared" si="56"/>
        <v>0.4</v>
      </c>
      <c r="R196" s="123">
        <f t="shared" si="56"/>
        <v>0.4</v>
      </c>
      <c r="S196" s="123">
        <f t="shared" si="56"/>
        <v>0.4</v>
      </c>
      <c r="T196" s="123">
        <f t="shared" si="57"/>
        <v>0.4</v>
      </c>
      <c r="U196" s="123">
        <f t="shared" si="57"/>
        <v>0.4</v>
      </c>
      <c r="V196" s="123">
        <f t="shared" si="57"/>
        <v>0.4</v>
      </c>
      <c r="W196" s="123">
        <f>V196</f>
        <v>0.4</v>
      </c>
      <c r="X196" s="123">
        <f>W196</f>
        <v>0.4</v>
      </c>
      <c r="Y196" s="123">
        <f t="shared" si="57"/>
        <v>0.4</v>
      </c>
      <c r="Z196" s="123">
        <f t="shared" si="57"/>
        <v>0.4</v>
      </c>
      <c r="AA196" s="123">
        <f t="shared" si="57"/>
        <v>0.4</v>
      </c>
      <c r="AB196" s="123">
        <f t="shared" si="57"/>
        <v>0.4</v>
      </c>
      <c r="AC196" s="123">
        <f t="shared" si="57"/>
        <v>0.4</v>
      </c>
      <c r="AD196" s="123">
        <f t="shared" si="57"/>
        <v>0.4</v>
      </c>
      <c r="AE196" s="123">
        <f t="shared" si="57"/>
        <v>0.4</v>
      </c>
      <c r="AF196" s="123">
        <f t="shared" si="57"/>
        <v>0.4</v>
      </c>
      <c r="AG196" s="132">
        <v>2</v>
      </c>
      <c r="AH196" s="55"/>
      <c r="AI196" s="56"/>
      <c r="AK196" s="57"/>
    </row>
    <row r="197" spans="1:37" x14ac:dyDescent="0.25">
      <c r="A197" s="109" t="s">
        <v>200</v>
      </c>
      <c r="B197" s="123">
        <f t="shared" si="55"/>
        <v>1.5</v>
      </c>
      <c r="C197" s="123">
        <v>1.5</v>
      </c>
      <c r="D197" s="123">
        <f t="shared" si="56"/>
        <v>1.5</v>
      </c>
      <c r="E197" s="123">
        <f t="shared" si="56"/>
        <v>1.5</v>
      </c>
      <c r="F197" s="123">
        <f t="shared" si="56"/>
        <v>1.5</v>
      </c>
      <c r="G197" s="123">
        <f t="shared" si="56"/>
        <v>1.5</v>
      </c>
      <c r="H197" s="123">
        <f t="shared" si="56"/>
        <v>1.5</v>
      </c>
      <c r="I197" s="123">
        <f t="shared" si="56"/>
        <v>1.5</v>
      </c>
      <c r="J197" s="123">
        <f t="shared" si="56"/>
        <v>1.5</v>
      </c>
      <c r="K197" s="123">
        <f t="shared" si="56"/>
        <v>1.5</v>
      </c>
      <c r="L197" s="123">
        <f t="shared" si="56"/>
        <v>1.5</v>
      </c>
      <c r="M197" s="123">
        <f t="shared" si="56"/>
        <v>1.5</v>
      </c>
      <c r="N197" s="123">
        <f t="shared" si="56"/>
        <v>1.5</v>
      </c>
      <c r="O197" s="123">
        <f t="shared" si="56"/>
        <v>1.5</v>
      </c>
      <c r="P197" s="123">
        <f t="shared" si="56"/>
        <v>1.5</v>
      </c>
      <c r="Q197" s="123">
        <f t="shared" si="56"/>
        <v>1.5</v>
      </c>
      <c r="R197" s="123">
        <f t="shared" si="56"/>
        <v>1.5</v>
      </c>
      <c r="S197" s="123">
        <f t="shared" si="56"/>
        <v>1.5</v>
      </c>
      <c r="T197" s="123">
        <f t="shared" si="57"/>
        <v>1.5</v>
      </c>
      <c r="U197" s="123">
        <f t="shared" si="57"/>
        <v>1.5</v>
      </c>
      <c r="V197" s="123">
        <f t="shared" si="57"/>
        <v>1.5</v>
      </c>
      <c r="W197" s="123">
        <f t="shared" si="57"/>
        <v>1.5</v>
      </c>
      <c r="X197" s="123">
        <f t="shared" si="57"/>
        <v>1.5</v>
      </c>
      <c r="Y197" s="123">
        <f t="shared" si="57"/>
        <v>1.5</v>
      </c>
      <c r="Z197" s="123">
        <f t="shared" si="57"/>
        <v>1.5</v>
      </c>
      <c r="AA197" s="123">
        <f t="shared" si="57"/>
        <v>1.5</v>
      </c>
      <c r="AB197" s="123">
        <f t="shared" si="57"/>
        <v>1.5</v>
      </c>
      <c r="AC197" s="123">
        <f t="shared" si="57"/>
        <v>1.5</v>
      </c>
      <c r="AD197" s="123">
        <f t="shared" si="57"/>
        <v>1.5</v>
      </c>
      <c r="AE197" s="123">
        <f t="shared" si="57"/>
        <v>1.5</v>
      </c>
      <c r="AF197" s="123">
        <f t="shared" si="57"/>
        <v>1.5</v>
      </c>
      <c r="AG197" s="132">
        <v>1.5</v>
      </c>
      <c r="AH197" s="55"/>
      <c r="AI197" s="56"/>
      <c r="AK197" s="57"/>
    </row>
    <row r="198" spans="1:37" x14ac:dyDescent="0.25">
      <c r="A198" s="109" t="s">
        <v>201</v>
      </c>
      <c r="B198" s="123">
        <f t="shared" si="55"/>
        <v>0.3</v>
      </c>
      <c r="C198" s="123">
        <v>0.3</v>
      </c>
      <c r="D198" s="123">
        <f t="shared" si="56"/>
        <v>0.3</v>
      </c>
      <c r="E198" s="123">
        <f t="shared" si="56"/>
        <v>0.3</v>
      </c>
      <c r="F198" s="123">
        <f t="shared" si="56"/>
        <v>0.3</v>
      </c>
      <c r="G198" s="123">
        <f t="shared" si="56"/>
        <v>0.3</v>
      </c>
      <c r="H198" s="123">
        <f t="shared" si="56"/>
        <v>0.3</v>
      </c>
      <c r="I198" s="123">
        <f t="shared" si="56"/>
        <v>0.3</v>
      </c>
      <c r="J198" s="123">
        <f t="shared" si="56"/>
        <v>0.3</v>
      </c>
      <c r="K198" s="123">
        <f t="shared" si="56"/>
        <v>0.3</v>
      </c>
      <c r="L198" s="123">
        <f t="shared" si="56"/>
        <v>0.3</v>
      </c>
      <c r="M198" s="123">
        <f t="shared" si="56"/>
        <v>0.3</v>
      </c>
      <c r="N198" s="123">
        <f t="shared" si="56"/>
        <v>0.3</v>
      </c>
      <c r="O198" s="123">
        <f t="shared" si="56"/>
        <v>0.3</v>
      </c>
      <c r="P198" s="123">
        <f t="shared" si="56"/>
        <v>0.3</v>
      </c>
      <c r="Q198" s="123">
        <f t="shared" si="56"/>
        <v>0.3</v>
      </c>
      <c r="R198" s="123">
        <f t="shared" si="56"/>
        <v>0.3</v>
      </c>
      <c r="S198" s="123">
        <f t="shared" si="56"/>
        <v>0.3</v>
      </c>
      <c r="T198" s="123">
        <f t="shared" si="57"/>
        <v>0.3</v>
      </c>
      <c r="U198" s="123">
        <f t="shared" si="57"/>
        <v>0.3</v>
      </c>
      <c r="V198" s="123">
        <f t="shared" si="57"/>
        <v>0.3</v>
      </c>
      <c r="W198" s="123">
        <f t="shared" si="57"/>
        <v>0.3</v>
      </c>
      <c r="X198" s="123">
        <f t="shared" si="57"/>
        <v>0.3</v>
      </c>
      <c r="Y198" s="123">
        <f t="shared" si="57"/>
        <v>0.3</v>
      </c>
      <c r="Z198" s="123">
        <f t="shared" si="57"/>
        <v>0.3</v>
      </c>
      <c r="AA198" s="123">
        <f t="shared" si="57"/>
        <v>0.3</v>
      </c>
      <c r="AB198" s="123">
        <f t="shared" si="57"/>
        <v>0.3</v>
      </c>
      <c r="AC198" s="123">
        <f t="shared" si="57"/>
        <v>0.3</v>
      </c>
      <c r="AD198" s="123">
        <f t="shared" si="57"/>
        <v>0.3</v>
      </c>
      <c r="AE198" s="123">
        <f t="shared" si="57"/>
        <v>0.3</v>
      </c>
      <c r="AF198" s="123">
        <f t="shared" si="57"/>
        <v>0.3</v>
      </c>
      <c r="AG198" s="132">
        <v>1</v>
      </c>
      <c r="AH198" s="55"/>
      <c r="AI198" s="56"/>
      <c r="AK198" s="57"/>
    </row>
    <row r="199" spans="1:37" x14ac:dyDescent="0.25">
      <c r="A199" s="109" t="s">
        <v>202</v>
      </c>
      <c r="B199" s="123">
        <f t="shared" si="55"/>
        <v>0.4</v>
      </c>
      <c r="C199" s="123">
        <v>0.4</v>
      </c>
      <c r="D199" s="123">
        <f t="shared" si="56"/>
        <v>0.4</v>
      </c>
      <c r="E199" s="123">
        <f t="shared" si="56"/>
        <v>0.4</v>
      </c>
      <c r="F199" s="123">
        <f t="shared" si="56"/>
        <v>0.4</v>
      </c>
      <c r="G199" s="123">
        <f t="shared" si="56"/>
        <v>0.4</v>
      </c>
      <c r="H199" s="123">
        <f t="shared" si="56"/>
        <v>0.4</v>
      </c>
      <c r="I199" s="123">
        <f t="shared" si="56"/>
        <v>0.4</v>
      </c>
      <c r="J199" s="123">
        <f t="shared" si="56"/>
        <v>0.4</v>
      </c>
      <c r="K199" s="123">
        <f t="shared" si="56"/>
        <v>0.4</v>
      </c>
      <c r="L199" s="123">
        <f t="shared" si="56"/>
        <v>0.4</v>
      </c>
      <c r="M199" s="123">
        <f t="shared" si="56"/>
        <v>0.4</v>
      </c>
      <c r="N199" s="123">
        <f t="shared" si="56"/>
        <v>0.4</v>
      </c>
      <c r="O199" s="123">
        <f t="shared" si="56"/>
        <v>0.4</v>
      </c>
      <c r="P199" s="123">
        <f t="shared" si="56"/>
        <v>0.4</v>
      </c>
      <c r="Q199" s="123">
        <f t="shared" si="56"/>
        <v>0.4</v>
      </c>
      <c r="R199" s="123">
        <f t="shared" si="56"/>
        <v>0.4</v>
      </c>
      <c r="S199" s="123">
        <f t="shared" si="56"/>
        <v>0.4</v>
      </c>
      <c r="T199" s="123">
        <f t="shared" si="57"/>
        <v>0.4</v>
      </c>
      <c r="U199" s="123">
        <f t="shared" si="57"/>
        <v>0.4</v>
      </c>
      <c r="V199" s="123">
        <f t="shared" si="57"/>
        <v>0.4</v>
      </c>
      <c r="W199" s="123">
        <f t="shared" si="57"/>
        <v>0.4</v>
      </c>
      <c r="X199" s="123">
        <f t="shared" si="57"/>
        <v>0.4</v>
      </c>
      <c r="Y199" s="123">
        <f t="shared" si="57"/>
        <v>0.4</v>
      </c>
      <c r="Z199" s="123">
        <f t="shared" si="57"/>
        <v>0.4</v>
      </c>
      <c r="AA199" s="123">
        <f t="shared" si="57"/>
        <v>0.4</v>
      </c>
      <c r="AB199" s="123">
        <f t="shared" si="57"/>
        <v>0.4</v>
      </c>
      <c r="AC199" s="123">
        <f t="shared" si="57"/>
        <v>0.4</v>
      </c>
      <c r="AD199" s="123">
        <f t="shared" si="57"/>
        <v>0.4</v>
      </c>
      <c r="AE199" s="123">
        <f t="shared" si="57"/>
        <v>0.4</v>
      </c>
      <c r="AF199" s="123">
        <f t="shared" si="57"/>
        <v>0.4</v>
      </c>
      <c r="AG199" s="132">
        <v>1</v>
      </c>
      <c r="AH199" s="55"/>
      <c r="AI199" s="56"/>
      <c r="AK199" s="57"/>
    </row>
    <row r="200" spans="1:37" ht="15.75" thickBot="1" x14ac:dyDescent="0.3">
      <c r="A200" s="111" t="s">
        <v>203</v>
      </c>
      <c r="B200" s="133">
        <f t="shared" si="55"/>
        <v>0.64</v>
      </c>
      <c r="C200" s="133">
        <v>0.64</v>
      </c>
      <c r="D200" s="133">
        <f t="shared" si="56"/>
        <v>0.64</v>
      </c>
      <c r="E200" s="133">
        <f t="shared" si="56"/>
        <v>0.64</v>
      </c>
      <c r="F200" s="133">
        <f t="shared" si="56"/>
        <v>0.64</v>
      </c>
      <c r="G200" s="133">
        <f t="shared" si="56"/>
        <v>0.64</v>
      </c>
      <c r="H200" s="133">
        <f t="shared" si="56"/>
        <v>0.64</v>
      </c>
      <c r="I200" s="133">
        <f t="shared" si="56"/>
        <v>0.64</v>
      </c>
      <c r="J200" s="133">
        <f t="shared" si="56"/>
        <v>0.64</v>
      </c>
      <c r="K200" s="133">
        <f t="shared" si="56"/>
        <v>0.64</v>
      </c>
      <c r="L200" s="133">
        <f t="shared" si="56"/>
        <v>0.64</v>
      </c>
      <c r="M200" s="133">
        <f t="shared" si="56"/>
        <v>0.64</v>
      </c>
      <c r="N200" s="133">
        <f t="shared" si="56"/>
        <v>0.64</v>
      </c>
      <c r="O200" s="133">
        <f t="shared" si="56"/>
        <v>0.64</v>
      </c>
      <c r="P200" s="133">
        <f t="shared" si="56"/>
        <v>0.64</v>
      </c>
      <c r="Q200" s="133">
        <f t="shared" si="56"/>
        <v>0.64</v>
      </c>
      <c r="R200" s="133">
        <f t="shared" si="56"/>
        <v>0.64</v>
      </c>
      <c r="S200" s="133">
        <f t="shared" si="56"/>
        <v>0.64</v>
      </c>
      <c r="T200" s="133">
        <f t="shared" si="57"/>
        <v>0.64</v>
      </c>
      <c r="U200" s="133">
        <f t="shared" si="57"/>
        <v>0.64</v>
      </c>
      <c r="V200" s="133">
        <f t="shared" si="57"/>
        <v>0.64</v>
      </c>
      <c r="W200" s="133">
        <f t="shared" si="57"/>
        <v>0.64</v>
      </c>
      <c r="X200" s="133">
        <f t="shared" si="57"/>
        <v>0.64</v>
      </c>
      <c r="Y200" s="133">
        <f t="shared" si="57"/>
        <v>0.64</v>
      </c>
      <c r="Z200" s="133">
        <f t="shared" si="57"/>
        <v>0.64</v>
      </c>
      <c r="AA200" s="133">
        <f t="shared" si="57"/>
        <v>0.64</v>
      </c>
      <c r="AB200" s="133">
        <f t="shared" si="57"/>
        <v>0.64</v>
      </c>
      <c r="AC200" s="133">
        <f t="shared" si="57"/>
        <v>0.64</v>
      </c>
      <c r="AD200" s="133">
        <f t="shared" si="57"/>
        <v>0.64</v>
      </c>
      <c r="AE200" s="133">
        <f t="shared" si="57"/>
        <v>0.64</v>
      </c>
      <c r="AF200" s="133">
        <f t="shared" si="57"/>
        <v>0.64</v>
      </c>
      <c r="AG200" s="134">
        <v>0.66</v>
      </c>
      <c r="AH200" s="55"/>
      <c r="AI200" s="56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58">SUM(D195:D200)</f>
        <v>3.54</v>
      </c>
      <c r="E201" s="136">
        <f t="shared" si="58"/>
        <v>3.54</v>
      </c>
      <c r="F201" s="136">
        <f t="shared" si="58"/>
        <v>3.54</v>
      </c>
      <c r="G201" s="136">
        <f t="shared" si="58"/>
        <v>3.54</v>
      </c>
      <c r="H201" s="136">
        <f t="shared" si="58"/>
        <v>3.54</v>
      </c>
      <c r="I201" s="136">
        <f t="shared" si="58"/>
        <v>3.54</v>
      </c>
      <c r="J201" s="136">
        <f t="shared" si="58"/>
        <v>3.54</v>
      </c>
      <c r="K201" s="136">
        <f t="shared" si="58"/>
        <v>3.54</v>
      </c>
      <c r="L201" s="136">
        <f t="shared" si="58"/>
        <v>3.54</v>
      </c>
      <c r="M201" s="136">
        <f>SUM(M195:M200)</f>
        <v>3.54</v>
      </c>
      <c r="N201" s="136">
        <f t="shared" ref="N201:S201" si="59">SUM(N195:N200)</f>
        <v>3.54</v>
      </c>
      <c r="O201" s="136">
        <f t="shared" si="59"/>
        <v>3.54</v>
      </c>
      <c r="P201" s="136">
        <f t="shared" si="59"/>
        <v>3.54</v>
      </c>
      <c r="Q201" s="136">
        <f t="shared" si="59"/>
        <v>3.54</v>
      </c>
      <c r="R201" s="136">
        <f t="shared" si="59"/>
        <v>3.54</v>
      </c>
      <c r="S201" s="136">
        <f t="shared" si="59"/>
        <v>3.54</v>
      </c>
      <c r="T201" s="136">
        <f>SUM(T195:T200)</f>
        <v>3.54</v>
      </c>
      <c r="U201" s="136">
        <f t="shared" ref="U201:AG201" si="60">SUM(U195:U200)</f>
        <v>3.54</v>
      </c>
      <c r="V201" s="136">
        <f t="shared" si="60"/>
        <v>3.54</v>
      </c>
      <c r="W201" s="136">
        <f t="shared" si="60"/>
        <v>3.54</v>
      </c>
      <c r="X201" s="136">
        <f t="shared" si="60"/>
        <v>3.54</v>
      </c>
      <c r="Y201" s="136">
        <f t="shared" si="60"/>
        <v>3.54</v>
      </c>
      <c r="Z201" s="136">
        <f t="shared" si="60"/>
        <v>3.54</v>
      </c>
      <c r="AA201" s="136">
        <f t="shared" si="60"/>
        <v>3.54</v>
      </c>
      <c r="AB201" s="136">
        <f t="shared" si="60"/>
        <v>3.54</v>
      </c>
      <c r="AC201" s="136">
        <f t="shared" si="60"/>
        <v>3.54</v>
      </c>
      <c r="AD201" s="136">
        <f t="shared" si="60"/>
        <v>3.54</v>
      </c>
      <c r="AE201" s="136">
        <f t="shared" si="60"/>
        <v>3.54</v>
      </c>
      <c r="AF201" s="136">
        <f t="shared" si="60"/>
        <v>3.54</v>
      </c>
      <c r="AG201" s="137">
        <f t="shared" si="60"/>
        <v>8.56</v>
      </c>
      <c r="AH201" s="55"/>
      <c r="AI201" s="56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204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5"/>
      <c r="AI203" s="56"/>
    </row>
    <row r="204" spans="1:37" x14ac:dyDescent="0.25">
      <c r="A204" s="140" t="s">
        <v>205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5"/>
      <c r="AI204" s="56"/>
    </row>
    <row r="205" spans="1:37" x14ac:dyDescent="0.25">
      <c r="A205" s="92" t="s">
        <v>206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x14ac:dyDescent="0.25">
      <c r="A206" s="92" t="s">
        <v>207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5"/>
      <c r="AI206" s="56"/>
    </row>
    <row r="207" spans="1:37" ht="15.75" thickBot="1" x14ac:dyDescent="0.3">
      <c r="A207" s="146" t="s">
        <v>208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5"/>
      <c r="AI207" s="56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209</v>
      </c>
      <c r="B210" s="150">
        <f>MAX(G75:N75)</f>
        <v>1754.2400000000002</v>
      </c>
      <c r="C210" s="151">
        <f>INDEX(G9:N9,1,MATCH(MAX(G75:N75),G75:N75,0))</f>
        <v>0.375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19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8" t="s">
        <v>210</v>
      </c>
      <c r="B212" s="198"/>
      <c r="C212" s="47"/>
      <c r="D212" s="152" t="str">
        <f ca="1">"Pie Chart of Daily Peak Demand(Inclusive of Export) of Nepal ("&amp;A4&amp;" "&amp;B4&amp;")"</f>
        <v>Pie Chart of Daily Peak Demand(Inclusive of Export) of Nepal (Nepali Date: 2079/02/19)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2079/02/19)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211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212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213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214</v>
      </c>
      <c r="T215" s="161">
        <f t="shared" ref="T215:AX215" si="61">B75</f>
        <v>1704.5400000000002</v>
      </c>
      <c r="U215" s="161">
        <f t="shared" si="61"/>
        <v>1704.0400000000002</v>
      </c>
      <c r="V215" s="161">
        <f t="shared" si="61"/>
        <v>1699.44</v>
      </c>
      <c r="W215" s="161">
        <f t="shared" si="61"/>
        <v>1681.14</v>
      </c>
      <c r="X215" s="161">
        <f t="shared" si="61"/>
        <v>1632.7400000000002</v>
      </c>
      <c r="Y215" s="161">
        <f t="shared" si="61"/>
        <v>1632.94</v>
      </c>
      <c r="Z215" s="161">
        <f t="shared" si="61"/>
        <v>1655.94</v>
      </c>
      <c r="AA215" s="161">
        <f t="shared" si="61"/>
        <v>1636.0400000000002</v>
      </c>
      <c r="AB215" s="161">
        <f t="shared" si="61"/>
        <v>1629.8400000000001</v>
      </c>
      <c r="AC215" s="161">
        <f t="shared" si="61"/>
        <v>1644.14</v>
      </c>
      <c r="AD215" s="161">
        <f t="shared" si="61"/>
        <v>1675.94</v>
      </c>
      <c r="AE215" s="161">
        <f t="shared" si="61"/>
        <v>1725.5400000000002</v>
      </c>
      <c r="AF215" s="161">
        <f t="shared" si="61"/>
        <v>1754.2400000000002</v>
      </c>
      <c r="AG215" s="161">
        <f t="shared" si="61"/>
        <v>1735.8400000000001</v>
      </c>
      <c r="AH215" s="161">
        <f t="shared" si="61"/>
        <v>1734.4400000000003</v>
      </c>
      <c r="AI215" s="161">
        <f t="shared" si="61"/>
        <v>1746.34</v>
      </c>
      <c r="AJ215" s="161">
        <f t="shared" si="61"/>
        <v>1754.5399999999997</v>
      </c>
      <c r="AK215" s="161">
        <f t="shared" si="61"/>
        <v>1775.8399999999997</v>
      </c>
      <c r="AL215" s="161">
        <f t="shared" si="61"/>
        <v>1690.7399999999998</v>
      </c>
      <c r="AM215" s="161">
        <f t="shared" si="61"/>
        <v>1620.4400000000003</v>
      </c>
      <c r="AN215" s="161">
        <f t="shared" si="61"/>
        <v>1632.1399999999999</v>
      </c>
      <c r="AO215" s="161">
        <f t="shared" si="61"/>
        <v>1750.5399999999997</v>
      </c>
      <c r="AP215" s="161">
        <f t="shared" si="61"/>
        <v>1759.74</v>
      </c>
      <c r="AQ215" s="161">
        <f t="shared" si="61"/>
        <v>1752.6399999999999</v>
      </c>
      <c r="AR215" s="161">
        <f t="shared" si="61"/>
        <v>1751.9399999999998</v>
      </c>
      <c r="AS215" s="161">
        <f t="shared" si="61"/>
        <v>1762.84</v>
      </c>
      <c r="AT215" s="161">
        <f t="shared" si="61"/>
        <v>1752.94</v>
      </c>
      <c r="AU215" s="161">
        <f t="shared" si="61"/>
        <v>1745.1399999999999</v>
      </c>
      <c r="AV215" s="161">
        <f t="shared" si="61"/>
        <v>1754.1399999999999</v>
      </c>
      <c r="AW215" s="161">
        <f t="shared" si="61"/>
        <v>1760.1399999999999</v>
      </c>
      <c r="AX215" s="161">
        <f t="shared" si="61"/>
        <v>1750.1399999999999</v>
      </c>
    </row>
    <row r="216" spans="1:50" x14ac:dyDescent="0.25">
      <c r="A216" s="153" t="s">
        <v>215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216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217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218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219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204</v>
      </c>
      <c r="B236" s="164">
        <f t="shared" ref="B236:AE236" si="62">C200</f>
        <v>0.64</v>
      </c>
      <c r="C236" s="164">
        <f t="shared" si="62"/>
        <v>0.64</v>
      </c>
      <c r="D236" s="164">
        <f t="shared" si="62"/>
        <v>0.64</v>
      </c>
      <c r="E236" s="164">
        <f t="shared" si="62"/>
        <v>0.64</v>
      </c>
      <c r="F236" s="164">
        <f t="shared" si="62"/>
        <v>0.64</v>
      </c>
      <c r="G236" s="164">
        <f t="shared" si="62"/>
        <v>0.64</v>
      </c>
      <c r="H236" s="164">
        <f t="shared" si="62"/>
        <v>0.64</v>
      </c>
      <c r="I236" s="164">
        <f t="shared" si="62"/>
        <v>0.64</v>
      </c>
      <c r="J236" s="164">
        <f t="shared" si="62"/>
        <v>0.64</v>
      </c>
      <c r="K236" s="164">
        <f t="shared" si="62"/>
        <v>0.64</v>
      </c>
      <c r="L236" s="164">
        <f t="shared" si="62"/>
        <v>0.64</v>
      </c>
      <c r="M236" s="164">
        <f t="shared" si="62"/>
        <v>0.64</v>
      </c>
      <c r="N236" s="164">
        <f t="shared" si="62"/>
        <v>0.64</v>
      </c>
      <c r="O236" s="164">
        <f t="shared" si="62"/>
        <v>0.64</v>
      </c>
      <c r="P236" s="164">
        <f t="shared" si="62"/>
        <v>0.64</v>
      </c>
      <c r="Q236" s="164">
        <f t="shared" si="62"/>
        <v>0.64</v>
      </c>
      <c r="R236" s="164">
        <f t="shared" si="62"/>
        <v>0.64</v>
      </c>
      <c r="S236" s="164">
        <f t="shared" si="62"/>
        <v>0.64</v>
      </c>
      <c r="T236" s="164">
        <f t="shared" si="62"/>
        <v>0.64</v>
      </c>
      <c r="U236" s="164">
        <f t="shared" si="62"/>
        <v>0.64</v>
      </c>
      <c r="V236" s="164">
        <f t="shared" si="62"/>
        <v>0.64</v>
      </c>
      <c r="W236" s="164">
        <f t="shared" si="62"/>
        <v>0.64</v>
      </c>
      <c r="X236" s="164">
        <f t="shared" si="62"/>
        <v>0.64</v>
      </c>
      <c r="Y236" s="164">
        <f t="shared" si="62"/>
        <v>0.64</v>
      </c>
      <c r="Z236" s="164">
        <f t="shared" si="62"/>
        <v>0.64</v>
      </c>
      <c r="AA236" s="164">
        <f t="shared" si="62"/>
        <v>0.64</v>
      </c>
      <c r="AB236" s="164">
        <f t="shared" si="62"/>
        <v>0.64</v>
      </c>
      <c r="AC236" s="164">
        <f t="shared" si="62"/>
        <v>0.64</v>
      </c>
      <c r="AD236" s="164">
        <f t="shared" si="62"/>
        <v>0.64</v>
      </c>
      <c r="AE236" s="164">
        <f t="shared" si="62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63">IF(C204&lt;100,"",C204-520)</f>
        <v/>
      </c>
      <c r="D237" s="107" t="str">
        <f t="shared" si="63"/>
        <v/>
      </c>
      <c r="E237" s="107" t="str">
        <f t="shared" si="63"/>
        <v/>
      </c>
      <c r="F237" s="107" t="str">
        <f t="shared" si="63"/>
        <v/>
      </c>
      <c r="G237" s="107" t="str">
        <f t="shared" si="63"/>
        <v/>
      </c>
      <c r="H237" s="107" t="str">
        <f t="shared" si="63"/>
        <v/>
      </c>
      <c r="I237" s="107" t="str">
        <f t="shared" si="63"/>
        <v/>
      </c>
      <c r="J237" s="107" t="str">
        <f t="shared" si="63"/>
        <v/>
      </c>
      <c r="K237" s="107" t="str">
        <f t="shared" si="63"/>
        <v/>
      </c>
      <c r="L237" s="107" t="str">
        <f t="shared" si="63"/>
        <v/>
      </c>
      <c r="M237" s="107" t="str">
        <f t="shared" si="63"/>
        <v/>
      </c>
      <c r="N237" s="107" t="str">
        <f t="shared" si="63"/>
        <v/>
      </c>
      <c r="O237" s="107" t="str">
        <f t="shared" si="63"/>
        <v/>
      </c>
      <c r="P237" s="107" t="str">
        <f t="shared" si="63"/>
        <v/>
      </c>
      <c r="Q237" s="107" t="str">
        <f t="shared" si="63"/>
        <v/>
      </c>
      <c r="R237" s="107" t="str">
        <f t="shared" si="63"/>
        <v/>
      </c>
      <c r="S237" s="107" t="str">
        <f t="shared" si="63"/>
        <v/>
      </c>
      <c r="T237" s="107" t="str">
        <f t="shared" si="63"/>
        <v/>
      </c>
      <c r="U237" s="107" t="str">
        <f t="shared" si="63"/>
        <v/>
      </c>
      <c r="V237" s="107" t="str">
        <f t="shared" si="63"/>
        <v/>
      </c>
      <c r="W237" s="107" t="str">
        <f t="shared" si="63"/>
        <v/>
      </c>
      <c r="X237" s="107" t="str">
        <f t="shared" si="63"/>
        <v/>
      </c>
      <c r="Y237" s="107" t="str">
        <f t="shared" si="63"/>
        <v/>
      </c>
      <c r="Z237" s="107" t="str">
        <f t="shared" si="63"/>
        <v/>
      </c>
      <c r="AA237" s="107" t="str">
        <f t="shared" si="63"/>
        <v/>
      </c>
      <c r="AB237" s="107" t="str">
        <f t="shared" si="63"/>
        <v/>
      </c>
      <c r="AC237" s="107" t="str">
        <f t="shared" si="63"/>
        <v/>
      </c>
      <c r="AD237" s="107" t="str">
        <f t="shared" si="63"/>
        <v/>
      </c>
      <c r="AE237" s="107" t="str">
        <f t="shared" si="63"/>
        <v/>
      </c>
      <c r="AF237" s="107" t="str">
        <f t="shared" si="63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64">IF(B205&lt;100,"",B205-620)</f>
        <v/>
      </c>
      <c r="C238" s="107" t="str">
        <f t="shared" si="64"/>
        <v/>
      </c>
      <c r="D238" s="107" t="str">
        <f t="shared" si="64"/>
        <v/>
      </c>
      <c r="E238" s="107" t="str">
        <f t="shared" si="64"/>
        <v/>
      </c>
      <c r="F238" s="107" t="str">
        <f t="shared" si="64"/>
        <v/>
      </c>
      <c r="G238" s="107" t="str">
        <f t="shared" si="64"/>
        <v/>
      </c>
      <c r="H238" s="107" t="str">
        <f t="shared" si="64"/>
        <v/>
      </c>
      <c r="I238" s="107" t="str">
        <f t="shared" si="64"/>
        <v/>
      </c>
      <c r="J238" s="107" t="str">
        <f t="shared" si="64"/>
        <v/>
      </c>
      <c r="K238" s="107" t="str">
        <f t="shared" si="64"/>
        <v/>
      </c>
      <c r="L238" s="107" t="str">
        <f t="shared" si="64"/>
        <v/>
      </c>
      <c r="M238" s="107" t="str">
        <f t="shared" si="64"/>
        <v/>
      </c>
      <c r="N238" s="107" t="str">
        <f t="shared" si="64"/>
        <v/>
      </c>
      <c r="O238" s="107" t="str">
        <f t="shared" si="64"/>
        <v/>
      </c>
      <c r="P238" s="107" t="str">
        <f t="shared" si="64"/>
        <v/>
      </c>
      <c r="Q238" s="107" t="str">
        <f t="shared" si="64"/>
        <v/>
      </c>
      <c r="R238" s="107" t="str">
        <f t="shared" si="64"/>
        <v/>
      </c>
      <c r="S238" s="107" t="str">
        <f t="shared" si="64"/>
        <v/>
      </c>
      <c r="T238" s="107" t="str">
        <f t="shared" si="64"/>
        <v/>
      </c>
      <c r="U238" s="107" t="str">
        <f t="shared" si="64"/>
        <v/>
      </c>
      <c r="V238" s="107" t="str">
        <f t="shared" si="64"/>
        <v/>
      </c>
      <c r="W238" s="107" t="str">
        <f t="shared" si="64"/>
        <v/>
      </c>
      <c r="X238" s="107" t="str">
        <f t="shared" si="64"/>
        <v/>
      </c>
      <c r="Y238" s="107" t="str">
        <f t="shared" si="64"/>
        <v/>
      </c>
      <c r="Z238" s="107" t="str">
        <f t="shared" si="64"/>
        <v/>
      </c>
      <c r="AA238" s="107" t="str">
        <f t="shared" si="64"/>
        <v/>
      </c>
      <c r="AB238" s="107" t="str">
        <f t="shared" si="64"/>
        <v/>
      </c>
      <c r="AC238" s="107" t="str">
        <f t="shared" si="64"/>
        <v/>
      </c>
      <c r="AD238" s="107" t="str">
        <f t="shared" si="64"/>
        <v/>
      </c>
      <c r="AE238" s="107" t="str">
        <f t="shared" si="64"/>
        <v/>
      </c>
      <c r="AF238" s="107" t="str">
        <f t="shared" si="64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65">IF(B206&lt;100,"",B206-330)</f>
        <v/>
      </c>
      <c r="C239" s="107" t="str">
        <f t="shared" si="65"/>
        <v/>
      </c>
      <c r="D239" s="107" t="str">
        <f t="shared" si="65"/>
        <v/>
      </c>
      <c r="E239" s="107" t="str">
        <f t="shared" si="65"/>
        <v/>
      </c>
      <c r="F239" s="107" t="str">
        <f t="shared" si="65"/>
        <v/>
      </c>
      <c r="G239" s="107" t="str">
        <f t="shared" si="65"/>
        <v/>
      </c>
      <c r="H239" s="107" t="str">
        <f t="shared" si="65"/>
        <v/>
      </c>
      <c r="I239" s="107" t="str">
        <f t="shared" si="65"/>
        <v/>
      </c>
      <c r="J239" s="107" t="str">
        <f t="shared" si="65"/>
        <v/>
      </c>
      <c r="K239" s="107" t="str">
        <f t="shared" si="65"/>
        <v/>
      </c>
      <c r="L239" s="107" t="str">
        <f t="shared" si="65"/>
        <v/>
      </c>
      <c r="M239" s="107" t="str">
        <f t="shared" si="65"/>
        <v/>
      </c>
      <c r="N239" s="107" t="str">
        <f t="shared" si="65"/>
        <v/>
      </c>
      <c r="O239" s="107" t="str">
        <f t="shared" si="65"/>
        <v/>
      </c>
      <c r="P239" s="107" t="str">
        <f t="shared" si="65"/>
        <v/>
      </c>
      <c r="Q239" s="107" t="str">
        <f t="shared" si="65"/>
        <v/>
      </c>
      <c r="R239" s="107" t="str">
        <f t="shared" si="65"/>
        <v/>
      </c>
      <c r="S239" s="107" t="str">
        <f t="shared" si="65"/>
        <v/>
      </c>
      <c r="T239" s="107" t="str">
        <f t="shared" si="65"/>
        <v/>
      </c>
      <c r="U239" s="107" t="str">
        <f t="shared" si="65"/>
        <v/>
      </c>
      <c r="V239" s="107" t="str">
        <f t="shared" si="65"/>
        <v/>
      </c>
      <c r="W239" s="107" t="str">
        <f t="shared" si="65"/>
        <v/>
      </c>
      <c r="X239" s="107" t="str">
        <f t="shared" si="65"/>
        <v/>
      </c>
      <c r="Y239" s="107" t="str">
        <f t="shared" si="65"/>
        <v/>
      </c>
      <c r="Z239" s="107" t="str">
        <f t="shared" si="65"/>
        <v/>
      </c>
      <c r="AA239" s="107" t="str">
        <f t="shared" si="65"/>
        <v/>
      </c>
      <c r="AB239" s="107" t="str">
        <f t="shared" si="65"/>
        <v/>
      </c>
      <c r="AC239" s="107" t="str">
        <f t="shared" si="65"/>
        <v/>
      </c>
      <c r="AD239" s="107" t="str">
        <f t="shared" si="65"/>
        <v/>
      </c>
      <c r="AE239" s="107" t="str">
        <f t="shared" si="65"/>
        <v/>
      </c>
      <c r="AF239" s="107" t="str">
        <f t="shared" si="65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66">IF(C207&lt;100,"",C207-1500)</f>
        <v/>
      </c>
      <c r="D240" s="107" t="str">
        <f t="shared" si="66"/>
        <v/>
      </c>
      <c r="E240" s="107" t="str">
        <f t="shared" si="66"/>
        <v/>
      </c>
      <c r="F240" s="107" t="str">
        <f t="shared" si="66"/>
        <v/>
      </c>
      <c r="G240" s="107" t="str">
        <f t="shared" si="66"/>
        <v/>
      </c>
      <c r="H240" s="107" t="str">
        <f t="shared" si="66"/>
        <v/>
      </c>
      <c r="I240" s="107" t="str">
        <f t="shared" si="66"/>
        <v/>
      </c>
      <c r="J240" s="107" t="str">
        <f t="shared" si="66"/>
        <v/>
      </c>
      <c r="K240" s="107" t="str">
        <f t="shared" si="66"/>
        <v/>
      </c>
      <c r="L240" s="107" t="str">
        <f t="shared" si="66"/>
        <v/>
      </c>
      <c r="M240" s="107" t="str">
        <f t="shared" si="66"/>
        <v/>
      </c>
      <c r="N240" s="107" t="str">
        <f t="shared" si="66"/>
        <v/>
      </c>
      <c r="O240" s="107" t="str">
        <f t="shared" si="66"/>
        <v/>
      </c>
      <c r="P240" s="107" t="str">
        <f t="shared" si="66"/>
        <v/>
      </c>
      <c r="Q240" s="107" t="str">
        <f t="shared" si="66"/>
        <v/>
      </c>
      <c r="R240" s="107" t="str">
        <f t="shared" si="66"/>
        <v/>
      </c>
      <c r="S240" s="107" t="str">
        <f t="shared" si="66"/>
        <v/>
      </c>
      <c r="T240" s="107" t="str">
        <f t="shared" si="66"/>
        <v/>
      </c>
      <c r="U240" s="107" t="str">
        <f t="shared" si="66"/>
        <v/>
      </c>
      <c r="V240" s="107" t="str">
        <f t="shared" si="66"/>
        <v/>
      </c>
      <c r="W240" s="107" t="str">
        <f t="shared" si="66"/>
        <v/>
      </c>
      <c r="X240" s="107" t="str">
        <f t="shared" si="66"/>
        <v/>
      </c>
      <c r="Y240" s="107" t="str">
        <f t="shared" si="66"/>
        <v/>
      </c>
      <c r="Z240" s="107" t="str">
        <f t="shared" si="66"/>
        <v/>
      </c>
      <c r="AA240" s="107" t="str">
        <f t="shared" si="66"/>
        <v/>
      </c>
      <c r="AB240" s="107" t="str">
        <f t="shared" si="66"/>
        <v/>
      </c>
      <c r="AC240" s="107" t="str">
        <f t="shared" si="66"/>
        <v/>
      </c>
      <c r="AD240" s="107" t="str">
        <f t="shared" si="66"/>
        <v/>
      </c>
      <c r="AE240" s="107" t="str">
        <f t="shared" si="66"/>
        <v/>
      </c>
      <c r="AF240" s="107" t="str">
        <f t="shared" si="66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C94:AF100 V11:AF11">
    <cfRule type="expression" dxfId="3132" priority="219">
      <formula>B$9&gt;=20/24</formula>
    </cfRule>
    <cfRule type="expression" dxfId="3131" priority="220">
      <formula>AND(B$9&gt;=14/24,B$9&lt;20/24)</formula>
    </cfRule>
    <cfRule type="expression" dxfId="3130" priority="221">
      <formula>AND(B$9&gt;=8/24,B$9&lt;14/24)</formula>
    </cfRule>
    <cfRule type="expression" dxfId="3129" priority="222">
      <formula>B$9&lt;8/24</formula>
    </cfRule>
  </conditionalFormatting>
  <conditionalFormatting sqref="AL4:AL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128" priority="214">
      <formula>S$9&gt;=20/24</formula>
    </cfRule>
    <cfRule type="expression" dxfId="3127" priority="215">
      <formula>AND(S$9&gt;=14/24,S$9&lt;20/24)</formula>
    </cfRule>
    <cfRule type="expression" dxfId="3126" priority="216">
      <formula>AND(S$9&gt;=8/24,S$9&lt;14/24)</formula>
    </cfRule>
    <cfRule type="expression" dxfId="3125" priority="217">
      <formula>S$9&lt;8/24</formula>
    </cfRule>
  </conditionalFormatting>
  <conditionalFormatting sqref="AG51 S11:AF11 S37:AF37">
    <cfRule type="expression" dxfId="3124" priority="213">
      <formula>S11&gt;$AG11</formula>
    </cfRule>
  </conditionalFormatting>
  <conditionalFormatting sqref="A102:A158 A84:A97 A11:A14 A16:A32 A45:A72 A80:A82 A74:A78 A35:A43 A171:A201">
    <cfRule type="expression" dxfId="3123" priority="212">
      <formula>$AH11=0</formula>
    </cfRule>
  </conditionalFormatting>
  <conditionalFormatting sqref="A98">
    <cfRule type="expression" dxfId="3122" priority="211">
      <formula>$AH98=0</formula>
    </cfRule>
  </conditionalFormatting>
  <conditionalFormatting sqref="AL32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121" priority="209">
      <formula>$AH34=0</formula>
    </cfRule>
  </conditionalFormatting>
  <conditionalFormatting sqref="A83">
    <cfRule type="expression" dxfId="3120" priority="208">
      <formula>$AH83=0</formula>
    </cfRule>
  </conditionalFormatting>
  <conditionalFormatting sqref="A15">
    <cfRule type="expression" dxfId="3119" priority="207">
      <formula>$AH15=0</formula>
    </cfRule>
  </conditionalFormatting>
  <conditionalFormatting sqref="A165:A170">
    <cfRule type="expression" dxfId="3118" priority="206">
      <formula>$AH165=0</formula>
    </cfRule>
  </conditionalFormatting>
  <conditionalFormatting sqref="A159:A164">
    <cfRule type="expression" dxfId="3117" priority="205">
      <formula>$AH159=0</formula>
    </cfRule>
  </conditionalFormatting>
  <conditionalFormatting sqref="A44">
    <cfRule type="expression" dxfId="3116" priority="204">
      <formula>$AH44=0</formula>
    </cfRule>
  </conditionalFormatting>
  <conditionalFormatting sqref="A79">
    <cfRule type="expression" dxfId="3115" priority="203">
      <formula>$AH79=0</formula>
    </cfRule>
  </conditionalFormatting>
  <conditionalFormatting sqref="A73">
    <cfRule type="expression" dxfId="3114" priority="202">
      <formula>$AH73=0</formula>
    </cfRule>
  </conditionalFormatting>
  <conditionalFormatting sqref="AL34:AL35 AL7:AL31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113" priority="198">
      <formula>C$9&gt;=20/24</formula>
    </cfRule>
    <cfRule type="expression" dxfId="3112" priority="199">
      <formula>AND(C$9&gt;=14/24,C$9&lt;20/24)</formula>
    </cfRule>
    <cfRule type="expression" dxfId="3111" priority="200">
      <formula>AND(C$9&gt;=8/24,C$9&lt;14/24)</formula>
    </cfRule>
    <cfRule type="expression" dxfId="3110" priority="201">
      <formula>C$9&lt;8/24</formula>
    </cfRule>
  </conditionalFormatting>
  <conditionalFormatting sqref="AL33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09" priority="226">
      <formula>C$9&gt;=20/24</formula>
    </cfRule>
    <cfRule type="expression" dxfId="3108" priority="227">
      <formula>AND(C$9&gt;=14/24,C$9&lt;20/24)</formula>
    </cfRule>
    <cfRule type="expression" dxfId="3107" priority="228">
      <formula>AND(C$9&gt;=8/24,C$9&lt;14/24)</formula>
    </cfRule>
    <cfRule type="expression" dxfId="3106" priority="229">
      <formula>C$9&lt;8/24</formula>
    </cfRule>
  </conditionalFormatting>
  <conditionalFormatting sqref="A202">
    <cfRule type="expression" dxfId="3105" priority="230">
      <formula>$AH202=0</formula>
    </cfRule>
  </conditionalFormatting>
  <conditionalFormatting sqref="AG214">
    <cfRule type="expression" dxfId="3104" priority="231">
      <formula>B$9&gt;=20/24</formula>
    </cfRule>
    <cfRule type="expression" dxfId="3103" priority="232">
      <formula>AND(B$9&gt;=14/24,B$9&lt;20/24)</formula>
    </cfRule>
    <cfRule type="expression" dxfId="3102" priority="233">
      <formula>AND(B$9&gt;=8/24,B$9&lt;14/24)</formula>
    </cfRule>
    <cfRule type="expression" dxfId="3101" priority="234">
      <formula>B$9&lt;8/24</formula>
    </cfRule>
  </conditionalFormatting>
  <conditionalFormatting sqref="S8">
    <cfRule type="expression" dxfId="3100" priority="193">
      <formula>U$9&gt;=20/24</formula>
    </cfRule>
    <cfRule type="expression" dxfId="3099" priority="194">
      <formula>AND(U$9&gt;=14/24,U$9&lt;20/24)</formula>
    </cfRule>
    <cfRule type="expression" dxfId="3098" priority="195">
      <formula>AND(U$9&gt;=8/24,U$9&lt;14/24)</formula>
    </cfRule>
    <cfRule type="expression" dxfId="3097" priority="196">
      <formula>U$9&lt;8/24</formula>
    </cfRule>
  </conditionalFormatting>
  <conditionalFormatting sqref="AB8">
    <cfRule type="expression" dxfId="3096" priority="189">
      <formula>AD$9&gt;=20/24</formula>
    </cfRule>
    <cfRule type="expression" dxfId="3095" priority="190">
      <formula>AND(AD$9&gt;=14/24,AD$9&lt;20/24)</formula>
    </cfRule>
    <cfRule type="expression" dxfId="3094" priority="191">
      <formula>AND(AD$9&gt;=8/24,AD$9&lt;14/24)</formula>
    </cfRule>
    <cfRule type="expression" dxfId="3093" priority="192">
      <formula>AD$9&lt;8/24</formula>
    </cfRule>
  </conditionalFormatting>
  <conditionalFormatting sqref="AH214:AX214">
    <cfRule type="expression" dxfId="3092" priority="235">
      <formula>AG$9&gt;=20/24</formula>
    </cfRule>
    <cfRule type="expression" dxfId="3091" priority="236">
      <formula>AND(AG$9&gt;=14/24,AG$9&lt;20/24)</formula>
    </cfRule>
    <cfRule type="expression" dxfId="3090" priority="237">
      <formula>AND(AG$9&gt;=8/24,AG$9&lt;14/24)</formula>
    </cfRule>
    <cfRule type="expression" dxfId="3089" priority="238">
      <formula>AG$9&lt;8/24</formula>
    </cfRule>
  </conditionalFormatting>
  <conditionalFormatting sqref="T214">
    <cfRule type="expression" dxfId="3088" priority="239">
      <formula>AX$9&gt;=20/24</formula>
    </cfRule>
    <cfRule type="expression" dxfId="3087" priority="240">
      <formula>AND(AX$9&gt;=14/24,AX$9&lt;20/24)</formula>
    </cfRule>
    <cfRule type="expression" dxfId="3086" priority="241">
      <formula>AND(AX$9&gt;=8/24,AX$9&lt;14/24)</formula>
    </cfRule>
    <cfRule type="expression" dxfId="3085" priority="242">
      <formula>AX$9&lt;8/24</formula>
    </cfRule>
  </conditionalFormatting>
  <conditionalFormatting sqref="A99:A100">
    <cfRule type="expression" dxfId="3084" priority="188">
      <formula>$AH99=0</formula>
    </cfRule>
  </conditionalFormatting>
  <conditionalFormatting sqref="F40:P41 C57:AF57 S40:AF41">
    <cfRule type="expression" dxfId="3083" priority="184">
      <formula>C$9&gt;=20/24</formula>
    </cfRule>
    <cfRule type="expression" dxfId="3082" priority="185">
      <formula>AND(C$9&gt;=14/24,C$9&lt;20/24)</formula>
    </cfRule>
    <cfRule type="expression" dxfId="3081" priority="186">
      <formula>AND(C$9&gt;=8/24,C$9&lt;14/24)</formula>
    </cfRule>
    <cfRule type="expression" dxfId="3080" priority="187">
      <formula>C$9&lt;8/24</formula>
    </cfRule>
  </conditionalFormatting>
  <conditionalFormatting sqref="F39:P39 S39:AF39">
    <cfRule type="expression" dxfId="3079" priority="180">
      <formula>F$9&gt;=20/24</formula>
    </cfRule>
    <cfRule type="expression" dxfId="3078" priority="181">
      <formula>AND(F$9&gt;=14/24,F$9&lt;20/24)</formula>
    </cfRule>
    <cfRule type="expression" dxfId="3077" priority="182">
      <formula>AND(F$9&gt;=8/24,F$9&lt;14/24)</formula>
    </cfRule>
    <cfRule type="expression" dxfId="3076" priority="183">
      <formula>F$9&lt;8/24</formula>
    </cfRule>
  </conditionalFormatting>
  <conditionalFormatting sqref="F39:P41 S39:AF41">
    <cfRule type="expression" dxfId="3075" priority="179">
      <formula>F39&gt;$AG39</formula>
    </cfRule>
  </conditionalFormatting>
  <conditionalFormatting sqref="C81:AF81 C69:AF72 O37:P37 C36:P36 C58:P59 Q36:R37 C85:AF91 C53:AF56 T28:AF31 T24:AF26 S36:AF36 S12:AF12 T18:AF22 Q58:AF67">
    <cfRule type="expression" dxfId="3074" priority="175">
      <formula>C$9&gt;=20/24</formula>
    </cfRule>
    <cfRule type="expression" dxfId="3073" priority="176">
      <formula>AND(C$9&gt;=14/24,C$9&lt;20/24)</formula>
    </cfRule>
    <cfRule type="expression" dxfId="3072" priority="177">
      <formula>AND(C$9&gt;=8/24,C$9&lt;14/24)</formula>
    </cfRule>
    <cfRule type="expression" dxfId="3071" priority="178">
      <formula>C$9&lt;8/24</formula>
    </cfRule>
  </conditionalFormatting>
  <conditionalFormatting sqref="T32:AF32">
    <cfRule type="expression" dxfId="3070" priority="171">
      <formula>T$9&gt;=20/24</formula>
    </cfRule>
    <cfRule type="expression" dxfId="3069" priority="172">
      <formula>AND(T$9&gt;=14/24,T$9&lt;20/24)</formula>
    </cfRule>
    <cfRule type="expression" dxfId="3068" priority="173">
      <formula>AND(T$9&gt;=8/24,T$9&lt;14/24)</formula>
    </cfRule>
    <cfRule type="expression" dxfId="3067" priority="174">
      <formula>T$9&lt;8/24</formula>
    </cfRule>
  </conditionalFormatting>
  <conditionalFormatting sqref="T35:AF35">
    <cfRule type="expression" dxfId="3066" priority="167">
      <formula>T$9&gt;=20/24</formula>
    </cfRule>
    <cfRule type="expression" dxfId="3065" priority="168">
      <formula>AND(T$9&gt;=14/24,T$9&lt;20/24)</formula>
    </cfRule>
    <cfRule type="expression" dxfId="3064" priority="169">
      <formula>AND(T$9&gt;=8/24,T$9&lt;14/24)</formula>
    </cfRule>
    <cfRule type="expression" dxfId="3063" priority="170">
      <formula>T$9&lt;8/24</formula>
    </cfRule>
  </conditionalFormatting>
  <conditionalFormatting sqref="T34:T35 C51:AF51 F42:L43 H44:L44 M42:P44 C36:R37 S36:T36 C53:AF56 T24:AF32 U34:AF36 S12:AF12 T18:AF22">
    <cfRule type="expression" dxfId="3062" priority="166">
      <formula>C12&gt;$AG12</formula>
    </cfRule>
  </conditionalFormatting>
  <conditionalFormatting sqref="T34:AF34">
    <cfRule type="expression" dxfId="3061" priority="162">
      <formula>T$9&gt;=20/24</formula>
    </cfRule>
    <cfRule type="expression" dxfId="3060" priority="163">
      <formula>AND(T$9&gt;=14/24,T$9&lt;20/24)</formula>
    </cfRule>
    <cfRule type="expression" dxfId="3059" priority="164">
      <formula>AND(T$9&gt;=8/24,T$9&lt;14/24)</formula>
    </cfRule>
    <cfRule type="expression" dxfId="3058" priority="165">
      <formula>T$9&lt;8/24</formula>
    </cfRule>
  </conditionalFormatting>
  <conditionalFormatting sqref="T33:AF33">
    <cfRule type="expression" dxfId="3057" priority="154">
      <formula>T$9&gt;=20/24</formula>
    </cfRule>
    <cfRule type="expression" dxfId="3056" priority="155">
      <formula>AND(T$9&gt;=14/24,T$9&lt;20/24)</formula>
    </cfRule>
    <cfRule type="expression" dxfId="3055" priority="156">
      <formula>AND(T$9&gt;=8/24,T$9&lt;14/24)</formula>
    </cfRule>
    <cfRule type="expression" dxfId="3054" priority="157">
      <formula>T$9&lt;8/24</formula>
    </cfRule>
  </conditionalFormatting>
  <conditionalFormatting sqref="T33:AF33">
    <cfRule type="expression" dxfId="3053" priority="153">
      <formula>T33&gt;$AG33</formula>
    </cfRule>
  </conditionalFormatting>
  <conditionalFormatting sqref="S11:U11">
    <cfRule type="expression" dxfId="3052" priority="149">
      <formula>S$9&gt;=20/24</formula>
    </cfRule>
    <cfRule type="expression" dxfId="3051" priority="150">
      <formula>AND(S$9&gt;=14/24,S$9&lt;20/24)</formula>
    </cfRule>
    <cfRule type="expression" dxfId="3050" priority="151">
      <formula>AND(S$9&gt;=8/24,S$9&lt;14/24)</formula>
    </cfRule>
    <cfRule type="expression" dxfId="3049" priority="152">
      <formula>S$9&lt;8/24</formula>
    </cfRule>
  </conditionalFormatting>
  <conditionalFormatting sqref="Q39:R50 S42:X45 Y42:Y43 X44:Y45 Z42:AF45 S46:AF50">
    <cfRule type="expression" dxfId="3048" priority="140">
      <formula>Q$9&gt;=20/24</formula>
    </cfRule>
    <cfRule type="expression" dxfId="3047" priority="141">
      <formula>AND(Q$9&gt;=14/24,Q$9&lt;20/24)</formula>
    </cfRule>
    <cfRule type="expression" dxfId="3046" priority="142">
      <formula>AND(Q$9&gt;=8/24,Q$9&lt;14/24)</formula>
    </cfRule>
    <cfRule type="expression" dxfId="3045" priority="143">
      <formula>Q$9&lt;8/24</formula>
    </cfRule>
  </conditionalFormatting>
  <conditionalFormatting sqref="Q39:R50 S42:X45 Y42:Y43 X44:Y45 Z42:AF45 S46:AF50">
    <cfRule type="expression" dxfId="3044" priority="139">
      <formula>Q39&gt;$AG39</formula>
    </cfRule>
  </conditionalFormatting>
  <conditionalFormatting sqref="T27:AF27">
    <cfRule type="expression" dxfId="3043" priority="135">
      <formula>T$9&gt;=20/24</formula>
    </cfRule>
    <cfRule type="expression" dxfId="3042" priority="136">
      <formula>AND(T$9&gt;=14/24,T$9&lt;20/24)</formula>
    </cfRule>
    <cfRule type="expression" dxfId="3041" priority="137">
      <formula>AND(T$9&gt;=8/24,T$9&lt;14/24)</formula>
    </cfRule>
    <cfRule type="expression" dxfId="3040" priority="138">
      <formula>T$9&lt;8/24</formula>
    </cfRule>
  </conditionalFormatting>
  <conditionalFormatting sqref="C11:R14 C27:S31 C17:S25 T17:AF17 T23:AF23 S13:AF14">
    <cfRule type="expression" dxfId="3039" priority="131">
      <formula>C$9&gt;=20/24</formula>
    </cfRule>
    <cfRule type="expression" dxfId="3038" priority="132">
      <formula>AND(C$9&gt;=14/24,C$9&lt;20/24)</formula>
    </cfRule>
    <cfRule type="expression" dxfId="3037" priority="133">
      <formula>AND(C$9&gt;=8/24,C$9&lt;14/24)</formula>
    </cfRule>
    <cfRule type="expression" dxfId="3036" priority="134">
      <formula>C$9&lt;8/24</formula>
    </cfRule>
  </conditionalFormatting>
  <conditionalFormatting sqref="C32:S32">
    <cfRule type="expression" dxfId="3035" priority="127">
      <formula>C$9&gt;=20/24</formula>
    </cfRule>
    <cfRule type="expression" dxfId="3034" priority="128">
      <formula>AND(C$9&gt;=14/24,C$9&lt;20/24)</formula>
    </cfRule>
    <cfRule type="expression" dxfId="3033" priority="129">
      <formula>AND(C$9&gt;=8/24,C$9&lt;14/24)</formula>
    </cfRule>
    <cfRule type="expression" dxfId="3032" priority="130">
      <formula>C$9&lt;8/24</formula>
    </cfRule>
  </conditionalFormatting>
  <conditionalFormatting sqref="C35:S35">
    <cfRule type="expression" dxfId="3031" priority="123">
      <formula>C$9&gt;=20/24</formula>
    </cfRule>
    <cfRule type="expression" dxfId="3030" priority="124">
      <formula>AND(C$9&gt;=14/24,C$9&lt;20/24)</formula>
    </cfRule>
    <cfRule type="expression" dxfId="3029" priority="125">
      <formula>AND(C$9&gt;=8/24,C$9&lt;14/24)</formula>
    </cfRule>
    <cfRule type="expression" dxfId="3028" priority="126">
      <formula>C$9&lt;8/24</formula>
    </cfRule>
  </conditionalFormatting>
  <conditionalFormatting sqref="C11:R15 C34:S35 C17:S25 C27:S32 T17:AF17 T23:AF23 S13:AF15">
    <cfRule type="expression" dxfId="3027" priority="122">
      <formula>C11&gt;$AG11</formula>
    </cfRule>
  </conditionalFormatting>
  <conditionalFormatting sqref="C34:S34">
    <cfRule type="expression" dxfId="3026" priority="118">
      <formula>C$9&gt;=20/24</formula>
    </cfRule>
    <cfRule type="expression" dxfId="3025" priority="119">
      <formula>AND(C$9&gt;=14/24,C$9&lt;20/24)</formula>
    </cfRule>
    <cfRule type="expression" dxfId="3024" priority="120">
      <formula>AND(C$9&gt;=8/24,C$9&lt;14/24)</formula>
    </cfRule>
    <cfRule type="expression" dxfId="3023" priority="121">
      <formula>C$9&lt;8/24</formula>
    </cfRule>
  </conditionalFormatting>
  <conditionalFormatting sqref="C15:AF15">
    <cfRule type="expression" dxfId="3022" priority="114">
      <formula>C$9&gt;=20/24</formula>
    </cfRule>
    <cfRule type="expression" dxfId="3021" priority="115">
      <formula>AND(C$9&gt;=14/24,C$9&lt;20/24)</formula>
    </cfRule>
    <cfRule type="expression" dxfId="3020" priority="116">
      <formula>AND(C$9&gt;=8/24,C$9&lt;14/24)</formula>
    </cfRule>
    <cfRule type="expression" dxfId="3019" priority="117">
      <formula>C$9&lt;8/24</formula>
    </cfRule>
  </conditionalFormatting>
  <conditionalFormatting sqref="C33:S33">
    <cfRule type="expression" dxfId="3018" priority="110">
      <formula>C$9&gt;=20/24</formula>
    </cfRule>
    <cfRule type="expression" dxfId="3017" priority="111">
      <formula>AND(C$9&gt;=14/24,C$9&lt;20/24)</formula>
    </cfRule>
    <cfRule type="expression" dxfId="3016" priority="112">
      <formula>AND(C$9&gt;=8/24,C$9&lt;14/24)</formula>
    </cfRule>
    <cfRule type="expression" dxfId="3015" priority="113">
      <formula>C$9&lt;8/24</formula>
    </cfRule>
  </conditionalFormatting>
  <conditionalFormatting sqref="C33:S33">
    <cfRule type="expression" dxfId="3014" priority="109">
      <formula>C33&gt;$AG33</formula>
    </cfRule>
  </conditionalFormatting>
  <conditionalFormatting sqref="C40:E41">
    <cfRule type="expression" dxfId="3013" priority="105">
      <formula>C$9&gt;=20/24</formula>
    </cfRule>
    <cfRule type="expression" dxfId="3012" priority="106">
      <formula>AND(C$9&gt;=14/24,C$9&lt;20/24)</formula>
    </cfRule>
    <cfRule type="expression" dxfId="3011" priority="107">
      <formula>AND(C$9&gt;=8/24,C$9&lt;14/24)</formula>
    </cfRule>
    <cfRule type="expression" dxfId="3010" priority="108">
      <formula>C$9&lt;8/24</formula>
    </cfRule>
  </conditionalFormatting>
  <conditionalFormatting sqref="C39:E39">
    <cfRule type="expression" dxfId="3009" priority="101">
      <formula>C$9&gt;=20/24</formula>
    </cfRule>
    <cfRule type="expression" dxfId="3008" priority="102">
      <formula>AND(C$9&gt;=14/24,C$9&lt;20/24)</formula>
    </cfRule>
    <cfRule type="expression" dxfId="3007" priority="103">
      <formula>AND(C$9&gt;=8/24,C$9&lt;14/24)</formula>
    </cfRule>
    <cfRule type="expression" dxfId="3006" priority="104">
      <formula>C$9&lt;8/24</formula>
    </cfRule>
  </conditionalFormatting>
  <conditionalFormatting sqref="C39:E41">
    <cfRule type="expression" dxfId="3005" priority="100">
      <formula>C39&gt;$AG39</formula>
    </cfRule>
  </conditionalFormatting>
  <conditionalFormatting sqref="C42:E43">
    <cfRule type="expression" dxfId="3004" priority="95">
      <formula>C42&gt;$AG42</formula>
    </cfRule>
  </conditionalFormatting>
  <conditionalFormatting sqref="C44:G50 H45:P50">
    <cfRule type="expression" dxfId="3003" priority="91">
      <formula>C$9&gt;=20/24</formula>
    </cfRule>
    <cfRule type="expression" dxfId="3002" priority="92">
      <formula>AND(C$9&gt;=14/24,C$9&lt;20/24)</formula>
    </cfRule>
    <cfRule type="expression" dxfId="3001" priority="93">
      <formula>AND(C$9&gt;=8/24,C$9&lt;14/24)</formula>
    </cfRule>
    <cfRule type="expression" dxfId="3000" priority="94">
      <formula>C$9&lt;8/24</formula>
    </cfRule>
  </conditionalFormatting>
  <conditionalFormatting sqref="C44:G50 H45:P50">
    <cfRule type="expression" dxfId="2999" priority="90">
      <formula>C44&gt;$AG44</formula>
    </cfRule>
  </conditionalFormatting>
  <conditionalFormatting sqref="B94:B100 B11 B74:AF74 B82:AF82">
    <cfRule type="expression" dxfId="2998" priority="77">
      <formula>B$9&gt;=20/24</formula>
    </cfRule>
    <cfRule type="expression" dxfId="2997" priority="78">
      <formula>AND(B$9&gt;=14/24,B$9&lt;20/24)</formula>
    </cfRule>
    <cfRule type="expression" dxfId="2996" priority="79">
      <formula>AND(B$9&gt;=8/24,B$9&lt;14/24)</formula>
    </cfRule>
    <cfRule type="expression" dxfId="2995" priority="80">
      <formula>B$9&lt;8/24</formula>
    </cfRule>
  </conditionalFormatting>
  <conditionalFormatting sqref="B37">
    <cfRule type="expression" dxfId="2994" priority="73">
      <formula>B$9&gt;=20/24</formula>
    </cfRule>
    <cfRule type="expression" dxfId="2993" priority="74">
      <formula>AND(B$9&gt;=14/24,B$9&lt;20/24)</formula>
    </cfRule>
    <cfRule type="expression" dxfId="2992" priority="75">
      <formula>AND(B$9&gt;=8/24,B$9&lt;14/24)</formula>
    </cfRule>
    <cfRule type="expression" dxfId="2991" priority="76">
      <formula>B$9&lt;8/24</formula>
    </cfRule>
  </conditionalFormatting>
  <conditionalFormatting sqref="B37 B11">
    <cfRule type="expression" dxfId="2990" priority="72">
      <formula>B11&gt;$AG11</formula>
    </cfRule>
  </conditionalFormatting>
  <conditionalFormatting sqref="B84">
    <cfRule type="expression" dxfId="2989" priority="68">
      <formula>B$9&gt;=20/24</formula>
    </cfRule>
    <cfRule type="expression" dxfId="2988" priority="69">
      <formula>AND(B$9&gt;=14/24,B$9&lt;20/24)</formula>
    </cfRule>
    <cfRule type="expression" dxfId="2987" priority="70">
      <formula>AND(B$9&gt;=8/24,B$9&lt;14/24)</formula>
    </cfRule>
    <cfRule type="expression" dxfId="2986" priority="71">
      <formula>B$9&lt;8/24</formula>
    </cfRule>
  </conditionalFormatting>
  <conditionalFormatting sqref="B40:B41 B36 B57">
    <cfRule type="expression" dxfId="2985" priority="64">
      <formula>B$9&gt;=20/24</formula>
    </cfRule>
    <cfRule type="expression" dxfId="2984" priority="65">
      <formula>AND(B$9&gt;=14/24,B$9&lt;20/24)</formula>
    </cfRule>
    <cfRule type="expression" dxfId="2983" priority="66">
      <formula>AND(B$9&gt;=8/24,B$9&lt;14/24)</formula>
    </cfRule>
    <cfRule type="expression" dxfId="2982" priority="67">
      <formula>B$9&lt;8/24</formula>
    </cfRule>
  </conditionalFormatting>
  <conditionalFormatting sqref="B39">
    <cfRule type="expression" dxfId="2981" priority="60">
      <formula>B$9&gt;=20/24</formula>
    </cfRule>
    <cfRule type="expression" dxfId="2980" priority="61">
      <formula>AND(B$9&gt;=14/24,B$9&lt;20/24)</formula>
    </cfRule>
    <cfRule type="expression" dxfId="2979" priority="62">
      <formula>AND(B$9&gt;=8/24,B$9&lt;14/24)</formula>
    </cfRule>
    <cfRule type="expression" dxfId="2978" priority="63">
      <formula>B$9&lt;8/24</formula>
    </cfRule>
  </conditionalFormatting>
  <conditionalFormatting sqref="B39:B41 B36">
    <cfRule type="expression" dxfId="2977" priority="59">
      <formula>B36&gt;$AG36</formula>
    </cfRule>
  </conditionalFormatting>
  <conditionalFormatting sqref="B85:B91 B12:B14 B28:B31 B18:B22 B24:B26 B53:B56 B69:B73 B75:AF75 C73:AF73 B81 B83:AF83 B58:B67 C60:P67 C26:S26 B16:AF16">
    <cfRule type="expression" dxfId="2976" priority="55">
      <formula>B$9&gt;=20/24</formula>
    </cfRule>
    <cfRule type="expression" dxfId="2975" priority="56">
      <formula>AND(B$9&gt;=14/24,B$9&lt;20/24)</formula>
    </cfRule>
    <cfRule type="expression" dxfId="2974" priority="57">
      <formula>AND(B$9&gt;=8/24,B$9&lt;14/24)</formula>
    </cfRule>
    <cfRule type="expression" dxfId="2973" priority="58">
      <formula>B$9&lt;8/24</formula>
    </cfRule>
  </conditionalFormatting>
  <conditionalFormatting sqref="B32">
    <cfRule type="expression" dxfId="2972" priority="51">
      <formula>B$9&gt;=20/24</formula>
    </cfRule>
    <cfRule type="expression" dxfId="2971" priority="52">
      <formula>AND(B$9&gt;=14/24,B$9&lt;20/24)</formula>
    </cfRule>
    <cfRule type="expression" dxfId="2970" priority="53">
      <formula>AND(B$9&gt;=8/24,B$9&lt;14/24)</formula>
    </cfRule>
    <cfRule type="expression" dxfId="2969" priority="54">
      <formula>B$9&lt;8/24</formula>
    </cfRule>
  </conditionalFormatting>
  <conditionalFormatting sqref="B35">
    <cfRule type="expression" dxfId="2968" priority="47">
      <formula>B$9&gt;=20/24</formula>
    </cfRule>
    <cfRule type="expression" dxfId="2967" priority="48">
      <formula>AND(B$9&gt;=14/24,B$9&lt;20/24)</formula>
    </cfRule>
    <cfRule type="expression" dxfId="2966" priority="49">
      <formula>AND(B$9&gt;=8/24,B$9&lt;14/24)</formula>
    </cfRule>
    <cfRule type="expression" dxfId="2965" priority="50">
      <formula>B$9&lt;8/24</formula>
    </cfRule>
  </conditionalFormatting>
  <conditionalFormatting sqref="B42:B43 B34:B35 B12:B16 B18:B22 B24:B32 B51:B56 B38:AF38 C52:AF52 C26:S26 C16:AF16">
    <cfRule type="expression" dxfId="2964" priority="46">
      <formula>B12&gt;$AG12</formula>
    </cfRule>
  </conditionalFormatting>
  <conditionalFormatting sqref="B34">
    <cfRule type="expression" dxfId="2963" priority="42">
      <formula>B$9&gt;=20/24</formula>
    </cfRule>
    <cfRule type="expression" dxfId="2962" priority="43">
      <formula>AND(B$9&gt;=14/24,B$9&lt;20/24)</formula>
    </cfRule>
    <cfRule type="expression" dxfId="2961" priority="44">
      <formula>AND(B$9&gt;=8/24,B$9&lt;14/24)</formula>
    </cfRule>
    <cfRule type="expression" dxfId="2960" priority="45">
      <formula>B$9&lt;8/24</formula>
    </cfRule>
  </conditionalFormatting>
  <conditionalFormatting sqref="B15">
    <cfRule type="expression" dxfId="2959" priority="38">
      <formula>B$9&gt;=20/24</formula>
    </cfRule>
    <cfRule type="expression" dxfId="2958" priority="39">
      <formula>AND(B$9&gt;=14/24,B$9&lt;20/24)</formula>
    </cfRule>
    <cfRule type="expression" dxfId="2957" priority="40">
      <formula>AND(B$9&gt;=8/24,B$9&lt;14/24)</formula>
    </cfRule>
    <cfRule type="expression" dxfId="2956" priority="41">
      <formula>B$9&lt;8/24</formula>
    </cfRule>
  </conditionalFormatting>
  <conditionalFormatting sqref="B33">
    <cfRule type="expression" dxfId="2955" priority="34">
      <formula>B$9&gt;=20/24</formula>
    </cfRule>
    <cfRule type="expression" dxfId="2954" priority="35">
      <formula>AND(B$9&gt;=14/24,B$9&lt;20/24)</formula>
    </cfRule>
    <cfRule type="expression" dxfId="2953" priority="36">
      <formula>AND(B$9&gt;=8/24,B$9&lt;14/24)</formula>
    </cfRule>
    <cfRule type="expression" dxfId="2952" priority="37">
      <formula>B$9&lt;8/24</formula>
    </cfRule>
  </conditionalFormatting>
  <conditionalFormatting sqref="B33">
    <cfRule type="expression" dxfId="2951" priority="33">
      <formula>B33&gt;$AG33</formula>
    </cfRule>
  </conditionalFormatting>
  <conditionalFormatting sqref="B44:B50">
    <cfRule type="expression" dxfId="2950" priority="29">
      <formula>B$9&gt;=20/24</formula>
    </cfRule>
    <cfRule type="expression" dxfId="2949" priority="30">
      <formula>AND(B$9&gt;=14/24,B$9&lt;20/24)</formula>
    </cfRule>
    <cfRule type="expression" dxfId="2948" priority="31">
      <formula>AND(B$9&gt;=8/24,B$9&lt;14/24)</formula>
    </cfRule>
    <cfRule type="expression" dxfId="2947" priority="32">
      <formula>B$9&lt;8/24</formula>
    </cfRule>
  </conditionalFormatting>
  <conditionalFormatting sqref="B44:B50">
    <cfRule type="expression" dxfId="2946" priority="28">
      <formula>B44&gt;$AG44</formula>
    </cfRule>
  </conditionalFormatting>
  <conditionalFormatting sqref="B27">
    <cfRule type="expression" dxfId="2945" priority="24">
      <formula>B$9&gt;=20/24</formula>
    </cfRule>
    <cfRule type="expression" dxfId="2944" priority="25">
      <formula>AND(B$9&gt;=14/24,B$9&lt;20/24)</formula>
    </cfRule>
    <cfRule type="expression" dxfId="2943" priority="26">
      <formula>AND(B$9&gt;=8/24,B$9&lt;14/24)</formula>
    </cfRule>
    <cfRule type="expression" dxfId="2942" priority="27">
      <formula>B$9&lt;8/24</formula>
    </cfRule>
  </conditionalFormatting>
  <conditionalFormatting sqref="B17 B23">
    <cfRule type="expression" dxfId="2941" priority="20">
      <formula>B$9&gt;=20/24</formula>
    </cfRule>
    <cfRule type="expression" dxfId="2940" priority="21">
      <formula>AND(B$9&gt;=14/24,B$9&lt;20/24)</formula>
    </cfRule>
    <cfRule type="expression" dxfId="2939" priority="22">
      <formula>AND(B$9&gt;=8/24,B$9&lt;14/24)</formula>
    </cfRule>
    <cfRule type="expression" dxfId="2938" priority="23">
      <formula>B$9&lt;8/24</formula>
    </cfRule>
  </conditionalFormatting>
  <conditionalFormatting sqref="B17 B23">
    <cfRule type="expression" dxfId="2937" priority="19">
      <formula>B17&gt;$AG17</formula>
    </cfRule>
  </conditionalFormatting>
  <conditionalFormatting sqref="A33">
    <cfRule type="expression" dxfId="2936" priority="18">
      <formula>$AH33=0</formula>
    </cfRule>
  </conditionalFormatting>
  <conditionalFormatting sqref="B68:AF68">
    <cfRule type="expression" dxfId="2935" priority="14">
      <formula>B$9&gt;=20/24</formula>
    </cfRule>
    <cfRule type="expression" dxfId="2934" priority="15">
      <formula>AND(B$9&gt;=14/24,B$9&lt;20/24)</formula>
    </cfRule>
    <cfRule type="expression" dxfId="2933" priority="16">
      <formula>AND(B$9&gt;=8/24,B$9&lt;14/24)</formula>
    </cfRule>
    <cfRule type="expression" dxfId="2932" priority="17">
      <formula>B$9&lt;8/24</formula>
    </cfRule>
  </conditionalFormatting>
  <conditionalFormatting sqref="B76:AF80">
    <cfRule type="expression" dxfId="2931" priority="10">
      <formula>B$9&gt;=20/24</formula>
    </cfRule>
    <cfRule type="expression" dxfId="2930" priority="11">
      <formula>AND(B$9&gt;=14/24,B$9&lt;20/24)</formula>
    </cfRule>
    <cfRule type="expression" dxfId="2929" priority="12">
      <formula>AND(B$9&gt;=8/24,B$9&lt;14/24)</formula>
    </cfRule>
    <cfRule type="expression" dxfId="2928" priority="13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EF39D522-BA3F-4C1C-B1E6-B0BB99C5B154}">
            <xm:f>'18'!B$9&gt;=20/24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1DBEE302-1187-4A5A-835C-17CC1BB23AA5}">
            <xm:f>AND('18'!B$9&gt;=14/24,'18'!B$9&lt;20/24)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70F49854-74D7-49C5-9547-6616A509BB02}">
            <xm:f>AND('18'!B$9&gt;=8/24,'18'!B$9&lt;14/24)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0319AFE8-AB59-413A-939A-3F8BF1BD605A}">
            <xm:f>'18'!B$9&lt;8/24</xm:f>
            <x14:dxf>
              <fill>
                <patternFill>
                  <bgColor rgb="FFFFFF66"/>
                </patternFill>
              </fill>
            </x14:dxf>
          </x14:cfRule>
          <xm:sqref>B101:AF101</xm:sqref>
        </x14:conditionalFormatting>
        <x14:conditionalFormatting xmlns:xm="http://schemas.microsoft.com/office/excel/2006/main">
          <x14:cfRule type="expression" priority="5" id="{EE8307A5-1C42-4083-BB83-FA1F0C871166}">
            <xm:f>'18'!$AH101=0</xm:f>
            <x14:dxf>
              <fill>
                <patternFill>
                  <bgColor rgb="FF51E2F1"/>
                </patternFill>
              </fill>
            </x14:dxf>
          </x14:cfRule>
          <xm:sqref>A101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I91" sqref="AI9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2079/02/20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42</v>
      </c>
      <c r="C5" s="32">
        <f t="shared" si="0"/>
        <v>29</v>
      </c>
      <c r="D5" s="32">
        <f t="shared" si="0"/>
        <v>10</v>
      </c>
      <c r="E5" s="32">
        <f t="shared" si="0"/>
        <v>3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2</v>
      </c>
      <c r="J5" s="32">
        <f t="shared" si="0"/>
        <v>2</v>
      </c>
      <c r="K5" s="32">
        <f t="shared" si="0"/>
        <v>44</v>
      </c>
      <c r="L5" s="32">
        <f t="shared" si="0"/>
        <v>47</v>
      </c>
      <c r="M5" s="32">
        <f t="shared" si="0"/>
        <v>55</v>
      </c>
      <c r="N5" s="32">
        <f t="shared" si="0"/>
        <v>59</v>
      </c>
      <c r="O5" s="32">
        <f t="shared" si="0"/>
        <v>71</v>
      </c>
      <c r="P5" s="32">
        <f t="shared" si="0"/>
        <v>64.5</v>
      </c>
      <c r="Q5" s="32">
        <f t="shared" si="0"/>
        <v>85.1</v>
      </c>
      <c r="R5" s="32">
        <f t="shared" si="0"/>
        <v>71.900000000000006</v>
      </c>
      <c r="S5" s="32">
        <f t="shared" si="0"/>
        <v>74.7</v>
      </c>
      <c r="T5" s="32">
        <f t="shared" si="0"/>
        <v>69.5</v>
      </c>
      <c r="U5" s="32">
        <f t="shared" si="0"/>
        <v>64.599999999999994</v>
      </c>
      <c r="V5" s="32">
        <f t="shared" si="0"/>
        <v>62.3</v>
      </c>
      <c r="W5" s="32">
        <f t="shared" si="0"/>
        <v>64.2</v>
      </c>
      <c r="X5" s="32">
        <f t="shared" si="0"/>
        <v>33.700000000000003</v>
      </c>
      <c r="Y5" s="32">
        <f t="shared" si="0"/>
        <v>29.9</v>
      </c>
      <c r="Z5" s="32">
        <f t="shared" si="0"/>
        <v>51.1</v>
      </c>
      <c r="AA5" s="32">
        <f t="shared" si="0"/>
        <v>51.1</v>
      </c>
      <c r="AB5" s="32">
        <f t="shared" si="0"/>
        <v>55.7</v>
      </c>
      <c r="AC5" s="32">
        <f t="shared" si="0"/>
        <v>57.7</v>
      </c>
      <c r="AD5" s="32">
        <f t="shared" si="0"/>
        <v>46</v>
      </c>
      <c r="AE5" s="32">
        <f t="shared" si="0"/>
        <v>52.4</v>
      </c>
      <c r="AF5" s="32">
        <f>B68</f>
        <v>43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1760MW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Load=1682</v>
      </c>
      <c r="B7" s="37">
        <f>B75</f>
        <v>1747.1399999999999</v>
      </c>
      <c r="C7" s="37">
        <f t="shared" ref="C7:AF7" si="1">C75</f>
        <v>1742.1399999999999</v>
      </c>
      <c r="D7" s="37">
        <f t="shared" si="1"/>
        <v>1725.74</v>
      </c>
      <c r="E7" s="37">
        <f t="shared" si="1"/>
        <v>1703.1399999999999</v>
      </c>
      <c r="F7" s="37">
        <f t="shared" si="1"/>
        <v>1703.54</v>
      </c>
      <c r="G7" s="37">
        <f t="shared" si="1"/>
        <v>1692.1399999999999</v>
      </c>
      <c r="H7" s="37">
        <f t="shared" si="1"/>
        <v>1682.1399999999999</v>
      </c>
      <c r="I7" s="37">
        <f t="shared" si="1"/>
        <v>1687.1399999999999</v>
      </c>
      <c r="J7" s="37">
        <f t="shared" si="1"/>
        <v>1689.1399999999999</v>
      </c>
      <c r="K7" s="37">
        <f t="shared" si="1"/>
        <v>1689.1399999999999</v>
      </c>
      <c r="L7" s="37">
        <f t="shared" si="1"/>
        <v>1736.1399999999999</v>
      </c>
      <c r="M7" s="37">
        <f t="shared" si="1"/>
        <v>1759.5400000000002</v>
      </c>
      <c r="N7" s="37">
        <f t="shared" si="1"/>
        <v>1706.64</v>
      </c>
      <c r="O7" s="37">
        <f t="shared" si="1"/>
        <v>1761.0400000000002</v>
      </c>
      <c r="P7" s="37">
        <f t="shared" si="1"/>
        <v>1768.64</v>
      </c>
      <c r="Q7" s="37">
        <f t="shared" si="1"/>
        <v>1770.64</v>
      </c>
      <c r="R7" s="37">
        <f t="shared" si="1"/>
        <v>1753.14</v>
      </c>
      <c r="S7" s="37">
        <f t="shared" si="1"/>
        <v>1755.2400000000002</v>
      </c>
      <c r="T7" s="37">
        <f t="shared" si="1"/>
        <v>1739.4400000000003</v>
      </c>
      <c r="U7" s="37">
        <f t="shared" si="1"/>
        <v>1728.44</v>
      </c>
      <c r="V7" s="37">
        <f t="shared" si="1"/>
        <v>1741.8400000000001</v>
      </c>
      <c r="W7" s="37">
        <f t="shared" si="1"/>
        <v>1757.0400000000002</v>
      </c>
      <c r="X7" s="37">
        <f t="shared" si="1"/>
        <v>1774.2400000000002</v>
      </c>
      <c r="Y7" s="37">
        <f t="shared" si="1"/>
        <v>1738.7400000000002</v>
      </c>
      <c r="Z7" s="37">
        <f t="shared" si="1"/>
        <v>1725.74</v>
      </c>
      <c r="AA7" s="37">
        <f t="shared" si="1"/>
        <v>1768.1399999999999</v>
      </c>
      <c r="AB7" s="37">
        <f t="shared" si="1"/>
        <v>1755.04</v>
      </c>
      <c r="AC7" s="37">
        <f t="shared" si="1"/>
        <v>1759.8400000000001</v>
      </c>
      <c r="AD7" s="37">
        <f t="shared" si="1"/>
        <v>1761.8400000000001</v>
      </c>
      <c r="AE7" s="37">
        <f t="shared" si="1"/>
        <v>1746.94</v>
      </c>
      <c r="AF7" s="37">
        <f t="shared" si="1"/>
        <v>1754.54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49">
        <v>456</v>
      </c>
      <c r="G11" s="49">
        <v>456</v>
      </c>
      <c r="H11" s="49">
        <v>456</v>
      </c>
      <c r="I11" s="49">
        <v>456</v>
      </c>
      <c r="J11" s="49">
        <v>456</v>
      </c>
      <c r="K11" s="49">
        <v>456</v>
      </c>
      <c r="L11" s="49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</v>
      </c>
      <c r="C13" s="51">
        <v>54</v>
      </c>
      <c r="D13" s="51">
        <v>54</v>
      </c>
      <c r="E13" s="51">
        <v>54</v>
      </c>
      <c r="F13" s="51">
        <v>54</v>
      </c>
      <c r="G13" s="51">
        <v>54</v>
      </c>
      <c r="H13" s="51">
        <v>54</v>
      </c>
      <c r="I13" s="51">
        <v>54</v>
      </c>
      <c r="J13" s="51">
        <v>54</v>
      </c>
      <c r="K13" s="51">
        <v>54</v>
      </c>
      <c r="L13" s="51">
        <v>54</v>
      </c>
      <c r="M13" s="51">
        <v>54</v>
      </c>
      <c r="N13" s="51">
        <v>54</v>
      </c>
      <c r="O13" s="51">
        <v>54</v>
      </c>
      <c r="P13" s="51">
        <v>54</v>
      </c>
      <c r="Q13" s="51">
        <v>54</v>
      </c>
      <c r="R13" s="51">
        <v>54</v>
      </c>
      <c r="S13" s="51">
        <v>54</v>
      </c>
      <c r="T13" s="51">
        <v>54</v>
      </c>
      <c r="U13" s="51">
        <v>54</v>
      </c>
      <c r="V13" s="51">
        <v>54</v>
      </c>
      <c r="W13" s="51">
        <v>54</v>
      </c>
      <c r="X13" s="51">
        <v>54</v>
      </c>
      <c r="Y13" s="51">
        <v>54</v>
      </c>
      <c r="Z13" s="51">
        <v>53.8</v>
      </c>
      <c r="AA13" s="51">
        <v>53.8</v>
      </c>
      <c r="AB13" s="51">
        <v>53.8</v>
      </c>
      <c r="AC13" s="51">
        <v>54</v>
      </c>
      <c r="AD13" s="51">
        <v>54</v>
      </c>
      <c r="AE13" s="51">
        <v>53.9</v>
      </c>
      <c r="AF13" s="51">
        <v>53.9</v>
      </c>
      <c r="AG13" s="59">
        <v>52.4</v>
      </c>
      <c r="AH13" s="55">
        <f t="shared" si="2"/>
        <v>54</v>
      </c>
      <c r="AI13" s="56">
        <f t="shared" si="3"/>
        <v>53.8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50.4</v>
      </c>
      <c r="C14" s="51">
        <v>50.4</v>
      </c>
      <c r="D14" s="51">
        <v>50.4</v>
      </c>
      <c r="E14" s="51">
        <v>50.4</v>
      </c>
      <c r="F14" s="51">
        <v>50.4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50.7</v>
      </c>
      <c r="N14" s="51">
        <v>50.7</v>
      </c>
      <c r="O14" s="51">
        <v>50.7</v>
      </c>
      <c r="P14" s="51">
        <v>50.7</v>
      </c>
      <c r="Q14" s="51">
        <v>50.7</v>
      </c>
      <c r="R14" s="51">
        <v>50.7</v>
      </c>
      <c r="S14" s="51">
        <v>50.7</v>
      </c>
      <c r="T14" s="51">
        <v>50.7</v>
      </c>
      <c r="U14" s="51">
        <v>50.7</v>
      </c>
      <c r="V14" s="51">
        <v>50.7</v>
      </c>
      <c r="W14" s="51">
        <v>50.7</v>
      </c>
      <c r="X14" s="51">
        <v>50.7</v>
      </c>
      <c r="Y14" s="51">
        <v>50.7</v>
      </c>
      <c r="Z14" s="51">
        <v>50.7</v>
      </c>
      <c r="AA14" s="51">
        <v>50.7</v>
      </c>
      <c r="AB14" s="51">
        <v>50.7</v>
      </c>
      <c r="AC14" s="51">
        <v>50.7</v>
      </c>
      <c r="AD14" s="51">
        <v>50.7</v>
      </c>
      <c r="AE14" s="51">
        <v>50.6</v>
      </c>
      <c r="AF14" s="51">
        <v>50.5</v>
      </c>
      <c r="AG14" s="59">
        <v>50</v>
      </c>
      <c r="AH14" s="55">
        <f t="shared" si="2"/>
        <v>50.7</v>
      </c>
      <c r="AI14" s="56">
        <f t="shared" si="3"/>
        <v>50.4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45.9</v>
      </c>
      <c r="C15" s="51">
        <v>45.9</v>
      </c>
      <c r="D15" s="51">
        <v>45.9</v>
      </c>
      <c r="E15" s="51">
        <v>45.9</v>
      </c>
      <c r="F15" s="51">
        <v>45.9</v>
      </c>
      <c r="G15" s="51">
        <v>45.9</v>
      </c>
      <c r="H15" s="51">
        <v>45.9</v>
      </c>
      <c r="I15" s="51">
        <v>45.9</v>
      </c>
      <c r="J15" s="51">
        <v>45.9</v>
      </c>
      <c r="K15" s="51">
        <v>45.9</v>
      </c>
      <c r="L15" s="51">
        <v>45.9</v>
      </c>
      <c r="M15" s="51">
        <v>45.9</v>
      </c>
      <c r="N15" s="51">
        <v>45.9</v>
      </c>
      <c r="O15" s="51">
        <v>45.9</v>
      </c>
      <c r="P15" s="51">
        <v>45.9</v>
      </c>
      <c r="Q15" s="51">
        <v>45.9</v>
      </c>
      <c r="R15" s="51">
        <v>45.9</v>
      </c>
      <c r="S15" s="51">
        <v>45.9</v>
      </c>
      <c r="T15" s="51">
        <v>45.9</v>
      </c>
      <c r="U15" s="51">
        <v>45.9</v>
      </c>
      <c r="V15" s="51">
        <v>45.9</v>
      </c>
      <c r="W15" s="51">
        <v>45.9</v>
      </c>
      <c r="X15" s="51">
        <v>45.9</v>
      </c>
      <c r="Y15" s="51">
        <v>45.9</v>
      </c>
      <c r="Z15" s="51">
        <v>45.9</v>
      </c>
      <c r="AA15" s="51">
        <v>45.9</v>
      </c>
      <c r="AB15" s="51">
        <v>45.9</v>
      </c>
      <c r="AC15" s="51">
        <v>45.9</v>
      </c>
      <c r="AD15" s="51">
        <v>45.9</v>
      </c>
      <c r="AE15" s="51">
        <v>45.8</v>
      </c>
      <c r="AF15" s="51">
        <v>45.8</v>
      </c>
      <c r="AG15" s="60">
        <v>45</v>
      </c>
      <c r="AH15" s="55">
        <f t="shared" si="2"/>
        <v>45.9</v>
      </c>
      <c r="AI15" s="56">
        <f t="shared" si="3"/>
        <v>45.8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38</v>
      </c>
      <c r="D16" s="51">
        <v>35</v>
      </c>
      <c r="E16" s="51">
        <v>35</v>
      </c>
      <c r="F16" s="51">
        <v>35</v>
      </c>
      <c r="G16" s="51">
        <v>35</v>
      </c>
      <c r="H16" s="51">
        <v>30</v>
      </c>
      <c r="I16" s="51">
        <v>30</v>
      </c>
      <c r="J16" s="51">
        <v>30</v>
      </c>
      <c r="K16" s="51">
        <v>30</v>
      </c>
      <c r="L16" s="51">
        <v>35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28</v>
      </c>
      <c r="S16" s="51">
        <v>40</v>
      </c>
      <c r="T16" s="51">
        <v>40</v>
      </c>
      <c r="U16" s="51">
        <v>40</v>
      </c>
      <c r="V16" s="51">
        <v>40</v>
      </c>
      <c r="W16" s="51">
        <v>30</v>
      </c>
      <c r="X16" s="51">
        <v>40</v>
      </c>
      <c r="Y16" s="51">
        <v>40</v>
      </c>
      <c r="Z16" s="51">
        <v>30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28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25.7</v>
      </c>
      <c r="C19" s="51">
        <v>25.7</v>
      </c>
      <c r="D19" s="51">
        <v>25.7</v>
      </c>
      <c r="E19" s="51">
        <v>25.7</v>
      </c>
      <c r="F19" s="51">
        <v>26.2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25.7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19.5</v>
      </c>
      <c r="C20" s="51">
        <v>19.5</v>
      </c>
      <c r="D20" s="51">
        <v>19.5</v>
      </c>
      <c r="E20" s="51">
        <v>19.5</v>
      </c>
      <c r="F20" s="51">
        <v>19.5</v>
      </c>
      <c r="G20" s="51">
        <v>19.5</v>
      </c>
      <c r="H20" s="51">
        <v>19.5</v>
      </c>
      <c r="I20" s="51">
        <v>19.5</v>
      </c>
      <c r="J20" s="51">
        <v>19.5</v>
      </c>
      <c r="K20" s="51">
        <v>19.5</v>
      </c>
      <c r="L20" s="51">
        <v>19.5</v>
      </c>
      <c r="M20" s="51">
        <v>19.5</v>
      </c>
      <c r="N20" s="51">
        <v>19.5</v>
      </c>
      <c r="O20" s="51">
        <v>19.5</v>
      </c>
      <c r="P20" s="51">
        <v>19.5</v>
      </c>
      <c r="Q20" s="51">
        <v>19.5</v>
      </c>
      <c r="R20" s="51">
        <v>19.5</v>
      </c>
      <c r="S20" s="51">
        <v>19.5</v>
      </c>
      <c r="T20" s="51">
        <v>19.5</v>
      </c>
      <c r="U20" s="51">
        <v>19.5</v>
      </c>
      <c r="V20" s="51">
        <v>19.5</v>
      </c>
      <c r="W20" s="51">
        <v>19.5</v>
      </c>
      <c r="X20" s="51">
        <v>19.5</v>
      </c>
      <c r="Y20" s="51">
        <v>19.5</v>
      </c>
      <c r="Z20" s="51">
        <v>19.5</v>
      </c>
      <c r="AA20" s="51">
        <v>19.5</v>
      </c>
      <c r="AB20" s="51">
        <v>20.399999999999999</v>
      </c>
      <c r="AC20" s="51">
        <v>20.399999999999999</v>
      </c>
      <c r="AD20" s="51">
        <v>20.399999999999999</v>
      </c>
      <c r="AE20" s="51">
        <v>20.399999999999999</v>
      </c>
      <c r="AF20" s="51">
        <v>20.2</v>
      </c>
      <c r="AG20" s="59">
        <v>27</v>
      </c>
      <c r="AH20" s="55">
        <f t="shared" si="2"/>
        <v>20.399999999999999</v>
      </c>
      <c r="AI20" s="56">
        <f t="shared" si="3"/>
        <v>19.5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19</v>
      </c>
      <c r="C21" s="51">
        <v>19</v>
      </c>
      <c r="D21" s="51">
        <v>19</v>
      </c>
      <c r="E21" s="51">
        <v>19</v>
      </c>
      <c r="F21" s="51">
        <v>19</v>
      </c>
      <c r="G21" s="51">
        <v>19</v>
      </c>
      <c r="H21" s="51">
        <v>19</v>
      </c>
      <c r="I21" s="51">
        <v>19</v>
      </c>
      <c r="J21" s="51">
        <v>19</v>
      </c>
      <c r="K21" s="51">
        <v>19</v>
      </c>
      <c r="L21" s="51">
        <v>19</v>
      </c>
      <c r="M21" s="51">
        <v>19</v>
      </c>
      <c r="N21" s="51">
        <v>19</v>
      </c>
      <c r="O21" s="51">
        <v>19</v>
      </c>
      <c r="P21" s="51">
        <v>19</v>
      </c>
      <c r="Q21" s="51">
        <v>19</v>
      </c>
      <c r="R21" s="51">
        <v>19</v>
      </c>
      <c r="S21" s="51">
        <v>19</v>
      </c>
      <c r="T21" s="51">
        <v>19</v>
      </c>
      <c r="U21" s="51">
        <v>19</v>
      </c>
      <c r="V21" s="51">
        <v>19</v>
      </c>
      <c r="W21" s="51">
        <v>19</v>
      </c>
      <c r="X21" s="51">
        <v>19</v>
      </c>
      <c r="Y21" s="51">
        <v>19</v>
      </c>
      <c r="Z21" s="51">
        <v>19</v>
      </c>
      <c r="AA21" s="51">
        <v>19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9">
        <v>25</v>
      </c>
      <c r="AH21" s="55">
        <f t="shared" si="2"/>
        <v>19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23</v>
      </c>
      <c r="Y24" s="51">
        <v>23</v>
      </c>
      <c r="Z24" s="51">
        <v>23</v>
      </c>
      <c r="AA24" s="51">
        <v>23</v>
      </c>
      <c r="AB24" s="51">
        <v>23</v>
      </c>
      <c r="AC24" s="51">
        <v>23</v>
      </c>
      <c r="AD24" s="51">
        <v>23</v>
      </c>
      <c r="AE24" s="51">
        <v>23</v>
      </c>
      <c r="AF24" s="51">
        <v>23</v>
      </c>
      <c r="AG24" s="59">
        <v>25</v>
      </c>
      <c r="AH24" s="55">
        <f t="shared" si="2"/>
        <v>23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17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17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8</v>
      </c>
      <c r="D26" s="51">
        <v>5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5</v>
      </c>
      <c r="S26" s="51">
        <v>0</v>
      </c>
      <c r="T26" s="51">
        <v>0</v>
      </c>
      <c r="U26" s="51">
        <v>0</v>
      </c>
      <c r="V26" s="51">
        <v>10</v>
      </c>
      <c r="W26" s="51">
        <v>10</v>
      </c>
      <c r="X26" s="51">
        <v>10</v>
      </c>
      <c r="Y26" s="51">
        <v>5</v>
      </c>
      <c r="Z26" s="51">
        <v>5</v>
      </c>
      <c r="AA26" s="51">
        <v>5</v>
      </c>
      <c r="AB26" s="51">
        <v>10</v>
      </c>
      <c r="AC26" s="51">
        <v>10</v>
      </c>
      <c r="AD26" s="51">
        <v>10</v>
      </c>
      <c r="AE26" s="51">
        <v>5</v>
      </c>
      <c r="AF26" s="51">
        <v>5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13.6</v>
      </c>
      <c r="C28" s="51">
        <v>13.6</v>
      </c>
      <c r="D28" s="51">
        <v>13.6</v>
      </c>
      <c r="E28" s="51">
        <v>13.6</v>
      </c>
      <c r="F28" s="51">
        <v>13.6</v>
      </c>
      <c r="G28" s="51">
        <v>13.6</v>
      </c>
      <c r="H28" s="51">
        <v>13.6</v>
      </c>
      <c r="I28" s="51">
        <v>13.6</v>
      </c>
      <c r="J28" s="51">
        <v>13.6</v>
      </c>
      <c r="K28" s="51">
        <v>13.6</v>
      </c>
      <c r="L28" s="51">
        <v>13.6</v>
      </c>
      <c r="M28" s="51">
        <v>13.6</v>
      </c>
      <c r="N28" s="51">
        <v>13.6</v>
      </c>
      <c r="O28" s="51">
        <v>13.6</v>
      </c>
      <c r="P28" s="51">
        <v>13.6</v>
      </c>
      <c r="Q28" s="51">
        <v>13.6</v>
      </c>
      <c r="R28" s="51">
        <v>5</v>
      </c>
      <c r="S28" s="51">
        <v>5</v>
      </c>
      <c r="T28" s="51">
        <v>5</v>
      </c>
      <c r="U28" s="51">
        <v>5</v>
      </c>
      <c r="V28" s="51">
        <v>5</v>
      </c>
      <c r="W28" s="51">
        <v>5</v>
      </c>
      <c r="X28" s="51">
        <v>5</v>
      </c>
      <c r="Y28" s="51">
        <v>5</v>
      </c>
      <c r="Z28" s="51">
        <v>5</v>
      </c>
      <c r="AA28" s="51">
        <v>5</v>
      </c>
      <c r="AB28" s="51">
        <v>5</v>
      </c>
      <c r="AC28" s="51">
        <v>5</v>
      </c>
      <c r="AD28" s="51">
        <v>5</v>
      </c>
      <c r="AE28" s="51">
        <v>5</v>
      </c>
      <c r="AF28" s="51">
        <v>5</v>
      </c>
      <c r="AG28" s="59">
        <v>22.2</v>
      </c>
      <c r="AH28" s="55">
        <f t="shared" si="2"/>
        <v>13.6</v>
      </c>
      <c r="AI28" s="56">
        <f t="shared" si="3"/>
        <v>5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8</v>
      </c>
      <c r="F30" s="51">
        <v>8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8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7</v>
      </c>
      <c r="W31" s="51">
        <v>7</v>
      </c>
      <c r="X31" s="51">
        <v>12</v>
      </c>
      <c r="Y31" s="51">
        <v>12</v>
      </c>
      <c r="Z31" s="51">
        <v>12</v>
      </c>
      <c r="AA31" s="51">
        <v>12</v>
      </c>
      <c r="AB31" s="51">
        <v>12</v>
      </c>
      <c r="AC31" s="51">
        <v>12</v>
      </c>
      <c r="AD31" s="51">
        <v>12</v>
      </c>
      <c r="AE31" s="51">
        <v>12</v>
      </c>
      <c r="AF31" s="51">
        <v>12</v>
      </c>
      <c r="AG31" s="60">
        <v>22</v>
      </c>
      <c r="AH31" s="55">
        <f t="shared" si="2"/>
        <v>12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10</v>
      </c>
      <c r="C32" s="51">
        <v>10</v>
      </c>
      <c r="D32" s="51">
        <v>10</v>
      </c>
      <c r="E32" s="51">
        <v>10</v>
      </c>
      <c r="F32" s="51">
        <v>10</v>
      </c>
      <c r="G32" s="51">
        <v>10</v>
      </c>
      <c r="H32" s="51">
        <v>10</v>
      </c>
      <c r="I32" s="51">
        <v>10</v>
      </c>
      <c r="J32" s="51">
        <v>10</v>
      </c>
      <c r="K32" s="51">
        <v>10</v>
      </c>
      <c r="L32" s="51">
        <v>10</v>
      </c>
      <c r="M32" s="51">
        <v>10</v>
      </c>
      <c r="N32" s="51">
        <v>10</v>
      </c>
      <c r="O32" s="51">
        <v>10</v>
      </c>
      <c r="P32" s="51">
        <v>10</v>
      </c>
      <c r="Q32" s="51">
        <v>10</v>
      </c>
      <c r="R32" s="51">
        <v>10</v>
      </c>
      <c r="S32" s="51">
        <v>10</v>
      </c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1">
        <v>10</v>
      </c>
      <c r="Z32" s="51">
        <v>10</v>
      </c>
      <c r="AA32" s="51">
        <v>10</v>
      </c>
      <c r="AB32" s="51">
        <v>10</v>
      </c>
      <c r="AC32" s="51">
        <v>10</v>
      </c>
      <c r="AD32" s="51">
        <v>10</v>
      </c>
      <c r="AE32" s="51">
        <v>10</v>
      </c>
      <c r="AF32" s="51">
        <v>10</v>
      </c>
      <c r="AG32" s="64">
        <v>22</v>
      </c>
      <c r="AH32" s="55">
        <f t="shared" si="2"/>
        <v>10</v>
      </c>
      <c r="AI32" s="56">
        <f t="shared" si="3"/>
        <v>10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10</v>
      </c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1">
        <v>5</v>
      </c>
      <c r="S34" s="51">
        <v>5</v>
      </c>
      <c r="T34" s="51">
        <v>5</v>
      </c>
      <c r="U34" s="51">
        <v>5</v>
      </c>
      <c r="V34" s="51">
        <v>5</v>
      </c>
      <c r="W34" s="51">
        <v>5</v>
      </c>
      <c r="X34" s="51">
        <v>5</v>
      </c>
      <c r="Y34" s="51">
        <v>5</v>
      </c>
      <c r="Z34" s="51">
        <v>5</v>
      </c>
      <c r="AA34" s="51">
        <v>5</v>
      </c>
      <c r="AB34" s="51">
        <v>5</v>
      </c>
      <c r="AC34" s="51">
        <v>5</v>
      </c>
      <c r="AD34" s="51">
        <v>5</v>
      </c>
      <c r="AE34" s="51">
        <v>5</v>
      </c>
      <c r="AF34" s="51">
        <v>5</v>
      </c>
      <c r="AG34" s="64">
        <v>20</v>
      </c>
      <c r="AH34" s="55">
        <f t="shared" si="2"/>
        <v>10</v>
      </c>
      <c r="AI34" s="56">
        <f t="shared" si="3"/>
        <v>5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8</v>
      </c>
      <c r="N35" s="51">
        <v>8</v>
      </c>
      <c r="O35" s="51">
        <v>8</v>
      </c>
      <c r="P35" s="51">
        <v>8</v>
      </c>
      <c r="Q35" s="51">
        <v>8</v>
      </c>
      <c r="R35" s="51">
        <v>8</v>
      </c>
      <c r="S35" s="51">
        <v>8</v>
      </c>
      <c r="T35" s="51">
        <v>8</v>
      </c>
      <c r="U35" s="51">
        <v>8</v>
      </c>
      <c r="V35" s="51">
        <v>8</v>
      </c>
      <c r="W35" s="51">
        <v>8</v>
      </c>
      <c r="X35" s="51">
        <v>8</v>
      </c>
      <c r="Y35" s="51">
        <v>8</v>
      </c>
      <c r="Z35" s="51">
        <v>8</v>
      </c>
      <c r="AA35" s="51">
        <v>8</v>
      </c>
      <c r="AB35" s="51">
        <v>8</v>
      </c>
      <c r="AC35" s="51">
        <v>8</v>
      </c>
      <c r="AD35" s="51">
        <v>8</v>
      </c>
      <c r="AE35" s="51">
        <v>8</v>
      </c>
      <c r="AF35" s="51">
        <v>8</v>
      </c>
      <c r="AG35" s="64">
        <v>15.33</v>
      </c>
      <c r="AH35" s="55">
        <f t="shared" si="2"/>
        <v>8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157</v>
      </c>
      <c r="C37" s="68">
        <v>157</v>
      </c>
      <c r="D37" s="68">
        <v>157</v>
      </c>
      <c r="E37" s="68">
        <v>157</v>
      </c>
      <c r="F37" s="68">
        <v>157</v>
      </c>
      <c r="G37" s="68">
        <v>157</v>
      </c>
      <c r="H37" s="68">
        <f>57.1+97.1</f>
        <v>154.19999999999999</v>
      </c>
      <c r="I37" s="68">
        <f>57+98.2</f>
        <v>155.19999999999999</v>
      </c>
      <c r="J37" s="68">
        <f>57+98.2</f>
        <v>155.19999999999999</v>
      </c>
      <c r="K37" s="68">
        <f>57+98.2</f>
        <v>155.19999999999999</v>
      </c>
      <c r="L37" s="66">
        <f>57+98</f>
        <v>155</v>
      </c>
      <c r="M37" s="66">
        <f>56.9+97.2</f>
        <v>154.1</v>
      </c>
      <c r="N37" s="66">
        <f>57+97.5</f>
        <v>154.5</v>
      </c>
      <c r="O37" s="66">
        <f>56.5+96</f>
        <v>152.5</v>
      </c>
      <c r="P37" s="66">
        <v>154</v>
      </c>
      <c r="Q37" s="66">
        <f>57.3+98.3</f>
        <v>155.6</v>
      </c>
      <c r="R37" s="66">
        <f>57.2+98</f>
        <v>155.19999999999999</v>
      </c>
      <c r="S37" s="66">
        <f>54.7+88.1</f>
        <v>142.80000000000001</v>
      </c>
      <c r="T37" s="66">
        <f>56.2+95.4</f>
        <v>151.60000000000002</v>
      </c>
      <c r="U37" s="66">
        <f>71.7+80.9</f>
        <v>152.60000000000002</v>
      </c>
      <c r="V37" s="66">
        <f>69.5+86.6</f>
        <v>156.1</v>
      </c>
      <c r="W37" s="66">
        <f>72.2+93</f>
        <v>165.2</v>
      </c>
      <c r="X37" s="68">
        <f>72.4+93.9</f>
        <v>166.3</v>
      </c>
      <c r="Y37" s="68">
        <f>71.6+95.5</f>
        <v>167.1</v>
      </c>
      <c r="Z37" s="68">
        <f>71.8+92.6</f>
        <v>164.39999999999998</v>
      </c>
      <c r="AA37" s="68">
        <f>71+100.4</f>
        <v>171.4</v>
      </c>
      <c r="AB37" s="68">
        <f>70.6+98.3</f>
        <v>168.89999999999998</v>
      </c>
      <c r="AC37" s="68">
        <f>70.8+98.7</f>
        <v>169.5</v>
      </c>
      <c r="AD37" s="68">
        <f>70.8+98.7</f>
        <v>169.5</v>
      </c>
      <c r="AE37" s="68">
        <f>70.8+98.7</f>
        <v>169.5</v>
      </c>
      <c r="AF37" s="68">
        <f>71.9+68.6</f>
        <v>140.5</v>
      </c>
      <c r="AG37" s="64">
        <v>240</v>
      </c>
      <c r="AH37" s="55">
        <f t="shared" si="2"/>
        <v>171.4</v>
      </c>
      <c r="AI37" s="56">
        <f t="shared" si="3"/>
        <v>140.5</v>
      </c>
      <c r="AK37" s="57"/>
    </row>
    <row r="38" spans="1:88" ht="15.75" thickBot="1" x14ac:dyDescent="0.3">
      <c r="A38" s="69" t="s">
        <v>46</v>
      </c>
      <c r="B38" s="70">
        <f t="shared" ref="B38:L38" si="4">SUM(B11:B36)</f>
        <v>1280.5999999999999</v>
      </c>
      <c r="C38" s="70">
        <f t="shared" si="4"/>
        <v>1276.5999999999999</v>
      </c>
      <c r="D38" s="70">
        <f t="shared" si="4"/>
        <v>1270.5999999999999</v>
      </c>
      <c r="E38" s="70">
        <f t="shared" si="4"/>
        <v>1271.5999999999999</v>
      </c>
      <c r="F38" s="70">
        <f t="shared" si="4"/>
        <v>1272.0999999999999</v>
      </c>
      <c r="G38" s="70">
        <f t="shared" si="4"/>
        <v>1264.0999999999999</v>
      </c>
      <c r="H38" s="70">
        <f t="shared" si="4"/>
        <v>1254.0999999999999</v>
      </c>
      <c r="I38" s="70">
        <f t="shared" si="4"/>
        <v>1259.0999999999999</v>
      </c>
      <c r="J38" s="70">
        <f t="shared" si="4"/>
        <v>1259.0999999999999</v>
      </c>
      <c r="K38" s="70">
        <f t="shared" si="4"/>
        <v>1259.0999999999999</v>
      </c>
      <c r="L38" s="70">
        <f t="shared" si="4"/>
        <v>1264.0999999999999</v>
      </c>
      <c r="M38" s="70">
        <f t="shared" ref="M38:T38" si="5">SUM(M11:M36)</f>
        <v>1277.4000000000001</v>
      </c>
      <c r="N38" s="70">
        <f t="shared" si="5"/>
        <v>1277.4000000000001</v>
      </c>
      <c r="O38" s="70">
        <f t="shared" si="5"/>
        <v>1277.4000000000001</v>
      </c>
      <c r="P38" s="70">
        <f t="shared" si="5"/>
        <v>1277.4000000000001</v>
      </c>
      <c r="Q38" s="70">
        <f t="shared" si="5"/>
        <v>1285.4000000000001</v>
      </c>
      <c r="R38" s="70">
        <f t="shared" si="5"/>
        <v>1258.8000000000002</v>
      </c>
      <c r="S38" s="70">
        <f t="shared" si="5"/>
        <v>1265.8000000000002</v>
      </c>
      <c r="T38" s="70">
        <f t="shared" si="5"/>
        <v>1265.8000000000002</v>
      </c>
      <c r="U38" s="70">
        <f t="shared" ref="U38:AF38" si="6">SUM(U11:U36)</f>
        <v>1265.8000000000002</v>
      </c>
      <c r="V38" s="70">
        <f t="shared" si="6"/>
        <v>1282.8000000000002</v>
      </c>
      <c r="W38" s="70">
        <f t="shared" si="6"/>
        <v>1272.8000000000002</v>
      </c>
      <c r="X38" s="70">
        <f t="shared" si="6"/>
        <v>1288.8000000000002</v>
      </c>
      <c r="Y38" s="70">
        <f t="shared" si="6"/>
        <v>1283.8000000000002</v>
      </c>
      <c r="Z38" s="70">
        <f t="shared" si="6"/>
        <v>1273.5999999999999</v>
      </c>
      <c r="AA38" s="70">
        <f t="shared" si="6"/>
        <v>1283.5999999999999</v>
      </c>
      <c r="AB38" s="70">
        <f t="shared" si="6"/>
        <v>1270.5</v>
      </c>
      <c r="AC38" s="70">
        <f t="shared" si="6"/>
        <v>1270.7</v>
      </c>
      <c r="AD38" s="70">
        <f t="shared" si="6"/>
        <v>1270.7</v>
      </c>
      <c r="AE38" s="70">
        <f t="shared" si="6"/>
        <v>1265.4000000000001</v>
      </c>
      <c r="AF38" s="70">
        <f t="shared" si="6"/>
        <v>1265.0999999999999</v>
      </c>
      <c r="AG38" s="64">
        <f>SUM(AG11:AG37)</f>
        <v>1492.8299999999997</v>
      </c>
      <c r="AH38" s="55">
        <f t="shared" si="2"/>
        <v>1288.8000000000002</v>
      </c>
      <c r="AI38" s="56">
        <f t="shared" si="3"/>
        <v>1254.0999999999999</v>
      </c>
      <c r="AK38" s="57"/>
    </row>
    <row r="39" spans="1:88" x14ac:dyDescent="0.25">
      <c r="A39" s="58" t="s">
        <v>47</v>
      </c>
      <c r="B39" s="51">
        <v>143</v>
      </c>
      <c r="C39" s="51">
        <v>143</v>
      </c>
      <c r="D39" s="51">
        <v>143</v>
      </c>
      <c r="E39" s="51">
        <v>143</v>
      </c>
      <c r="F39" s="51">
        <v>143</v>
      </c>
      <c r="G39" s="51">
        <v>143</v>
      </c>
      <c r="H39" s="51">
        <v>143</v>
      </c>
      <c r="I39" s="51">
        <v>143</v>
      </c>
      <c r="J39" s="51">
        <v>143</v>
      </c>
      <c r="K39" s="51">
        <v>143</v>
      </c>
      <c r="L39" s="51">
        <v>143</v>
      </c>
      <c r="M39" s="51">
        <v>143.30000000000001</v>
      </c>
      <c r="N39" s="51">
        <v>143.30000000000001</v>
      </c>
      <c r="O39" s="51">
        <v>143.30000000000001</v>
      </c>
      <c r="P39" s="51">
        <v>142</v>
      </c>
      <c r="Q39" s="51">
        <v>142</v>
      </c>
      <c r="R39" s="51">
        <v>142</v>
      </c>
      <c r="S39" s="51">
        <v>143.6</v>
      </c>
      <c r="T39" s="51">
        <v>143.6</v>
      </c>
      <c r="U39" s="51">
        <v>143.19999999999999</v>
      </c>
      <c r="V39" s="51">
        <v>143.6</v>
      </c>
      <c r="W39" s="51">
        <v>143.5</v>
      </c>
      <c r="X39" s="51">
        <v>143.5</v>
      </c>
      <c r="Y39" s="51">
        <v>143.5</v>
      </c>
      <c r="Z39" s="51">
        <v>143.5</v>
      </c>
      <c r="AA39" s="51">
        <v>144</v>
      </c>
      <c r="AB39" s="51">
        <v>144</v>
      </c>
      <c r="AC39" s="51">
        <v>144</v>
      </c>
      <c r="AD39" s="51">
        <v>144</v>
      </c>
      <c r="AE39" s="51">
        <v>144.80000000000001</v>
      </c>
      <c r="AF39" s="51">
        <v>145.1</v>
      </c>
      <c r="AG39" s="60">
        <v>144</v>
      </c>
      <c r="AH39" s="55">
        <f t="shared" si="2"/>
        <v>145.1</v>
      </c>
      <c r="AI39" s="56">
        <f t="shared" si="3"/>
        <v>142</v>
      </c>
      <c r="AK39" s="57"/>
    </row>
    <row r="40" spans="1:88" x14ac:dyDescent="0.25">
      <c r="A40" s="63" t="s">
        <v>48</v>
      </c>
      <c r="B40" s="49">
        <v>70</v>
      </c>
      <c r="C40" s="49">
        <v>70</v>
      </c>
      <c r="D40" s="49">
        <v>72.599999999999994</v>
      </c>
      <c r="E40" s="49">
        <v>71.3</v>
      </c>
      <c r="F40" s="49">
        <v>71.3</v>
      </c>
      <c r="G40" s="49">
        <v>70.900000000000006</v>
      </c>
      <c r="H40" s="49">
        <v>70.900000000000006</v>
      </c>
      <c r="I40" s="49">
        <v>70.900000000000006</v>
      </c>
      <c r="J40" s="49">
        <v>70.900000000000006</v>
      </c>
      <c r="K40" s="49">
        <v>70.900000000000006</v>
      </c>
      <c r="L40" s="49">
        <v>70.900000000000006</v>
      </c>
      <c r="M40" s="51">
        <v>71.3</v>
      </c>
      <c r="N40" s="51">
        <v>71.3</v>
      </c>
      <c r="O40" s="51">
        <v>71.3</v>
      </c>
      <c r="P40" s="51">
        <v>71.3</v>
      </c>
      <c r="Q40" s="51">
        <v>71.3</v>
      </c>
      <c r="R40" s="51">
        <v>70.599999999999994</v>
      </c>
      <c r="S40" s="51">
        <v>70.599999999999994</v>
      </c>
      <c r="T40" s="51">
        <v>70.599999999999994</v>
      </c>
      <c r="U40" s="51">
        <v>69.2</v>
      </c>
      <c r="V40" s="51">
        <v>71.400000000000006</v>
      </c>
      <c r="W40" s="51">
        <v>70.8</v>
      </c>
      <c r="X40" s="49">
        <v>71.099999999999994</v>
      </c>
      <c r="Y40" s="49">
        <v>71.099999999999994</v>
      </c>
      <c r="Z40" s="49">
        <v>71.099999999999994</v>
      </c>
      <c r="AA40" s="49">
        <v>70.900000000000006</v>
      </c>
      <c r="AB40" s="49">
        <v>70.900000000000006</v>
      </c>
      <c r="AC40" s="49">
        <v>70.900000000000006</v>
      </c>
      <c r="AD40" s="49">
        <v>70.900000000000006</v>
      </c>
      <c r="AE40" s="49">
        <v>70</v>
      </c>
      <c r="AF40" s="49">
        <v>73.7</v>
      </c>
      <c r="AG40" s="64">
        <v>70</v>
      </c>
      <c r="AH40" s="55">
        <f t="shared" si="2"/>
        <v>73.7</v>
      </c>
      <c r="AI40" s="56">
        <f t="shared" si="3"/>
        <v>69.2</v>
      </c>
      <c r="AK40" s="57"/>
    </row>
    <row r="41" spans="1:88" x14ac:dyDescent="0.25">
      <c r="A41" s="63" t="s">
        <v>49</v>
      </c>
      <c r="B41" s="49">
        <v>64</v>
      </c>
      <c r="C41" s="49">
        <v>64</v>
      </c>
      <c r="D41" s="49">
        <v>64</v>
      </c>
      <c r="E41" s="49">
        <v>64</v>
      </c>
      <c r="F41" s="49">
        <v>64</v>
      </c>
      <c r="G41" s="49">
        <v>64</v>
      </c>
      <c r="H41" s="49">
        <v>64</v>
      </c>
      <c r="I41" s="49">
        <v>64</v>
      </c>
      <c r="J41" s="49">
        <v>64</v>
      </c>
      <c r="K41" s="49">
        <v>64</v>
      </c>
      <c r="L41" s="49">
        <v>64</v>
      </c>
      <c r="M41" s="51">
        <v>63.7</v>
      </c>
      <c r="N41" s="51">
        <v>63.7</v>
      </c>
      <c r="O41" s="51">
        <v>63.7</v>
      </c>
      <c r="P41" s="51">
        <v>63.9</v>
      </c>
      <c r="Q41" s="51">
        <v>64.3</v>
      </c>
      <c r="R41" s="51">
        <v>64.3</v>
      </c>
      <c r="S41" s="51">
        <v>64.3</v>
      </c>
      <c r="T41" s="51">
        <v>64.5</v>
      </c>
      <c r="U41" s="51">
        <v>65.599999999999994</v>
      </c>
      <c r="V41" s="51">
        <v>64.3</v>
      </c>
      <c r="W41" s="51">
        <v>64.099999999999994</v>
      </c>
      <c r="X41" s="49">
        <v>64.2</v>
      </c>
      <c r="Y41" s="49">
        <v>64.2</v>
      </c>
      <c r="Z41" s="49">
        <v>64.2</v>
      </c>
      <c r="AA41" s="49">
        <v>64.400000000000006</v>
      </c>
      <c r="AB41" s="49">
        <v>64.400000000000006</v>
      </c>
      <c r="AC41" s="49">
        <v>64.400000000000006</v>
      </c>
      <c r="AD41" s="49">
        <v>64.400000000000006</v>
      </c>
      <c r="AE41" s="49">
        <v>63.7</v>
      </c>
      <c r="AF41" s="49">
        <v>64.2</v>
      </c>
      <c r="AG41" s="64">
        <v>69</v>
      </c>
      <c r="AH41" s="55">
        <f t="shared" si="2"/>
        <v>65.599999999999994</v>
      </c>
      <c r="AI41" s="56">
        <f t="shared" si="3"/>
        <v>63.7</v>
      </c>
      <c r="AK41" s="57"/>
    </row>
    <row r="42" spans="1:88" x14ac:dyDescent="0.25">
      <c r="A42" s="63" t="s">
        <v>50</v>
      </c>
      <c r="B42" s="66">
        <v>61.2</v>
      </c>
      <c r="C42" s="66">
        <v>61.2</v>
      </c>
      <c r="D42" s="66">
        <v>61.2</v>
      </c>
      <c r="E42" s="66">
        <v>61.2</v>
      </c>
      <c r="F42" s="66">
        <v>61.2</v>
      </c>
      <c r="G42" s="66">
        <v>61.2</v>
      </c>
      <c r="H42" s="66">
        <v>61.2</v>
      </c>
      <c r="I42" s="66">
        <v>61.2</v>
      </c>
      <c r="J42" s="66">
        <v>61.2</v>
      </c>
      <c r="K42" s="66">
        <v>61.2</v>
      </c>
      <c r="L42" s="66">
        <v>61.2</v>
      </c>
      <c r="M42" s="51">
        <v>60.9</v>
      </c>
      <c r="N42" s="51">
        <v>0</v>
      </c>
      <c r="O42" s="51">
        <v>50.4</v>
      </c>
      <c r="P42" s="51">
        <v>52.9</v>
      </c>
      <c r="Q42" s="51">
        <v>50.1</v>
      </c>
      <c r="R42" s="51">
        <v>50.1</v>
      </c>
      <c r="S42" s="51">
        <v>50.1</v>
      </c>
      <c r="T42" s="51">
        <v>31.3</v>
      </c>
      <c r="U42" s="51">
        <v>28.8</v>
      </c>
      <c r="V42" s="51">
        <v>28.8</v>
      </c>
      <c r="W42" s="51">
        <v>60.2</v>
      </c>
      <c r="X42" s="49">
        <v>61.4</v>
      </c>
      <c r="Y42" s="49">
        <v>61.4</v>
      </c>
      <c r="Z42" s="49">
        <v>61.4</v>
      </c>
      <c r="AA42" s="49">
        <v>61.4</v>
      </c>
      <c r="AB42" s="49">
        <v>61.4</v>
      </c>
      <c r="AC42" s="49">
        <v>61.4</v>
      </c>
      <c r="AD42" s="49">
        <v>61.4</v>
      </c>
      <c r="AE42" s="49">
        <v>64</v>
      </c>
      <c r="AF42" s="66">
        <v>61.7</v>
      </c>
      <c r="AG42" s="64">
        <v>60</v>
      </c>
      <c r="AH42" s="55">
        <f t="shared" si="2"/>
        <v>64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29.3</v>
      </c>
      <c r="C43" s="66">
        <v>29.3</v>
      </c>
      <c r="D43" s="66">
        <v>29.3</v>
      </c>
      <c r="E43" s="66">
        <v>29.3</v>
      </c>
      <c r="F43" s="66">
        <v>29.3</v>
      </c>
      <c r="G43" s="66">
        <v>29.8</v>
      </c>
      <c r="H43" s="66">
        <v>29.8</v>
      </c>
      <c r="I43" s="66">
        <v>29.8</v>
      </c>
      <c r="J43" s="66">
        <v>29.8</v>
      </c>
      <c r="K43" s="66">
        <v>29.8</v>
      </c>
      <c r="L43" s="66">
        <v>29.8</v>
      </c>
      <c r="M43" s="51">
        <v>29</v>
      </c>
      <c r="N43" s="51">
        <v>29</v>
      </c>
      <c r="O43" s="51">
        <v>29</v>
      </c>
      <c r="P43" s="51">
        <v>29</v>
      </c>
      <c r="Q43" s="51">
        <v>29</v>
      </c>
      <c r="R43" s="51">
        <v>29</v>
      </c>
      <c r="S43" s="51">
        <v>29</v>
      </c>
      <c r="T43" s="51">
        <v>29</v>
      </c>
      <c r="U43" s="51">
        <v>29</v>
      </c>
      <c r="V43" s="51">
        <v>29</v>
      </c>
      <c r="W43" s="51">
        <v>29</v>
      </c>
      <c r="X43" s="49">
        <v>29.3</v>
      </c>
      <c r="Y43" s="49">
        <v>29.3</v>
      </c>
      <c r="Z43" s="49">
        <v>29.3</v>
      </c>
      <c r="AA43" s="49">
        <v>29.2</v>
      </c>
      <c r="AB43" s="49">
        <v>29.2</v>
      </c>
      <c r="AC43" s="49">
        <v>29.2</v>
      </c>
      <c r="AD43" s="49">
        <v>29.2</v>
      </c>
      <c r="AE43" s="49">
        <v>29.2</v>
      </c>
      <c r="AF43" s="66">
        <v>29</v>
      </c>
      <c r="AG43" s="64">
        <v>30</v>
      </c>
      <c r="AH43" s="55">
        <f t="shared" si="2"/>
        <v>29.8</v>
      </c>
      <c r="AI43" s="56">
        <f t="shared" si="3"/>
        <v>29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5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49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12.7</v>
      </c>
      <c r="C45" s="49">
        <v>12.7</v>
      </c>
      <c r="D45" s="49">
        <v>12.7</v>
      </c>
      <c r="E45" s="49">
        <v>14.3</v>
      </c>
      <c r="F45" s="49">
        <v>14.3</v>
      </c>
      <c r="G45" s="49">
        <v>13.8</v>
      </c>
      <c r="H45" s="49">
        <v>13.8</v>
      </c>
      <c r="I45" s="49">
        <v>13.8</v>
      </c>
      <c r="J45" s="49">
        <v>13.8</v>
      </c>
      <c r="K45" s="49">
        <v>13.8</v>
      </c>
      <c r="L45" s="49">
        <v>13.8</v>
      </c>
      <c r="M45" s="51">
        <v>13.6</v>
      </c>
      <c r="N45" s="51">
        <v>13.6</v>
      </c>
      <c r="O45" s="51">
        <v>13.6</v>
      </c>
      <c r="P45" s="51">
        <v>9.8000000000000007</v>
      </c>
      <c r="Q45" s="51">
        <v>12.7</v>
      </c>
      <c r="R45" s="51">
        <v>12.7</v>
      </c>
      <c r="S45" s="51">
        <v>16.399999999999999</v>
      </c>
      <c r="T45" s="51">
        <v>16.399999999999999</v>
      </c>
      <c r="U45" s="51">
        <v>16.399999999999999</v>
      </c>
      <c r="V45" s="51">
        <v>16.399999999999999</v>
      </c>
      <c r="W45" s="51">
        <v>16.399999999999999</v>
      </c>
      <c r="X45" s="51">
        <v>16.2</v>
      </c>
      <c r="Y45" s="51">
        <v>16.2</v>
      </c>
      <c r="Z45" s="51">
        <v>16.2</v>
      </c>
      <c r="AA45" s="51">
        <v>16</v>
      </c>
      <c r="AB45" s="51">
        <v>16</v>
      </c>
      <c r="AC45" s="51">
        <v>16</v>
      </c>
      <c r="AD45" s="51">
        <v>16</v>
      </c>
      <c r="AE45" s="51">
        <v>15.9</v>
      </c>
      <c r="AF45" s="49">
        <v>16</v>
      </c>
      <c r="AG45" s="64">
        <v>24</v>
      </c>
      <c r="AH45" s="55">
        <f t="shared" si="2"/>
        <v>16.399999999999999</v>
      </c>
      <c r="AI45" s="56">
        <f t="shared" si="3"/>
        <v>9.8000000000000007</v>
      </c>
      <c r="AK45" s="57"/>
    </row>
    <row r="46" spans="1:88" x14ac:dyDescent="0.25">
      <c r="A46" s="63" t="s">
        <v>54</v>
      </c>
      <c r="B46" s="49">
        <v>2.6</v>
      </c>
      <c r="C46" s="49">
        <v>2.6</v>
      </c>
      <c r="D46" s="49">
        <v>2.6</v>
      </c>
      <c r="E46" s="49">
        <v>2.6</v>
      </c>
      <c r="F46" s="49">
        <v>2.6</v>
      </c>
      <c r="G46" s="49">
        <v>2.6</v>
      </c>
      <c r="H46" s="49">
        <v>2.6</v>
      </c>
      <c r="I46" s="49">
        <v>2.6</v>
      </c>
      <c r="J46" s="49">
        <v>2.6</v>
      </c>
      <c r="K46" s="49">
        <v>2.6</v>
      </c>
      <c r="L46" s="49">
        <v>2.6</v>
      </c>
      <c r="M46" s="51">
        <v>2.6</v>
      </c>
      <c r="N46" s="51">
        <v>2.6</v>
      </c>
      <c r="O46" s="51">
        <v>2.6</v>
      </c>
      <c r="P46" s="51">
        <v>2.6</v>
      </c>
      <c r="Q46" s="51">
        <v>2.6</v>
      </c>
      <c r="R46" s="51">
        <v>2.6</v>
      </c>
      <c r="S46" s="51">
        <v>2.6</v>
      </c>
      <c r="T46" s="51">
        <v>2.6</v>
      </c>
      <c r="U46" s="51">
        <v>0</v>
      </c>
      <c r="V46" s="51">
        <v>0</v>
      </c>
      <c r="W46" s="51">
        <v>0</v>
      </c>
      <c r="X46" s="51">
        <v>2.6</v>
      </c>
      <c r="Y46" s="51">
        <v>2.6</v>
      </c>
      <c r="Z46" s="51">
        <v>2.6</v>
      </c>
      <c r="AA46" s="51">
        <v>2.6</v>
      </c>
      <c r="AB46" s="51">
        <v>2.6</v>
      </c>
      <c r="AC46" s="51">
        <v>2.6</v>
      </c>
      <c r="AD46" s="51">
        <v>2.6</v>
      </c>
      <c r="AE46" s="51">
        <v>2.6</v>
      </c>
      <c r="AF46" s="49">
        <v>2.6</v>
      </c>
      <c r="AG46" s="64">
        <v>15</v>
      </c>
      <c r="AH46" s="55">
        <f t="shared" si="2"/>
        <v>2.6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8</v>
      </c>
      <c r="C47" s="49">
        <v>8</v>
      </c>
      <c r="D47" s="49">
        <v>8</v>
      </c>
      <c r="E47" s="49">
        <v>10</v>
      </c>
      <c r="F47" s="49">
        <v>10</v>
      </c>
      <c r="G47" s="49">
        <v>10</v>
      </c>
      <c r="H47" s="49">
        <v>10</v>
      </c>
      <c r="I47" s="49">
        <v>10</v>
      </c>
      <c r="J47" s="49">
        <v>10</v>
      </c>
      <c r="K47" s="49">
        <v>10</v>
      </c>
      <c r="L47" s="49">
        <v>10</v>
      </c>
      <c r="M47" s="51">
        <v>10</v>
      </c>
      <c r="N47" s="51">
        <v>10</v>
      </c>
      <c r="O47" s="51">
        <v>10</v>
      </c>
      <c r="P47" s="51">
        <v>8</v>
      </c>
      <c r="Q47" s="51">
        <v>8</v>
      </c>
      <c r="R47" s="51">
        <v>8</v>
      </c>
      <c r="S47" s="51">
        <v>11</v>
      </c>
      <c r="T47" s="51">
        <v>11</v>
      </c>
      <c r="U47" s="51">
        <v>11</v>
      </c>
      <c r="V47" s="51">
        <v>11</v>
      </c>
      <c r="W47" s="51">
        <v>11</v>
      </c>
      <c r="X47" s="51">
        <v>11</v>
      </c>
      <c r="Y47" s="51">
        <v>11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51">
        <v>12.4</v>
      </c>
      <c r="AF47" s="49">
        <v>11.8</v>
      </c>
      <c r="AG47" s="64">
        <v>14.1</v>
      </c>
      <c r="AH47" s="55">
        <f t="shared" si="2"/>
        <v>12.4</v>
      </c>
      <c r="AI47" s="56">
        <f t="shared" si="3"/>
        <v>8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13.8</v>
      </c>
      <c r="C48" s="49">
        <v>13.8</v>
      </c>
      <c r="D48" s="49">
        <v>13.8</v>
      </c>
      <c r="E48" s="49">
        <v>6.9</v>
      </c>
      <c r="F48" s="49">
        <v>13.8</v>
      </c>
      <c r="G48" s="49">
        <v>13.8</v>
      </c>
      <c r="H48" s="49">
        <v>13.8</v>
      </c>
      <c r="I48" s="49">
        <v>13.8</v>
      </c>
      <c r="J48" s="49">
        <v>13.8</v>
      </c>
      <c r="K48" s="49">
        <v>13.8</v>
      </c>
      <c r="L48" s="49">
        <v>13.8</v>
      </c>
      <c r="M48" s="51">
        <v>13.8</v>
      </c>
      <c r="N48" s="51">
        <v>13.8</v>
      </c>
      <c r="O48" s="51">
        <v>13.8</v>
      </c>
      <c r="P48" s="51">
        <v>13.8</v>
      </c>
      <c r="Q48" s="51">
        <v>13.8</v>
      </c>
      <c r="R48" s="51">
        <v>3</v>
      </c>
      <c r="S48" s="51">
        <v>3</v>
      </c>
      <c r="T48" s="51">
        <v>3</v>
      </c>
      <c r="U48" s="51">
        <v>3</v>
      </c>
      <c r="V48" s="51">
        <v>3</v>
      </c>
      <c r="W48" s="51">
        <v>3</v>
      </c>
      <c r="X48" s="51">
        <v>3</v>
      </c>
      <c r="Y48" s="51">
        <v>3</v>
      </c>
      <c r="Z48" s="51">
        <v>3</v>
      </c>
      <c r="AA48" s="51">
        <v>13.9</v>
      </c>
      <c r="AB48" s="51">
        <v>13.9</v>
      </c>
      <c r="AC48" s="51">
        <v>13.9</v>
      </c>
      <c r="AD48" s="51">
        <v>13.9</v>
      </c>
      <c r="AE48" s="51">
        <v>13.9</v>
      </c>
      <c r="AF48" s="49">
        <v>13.9</v>
      </c>
      <c r="AG48" s="64">
        <v>14</v>
      </c>
      <c r="AH48" s="55">
        <f t="shared" si="2"/>
        <v>13.9</v>
      </c>
      <c r="AI48" s="56">
        <f t="shared" si="3"/>
        <v>3</v>
      </c>
      <c r="AK48" s="57"/>
    </row>
    <row r="49" spans="1:37" x14ac:dyDescent="0.25">
      <c r="A49" s="63" t="s">
        <v>57</v>
      </c>
      <c r="B49" s="49">
        <v>9.4</v>
      </c>
      <c r="C49" s="49">
        <v>9.4</v>
      </c>
      <c r="D49" s="49">
        <v>9.4</v>
      </c>
      <c r="E49" s="49">
        <v>9.4</v>
      </c>
      <c r="F49" s="49">
        <v>9.4</v>
      </c>
      <c r="G49" s="49">
        <v>9.4</v>
      </c>
      <c r="H49" s="49">
        <v>9.4</v>
      </c>
      <c r="I49" s="49">
        <v>9.4</v>
      </c>
      <c r="J49" s="49">
        <v>9.4</v>
      </c>
      <c r="K49" s="49">
        <v>9.4</v>
      </c>
      <c r="L49" s="49">
        <v>9.4</v>
      </c>
      <c r="M49" s="51">
        <v>9.4</v>
      </c>
      <c r="N49" s="51">
        <v>9.4</v>
      </c>
      <c r="O49" s="51">
        <v>9.4</v>
      </c>
      <c r="P49" s="51">
        <v>9.4</v>
      </c>
      <c r="Q49" s="51">
        <v>9.4</v>
      </c>
      <c r="R49" s="51">
        <v>9.4</v>
      </c>
      <c r="S49" s="51">
        <v>9.4</v>
      </c>
      <c r="T49" s="51">
        <v>9.4</v>
      </c>
      <c r="U49" s="51">
        <v>9.4</v>
      </c>
      <c r="V49" s="51">
        <v>9.4</v>
      </c>
      <c r="W49" s="51">
        <v>9.4</v>
      </c>
      <c r="X49" s="51">
        <v>9.4</v>
      </c>
      <c r="Y49" s="51">
        <v>9.4</v>
      </c>
      <c r="Z49" s="51">
        <v>9.4</v>
      </c>
      <c r="AA49" s="51">
        <v>9.5</v>
      </c>
      <c r="AB49" s="51">
        <v>9.5</v>
      </c>
      <c r="AC49" s="51">
        <v>9.5</v>
      </c>
      <c r="AD49" s="51">
        <v>9.5</v>
      </c>
      <c r="AE49" s="51">
        <v>9.5</v>
      </c>
      <c r="AF49" s="49">
        <v>9.5</v>
      </c>
      <c r="AG49" s="64">
        <v>10.050000000000001</v>
      </c>
      <c r="AH49" s="55">
        <f t="shared" si="2"/>
        <v>9.5</v>
      </c>
      <c r="AI49" s="56">
        <f t="shared" si="3"/>
        <v>9.4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51">
        <v>6</v>
      </c>
      <c r="N50" s="51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49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423.54</v>
      </c>
      <c r="C52" s="70">
        <f t="shared" ref="C52:AF52" si="8">SUM(C39:C51)</f>
        <v>423.54</v>
      </c>
      <c r="D52" s="70">
        <f t="shared" si="8"/>
        <v>426.14000000000004</v>
      </c>
      <c r="E52" s="70">
        <f t="shared" si="8"/>
        <v>421.54</v>
      </c>
      <c r="F52" s="70">
        <f t="shared" si="8"/>
        <v>428.44000000000005</v>
      </c>
      <c r="G52" s="70">
        <f t="shared" si="8"/>
        <v>428.04</v>
      </c>
      <c r="H52" s="70">
        <f t="shared" si="8"/>
        <v>428.04</v>
      </c>
      <c r="I52" s="70">
        <f t="shared" si="8"/>
        <v>428.04</v>
      </c>
      <c r="J52" s="70">
        <f t="shared" si="8"/>
        <v>428.04</v>
      </c>
      <c r="K52" s="70">
        <f t="shared" si="8"/>
        <v>428.04</v>
      </c>
      <c r="L52" s="70">
        <f t="shared" si="8"/>
        <v>428.04</v>
      </c>
      <c r="M52" s="70">
        <f t="shared" si="8"/>
        <v>435.14000000000004</v>
      </c>
      <c r="N52" s="70">
        <f t="shared" si="8"/>
        <v>374.24000000000007</v>
      </c>
      <c r="O52" s="70">
        <f t="shared" si="8"/>
        <v>424.64000000000004</v>
      </c>
      <c r="P52" s="70">
        <f t="shared" si="8"/>
        <v>420.24</v>
      </c>
      <c r="Q52" s="70">
        <f t="shared" si="8"/>
        <v>420.74000000000007</v>
      </c>
      <c r="R52" s="70">
        <f t="shared" si="8"/>
        <v>409.24</v>
      </c>
      <c r="S52" s="70">
        <f t="shared" si="8"/>
        <v>417.54</v>
      </c>
      <c r="T52" s="70">
        <f t="shared" si="8"/>
        <v>398.94</v>
      </c>
      <c r="U52" s="70">
        <f t="shared" si="8"/>
        <v>393.14</v>
      </c>
      <c r="V52" s="70">
        <f t="shared" si="8"/>
        <v>394.44</v>
      </c>
      <c r="W52" s="70">
        <f t="shared" si="8"/>
        <v>421.93999999999994</v>
      </c>
      <c r="X52" s="70">
        <f t="shared" si="8"/>
        <v>421.24</v>
      </c>
      <c r="Y52" s="70">
        <f t="shared" si="8"/>
        <v>421.24</v>
      </c>
      <c r="Z52" s="70">
        <f t="shared" si="8"/>
        <v>422.24</v>
      </c>
      <c r="AA52" s="70">
        <f t="shared" si="8"/>
        <v>433.44</v>
      </c>
      <c r="AB52" s="70">
        <f t="shared" si="8"/>
        <v>433.44</v>
      </c>
      <c r="AC52" s="70">
        <f t="shared" si="8"/>
        <v>433.44</v>
      </c>
      <c r="AD52" s="70">
        <f t="shared" si="8"/>
        <v>433.44</v>
      </c>
      <c r="AE52" s="70">
        <f t="shared" si="8"/>
        <v>435.53999999999996</v>
      </c>
      <c r="AF52" s="70">
        <f t="shared" si="8"/>
        <v>437.04</v>
      </c>
      <c r="AG52" s="74">
        <f>SUM(AG39:AG51)</f>
        <v>489.91</v>
      </c>
      <c r="AH52" s="55">
        <f t="shared" si="2"/>
        <v>437.04</v>
      </c>
      <c r="AI52" s="56">
        <f t="shared" si="3"/>
        <v>374.24000000000007</v>
      </c>
      <c r="AK52" s="57"/>
    </row>
    <row r="53" spans="1:37" x14ac:dyDescent="0.25">
      <c r="A53" s="58" t="s">
        <v>61</v>
      </c>
      <c r="B53" s="51">
        <v>14</v>
      </c>
      <c r="C53" s="51">
        <v>14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10.7</v>
      </c>
      <c r="N53" s="51">
        <v>50.1</v>
      </c>
      <c r="O53" s="51">
        <v>29.2</v>
      </c>
      <c r="P53" s="51">
        <v>34</v>
      </c>
      <c r="Q53" s="51">
        <v>34.200000000000003</v>
      </c>
      <c r="R53" s="51">
        <v>39.6</v>
      </c>
      <c r="S53" s="51">
        <v>59.1</v>
      </c>
      <c r="T53" s="51">
        <v>40</v>
      </c>
      <c r="U53" s="51">
        <v>59.2</v>
      </c>
      <c r="V53" s="51">
        <v>34.9</v>
      </c>
      <c r="W53" s="51">
        <v>10.5</v>
      </c>
      <c r="X53" s="51">
        <v>0</v>
      </c>
      <c r="Y53" s="51">
        <v>0</v>
      </c>
      <c r="Z53" s="51">
        <v>0</v>
      </c>
      <c r="AA53" s="51">
        <v>33.299999999999997</v>
      </c>
      <c r="AB53" s="51">
        <v>59.8</v>
      </c>
      <c r="AC53" s="51">
        <v>58.7</v>
      </c>
      <c r="AD53" s="51">
        <v>49.5</v>
      </c>
      <c r="AE53" s="51">
        <v>44.5</v>
      </c>
      <c r="AF53" s="51">
        <v>50.2</v>
      </c>
      <c r="AG53" s="60">
        <v>60</v>
      </c>
      <c r="AH53" s="55">
        <f t="shared" si="2"/>
        <v>59.8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7</v>
      </c>
      <c r="C54" s="49">
        <v>7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4</v>
      </c>
      <c r="N54" s="49">
        <v>16</v>
      </c>
      <c r="O54" s="49">
        <v>15.3</v>
      </c>
      <c r="P54" s="49">
        <v>20</v>
      </c>
      <c r="Q54" s="49">
        <v>19.5</v>
      </c>
      <c r="R54" s="49">
        <v>26.3</v>
      </c>
      <c r="S54" s="49">
        <v>29.3</v>
      </c>
      <c r="T54" s="49">
        <v>24.6</v>
      </c>
      <c r="U54" s="49">
        <v>24.5</v>
      </c>
      <c r="V54" s="49">
        <v>15.8</v>
      </c>
      <c r="W54" s="49">
        <v>6.6</v>
      </c>
      <c r="X54" s="49">
        <v>0</v>
      </c>
      <c r="Y54" s="49">
        <v>0</v>
      </c>
      <c r="Z54" s="49">
        <v>0</v>
      </c>
      <c r="AA54" s="49">
        <v>14.6</v>
      </c>
      <c r="AB54" s="49">
        <v>30.6</v>
      </c>
      <c r="AC54" s="49">
        <v>28.4</v>
      </c>
      <c r="AD54" s="49">
        <v>24.7</v>
      </c>
      <c r="AE54" s="49">
        <v>21.3</v>
      </c>
      <c r="AF54" s="49">
        <v>9.8000000000000007</v>
      </c>
      <c r="AG54" s="64">
        <v>32</v>
      </c>
      <c r="AH54" s="55">
        <f t="shared" si="2"/>
        <v>30.6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2.4</v>
      </c>
      <c r="C55" s="75">
        <v>2.4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1.5</v>
      </c>
      <c r="N55" s="75">
        <v>5.8</v>
      </c>
      <c r="O55" s="75">
        <v>5.4</v>
      </c>
      <c r="P55" s="75">
        <v>7.3</v>
      </c>
      <c r="Q55" s="75">
        <v>7.1</v>
      </c>
      <c r="R55" s="75">
        <v>9.4</v>
      </c>
      <c r="S55" s="75">
        <v>10.7</v>
      </c>
      <c r="T55" s="75">
        <v>9</v>
      </c>
      <c r="U55" s="75">
        <v>9</v>
      </c>
      <c r="V55" s="75">
        <v>5.8</v>
      </c>
      <c r="W55" s="75">
        <v>2.4</v>
      </c>
      <c r="X55" s="75">
        <v>0</v>
      </c>
      <c r="Y55" s="75">
        <v>0</v>
      </c>
      <c r="Z55" s="75">
        <v>0</v>
      </c>
      <c r="AA55" s="75">
        <v>5.0999999999999996</v>
      </c>
      <c r="AB55" s="75">
        <v>11.2</v>
      </c>
      <c r="AC55" s="75">
        <v>10.3</v>
      </c>
      <c r="AD55" s="75">
        <v>9</v>
      </c>
      <c r="AE55" s="75">
        <v>7.8</v>
      </c>
      <c r="AF55" s="75">
        <v>3.6</v>
      </c>
      <c r="AG55" s="76">
        <v>14</v>
      </c>
      <c r="AH55" s="55">
        <f t="shared" si="2"/>
        <v>11.2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23.4</v>
      </c>
      <c r="C56" s="70">
        <f t="shared" si="9"/>
        <v>23.4</v>
      </c>
      <c r="D56" s="70">
        <f t="shared" si="9"/>
        <v>0</v>
      </c>
      <c r="E56" s="70">
        <f t="shared" si="9"/>
        <v>0</v>
      </c>
      <c r="F56" s="70">
        <f t="shared" si="9"/>
        <v>0</v>
      </c>
      <c r="G56" s="70">
        <f t="shared" si="9"/>
        <v>0</v>
      </c>
      <c r="H56" s="70">
        <f t="shared" si="9"/>
        <v>0</v>
      </c>
      <c r="I56" s="70">
        <f t="shared" si="9"/>
        <v>0</v>
      </c>
      <c r="J56" s="70">
        <f t="shared" si="9"/>
        <v>0</v>
      </c>
      <c r="K56" s="70">
        <f t="shared" si="9"/>
        <v>0</v>
      </c>
      <c r="L56" s="70">
        <f t="shared" si="9"/>
        <v>0</v>
      </c>
      <c r="M56" s="70">
        <f t="shared" si="9"/>
        <v>16.2</v>
      </c>
      <c r="N56" s="70">
        <f t="shared" si="9"/>
        <v>71.899999999999991</v>
      </c>
      <c r="O56" s="70">
        <f t="shared" si="9"/>
        <v>49.9</v>
      </c>
      <c r="P56" s="70">
        <f t="shared" si="9"/>
        <v>61.3</v>
      </c>
      <c r="Q56" s="70">
        <f t="shared" si="9"/>
        <v>60.800000000000004</v>
      </c>
      <c r="R56" s="70">
        <f t="shared" si="9"/>
        <v>75.300000000000011</v>
      </c>
      <c r="S56" s="70">
        <f t="shared" si="9"/>
        <v>99.100000000000009</v>
      </c>
      <c r="T56" s="70">
        <f t="shared" si="9"/>
        <v>73.599999999999994</v>
      </c>
      <c r="U56" s="70">
        <f t="shared" si="9"/>
        <v>92.7</v>
      </c>
      <c r="V56" s="70">
        <f t="shared" si="9"/>
        <v>56.5</v>
      </c>
      <c r="W56" s="70">
        <f t="shared" si="9"/>
        <v>19.5</v>
      </c>
      <c r="X56" s="70">
        <f t="shared" si="9"/>
        <v>0</v>
      </c>
      <c r="Y56" s="70">
        <f t="shared" si="9"/>
        <v>0</v>
      </c>
      <c r="Z56" s="70">
        <f t="shared" si="9"/>
        <v>0</v>
      </c>
      <c r="AA56" s="70">
        <f t="shared" si="9"/>
        <v>53</v>
      </c>
      <c r="AB56" s="70">
        <f t="shared" si="9"/>
        <v>101.60000000000001</v>
      </c>
      <c r="AC56" s="70">
        <f t="shared" si="9"/>
        <v>97.399999999999991</v>
      </c>
      <c r="AD56" s="70">
        <f t="shared" si="9"/>
        <v>83.2</v>
      </c>
      <c r="AE56" s="70">
        <f t="shared" si="9"/>
        <v>73.599999999999994</v>
      </c>
      <c r="AF56" s="70">
        <f t="shared" si="9"/>
        <v>63.6</v>
      </c>
      <c r="AG56" s="74">
        <f>SUM(AG53:AG55)</f>
        <v>106</v>
      </c>
      <c r="AH56" s="55">
        <f t="shared" si="2"/>
        <v>101.60000000000001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39</v>
      </c>
      <c r="C57" s="51">
        <v>38</v>
      </c>
      <c r="D57" s="51">
        <v>15</v>
      </c>
      <c r="E57" s="51">
        <v>10</v>
      </c>
      <c r="F57" s="51">
        <v>3</v>
      </c>
      <c r="G57" s="51">
        <v>-2</v>
      </c>
      <c r="H57" s="51">
        <v>-7</v>
      </c>
      <c r="I57" s="51">
        <v>-10</v>
      </c>
      <c r="J57" s="51">
        <v>2</v>
      </c>
      <c r="K57" s="51">
        <v>2</v>
      </c>
      <c r="L57" s="51">
        <v>44</v>
      </c>
      <c r="M57" s="51">
        <v>47</v>
      </c>
      <c r="N57" s="51">
        <v>55</v>
      </c>
      <c r="O57" s="51">
        <v>59</v>
      </c>
      <c r="P57" s="51">
        <v>66</v>
      </c>
      <c r="Q57" s="51">
        <v>59.5</v>
      </c>
      <c r="R57" s="51">
        <v>70.099999999999994</v>
      </c>
      <c r="S57" s="51">
        <v>66.900000000000006</v>
      </c>
      <c r="T57" s="51">
        <v>69.7</v>
      </c>
      <c r="U57" s="51">
        <v>64.5</v>
      </c>
      <c r="V57" s="51">
        <v>59.6</v>
      </c>
      <c r="W57" s="51">
        <v>57.3</v>
      </c>
      <c r="X57" s="51">
        <v>59.2</v>
      </c>
      <c r="Y57" s="51">
        <v>28.7</v>
      </c>
      <c r="Z57" s="51">
        <v>24.9</v>
      </c>
      <c r="AA57" s="51">
        <v>46.1</v>
      </c>
      <c r="AB57" s="51">
        <v>46.1</v>
      </c>
      <c r="AC57" s="51">
        <v>50.7</v>
      </c>
      <c r="AD57" s="51">
        <v>52.7</v>
      </c>
      <c r="AE57" s="51">
        <v>41</v>
      </c>
      <c r="AF57" s="51">
        <v>47.4</v>
      </c>
      <c r="AG57" s="60"/>
      <c r="AH57" s="55">
        <f t="shared" si="2"/>
        <v>70.099999999999994</v>
      </c>
      <c r="AI57" s="56">
        <f t="shared" si="3"/>
        <v>-10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-352</v>
      </c>
      <c r="C59" s="49">
        <v>-360</v>
      </c>
      <c r="D59" s="49">
        <v>-367</v>
      </c>
      <c r="E59" s="49">
        <v>-352</v>
      </c>
      <c r="F59" s="49">
        <v>-397</v>
      </c>
      <c r="G59" s="49">
        <v>-395</v>
      </c>
      <c r="H59" s="49">
        <v>-440</v>
      </c>
      <c r="I59" s="49">
        <v>-404</v>
      </c>
      <c r="J59" s="49">
        <v>-366</v>
      </c>
      <c r="K59" s="49">
        <v>-323</v>
      </c>
      <c r="L59" s="49">
        <v>-325</v>
      </c>
      <c r="M59" s="49">
        <v>-332</v>
      </c>
      <c r="N59" s="49">
        <v>-298</v>
      </c>
      <c r="O59" s="49">
        <v>-320.5</v>
      </c>
      <c r="P59" s="49">
        <v>-306</v>
      </c>
      <c r="Q59" s="49">
        <v>-332</v>
      </c>
      <c r="R59" s="49">
        <v>-312</v>
      </c>
      <c r="S59" s="49">
        <v>-326</v>
      </c>
      <c r="T59" s="49">
        <v>-302</v>
      </c>
      <c r="U59" s="49">
        <v>-348</v>
      </c>
      <c r="V59" s="49">
        <v>-348.5</v>
      </c>
      <c r="W59" s="49">
        <v>-324</v>
      </c>
      <c r="X59" s="49">
        <v>-334</v>
      </c>
      <c r="Y59" s="49">
        <v>-336.4</v>
      </c>
      <c r="Z59" s="49">
        <v>-300</v>
      </c>
      <c r="AA59" s="49">
        <v>-241</v>
      </c>
      <c r="AB59" s="49">
        <v>-212</v>
      </c>
      <c r="AC59" s="49">
        <v>-260</v>
      </c>
      <c r="AD59" s="49">
        <v>-256</v>
      </c>
      <c r="AE59" s="49">
        <v>-310</v>
      </c>
      <c r="AF59" s="49">
        <v>-345.5</v>
      </c>
      <c r="AG59" s="77"/>
      <c r="AH59" s="55">
        <f t="shared" si="2"/>
        <v>-212</v>
      </c>
      <c r="AI59" s="56">
        <f t="shared" si="3"/>
        <v>-440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14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10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14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4</v>
      </c>
      <c r="C62" s="79">
        <v>4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9">
        <v>0</v>
      </c>
      <c r="C64" s="79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9">
        <v>0</v>
      </c>
      <c r="C65" s="79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79">
        <v>0</v>
      </c>
      <c r="C66" s="79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78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79">
        <v>0</v>
      </c>
      <c r="C67" s="79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78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43</v>
      </c>
      <c r="C68" s="70">
        <f t="shared" ref="C68:AF68" si="10">SUMIF(C57:C67,"&gt;0")</f>
        <v>42</v>
      </c>
      <c r="D68" s="70">
        <f t="shared" si="10"/>
        <v>29</v>
      </c>
      <c r="E68" s="70">
        <f t="shared" si="10"/>
        <v>10</v>
      </c>
      <c r="F68" s="70">
        <f t="shared" si="10"/>
        <v>3</v>
      </c>
      <c r="G68" s="70">
        <f t="shared" si="10"/>
        <v>0</v>
      </c>
      <c r="H68" s="70">
        <f t="shared" si="10"/>
        <v>0</v>
      </c>
      <c r="I68" s="70">
        <f t="shared" si="10"/>
        <v>0</v>
      </c>
      <c r="J68" s="70">
        <f t="shared" si="10"/>
        <v>2</v>
      </c>
      <c r="K68" s="70">
        <f t="shared" si="10"/>
        <v>2</v>
      </c>
      <c r="L68" s="70">
        <f t="shared" si="10"/>
        <v>44</v>
      </c>
      <c r="M68" s="70">
        <f t="shared" si="10"/>
        <v>47</v>
      </c>
      <c r="N68" s="70">
        <f t="shared" si="10"/>
        <v>55</v>
      </c>
      <c r="O68" s="70">
        <f t="shared" si="10"/>
        <v>59</v>
      </c>
      <c r="P68" s="70">
        <f t="shared" si="10"/>
        <v>71</v>
      </c>
      <c r="Q68" s="70">
        <f t="shared" si="10"/>
        <v>64.5</v>
      </c>
      <c r="R68" s="70">
        <f t="shared" si="10"/>
        <v>85.1</v>
      </c>
      <c r="S68" s="70">
        <f t="shared" si="10"/>
        <v>71.900000000000006</v>
      </c>
      <c r="T68" s="70">
        <f t="shared" si="10"/>
        <v>74.7</v>
      </c>
      <c r="U68" s="70">
        <f t="shared" si="10"/>
        <v>69.5</v>
      </c>
      <c r="V68" s="70">
        <f t="shared" si="10"/>
        <v>64.599999999999994</v>
      </c>
      <c r="W68" s="70">
        <f t="shared" si="10"/>
        <v>62.3</v>
      </c>
      <c r="X68" s="70">
        <f t="shared" si="10"/>
        <v>64.2</v>
      </c>
      <c r="Y68" s="70">
        <f t="shared" si="10"/>
        <v>33.700000000000003</v>
      </c>
      <c r="Z68" s="70">
        <f t="shared" si="10"/>
        <v>29.9</v>
      </c>
      <c r="AA68" s="70">
        <f t="shared" si="10"/>
        <v>51.1</v>
      </c>
      <c r="AB68" s="70">
        <f t="shared" si="10"/>
        <v>51.1</v>
      </c>
      <c r="AC68" s="70">
        <f t="shared" si="10"/>
        <v>55.7</v>
      </c>
      <c r="AD68" s="70">
        <f t="shared" si="10"/>
        <v>57.7</v>
      </c>
      <c r="AE68" s="70">
        <f t="shared" si="10"/>
        <v>46</v>
      </c>
      <c r="AF68" s="70">
        <f t="shared" si="10"/>
        <v>52.4</v>
      </c>
      <c r="AG68" s="74">
        <f>SUM(AG57:AG67)</f>
        <v>0</v>
      </c>
      <c r="AH68" s="55">
        <f t="shared" si="2"/>
        <v>85.1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1747.1399999999999</v>
      </c>
      <c r="C73" s="84">
        <f t="shared" ref="C73:AF73" si="11">C38+C52+C68+C72</f>
        <v>1742.1399999999999</v>
      </c>
      <c r="D73" s="84">
        <f t="shared" si="11"/>
        <v>1725.74</v>
      </c>
      <c r="E73" s="84">
        <f t="shared" si="11"/>
        <v>1703.1399999999999</v>
      </c>
      <c r="F73" s="84">
        <f t="shared" si="11"/>
        <v>1703.54</v>
      </c>
      <c r="G73" s="84">
        <f t="shared" si="11"/>
        <v>1692.1399999999999</v>
      </c>
      <c r="H73" s="84">
        <f t="shared" si="11"/>
        <v>1682.1399999999999</v>
      </c>
      <c r="I73" s="84">
        <f t="shared" si="11"/>
        <v>1687.1399999999999</v>
      </c>
      <c r="J73" s="84">
        <f t="shared" si="11"/>
        <v>1689.1399999999999</v>
      </c>
      <c r="K73" s="84">
        <f t="shared" si="11"/>
        <v>1689.1399999999999</v>
      </c>
      <c r="L73" s="84">
        <f t="shared" si="11"/>
        <v>1736.1399999999999</v>
      </c>
      <c r="M73" s="84">
        <f t="shared" si="11"/>
        <v>1759.5400000000002</v>
      </c>
      <c r="N73" s="84">
        <f t="shared" si="11"/>
        <v>1706.64</v>
      </c>
      <c r="O73" s="84">
        <f t="shared" si="11"/>
        <v>1761.0400000000002</v>
      </c>
      <c r="P73" s="84">
        <f t="shared" si="11"/>
        <v>1768.64</v>
      </c>
      <c r="Q73" s="84">
        <f t="shared" si="11"/>
        <v>1770.64</v>
      </c>
      <c r="R73" s="84">
        <f t="shared" si="11"/>
        <v>1753.14</v>
      </c>
      <c r="S73" s="84">
        <f t="shared" si="11"/>
        <v>1755.2400000000002</v>
      </c>
      <c r="T73" s="84">
        <f t="shared" si="11"/>
        <v>1739.4400000000003</v>
      </c>
      <c r="U73" s="84">
        <f t="shared" si="11"/>
        <v>1728.44</v>
      </c>
      <c r="V73" s="84">
        <f t="shared" si="11"/>
        <v>1741.8400000000001</v>
      </c>
      <c r="W73" s="84">
        <f t="shared" si="11"/>
        <v>1757.0400000000002</v>
      </c>
      <c r="X73" s="84">
        <f t="shared" si="11"/>
        <v>1774.2400000000002</v>
      </c>
      <c r="Y73" s="84">
        <f t="shared" si="11"/>
        <v>1738.7400000000002</v>
      </c>
      <c r="Z73" s="84">
        <f t="shared" si="11"/>
        <v>1725.74</v>
      </c>
      <c r="AA73" s="84">
        <f t="shared" si="11"/>
        <v>1768.1399999999999</v>
      </c>
      <c r="AB73" s="84">
        <f t="shared" si="11"/>
        <v>1755.04</v>
      </c>
      <c r="AC73" s="84">
        <f t="shared" si="11"/>
        <v>1759.8400000000001</v>
      </c>
      <c r="AD73" s="84">
        <f t="shared" si="11"/>
        <v>1761.8400000000001</v>
      </c>
      <c r="AE73" s="84">
        <f t="shared" si="11"/>
        <v>1746.94</v>
      </c>
      <c r="AF73" s="84">
        <f t="shared" si="11"/>
        <v>1754.54</v>
      </c>
      <c r="AG73" s="84">
        <f t="shared" ref="AG73" si="12">AG68+AG56+AG52+AG38+AG72</f>
        <v>2144.14</v>
      </c>
      <c r="AH73" s="55">
        <f t="shared" si="2"/>
        <v>1774.2400000000002</v>
      </c>
      <c r="AI73" s="56">
        <f t="shared" si="3"/>
        <v>1682.1399999999999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1747.1399999999999</v>
      </c>
      <c r="C75" s="84">
        <f t="shared" ref="C75:AF75" si="13">C73+C74</f>
        <v>1742.1399999999999</v>
      </c>
      <c r="D75" s="84">
        <f t="shared" si="13"/>
        <v>1725.74</v>
      </c>
      <c r="E75" s="84">
        <f t="shared" si="13"/>
        <v>1703.1399999999999</v>
      </c>
      <c r="F75" s="84">
        <f t="shared" si="13"/>
        <v>1703.54</v>
      </c>
      <c r="G75" s="84">
        <f t="shared" si="13"/>
        <v>1692.1399999999999</v>
      </c>
      <c r="H75" s="84">
        <f t="shared" si="13"/>
        <v>1682.1399999999999</v>
      </c>
      <c r="I75" s="84">
        <f t="shared" si="13"/>
        <v>1687.1399999999999</v>
      </c>
      <c r="J75" s="84">
        <f t="shared" si="13"/>
        <v>1689.1399999999999</v>
      </c>
      <c r="K75" s="84">
        <f t="shared" si="13"/>
        <v>1689.1399999999999</v>
      </c>
      <c r="L75" s="84">
        <f t="shared" si="13"/>
        <v>1736.1399999999999</v>
      </c>
      <c r="M75" s="84">
        <f t="shared" si="13"/>
        <v>1759.5400000000002</v>
      </c>
      <c r="N75" s="84">
        <f t="shared" si="13"/>
        <v>1706.64</v>
      </c>
      <c r="O75" s="84">
        <f t="shared" si="13"/>
        <v>1761.0400000000002</v>
      </c>
      <c r="P75" s="84">
        <f t="shared" si="13"/>
        <v>1768.64</v>
      </c>
      <c r="Q75" s="84">
        <f t="shared" si="13"/>
        <v>1770.64</v>
      </c>
      <c r="R75" s="84">
        <f t="shared" si="13"/>
        <v>1753.14</v>
      </c>
      <c r="S75" s="84">
        <f t="shared" si="13"/>
        <v>1755.2400000000002</v>
      </c>
      <c r="T75" s="84">
        <f t="shared" si="13"/>
        <v>1739.4400000000003</v>
      </c>
      <c r="U75" s="84">
        <f t="shared" si="13"/>
        <v>1728.44</v>
      </c>
      <c r="V75" s="84">
        <f t="shared" si="13"/>
        <v>1741.8400000000001</v>
      </c>
      <c r="W75" s="84">
        <f t="shared" si="13"/>
        <v>1757.0400000000002</v>
      </c>
      <c r="X75" s="84">
        <f t="shared" si="13"/>
        <v>1774.2400000000002</v>
      </c>
      <c r="Y75" s="84">
        <f t="shared" si="13"/>
        <v>1738.7400000000002</v>
      </c>
      <c r="Z75" s="84">
        <f t="shared" si="13"/>
        <v>1725.74</v>
      </c>
      <c r="AA75" s="84">
        <f t="shared" si="13"/>
        <v>1768.1399999999999</v>
      </c>
      <c r="AB75" s="84">
        <f t="shared" si="13"/>
        <v>1755.04</v>
      </c>
      <c r="AC75" s="84">
        <f t="shared" si="13"/>
        <v>1759.8400000000001</v>
      </c>
      <c r="AD75" s="84">
        <f t="shared" si="13"/>
        <v>1761.8400000000001</v>
      </c>
      <c r="AE75" s="84">
        <f t="shared" si="13"/>
        <v>1746.94</v>
      </c>
      <c r="AF75" s="84">
        <f t="shared" si="13"/>
        <v>1754.54</v>
      </c>
      <c r="AG75" s="74">
        <f>AG72+AG68+AG56+AG52+AG38+AG74</f>
        <v>2144.14</v>
      </c>
      <c r="AH75" s="55">
        <f t="shared" si="2"/>
        <v>1774.2400000000002</v>
      </c>
      <c r="AI75" s="56">
        <f t="shared" si="3"/>
        <v>1682.1399999999999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352</v>
      </c>
      <c r="C79" s="78">
        <f t="shared" ref="C79:AF79" si="19">IF(C59&lt;0,C59*-1,0)</f>
        <v>360</v>
      </c>
      <c r="D79" s="78">
        <f t="shared" si="19"/>
        <v>367</v>
      </c>
      <c r="E79" s="78">
        <f t="shared" si="19"/>
        <v>352</v>
      </c>
      <c r="F79" s="78">
        <f t="shared" si="19"/>
        <v>397</v>
      </c>
      <c r="G79" s="78">
        <f t="shared" si="19"/>
        <v>395</v>
      </c>
      <c r="H79" s="78">
        <f t="shared" si="19"/>
        <v>440</v>
      </c>
      <c r="I79" s="78">
        <f t="shared" si="19"/>
        <v>404</v>
      </c>
      <c r="J79" s="78">
        <f t="shared" si="19"/>
        <v>366</v>
      </c>
      <c r="K79" s="78">
        <f t="shared" si="19"/>
        <v>323</v>
      </c>
      <c r="L79" s="78">
        <f t="shared" si="19"/>
        <v>325</v>
      </c>
      <c r="M79" s="78">
        <f t="shared" si="19"/>
        <v>332</v>
      </c>
      <c r="N79" s="78">
        <f t="shared" si="19"/>
        <v>298</v>
      </c>
      <c r="O79" s="78">
        <f t="shared" si="19"/>
        <v>320.5</v>
      </c>
      <c r="P79" s="78">
        <f t="shared" si="19"/>
        <v>306</v>
      </c>
      <c r="Q79" s="78">
        <f t="shared" si="19"/>
        <v>332</v>
      </c>
      <c r="R79" s="78">
        <f t="shared" si="19"/>
        <v>312</v>
      </c>
      <c r="S79" s="78">
        <f t="shared" si="19"/>
        <v>326</v>
      </c>
      <c r="T79" s="78">
        <f t="shared" si="19"/>
        <v>302</v>
      </c>
      <c r="U79" s="78">
        <f t="shared" si="19"/>
        <v>348</v>
      </c>
      <c r="V79" s="78">
        <f t="shared" si="19"/>
        <v>348.5</v>
      </c>
      <c r="W79" s="78">
        <f t="shared" si="19"/>
        <v>324</v>
      </c>
      <c r="X79" s="78">
        <f t="shared" si="19"/>
        <v>334</v>
      </c>
      <c r="Y79" s="78">
        <f t="shared" si="19"/>
        <v>336.4</v>
      </c>
      <c r="Z79" s="78">
        <f t="shared" si="19"/>
        <v>300</v>
      </c>
      <c r="AA79" s="78">
        <f t="shared" si="19"/>
        <v>241</v>
      </c>
      <c r="AB79" s="78">
        <f t="shared" si="19"/>
        <v>212</v>
      </c>
      <c r="AC79" s="78">
        <f t="shared" si="19"/>
        <v>260</v>
      </c>
      <c r="AD79" s="78">
        <f t="shared" si="19"/>
        <v>256</v>
      </c>
      <c r="AE79" s="78">
        <f t="shared" si="19"/>
        <v>310</v>
      </c>
      <c r="AF79" s="78">
        <f t="shared" si="19"/>
        <v>345.5</v>
      </c>
      <c r="AG79" s="87"/>
      <c r="AH79" s="55">
        <f t="shared" si="15"/>
        <v>440</v>
      </c>
      <c r="AI79" s="56">
        <f t="shared" si="16"/>
        <v>212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2</v>
      </c>
      <c r="H80" s="78">
        <f t="shared" si="20"/>
        <v>7</v>
      </c>
      <c r="I80" s="78">
        <f t="shared" si="20"/>
        <v>10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10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352</v>
      </c>
      <c r="C82" s="70">
        <f t="shared" ref="C82:AG82" si="21">SUM(C76:C81)</f>
        <v>360</v>
      </c>
      <c r="D82" s="70">
        <f t="shared" si="21"/>
        <v>367</v>
      </c>
      <c r="E82" s="70">
        <f t="shared" si="21"/>
        <v>352</v>
      </c>
      <c r="F82" s="70">
        <f t="shared" si="21"/>
        <v>397</v>
      </c>
      <c r="G82" s="70">
        <f t="shared" si="21"/>
        <v>397</v>
      </c>
      <c r="H82" s="70">
        <f t="shared" si="21"/>
        <v>447</v>
      </c>
      <c r="I82" s="70">
        <f t="shared" si="21"/>
        <v>414</v>
      </c>
      <c r="J82" s="70">
        <f t="shared" si="21"/>
        <v>366</v>
      </c>
      <c r="K82" s="70">
        <f t="shared" si="21"/>
        <v>323</v>
      </c>
      <c r="L82" s="70">
        <f t="shared" si="21"/>
        <v>325</v>
      </c>
      <c r="M82" s="70">
        <f t="shared" si="21"/>
        <v>332</v>
      </c>
      <c r="N82" s="70">
        <f t="shared" si="21"/>
        <v>298</v>
      </c>
      <c r="O82" s="70">
        <f t="shared" si="21"/>
        <v>320.5</v>
      </c>
      <c r="P82" s="70">
        <f t="shared" si="21"/>
        <v>306</v>
      </c>
      <c r="Q82" s="70">
        <f t="shared" si="21"/>
        <v>332</v>
      </c>
      <c r="R82" s="70">
        <f t="shared" si="21"/>
        <v>312</v>
      </c>
      <c r="S82" s="70">
        <f t="shared" si="21"/>
        <v>326</v>
      </c>
      <c r="T82" s="70">
        <f t="shared" si="21"/>
        <v>302</v>
      </c>
      <c r="U82" s="70">
        <f t="shared" si="21"/>
        <v>348</v>
      </c>
      <c r="V82" s="70">
        <f t="shared" si="21"/>
        <v>348.5</v>
      </c>
      <c r="W82" s="70">
        <f t="shared" si="21"/>
        <v>324</v>
      </c>
      <c r="X82" s="70">
        <f t="shared" si="21"/>
        <v>334</v>
      </c>
      <c r="Y82" s="70">
        <f t="shared" si="21"/>
        <v>336.4</v>
      </c>
      <c r="Z82" s="70">
        <f t="shared" si="21"/>
        <v>300</v>
      </c>
      <c r="AA82" s="70">
        <f t="shared" si="21"/>
        <v>241</v>
      </c>
      <c r="AB82" s="70">
        <f t="shared" si="21"/>
        <v>212</v>
      </c>
      <c r="AC82" s="70">
        <f t="shared" si="21"/>
        <v>260</v>
      </c>
      <c r="AD82" s="70">
        <f t="shared" si="21"/>
        <v>256</v>
      </c>
      <c r="AE82" s="70">
        <f t="shared" si="21"/>
        <v>310</v>
      </c>
      <c r="AF82" s="70">
        <f t="shared" si="21"/>
        <v>345.5</v>
      </c>
      <c r="AG82" s="74">
        <f t="shared" si="21"/>
        <v>0</v>
      </c>
      <c r="AH82" s="55">
        <f t="shared" si="15"/>
        <v>447</v>
      </c>
      <c r="AI82" s="56">
        <f t="shared" si="16"/>
        <v>212</v>
      </c>
      <c r="AK82" s="57"/>
    </row>
    <row r="83" spans="1:88" s="1" customFormat="1" ht="15.75" thickBot="1" x14ac:dyDescent="0.3">
      <c r="A83" s="69" t="s">
        <v>88</v>
      </c>
      <c r="B83" s="70">
        <f>B68-B82</f>
        <v>-309</v>
      </c>
      <c r="C83" s="70">
        <f t="shared" ref="C83:AF83" si="22">C68-C82</f>
        <v>-318</v>
      </c>
      <c r="D83" s="70">
        <f t="shared" si="22"/>
        <v>-338</v>
      </c>
      <c r="E83" s="70">
        <f t="shared" si="22"/>
        <v>-342</v>
      </c>
      <c r="F83" s="70">
        <f t="shared" si="22"/>
        <v>-394</v>
      </c>
      <c r="G83" s="70">
        <f t="shared" si="22"/>
        <v>-397</v>
      </c>
      <c r="H83" s="70">
        <f t="shared" si="22"/>
        <v>-447</v>
      </c>
      <c r="I83" s="70">
        <f t="shared" si="22"/>
        <v>-414</v>
      </c>
      <c r="J83" s="70">
        <f t="shared" si="22"/>
        <v>-364</v>
      </c>
      <c r="K83" s="70">
        <f t="shared" si="22"/>
        <v>-321</v>
      </c>
      <c r="L83" s="70">
        <f t="shared" si="22"/>
        <v>-281</v>
      </c>
      <c r="M83" s="70">
        <f t="shared" si="22"/>
        <v>-285</v>
      </c>
      <c r="N83" s="70">
        <f t="shared" si="22"/>
        <v>-243</v>
      </c>
      <c r="O83" s="70">
        <f t="shared" si="22"/>
        <v>-261.5</v>
      </c>
      <c r="P83" s="70">
        <f t="shared" si="22"/>
        <v>-235</v>
      </c>
      <c r="Q83" s="70">
        <f t="shared" si="22"/>
        <v>-267.5</v>
      </c>
      <c r="R83" s="70">
        <f t="shared" si="22"/>
        <v>-226.9</v>
      </c>
      <c r="S83" s="70">
        <f t="shared" si="22"/>
        <v>-254.1</v>
      </c>
      <c r="T83" s="70">
        <f t="shared" si="22"/>
        <v>-227.3</v>
      </c>
      <c r="U83" s="70">
        <f t="shared" si="22"/>
        <v>-278.5</v>
      </c>
      <c r="V83" s="70">
        <f t="shared" si="22"/>
        <v>-283.89999999999998</v>
      </c>
      <c r="W83" s="70">
        <f t="shared" si="22"/>
        <v>-261.7</v>
      </c>
      <c r="X83" s="70">
        <f t="shared" si="22"/>
        <v>-269.8</v>
      </c>
      <c r="Y83" s="70">
        <f t="shared" si="22"/>
        <v>-302.7</v>
      </c>
      <c r="Z83" s="70">
        <f t="shared" si="22"/>
        <v>-270.10000000000002</v>
      </c>
      <c r="AA83" s="70">
        <f t="shared" si="22"/>
        <v>-189.9</v>
      </c>
      <c r="AB83" s="70">
        <f t="shared" si="22"/>
        <v>-160.9</v>
      </c>
      <c r="AC83" s="70">
        <f t="shared" si="22"/>
        <v>-204.3</v>
      </c>
      <c r="AD83" s="70">
        <f t="shared" si="22"/>
        <v>-198.3</v>
      </c>
      <c r="AE83" s="70">
        <f t="shared" si="22"/>
        <v>-264</v>
      </c>
      <c r="AF83" s="70">
        <f t="shared" si="22"/>
        <v>-293.10000000000002</v>
      </c>
      <c r="AG83" s="74">
        <f t="shared" ref="AG83" si="23">SUM(AG70:AG82)</f>
        <v>4360.08</v>
      </c>
      <c r="AH83" s="55">
        <f t="shared" si="15"/>
        <v>-160.9</v>
      </c>
      <c r="AI83" s="56">
        <f t="shared" si="16"/>
        <v>-447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50.045000000000002</v>
      </c>
      <c r="C84" s="90">
        <v>50.02</v>
      </c>
      <c r="D84" s="90">
        <v>49.95</v>
      </c>
      <c r="E84" s="90">
        <v>49.987000000000002</v>
      </c>
      <c r="F84" s="90">
        <v>50.000999999999998</v>
      </c>
      <c r="G84" s="90">
        <v>50.012</v>
      </c>
      <c r="H84" s="90">
        <v>49.905999999999999</v>
      </c>
      <c r="I84" s="90">
        <v>49.792000000000002</v>
      </c>
      <c r="J84" s="90">
        <v>49.670999999999999</v>
      </c>
      <c r="K84" s="90">
        <v>50.000999999999998</v>
      </c>
      <c r="L84" s="90">
        <v>49.911000000000001</v>
      </c>
      <c r="M84" s="90">
        <v>49.8</v>
      </c>
      <c r="N84" s="90">
        <v>50.091000000000001</v>
      </c>
      <c r="O84" s="90">
        <v>50.055999999999997</v>
      </c>
      <c r="P84" s="90">
        <v>50</v>
      </c>
      <c r="Q84" s="90">
        <v>49.963000000000001</v>
      </c>
      <c r="R84" s="90">
        <v>50.031999999999996</v>
      </c>
      <c r="S84" s="90">
        <v>50.01</v>
      </c>
      <c r="T84" s="90">
        <v>49.97</v>
      </c>
      <c r="U84" s="90">
        <v>49.78</v>
      </c>
      <c r="V84" s="90">
        <v>49.83</v>
      </c>
      <c r="W84" s="90">
        <v>50</v>
      </c>
      <c r="X84" s="90">
        <v>50.034999999999997</v>
      </c>
      <c r="Y84" s="90">
        <v>50.027999999999999</v>
      </c>
      <c r="Z84" s="90">
        <v>49.93</v>
      </c>
      <c r="AA84" s="90">
        <v>49.76</v>
      </c>
      <c r="AB84" s="90">
        <v>49.954999999999998</v>
      </c>
      <c r="AC84" s="90">
        <v>49.902999999999999</v>
      </c>
      <c r="AD84" s="90">
        <v>49.927999999999997</v>
      </c>
      <c r="AE84" s="90">
        <v>49.89</v>
      </c>
      <c r="AF84" s="90">
        <v>49.78</v>
      </c>
      <c r="AG84" s="91"/>
      <c r="AH84" s="55">
        <f t="shared" si="15"/>
        <v>50.091000000000001</v>
      </c>
      <c r="AI84" s="56">
        <f t="shared" si="16"/>
        <v>49.670999999999999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122</v>
      </c>
      <c r="C85" s="49">
        <v>125</v>
      </c>
      <c r="D85" s="49">
        <v>125</v>
      </c>
      <c r="E85" s="49">
        <v>124</v>
      </c>
      <c r="F85" s="49">
        <v>124</v>
      </c>
      <c r="G85" s="49">
        <v>124</v>
      </c>
      <c r="H85" s="49">
        <v>124</v>
      </c>
      <c r="I85" s="49">
        <v>125</v>
      </c>
      <c r="J85" s="49">
        <v>125</v>
      </c>
      <c r="K85" s="49">
        <v>125</v>
      </c>
      <c r="L85" s="49">
        <v>125</v>
      </c>
      <c r="M85" s="49">
        <v>123</v>
      </c>
      <c r="N85" s="49">
        <v>121</v>
      </c>
      <c r="O85" s="49">
        <v>121.9</v>
      </c>
      <c r="P85" s="49">
        <v>120.8</v>
      </c>
      <c r="Q85" s="49">
        <v>120.8</v>
      </c>
      <c r="R85" s="49">
        <v>122.7</v>
      </c>
      <c r="S85" s="49">
        <v>121.4</v>
      </c>
      <c r="T85" s="49">
        <v>120.7</v>
      </c>
      <c r="U85" s="49">
        <v>122.2</v>
      </c>
      <c r="V85" s="49">
        <v>122.9</v>
      </c>
      <c r="W85" s="49">
        <v>122.3</v>
      </c>
      <c r="X85" s="49">
        <v>122.2</v>
      </c>
      <c r="Y85" s="49">
        <v>123.3</v>
      </c>
      <c r="Z85" s="49">
        <v>122.9</v>
      </c>
      <c r="AA85" s="49">
        <v>122.9</v>
      </c>
      <c r="AB85" s="49">
        <v>124.3</v>
      </c>
      <c r="AC85" s="49">
        <v>125.5</v>
      </c>
      <c r="AD85" s="49">
        <v>124.7</v>
      </c>
      <c r="AE85" s="49">
        <v>124.1</v>
      </c>
      <c r="AF85" s="49">
        <v>123</v>
      </c>
      <c r="AG85" s="93"/>
      <c r="AH85" s="55">
        <f t="shared" si="15"/>
        <v>125.5</v>
      </c>
      <c r="AI85" s="56">
        <f t="shared" si="16"/>
        <v>120.7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</v>
      </c>
      <c r="C86" s="49">
        <v>130</v>
      </c>
      <c r="D86" s="49">
        <v>130</v>
      </c>
      <c r="E86" s="49">
        <v>129</v>
      </c>
      <c r="F86" s="49">
        <v>129</v>
      </c>
      <c r="G86" s="49">
        <v>129</v>
      </c>
      <c r="H86" s="49">
        <v>129</v>
      </c>
      <c r="I86" s="49">
        <v>129</v>
      </c>
      <c r="J86" s="49">
        <v>129</v>
      </c>
      <c r="K86" s="49">
        <v>129</v>
      </c>
      <c r="L86" s="49">
        <v>129</v>
      </c>
      <c r="M86" s="49">
        <v>126.5</v>
      </c>
      <c r="N86" s="49">
        <v>124.4</v>
      </c>
      <c r="O86" s="49">
        <v>125.8</v>
      </c>
      <c r="P86" s="49">
        <v>125</v>
      </c>
      <c r="Q86" s="49">
        <v>125.1</v>
      </c>
      <c r="R86" s="49">
        <v>126.1</v>
      </c>
      <c r="S86" s="49">
        <v>125.6</v>
      </c>
      <c r="T86" s="49">
        <v>125.1</v>
      </c>
      <c r="U86" s="49">
        <v>125.8</v>
      </c>
      <c r="V86" s="49">
        <v>126.9</v>
      </c>
      <c r="W86" s="49">
        <v>126.3</v>
      </c>
      <c r="X86" s="49">
        <v>126.1</v>
      </c>
      <c r="Y86" s="49">
        <v>126.8</v>
      </c>
      <c r="Z86" s="49">
        <v>126.7</v>
      </c>
      <c r="AA86" s="49">
        <v>126.8</v>
      </c>
      <c r="AB86" s="49">
        <v>128.19999999999999</v>
      </c>
      <c r="AC86" s="49">
        <v>129</v>
      </c>
      <c r="AD86" s="49">
        <v>128.80000000000001</v>
      </c>
      <c r="AE86" s="49">
        <v>128.80000000000001</v>
      </c>
      <c r="AF86" s="49">
        <v>128</v>
      </c>
      <c r="AG86" s="93"/>
      <c r="AH86" s="55">
        <f t="shared" si="15"/>
        <v>130</v>
      </c>
      <c r="AI86" s="56">
        <f t="shared" si="16"/>
        <v>124.4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125</v>
      </c>
      <c r="C87" s="49">
        <v>125</v>
      </c>
      <c r="D87" s="49">
        <v>125</v>
      </c>
      <c r="E87" s="49">
        <v>125</v>
      </c>
      <c r="F87" s="49">
        <v>127</v>
      </c>
      <c r="G87" s="49">
        <v>127</v>
      </c>
      <c r="H87" s="49">
        <v>127</v>
      </c>
      <c r="I87" s="49">
        <v>127</v>
      </c>
      <c r="J87" s="49">
        <v>127</v>
      </c>
      <c r="K87" s="49">
        <v>127</v>
      </c>
      <c r="L87" s="49">
        <v>127</v>
      </c>
      <c r="M87" s="49">
        <v>128</v>
      </c>
      <c r="N87" s="49">
        <v>124.2</v>
      </c>
      <c r="O87" s="49">
        <v>127.1</v>
      </c>
      <c r="P87" s="49">
        <v>125</v>
      </c>
      <c r="Q87" s="49">
        <v>126.5</v>
      </c>
      <c r="R87" s="49">
        <v>129.1</v>
      </c>
      <c r="S87" s="49">
        <v>126.8</v>
      </c>
      <c r="T87" s="49">
        <v>125.5</v>
      </c>
      <c r="U87" s="49">
        <v>124.6</v>
      </c>
      <c r="V87" s="49">
        <v>126.8</v>
      </c>
      <c r="W87" s="49">
        <v>127</v>
      </c>
      <c r="X87" s="49">
        <v>125.8</v>
      </c>
      <c r="Y87" s="49">
        <v>129</v>
      </c>
      <c r="Z87" s="49">
        <v>123.9</v>
      </c>
      <c r="AA87" s="49">
        <v>125.8</v>
      </c>
      <c r="AB87" s="49">
        <v>124.9</v>
      </c>
      <c r="AC87" s="49">
        <v>124.8</v>
      </c>
      <c r="AD87" s="49">
        <v>124.4</v>
      </c>
      <c r="AE87" s="49">
        <v>127</v>
      </c>
      <c r="AF87" s="49">
        <v>125.4</v>
      </c>
      <c r="AG87" s="93"/>
      <c r="AH87" s="55">
        <f t="shared" si="15"/>
        <v>129.1</v>
      </c>
      <c r="AI87" s="56">
        <f t="shared" si="16"/>
        <v>123.9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>
        <v>0</v>
      </c>
      <c r="AC88" s="49"/>
      <c r="AD88" s="49"/>
      <c r="AE88" s="49"/>
      <c r="AF88" s="49"/>
      <c r="AG88" s="93"/>
      <c r="AH88" s="55">
        <f t="shared" si="15"/>
        <v>0</v>
      </c>
      <c r="AI88" s="56">
        <f t="shared" si="16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126.5</v>
      </c>
      <c r="C89" s="95">
        <v>126.5</v>
      </c>
      <c r="D89" s="95">
        <v>126.5</v>
      </c>
      <c r="E89" s="95">
        <v>133</v>
      </c>
      <c r="F89" s="95">
        <v>131</v>
      </c>
      <c r="G89" s="95">
        <v>131</v>
      </c>
      <c r="H89" s="95">
        <v>131</v>
      </c>
      <c r="I89" s="95">
        <v>131</v>
      </c>
      <c r="J89" s="95">
        <v>131</v>
      </c>
      <c r="K89" s="95">
        <v>131</v>
      </c>
      <c r="L89" s="95">
        <v>131</v>
      </c>
      <c r="M89" s="95">
        <v>134</v>
      </c>
      <c r="N89" s="95">
        <v>134.69999999999999</v>
      </c>
      <c r="O89" s="95">
        <v>130.69999999999999</v>
      </c>
      <c r="P89" s="95">
        <v>132.78</v>
      </c>
      <c r="Q89" s="95">
        <v>132</v>
      </c>
      <c r="R89" s="95">
        <v>132.9</v>
      </c>
      <c r="S89" s="95">
        <v>132.1</v>
      </c>
      <c r="T89" s="95">
        <v>135.4</v>
      </c>
      <c r="U89" s="95">
        <v>135</v>
      </c>
      <c r="V89" s="95">
        <v>133.69999999999999</v>
      </c>
      <c r="W89" s="95">
        <v>132.69999999999999</v>
      </c>
      <c r="X89" s="95">
        <v>133.6</v>
      </c>
      <c r="Y89" s="95">
        <v>133.4</v>
      </c>
      <c r="Z89" s="95">
        <v>129.1</v>
      </c>
      <c r="AA89" s="95">
        <v>133.6</v>
      </c>
      <c r="AB89" s="95">
        <v>133.30000000000001</v>
      </c>
      <c r="AC89" s="95">
        <v>130.5</v>
      </c>
      <c r="AD89" s="95">
        <v>129.4</v>
      </c>
      <c r="AE89" s="95">
        <v>127</v>
      </c>
      <c r="AF89" s="95">
        <v>128.30000000000001</v>
      </c>
      <c r="AG89" s="96"/>
      <c r="AH89" s="55">
        <f t="shared" si="15"/>
        <v>135.4</v>
      </c>
      <c r="AI89" s="56">
        <f t="shared" si="16"/>
        <v>126.5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93"/>
      <c r="AH90" s="55">
        <f t="shared" si="15"/>
        <v>0</v>
      </c>
      <c r="AI90" s="56">
        <f t="shared" si="16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65.400000000000006</v>
      </c>
      <c r="C91" s="97">
        <v>65.400000000000006</v>
      </c>
      <c r="D91" s="97">
        <v>65.400000000000006</v>
      </c>
      <c r="E91" s="97">
        <v>65.400000000000006</v>
      </c>
      <c r="F91" s="97">
        <v>65.599999999999994</v>
      </c>
      <c r="G91" s="97">
        <v>65.599999999999994</v>
      </c>
      <c r="H91" s="97">
        <v>65.599999999999994</v>
      </c>
      <c r="I91" s="97">
        <v>65.2</v>
      </c>
      <c r="J91" s="97">
        <v>65.2</v>
      </c>
      <c r="K91" s="97">
        <v>65.2</v>
      </c>
      <c r="L91" s="97">
        <v>65.2</v>
      </c>
      <c r="M91" s="97">
        <v>64</v>
      </c>
      <c r="N91" s="97">
        <v>63.3</v>
      </c>
      <c r="O91" s="97">
        <v>63.3</v>
      </c>
      <c r="P91" s="97">
        <v>62.9</v>
      </c>
      <c r="Q91" s="97">
        <v>62.9</v>
      </c>
      <c r="R91" s="97">
        <v>63.1</v>
      </c>
      <c r="S91" s="97">
        <v>63.3</v>
      </c>
      <c r="T91" s="97">
        <v>64.099999999999994</v>
      </c>
      <c r="U91" s="97">
        <v>63.3</v>
      </c>
      <c r="V91" s="97">
        <v>63.9</v>
      </c>
      <c r="W91" s="97">
        <v>63.6</v>
      </c>
      <c r="X91" s="97">
        <v>63.5</v>
      </c>
      <c r="Y91" s="97">
        <v>64</v>
      </c>
      <c r="Z91" s="97">
        <v>63.9</v>
      </c>
      <c r="AA91" s="97">
        <v>64.3</v>
      </c>
      <c r="AB91" s="97">
        <v>128.19999999999999</v>
      </c>
      <c r="AC91" s="97">
        <v>65.099999999999994</v>
      </c>
      <c r="AD91" s="97">
        <v>65.3</v>
      </c>
      <c r="AE91" s="97">
        <v>65.099999999999994</v>
      </c>
      <c r="AF91" s="97">
        <v>64.8</v>
      </c>
      <c r="AG91" s="98"/>
      <c r="AH91" s="55">
        <f t="shared" si="15"/>
        <v>128.19999999999999</v>
      </c>
      <c r="AI91" s="56">
        <f t="shared" si="16"/>
        <v>62.9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SUM(B15,B18,B21:B22,B42,B44:B45,B47,B49,B94:B97,B103,B109,B115,B124,B126,B138,B145,B148:B149,B156,B158,B160,B164:B166,B168:B170,B175,B181:B182,B184:B186,B194,B199)</f>
        <v>122.04</v>
      </c>
      <c r="C93" s="103">
        <f t="shared" si="24"/>
        <v>119.04</v>
      </c>
      <c r="D93" s="103">
        <f t="shared" si="24"/>
        <v>130.04</v>
      </c>
      <c r="E93" s="103">
        <f t="shared" si="24"/>
        <v>97.640000000000029</v>
      </c>
      <c r="F93" s="103">
        <f t="shared" si="24"/>
        <v>404.6400000000001</v>
      </c>
      <c r="G93" s="103">
        <f t="shared" si="24"/>
        <v>107.14000000000003</v>
      </c>
      <c r="H93" s="103">
        <f t="shared" si="24"/>
        <v>126.14000000000003</v>
      </c>
      <c r="I93" s="103">
        <f t="shared" si="24"/>
        <v>152.64000000000001</v>
      </c>
      <c r="J93" s="103">
        <f t="shared" si="24"/>
        <v>189.14000000000001</v>
      </c>
      <c r="K93" s="103">
        <f t="shared" si="24"/>
        <v>189.14000000000001</v>
      </c>
      <c r="L93" s="103">
        <f t="shared" si="24"/>
        <v>172.14000000000001</v>
      </c>
      <c r="M93" s="103">
        <f t="shared" si="24"/>
        <v>234.74</v>
      </c>
      <c r="N93" s="103">
        <f t="shared" si="24"/>
        <v>229.53999999999996</v>
      </c>
      <c r="O93" s="103">
        <f t="shared" si="24"/>
        <v>251.03999999999996</v>
      </c>
      <c r="P93" s="103">
        <f t="shared" si="24"/>
        <v>220.44</v>
      </c>
      <c r="Q93" s="103">
        <f t="shared" si="24"/>
        <v>254.14</v>
      </c>
      <c r="R93" s="103">
        <f t="shared" si="24"/>
        <v>251.03999999999996</v>
      </c>
      <c r="S93" s="103">
        <f t="shared" si="24"/>
        <v>210.64</v>
      </c>
      <c r="T93" s="103">
        <f t="shared" si="24"/>
        <v>228.64000000000001</v>
      </c>
      <c r="U93" s="103">
        <f t="shared" si="24"/>
        <v>224.34</v>
      </c>
      <c r="V93" s="103">
        <f t="shared" si="24"/>
        <v>197.74</v>
      </c>
      <c r="W93" s="103">
        <f t="shared" si="24"/>
        <v>244.24</v>
      </c>
      <c r="X93" s="103">
        <f t="shared" si="24"/>
        <v>250.44</v>
      </c>
      <c r="Y93" s="103">
        <f t="shared" si="24"/>
        <v>234.23999999999998</v>
      </c>
      <c r="Z93" s="103">
        <f t="shared" si="24"/>
        <v>246.64</v>
      </c>
      <c r="AA93" s="103">
        <f t="shared" si="24"/>
        <v>275.94000000000005</v>
      </c>
      <c r="AB93" s="103">
        <f t="shared" si="24"/>
        <v>291.24</v>
      </c>
      <c r="AC93" s="103">
        <f t="shared" si="24"/>
        <v>270.04000000000002</v>
      </c>
      <c r="AD93" s="103">
        <f t="shared" si="24"/>
        <v>244.44</v>
      </c>
      <c r="AE93" s="103">
        <f t="shared" si="24"/>
        <v>218.54000000000002</v>
      </c>
      <c r="AF93" s="103">
        <f t="shared" si="24"/>
        <v>119.14000000000003</v>
      </c>
      <c r="AG93" s="104"/>
      <c r="AH93" s="55">
        <f>MAX(C93:AF93)</f>
        <v>404.6400000000001</v>
      </c>
      <c r="AI93" s="56">
        <f>MIN(C93:AF93)</f>
        <v>97.640000000000029</v>
      </c>
    </row>
    <row r="94" spans="1:88" x14ac:dyDescent="0.25">
      <c r="A94" s="105" t="s">
        <v>98</v>
      </c>
      <c r="B94" s="106">
        <v>25</v>
      </c>
      <c r="C94" s="106">
        <v>32</v>
      </c>
      <c r="D94" s="106">
        <v>39</v>
      </c>
      <c r="E94" s="106">
        <v>13</v>
      </c>
      <c r="F94" s="106">
        <v>14</v>
      </c>
      <c r="G94" s="106">
        <v>15</v>
      </c>
      <c r="H94" s="106">
        <v>19</v>
      </c>
      <c r="I94" s="106">
        <v>16.5</v>
      </c>
      <c r="J94" s="106">
        <v>17</v>
      </c>
      <c r="K94" s="106">
        <v>17</v>
      </c>
      <c r="L94" s="106">
        <v>21</v>
      </c>
      <c r="M94" s="106">
        <v>26.3</v>
      </c>
      <c r="N94" s="106">
        <v>26.2</v>
      </c>
      <c r="O94" s="106">
        <v>20.100000000000001</v>
      </c>
      <c r="P94" s="106">
        <v>21.1</v>
      </c>
      <c r="Q94" s="106">
        <v>18.899999999999999</v>
      </c>
      <c r="R94" s="106">
        <v>22</v>
      </c>
      <c r="S94" s="106">
        <v>21.9</v>
      </c>
      <c r="T94" s="106">
        <v>19.8</v>
      </c>
      <c r="U94" s="106">
        <v>26</v>
      </c>
      <c r="V94" s="106">
        <v>33.9</v>
      </c>
      <c r="W94" s="106">
        <v>26.4</v>
      </c>
      <c r="X94" s="106">
        <v>32.700000000000003</v>
      </c>
      <c r="Y94" s="106">
        <v>28</v>
      </c>
      <c r="Z94" s="106">
        <v>29</v>
      </c>
      <c r="AA94" s="106">
        <v>27.3</v>
      </c>
      <c r="AB94" s="106">
        <v>14.2</v>
      </c>
      <c r="AC94" s="106">
        <v>11</v>
      </c>
      <c r="AD94" s="106">
        <v>18.399999999999999</v>
      </c>
      <c r="AE94" s="106">
        <v>45.8</v>
      </c>
      <c r="AF94" s="106">
        <v>20.9</v>
      </c>
      <c r="AG94" s="107">
        <v>75</v>
      </c>
      <c r="AH94" s="55">
        <f t="shared" ref="AH94:AH100" si="25">IF(ABS(MAX(C94:AF94))&gt;ABS(MIN(C94:AF94)),MAX(C94:AF94),MIN(C94:AF94))</f>
        <v>45.8</v>
      </c>
      <c r="AI94" s="108">
        <f t="shared" ref="AI94:AI100" si="26">INDEX($C$9:$AF$9,1,MATCH(AH94,C94:AF94,0))</f>
        <v>0.91666666666666696</v>
      </c>
    </row>
    <row r="95" spans="1:88" x14ac:dyDescent="0.25">
      <c r="A95" s="109" t="s">
        <v>99</v>
      </c>
      <c r="B95" s="110">
        <v>-150</v>
      </c>
      <c r="C95" s="110">
        <v>-150</v>
      </c>
      <c r="D95" s="110">
        <v>-146</v>
      </c>
      <c r="E95" s="110">
        <v>-152</v>
      </c>
      <c r="F95" s="110">
        <f>--155</f>
        <v>155</v>
      </c>
      <c r="G95" s="110">
        <v>-146</v>
      </c>
      <c r="H95" s="110">
        <v>-134</v>
      </c>
      <c r="I95" s="110">
        <v>-110</v>
      </c>
      <c r="J95" s="110">
        <v>-79</v>
      </c>
      <c r="K95" s="110">
        <v>-79</v>
      </c>
      <c r="L95" s="110">
        <v>-100</v>
      </c>
      <c r="M95" s="110">
        <v>-106</v>
      </c>
      <c r="N95" s="110">
        <f>-38.6-43.1</f>
        <v>-81.7</v>
      </c>
      <c r="O95" s="110">
        <f>-31.4-50</f>
        <v>-81.400000000000006</v>
      </c>
      <c r="P95" s="110">
        <v>-123</v>
      </c>
      <c r="Q95" s="110">
        <f>-34.8-50.4</f>
        <v>-85.199999999999989</v>
      </c>
      <c r="R95" s="110">
        <f>-35-49</f>
        <v>-84</v>
      </c>
      <c r="S95" s="110">
        <f>-82.1-52.6</f>
        <v>-134.69999999999999</v>
      </c>
      <c r="T95" s="110">
        <f>-69.2-48.2</f>
        <v>-117.4</v>
      </c>
      <c r="U95" s="110">
        <f>-68.7-47.3</f>
        <v>-116</v>
      </c>
      <c r="V95" s="110">
        <f>-66.3-54.8</f>
        <v>-121.1</v>
      </c>
      <c r="W95" s="110">
        <f>-55.1-50</f>
        <v>-105.1</v>
      </c>
      <c r="X95" s="110">
        <f>-34.8-53.6</f>
        <v>-88.4</v>
      </c>
      <c r="Y95" s="110">
        <f>-44.5-52.6</f>
        <v>-97.1</v>
      </c>
      <c r="Z95" s="110">
        <v>-99.2</v>
      </c>
      <c r="AA95" s="110">
        <f>-56-42.9</f>
        <v>-98.9</v>
      </c>
      <c r="AB95" s="110">
        <f>-26-40</f>
        <v>-66</v>
      </c>
      <c r="AC95" s="110">
        <f>-30.7-43.8</f>
        <v>-74.5</v>
      </c>
      <c r="AD95" s="110">
        <f>-33-52.8</f>
        <v>-85.8</v>
      </c>
      <c r="AE95" s="110">
        <f>-36.7-51.8</f>
        <v>-88.5</v>
      </c>
      <c r="AF95" s="110">
        <f>-65-74.6</f>
        <v>-139.6</v>
      </c>
      <c r="AG95" s="107">
        <v>240</v>
      </c>
      <c r="AH95" s="55">
        <f t="shared" si="25"/>
        <v>155</v>
      </c>
      <c r="AI95" s="108">
        <f t="shared" si="26"/>
        <v>0.16666666666666699</v>
      </c>
    </row>
    <row r="96" spans="1:88" x14ac:dyDescent="0.25">
      <c r="A96" s="109" t="s">
        <v>100</v>
      </c>
      <c r="B96" s="110">
        <v>9</v>
      </c>
      <c r="C96" s="110">
        <v>-1</v>
      </c>
      <c r="D96" s="110">
        <v>-1</v>
      </c>
      <c r="E96" s="110">
        <v>-5</v>
      </c>
      <c r="F96" s="110">
        <v>-6</v>
      </c>
      <c r="G96" s="110">
        <v>-3</v>
      </c>
      <c r="H96" s="110">
        <v>0</v>
      </c>
      <c r="I96" s="110">
        <v>5</v>
      </c>
      <c r="J96" s="110">
        <v>10</v>
      </c>
      <c r="K96" s="110">
        <v>10</v>
      </c>
      <c r="L96" s="110">
        <v>10</v>
      </c>
      <c r="M96" s="110">
        <v>15.3</v>
      </c>
      <c r="N96" s="110">
        <v>38.5</v>
      </c>
      <c r="O96" s="110">
        <v>20.399999999999999</v>
      </c>
      <c r="P96" s="110">
        <v>32.6</v>
      </c>
      <c r="Q96" s="110">
        <v>30.9</v>
      </c>
      <c r="R96" s="110">
        <v>33.1</v>
      </c>
      <c r="S96" s="110">
        <v>40.799999999999997</v>
      </c>
      <c r="T96" s="110">
        <v>41.9</v>
      </c>
      <c r="U96" s="110">
        <v>47.6</v>
      </c>
      <c r="V96" s="110">
        <v>28.9</v>
      </c>
      <c r="W96" s="110">
        <v>17.5</v>
      </c>
      <c r="X96" s="110">
        <v>9</v>
      </c>
      <c r="Y96" s="110">
        <v>7.2</v>
      </c>
      <c r="Z96" s="110">
        <v>9.3000000000000007</v>
      </c>
      <c r="AA96" s="110">
        <v>31.5</v>
      </c>
      <c r="AB96" s="110">
        <v>47.2</v>
      </c>
      <c r="AC96" s="110">
        <v>45.4</v>
      </c>
      <c r="AD96" s="110">
        <v>35.9</v>
      </c>
      <c r="AE96" s="110">
        <v>31.8</v>
      </c>
      <c r="AF96" s="110">
        <v>11.2</v>
      </c>
      <c r="AG96" s="107">
        <v>60</v>
      </c>
      <c r="AH96" s="55">
        <f t="shared" si="25"/>
        <v>47.6</v>
      </c>
      <c r="AI96" s="108">
        <f t="shared" si="26"/>
        <v>0.66666666666666696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50.5</v>
      </c>
      <c r="N97" s="112">
        <v>58.8</v>
      </c>
      <c r="O97" s="112">
        <v>53.8</v>
      </c>
      <c r="P97" s="112">
        <v>54.9</v>
      </c>
      <c r="Q97" s="112">
        <v>54.6</v>
      </c>
      <c r="R97" s="112">
        <v>45</v>
      </c>
      <c r="S97" s="112">
        <v>41</v>
      </c>
      <c r="T97" s="112">
        <v>61.5</v>
      </c>
      <c r="U97" s="112">
        <v>46.4</v>
      </c>
      <c r="V97" s="112">
        <v>35.700000000000003</v>
      </c>
      <c r="W97" s="112">
        <v>56.7</v>
      </c>
      <c r="X97" s="112">
        <v>52.4</v>
      </c>
      <c r="Y97" s="112">
        <v>51.4</v>
      </c>
      <c r="Z97" s="112">
        <v>61.8</v>
      </c>
      <c r="AA97" s="112">
        <v>70.400000000000006</v>
      </c>
      <c r="AB97" s="112">
        <v>69.2</v>
      </c>
      <c r="AC97" s="112">
        <v>61.5</v>
      </c>
      <c r="AD97" s="112">
        <v>49.3</v>
      </c>
      <c r="AE97" s="112">
        <v>0</v>
      </c>
      <c r="AF97" s="112">
        <v>0</v>
      </c>
      <c r="AG97" s="113">
        <v>120</v>
      </c>
      <c r="AH97" s="55">
        <f t="shared" si="25"/>
        <v>70.400000000000006</v>
      </c>
      <c r="AI97" s="108">
        <f t="shared" si="26"/>
        <v>0.8125</v>
      </c>
    </row>
    <row r="98" spans="1:37" x14ac:dyDescent="0.25">
      <c r="A98" s="111" t="s">
        <v>102</v>
      </c>
      <c r="B98" s="112">
        <v>52</v>
      </c>
      <c r="C98" s="112">
        <v>9</v>
      </c>
      <c r="D98" s="112">
        <v>50</v>
      </c>
      <c r="E98" s="112">
        <v>39</v>
      </c>
      <c r="F98" s="112">
        <v>31</v>
      </c>
      <c r="G98" s="112">
        <v>40</v>
      </c>
      <c r="H98" s="112">
        <v>36</v>
      </c>
      <c r="I98" s="112">
        <v>53</v>
      </c>
      <c r="J98" s="112">
        <v>77</v>
      </c>
      <c r="K98" s="112">
        <v>77</v>
      </c>
      <c r="L98" s="112">
        <v>64</v>
      </c>
      <c r="M98" s="112">
        <v>53.2</v>
      </c>
      <c r="N98" s="112">
        <v>63</v>
      </c>
      <c r="O98" s="112">
        <v>60.8</v>
      </c>
      <c r="P98" s="112">
        <v>61</v>
      </c>
      <c r="Q98" s="112">
        <v>68</v>
      </c>
      <c r="R98" s="112">
        <v>52</v>
      </c>
      <c r="S98" s="112">
        <v>48.4</v>
      </c>
      <c r="T98" s="112">
        <v>69.400000000000006</v>
      </c>
      <c r="U98" s="112">
        <v>47.2</v>
      </c>
      <c r="V98" s="112">
        <v>37.200000000000003</v>
      </c>
      <c r="W98" s="112">
        <v>51.2</v>
      </c>
      <c r="X98" s="112">
        <v>53.5</v>
      </c>
      <c r="Y98" s="112">
        <v>54.5</v>
      </c>
      <c r="Z98" s="112">
        <v>61.7</v>
      </c>
      <c r="AA98" s="112">
        <v>67.400000000000006</v>
      </c>
      <c r="AB98" s="112">
        <v>57.7</v>
      </c>
      <c r="AC98" s="112">
        <v>54.7</v>
      </c>
      <c r="AD98" s="112">
        <v>47</v>
      </c>
      <c r="AE98" s="112">
        <v>64.7</v>
      </c>
      <c r="AF98" s="112">
        <v>30.9</v>
      </c>
      <c r="AG98" s="113"/>
      <c r="AH98" s="55">
        <f t="shared" si="25"/>
        <v>77</v>
      </c>
      <c r="AI98" s="108">
        <f t="shared" si="26"/>
        <v>0.27083333333333331</v>
      </c>
    </row>
    <row r="99" spans="1:37" x14ac:dyDescent="0.25">
      <c r="A99" s="111" t="s">
        <v>253</v>
      </c>
      <c r="B99" s="112">
        <v>70</v>
      </c>
      <c r="C99" s="112">
        <v>60</v>
      </c>
      <c r="D99" s="112">
        <v>60</v>
      </c>
      <c r="E99" s="112">
        <v>54</v>
      </c>
      <c r="F99" s="112">
        <v>46</v>
      </c>
      <c r="G99" s="112">
        <v>48</v>
      </c>
      <c r="H99" s="112">
        <v>36</v>
      </c>
      <c r="I99" s="112">
        <v>57</v>
      </c>
      <c r="J99" s="112">
        <v>54</v>
      </c>
      <c r="K99" s="112">
        <v>54</v>
      </c>
      <c r="L99" s="112">
        <v>26</v>
      </c>
      <c r="M99" s="112">
        <v>10</v>
      </c>
      <c r="N99" s="112">
        <v>17.100000000000001</v>
      </c>
      <c r="O99" s="112">
        <v>27</v>
      </c>
      <c r="P99" s="112">
        <v>30.4</v>
      </c>
      <c r="Q99" s="112">
        <v>23.3</v>
      </c>
      <c r="R99" s="112">
        <v>22.2</v>
      </c>
      <c r="S99" s="112">
        <v>28.9</v>
      </c>
      <c r="T99" s="112">
        <v>35.700000000000003</v>
      </c>
      <c r="U99" s="112">
        <v>13</v>
      </c>
      <c r="V99" s="112">
        <v>-3.2</v>
      </c>
      <c r="W99" s="112">
        <v>6.7</v>
      </c>
      <c r="X99" s="112">
        <v>-1.5</v>
      </c>
      <c r="Y99" s="112">
        <v>9</v>
      </c>
      <c r="Z99" s="112">
        <v>9</v>
      </c>
      <c r="AA99" s="112">
        <v>10.5</v>
      </c>
      <c r="AB99" s="112">
        <v>50</v>
      </c>
      <c r="AC99" s="112">
        <v>57.8</v>
      </c>
      <c r="AD99" s="112">
        <v>43.5</v>
      </c>
      <c r="AE99" s="112">
        <v>61.8</v>
      </c>
      <c r="AF99" s="112">
        <v>37.6</v>
      </c>
      <c r="AG99" s="114"/>
      <c r="AH99" s="55">
        <f t="shared" si="25"/>
        <v>61.8</v>
      </c>
      <c r="AI99" s="108">
        <f t="shared" si="26"/>
        <v>0.91666666666666696</v>
      </c>
    </row>
    <row r="100" spans="1:37" ht="15.75" thickBot="1" x14ac:dyDescent="0.3">
      <c r="A100" s="115" t="s">
        <v>104</v>
      </c>
      <c r="B100" s="95">
        <v>31</v>
      </c>
      <c r="C100" s="95">
        <v>23</v>
      </c>
      <c r="D100" s="95">
        <v>28</v>
      </c>
      <c r="E100" s="95">
        <v>37</v>
      </c>
      <c r="F100" s="95">
        <v>24</v>
      </c>
      <c r="G100" s="95">
        <v>19</v>
      </c>
      <c r="H100" s="95">
        <v>0</v>
      </c>
      <c r="I100" s="95">
        <v>6</v>
      </c>
      <c r="J100" s="95">
        <v>8</v>
      </c>
      <c r="K100" s="95">
        <v>8</v>
      </c>
      <c r="L100" s="95">
        <v>14</v>
      </c>
      <c r="M100" s="95">
        <v>16.5</v>
      </c>
      <c r="N100" s="95">
        <v>27.3</v>
      </c>
      <c r="O100" s="95">
        <v>23.5</v>
      </c>
      <c r="P100" s="95">
        <v>19.5</v>
      </c>
      <c r="Q100" s="95">
        <v>16.5</v>
      </c>
      <c r="R100" s="95">
        <v>26.3</v>
      </c>
      <c r="S100" s="95">
        <v>34.200000000000003</v>
      </c>
      <c r="T100" s="95">
        <v>24.9</v>
      </c>
      <c r="U100" s="95">
        <v>39.1</v>
      </c>
      <c r="V100" s="95">
        <v>25.4</v>
      </c>
      <c r="W100" s="95">
        <v>19.8</v>
      </c>
      <c r="X100" s="95">
        <v>18.7</v>
      </c>
      <c r="Y100" s="95">
        <v>18.7</v>
      </c>
      <c r="Z100" s="95">
        <v>28.6</v>
      </c>
      <c r="AA100" s="95">
        <v>37.6</v>
      </c>
      <c r="AB100" s="95">
        <v>43.3</v>
      </c>
      <c r="AC100" s="95">
        <v>40.5</v>
      </c>
      <c r="AD100" s="95">
        <v>55</v>
      </c>
      <c r="AE100" s="95">
        <v>36.4</v>
      </c>
      <c r="AF100" s="95">
        <v>47.6</v>
      </c>
      <c r="AG100" s="114"/>
      <c r="AH100" s="55">
        <f t="shared" si="25"/>
        <v>55</v>
      </c>
      <c r="AI100" s="108">
        <f t="shared" si="26"/>
        <v>0.875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7">AF102</f>
        <v>9.9</v>
      </c>
      <c r="C102" s="54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130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3"/>
        <v>0.04</v>
      </c>
      <c r="C190" s="54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3"/>
        <v>2.3E-2</v>
      </c>
      <c r="C191" s="54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1759.5400000000002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20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2079/02/20)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2079/02/20)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3">B75</f>
        <v>1747.1399999999999</v>
      </c>
      <c r="U214" s="161">
        <f t="shared" si="63"/>
        <v>1742.1399999999999</v>
      </c>
      <c r="V214" s="161">
        <f t="shared" si="63"/>
        <v>1725.74</v>
      </c>
      <c r="W214" s="161">
        <f t="shared" si="63"/>
        <v>1703.1399999999999</v>
      </c>
      <c r="X214" s="161">
        <f t="shared" si="63"/>
        <v>1703.54</v>
      </c>
      <c r="Y214" s="161">
        <f t="shared" si="63"/>
        <v>1692.1399999999999</v>
      </c>
      <c r="Z214" s="161">
        <f t="shared" si="63"/>
        <v>1682.1399999999999</v>
      </c>
      <c r="AA214" s="161">
        <f t="shared" si="63"/>
        <v>1687.1399999999999</v>
      </c>
      <c r="AB214" s="161">
        <f t="shared" si="63"/>
        <v>1689.1399999999999</v>
      </c>
      <c r="AC214" s="161">
        <f t="shared" si="63"/>
        <v>1689.1399999999999</v>
      </c>
      <c r="AD214" s="161">
        <f t="shared" si="63"/>
        <v>1736.1399999999999</v>
      </c>
      <c r="AE214" s="161">
        <f t="shared" si="63"/>
        <v>1759.5400000000002</v>
      </c>
      <c r="AF214" s="161">
        <f t="shared" si="63"/>
        <v>1706.64</v>
      </c>
      <c r="AG214" s="161">
        <f t="shared" si="63"/>
        <v>1761.0400000000002</v>
      </c>
      <c r="AH214" s="161">
        <f t="shared" si="63"/>
        <v>1768.64</v>
      </c>
      <c r="AI214" s="161">
        <f t="shared" si="63"/>
        <v>1770.64</v>
      </c>
      <c r="AJ214" s="161">
        <f t="shared" si="63"/>
        <v>1753.14</v>
      </c>
      <c r="AK214" s="161">
        <f t="shared" si="63"/>
        <v>1755.2400000000002</v>
      </c>
      <c r="AL214" s="161">
        <f t="shared" si="63"/>
        <v>1739.4400000000003</v>
      </c>
      <c r="AM214" s="161">
        <f t="shared" si="63"/>
        <v>1728.44</v>
      </c>
      <c r="AN214" s="161">
        <f t="shared" si="63"/>
        <v>1741.8400000000001</v>
      </c>
      <c r="AO214" s="161">
        <f t="shared" si="63"/>
        <v>1757.0400000000002</v>
      </c>
      <c r="AP214" s="161">
        <f t="shared" si="63"/>
        <v>1774.2400000000002</v>
      </c>
      <c r="AQ214" s="161">
        <f t="shared" si="63"/>
        <v>1738.7400000000002</v>
      </c>
      <c r="AR214" s="161">
        <f t="shared" si="63"/>
        <v>1725.74</v>
      </c>
      <c r="AS214" s="161">
        <f t="shared" si="63"/>
        <v>1768.1399999999999</v>
      </c>
      <c r="AT214" s="161">
        <f t="shared" si="63"/>
        <v>1755.04</v>
      </c>
      <c r="AU214" s="161">
        <f t="shared" si="63"/>
        <v>1759.8400000000001</v>
      </c>
      <c r="AV214" s="161">
        <f t="shared" si="63"/>
        <v>1761.8400000000001</v>
      </c>
      <c r="AW214" s="161">
        <f t="shared" si="63"/>
        <v>1746.94</v>
      </c>
      <c r="AX214" s="161">
        <f t="shared" si="63"/>
        <v>1754.54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X11:AF11">
    <cfRule type="expression" dxfId="2922" priority="210">
      <formula>B$9&gt;=20/24</formula>
    </cfRule>
    <cfRule type="expression" dxfId="2921" priority="211">
      <formula>AND(B$9&gt;=14/24,B$9&lt;20/24)</formula>
    </cfRule>
    <cfRule type="expression" dxfId="2920" priority="212">
      <formula>AND(B$9&gt;=8/24,B$9&lt;14/24)</formula>
    </cfRule>
    <cfRule type="expression" dxfId="2919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X37:AF37">
    <cfRule type="expression" dxfId="2918" priority="205">
      <formula>X$9&gt;=20/24</formula>
    </cfRule>
    <cfRule type="expression" dxfId="2917" priority="206">
      <formula>AND(X$9&gt;=14/24,X$9&lt;20/24)</formula>
    </cfRule>
    <cfRule type="expression" dxfId="2916" priority="207">
      <formula>AND(X$9&gt;=8/24,X$9&lt;14/24)</formula>
    </cfRule>
    <cfRule type="expression" dxfId="2915" priority="208">
      <formula>X$9&lt;8/24</formula>
    </cfRule>
  </conditionalFormatting>
  <conditionalFormatting sqref="AG51 B12:L16 M11:P11 X37:AF37 Q11:AF12 M16:AF16">
    <cfRule type="expression" dxfId="2914" priority="204">
      <formula>B11&gt;$AG11</formula>
    </cfRule>
  </conditionalFormatting>
  <conditionalFormatting sqref="A101:A157 A84:A97 A11:A14 A45:A72 A80:A82 A74:A78 A35:A43 A170:A200 A16:A32">
    <cfRule type="expression" dxfId="2913" priority="203">
      <formula>$AH11=0</formula>
    </cfRule>
  </conditionalFormatting>
  <conditionalFormatting sqref="A98">
    <cfRule type="expression" dxfId="2912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911" priority="200">
      <formula>$AH34=0</formula>
    </cfRule>
  </conditionalFormatting>
  <conditionalFormatting sqref="A83">
    <cfRule type="expression" dxfId="2910" priority="199">
      <formula>$AH83=0</formula>
    </cfRule>
  </conditionalFormatting>
  <conditionalFormatting sqref="A15">
    <cfRule type="expression" dxfId="2909" priority="198">
      <formula>$AH15=0</formula>
    </cfRule>
  </conditionalFormatting>
  <conditionalFormatting sqref="A164:A169">
    <cfRule type="expression" dxfId="2908" priority="197">
      <formula>$AH164=0</formula>
    </cfRule>
  </conditionalFormatting>
  <conditionalFormatting sqref="A158:A163">
    <cfRule type="expression" dxfId="2907" priority="196">
      <formula>$AH158=0</formula>
    </cfRule>
  </conditionalFormatting>
  <conditionalFormatting sqref="A44">
    <cfRule type="expression" dxfId="2906" priority="195">
      <formula>$AH44=0</formula>
    </cfRule>
  </conditionalFormatting>
  <conditionalFormatting sqref="A79">
    <cfRule type="expression" dxfId="2905" priority="194">
      <formula>$AH79=0</formula>
    </cfRule>
  </conditionalFormatting>
  <conditionalFormatting sqref="A73">
    <cfRule type="expression" dxfId="2904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903" priority="189">
      <formula>C$9&gt;=20/24</formula>
    </cfRule>
    <cfRule type="expression" dxfId="2902" priority="190">
      <formula>AND(C$9&gt;=14/24,C$9&lt;20/24)</formula>
    </cfRule>
    <cfRule type="expression" dxfId="2901" priority="191">
      <formula>AND(C$9&gt;=8/24,C$9&lt;14/24)</formula>
    </cfRule>
    <cfRule type="expression" dxfId="2900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899" priority="217">
      <formula>C$9&gt;=20/24</formula>
    </cfRule>
    <cfRule type="expression" dxfId="2898" priority="218">
      <formula>AND(C$9&gt;=14/24,C$9&lt;20/24)</formula>
    </cfRule>
    <cfRule type="expression" dxfId="2897" priority="219">
      <formula>AND(C$9&gt;=8/24,C$9&lt;14/24)</formula>
    </cfRule>
    <cfRule type="expression" dxfId="2896" priority="220">
      <formula>C$9&lt;8/24</formula>
    </cfRule>
  </conditionalFormatting>
  <conditionalFormatting sqref="A201">
    <cfRule type="expression" dxfId="2895" priority="221">
      <formula>$AH201=0</formula>
    </cfRule>
  </conditionalFormatting>
  <conditionalFormatting sqref="AG213">
    <cfRule type="expression" dxfId="2894" priority="222">
      <formula>B$9&gt;=20/24</formula>
    </cfRule>
    <cfRule type="expression" dxfId="2893" priority="223">
      <formula>AND(B$9&gt;=14/24,B$9&lt;20/24)</formula>
    </cfRule>
    <cfRule type="expression" dxfId="2892" priority="224">
      <formula>AND(B$9&gt;=8/24,B$9&lt;14/24)</formula>
    </cfRule>
    <cfRule type="expression" dxfId="2891" priority="225">
      <formula>B$9&lt;8/24</formula>
    </cfRule>
  </conditionalFormatting>
  <conditionalFormatting sqref="S8">
    <cfRule type="expression" dxfId="2890" priority="184">
      <formula>U$9&gt;=20/24</formula>
    </cfRule>
    <cfRule type="expression" dxfId="2889" priority="185">
      <formula>AND(U$9&gt;=14/24,U$9&lt;20/24)</formula>
    </cfRule>
    <cfRule type="expression" dxfId="2888" priority="186">
      <formula>AND(U$9&gt;=8/24,U$9&lt;14/24)</formula>
    </cfRule>
    <cfRule type="expression" dxfId="2887" priority="187">
      <formula>U$9&lt;8/24</formula>
    </cfRule>
  </conditionalFormatting>
  <conditionalFormatting sqref="AB8">
    <cfRule type="expression" dxfId="2886" priority="180">
      <formula>AD$9&gt;=20/24</formula>
    </cfRule>
    <cfRule type="expression" dxfId="2885" priority="181">
      <formula>AND(AD$9&gt;=14/24,AD$9&lt;20/24)</formula>
    </cfRule>
    <cfRule type="expression" dxfId="2884" priority="182">
      <formula>AND(AD$9&gt;=8/24,AD$9&lt;14/24)</formula>
    </cfRule>
    <cfRule type="expression" dxfId="2883" priority="183">
      <formula>AD$9&lt;8/24</formula>
    </cfRule>
  </conditionalFormatting>
  <conditionalFormatting sqref="AH213:AX213">
    <cfRule type="expression" dxfId="2882" priority="226">
      <formula>AG$9&gt;=20/24</formula>
    </cfRule>
    <cfRule type="expression" dxfId="2881" priority="227">
      <formula>AND(AG$9&gt;=14/24,AG$9&lt;20/24)</formula>
    </cfRule>
    <cfRule type="expression" dxfId="2880" priority="228">
      <formula>AND(AG$9&gt;=8/24,AG$9&lt;14/24)</formula>
    </cfRule>
    <cfRule type="expression" dxfId="2879" priority="229">
      <formula>AG$9&lt;8/24</formula>
    </cfRule>
  </conditionalFormatting>
  <conditionalFormatting sqref="T213">
    <cfRule type="expression" dxfId="2878" priority="230">
      <formula>AX$9&gt;=20/24</formula>
    </cfRule>
    <cfRule type="expression" dxfId="2877" priority="231">
      <formula>AND(AX$9&gt;=14/24,AX$9&lt;20/24)</formula>
    </cfRule>
    <cfRule type="expression" dxfId="2876" priority="232">
      <formula>AND(AX$9&gt;=8/24,AX$9&lt;14/24)</formula>
    </cfRule>
    <cfRule type="expression" dxfId="2875" priority="233">
      <formula>AX$9&lt;8/24</formula>
    </cfRule>
  </conditionalFormatting>
  <conditionalFormatting sqref="A99:A100">
    <cfRule type="expression" dxfId="2874" priority="179">
      <formula>$AH99=0</formula>
    </cfRule>
  </conditionalFormatting>
  <conditionalFormatting sqref="G40:L41 C57:AF57 AA40:AF41">
    <cfRule type="expression" dxfId="2873" priority="175">
      <formula>C$9&gt;=20/24</formula>
    </cfRule>
    <cfRule type="expression" dxfId="2872" priority="176">
      <formula>AND(C$9&gt;=14/24,C$9&lt;20/24)</formula>
    </cfRule>
    <cfRule type="expression" dxfId="2871" priority="177">
      <formula>AND(C$9&gt;=8/24,C$9&lt;14/24)</formula>
    </cfRule>
    <cfRule type="expression" dxfId="2870" priority="178">
      <formula>C$9&lt;8/24</formula>
    </cfRule>
  </conditionalFormatting>
  <conditionalFormatting sqref="G39:L39 AA39:AF39">
    <cfRule type="expression" dxfId="2869" priority="171">
      <formula>G$9&gt;=20/24</formula>
    </cfRule>
    <cfRule type="expression" dxfId="2868" priority="172">
      <formula>AND(G$9&gt;=14/24,G$9&lt;20/24)</formula>
    </cfRule>
    <cfRule type="expression" dxfId="2867" priority="173">
      <formula>AND(G$9&gt;=8/24,G$9&lt;14/24)</formula>
    </cfRule>
    <cfRule type="expression" dxfId="2866" priority="174">
      <formula>G$9&lt;8/24</formula>
    </cfRule>
  </conditionalFormatting>
  <conditionalFormatting sqref="G39:L41 AA39:AF41">
    <cfRule type="expression" dxfId="2865" priority="170">
      <formula>G39&gt;$AG39</formula>
    </cfRule>
  </conditionalFormatting>
  <conditionalFormatting sqref="C81:AF81 C58:M59 C69:AF72 C56:AF56 C85:E86 D60:M63 D67:O67 N58:O63 M11:W14 M36:W37 D53:AF55 F85:AF91 P58:AF67 X12:AF14 M18:AF22 M24:AF24 X36:AF36 M28:AF31 M16:AF16 M26:AF26">
    <cfRule type="expression" dxfId="2864" priority="166">
      <formula>C$9&gt;=20/24</formula>
    </cfRule>
    <cfRule type="expression" dxfId="2863" priority="167">
      <formula>AND(C$9&gt;=14/24,C$9&lt;20/24)</formula>
    </cfRule>
    <cfRule type="expression" dxfId="2862" priority="168">
      <formula>AND(C$9&gt;=8/24,C$9&lt;14/24)</formula>
    </cfRule>
    <cfRule type="expression" dxfId="2861" priority="169">
      <formula>C$9&lt;8/24</formula>
    </cfRule>
  </conditionalFormatting>
  <conditionalFormatting sqref="M32:AF32">
    <cfRule type="expression" dxfId="2860" priority="162">
      <formula>M$9&gt;=20/24</formula>
    </cfRule>
    <cfRule type="expression" dxfId="2859" priority="163">
      <formula>AND(M$9&gt;=14/24,M$9&lt;20/24)</formula>
    </cfRule>
    <cfRule type="expression" dxfId="2858" priority="164">
      <formula>AND(M$9&gt;=8/24,M$9&lt;14/24)</formula>
    </cfRule>
    <cfRule type="expression" dxfId="2857" priority="165">
      <formula>M$9&lt;8/24</formula>
    </cfRule>
  </conditionalFormatting>
  <conditionalFormatting sqref="M35:AF35">
    <cfRule type="expression" dxfId="2856" priority="158">
      <formula>M$9&gt;=20/24</formula>
    </cfRule>
    <cfRule type="expression" dxfId="2855" priority="159">
      <formula>AND(M$9&gt;=14/24,M$9&lt;20/24)</formula>
    </cfRule>
    <cfRule type="expression" dxfId="2854" priority="160">
      <formula>AND(M$9&gt;=8/24,M$9&lt;14/24)</formula>
    </cfRule>
    <cfRule type="expression" dxfId="2853" priority="161">
      <formula>M$9&lt;8/24</formula>
    </cfRule>
  </conditionalFormatting>
  <conditionalFormatting sqref="AF42:AF43 C51:AF51 C56:AF56 L37:O37 G42:L44 M34:O36 M11:P15 Q11:W11 P34:W37 D53:AF55 Q13:AF15 M18:AF22 M24:AF24 X34:AF36 M26:AF32">
    <cfRule type="expression" dxfId="2852" priority="157">
      <formula>C11&gt;$AG11</formula>
    </cfRule>
  </conditionalFormatting>
  <conditionalFormatting sqref="M34:AF34">
    <cfRule type="expression" dxfId="2851" priority="153">
      <formula>M$9&gt;=20/24</formula>
    </cfRule>
    <cfRule type="expression" dxfId="2850" priority="154">
      <formula>AND(M$9&gt;=14/24,M$9&lt;20/24)</formula>
    </cfRule>
    <cfRule type="expression" dxfId="2849" priority="155">
      <formula>AND(M$9&gt;=8/24,M$9&lt;14/24)</formula>
    </cfRule>
    <cfRule type="expression" dxfId="2848" priority="156">
      <formula>M$9&lt;8/24</formula>
    </cfRule>
  </conditionalFormatting>
  <conditionalFormatting sqref="M15:AF15">
    <cfRule type="expression" dxfId="2847" priority="149">
      <formula>M$9&gt;=20/24</formula>
    </cfRule>
    <cfRule type="expression" dxfId="2846" priority="150">
      <formula>AND(M$9&gt;=14/24,M$9&lt;20/24)</formula>
    </cfRule>
    <cfRule type="expression" dxfId="2845" priority="151">
      <formula>AND(M$9&gt;=8/24,M$9&lt;14/24)</formula>
    </cfRule>
    <cfRule type="expression" dxfId="2844" priority="152">
      <formula>M$9&lt;8/24</formula>
    </cfRule>
  </conditionalFormatting>
  <conditionalFormatting sqref="M33:AF33">
    <cfRule type="expression" dxfId="2843" priority="145">
      <formula>M$9&gt;=20/24</formula>
    </cfRule>
    <cfRule type="expression" dxfId="2842" priority="146">
      <formula>AND(M$9&gt;=14/24,M$9&lt;20/24)</formula>
    </cfRule>
    <cfRule type="expression" dxfId="2841" priority="147">
      <formula>AND(M$9&gt;=8/24,M$9&lt;14/24)</formula>
    </cfRule>
    <cfRule type="expression" dxfId="2840" priority="148">
      <formula>M$9&lt;8/24</formula>
    </cfRule>
  </conditionalFormatting>
  <conditionalFormatting sqref="M33:AF33">
    <cfRule type="expression" dxfId="2839" priority="144">
      <formula>M33&gt;$AG33</formula>
    </cfRule>
  </conditionalFormatting>
  <conditionalFormatting sqref="AF44:AF50 X42:AE43">
    <cfRule type="expression" dxfId="2838" priority="136">
      <formula>X$9&gt;=20/24</formula>
    </cfRule>
    <cfRule type="expression" dxfId="2837" priority="137">
      <formula>AND(X$9&gt;=14/24,X$9&lt;20/24)</formula>
    </cfRule>
    <cfRule type="expression" dxfId="2836" priority="138">
      <formula>AND(X$9&gt;=8/24,X$9&lt;14/24)</formula>
    </cfRule>
    <cfRule type="expression" dxfId="2835" priority="139">
      <formula>X$9&lt;8/24</formula>
    </cfRule>
  </conditionalFormatting>
  <conditionalFormatting sqref="AF44:AF50 X42:AE43">
    <cfRule type="expression" dxfId="2834" priority="135">
      <formula>X42&gt;$AG42</formula>
    </cfRule>
  </conditionalFormatting>
  <conditionalFormatting sqref="M39:W50 X44:AE50">
    <cfRule type="expression" dxfId="2833" priority="131">
      <formula>M$9&gt;=20/24</formula>
    </cfRule>
    <cfRule type="expression" dxfId="2832" priority="132">
      <formula>AND(M$9&gt;=14/24,M$9&lt;20/24)</formula>
    </cfRule>
    <cfRule type="expression" dxfId="2831" priority="133">
      <formula>AND(M$9&gt;=8/24,M$9&lt;14/24)</formula>
    </cfRule>
    <cfRule type="expression" dxfId="2830" priority="134">
      <formula>M$9&lt;8/24</formula>
    </cfRule>
  </conditionalFormatting>
  <conditionalFormatting sqref="M39:W50 X44:AE50">
    <cfRule type="expression" dxfId="2829" priority="130">
      <formula>M39&gt;$AG39</formula>
    </cfRule>
  </conditionalFormatting>
  <conditionalFormatting sqref="M27:AF27">
    <cfRule type="expression" dxfId="2828" priority="126">
      <formula>M$9&gt;=20/24</formula>
    </cfRule>
    <cfRule type="expression" dxfId="2827" priority="127">
      <formula>AND(M$9&gt;=14/24,M$9&lt;20/24)</formula>
    </cfRule>
    <cfRule type="expression" dxfId="2826" priority="128">
      <formula>AND(M$9&gt;=8/24,M$9&lt;14/24)</formula>
    </cfRule>
    <cfRule type="expression" dxfId="2825" priority="129">
      <formula>M$9&lt;8/24</formula>
    </cfRule>
  </conditionalFormatting>
  <conditionalFormatting sqref="M17:AF17 M23:AF23">
    <cfRule type="expression" dxfId="2824" priority="122">
      <formula>M$9&gt;=20/24</formula>
    </cfRule>
    <cfRule type="expression" dxfId="2823" priority="123">
      <formula>AND(M$9&gt;=14/24,M$9&lt;20/24)</formula>
    </cfRule>
    <cfRule type="expression" dxfId="2822" priority="124">
      <formula>AND(M$9&gt;=8/24,M$9&lt;14/24)</formula>
    </cfRule>
    <cfRule type="expression" dxfId="2821" priority="125">
      <formula>M$9&lt;8/24</formula>
    </cfRule>
  </conditionalFormatting>
  <conditionalFormatting sqref="M17:AF17 M23:AF23">
    <cfRule type="expression" dxfId="2820" priority="113">
      <formula>M17&gt;$AG17</formula>
    </cfRule>
  </conditionalFormatting>
  <conditionalFormatting sqref="D64:O66">
    <cfRule type="expression" dxfId="2819" priority="87">
      <formula>D$9&gt;=20/24</formula>
    </cfRule>
    <cfRule type="expression" dxfId="2818" priority="88">
      <formula>AND(D$9&gt;=14/24,D$9&lt;20/24)</formula>
    </cfRule>
    <cfRule type="expression" dxfId="2817" priority="89">
      <formula>AND(D$9&gt;=8/24,D$9&lt;14/24)</formula>
    </cfRule>
    <cfRule type="expression" dxfId="2816" priority="90">
      <formula>D$9&lt;8/24</formula>
    </cfRule>
  </conditionalFormatting>
  <conditionalFormatting sqref="G45:L45 G47:L47">
    <cfRule type="expression" dxfId="2815" priority="82">
      <formula>G$9&gt;=20/24</formula>
    </cfRule>
    <cfRule type="expression" dxfId="2814" priority="83">
      <formula>AND(G$9&gt;=14/24,G$9&lt;20/24)</formula>
    </cfRule>
    <cfRule type="expression" dxfId="2813" priority="84">
      <formula>AND(G$9&gt;=8/24,G$9&lt;14/24)</formula>
    </cfRule>
    <cfRule type="expression" dxfId="2812" priority="85">
      <formula>G$9&lt;8/24</formula>
    </cfRule>
  </conditionalFormatting>
  <conditionalFormatting sqref="G45:L45 G47:L47">
    <cfRule type="expression" dxfId="2811" priority="81">
      <formula>G45&gt;$AG45</formula>
    </cfRule>
  </conditionalFormatting>
  <conditionalFormatting sqref="X40:Z41">
    <cfRule type="expression" dxfId="2810" priority="77">
      <formula>X$9&gt;=20/24</formula>
    </cfRule>
    <cfRule type="expression" dxfId="2809" priority="78">
      <formula>AND(X$9&gt;=14/24,X$9&lt;20/24)</formula>
    </cfRule>
    <cfRule type="expression" dxfId="2808" priority="79">
      <formula>AND(X$9&gt;=8/24,X$9&lt;14/24)</formula>
    </cfRule>
    <cfRule type="expression" dxfId="2807" priority="80">
      <formula>X$9&lt;8/24</formula>
    </cfRule>
  </conditionalFormatting>
  <conditionalFormatting sqref="X39:Z39">
    <cfRule type="expression" dxfId="2806" priority="73">
      <formula>X$9&gt;=20/24</formula>
    </cfRule>
    <cfRule type="expression" dxfId="2805" priority="74">
      <formula>AND(X$9&gt;=14/24,X$9&lt;20/24)</formula>
    </cfRule>
    <cfRule type="expression" dxfId="2804" priority="75">
      <formula>AND(X$9&gt;=8/24,X$9&lt;14/24)</formula>
    </cfRule>
    <cfRule type="expression" dxfId="2803" priority="76">
      <formula>X$9&lt;8/24</formula>
    </cfRule>
  </conditionalFormatting>
  <conditionalFormatting sqref="X39:Z41">
    <cfRule type="expression" dxfId="2802" priority="72">
      <formula>X39&gt;$AG39</formula>
    </cfRule>
  </conditionalFormatting>
  <conditionalFormatting sqref="B94:B100 B74:AF74 B82:AF82 B11:L11">
    <cfRule type="expression" dxfId="2801" priority="68">
      <formula>B$9&gt;=20/24</formula>
    </cfRule>
    <cfRule type="expression" dxfId="2800" priority="69">
      <formula>AND(B$9&gt;=14/24,B$9&lt;20/24)</formula>
    </cfRule>
    <cfRule type="expression" dxfId="2799" priority="70">
      <formula>AND(B$9&gt;=8/24,B$9&lt;14/24)</formula>
    </cfRule>
    <cfRule type="expression" dxfId="2798" priority="71">
      <formula>B$9&lt;8/24</formula>
    </cfRule>
  </conditionalFormatting>
  <conditionalFormatting sqref="B37:K37">
    <cfRule type="expression" dxfId="2797" priority="64">
      <formula>B$9&gt;=20/24</formula>
    </cfRule>
    <cfRule type="expression" dxfId="2796" priority="65">
      <formula>AND(B$9&gt;=14/24,B$9&lt;20/24)</formula>
    </cfRule>
    <cfRule type="expression" dxfId="2795" priority="66">
      <formula>AND(B$9&gt;=8/24,B$9&lt;14/24)</formula>
    </cfRule>
    <cfRule type="expression" dxfId="2794" priority="67">
      <formula>B$9&lt;8/24</formula>
    </cfRule>
  </conditionalFormatting>
  <conditionalFormatting sqref="B37:K37 B11:L11">
    <cfRule type="expression" dxfId="2793" priority="63">
      <formula>B11&gt;$AG11</formula>
    </cfRule>
  </conditionalFormatting>
  <conditionalFormatting sqref="B84">
    <cfRule type="expression" dxfId="2792" priority="59">
      <formula>B$9&gt;=20/24</formula>
    </cfRule>
    <cfRule type="expression" dxfId="2791" priority="60">
      <formula>AND(B$9&gt;=14/24,B$9&lt;20/24)</formula>
    </cfRule>
    <cfRule type="expression" dxfId="2790" priority="61">
      <formula>AND(B$9&gt;=8/24,B$9&lt;14/24)</formula>
    </cfRule>
    <cfRule type="expression" dxfId="2789" priority="62">
      <formula>B$9&lt;8/24</formula>
    </cfRule>
  </conditionalFormatting>
  <conditionalFormatting sqref="B57 B40:F41 B36:L36">
    <cfRule type="expression" dxfId="2788" priority="55">
      <formula>B$9&gt;=20/24</formula>
    </cfRule>
    <cfRule type="expression" dxfId="2787" priority="56">
      <formula>AND(B$9&gt;=14/24,B$9&lt;20/24)</formula>
    </cfRule>
    <cfRule type="expression" dxfId="2786" priority="57">
      <formula>AND(B$9&gt;=8/24,B$9&lt;14/24)</formula>
    </cfRule>
    <cfRule type="expression" dxfId="2785" priority="58">
      <formula>B$9&lt;8/24</formula>
    </cfRule>
  </conditionalFormatting>
  <conditionalFormatting sqref="B39:F39">
    <cfRule type="expression" dxfId="2784" priority="51">
      <formula>B$9&gt;=20/24</formula>
    </cfRule>
    <cfRule type="expression" dxfId="2783" priority="52">
      <formula>AND(B$9&gt;=14/24,B$9&lt;20/24)</formula>
    </cfRule>
    <cfRule type="expression" dxfId="2782" priority="53">
      <formula>AND(B$9&gt;=8/24,B$9&lt;14/24)</formula>
    </cfRule>
    <cfRule type="expression" dxfId="2781" priority="54">
      <formula>B$9&lt;8/24</formula>
    </cfRule>
  </conditionalFormatting>
  <conditionalFormatting sqref="B39:F41 B36:L36">
    <cfRule type="expression" dxfId="2780" priority="50">
      <formula>B36&gt;$AG36</formula>
    </cfRule>
  </conditionalFormatting>
  <conditionalFormatting sqref="B85:B91 B53:B56 B69:B73 B75:AF75 C73:AF73 B81 B83:AF83 B58:B67 C53:C55 C60:C67 C87:E91 B12:L14 B16:L16 B24:L24 B18:L22 B28:L31 B26:L26 B25:AF25">
    <cfRule type="expression" dxfId="2779" priority="46">
      <formula>B$9&gt;=20/24</formula>
    </cfRule>
    <cfRule type="expression" dxfId="2778" priority="47">
      <formula>AND(B$9&gt;=14/24,B$9&lt;20/24)</formula>
    </cfRule>
    <cfRule type="expression" dxfId="2777" priority="48">
      <formula>AND(B$9&gt;=8/24,B$9&lt;14/24)</formula>
    </cfRule>
    <cfRule type="expression" dxfId="2776" priority="49">
      <formula>B$9&lt;8/24</formula>
    </cfRule>
  </conditionalFormatting>
  <conditionalFormatting sqref="B32:L32">
    <cfRule type="expression" dxfId="2775" priority="42">
      <formula>B$9&gt;=20/24</formula>
    </cfRule>
    <cfRule type="expression" dxfId="2774" priority="43">
      <formula>AND(B$9&gt;=14/24,B$9&lt;20/24)</formula>
    </cfRule>
    <cfRule type="expression" dxfId="2773" priority="44">
      <formula>AND(B$9&gt;=8/24,B$9&lt;14/24)</formula>
    </cfRule>
    <cfRule type="expression" dxfId="2772" priority="45">
      <formula>B$9&lt;8/24</formula>
    </cfRule>
  </conditionalFormatting>
  <conditionalFormatting sqref="B35:L35">
    <cfRule type="expression" dxfId="2771" priority="38">
      <formula>B$9&gt;=20/24</formula>
    </cfRule>
    <cfRule type="expression" dxfId="2770" priority="39">
      <formula>AND(B$9&gt;=14/24,B$9&lt;20/24)</formula>
    </cfRule>
    <cfRule type="expression" dxfId="2769" priority="40">
      <formula>AND(B$9&gt;=8/24,B$9&lt;14/24)</formula>
    </cfRule>
    <cfRule type="expression" dxfId="2768" priority="41">
      <formula>B$9&lt;8/24</formula>
    </cfRule>
  </conditionalFormatting>
  <conditionalFormatting sqref="B51:B56 C52:AF52 C53:C55 B42:F43 B34:L35 B18:L22 B24:L24 B26:L32 B38:AF38 B25:AF25">
    <cfRule type="expression" dxfId="2767" priority="37">
      <formula>B18&gt;$AG18</formula>
    </cfRule>
  </conditionalFormatting>
  <conditionalFormatting sqref="B34:L34">
    <cfRule type="expression" dxfId="2766" priority="33">
      <formula>B$9&gt;=20/24</formula>
    </cfRule>
    <cfRule type="expression" dxfId="2765" priority="34">
      <formula>AND(B$9&gt;=14/24,B$9&lt;20/24)</formula>
    </cfRule>
    <cfRule type="expression" dxfId="2764" priority="35">
      <formula>AND(B$9&gt;=8/24,B$9&lt;14/24)</formula>
    </cfRule>
    <cfRule type="expression" dxfId="2763" priority="36">
      <formula>B$9&lt;8/24</formula>
    </cfRule>
  </conditionalFormatting>
  <conditionalFormatting sqref="B15:L15">
    <cfRule type="expression" dxfId="2762" priority="29">
      <formula>B$9&gt;=20/24</formula>
    </cfRule>
    <cfRule type="expression" dxfId="2761" priority="30">
      <formula>AND(B$9&gt;=14/24,B$9&lt;20/24)</formula>
    </cfRule>
    <cfRule type="expression" dxfId="2760" priority="31">
      <formula>AND(B$9&gt;=8/24,B$9&lt;14/24)</formula>
    </cfRule>
    <cfRule type="expression" dxfId="2759" priority="32">
      <formula>B$9&lt;8/24</formula>
    </cfRule>
  </conditionalFormatting>
  <conditionalFormatting sqref="B33:L33">
    <cfRule type="expression" dxfId="2758" priority="25">
      <formula>B$9&gt;=20/24</formula>
    </cfRule>
    <cfRule type="expression" dxfId="2757" priority="26">
      <formula>AND(B$9&gt;=14/24,B$9&lt;20/24)</formula>
    </cfRule>
    <cfRule type="expression" dxfId="2756" priority="27">
      <formula>AND(B$9&gt;=8/24,B$9&lt;14/24)</formula>
    </cfRule>
    <cfRule type="expression" dxfId="2755" priority="28">
      <formula>B$9&lt;8/24</formula>
    </cfRule>
  </conditionalFormatting>
  <conditionalFormatting sqref="B33:L33">
    <cfRule type="expression" dxfId="2754" priority="24">
      <formula>B33&gt;$AG33</formula>
    </cfRule>
  </conditionalFormatting>
  <conditionalFormatting sqref="B44:F45 G48:L50 B47:F50 B46:L46">
    <cfRule type="expression" dxfId="2753" priority="20">
      <formula>B$9&gt;=20/24</formula>
    </cfRule>
    <cfRule type="expression" dxfId="2752" priority="21">
      <formula>AND(B$9&gt;=14/24,B$9&lt;20/24)</formula>
    </cfRule>
    <cfRule type="expression" dxfId="2751" priority="22">
      <formula>AND(B$9&gt;=8/24,B$9&lt;14/24)</formula>
    </cfRule>
    <cfRule type="expression" dxfId="2750" priority="23">
      <formula>B$9&lt;8/24</formula>
    </cfRule>
  </conditionalFormatting>
  <conditionalFormatting sqref="B44:F45 G48:L50 B47:F50 B46:L46">
    <cfRule type="expression" dxfId="2749" priority="19">
      <formula>B44&gt;$AG44</formula>
    </cfRule>
  </conditionalFormatting>
  <conditionalFormatting sqref="B27:L27">
    <cfRule type="expression" dxfId="2748" priority="15">
      <formula>B$9&gt;=20/24</formula>
    </cfRule>
    <cfRule type="expression" dxfId="2747" priority="16">
      <formula>AND(B$9&gt;=14/24,B$9&lt;20/24)</formula>
    </cfRule>
    <cfRule type="expression" dxfId="2746" priority="17">
      <formula>AND(B$9&gt;=8/24,B$9&lt;14/24)</formula>
    </cfRule>
    <cfRule type="expression" dxfId="2745" priority="18">
      <formula>B$9&lt;8/24</formula>
    </cfRule>
  </conditionalFormatting>
  <conditionalFormatting sqref="B17:L17 B23:L23">
    <cfRule type="expression" dxfId="2744" priority="11">
      <formula>B$9&gt;=20/24</formula>
    </cfRule>
    <cfRule type="expression" dxfId="2743" priority="12">
      <formula>AND(B$9&gt;=14/24,B$9&lt;20/24)</formula>
    </cfRule>
    <cfRule type="expression" dxfId="2742" priority="13">
      <formula>AND(B$9&gt;=8/24,B$9&lt;14/24)</formula>
    </cfRule>
    <cfRule type="expression" dxfId="2741" priority="14">
      <formula>B$9&lt;8/24</formula>
    </cfRule>
  </conditionalFormatting>
  <conditionalFormatting sqref="B17:L17 B23:L23">
    <cfRule type="expression" dxfId="2740" priority="10">
      <formula>B17&gt;$AG17</formula>
    </cfRule>
  </conditionalFormatting>
  <conditionalFormatting sqref="A33">
    <cfRule type="expression" dxfId="2739" priority="9">
      <formula>$AH33=0</formula>
    </cfRule>
  </conditionalFormatting>
  <conditionalFormatting sqref="B68:AF68">
    <cfRule type="expression" dxfId="2738" priority="5">
      <formula>B$9&gt;=20/24</formula>
    </cfRule>
    <cfRule type="expression" dxfId="2737" priority="6">
      <formula>AND(B$9&gt;=14/24,B$9&lt;20/24)</formula>
    </cfRule>
    <cfRule type="expression" dxfId="2736" priority="7">
      <formula>AND(B$9&gt;=8/24,B$9&lt;14/24)</formula>
    </cfRule>
    <cfRule type="expression" dxfId="2735" priority="8">
      <formula>B$9&lt;8/24</formula>
    </cfRule>
  </conditionalFormatting>
  <conditionalFormatting sqref="B76:AF80">
    <cfRule type="expression" dxfId="2734" priority="1">
      <formula>B$9&gt;=20/24</formula>
    </cfRule>
    <cfRule type="expression" dxfId="2733" priority="2">
      <formula>AND(B$9&gt;=14/24,B$9&lt;20/24)</formula>
    </cfRule>
    <cfRule type="expression" dxfId="2732" priority="3">
      <formula>AND(B$9&gt;=8/24,B$9&lt;14/24)</formula>
    </cfRule>
    <cfRule type="expression" dxfId="2731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F53" sqref="AF5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2079/02/21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47.6</v>
      </c>
      <c r="C5" s="32">
        <f t="shared" si="0"/>
        <v>45.7</v>
      </c>
      <c r="D5" s="32">
        <f t="shared" si="0"/>
        <v>44.8</v>
      </c>
      <c r="E5" s="32">
        <f t="shared" si="0"/>
        <v>45</v>
      </c>
      <c r="F5" s="32">
        <f t="shared" si="0"/>
        <v>44.8</v>
      </c>
      <c r="G5" s="32">
        <f t="shared" si="0"/>
        <v>38.700000000000003</v>
      </c>
      <c r="H5" s="32">
        <f t="shared" si="0"/>
        <v>34.299999999999997</v>
      </c>
      <c r="I5" s="32">
        <f t="shared" si="0"/>
        <v>31.6</v>
      </c>
      <c r="J5" s="32">
        <f t="shared" si="0"/>
        <v>30.2</v>
      </c>
      <c r="K5" s="32">
        <f t="shared" si="0"/>
        <v>59.2</v>
      </c>
      <c r="L5" s="32">
        <f t="shared" si="0"/>
        <v>53.2</v>
      </c>
      <c r="M5" s="32">
        <f t="shared" si="0"/>
        <v>60.3</v>
      </c>
      <c r="N5" s="32">
        <f t="shared" si="0"/>
        <v>92.1</v>
      </c>
      <c r="O5" s="32">
        <f t="shared" si="0"/>
        <v>97.800000000000011</v>
      </c>
      <c r="P5" s="32">
        <f t="shared" si="0"/>
        <v>103.8</v>
      </c>
      <c r="Q5" s="32">
        <f t="shared" si="0"/>
        <v>110.2</v>
      </c>
      <c r="R5" s="32">
        <f t="shared" si="0"/>
        <v>95.5</v>
      </c>
      <c r="S5" s="32">
        <f t="shared" si="0"/>
        <v>68</v>
      </c>
      <c r="T5" s="32">
        <f t="shared" si="0"/>
        <v>61.5</v>
      </c>
      <c r="U5" s="32">
        <f t="shared" si="0"/>
        <v>61.5</v>
      </c>
      <c r="V5" s="32">
        <f t="shared" si="0"/>
        <v>61.5</v>
      </c>
      <c r="W5" s="32">
        <f t="shared" si="0"/>
        <v>54.6</v>
      </c>
      <c r="X5" s="32">
        <f t="shared" si="0"/>
        <v>54.6</v>
      </c>
      <c r="Y5" s="32">
        <f t="shared" si="0"/>
        <v>78.3</v>
      </c>
      <c r="Z5" s="32">
        <f t="shared" si="0"/>
        <v>88.9</v>
      </c>
      <c r="AA5" s="32">
        <f t="shared" si="0"/>
        <v>95.5</v>
      </c>
      <c r="AB5" s="32">
        <f t="shared" si="0"/>
        <v>76.099999999999994</v>
      </c>
      <c r="AC5" s="32">
        <f t="shared" si="0"/>
        <v>79.199999999999989</v>
      </c>
      <c r="AD5" s="32">
        <f t="shared" si="0"/>
        <v>78</v>
      </c>
      <c r="AE5" s="32">
        <f t="shared" si="0"/>
        <v>60.2</v>
      </c>
      <c r="AF5" s="32">
        <f>B68</f>
        <v>49.8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1769MW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Load=1607</v>
      </c>
      <c r="B7" s="37">
        <f>B75</f>
        <v>1754.74</v>
      </c>
      <c r="C7" s="37">
        <f t="shared" ref="C7:AF7" si="1">C75</f>
        <v>1752.44</v>
      </c>
      <c r="D7" s="37">
        <f t="shared" si="1"/>
        <v>1749.04</v>
      </c>
      <c r="E7" s="37">
        <f t="shared" si="1"/>
        <v>1756.4399999999998</v>
      </c>
      <c r="F7" s="37">
        <f t="shared" si="1"/>
        <v>1676.54</v>
      </c>
      <c r="G7" s="37">
        <f t="shared" si="1"/>
        <v>1606.54</v>
      </c>
      <c r="H7" s="37">
        <f t="shared" si="1"/>
        <v>1676.44</v>
      </c>
      <c r="I7" s="37">
        <f t="shared" si="1"/>
        <v>1672.04</v>
      </c>
      <c r="J7" s="37">
        <f t="shared" si="1"/>
        <v>1669.34</v>
      </c>
      <c r="K7" s="37">
        <f t="shared" si="1"/>
        <v>1667.94</v>
      </c>
      <c r="L7" s="37">
        <f t="shared" si="1"/>
        <v>1768.64</v>
      </c>
      <c r="M7" s="37">
        <f t="shared" si="1"/>
        <v>1685.24</v>
      </c>
      <c r="N7" s="37">
        <f t="shared" si="1"/>
        <v>1767.04</v>
      </c>
      <c r="O7" s="37">
        <f t="shared" si="1"/>
        <v>1763.4399999999998</v>
      </c>
      <c r="P7" s="37">
        <f t="shared" si="1"/>
        <v>1800.54</v>
      </c>
      <c r="Q7" s="37">
        <f t="shared" si="1"/>
        <v>1802.04</v>
      </c>
      <c r="R7" s="37">
        <f t="shared" si="1"/>
        <v>1797.94</v>
      </c>
      <c r="S7" s="37">
        <f t="shared" si="1"/>
        <v>1811.24</v>
      </c>
      <c r="T7" s="37">
        <f t="shared" si="1"/>
        <v>1787.34</v>
      </c>
      <c r="U7" s="37">
        <f t="shared" si="1"/>
        <v>1768.84</v>
      </c>
      <c r="V7" s="37">
        <f t="shared" si="1"/>
        <v>1780.84</v>
      </c>
      <c r="W7" s="37">
        <f t="shared" si="1"/>
        <v>1780.84</v>
      </c>
      <c r="X7" s="37">
        <f t="shared" si="1"/>
        <v>1713.9399999999998</v>
      </c>
      <c r="Y7" s="37">
        <f t="shared" si="1"/>
        <v>1713.9399999999998</v>
      </c>
      <c r="Z7" s="37">
        <f t="shared" si="1"/>
        <v>1726.84</v>
      </c>
      <c r="AA7" s="37">
        <f t="shared" si="1"/>
        <v>1738.04</v>
      </c>
      <c r="AB7" s="37">
        <f t="shared" si="1"/>
        <v>1782.2400000000002</v>
      </c>
      <c r="AC7" s="37">
        <f t="shared" si="1"/>
        <v>1777.54</v>
      </c>
      <c r="AD7" s="37">
        <f t="shared" si="1"/>
        <v>1787.64</v>
      </c>
      <c r="AE7" s="37">
        <f t="shared" si="1"/>
        <v>1790.14</v>
      </c>
      <c r="AF7" s="37">
        <f t="shared" si="1"/>
        <v>1772.3400000000001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3">
        <v>456</v>
      </c>
      <c r="C11" s="53">
        <v>456</v>
      </c>
      <c r="D11" s="53">
        <v>456</v>
      </c>
      <c r="E11" s="53">
        <v>456</v>
      </c>
      <c r="F11" s="51">
        <v>380</v>
      </c>
      <c r="G11" s="51">
        <v>380</v>
      </c>
      <c r="H11" s="51">
        <v>456</v>
      </c>
      <c r="I11" s="51">
        <v>456</v>
      </c>
      <c r="J11" s="51">
        <v>456</v>
      </c>
      <c r="K11" s="51">
        <v>456</v>
      </c>
      <c r="L11" s="51">
        <v>456</v>
      </c>
      <c r="M11" s="51">
        <v>380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3">
        <v>456</v>
      </c>
      <c r="T11" s="53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380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53.9</v>
      </c>
      <c r="C13" s="51">
        <v>53.9</v>
      </c>
      <c r="D13" s="51">
        <v>53.9</v>
      </c>
      <c r="E13" s="51">
        <v>53.9</v>
      </c>
      <c r="F13" s="51">
        <v>53.9</v>
      </c>
      <c r="G13" s="51">
        <v>53.9</v>
      </c>
      <c r="H13" s="51">
        <v>53.9</v>
      </c>
      <c r="I13" s="51">
        <v>53.9</v>
      </c>
      <c r="J13" s="51">
        <v>53.9</v>
      </c>
      <c r="K13" s="51">
        <v>53.9</v>
      </c>
      <c r="L13" s="51">
        <v>53.9</v>
      </c>
      <c r="M13" s="51">
        <v>53.8</v>
      </c>
      <c r="N13" s="51">
        <v>53.8</v>
      </c>
      <c r="O13" s="51">
        <v>53.8</v>
      </c>
      <c r="P13" s="51">
        <v>53.8</v>
      </c>
      <c r="Q13" s="51">
        <v>53.8</v>
      </c>
      <c r="R13" s="51">
        <v>53.8</v>
      </c>
      <c r="S13" s="51">
        <v>53.8</v>
      </c>
      <c r="T13" s="51">
        <v>53.8</v>
      </c>
      <c r="U13" s="51">
        <v>53.8</v>
      </c>
      <c r="V13" s="51">
        <v>53.8</v>
      </c>
      <c r="W13" s="51">
        <v>53.8</v>
      </c>
      <c r="X13" s="51">
        <v>53.8</v>
      </c>
      <c r="Y13" s="51">
        <v>53.8</v>
      </c>
      <c r="Z13" s="51">
        <v>53.8</v>
      </c>
      <c r="AA13" s="51">
        <v>53.8</v>
      </c>
      <c r="AB13" s="51">
        <v>54.1</v>
      </c>
      <c r="AC13" s="51">
        <v>54.1</v>
      </c>
      <c r="AD13" s="51">
        <v>54.1</v>
      </c>
      <c r="AE13" s="51">
        <v>54.1</v>
      </c>
      <c r="AF13" s="51">
        <v>54.1</v>
      </c>
      <c r="AG13" s="59">
        <v>52.4</v>
      </c>
      <c r="AH13" s="55">
        <f t="shared" si="2"/>
        <v>54.1</v>
      </c>
      <c r="AI13" s="56">
        <f t="shared" si="3"/>
        <v>53.8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50.7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50.7</v>
      </c>
      <c r="N14" s="51">
        <v>50.6</v>
      </c>
      <c r="O14" s="51">
        <v>50.6</v>
      </c>
      <c r="P14" s="51">
        <v>50.6</v>
      </c>
      <c r="Q14" s="51">
        <v>50.6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50.6</v>
      </c>
      <c r="AD14" s="51">
        <v>50.6</v>
      </c>
      <c r="AE14" s="51">
        <v>50.6</v>
      </c>
      <c r="AF14" s="51">
        <v>50.6</v>
      </c>
      <c r="AG14" s="59">
        <v>50</v>
      </c>
      <c r="AH14" s="55">
        <f t="shared" si="2"/>
        <v>50.7</v>
      </c>
      <c r="AI14" s="56">
        <f t="shared" si="3"/>
        <v>50.3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45.9</v>
      </c>
      <c r="C15" s="51">
        <v>45.8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45.8</v>
      </c>
      <c r="P15" s="51">
        <v>45.8</v>
      </c>
      <c r="Q15" s="51">
        <v>45.8</v>
      </c>
      <c r="R15" s="51">
        <v>45.8</v>
      </c>
      <c r="S15" s="51">
        <v>45.8</v>
      </c>
      <c r="T15" s="51">
        <v>45.8</v>
      </c>
      <c r="U15" s="51">
        <v>45.8</v>
      </c>
      <c r="V15" s="51">
        <v>45.8</v>
      </c>
      <c r="W15" s="51">
        <v>45.8</v>
      </c>
      <c r="X15" s="51">
        <v>45.8</v>
      </c>
      <c r="Y15" s="51">
        <v>45.8</v>
      </c>
      <c r="Z15" s="51">
        <v>45.8</v>
      </c>
      <c r="AA15" s="51">
        <v>45.8</v>
      </c>
      <c r="AB15" s="51">
        <v>45.8</v>
      </c>
      <c r="AC15" s="51">
        <v>45.8</v>
      </c>
      <c r="AD15" s="51">
        <v>45.8</v>
      </c>
      <c r="AE15" s="51">
        <v>45.8</v>
      </c>
      <c r="AF15" s="51">
        <v>45.8</v>
      </c>
      <c r="AG15" s="60">
        <v>45</v>
      </c>
      <c r="AH15" s="55">
        <f t="shared" si="2"/>
        <v>45.9</v>
      </c>
      <c r="AI15" s="56">
        <f t="shared" si="3"/>
        <v>45.8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35</v>
      </c>
      <c r="C16" s="51">
        <v>35</v>
      </c>
      <c r="D16" s="51">
        <v>35</v>
      </c>
      <c r="E16" s="51">
        <v>40</v>
      </c>
      <c r="F16" s="51">
        <v>40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0</v>
      </c>
      <c r="Y16" s="51">
        <v>0</v>
      </c>
      <c r="Z16" s="51">
        <v>0</v>
      </c>
      <c r="AA16" s="51">
        <v>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0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26.1</v>
      </c>
      <c r="D19" s="51">
        <v>26.1</v>
      </c>
      <c r="E19" s="51">
        <v>26.1</v>
      </c>
      <c r="F19" s="51">
        <v>26.1</v>
      </c>
      <c r="G19" s="51">
        <v>26.1</v>
      </c>
      <c r="H19" s="51">
        <v>26.1</v>
      </c>
      <c r="I19" s="51">
        <v>26.1</v>
      </c>
      <c r="J19" s="51">
        <v>26.1</v>
      </c>
      <c r="K19" s="51">
        <v>26.1</v>
      </c>
      <c r="L19" s="51">
        <v>26.1</v>
      </c>
      <c r="M19" s="51">
        <v>26.1</v>
      </c>
      <c r="N19" s="51">
        <v>26.1</v>
      </c>
      <c r="O19" s="51">
        <v>26.1</v>
      </c>
      <c r="P19" s="51">
        <v>26.1</v>
      </c>
      <c r="Q19" s="51">
        <v>26.1</v>
      </c>
      <c r="R19" s="51">
        <v>26.1</v>
      </c>
      <c r="S19" s="51">
        <v>26.1</v>
      </c>
      <c r="T19" s="51">
        <v>26.1</v>
      </c>
      <c r="U19" s="51">
        <v>26.1</v>
      </c>
      <c r="V19" s="51">
        <v>26.1</v>
      </c>
      <c r="W19" s="51">
        <v>26.1</v>
      </c>
      <c r="X19" s="51">
        <v>26.1</v>
      </c>
      <c r="Y19" s="51">
        <v>26.1</v>
      </c>
      <c r="Z19" s="51">
        <v>26.1</v>
      </c>
      <c r="AA19" s="51">
        <v>26.1</v>
      </c>
      <c r="AB19" s="51">
        <v>26.1</v>
      </c>
      <c r="AC19" s="51">
        <v>26.1</v>
      </c>
      <c r="AD19" s="51">
        <v>26.1</v>
      </c>
      <c r="AE19" s="51">
        <v>26.1</v>
      </c>
      <c r="AF19" s="51">
        <v>26.1</v>
      </c>
      <c r="AG19" s="59">
        <v>30</v>
      </c>
      <c r="AH19" s="55">
        <f t="shared" si="2"/>
        <v>26.2</v>
      </c>
      <c r="AI19" s="56">
        <f t="shared" si="3"/>
        <v>26.1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20.2</v>
      </c>
      <c r="C20" s="51">
        <v>20.2</v>
      </c>
      <c r="D20" s="51">
        <v>20.2</v>
      </c>
      <c r="E20" s="51">
        <v>20.2</v>
      </c>
      <c r="F20" s="51">
        <v>20.2</v>
      </c>
      <c r="G20" s="51">
        <v>20.2</v>
      </c>
      <c r="H20" s="51">
        <v>20.2</v>
      </c>
      <c r="I20" s="51">
        <v>20.2</v>
      </c>
      <c r="J20" s="51">
        <v>20.2</v>
      </c>
      <c r="K20" s="51">
        <v>20.2</v>
      </c>
      <c r="L20" s="51">
        <v>20.2</v>
      </c>
      <c r="M20" s="51">
        <v>20.2</v>
      </c>
      <c r="N20" s="51">
        <v>20.2</v>
      </c>
      <c r="O20" s="51">
        <v>20.2</v>
      </c>
      <c r="P20" s="51">
        <v>20.2</v>
      </c>
      <c r="Q20" s="51">
        <v>20.2</v>
      </c>
      <c r="R20" s="51">
        <v>20.2</v>
      </c>
      <c r="S20" s="51">
        <v>20.2</v>
      </c>
      <c r="T20" s="51">
        <v>20.2</v>
      </c>
      <c r="U20" s="51">
        <v>20.2</v>
      </c>
      <c r="V20" s="51">
        <v>20.2</v>
      </c>
      <c r="W20" s="51">
        <v>20.2</v>
      </c>
      <c r="X20" s="51">
        <v>20.2</v>
      </c>
      <c r="Y20" s="51">
        <v>20.2</v>
      </c>
      <c r="Z20" s="51">
        <v>20.2</v>
      </c>
      <c r="AA20" s="51">
        <v>20.2</v>
      </c>
      <c r="AB20" s="51">
        <v>20.2</v>
      </c>
      <c r="AC20" s="51">
        <v>20.2</v>
      </c>
      <c r="AD20" s="51">
        <v>20.2</v>
      </c>
      <c r="AE20" s="51">
        <v>20.2</v>
      </c>
      <c r="AF20" s="51">
        <v>20.2</v>
      </c>
      <c r="AG20" s="59">
        <v>27</v>
      </c>
      <c r="AH20" s="55">
        <f t="shared" si="2"/>
        <v>20.2</v>
      </c>
      <c r="AI20" s="56">
        <f t="shared" si="3"/>
        <v>20.2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>
        <v>11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59">
        <v>25</v>
      </c>
      <c r="AH21" s="55">
        <f t="shared" si="2"/>
        <v>11</v>
      </c>
      <c r="AI21" s="56">
        <f t="shared" si="3"/>
        <v>11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23</v>
      </c>
      <c r="C24" s="51">
        <v>23</v>
      </c>
      <c r="D24" s="51">
        <v>23</v>
      </c>
      <c r="E24" s="51">
        <v>23</v>
      </c>
      <c r="F24" s="51">
        <v>23</v>
      </c>
      <c r="G24" s="51">
        <v>23</v>
      </c>
      <c r="H24" s="51">
        <v>23</v>
      </c>
      <c r="I24" s="51">
        <v>23</v>
      </c>
      <c r="J24" s="51">
        <v>23</v>
      </c>
      <c r="K24" s="51">
        <v>23</v>
      </c>
      <c r="L24" s="51">
        <v>23</v>
      </c>
      <c r="M24" s="51">
        <v>23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23</v>
      </c>
      <c r="T24" s="51">
        <v>23</v>
      </c>
      <c r="U24" s="51">
        <v>23</v>
      </c>
      <c r="V24" s="51">
        <v>23</v>
      </c>
      <c r="W24" s="51">
        <v>23</v>
      </c>
      <c r="X24" s="51">
        <v>23</v>
      </c>
      <c r="Y24" s="51">
        <v>23</v>
      </c>
      <c r="Z24" s="51">
        <v>23</v>
      </c>
      <c r="AA24" s="51">
        <v>23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23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5</v>
      </c>
      <c r="D26" s="51">
        <v>5</v>
      </c>
      <c r="E26" s="51">
        <v>10</v>
      </c>
      <c r="F26" s="51">
        <v>10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10.5</v>
      </c>
      <c r="M26" s="51">
        <v>10.5</v>
      </c>
      <c r="N26" s="51">
        <v>10.5</v>
      </c>
      <c r="O26" s="51">
        <v>0</v>
      </c>
      <c r="P26" s="51">
        <v>10.5</v>
      </c>
      <c r="Q26" s="51">
        <v>10.5</v>
      </c>
      <c r="R26" s="51">
        <v>10.5</v>
      </c>
      <c r="S26" s="51">
        <v>10.5</v>
      </c>
      <c r="T26" s="51">
        <v>10.5</v>
      </c>
      <c r="U26" s="51">
        <v>10.5</v>
      </c>
      <c r="V26" s="51">
        <v>10.5</v>
      </c>
      <c r="W26" s="51">
        <v>10.5</v>
      </c>
      <c r="X26" s="51">
        <v>0</v>
      </c>
      <c r="Y26" s="51">
        <v>0</v>
      </c>
      <c r="Z26" s="51">
        <v>0</v>
      </c>
      <c r="AA26" s="51">
        <v>0</v>
      </c>
      <c r="AB26" s="51">
        <v>3</v>
      </c>
      <c r="AC26" s="51">
        <v>3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10.5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5</v>
      </c>
      <c r="C28" s="51">
        <v>5</v>
      </c>
      <c r="D28" s="51">
        <v>5</v>
      </c>
      <c r="E28" s="51">
        <v>5</v>
      </c>
      <c r="F28" s="51">
        <v>5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2</v>
      </c>
      <c r="M28" s="51">
        <v>2</v>
      </c>
      <c r="N28" s="51">
        <v>2</v>
      </c>
      <c r="O28" s="51">
        <v>2</v>
      </c>
      <c r="P28" s="51">
        <v>2</v>
      </c>
      <c r="Q28" s="51">
        <v>2</v>
      </c>
      <c r="R28" s="51">
        <v>2</v>
      </c>
      <c r="S28" s="51">
        <v>2</v>
      </c>
      <c r="T28" s="51">
        <v>2</v>
      </c>
      <c r="U28" s="51">
        <v>2</v>
      </c>
      <c r="V28" s="51">
        <v>2</v>
      </c>
      <c r="W28" s="51">
        <v>2</v>
      </c>
      <c r="X28" s="51">
        <v>2</v>
      </c>
      <c r="Y28" s="51">
        <v>2</v>
      </c>
      <c r="Z28" s="51">
        <v>2</v>
      </c>
      <c r="AA28" s="51">
        <v>2</v>
      </c>
      <c r="AB28" s="51">
        <v>2</v>
      </c>
      <c r="AC28" s="51">
        <v>2</v>
      </c>
      <c r="AD28" s="51">
        <v>2</v>
      </c>
      <c r="AE28" s="51">
        <v>2</v>
      </c>
      <c r="AF28" s="51">
        <v>2</v>
      </c>
      <c r="AG28" s="59">
        <v>22.2</v>
      </c>
      <c r="AH28" s="55">
        <f t="shared" si="2"/>
        <v>5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3</v>
      </c>
      <c r="AD29" s="51">
        <v>3</v>
      </c>
      <c r="AE29" s="51">
        <v>3</v>
      </c>
      <c r="AF29" s="51">
        <v>3</v>
      </c>
      <c r="AG29" s="59">
        <v>22.1</v>
      </c>
      <c r="AH29" s="55">
        <f t="shared" si="2"/>
        <v>6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8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12</v>
      </c>
      <c r="C31" s="51">
        <v>12</v>
      </c>
      <c r="D31" s="51">
        <v>12</v>
      </c>
      <c r="E31" s="51">
        <v>12</v>
      </c>
      <c r="F31" s="51">
        <v>12</v>
      </c>
      <c r="G31" s="51">
        <v>12</v>
      </c>
      <c r="H31" s="51">
        <v>12</v>
      </c>
      <c r="I31" s="51">
        <v>12</v>
      </c>
      <c r="J31" s="51">
        <v>12</v>
      </c>
      <c r="K31" s="51">
        <v>12</v>
      </c>
      <c r="L31" s="51">
        <v>12</v>
      </c>
      <c r="M31" s="51">
        <v>12</v>
      </c>
      <c r="N31" s="51">
        <v>12</v>
      </c>
      <c r="O31" s="51">
        <v>12</v>
      </c>
      <c r="P31" s="51">
        <v>12</v>
      </c>
      <c r="Q31" s="51">
        <v>12</v>
      </c>
      <c r="R31" s="51">
        <v>12</v>
      </c>
      <c r="S31" s="51">
        <v>12</v>
      </c>
      <c r="T31" s="51">
        <v>12</v>
      </c>
      <c r="U31" s="51">
        <v>0</v>
      </c>
      <c r="V31" s="51">
        <v>12</v>
      </c>
      <c r="W31" s="51">
        <v>12</v>
      </c>
      <c r="X31" s="51">
        <v>12</v>
      </c>
      <c r="Y31" s="51">
        <v>12</v>
      </c>
      <c r="Z31" s="51">
        <v>12</v>
      </c>
      <c r="AA31" s="51">
        <v>12</v>
      </c>
      <c r="AB31" s="51">
        <v>12</v>
      </c>
      <c r="AC31" s="51">
        <v>12</v>
      </c>
      <c r="AD31" s="51">
        <v>12</v>
      </c>
      <c r="AE31" s="51">
        <v>12</v>
      </c>
      <c r="AF31" s="51">
        <v>12</v>
      </c>
      <c r="AG31" s="60">
        <v>22</v>
      </c>
      <c r="AH31" s="55">
        <f t="shared" si="2"/>
        <v>12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10</v>
      </c>
      <c r="C32" s="51">
        <v>10</v>
      </c>
      <c r="D32" s="51">
        <v>10</v>
      </c>
      <c r="E32" s="51">
        <v>10</v>
      </c>
      <c r="F32" s="51">
        <v>10</v>
      </c>
      <c r="G32" s="51">
        <v>10</v>
      </c>
      <c r="H32" s="51">
        <v>10</v>
      </c>
      <c r="I32" s="51">
        <v>10</v>
      </c>
      <c r="J32" s="51">
        <v>10</v>
      </c>
      <c r="K32" s="51">
        <v>10</v>
      </c>
      <c r="L32" s="51">
        <v>10</v>
      </c>
      <c r="M32" s="51">
        <v>10</v>
      </c>
      <c r="N32" s="51">
        <v>10</v>
      </c>
      <c r="O32" s="51">
        <v>10</v>
      </c>
      <c r="P32" s="51">
        <v>10</v>
      </c>
      <c r="Q32" s="51">
        <v>10</v>
      </c>
      <c r="R32" s="51">
        <v>10</v>
      </c>
      <c r="S32" s="51">
        <v>10</v>
      </c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1">
        <v>10</v>
      </c>
      <c r="Z32" s="51">
        <v>10</v>
      </c>
      <c r="AA32" s="51">
        <v>10</v>
      </c>
      <c r="AB32" s="51">
        <v>10</v>
      </c>
      <c r="AC32" s="51">
        <v>10</v>
      </c>
      <c r="AD32" s="51">
        <v>10</v>
      </c>
      <c r="AE32" s="51">
        <v>10</v>
      </c>
      <c r="AF32" s="51">
        <v>10</v>
      </c>
      <c r="AG32" s="64">
        <v>22</v>
      </c>
      <c r="AH32" s="55">
        <f t="shared" si="2"/>
        <v>10</v>
      </c>
      <c r="AI32" s="56">
        <f t="shared" si="3"/>
        <v>10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5</v>
      </c>
      <c r="C34" s="51">
        <v>5</v>
      </c>
      <c r="D34" s="51">
        <v>5</v>
      </c>
      <c r="E34" s="51">
        <v>5</v>
      </c>
      <c r="F34" s="51">
        <v>5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9.5</v>
      </c>
      <c r="M34" s="51">
        <v>9.5</v>
      </c>
      <c r="N34" s="51">
        <v>9.5</v>
      </c>
      <c r="O34" s="51">
        <v>9.5</v>
      </c>
      <c r="P34" s="51">
        <v>9.5</v>
      </c>
      <c r="Q34" s="51">
        <v>9.5</v>
      </c>
      <c r="R34" s="51">
        <v>9.5</v>
      </c>
      <c r="S34" s="51">
        <v>9.5</v>
      </c>
      <c r="T34" s="51">
        <v>9.5</v>
      </c>
      <c r="U34" s="51">
        <v>9.5</v>
      </c>
      <c r="V34" s="51">
        <v>9.5</v>
      </c>
      <c r="W34" s="51">
        <v>9.5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10</v>
      </c>
      <c r="AD34" s="51">
        <v>10</v>
      </c>
      <c r="AE34" s="51">
        <v>10</v>
      </c>
      <c r="AF34" s="51">
        <v>10</v>
      </c>
      <c r="AG34" s="64">
        <v>20</v>
      </c>
      <c r="AH34" s="55">
        <f t="shared" si="2"/>
        <v>10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8</v>
      </c>
      <c r="C35" s="51">
        <v>8</v>
      </c>
      <c r="D35" s="51">
        <v>8</v>
      </c>
      <c r="E35" s="51">
        <v>8</v>
      </c>
      <c r="F35" s="51">
        <v>8</v>
      </c>
      <c r="G35" s="51">
        <v>8</v>
      </c>
      <c r="H35" s="51">
        <v>8</v>
      </c>
      <c r="I35" s="51">
        <v>8</v>
      </c>
      <c r="J35" s="51">
        <v>8</v>
      </c>
      <c r="K35" s="51">
        <v>8</v>
      </c>
      <c r="L35" s="51">
        <v>8</v>
      </c>
      <c r="M35" s="51">
        <v>8</v>
      </c>
      <c r="N35" s="51">
        <v>8</v>
      </c>
      <c r="O35" s="51">
        <v>8</v>
      </c>
      <c r="P35" s="51">
        <v>8</v>
      </c>
      <c r="Q35" s="51">
        <v>8</v>
      </c>
      <c r="R35" s="51">
        <v>8</v>
      </c>
      <c r="S35" s="51">
        <v>8</v>
      </c>
      <c r="T35" s="51">
        <v>8</v>
      </c>
      <c r="U35" s="51">
        <v>8</v>
      </c>
      <c r="V35" s="51">
        <v>8</v>
      </c>
      <c r="W35" s="51">
        <v>8</v>
      </c>
      <c r="X35" s="51">
        <v>8</v>
      </c>
      <c r="Y35" s="51">
        <v>8</v>
      </c>
      <c r="Z35" s="51">
        <v>8</v>
      </c>
      <c r="AA35" s="51">
        <v>8</v>
      </c>
      <c r="AB35" s="51">
        <v>8</v>
      </c>
      <c r="AC35" s="51">
        <v>8</v>
      </c>
      <c r="AD35" s="51">
        <v>8</v>
      </c>
      <c r="AE35" s="51">
        <v>8</v>
      </c>
      <c r="AF35" s="51">
        <v>8</v>
      </c>
      <c r="AG35" s="64">
        <v>15.33</v>
      </c>
      <c r="AH35" s="55">
        <f t="shared" si="2"/>
        <v>8</v>
      </c>
      <c r="AI35" s="56">
        <f t="shared" si="3"/>
        <v>8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301</v>
      </c>
      <c r="AF36" s="66">
        <v>301</v>
      </c>
      <c r="AG36" s="64">
        <v>85</v>
      </c>
      <c r="AH36" s="55">
        <f t="shared" si="2"/>
        <v>301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71.9+100.9</f>
        <v>172.8</v>
      </c>
      <c r="C37" s="68">
        <f>72+101.1</f>
        <v>173.1</v>
      </c>
      <c r="D37" s="68">
        <f>73.2+100.9</f>
        <v>174.10000000000002</v>
      </c>
      <c r="E37" s="68">
        <f>72.1+102</f>
        <v>174.1</v>
      </c>
      <c r="F37" s="68">
        <f>72.1+101.7</f>
        <v>173.8</v>
      </c>
      <c r="G37" s="68">
        <f>72.1+101.7</f>
        <v>173.8</v>
      </c>
      <c r="H37" s="68">
        <f>71.6+100.9</f>
        <v>172.5</v>
      </c>
      <c r="I37" s="68">
        <f>71.6+100.9</f>
        <v>172.5</v>
      </c>
      <c r="J37" s="68">
        <f>71.9+98.5</f>
        <v>170.4</v>
      </c>
      <c r="K37" s="66">
        <f>72.3+98.4</f>
        <v>170.7</v>
      </c>
      <c r="L37" s="66">
        <f>71.2+99.7</f>
        <v>170.9</v>
      </c>
      <c r="M37" s="66">
        <f>71.2+100.1</f>
        <v>171.3</v>
      </c>
      <c r="N37" s="66">
        <f>91.2+71.6</f>
        <v>162.80000000000001</v>
      </c>
      <c r="O37" s="66">
        <f>100+56.6</f>
        <v>156.6</v>
      </c>
      <c r="P37" s="66">
        <f>99+72.3</f>
        <v>171.3</v>
      </c>
      <c r="Q37" s="66">
        <f>99.7+64.8</f>
        <v>164.5</v>
      </c>
      <c r="R37" s="66">
        <f>97.3+71.8</f>
        <v>169.1</v>
      </c>
      <c r="S37" s="68">
        <v>168</v>
      </c>
      <c r="T37" s="68">
        <f>72.1+96.9</f>
        <v>169</v>
      </c>
      <c r="U37" s="68">
        <f>70.9+71.5</f>
        <v>142.4</v>
      </c>
      <c r="V37" s="68">
        <f>70.9+71.5</f>
        <v>142.4</v>
      </c>
      <c r="W37" s="68">
        <f>53.8+98.7</f>
        <v>152.5</v>
      </c>
      <c r="X37" s="68">
        <f>54.8+98.7</f>
        <v>153.5</v>
      </c>
      <c r="Y37" s="68">
        <f t="shared" ref="Y37:Z37" si="4">54.8+98.7</f>
        <v>153.5</v>
      </c>
      <c r="Z37" s="68">
        <f t="shared" si="4"/>
        <v>153.5</v>
      </c>
      <c r="AA37" s="68">
        <f>70.9+98</f>
        <v>168.9</v>
      </c>
      <c r="AB37" s="68">
        <v>146.6</v>
      </c>
      <c r="AC37" s="68">
        <v>146.6</v>
      </c>
      <c r="AD37" s="68">
        <f>71.5+99.6</f>
        <v>171.1</v>
      </c>
      <c r="AE37" s="68">
        <f>71.6+100.7</f>
        <v>172.3</v>
      </c>
      <c r="AF37" s="68">
        <f>72.8+101.1</f>
        <v>173.89999999999998</v>
      </c>
      <c r="AG37" s="64">
        <v>240</v>
      </c>
      <c r="AH37" s="55">
        <f t="shared" si="2"/>
        <v>174.10000000000002</v>
      </c>
      <c r="AI37" s="56">
        <f t="shared" si="3"/>
        <v>142.4</v>
      </c>
      <c r="AK37" s="57"/>
    </row>
    <row r="38" spans="1:88" ht="15.75" thickBot="1" x14ac:dyDescent="0.3">
      <c r="A38" s="69" t="s">
        <v>46</v>
      </c>
      <c r="B38" s="70">
        <f t="shared" ref="B38:L38" si="5">SUM(B11:B36)</f>
        <v>1271.2</v>
      </c>
      <c r="C38" s="70">
        <f t="shared" si="5"/>
        <v>1271.2</v>
      </c>
      <c r="D38" s="70">
        <f t="shared" si="5"/>
        <v>1270.8</v>
      </c>
      <c r="E38" s="70">
        <f t="shared" si="5"/>
        <v>1280.8</v>
      </c>
      <c r="F38" s="70">
        <f t="shared" si="5"/>
        <v>1204.8</v>
      </c>
      <c r="G38" s="70">
        <f t="shared" si="5"/>
        <v>1144.8</v>
      </c>
      <c r="H38" s="70">
        <f t="shared" si="5"/>
        <v>1220.8</v>
      </c>
      <c r="I38" s="70">
        <f t="shared" si="5"/>
        <v>1220.8</v>
      </c>
      <c r="J38" s="70">
        <f t="shared" si="5"/>
        <v>1220.8</v>
      </c>
      <c r="K38" s="70">
        <f t="shared" si="5"/>
        <v>1220.8</v>
      </c>
      <c r="L38" s="70">
        <f t="shared" si="5"/>
        <v>1278.8</v>
      </c>
      <c r="M38" s="70">
        <f t="shared" ref="M38:S38" si="6">SUM(M11:M36)</f>
        <v>1195.0999999999999</v>
      </c>
      <c r="N38" s="70">
        <f t="shared" si="6"/>
        <v>1270</v>
      </c>
      <c r="O38" s="70">
        <f t="shared" si="6"/>
        <v>1259.5</v>
      </c>
      <c r="P38" s="70">
        <f t="shared" si="6"/>
        <v>1270</v>
      </c>
      <c r="Q38" s="70">
        <f t="shared" si="6"/>
        <v>1270</v>
      </c>
      <c r="R38" s="70">
        <f t="shared" si="6"/>
        <v>1257</v>
      </c>
      <c r="S38" s="70">
        <f t="shared" si="6"/>
        <v>1283</v>
      </c>
      <c r="T38" s="70">
        <f t="shared" ref="T38:AF38" si="7">SUM(T11:T36)</f>
        <v>1289</v>
      </c>
      <c r="U38" s="70">
        <f t="shared" si="7"/>
        <v>1277</v>
      </c>
      <c r="V38" s="70">
        <f t="shared" si="7"/>
        <v>1289</v>
      </c>
      <c r="W38" s="70">
        <f t="shared" si="7"/>
        <v>1289</v>
      </c>
      <c r="X38" s="70">
        <f t="shared" si="7"/>
        <v>1229</v>
      </c>
      <c r="Y38" s="70">
        <f t="shared" si="7"/>
        <v>1229</v>
      </c>
      <c r="Z38" s="70">
        <f t="shared" si="7"/>
        <v>1229</v>
      </c>
      <c r="AA38" s="70">
        <f t="shared" si="7"/>
        <v>1229</v>
      </c>
      <c r="AB38" s="70">
        <f t="shared" si="7"/>
        <v>1271.3000000000002</v>
      </c>
      <c r="AC38" s="70">
        <f t="shared" si="7"/>
        <v>1278.3000000000002</v>
      </c>
      <c r="AD38" s="70">
        <f t="shared" si="7"/>
        <v>1285.3000000000002</v>
      </c>
      <c r="AE38" s="70">
        <f t="shared" si="7"/>
        <v>1286.3000000000002</v>
      </c>
      <c r="AF38" s="70">
        <f t="shared" si="7"/>
        <v>1286.3000000000002</v>
      </c>
      <c r="AG38" s="64">
        <f>SUM(AG11:AG37)</f>
        <v>1492.8299999999997</v>
      </c>
      <c r="AH38" s="55">
        <f t="shared" si="2"/>
        <v>1289</v>
      </c>
      <c r="AI38" s="56">
        <f t="shared" si="3"/>
        <v>1144.8</v>
      </c>
      <c r="AK38" s="57"/>
    </row>
    <row r="39" spans="1:88" x14ac:dyDescent="0.25">
      <c r="A39" s="58" t="s">
        <v>47</v>
      </c>
      <c r="B39" s="51">
        <v>144.30000000000001</v>
      </c>
      <c r="C39" s="51">
        <v>144.30000000000001</v>
      </c>
      <c r="D39" s="51">
        <v>143.69999999999999</v>
      </c>
      <c r="E39" s="51">
        <v>143.69999999999999</v>
      </c>
      <c r="F39" s="51">
        <v>143.69999999999999</v>
      </c>
      <c r="G39" s="51">
        <v>143.69999999999999</v>
      </c>
      <c r="H39" s="51">
        <v>143.69999999999999</v>
      </c>
      <c r="I39" s="51">
        <v>143.69999999999999</v>
      </c>
      <c r="J39" s="51">
        <v>143.69999999999999</v>
      </c>
      <c r="K39" s="51">
        <v>143.69999999999999</v>
      </c>
      <c r="L39" s="51">
        <v>143.69999999999999</v>
      </c>
      <c r="M39" s="51">
        <v>143.9</v>
      </c>
      <c r="N39" s="51">
        <v>143.1</v>
      </c>
      <c r="O39" s="51">
        <v>141.5</v>
      </c>
      <c r="P39" s="51">
        <v>139.80000000000001</v>
      </c>
      <c r="Q39" s="51">
        <v>139.30000000000001</v>
      </c>
      <c r="R39" s="51">
        <v>140.69999999999999</v>
      </c>
      <c r="S39" s="51">
        <v>141</v>
      </c>
      <c r="T39" s="51">
        <v>140</v>
      </c>
      <c r="U39" s="51">
        <v>140</v>
      </c>
      <c r="V39" s="51">
        <v>140</v>
      </c>
      <c r="W39" s="51">
        <v>140</v>
      </c>
      <c r="X39" s="51">
        <v>140</v>
      </c>
      <c r="Y39" s="51">
        <v>140</v>
      </c>
      <c r="Z39" s="51">
        <v>140</v>
      </c>
      <c r="AA39" s="51">
        <v>142.1</v>
      </c>
      <c r="AB39" s="51">
        <v>142.1</v>
      </c>
      <c r="AC39" s="51">
        <v>142.1</v>
      </c>
      <c r="AD39" s="51">
        <v>142.1</v>
      </c>
      <c r="AE39" s="51">
        <v>142.1</v>
      </c>
      <c r="AF39" s="51">
        <v>142.1</v>
      </c>
      <c r="AG39" s="60">
        <v>144</v>
      </c>
      <c r="AH39" s="55">
        <f t="shared" si="2"/>
        <v>144.30000000000001</v>
      </c>
      <c r="AI39" s="56">
        <f t="shared" si="3"/>
        <v>139.30000000000001</v>
      </c>
      <c r="AK39" s="57"/>
    </row>
    <row r="40" spans="1:88" x14ac:dyDescent="0.25">
      <c r="A40" s="63" t="s">
        <v>48</v>
      </c>
      <c r="B40" s="49">
        <v>71.400000000000006</v>
      </c>
      <c r="C40" s="49">
        <v>72.099999999999994</v>
      </c>
      <c r="D40" s="49">
        <v>71.599999999999994</v>
      </c>
      <c r="E40" s="49">
        <v>69.900000000000006</v>
      </c>
      <c r="F40" s="49">
        <v>69.900000000000006</v>
      </c>
      <c r="G40" s="49">
        <v>69.900000000000006</v>
      </c>
      <c r="H40" s="49">
        <v>69.900000000000006</v>
      </c>
      <c r="I40" s="49">
        <v>69.900000000000006</v>
      </c>
      <c r="J40" s="49">
        <v>69.900000000000006</v>
      </c>
      <c r="K40" s="49">
        <v>69.900000000000006</v>
      </c>
      <c r="L40" s="49">
        <v>69.900000000000006</v>
      </c>
      <c r="M40" s="51">
        <v>70</v>
      </c>
      <c r="N40" s="51">
        <v>70.599999999999994</v>
      </c>
      <c r="O40" s="51">
        <v>70.7</v>
      </c>
      <c r="P40" s="51">
        <v>71.2</v>
      </c>
      <c r="Q40" s="51">
        <v>70.599999999999994</v>
      </c>
      <c r="R40" s="51">
        <v>71.5</v>
      </c>
      <c r="S40" s="49">
        <v>72</v>
      </c>
      <c r="T40" s="49">
        <v>71.400000000000006</v>
      </c>
      <c r="U40" s="49">
        <v>71.400000000000006</v>
      </c>
      <c r="V40" s="49">
        <v>71.400000000000006</v>
      </c>
      <c r="W40" s="49">
        <v>71.400000000000006</v>
      </c>
      <c r="X40" s="49">
        <v>71.400000000000006</v>
      </c>
      <c r="Y40" s="49">
        <v>71.400000000000006</v>
      </c>
      <c r="Z40" s="49">
        <v>71.400000000000006</v>
      </c>
      <c r="AA40" s="49">
        <v>70</v>
      </c>
      <c r="AB40" s="49">
        <v>70</v>
      </c>
      <c r="AC40" s="49">
        <v>72.400000000000006</v>
      </c>
      <c r="AD40" s="49">
        <v>72.400000000000006</v>
      </c>
      <c r="AE40" s="49">
        <v>72.400000000000006</v>
      </c>
      <c r="AF40" s="49">
        <v>72.400000000000006</v>
      </c>
      <c r="AG40" s="64">
        <v>70</v>
      </c>
      <c r="AH40" s="55">
        <f t="shared" si="2"/>
        <v>72.400000000000006</v>
      </c>
      <c r="AI40" s="56">
        <f t="shared" si="3"/>
        <v>69.900000000000006</v>
      </c>
      <c r="AK40" s="57"/>
    </row>
    <row r="41" spans="1:88" x14ac:dyDescent="0.25">
      <c r="A41" s="63" t="s">
        <v>49</v>
      </c>
      <c r="B41" s="49">
        <v>64</v>
      </c>
      <c r="C41" s="49">
        <v>63.6</v>
      </c>
      <c r="D41" s="49">
        <v>63.5</v>
      </c>
      <c r="E41" s="49">
        <v>63.5</v>
      </c>
      <c r="F41" s="49">
        <v>63.5</v>
      </c>
      <c r="G41" s="49">
        <v>63.5</v>
      </c>
      <c r="H41" s="49">
        <v>63.5</v>
      </c>
      <c r="I41" s="49">
        <v>63.5</v>
      </c>
      <c r="J41" s="49">
        <v>63.5</v>
      </c>
      <c r="K41" s="49">
        <v>63.5</v>
      </c>
      <c r="L41" s="49">
        <v>63.5</v>
      </c>
      <c r="M41" s="51">
        <v>63.8</v>
      </c>
      <c r="N41" s="51">
        <v>63.8</v>
      </c>
      <c r="O41" s="51">
        <v>63.7</v>
      </c>
      <c r="P41" s="51">
        <v>63.9</v>
      </c>
      <c r="Q41" s="51">
        <v>64</v>
      </c>
      <c r="R41" s="51">
        <v>64.8</v>
      </c>
      <c r="S41" s="49">
        <v>64.8</v>
      </c>
      <c r="T41" s="49">
        <v>64</v>
      </c>
      <c r="U41" s="49">
        <v>64</v>
      </c>
      <c r="V41" s="49">
        <v>64</v>
      </c>
      <c r="W41" s="49">
        <v>64</v>
      </c>
      <c r="X41" s="49">
        <v>64</v>
      </c>
      <c r="Y41" s="49">
        <v>64</v>
      </c>
      <c r="Z41" s="49">
        <v>64</v>
      </c>
      <c r="AA41" s="49">
        <v>64.5</v>
      </c>
      <c r="AB41" s="49">
        <v>64.5</v>
      </c>
      <c r="AC41" s="49">
        <v>60.7</v>
      </c>
      <c r="AD41" s="49">
        <v>60.7</v>
      </c>
      <c r="AE41" s="49">
        <v>60.7</v>
      </c>
      <c r="AF41" s="49">
        <v>60.7</v>
      </c>
      <c r="AG41" s="64">
        <v>69</v>
      </c>
      <c r="AH41" s="55">
        <f t="shared" si="2"/>
        <v>64.8</v>
      </c>
      <c r="AI41" s="56">
        <f t="shared" si="3"/>
        <v>60.7</v>
      </c>
      <c r="AK41" s="57"/>
    </row>
    <row r="42" spans="1:88" x14ac:dyDescent="0.25">
      <c r="A42" s="63" t="s">
        <v>50</v>
      </c>
      <c r="B42" s="66">
        <v>61.7</v>
      </c>
      <c r="C42" s="66">
        <v>61.4</v>
      </c>
      <c r="D42" s="66">
        <v>61.4</v>
      </c>
      <c r="E42" s="66">
        <v>61.4</v>
      </c>
      <c r="F42" s="66">
        <v>61.4</v>
      </c>
      <c r="G42" s="66">
        <v>61.4</v>
      </c>
      <c r="H42" s="66">
        <v>61.4</v>
      </c>
      <c r="I42" s="66">
        <v>61.4</v>
      </c>
      <c r="J42" s="66">
        <v>61.4</v>
      </c>
      <c r="K42" s="66">
        <v>61.4</v>
      </c>
      <c r="L42" s="66">
        <v>61.4</v>
      </c>
      <c r="M42" s="51">
        <v>61.4</v>
      </c>
      <c r="N42" s="51">
        <v>61.4</v>
      </c>
      <c r="O42" s="51">
        <v>61.2</v>
      </c>
      <c r="P42" s="51">
        <v>61.4</v>
      </c>
      <c r="Q42" s="51">
        <v>61.4</v>
      </c>
      <c r="R42" s="51">
        <v>61.4</v>
      </c>
      <c r="S42" s="51">
        <v>61.4</v>
      </c>
      <c r="T42" s="51">
        <v>61.4</v>
      </c>
      <c r="U42" s="51">
        <v>61.4</v>
      </c>
      <c r="V42" s="51">
        <v>61.4</v>
      </c>
      <c r="W42" s="51">
        <v>61.4</v>
      </c>
      <c r="X42" s="51">
        <v>61.4</v>
      </c>
      <c r="Y42" s="51">
        <v>61.4</v>
      </c>
      <c r="Z42" s="51">
        <v>61.4</v>
      </c>
      <c r="AA42" s="51">
        <v>61.4</v>
      </c>
      <c r="AB42" s="66">
        <v>61.4</v>
      </c>
      <c r="AC42" s="66">
        <v>61.4</v>
      </c>
      <c r="AD42" s="66">
        <v>61.4</v>
      </c>
      <c r="AE42" s="66">
        <v>61.4</v>
      </c>
      <c r="AF42" s="66">
        <v>61.4</v>
      </c>
      <c r="AG42" s="64">
        <v>60</v>
      </c>
      <c r="AH42" s="55">
        <f t="shared" si="2"/>
        <v>61.7</v>
      </c>
      <c r="AI42" s="56">
        <f t="shared" si="3"/>
        <v>61.2</v>
      </c>
      <c r="AK42" s="57"/>
    </row>
    <row r="43" spans="1:88" x14ac:dyDescent="0.25">
      <c r="A43" s="63" t="s">
        <v>51</v>
      </c>
      <c r="B43" s="66">
        <v>29.1</v>
      </c>
      <c r="C43" s="66">
        <v>29</v>
      </c>
      <c r="D43" s="66">
        <v>29</v>
      </c>
      <c r="E43" s="66">
        <v>29</v>
      </c>
      <c r="F43" s="66">
        <v>29</v>
      </c>
      <c r="G43" s="66">
        <v>29</v>
      </c>
      <c r="H43" s="66">
        <v>29</v>
      </c>
      <c r="I43" s="66">
        <v>29</v>
      </c>
      <c r="J43" s="66">
        <v>29</v>
      </c>
      <c r="K43" s="66">
        <v>29</v>
      </c>
      <c r="L43" s="66">
        <v>29</v>
      </c>
      <c r="M43" s="51">
        <v>30</v>
      </c>
      <c r="N43" s="51">
        <v>30</v>
      </c>
      <c r="O43" s="51">
        <v>0</v>
      </c>
      <c r="P43" s="51">
        <v>30</v>
      </c>
      <c r="Q43" s="51">
        <v>30</v>
      </c>
      <c r="R43" s="51">
        <v>30</v>
      </c>
      <c r="S43" s="51">
        <v>30</v>
      </c>
      <c r="T43" s="51">
        <v>30</v>
      </c>
      <c r="U43" s="51">
        <v>30</v>
      </c>
      <c r="V43" s="51">
        <v>30</v>
      </c>
      <c r="W43" s="51">
        <v>30</v>
      </c>
      <c r="X43" s="51">
        <v>30</v>
      </c>
      <c r="Y43" s="51">
        <v>30</v>
      </c>
      <c r="Z43" s="51">
        <v>30</v>
      </c>
      <c r="AA43" s="51">
        <v>29.4</v>
      </c>
      <c r="AB43" s="66">
        <v>29.4</v>
      </c>
      <c r="AC43" s="66">
        <v>29.4</v>
      </c>
      <c r="AD43" s="66">
        <v>29.4</v>
      </c>
      <c r="AE43" s="66">
        <v>29.4</v>
      </c>
      <c r="AF43" s="66">
        <v>29.4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4</v>
      </c>
      <c r="N44" s="49">
        <v>4</v>
      </c>
      <c r="O44" s="51">
        <v>4</v>
      </c>
      <c r="P44" s="51">
        <v>5</v>
      </c>
      <c r="Q44" s="51">
        <v>5</v>
      </c>
      <c r="R44" s="51">
        <v>5</v>
      </c>
      <c r="S44" s="51">
        <v>5</v>
      </c>
      <c r="T44" s="51">
        <v>5</v>
      </c>
      <c r="U44" s="51">
        <v>5</v>
      </c>
      <c r="V44" s="51">
        <v>5</v>
      </c>
      <c r="W44" s="51">
        <v>5</v>
      </c>
      <c r="X44" s="51">
        <v>5</v>
      </c>
      <c r="Y44" s="51">
        <v>5</v>
      </c>
      <c r="Z44" s="51">
        <v>5</v>
      </c>
      <c r="AA44" s="51">
        <v>5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5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15.8</v>
      </c>
      <c r="C45" s="49">
        <v>15.8</v>
      </c>
      <c r="D45" s="49">
        <v>15.8</v>
      </c>
      <c r="E45" s="49">
        <v>15.8</v>
      </c>
      <c r="F45" s="49">
        <v>15.8</v>
      </c>
      <c r="G45" s="49">
        <v>15.8</v>
      </c>
      <c r="H45" s="49">
        <v>15.8</v>
      </c>
      <c r="I45" s="49">
        <v>15.8</v>
      </c>
      <c r="J45" s="49">
        <v>15.8</v>
      </c>
      <c r="K45" s="49">
        <v>15.8</v>
      </c>
      <c r="L45" s="49">
        <v>15.8</v>
      </c>
      <c r="M45" s="49">
        <v>16.5</v>
      </c>
      <c r="N45" s="49">
        <v>16.5</v>
      </c>
      <c r="O45" s="51">
        <v>16.399999999999999</v>
      </c>
      <c r="P45" s="51">
        <v>16.7</v>
      </c>
      <c r="Q45" s="51">
        <v>12.8</v>
      </c>
      <c r="R45" s="51">
        <v>12.8</v>
      </c>
      <c r="S45" s="51">
        <v>14</v>
      </c>
      <c r="T45" s="51">
        <v>14</v>
      </c>
      <c r="U45" s="51">
        <v>14</v>
      </c>
      <c r="V45" s="51">
        <v>14</v>
      </c>
      <c r="W45" s="51">
        <v>14</v>
      </c>
      <c r="X45" s="51">
        <v>14</v>
      </c>
      <c r="Y45" s="51">
        <v>14</v>
      </c>
      <c r="Z45" s="51">
        <v>14</v>
      </c>
      <c r="AA45" s="51">
        <v>14</v>
      </c>
      <c r="AB45" s="49">
        <v>16.899999999999999</v>
      </c>
      <c r="AC45" s="49">
        <v>16.899999999999999</v>
      </c>
      <c r="AD45" s="49">
        <v>16.899999999999999</v>
      </c>
      <c r="AE45" s="49">
        <v>16.899999999999999</v>
      </c>
      <c r="AF45" s="49">
        <v>16.899999999999999</v>
      </c>
      <c r="AG45" s="64">
        <v>24</v>
      </c>
      <c r="AH45" s="55">
        <f t="shared" si="2"/>
        <v>16.899999999999999</v>
      </c>
      <c r="AI45" s="56">
        <f t="shared" si="3"/>
        <v>12.8</v>
      </c>
      <c r="AK45" s="57"/>
    </row>
    <row r="46" spans="1:88" x14ac:dyDescent="0.25">
      <c r="A46" s="63" t="s">
        <v>54</v>
      </c>
      <c r="B46" s="49">
        <v>2.6</v>
      </c>
      <c r="C46" s="49">
        <v>2.6</v>
      </c>
      <c r="D46" s="49">
        <v>2.6</v>
      </c>
      <c r="E46" s="49">
        <v>2.6</v>
      </c>
      <c r="F46" s="49">
        <v>2.6</v>
      </c>
      <c r="G46" s="49">
        <v>2.6</v>
      </c>
      <c r="H46" s="49">
        <v>2.6</v>
      </c>
      <c r="I46" s="49">
        <v>2.6</v>
      </c>
      <c r="J46" s="49">
        <v>2.6</v>
      </c>
      <c r="K46" s="49">
        <v>2.6</v>
      </c>
      <c r="L46" s="49">
        <v>2.6</v>
      </c>
      <c r="M46" s="49">
        <v>2.6</v>
      </c>
      <c r="N46" s="49">
        <v>2.6</v>
      </c>
      <c r="O46" s="51">
        <v>2.6</v>
      </c>
      <c r="P46" s="51">
        <v>0</v>
      </c>
      <c r="Q46" s="51">
        <v>0</v>
      </c>
      <c r="R46" s="51">
        <v>2.6</v>
      </c>
      <c r="S46" s="51">
        <v>2.6</v>
      </c>
      <c r="T46" s="51">
        <v>2.6</v>
      </c>
      <c r="U46" s="51">
        <v>2.6</v>
      </c>
      <c r="V46" s="51">
        <v>2.6</v>
      </c>
      <c r="W46" s="51">
        <v>2.6</v>
      </c>
      <c r="X46" s="51">
        <v>2.6</v>
      </c>
      <c r="Y46" s="51">
        <v>2.6</v>
      </c>
      <c r="Z46" s="51">
        <v>2.6</v>
      </c>
      <c r="AA46" s="51">
        <v>2.6</v>
      </c>
      <c r="AB46" s="49">
        <v>0</v>
      </c>
      <c r="AC46" s="49">
        <v>0</v>
      </c>
      <c r="AD46" s="49">
        <v>0</v>
      </c>
      <c r="AE46" s="49">
        <v>0</v>
      </c>
      <c r="AF46" s="49">
        <v>0</v>
      </c>
      <c r="AG46" s="64">
        <v>15</v>
      </c>
      <c r="AH46" s="55">
        <f t="shared" si="2"/>
        <v>2.6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11.9</v>
      </c>
      <c r="C47" s="49">
        <v>11.9</v>
      </c>
      <c r="D47" s="49">
        <v>12.1</v>
      </c>
      <c r="E47" s="49">
        <v>12.1</v>
      </c>
      <c r="F47" s="49">
        <v>12.1</v>
      </c>
      <c r="G47" s="49">
        <v>12.1</v>
      </c>
      <c r="H47" s="49">
        <v>12.1</v>
      </c>
      <c r="I47" s="49">
        <v>12.1</v>
      </c>
      <c r="J47" s="49">
        <v>12.1</v>
      </c>
      <c r="K47" s="49">
        <v>12.1</v>
      </c>
      <c r="L47" s="49">
        <v>12.1</v>
      </c>
      <c r="M47" s="49">
        <v>12.1</v>
      </c>
      <c r="N47" s="49">
        <v>12.1</v>
      </c>
      <c r="O47" s="49">
        <v>12.1</v>
      </c>
      <c r="P47" s="49">
        <v>12.1</v>
      </c>
      <c r="Q47" s="51">
        <v>12.4</v>
      </c>
      <c r="R47" s="51">
        <v>9.1999999999999993</v>
      </c>
      <c r="S47" s="51">
        <v>9.1999999999999993</v>
      </c>
      <c r="T47" s="51">
        <v>9.1999999999999993</v>
      </c>
      <c r="U47" s="51">
        <v>9.1999999999999993</v>
      </c>
      <c r="V47" s="51">
        <v>9.1999999999999993</v>
      </c>
      <c r="W47" s="51">
        <v>9.1999999999999993</v>
      </c>
      <c r="X47" s="51">
        <v>9.1999999999999993</v>
      </c>
      <c r="Y47" s="51">
        <v>9.1999999999999993</v>
      </c>
      <c r="Z47" s="51">
        <v>9.1999999999999993</v>
      </c>
      <c r="AA47" s="51">
        <v>9.1999999999999993</v>
      </c>
      <c r="AB47" s="49">
        <v>9.1999999999999993</v>
      </c>
      <c r="AC47" s="49">
        <v>11.6</v>
      </c>
      <c r="AD47" s="49">
        <v>11.6</v>
      </c>
      <c r="AE47" s="49">
        <v>11.6</v>
      </c>
      <c r="AF47" s="49">
        <v>11.6</v>
      </c>
      <c r="AG47" s="64">
        <v>14.1</v>
      </c>
      <c r="AH47" s="55">
        <f t="shared" si="2"/>
        <v>12.4</v>
      </c>
      <c r="AI47" s="56">
        <f t="shared" si="3"/>
        <v>9.1999999999999993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13.9</v>
      </c>
      <c r="C48" s="49">
        <v>13.9</v>
      </c>
      <c r="D48" s="49">
        <v>13.9</v>
      </c>
      <c r="E48" s="49">
        <v>13.9</v>
      </c>
      <c r="F48" s="49">
        <v>9.8000000000000007</v>
      </c>
      <c r="G48" s="49">
        <v>0</v>
      </c>
      <c r="H48" s="49">
        <v>0</v>
      </c>
      <c r="I48" s="49">
        <v>0</v>
      </c>
      <c r="J48" s="49">
        <v>0</v>
      </c>
      <c r="K48" s="49">
        <v>0</v>
      </c>
      <c r="L48" s="49">
        <v>13.7</v>
      </c>
      <c r="M48" s="49">
        <v>13.7</v>
      </c>
      <c r="N48" s="49">
        <v>13.7</v>
      </c>
      <c r="O48" s="49">
        <v>13.7</v>
      </c>
      <c r="P48" s="49">
        <v>13.7</v>
      </c>
      <c r="Q48" s="51">
        <v>13.8</v>
      </c>
      <c r="R48" s="51">
        <v>13.8</v>
      </c>
      <c r="S48" s="51">
        <v>13.8</v>
      </c>
      <c r="T48" s="51">
        <v>13.8</v>
      </c>
      <c r="U48" s="51">
        <v>13.8</v>
      </c>
      <c r="V48" s="51">
        <v>13.8</v>
      </c>
      <c r="W48" s="51">
        <v>13.8</v>
      </c>
      <c r="X48" s="51">
        <v>13.8</v>
      </c>
      <c r="Y48" s="51">
        <v>13.8</v>
      </c>
      <c r="Z48" s="51">
        <v>3</v>
      </c>
      <c r="AA48" s="51">
        <v>3</v>
      </c>
      <c r="AB48" s="49">
        <v>3</v>
      </c>
      <c r="AC48" s="49">
        <v>9.6999999999999993</v>
      </c>
      <c r="AD48" s="49">
        <v>9.6999999999999993</v>
      </c>
      <c r="AE48" s="49">
        <v>12.4</v>
      </c>
      <c r="AF48" s="49">
        <v>12.4</v>
      </c>
      <c r="AG48" s="64">
        <v>14</v>
      </c>
      <c r="AH48" s="55">
        <f t="shared" si="2"/>
        <v>13.9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9.4</v>
      </c>
      <c r="E49" s="49">
        <v>9.4</v>
      </c>
      <c r="F49" s="49">
        <v>9.4</v>
      </c>
      <c r="G49" s="49">
        <v>9.4</v>
      </c>
      <c r="H49" s="49">
        <v>9.4</v>
      </c>
      <c r="I49" s="49">
        <v>9.4</v>
      </c>
      <c r="J49" s="49">
        <v>9.4</v>
      </c>
      <c r="K49" s="49">
        <v>9.4</v>
      </c>
      <c r="L49" s="49">
        <v>9.4</v>
      </c>
      <c r="M49" s="49">
        <v>9.4</v>
      </c>
      <c r="N49" s="49">
        <v>9.4</v>
      </c>
      <c r="O49" s="49">
        <v>9.4</v>
      </c>
      <c r="P49" s="49">
        <v>9.4</v>
      </c>
      <c r="Q49" s="49">
        <v>9.4</v>
      </c>
      <c r="R49" s="49">
        <v>9.4</v>
      </c>
      <c r="S49" s="51">
        <v>9.4</v>
      </c>
      <c r="T49" s="51">
        <v>9.4</v>
      </c>
      <c r="U49" s="51">
        <v>9.4</v>
      </c>
      <c r="V49" s="51">
        <v>9.4</v>
      </c>
      <c r="W49" s="51">
        <v>9.4</v>
      </c>
      <c r="X49" s="51">
        <v>9.4</v>
      </c>
      <c r="Y49" s="51">
        <v>9.4</v>
      </c>
      <c r="Z49" s="51">
        <v>9.4</v>
      </c>
      <c r="AA49" s="51">
        <v>9.4</v>
      </c>
      <c r="AB49" s="51">
        <v>9.4</v>
      </c>
      <c r="AC49" s="51">
        <v>9.4</v>
      </c>
      <c r="AD49" s="51">
        <v>9.4</v>
      </c>
      <c r="AE49" s="51">
        <v>9.4</v>
      </c>
      <c r="AF49" s="51">
        <v>9.4</v>
      </c>
      <c r="AG49" s="64">
        <v>10.050000000000001</v>
      </c>
      <c r="AH49" s="55">
        <f t="shared" si="2"/>
        <v>9.5</v>
      </c>
      <c r="AI49" s="56">
        <f t="shared" si="3"/>
        <v>9.4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</v>
      </c>
      <c r="N50" s="49">
        <v>6</v>
      </c>
      <c r="O50" s="49">
        <v>6</v>
      </c>
      <c r="P50" s="49">
        <v>6</v>
      </c>
      <c r="Q50" s="49">
        <v>6</v>
      </c>
      <c r="R50" s="49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49">
        <v>6</v>
      </c>
      <c r="AC50" s="49">
        <v>6</v>
      </c>
      <c r="AD50" s="49">
        <v>6</v>
      </c>
      <c r="AE50" s="49">
        <v>6</v>
      </c>
      <c r="AF50" s="49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8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9">SUM(B39:B51)</f>
        <v>433.74000000000007</v>
      </c>
      <c r="C52" s="70">
        <f t="shared" ref="C52:AF52" si="10">SUM(C39:C51)</f>
        <v>433.64</v>
      </c>
      <c r="D52" s="70">
        <f t="shared" si="10"/>
        <v>432.53999999999996</v>
      </c>
      <c r="E52" s="70">
        <f t="shared" si="10"/>
        <v>430.84000000000003</v>
      </c>
      <c r="F52" s="70">
        <f t="shared" si="10"/>
        <v>426.74000000000007</v>
      </c>
      <c r="G52" s="70">
        <f t="shared" si="10"/>
        <v>416.94000000000005</v>
      </c>
      <c r="H52" s="70">
        <f t="shared" si="10"/>
        <v>416.94000000000005</v>
      </c>
      <c r="I52" s="70">
        <f t="shared" si="10"/>
        <v>416.94000000000005</v>
      </c>
      <c r="J52" s="70">
        <f t="shared" si="10"/>
        <v>416.94000000000005</v>
      </c>
      <c r="K52" s="70">
        <f t="shared" si="10"/>
        <v>416.94000000000005</v>
      </c>
      <c r="L52" s="70">
        <f t="shared" si="10"/>
        <v>430.64000000000004</v>
      </c>
      <c r="M52" s="70">
        <f t="shared" si="10"/>
        <v>436.94</v>
      </c>
      <c r="N52" s="70">
        <f t="shared" si="10"/>
        <v>436.74</v>
      </c>
      <c r="O52" s="70">
        <f t="shared" si="10"/>
        <v>404.84</v>
      </c>
      <c r="P52" s="70">
        <f t="shared" si="10"/>
        <v>432.73999999999995</v>
      </c>
      <c r="Q52" s="70">
        <f t="shared" si="10"/>
        <v>428.23999999999995</v>
      </c>
      <c r="R52" s="70">
        <f t="shared" si="10"/>
        <v>430.74</v>
      </c>
      <c r="S52" s="70">
        <f t="shared" si="10"/>
        <v>432.74</v>
      </c>
      <c r="T52" s="70">
        <f t="shared" si="10"/>
        <v>430.34</v>
      </c>
      <c r="U52" s="70">
        <f t="shared" si="10"/>
        <v>430.34</v>
      </c>
      <c r="V52" s="70">
        <f t="shared" si="10"/>
        <v>430.34</v>
      </c>
      <c r="W52" s="70">
        <f t="shared" si="10"/>
        <v>430.34</v>
      </c>
      <c r="X52" s="70">
        <f t="shared" si="10"/>
        <v>430.34</v>
      </c>
      <c r="Y52" s="70">
        <f t="shared" si="10"/>
        <v>430.34</v>
      </c>
      <c r="Z52" s="70">
        <f t="shared" si="10"/>
        <v>419.53999999999996</v>
      </c>
      <c r="AA52" s="70">
        <f t="shared" si="10"/>
        <v>420.14</v>
      </c>
      <c r="AB52" s="70">
        <f t="shared" si="10"/>
        <v>415.43999999999994</v>
      </c>
      <c r="AC52" s="70">
        <f t="shared" si="10"/>
        <v>423.13999999999993</v>
      </c>
      <c r="AD52" s="70">
        <f t="shared" si="10"/>
        <v>423.13999999999993</v>
      </c>
      <c r="AE52" s="70">
        <f t="shared" si="10"/>
        <v>425.83999999999992</v>
      </c>
      <c r="AF52" s="70">
        <f t="shared" si="10"/>
        <v>425.83999999999992</v>
      </c>
      <c r="AG52" s="74">
        <f>SUM(AG39:AG51)</f>
        <v>489.91</v>
      </c>
      <c r="AH52" s="55">
        <f t="shared" si="2"/>
        <v>436.94</v>
      </c>
      <c r="AI52" s="56">
        <f t="shared" si="3"/>
        <v>404.84</v>
      </c>
      <c r="AK52" s="57"/>
    </row>
    <row r="53" spans="1:37" x14ac:dyDescent="0.25">
      <c r="A53" s="58" t="s">
        <v>61</v>
      </c>
      <c r="B53" s="51">
        <v>25.1</v>
      </c>
      <c r="C53" s="51">
        <v>14.1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30</v>
      </c>
      <c r="L53" s="51">
        <v>60.8</v>
      </c>
      <c r="M53" s="51">
        <v>60.1</v>
      </c>
      <c r="N53" s="51">
        <v>25</v>
      </c>
      <c r="O53" s="51">
        <v>40</v>
      </c>
      <c r="P53" s="51">
        <v>60</v>
      </c>
      <c r="Q53" s="51">
        <v>60</v>
      </c>
      <c r="R53" s="51">
        <v>45</v>
      </c>
      <c r="S53" s="51">
        <v>35</v>
      </c>
      <c r="T53" s="51">
        <v>39.700000000000003</v>
      </c>
      <c r="U53" s="51">
        <v>30</v>
      </c>
      <c r="V53" s="51">
        <v>30</v>
      </c>
      <c r="W53" s="51">
        <v>30</v>
      </c>
      <c r="X53" s="51">
        <v>30</v>
      </c>
      <c r="Y53" s="51">
        <v>30</v>
      </c>
      <c r="Z53" s="51">
        <v>50</v>
      </c>
      <c r="AA53" s="51">
        <v>60.5</v>
      </c>
      <c r="AB53" s="51">
        <v>40.9</v>
      </c>
      <c r="AC53" s="51">
        <v>29.3</v>
      </c>
      <c r="AD53" s="51">
        <v>58.4</v>
      </c>
      <c r="AE53" s="51">
        <v>19.600000000000001</v>
      </c>
      <c r="AF53" s="51">
        <v>0</v>
      </c>
      <c r="AG53" s="60">
        <v>60</v>
      </c>
      <c r="AH53" s="55">
        <f t="shared" si="2"/>
        <v>60.8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9.3000000000000007</v>
      </c>
      <c r="C54" s="49">
        <v>5.3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12.7</v>
      </c>
      <c r="L54" s="49">
        <v>24.1</v>
      </c>
      <c r="M54" s="49">
        <v>30.4</v>
      </c>
      <c r="N54" s="49">
        <v>6.2</v>
      </c>
      <c r="O54" s="49">
        <v>20.100000000000001</v>
      </c>
      <c r="P54" s="49">
        <v>31.5</v>
      </c>
      <c r="Q54" s="49">
        <v>27.3</v>
      </c>
      <c r="R54" s="49">
        <v>20.9</v>
      </c>
      <c r="S54" s="49">
        <v>17</v>
      </c>
      <c r="T54" s="49">
        <v>18.3</v>
      </c>
      <c r="U54" s="49">
        <v>16</v>
      </c>
      <c r="V54" s="49">
        <v>16</v>
      </c>
      <c r="W54" s="49">
        <v>16</v>
      </c>
      <c r="X54" s="49">
        <v>16</v>
      </c>
      <c r="Y54" s="49">
        <v>16</v>
      </c>
      <c r="Z54" s="49">
        <v>31.4</v>
      </c>
      <c r="AA54" s="49">
        <v>32.5</v>
      </c>
      <c r="AB54" s="49">
        <v>21.4</v>
      </c>
      <c r="AC54" s="49">
        <v>9.5</v>
      </c>
      <c r="AD54" s="49">
        <v>29.4</v>
      </c>
      <c r="AE54" s="49">
        <v>9.3000000000000007</v>
      </c>
      <c r="AF54" s="49">
        <v>0</v>
      </c>
      <c r="AG54" s="64">
        <v>32</v>
      </c>
      <c r="AH54" s="55">
        <f t="shared" si="2"/>
        <v>32.5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3.4</v>
      </c>
      <c r="C55" s="75">
        <v>1.9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4.5999999999999996</v>
      </c>
      <c r="L55" s="75">
        <v>8.8000000000000007</v>
      </c>
      <c r="M55" s="75">
        <v>11.1</v>
      </c>
      <c r="N55" s="75">
        <v>2.2999999999999998</v>
      </c>
      <c r="O55" s="75">
        <v>7.9</v>
      </c>
      <c r="P55" s="75">
        <v>11.4</v>
      </c>
      <c r="Q55" s="75">
        <v>10</v>
      </c>
      <c r="R55" s="75">
        <v>7.6</v>
      </c>
      <c r="S55" s="75">
        <v>6.2</v>
      </c>
      <c r="T55" s="75">
        <v>6.7</v>
      </c>
      <c r="U55" s="75">
        <v>5.8</v>
      </c>
      <c r="V55" s="75">
        <v>5.8</v>
      </c>
      <c r="W55" s="75">
        <v>5.8</v>
      </c>
      <c r="X55" s="75">
        <v>5.8</v>
      </c>
      <c r="Y55" s="75">
        <v>5.8</v>
      </c>
      <c r="Z55" s="75">
        <v>11.5</v>
      </c>
      <c r="AA55" s="75">
        <v>11.9</v>
      </c>
      <c r="AB55" s="75">
        <v>7.8</v>
      </c>
      <c r="AC55" s="75">
        <v>3.5</v>
      </c>
      <c r="AD55" s="75">
        <v>10.8</v>
      </c>
      <c r="AE55" s="75">
        <v>3.4</v>
      </c>
      <c r="AF55" s="75">
        <v>0</v>
      </c>
      <c r="AG55" s="76">
        <v>14</v>
      </c>
      <c r="AH55" s="55">
        <f t="shared" si="2"/>
        <v>11.9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11">SUM(B53:B55)</f>
        <v>37.800000000000004</v>
      </c>
      <c r="C56" s="70">
        <f t="shared" ref="C56:AF56" si="12">SUM(C53:C55)</f>
        <v>21.299999999999997</v>
      </c>
      <c r="D56" s="70">
        <f t="shared" si="12"/>
        <v>0</v>
      </c>
      <c r="E56" s="70">
        <f t="shared" si="12"/>
        <v>0</v>
      </c>
      <c r="F56" s="70">
        <f t="shared" si="12"/>
        <v>0</v>
      </c>
      <c r="G56" s="70">
        <f t="shared" si="12"/>
        <v>0</v>
      </c>
      <c r="H56" s="70">
        <f t="shared" si="12"/>
        <v>0</v>
      </c>
      <c r="I56" s="70">
        <f t="shared" si="12"/>
        <v>0</v>
      </c>
      <c r="J56" s="70">
        <f t="shared" si="12"/>
        <v>0</v>
      </c>
      <c r="K56" s="70">
        <f t="shared" si="12"/>
        <v>47.300000000000004</v>
      </c>
      <c r="L56" s="70">
        <f t="shared" si="12"/>
        <v>93.7</v>
      </c>
      <c r="M56" s="70">
        <f t="shared" si="12"/>
        <v>101.6</v>
      </c>
      <c r="N56" s="70">
        <f t="shared" si="12"/>
        <v>33.5</v>
      </c>
      <c r="O56" s="70">
        <f t="shared" si="12"/>
        <v>68</v>
      </c>
      <c r="P56" s="70">
        <f t="shared" si="12"/>
        <v>102.9</v>
      </c>
      <c r="Q56" s="70">
        <f t="shared" si="12"/>
        <v>97.3</v>
      </c>
      <c r="R56" s="70">
        <f t="shared" si="12"/>
        <v>73.5</v>
      </c>
      <c r="S56" s="70">
        <f t="shared" si="12"/>
        <v>58.2</v>
      </c>
      <c r="T56" s="70">
        <f t="shared" si="12"/>
        <v>64.7</v>
      </c>
      <c r="U56" s="70">
        <f t="shared" si="12"/>
        <v>51.8</v>
      </c>
      <c r="V56" s="70">
        <f t="shared" si="12"/>
        <v>51.8</v>
      </c>
      <c r="W56" s="70">
        <f t="shared" si="12"/>
        <v>51.8</v>
      </c>
      <c r="X56" s="70">
        <f>SUM(X53:X55)</f>
        <v>51.8</v>
      </c>
      <c r="Y56" s="70">
        <f>SUM(Y53:Y55)</f>
        <v>51.8</v>
      </c>
      <c r="Z56" s="70">
        <f t="shared" si="12"/>
        <v>92.9</v>
      </c>
      <c r="AA56" s="70">
        <f t="shared" si="12"/>
        <v>104.9</v>
      </c>
      <c r="AB56" s="70">
        <f t="shared" si="12"/>
        <v>70.099999999999994</v>
      </c>
      <c r="AC56" s="70">
        <f t="shared" si="12"/>
        <v>42.3</v>
      </c>
      <c r="AD56" s="70">
        <f t="shared" si="12"/>
        <v>98.6</v>
      </c>
      <c r="AE56" s="70">
        <f t="shared" si="12"/>
        <v>32.300000000000004</v>
      </c>
      <c r="AF56" s="70">
        <f t="shared" si="12"/>
        <v>0</v>
      </c>
      <c r="AG56" s="74">
        <f>SUM(AG53:AG55)</f>
        <v>106</v>
      </c>
      <c r="AH56" s="55">
        <f t="shared" si="2"/>
        <v>104.9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44.8</v>
      </c>
      <c r="C57" s="51">
        <v>42.6</v>
      </c>
      <c r="D57" s="51">
        <v>40.700000000000003</v>
      </c>
      <c r="E57" s="51">
        <v>39.799999999999997</v>
      </c>
      <c r="F57" s="51">
        <v>40</v>
      </c>
      <c r="G57" s="51">
        <v>39.799999999999997</v>
      </c>
      <c r="H57" s="51">
        <v>33.700000000000003</v>
      </c>
      <c r="I57" s="51">
        <v>29.3</v>
      </c>
      <c r="J57" s="51">
        <v>26.6</v>
      </c>
      <c r="K57" s="51">
        <v>25.2</v>
      </c>
      <c r="L57" s="51">
        <v>54.2</v>
      </c>
      <c r="M57" s="51">
        <v>48.2</v>
      </c>
      <c r="N57" s="51">
        <v>55.3</v>
      </c>
      <c r="O57" s="51">
        <v>75.099999999999994</v>
      </c>
      <c r="P57" s="51">
        <v>72.2</v>
      </c>
      <c r="Q57" s="51">
        <v>68.8</v>
      </c>
      <c r="R57" s="51">
        <v>70.2</v>
      </c>
      <c r="S57" s="51">
        <v>56.5</v>
      </c>
      <c r="T57" s="51">
        <v>63</v>
      </c>
      <c r="U57" s="51">
        <v>56.5</v>
      </c>
      <c r="V57" s="51">
        <v>56.5</v>
      </c>
      <c r="W57" s="51">
        <v>56.5</v>
      </c>
      <c r="X57" s="51">
        <v>49.6</v>
      </c>
      <c r="Y57" s="51">
        <v>49.6</v>
      </c>
      <c r="Z57" s="51">
        <v>49.6</v>
      </c>
      <c r="AA57" s="51">
        <v>59.6</v>
      </c>
      <c r="AB57" s="51">
        <v>66.400000000000006</v>
      </c>
      <c r="AC57" s="51">
        <v>46.7</v>
      </c>
      <c r="AD57" s="51">
        <v>49.8</v>
      </c>
      <c r="AE57" s="51">
        <v>48.1</v>
      </c>
      <c r="AF57" s="51">
        <v>45.2</v>
      </c>
      <c r="AG57" s="60"/>
      <c r="AH57" s="55">
        <f t="shared" si="2"/>
        <v>75.099999999999994</v>
      </c>
      <c r="AI57" s="56">
        <f t="shared" si="3"/>
        <v>25.2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-335</v>
      </c>
      <c r="C59" s="49">
        <v>-370</v>
      </c>
      <c r="D59" s="49">
        <v>-385</v>
      </c>
      <c r="E59" s="49">
        <v>-380</v>
      </c>
      <c r="F59" s="49">
        <v>-313</v>
      </c>
      <c r="G59" s="49">
        <v>-278</v>
      </c>
      <c r="H59" s="49">
        <v>-336</v>
      </c>
      <c r="I59" s="49">
        <v>-353</v>
      </c>
      <c r="J59" s="49">
        <v>-305</v>
      </c>
      <c r="K59" s="49">
        <v>-303</v>
      </c>
      <c r="L59" s="49">
        <v>-292</v>
      </c>
      <c r="M59" s="49">
        <v>-318.8</v>
      </c>
      <c r="N59" s="49">
        <v>-300.10000000000002</v>
      </c>
      <c r="O59" s="49">
        <v>-301.8</v>
      </c>
      <c r="P59" s="49">
        <v>-313.60000000000002</v>
      </c>
      <c r="Q59" s="49">
        <v>-305</v>
      </c>
      <c r="R59" s="49">
        <v>-310.5</v>
      </c>
      <c r="S59" s="49">
        <v>-323</v>
      </c>
      <c r="T59" s="49">
        <v>-300</v>
      </c>
      <c r="U59" s="49">
        <v>-287</v>
      </c>
      <c r="V59" s="49">
        <v>-314</v>
      </c>
      <c r="W59" s="49">
        <v>-311</v>
      </c>
      <c r="X59" s="49">
        <v>-300</v>
      </c>
      <c r="Y59" s="49">
        <v>-300</v>
      </c>
      <c r="Z59" s="49">
        <v>-259</v>
      </c>
      <c r="AA59" s="49">
        <v>-171</v>
      </c>
      <c r="AB59" s="49">
        <v>-303</v>
      </c>
      <c r="AC59" s="49">
        <v>-242</v>
      </c>
      <c r="AD59" s="49">
        <v>-296</v>
      </c>
      <c r="AE59" s="49">
        <v>-302</v>
      </c>
      <c r="AF59" s="49">
        <v>-324</v>
      </c>
      <c r="AG59" s="77"/>
      <c r="AH59" s="55">
        <f t="shared" si="2"/>
        <v>-171</v>
      </c>
      <c r="AI59" s="56">
        <f t="shared" si="3"/>
        <v>-385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12</v>
      </c>
      <c r="P60" s="78">
        <v>20.6</v>
      </c>
      <c r="Q60" s="78">
        <v>30</v>
      </c>
      <c r="R60" s="78">
        <v>35</v>
      </c>
      <c r="S60" s="78">
        <v>34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23.7</v>
      </c>
      <c r="AA60" s="78">
        <v>24.3</v>
      </c>
      <c r="AB60" s="78">
        <v>24.1</v>
      </c>
      <c r="AC60" s="78">
        <v>24.4</v>
      </c>
      <c r="AD60" s="78">
        <v>24.4</v>
      </c>
      <c r="AE60" s="78">
        <v>24.9</v>
      </c>
      <c r="AF60" s="78">
        <v>10</v>
      </c>
      <c r="AG60" s="77"/>
      <c r="AH60" s="55">
        <f t="shared" si="2"/>
        <v>35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3">SUMIF(B57:B67,"&gt;0")</f>
        <v>49.8</v>
      </c>
      <c r="C68" s="70">
        <f t="shared" ref="C68:AF68" si="14">SUMIF(C57:C67,"&gt;0")</f>
        <v>47.6</v>
      </c>
      <c r="D68" s="70">
        <f t="shared" si="14"/>
        <v>45.7</v>
      </c>
      <c r="E68" s="70">
        <f t="shared" si="14"/>
        <v>44.8</v>
      </c>
      <c r="F68" s="70">
        <f t="shared" si="14"/>
        <v>45</v>
      </c>
      <c r="G68" s="70">
        <f t="shared" si="14"/>
        <v>44.8</v>
      </c>
      <c r="H68" s="70">
        <f t="shared" si="14"/>
        <v>38.700000000000003</v>
      </c>
      <c r="I68" s="70">
        <f t="shared" si="14"/>
        <v>34.299999999999997</v>
      </c>
      <c r="J68" s="70">
        <f t="shared" si="14"/>
        <v>31.6</v>
      </c>
      <c r="K68" s="70">
        <f t="shared" si="14"/>
        <v>30.2</v>
      </c>
      <c r="L68" s="70">
        <f t="shared" si="14"/>
        <v>59.2</v>
      </c>
      <c r="M68" s="70">
        <f t="shared" si="14"/>
        <v>53.2</v>
      </c>
      <c r="N68" s="70">
        <f t="shared" si="14"/>
        <v>60.3</v>
      </c>
      <c r="O68" s="70">
        <f t="shared" si="14"/>
        <v>92.1</v>
      </c>
      <c r="P68" s="70">
        <f t="shared" si="14"/>
        <v>97.800000000000011</v>
      </c>
      <c r="Q68" s="70">
        <f t="shared" si="14"/>
        <v>103.8</v>
      </c>
      <c r="R68" s="70">
        <f t="shared" si="14"/>
        <v>110.2</v>
      </c>
      <c r="S68" s="70">
        <f t="shared" si="14"/>
        <v>95.5</v>
      </c>
      <c r="T68" s="70">
        <f t="shared" si="14"/>
        <v>68</v>
      </c>
      <c r="U68" s="70">
        <f t="shared" si="14"/>
        <v>61.5</v>
      </c>
      <c r="V68" s="70">
        <f t="shared" si="14"/>
        <v>61.5</v>
      </c>
      <c r="W68" s="70">
        <f t="shared" si="14"/>
        <v>61.5</v>
      </c>
      <c r="X68" s="70">
        <f t="shared" si="14"/>
        <v>54.6</v>
      </c>
      <c r="Y68" s="70">
        <f t="shared" si="14"/>
        <v>54.6</v>
      </c>
      <c r="Z68" s="70">
        <f t="shared" si="14"/>
        <v>78.3</v>
      </c>
      <c r="AA68" s="70">
        <f t="shared" si="14"/>
        <v>88.9</v>
      </c>
      <c r="AB68" s="70">
        <f t="shared" si="14"/>
        <v>95.5</v>
      </c>
      <c r="AC68" s="70">
        <f t="shared" si="14"/>
        <v>76.099999999999994</v>
      </c>
      <c r="AD68" s="70">
        <f t="shared" si="14"/>
        <v>79.199999999999989</v>
      </c>
      <c r="AE68" s="70">
        <f t="shared" si="14"/>
        <v>78</v>
      </c>
      <c r="AF68" s="70">
        <f t="shared" si="14"/>
        <v>60.2</v>
      </c>
      <c r="AG68" s="74">
        <f>SUM(AG57:AG67)</f>
        <v>0</v>
      </c>
      <c r="AH68" s="55">
        <f t="shared" si="2"/>
        <v>110.2</v>
      </c>
      <c r="AI68" s="56">
        <f t="shared" si="3"/>
        <v>30.2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5">B38+B52+B68+B72</f>
        <v>1754.74</v>
      </c>
      <c r="C73" s="84">
        <f t="shared" ref="C73:AF73" si="16">C38+C52+C68+C72</f>
        <v>1752.44</v>
      </c>
      <c r="D73" s="84">
        <f t="shared" si="16"/>
        <v>1749.04</v>
      </c>
      <c r="E73" s="84">
        <f t="shared" si="16"/>
        <v>1756.4399999999998</v>
      </c>
      <c r="F73" s="84">
        <f t="shared" si="16"/>
        <v>1676.54</v>
      </c>
      <c r="G73" s="84">
        <f t="shared" si="16"/>
        <v>1606.54</v>
      </c>
      <c r="H73" s="84">
        <f t="shared" si="16"/>
        <v>1676.44</v>
      </c>
      <c r="I73" s="84">
        <f t="shared" si="16"/>
        <v>1672.04</v>
      </c>
      <c r="J73" s="84">
        <f t="shared" si="16"/>
        <v>1669.34</v>
      </c>
      <c r="K73" s="84">
        <f t="shared" si="16"/>
        <v>1667.94</v>
      </c>
      <c r="L73" s="84">
        <f t="shared" si="16"/>
        <v>1768.64</v>
      </c>
      <c r="M73" s="84">
        <f t="shared" si="16"/>
        <v>1685.24</v>
      </c>
      <c r="N73" s="84">
        <f t="shared" si="16"/>
        <v>1767.04</v>
      </c>
      <c r="O73" s="84">
        <f t="shared" si="16"/>
        <v>1756.4399999999998</v>
      </c>
      <c r="P73" s="84">
        <f t="shared" si="16"/>
        <v>1800.54</v>
      </c>
      <c r="Q73" s="84">
        <f t="shared" si="16"/>
        <v>1802.04</v>
      </c>
      <c r="R73" s="84">
        <f t="shared" si="16"/>
        <v>1797.94</v>
      </c>
      <c r="S73" s="84">
        <f t="shared" si="16"/>
        <v>1811.24</v>
      </c>
      <c r="T73" s="84">
        <f t="shared" si="16"/>
        <v>1787.34</v>
      </c>
      <c r="U73" s="84">
        <f t="shared" si="16"/>
        <v>1768.84</v>
      </c>
      <c r="V73" s="84">
        <f t="shared" si="16"/>
        <v>1780.84</v>
      </c>
      <c r="W73" s="84">
        <f t="shared" si="16"/>
        <v>1780.84</v>
      </c>
      <c r="X73" s="84">
        <f t="shared" si="16"/>
        <v>1713.9399999999998</v>
      </c>
      <c r="Y73" s="84">
        <f t="shared" si="16"/>
        <v>1713.9399999999998</v>
      </c>
      <c r="Z73" s="84">
        <f t="shared" si="16"/>
        <v>1726.84</v>
      </c>
      <c r="AA73" s="84">
        <f t="shared" si="16"/>
        <v>1738.04</v>
      </c>
      <c r="AB73" s="84">
        <f t="shared" si="16"/>
        <v>1782.2400000000002</v>
      </c>
      <c r="AC73" s="84">
        <f t="shared" si="16"/>
        <v>1777.54</v>
      </c>
      <c r="AD73" s="84">
        <f t="shared" si="16"/>
        <v>1787.64</v>
      </c>
      <c r="AE73" s="84">
        <f t="shared" si="16"/>
        <v>1790.14</v>
      </c>
      <c r="AF73" s="84">
        <f t="shared" si="16"/>
        <v>1772.3400000000001</v>
      </c>
      <c r="AG73" s="84">
        <f t="shared" ref="AG73" si="17">AG68+AG56+AG52+AG38+AG72</f>
        <v>2144.14</v>
      </c>
      <c r="AH73" s="55">
        <f t="shared" si="2"/>
        <v>1811.24</v>
      </c>
      <c r="AI73" s="56">
        <f t="shared" si="3"/>
        <v>1606.54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>
        <v>7</v>
      </c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7</v>
      </c>
      <c r="AI74" s="56">
        <f t="shared" si="3"/>
        <v>7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8">B73+B74</f>
        <v>1754.74</v>
      </c>
      <c r="C75" s="84">
        <f t="shared" ref="C75:AF75" si="19">C73+C74</f>
        <v>1752.44</v>
      </c>
      <c r="D75" s="84">
        <f t="shared" si="19"/>
        <v>1749.04</v>
      </c>
      <c r="E75" s="84">
        <f t="shared" si="19"/>
        <v>1756.4399999999998</v>
      </c>
      <c r="F75" s="84">
        <f t="shared" si="19"/>
        <v>1676.54</v>
      </c>
      <c r="G75" s="84">
        <f t="shared" si="19"/>
        <v>1606.54</v>
      </c>
      <c r="H75" s="84">
        <f t="shared" si="19"/>
        <v>1676.44</v>
      </c>
      <c r="I75" s="84">
        <f t="shared" si="19"/>
        <v>1672.04</v>
      </c>
      <c r="J75" s="84">
        <f t="shared" si="19"/>
        <v>1669.34</v>
      </c>
      <c r="K75" s="84">
        <f t="shared" si="19"/>
        <v>1667.94</v>
      </c>
      <c r="L75" s="84">
        <f t="shared" si="19"/>
        <v>1768.64</v>
      </c>
      <c r="M75" s="84">
        <f t="shared" si="19"/>
        <v>1685.24</v>
      </c>
      <c r="N75" s="84">
        <f t="shared" si="19"/>
        <v>1767.04</v>
      </c>
      <c r="O75" s="84">
        <f t="shared" si="19"/>
        <v>1763.4399999999998</v>
      </c>
      <c r="P75" s="84">
        <f t="shared" si="19"/>
        <v>1800.54</v>
      </c>
      <c r="Q75" s="84">
        <f t="shared" si="19"/>
        <v>1802.04</v>
      </c>
      <c r="R75" s="84">
        <f t="shared" si="19"/>
        <v>1797.94</v>
      </c>
      <c r="S75" s="84">
        <f t="shared" si="19"/>
        <v>1811.24</v>
      </c>
      <c r="T75" s="84">
        <f t="shared" si="19"/>
        <v>1787.34</v>
      </c>
      <c r="U75" s="84">
        <f t="shared" si="19"/>
        <v>1768.84</v>
      </c>
      <c r="V75" s="84">
        <f t="shared" si="19"/>
        <v>1780.84</v>
      </c>
      <c r="W75" s="84">
        <f t="shared" si="19"/>
        <v>1780.84</v>
      </c>
      <c r="X75" s="84">
        <f t="shared" si="19"/>
        <v>1713.9399999999998</v>
      </c>
      <c r="Y75" s="84">
        <f t="shared" si="19"/>
        <v>1713.9399999999998</v>
      </c>
      <c r="Z75" s="84">
        <f t="shared" si="19"/>
        <v>1726.84</v>
      </c>
      <c r="AA75" s="84">
        <f t="shared" si="19"/>
        <v>1738.04</v>
      </c>
      <c r="AB75" s="84">
        <f t="shared" si="19"/>
        <v>1782.2400000000002</v>
      </c>
      <c r="AC75" s="84">
        <f t="shared" si="19"/>
        <v>1777.54</v>
      </c>
      <c r="AD75" s="84">
        <f t="shared" si="19"/>
        <v>1787.64</v>
      </c>
      <c r="AE75" s="84">
        <f t="shared" si="19"/>
        <v>1790.14</v>
      </c>
      <c r="AF75" s="84">
        <f t="shared" si="19"/>
        <v>1772.3400000000001</v>
      </c>
      <c r="AG75" s="74">
        <f>AG72+AG68+AG56+AG52+AG38+AG74</f>
        <v>2144.14</v>
      </c>
      <c r="AH75" s="55">
        <f t="shared" si="2"/>
        <v>1811.24</v>
      </c>
      <c r="AI75" s="56">
        <f t="shared" si="3"/>
        <v>1606.54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20">IF(B60&lt;0,B60*-1,0)</f>
        <v>0</v>
      </c>
      <c r="C76" s="78">
        <f t="shared" ref="C76:AF76" si="21">IF(C60&lt;0,C60*-1,0)</f>
        <v>0</v>
      </c>
      <c r="D76" s="78">
        <f t="shared" si="21"/>
        <v>0</v>
      </c>
      <c r="E76" s="78">
        <f t="shared" si="21"/>
        <v>0</v>
      </c>
      <c r="F76" s="78">
        <f t="shared" si="21"/>
        <v>0</v>
      </c>
      <c r="G76" s="78">
        <f t="shared" si="21"/>
        <v>0</v>
      </c>
      <c r="H76" s="78">
        <f t="shared" si="21"/>
        <v>0</v>
      </c>
      <c r="I76" s="78">
        <f t="shared" si="21"/>
        <v>0</v>
      </c>
      <c r="J76" s="78">
        <f t="shared" si="21"/>
        <v>0</v>
      </c>
      <c r="K76" s="78">
        <f t="shared" si="21"/>
        <v>0</v>
      </c>
      <c r="L76" s="78">
        <f t="shared" si="21"/>
        <v>0</v>
      </c>
      <c r="M76" s="78">
        <f t="shared" si="21"/>
        <v>0</v>
      </c>
      <c r="N76" s="78">
        <f t="shared" si="21"/>
        <v>0</v>
      </c>
      <c r="O76" s="78">
        <f t="shared" si="21"/>
        <v>0</v>
      </c>
      <c r="P76" s="78">
        <f t="shared" si="21"/>
        <v>0</v>
      </c>
      <c r="Q76" s="78">
        <f t="shared" si="21"/>
        <v>0</v>
      </c>
      <c r="R76" s="78">
        <f t="shared" si="21"/>
        <v>0</v>
      </c>
      <c r="S76" s="78">
        <f t="shared" si="21"/>
        <v>0</v>
      </c>
      <c r="T76" s="78">
        <f t="shared" si="21"/>
        <v>0</v>
      </c>
      <c r="U76" s="78">
        <f t="shared" si="21"/>
        <v>0</v>
      </c>
      <c r="V76" s="78">
        <f t="shared" si="21"/>
        <v>0</v>
      </c>
      <c r="W76" s="78">
        <f t="shared" si="21"/>
        <v>0</v>
      </c>
      <c r="X76" s="78">
        <f t="shared" si="21"/>
        <v>0</v>
      </c>
      <c r="Y76" s="78">
        <f t="shared" si="21"/>
        <v>0</v>
      </c>
      <c r="Z76" s="78">
        <f t="shared" si="21"/>
        <v>0</v>
      </c>
      <c r="AA76" s="78">
        <f t="shared" si="21"/>
        <v>0</v>
      </c>
      <c r="AB76" s="78">
        <f t="shared" si="21"/>
        <v>0</v>
      </c>
      <c r="AC76" s="78">
        <f t="shared" si="21"/>
        <v>0</v>
      </c>
      <c r="AD76" s="78">
        <f t="shared" si="21"/>
        <v>0</v>
      </c>
      <c r="AE76" s="78">
        <f t="shared" si="21"/>
        <v>0</v>
      </c>
      <c r="AF76" s="78">
        <f t="shared" si="21"/>
        <v>0</v>
      </c>
      <c r="AG76" s="60"/>
      <c r="AH76" s="55">
        <f t="shared" ref="AH76:AH91" si="22">MAX(B76:AF76)</f>
        <v>0</v>
      </c>
      <c r="AI76" s="56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4">IF(B58&lt;0,B58*-1,0)</f>
        <v>0</v>
      </c>
      <c r="C77" s="78">
        <f t="shared" ref="C77:AF77" si="25">IF(C58&lt;0,C58*-1,0)</f>
        <v>0</v>
      </c>
      <c r="D77" s="78">
        <f t="shared" si="25"/>
        <v>0</v>
      </c>
      <c r="E77" s="78">
        <f t="shared" si="25"/>
        <v>0</v>
      </c>
      <c r="F77" s="78">
        <f t="shared" si="25"/>
        <v>0</v>
      </c>
      <c r="G77" s="78">
        <f t="shared" si="25"/>
        <v>0</v>
      </c>
      <c r="H77" s="78">
        <f t="shared" si="25"/>
        <v>0</v>
      </c>
      <c r="I77" s="78">
        <f t="shared" si="25"/>
        <v>0</v>
      </c>
      <c r="J77" s="78">
        <f t="shared" si="25"/>
        <v>0</v>
      </c>
      <c r="K77" s="78">
        <f t="shared" si="25"/>
        <v>0</v>
      </c>
      <c r="L77" s="78">
        <f t="shared" si="25"/>
        <v>0</v>
      </c>
      <c r="M77" s="78">
        <f t="shared" si="25"/>
        <v>0</v>
      </c>
      <c r="N77" s="78">
        <f t="shared" si="25"/>
        <v>0</v>
      </c>
      <c r="O77" s="78">
        <f t="shared" si="25"/>
        <v>0</v>
      </c>
      <c r="P77" s="78">
        <f t="shared" si="25"/>
        <v>0</v>
      </c>
      <c r="Q77" s="78">
        <f t="shared" si="25"/>
        <v>0</v>
      </c>
      <c r="R77" s="78">
        <f t="shared" si="25"/>
        <v>0</v>
      </c>
      <c r="S77" s="78">
        <f t="shared" si="25"/>
        <v>0</v>
      </c>
      <c r="T77" s="78">
        <f t="shared" si="25"/>
        <v>0</v>
      </c>
      <c r="U77" s="78">
        <f t="shared" si="25"/>
        <v>0</v>
      </c>
      <c r="V77" s="78">
        <f t="shared" si="25"/>
        <v>0</v>
      </c>
      <c r="W77" s="78">
        <f t="shared" si="25"/>
        <v>0</v>
      </c>
      <c r="X77" s="78">
        <f t="shared" si="25"/>
        <v>0</v>
      </c>
      <c r="Y77" s="78">
        <f t="shared" si="25"/>
        <v>0</v>
      </c>
      <c r="Z77" s="78">
        <f t="shared" si="25"/>
        <v>0</v>
      </c>
      <c r="AA77" s="78">
        <f t="shared" si="25"/>
        <v>0</v>
      </c>
      <c r="AB77" s="78">
        <f t="shared" si="25"/>
        <v>0</v>
      </c>
      <c r="AC77" s="78">
        <f t="shared" si="25"/>
        <v>0</v>
      </c>
      <c r="AD77" s="78">
        <f t="shared" si="25"/>
        <v>0</v>
      </c>
      <c r="AE77" s="78">
        <f t="shared" si="25"/>
        <v>0</v>
      </c>
      <c r="AF77" s="78">
        <f t="shared" si="25"/>
        <v>0</v>
      </c>
      <c r="AG77" s="64"/>
      <c r="AH77" s="55">
        <f t="shared" si="22"/>
        <v>0</v>
      </c>
      <c r="AI77" s="56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6">IF(B61&lt;0,B61*-1,0)</f>
        <v>0</v>
      </c>
      <c r="C78" s="78">
        <f t="shared" ref="C78:AF78" si="27">IF(C61&lt;0,C61*-1,0)</f>
        <v>0</v>
      </c>
      <c r="D78" s="78">
        <f t="shared" si="27"/>
        <v>0</v>
      </c>
      <c r="E78" s="78">
        <f t="shared" si="27"/>
        <v>0</v>
      </c>
      <c r="F78" s="78">
        <f t="shared" si="27"/>
        <v>0</v>
      </c>
      <c r="G78" s="78">
        <f t="shared" si="27"/>
        <v>0</v>
      </c>
      <c r="H78" s="78">
        <f t="shared" si="27"/>
        <v>0</v>
      </c>
      <c r="I78" s="78">
        <f t="shared" si="27"/>
        <v>0</v>
      </c>
      <c r="J78" s="78">
        <f t="shared" si="27"/>
        <v>0</v>
      </c>
      <c r="K78" s="78">
        <f t="shared" si="27"/>
        <v>0</v>
      </c>
      <c r="L78" s="78">
        <f t="shared" si="27"/>
        <v>0</v>
      </c>
      <c r="M78" s="78">
        <f t="shared" si="27"/>
        <v>0</v>
      </c>
      <c r="N78" s="78">
        <f t="shared" si="27"/>
        <v>0</v>
      </c>
      <c r="O78" s="78">
        <f t="shared" si="27"/>
        <v>0</v>
      </c>
      <c r="P78" s="78">
        <f t="shared" si="27"/>
        <v>0</v>
      </c>
      <c r="Q78" s="78">
        <f t="shared" si="27"/>
        <v>0</v>
      </c>
      <c r="R78" s="78">
        <f t="shared" si="27"/>
        <v>0</v>
      </c>
      <c r="S78" s="78">
        <f t="shared" si="27"/>
        <v>0</v>
      </c>
      <c r="T78" s="78">
        <f t="shared" si="27"/>
        <v>0</v>
      </c>
      <c r="U78" s="78">
        <f t="shared" si="27"/>
        <v>0</v>
      </c>
      <c r="V78" s="78">
        <f t="shared" si="27"/>
        <v>0</v>
      </c>
      <c r="W78" s="78">
        <f t="shared" si="27"/>
        <v>0</v>
      </c>
      <c r="X78" s="78">
        <f t="shared" si="27"/>
        <v>0</v>
      </c>
      <c r="Y78" s="78">
        <f t="shared" si="27"/>
        <v>0</v>
      </c>
      <c r="Z78" s="78">
        <f t="shared" si="27"/>
        <v>0</v>
      </c>
      <c r="AA78" s="78">
        <f t="shared" si="27"/>
        <v>0</v>
      </c>
      <c r="AB78" s="78">
        <f t="shared" si="27"/>
        <v>0</v>
      </c>
      <c r="AC78" s="78">
        <f t="shared" si="27"/>
        <v>0</v>
      </c>
      <c r="AD78" s="78">
        <f t="shared" si="27"/>
        <v>0</v>
      </c>
      <c r="AE78" s="78">
        <f t="shared" si="27"/>
        <v>0</v>
      </c>
      <c r="AF78" s="78">
        <f t="shared" si="27"/>
        <v>0</v>
      </c>
      <c r="AG78" s="87"/>
      <c r="AH78" s="55">
        <f t="shared" si="22"/>
        <v>0</v>
      </c>
      <c r="AI78" s="56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28">IF(B59&lt;0,B59*-1,0)</f>
        <v>335</v>
      </c>
      <c r="C79" s="78">
        <f t="shared" ref="C79:AF79" si="29">IF(C59&lt;0,C59*-1,0)</f>
        <v>370</v>
      </c>
      <c r="D79" s="78">
        <f t="shared" si="29"/>
        <v>385</v>
      </c>
      <c r="E79" s="78">
        <f t="shared" si="29"/>
        <v>380</v>
      </c>
      <c r="F79" s="78">
        <f t="shared" si="29"/>
        <v>313</v>
      </c>
      <c r="G79" s="78">
        <f t="shared" si="29"/>
        <v>278</v>
      </c>
      <c r="H79" s="78">
        <f t="shared" si="29"/>
        <v>336</v>
      </c>
      <c r="I79" s="78">
        <f t="shared" si="29"/>
        <v>353</v>
      </c>
      <c r="J79" s="78">
        <f t="shared" si="29"/>
        <v>305</v>
      </c>
      <c r="K79" s="78">
        <f t="shared" si="29"/>
        <v>303</v>
      </c>
      <c r="L79" s="78">
        <f t="shared" si="29"/>
        <v>292</v>
      </c>
      <c r="M79" s="78">
        <f t="shared" si="29"/>
        <v>318.8</v>
      </c>
      <c r="N79" s="78">
        <f t="shared" si="29"/>
        <v>300.10000000000002</v>
      </c>
      <c r="O79" s="78">
        <f t="shared" si="29"/>
        <v>301.8</v>
      </c>
      <c r="P79" s="78">
        <f t="shared" si="29"/>
        <v>313.60000000000002</v>
      </c>
      <c r="Q79" s="78">
        <f t="shared" si="29"/>
        <v>305</v>
      </c>
      <c r="R79" s="78">
        <f t="shared" si="29"/>
        <v>310.5</v>
      </c>
      <c r="S79" s="78">
        <f t="shared" si="29"/>
        <v>323</v>
      </c>
      <c r="T79" s="78">
        <f t="shared" si="29"/>
        <v>300</v>
      </c>
      <c r="U79" s="78">
        <f t="shared" si="29"/>
        <v>287</v>
      </c>
      <c r="V79" s="78">
        <f t="shared" si="29"/>
        <v>314</v>
      </c>
      <c r="W79" s="78">
        <f t="shared" si="29"/>
        <v>311</v>
      </c>
      <c r="X79" s="78">
        <f t="shared" si="29"/>
        <v>300</v>
      </c>
      <c r="Y79" s="78">
        <f t="shared" si="29"/>
        <v>300</v>
      </c>
      <c r="Z79" s="78">
        <f t="shared" si="29"/>
        <v>259</v>
      </c>
      <c r="AA79" s="78">
        <f t="shared" si="29"/>
        <v>171</v>
      </c>
      <c r="AB79" s="78">
        <f t="shared" si="29"/>
        <v>303</v>
      </c>
      <c r="AC79" s="78">
        <f t="shared" si="29"/>
        <v>242</v>
      </c>
      <c r="AD79" s="78">
        <f t="shared" si="29"/>
        <v>296</v>
      </c>
      <c r="AE79" s="78">
        <f t="shared" si="29"/>
        <v>302</v>
      </c>
      <c r="AF79" s="78">
        <f t="shared" si="29"/>
        <v>324</v>
      </c>
      <c r="AG79" s="87"/>
      <c r="AH79" s="55">
        <f t="shared" si="22"/>
        <v>385</v>
      </c>
      <c r="AI79" s="56">
        <f t="shared" si="23"/>
        <v>171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30">IF(B57&lt;0,B57*-1,0)</f>
        <v>0</v>
      </c>
      <c r="C80" s="78">
        <f t="shared" ref="C80:AF80" si="31">IF(C57&lt;0,C57*-1,0)</f>
        <v>0</v>
      </c>
      <c r="D80" s="78">
        <f t="shared" si="31"/>
        <v>0</v>
      </c>
      <c r="E80" s="78">
        <f t="shared" si="31"/>
        <v>0</v>
      </c>
      <c r="F80" s="78">
        <f t="shared" si="31"/>
        <v>0</v>
      </c>
      <c r="G80" s="78">
        <f t="shared" si="31"/>
        <v>0</v>
      </c>
      <c r="H80" s="78">
        <f t="shared" si="31"/>
        <v>0</v>
      </c>
      <c r="I80" s="78">
        <f t="shared" si="31"/>
        <v>0</v>
      </c>
      <c r="J80" s="78">
        <f t="shared" si="31"/>
        <v>0</v>
      </c>
      <c r="K80" s="78">
        <f t="shared" si="31"/>
        <v>0</v>
      </c>
      <c r="L80" s="78">
        <f t="shared" si="31"/>
        <v>0</v>
      </c>
      <c r="M80" s="78">
        <f t="shared" si="31"/>
        <v>0</v>
      </c>
      <c r="N80" s="78">
        <f t="shared" si="31"/>
        <v>0</v>
      </c>
      <c r="O80" s="78">
        <f t="shared" si="31"/>
        <v>0</v>
      </c>
      <c r="P80" s="78">
        <f t="shared" si="31"/>
        <v>0</v>
      </c>
      <c r="Q80" s="78">
        <f t="shared" si="31"/>
        <v>0</v>
      </c>
      <c r="R80" s="78">
        <f t="shared" si="31"/>
        <v>0</v>
      </c>
      <c r="S80" s="78">
        <f t="shared" si="31"/>
        <v>0</v>
      </c>
      <c r="T80" s="78">
        <f t="shared" si="31"/>
        <v>0</v>
      </c>
      <c r="U80" s="78">
        <f t="shared" si="31"/>
        <v>0</v>
      </c>
      <c r="V80" s="78">
        <f t="shared" si="31"/>
        <v>0</v>
      </c>
      <c r="W80" s="78">
        <f t="shared" si="31"/>
        <v>0</v>
      </c>
      <c r="X80" s="78">
        <f t="shared" si="31"/>
        <v>0</v>
      </c>
      <c r="Y80" s="78">
        <f t="shared" si="31"/>
        <v>0</v>
      </c>
      <c r="Z80" s="78">
        <f t="shared" si="31"/>
        <v>0</v>
      </c>
      <c r="AA80" s="78">
        <f t="shared" si="31"/>
        <v>0</v>
      </c>
      <c r="AB80" s="78">
        <f t="shared" si="31"/>
        <v>0</v>
      </c>
      <c r="AC80" s="78">
        <f t="shared" si="31"/>
        <v>0</v>
      </c>
      <c r="AD80" s="78">
        <f t="shared" si="31"/>
        <v>0</v>
      </c>
      <c r="AE80" s="78">
        <f t="shared" si="31"/>
        <v>0</v>
      </c>
      <c r="AF80" s="78">
        <f t="shared" si="31"/>
        <v>0</v>
      </c>
      <c r="AG80" s="87"/>
      <c r="AH80" s="55">
        <f t="shared" si="22"/>
        <v>0</v>
      </c>
      <c r="AI80" s="56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2"/>
        <v>0</v>
      </c>
      <c r="AI81" s="56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32">SUM(B76:B81)</f>
        <v>335</v>
      </c>
      <c r="C82" s="70">
        <f t="shared" ref="C82:AG82" si="33">SUM(C76:C81)</f>
        <v>370</v>
      </c>
      <c r="D82" s="70">
        <f t="shared" si="33"/>
        <v>385</v>
      </c>
      <c r="E82" s="70">
        <f t="shared" si="33"/>
        <v>380</v>
      </c>
      <c r="F82" s="70">
        <f t="shared" si="33"/>
        <v>313</v>
      </c>
      <c r="G82" s="70">
        <f t="shared" si="33"/>
        <v>278</v>
      </c>
      <c r="H82" s="70">
        <f t="shared" si="33"/>
        <v>336</v>
      </c>
      <c r="I82" s="70">
        <f t="shared" si="33"/>
        <v>353</v>
      </c>
      <c r="J82" s="70">
        <f t="shared" si="33"/>
        <v>305</v>
      </c>
      <c r="K82" s="70">
        <f t="shared" si="33"/>
        <v>303</v>
      </c>
      <c r="L82" s="70">
        <f t="shared" si="33"/>
        <v>292</v>
      </c>
      <c r="M82" s="70">
        <f t="shared" si="33"/>
        <v>318.8</v>
      </c>
      <c r="N82" s="70">
        <f t="shared" si="33"/>
        <v>300.10000000000002</v>
      </c>
      <c r="O82" s="70">
        <f t="shared" si="33"/>
        <v>301.8</v>
      </c>
      <c r="P82" s="70">
        <f t="shared" si="33"/>
        <v>313.60000000000002</v>
      </c>
      <c r="Q82" s="70">
        <f t="shared" si="33"/>
        <v>305</v>
      </c>
      <c r="R82" s="70">
        <f t="shared" si="33"/>
        <v>310.5</v>
      </c>
      <c r="S82" s="70">
        <f t="shared" si="33"/>
        <v>323</v>
      </c>
      <c r="T82" s="70">
        <f t="shared" si="33"/>
        <v>300</v>
      </c>
      <c r="U82" s="70">
        <f t="shared" si="33"/>
        <v>287</v>
      </c>
      <c r="V82" s="70">
        <f t="shared" si="33"/>
        <v>314</v>
      </c>
      <c r="W82" s="70">
        <f t="shared" si="33"/>
        <v>311</v>
      </c>
      <c r="X82" s="70">
        <f t="shared" si="33"/>
        <v>300</v>
      </c>
      <c r="Y82" s="70">
        <f t="shared" si="33"/>
        <v>300</v>
      </c>
      <c r="Z82" s="70">
        <f t="shared" si="33"/>
        <v>259</v>
      </c>
      <c r="AA82" s="70">
        <f t="shared" si="33"/>
        <v>171</v>
      </c>
      <c r="AB82" s="70">
        <f t="shared" si="33"/>
        <v>303</v>
      </c>
      <c r="AC82" s="70">
        <f t="shared" si="33"/>
        <v>242</v>
      </c>
      <c r="AD82" s="70">
        <f t="shared" si="33"/>
        <v>296</v>
      </c>
      <c r="AE82" s="70">
        <f t="shared" si="33"/>
        <v>302</v>
      </c>
      <c r="AF82" s="70">
        <f t="shared" si="33"/>
        <v>324</v>
      </c>
      <c r="AG82" s="74">
        <f t="shared" si="33"/>
        <v>0</v>
      </c>
      <c r="AH82" s="55">
        <f t="shared" si="22"/>
        <v>385</v>
      </c>
      <c r="AI82" s="56">
        <f t="shared" si="23"/>
        <v>171</v>
      </c>
      <c r="AK82" s="57"/>
    </row>
    <row r="83" spans="1:88" s="1" customFormat="1" ht="15.75" thickBot="1" x14ac:dyDescent="0.3">
      <c r="A83" s="69" t="s">
        <v>88</v>
      </c>
      <c r="B83" s="70">
        <f t="shared" ref="B83" si="34">B68-B82</f>
        <v>-285.2</v>
      </c>
      <c r="C83" s="70">
        <f t="shared" ref="C83:AF83" si="35">C68-C82</f>
        <v>-322.39999999999998</v>
      </c>
      <c r="D83" s="70">
        <f t="shared" si="35"/>
        <v>-339.3</v>
      </c>
      <c r="E83" s="70">
        <f t="shared" si="35"/>
        <v>-335.2</v>
      </c>
      <c r="F83" s="70">
        <f t="shared" si="35"/>
        <v>-268</v>
      </c>
      <c r="G83" s="70">
        <f t="shared" si="35"/>
        <v>-233.2</v>
      </c>
      <c r="H83" s="70">
        <f t="shared" si="35"/>
        <v>-297.3</v>
      </c>
      <c r="I83" s="70">
        <f t="shared" si="35"/>
        <v>-318.7</v>
      </c>
      <c r="J83" s="70">
        <f t="shared" si="35"/>
        <v>-273.39999999999998</v>
      </c>
      <c r="K83" s="70">
        <f t="shared" si="35"/>
        <v>-272.8</v>
      </c>
      <c r="L83" s="70">
        <f t="shared" si="35"/>
        <v>-232.8</v>
      </c>
      <c r="M83" s="70">
        <f t="shared" si="35"/>
        <v>-265.60000000000002</v>
      </c>
      <c r="N83" s="70">
        <f t="shared" si="35"/>
        <v>-239.8</v>
      </c>
      <c r="O83" s="70">
        <f t="shared" si="35"/>
        <v>-209.70000000000002</v>
      </c>
      <c r="P83" s="70">
        <f t="shared" si="35"/>
        <v>-215.8</v>
      </c>
      <c r="Q83" s="70">
        <f t="shared" si="35"/>
        <v>-201.2</v>
      </c>
      <c r="R83" s="70">
        <f t="shared" si="35"/>
        <v>-200.3</v>
      </c>
      <c r="S83" s="70">
        <f t="shared" si="35"/>
        <v>-227.5</v>
      </c>
      <c r="T83" s="70">
        <f t="shared" si="35"/>
        <v>-232</v>
      </c>
      <c r="U83" s="70">
        <f t="shared" si="35"/>
        <v>-225.5</v>
      </c>
      <c r="V83" s="70">
        <f t="shared" si="35"/>
        <v>-252.5</v>
      </c>
      <c r="W83" s="70">
        <f t="shared" si="35"/>
        <v>-249.5</v>
      </c>
      <c r="X83" s="70">
        <f t="shared" si="35"/>
        <v>-245.4</v>
      </c>
      <c r="Y83" s="70">
        <f t="shared" si="35"/>
        <v>-245.4</v>
      </c>
      <c r="Z83" s="70">
        <f t="shared" si="35"/>
        <v>-180.7</v>
      </c>
      <c r="AA83" s="70">
        <f t="shared" si="35"/>
        <v>-82.1</v>
      </c>
      <c r="AB83" s="70">
        <f t="shared" si="35"/>
        <v>-207.5</v>
      </c>
      <c r="AC83" s="70">
        <f t="shared" si="35"/>
        <v>-165.9</v>
      </c>
      <c r="AD83" s="70">
        <f t="shared" si="35"/>
        <v>-216.8</v>
      </c>
      <c r="AE83" s="70">
        <f t="shared" si="35"/>
        <v>-224</v>
      </c>
      <c r="AF83" s="70">
        <f t="shared" si="35"/>
        <v>-263.8</v>
      </c>
      <c r="AG83" s="74">
        <f t="shared" ref="AG83" si="36">SUM(AG70:AG82)</f>
        <v>4360.08</v>
      </c>
      <c r="AH83" s="55">
        <f t="shared" si="22"/>
        <v>-82.1</v>
      </c>
      <c r="AI83" s="56">
        <f t="shared" si="23"/>
        <v>-339.3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49.97</v>
      </c>
      <c r="C84" s="90">
        <v>50</v>
      </c>
      <c r="D84" s="90">
        <v>50.02</v>
      </c>
      <c r="E84" s="90">
        <v>50.031999999999996</v>
      </c>
      <c r="F84" s="90">
        <v>50.036000000000001</v>
      </c>
      <c r="G84" s="90">
        <v>50.02</v>
      </c>
      <c r="H84" s="90">
        <v>50.036000000000001</v>
      </c>
      <c r="I84" s="90">
        <v>50.036000000000001</v>
      </c>
      <c r="J84" s="90">
        <v>50.008000000000003</v>
      </c>
      <c r="K84" s="90">
        <v>50.042000000000002</v>
      </c>
      <c r="L84" s="90">
        <v>50.070999999999998</v>
      </c>
      <c r="M84" s="90">
        <v>50.107999999999997</v>
      </c>
      <c r="N84" s="90">
        <v>50.009</v>
      </c>
      <c r="O84" s="90">
        <v>50.03</v>
      </c>
      <c r="P84" s="90">
        <v>50.000999999999998</v>
      </c>
      <c r="Q84" s="90">
        <v>50.01</v>
      </c>
      <c r="R84" s="90">
        <v>50.045000000000002</v>
      </c>
      <c r="S84" s="90">
        <v>50.027000000000001</v>
      </c>
      <c r="T84" s="90">
        <v>49.95</v>
      </c>
      <c r="U84" s="90">
        <v>50.04</v>
      </c>
      <c r="V84" s="90">
        <v>50</v>
      </c>
      <c r="W84" s="90">
        <v>49.99</v>
      </c>
      <c r="X84" s="90">
        <v>49.96</v>
      </c>
      <c r="Y84" s="90">
        <v>49.96</v>
      </c>
      <c r="Z84" s="90">
        <v>49.98</v>
      </c>
      <c r="AA84" s="90">
        <v>49.89</v>
      </c>
      <c r="AB84" s="90">
        <v>49.82</v>
      </c>
      <c r="AC84" s="90">
        <v>49.866999999999997</v>
      </c>
      <c r="AD84" s="90">
        <v>49.945999999999998</v>
      </c>
      <c r="AE84" s="90">
        <v>50.008000000000003</v>
      </c>
      <c r="AF84" s="90">
        <v>49.939</v>
      </c>
      <c r="AG84" s="91"/>
      <c r="AH84" s="55">
        <f t="shared" si="22"/>
        <v>50.107999999999997</v>
      </c>
      <c r="AI84" s="56">
        <f t="shared" si="23"/>
        <v>49.82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122</v>
      </c>
      <c r="C85" s="49">
        <v>122.5</v>
      </c>
      <c r="D85" s="49">
        <v>122.9</v>
      </c>
      <c r="E85" s="49">
        <v>124</v>
      </c>
      <c r="F85" s="49">
        <v>123.5</v>
      </c>
      <c r="G85" s="49">
        <v>124.1</v>
      </c>
      <c r="H85" s="49">
        <v>123.7</v>
      </c>
      <c r="I85" s="49">
        <v>123</v>
      </c>
      <c r="J85" s="49">
        <v>123</v>
      </c>
      <c r="K85" s="49">
        <v>124.8</v>
      </c>
      <c r="L85" s="49">
        <v>125.8</v>
      </c>
      <c r="M85" s="49">
        <v>125.1</v>
      </c>
      <c r="N85" s="49">
        <v>122.6</v>
      </c>
      <c r="O85" s="49">
        <v>122.8</v>
      </c>
      <c r="P85" s="49">
        <v>123.8</v>
      </c>
      <c r="Q85" s="49">
        <v>122.8</v>
      </c>
      <c r="R85" s="49">
        <v>121.7</v>
      </c>
      <c r="S85" s="49">
        <v>122.7</v>
      </c>
      <c r="T85" s="49">
        <v>121.8</v>
      </c>
      <c r="U85" s="49">
        <v>121.3</v>
      </c>
      <c r="V85" s="49">
        <v>121.3</v>
      </c>
      <c r="W85" s="49">
        <v>121.3</v>
      </c>
      <c r="X85" s="49">
        <v>125.2</v>
      </c>
      <c r="Y85" s="49">
        <v>125.2</v>
      </c>
      <c r="Z85" s="49">
        <v>125.6</v>
      </c>
      <c r="AA85" s="49">
        <v>124.9</v>
      </c>
      <c r="AB85" s="49">
        <v>125.9</v>
      </c>
      <c r="AC85" s="49">
        <v>123.7</v>
      </c>
      <c r="AD85" s="49">
        <v>123</v>
      </c>
      <c r="AE85" s="49">
        <v>124</v>
      </c>
      <c r="AF85" s="49">
        <v>121.6</v>
      </c>
      <c r="AG85" s="93"/>
      <c r="AH85" s="55">
        <f t="shared" si="22"/>
        <v>125.9</v>
      </c>
      <c r="AI85" s="56">
        <f t="shared" si="23"/>
        <v>121.3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127.5</v>
      </c>
      <c r="C86" s="49">
        <v>127.8</v>
      </c>
      <c r="D86" s="49">
        <v>128.30000000000001</v>
      </c>
      <c r="E86" s="49">
        <v>129</v>
      </c>
      <c r="F86" s="49">
        <v>128.19999999999999</v>
      </c>
      <c r="G86" s="49">
        <v>128.80000000000001</v>
      </c>
      <c r="H86" s="49">
        <v>128.4</v>
      </c>
      <c r="I86" s="49">
        <v>127.2</v>
      </c>
      <c r="J86" s="49">
        <v>127</v>
      </c>
      <c r="K86" s="49">
        <v>128</v>
      </c>
      <c r="L86" s="49">
        <v>128.6</v>
      </c>
      <c r="M86" s="49">
        <v>127.5</v>
      </c>
      <c r="N86" s="49">
        <v>126.2</v>
      </c>
      <c r="O86" s="49">
        <v>126.4</v>
      </c>
      <c r="P86" s="49">
        <v>127.1</v>
      </c>
      <c r="Q86" s="49">
        <v>126.5</v>
      </c>
      <c r="R86" s="49">
        <v>125.8</v>
      </c>
      <c r="S86" s="49">
        <v>126.5</v>
      </c>
      <c r="T86" s="49">
        <v>126.1</v>
      </c>
      <c r="U86" s="49">
        <v>125.6</v>
      </c>
      <c r="V86" s="49">
        <v>125.6</v>
      </c>
      <c r="W86" s="49">
        <v>125.6</v>
      </c>
      <c r="X86" s="49">
        <v>128.80000000000001</v>
      </c>
      <c r="Y86" s="49">
        <v>128.80000000000001</v>
      </c>
      <c r="Z86" s="49">
        <v>129.19999999999999</v>
      </c>
      <c r="AA86" s="49">
        <v>128.6</v>
      </c>
      <c r="AB86" s="49">
        <v>129.4</v>
      </c>
      <c r="AC86" s="49">
        <v>127.5</v>
      </c>
      <c r="AD86" s="49">
        <v>128.1</v>
      </c>
      <c r="AE86" s="49">
        <v>128.6</v>
      </c>
      <c r="AF86" s="49">
        <v>127.1</v>
      </c>
      <c r="AG86" s="93"/>
      <c r="AH86" s="55">
        <f t="shared" si="22"/>
        <v>129.4</v>
      </c>
      <c r="AI86" s="56">
        <f t="shared" si="23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125</v>
      </c>
      <c r="C87" s="49">
        <v>125.2</v>
      </c>
      <c r="D87" s="49">
        <v>124.4</v>
      </c>
      <c r="E87" s="49">
        <v>126.7</v>
      </c>
      <c r="F87" s="49">
        <v>127.5</v>
      </c>
      <c r="G87" s="49">
        <v>127.1</v>
      </c>
      <c r="H87" s="49">
        <v>126.6</v>
      </c>
      <c r="I87" s="49">
        <v>126.4</v>
      </c>
      <c r="J87" s="49">
        <v>126.3</v>
      </c>
      <c r="K87" s="49">
        <v>128.19999999999999</v>
      </c>
      <c r="L87" s="49">
        <v>125.3</v>
      </c>
      <c r="M87" s="49">
        <v>121.1</v>
      </c>
      <c r="N87" s="49">
        <v>123.1</v>
      </c>
      <c r="O87" s="49">
        <v>122.7</v>
      </c>
      <c r="P87" s="49">
        <v>122.9</v>
      </c>
      <c r="Q87" s="49">
        <v>126.2</v>
      </c>
      <c r="R87" s="49">
        <v>124.7</v>
      </c>
      <c r="S87" s="49">
        <v>126.5</v>
      </c>
      <c r="T87" s="49"/>
      <c r="U87" s="49">
        <v>122.5</v>
      </c>
      <c r="V87" s="49">
        <v>122.5</v>
      </c>
      <c r="W87" s="49">
        <v>122.5</v>
      </c>
      <c r="X87" s="49">
        <v>127.6</v>
      </c>
      <c r="Y87" s="49">
        <v>127.6</v>
      </c>
      <c r="Z87" s="49">
        <v>127.6</v>
      </c>
      <c r="AA87" s="49">
        <v>124.2</v>
      </c>
      <c r="AB87" s="49">
        <v>124.4</v>
      </c>
      <c r="AC87" s="49">
        <v>121.4</v>
      </c>
      <c r="AD87" s="49">
        <v>122.7</v>
      </c>
      <c r="AE87" s="49">
        <v>124.7</v>
      </c>
      <c r="AF87" s="49">
        <v>124.4</v>
      </c>
      <c r="AG87" s="93"/>
      <c r="AH87" s="55">
        <f t="shared" si="22"/>
        <v>128.19999999999999</v>
      </c>
      <c r="AI87" s="56">
        <f t="shared" si="23"/>
        <v>121.1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22"/>
        <v>0</v>
      </c>
      <c r="AI88" s="56">
        <f t="shared" si="23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132.19999999999999</v>
      </c>
      <c r="C89" s="95">
        <v>130.19999999999999</v>
      </c>
      <c r="D89" s="95">
        <v>134</v>
      </c>
      <c r="E89" s="95">
        <v>133.6</v>
      </c>
      <c r="F89" s="95">
        <v>130</v>
      </c>
      <c r="G89" s="95">
        <v>131.69999999999999</v>
      </c>
      <c r="H89" s="95">
        <v>133.5</v>
      </c>
      <c r="I89" s="95">
        <v>130.9</v>
      </c>
      <c r="J89" s="95">
        <v>130.1</v>
      </c>
      <c r="K89" s="95">
        <v>132.1</v>
      </c>
      <c r="L89" s="95">
        <v>135.30000000000001</v>
      </c>
      <c r="M89" s="95">
        <v>131.1</v>
      </c>
      <c r="N89" s="95">
        <v>133.6</v>
      </c>
      <c r="O89" s="95">
        <v>133.5</v>
      </c>
      <c r="P89" s="95">
        <v>135.6</v>
      </c>
      <c r="Q89" s="95">
        <v>132.19999999999999</v>
      </c>
      <c r="R89" s="95">
        <v>127.3</v>
      </c>
      <c r="S89" s="95">
        <v>132.6</v>
      </c>
      <c r="T89" s="95">
        <v>132.69999999999999</v>
      </c>
      <c r="U89" s="95"/>
      <c r="V89" s="95"/>
      <c r="W89" s="95"/>
      <c r="X89" s="95">
        <v>132.6</v>
      </c>
      <c r="Y89" s="95">
        <v>132.6</v>
      </c>
      <c r="Z89" s="95">
        <v>132.6</v>
      </c>
      <c r="AA89" s="95">
        <v>134.6</v>
      </c>
      <c r="AB89" s="95">
        <v>132.69999999999999</v>
      </c>
      <c r="AC89" s="95">
        <v>131.1</v>
      </c>
      <c r="AD89" s="95">
        <v>129.80000000000001</v>
      </c>
      <c r="AE89" s="95">
        <v>136.4</v>
      </c>
      <c r="AF89" s="95">
        <v>131.19999999999999</v>
      </c>
      <c r="AG89" s="96"/>
      <c r="AH89" s="55">
        <f t="shared" si="22"/>
        <v>136.4</v>
      </c>
      <c r="AI89" s="56">
        <f t="shared" si="23"/>
        <v>127.3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93"/>
      <c r="AH90" s="55">
        <f t="shared" si="22"/>
        <v>0</v>
      </c>
      <c r="AI90" s="56">
        <f t="shared" si="23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64.5</v>
      </c>
      <c r="C91" s="97">
        <v>64.8</v>
      </c>
      <c r="D91" s="97">
        <v>64.8</v>
      </c>
      <c r="E91" s="97">
        <v>128.80000000000001</v>
      </c>
      <c r="F91" s="97">
        <v>64.900000000000006</v>
      </c>
      <c r="G91" s="97">
        <v>65.099999999999994</v>
      </c>
      <c r="H91" s="97">
        <v>64.8</v>
      </c>
      <c r="I91" s="97">
        <v>64</v>
      </c>
      <c r="J91" s="97">
        <v>64</v>
      </c>
      <c r="K91" s="97">
        <v>64.900000000000006</v>
      </c>
      <c r="L91" s="97">
        <v>64.8</v>
      </c>
      <c r="M91" s="97">
        <v>64.2</v>
      </c>
      <c r="N91" s="97">
        <v>63.7</v>
      </c>
      <c r="O91" s="97">
        <v>63.6</v>
      </c>
      <c r="P91" s="97">
        <v>63.9</v>
      </c>
      <c r="Q91" s="97">
        <v>63.5</v>
      </c>
      <c r="R91" s="97">
        <v>63.4</v>
      </c>
      <c r="S91" s="97">
        <v>63.6</v>
      </c>
      <c r="T91" s="97">
        <v>63.5</v>
      </c>
      <c r="U91" s="97">
        <v>63.1</v>
      </c>
      <c r="V91" s="97">
        <v>63.1</v>
      </c>
      <c r="W91" s="97">
        <v>63.1</v>
      </c>
      <c r="X91" s="97">
        <v>64.7</v>
      </c>
      <c r="Y91" s="97">
        <v>64.7</v>
      </c>
      <c r="Z91" s="97">
        <v>65.400000000000006</v>
      </c>
      <c r="AA91" s="97">
        <v>65.400000000000006</v>
      </c>
      <c r="AB91" s="97">
        <v>65.599999999999994</v>
      </c>
      <c r="AC91" s="97">
        <v>127.5</v>
      </c>
      <c r="AD91" s="97">
        <v>64.8</v>
      </c>
      <c r="AE91" s="97">
        <v>65.2</v>
      </c>
      <c r="AF91" s="97">
        <v>64.2</v>
      </c>
      <c r="AG91" s="98"/>
      <c r="AH91" s="55">
        <f t="shared" si="22"/>
        <v>128.80000000000001</v>
      </c>
      <c r="AI91" s="56">
        <f t="shared" si="23"/>
        <v>63.1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37">SUM(B15,B18,B21:B22,B42,B44:B45,B47,B49,B94:B97,B103,B109,B115,B124,B126,B138,B145,B148:B149,B156,B158,B160,B164:B166,B168:B170,B175,B181:B182,B184:B186,B194,B199)</f>
        <v>148.94000000000003</v>
      </c>
      <c r="C93" s="103">
        <f t="shared" si="37"/>
        <v>99.24</v>
      </c>
      <c r="D93" s="103">
        <f t="shared" si="37"/>
        <v>84.14</v>
      </c>
      <c r="E93" s="103">
        <f t="shared" si="37"/>
        <v>103.24</v>
      </c>
      <c r="F93" s="103">
        <f t="shared" si="37"/>
        <v>89.64</v>
      </c>
      <c r="G93" s="103">
        <f t="shared" si="37"/>
        <v>114.44000000000001</v>
      </c>
      <c r="H93" s="103">
        <f t="shared" si="37"/>
        <v>150.94</v>
      </c>
      <c r="I93" s="103">
        <f t="shared" si="37"/>
        <v>159.93999999999997</v>
      </c>
      <c r="J93" s="103">
        <f t="shared" si="37"/>
        <v>189.04</v>
      </c>
      <c r="K93" s="103">
        <f t="shared" si="37"/>
        <v>239.53999999999996</v>
      </c>
      <c r="L93" s="103">
        <f t="shared" si="37"/>
        <v>251.53999999999996</v>
      </c>
      <c r="M93" s="103">
        <f t="shared" si="37"/>
        <v>240.64</v>
      </c>
      <c r="N93" s="103">
        <f t="shared" si="37"/>
        <v>346.24</v>
      </c>
      <c r="O93" s="103">
        <f t="shared" si="37"/>
        <v>273.54000000000002</v>
      </c>
      <c r="P93" s="103">
        <f t="shared" si="37"/>
        <v>362.74</v>
      </c>
      <c r="Q93" s="103">
        <f t="shared" si="37"/>
        <v>376.64000000000004</v>
      </c>
      <c r="R93" s="103">
        <f t="shared" si="37"/>
        <v>345.34000000000003</v>
      </c>
      <c r="S93" s="103">
        <f t="shared" si="37"/>
        <v>220.53999999999996</v>
      </c>
      <c r="T93" s="103">
        <f t="shared" si="37"/>
        <v>223.93999999999997</v>
      </c>
      <c r="U93" s="103">
        <f t="shared" si="37"/>
        <v>235.73999999999995</v>
      </c>
      <c r="V93" s="103">
        <f t="shared" si="37"/>
        <v>236.73999999999995</v>
      </c>
      <c r="W93" s="103">
        <f t="shared" si="37"/>
        <v>263.74</v>
      </c>
      <c r="X93" s="103">
        <f t="shared" si="37"/>
        <v>250.83999999999995</v>
      </c>
      <c r="Y93" s="103">
        <f t="shared" si="37"/>
        <v>251.83999999999995</v>
      </c>
      <c r="Z93" s="103">
        <f t="shared" si="37"/>
        <v>242.83999999999995</v>
      </c>
      <c r="AA93" s="103">
        <f t="shared" si="37"/>
        <v>258.6400000000001</v>
      </c>
      <c r="AB93" s="103">
        <f t="shared" si="37"/>
        <v>238.93999999999994</v>
      </c>
      <c r="AC93" s="103">
        <f t="shared" si="37"/>
        <v>244.54</v>
      </c>
      <c r="AD93" s="103">
        <f t="shared" si="37"/>
        <v>203.13999999999996</v>
      </c>
      <c r="AE93" s="103">
        <f t="shared" si="37"/>
        <v>151.93999999999997</v>
      </c>
      <c r="AF93" s="103">
        <f t="shared" si="37"/>
        <v>120.83999999999999</v>
      </c>
      <c r="AG93" s="104"/>
      <c r="AH93" s="55">
        <f>MAX(C93:AF93)</f>
        <v>376.64000000000004</v>
      </c>
      <c r="AI93" s="56">
        <f>MIN(C93:AF93)</f>
        <v>84.14</v>
      </c>
    </row>
    <row r="94" spans="1:88" x14ac:dyDescent="0.25">
      <c r="A94" s="105" t="s">
        <v>98</v>
      </c>
      <c r="B94" s="106">
        <v>38.9</v>
      </c>
      <c r="C94" s="106">
        <v>11.2</v>
      </c>
      <c r="D94" s="106">
        <v>17.2</v>
      </c>
      <c r="E94" s="106">
        <v>13</v>
      </c>
      <c r="F94" s="106">
        <v>12.6</v>
      </c>
      <c r="G94" s="106">
        <v>4.3</v>
      </c>
      <c r="H94" s="106">
        <v>9.5</v>
      </c>
      <c r="I94" s="106">
        <v>7.6</v>
      </c>
      <c r="J94" s="106">
        <v>9.4</v>
      </c>
      <c r="K94" s="106">
        <v>5.0999999999999996</v>
      </c>
      <c r="L94" s="106">
        <v>20</v>
      </c>
      <c r="M94" s="106">
        <v>22.9</v>
      </c>
      <c r="N94" s="106">
        <v>28.3</v>
      </c>
      <c r="O94" s="106">
        <v>20.8</v>
      </c>
      <c r="P94" s="106">
        <v>26.6</v>
      </c>
      <c r="Q94" s="106">
        <v>27</v>
      </c>
      <c r="R94" s="106">
        <v>31.7</v>
      </c>
      <c r="S94" s="106">
        <v>34.799999999999997</v>
      </c>
      <c r="T94" s="106">
        <v>22.9</v>
      </c>
      <c r="U94" s="106">
        <v>25</v>
      </c>
      <c r="V94" s="106">
        <v>26</v>
      </c>
      <c r="W94" s="106">
        <v>25</v>
      </c>
      <c r="X94" s="106">
        <v>13</v>
      </c>
      <c r="Y94" s="106">
        <v>14</v>
      </c>
      <c r="Z94" s="106">
        <v>10.6</v>
      </c>
      <c r="AA94" s="106">
        <v>8.9</v>
      </c>
      <c r="AB94" s="106">
        <v>14.6</v>
      </c>
      <c r="AC94" s="106">
        <v>18.399999999999999</v>
      </c>
      <c r="AD94" s="106">
        <v>17.5</v>
      </c>
      <c r="AE94" s="106">
        <v>21.9</v>
      </c>
      <c r="AF94" s="106">
        <v>16.7</v>
      </c>
      <c r="AG94" s="107">
        <v>75</v>
      </c>
      <c r="AH94" s="55">
        <f t="shared" ref="AH94:AH100" si="38">IF(ABS(MAX(C94:AF94))&gt;ABS(MIN(C94:AF94)),MAX(C94:AF94),MIN(C94:AF94))</f>
        <v>34.799999999999997</v>
      </c>
      <c r="AI94" s="108">
        <f t="shared" ref="AI94:AI100" si="39">INDEX($C$9:$AF$9,1,MATCH(AH94,C94:AF94,0))</f>
        <v>0.58333333333333304</v>
      </c>
    </row>
    <row r="95" spans="1:88" x14ac:dyDescent="0.25">
      <c r="A95" s="109" t="s">
        <v>99</v>
      </c>
      <c r="B95" s="110">
        <f>-60.1-78.7</f>
        <v>-138.80000000000001</v>
      </c>
      <c r="C95" s="110">
        <f>-71-81</f>
        <v>-152</v>
      </c>
      <c r="D95" s="110">
        <f>-82.3-83.8</f>
        <v>-166.1</v>
      </c>
      <c r="E95" s="110">
        <f>-63.1-78.6</f>
        <v>-141.69999999999999</v>
      </c>
      <c r="F95" s="110">
        <f>-74-80</f>
        <v>-154</v>
      </c>
      <c r="G95" s="110">
        <f>-60-65</f>
        <v>-125</v>
      </c>
      <c r="H95" s="110">
        <f>-47.4-51.4</f>
        <v>-98.8</v>
      </c>
      <c r="I95" s="110">
        <f>-44-46</f>
        <v>-90</v>
      </c>
      <c r="J95" s="110">
        <f>-36-31</f>
        <v>-67</v>
      </c>
      <c r="K95" s="110">
        <f>-40-49</f>
        <v>-89</v>
      </c>
      <c r="L95" s="110">
        <f>-38-48.5</f>
        <v>-86.5</v>
      </c>
      <c r="M95" s="110">
        <f>-37.9-50.4</f>
        <v>-88.3</v>
      </c>
      <c r="N95" s="110"/>
      <c r="O95" s="110">
        <f>-36.2-47.3</f>
        <v>-83.5</v>
      </c>
      <c r="P95" s="110"/>
      <c r="Q95" s="110"/>
      <c r="R95" s="110"/>
      <c r="S95" s="110">
        <v>-125.7</v>
      </c>
      <c r="T95" s="110">
        <f>-70.4-54.2</f>
        <v>-124.60000000000001</v>
      </c>
      <c r="U95" s="110">
        <f>-63.8-50.1</f>
        <v>-113.9</v>
      </c>
      <c r="V95" s="110">
        <f t="shared" ref="V95" si="40">-63.8-50.1</f>
        <v>-113.9</v>
      </c>
      <c r="W95" s="110">
        <f>-40-46.1</f>
        <v>-86.1</v>
      </c>
      <c r="X95" s="110">
        <f>-56.8-42.7</f>
        <v>-99.5</v>
      </c>
      <c r="Y95" s="110">
        <f t="shared" ref="Y95" si="41">-56.8-42.7</f>
        <v>-99.5</v>
      </c>
      <c r="Z95" s="110">
        <f>-75.3-42.6</f>
        <v>-117.9</v>
      </c>
      <c r="AA95" s="110">
        <f>-72.3-38.3</f>
        <v>-110.6</v>
      </c>
      <c r="AB95" s="110">
        <v>-120.80000000000001</v>
      </c>
      <c r="AC95" s="110">
        <f>-40-50.6</f>
        <v>-90.6</v>
      </c>
      <c r="AD95" s="110">
        <f>-46.2-50.1</f>
        <v>-96.300000000000011</v>
      </c>
      <c r="AE95" s="110">
        <f>-58-63.4</f>
        <v>-121.4</v>
      </c>
      <c r="AF95" s="110">
        <f>-64-68</f>
        <v>-132</v>
      </c>
      <c r="AG95" s="107">
        <v>240</v>
      </c>
      <c r="AH95" s="55">
        <f t="shared" si="38"/>
        <v>-166.1</v>
      </c>
      <c r="AI95" s="108">
        <f t="shared" si="39"/>
        <v>8.3333333333333301E-2</v>
      </c>
    </row>
    <row r="96" spans="1:88" x14ac:dyDescent="0.25">
      <c r="A96" s="109" t="s">
        <v>100</v>
      </c>
      <c r="B96" s="110">
        <v>11.2</v>
      </c>
      <c r="C96" s="110">
        <v>2.8</v>
      </c>
      <c r="D96" s="110">
        <v>-4.3</v>
      </c>
      <c r="E96" s="110">
        <v>-5.4</v>
      </c>
      <c r="F96" s="110">
        <v>-6.3</v>
      </c>
      <c r="G96" s="110">
        <v>-2.2000000000000002</v>
      </c>
      <c r="H96" s="110">
        <v>2.9</v>
      </c>
      <c r="I96" s="110">
        <v>5</v>
      </c>
      <c r="J96" s="110">
        <v>9.3000000000000007</v>
      </c>
      <c r="K96" s="110">
        <v>25.1</v>
      </c>
      <c r="L96" s="110">
        <v>46.1</v>
      </c>
      <c r="M96" s="110">
        <v>45.8</v>
      </c>
      <c r="N96" s="110">
        <v>25.2</v>
      </c>
      <c r="O96" s="110">
        <v>38.299999999999997</v>
      </c>
      <c r="P96" s="110">
        <v>44.3</v>
      </c>
      <c r="Q96" s="110">
        <v>43.3</v>
      </c>
      <c r="R96" s="110">
        <v>36.1</v>
      </c>
      <c r="S96" s="110">
        <v>32.1</v>
      </c>
      <c r="T96" s="110">
        <v>34.6</v>
      </c>
      <c r="U96" s="110">
        <v>29.9</v>
      </c>
      <c r="V96" s="110">
        <v>29.9</v>
      </c>
      <c r="W96" s="110">
        <v>29.2</v>
      </c>
      <c r="X96" s="110">
        <v>29.1</v>
      </c>
      <c r="Y96" s="110">
        <v>29.1</v>
      </c>
      <c r="Z96" s="110">
        <v>46.1</v>
      </c>
      <c r="AA96" s="110">
        <v>49.9</v>
      </c>
      <c r="AB96" s="110">
        <v>48.4</v>
      </c>
      <c r="AC96" s="110">
        <v>24.3</v>
      </c>
      <c r="AD96" s="110">
        <v>44</v>
      </c>
      <c r="AE96" s="110">
        <v>13.5</v>
      </c>
      <c r="AF96" s="110">
        <v>-1.8</v>
      </c>
      <c r="AG96" s="107">
        <v>60</v>
      </c>
      <c r="AH96" s="55">
        <f t="shared" si="38"/>
        <v>49.9</v>
      </c>
      <c r="AI96" s="108">
        <f t="shared" si="39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61</v>
      </c>
      <c r="L97" s="112">
        <v>34.6</v>
      </c>
      <c r="M97" s="112">
        <v>18.2</v>
      </c>
      <c r="N97" s="112">
        <v>50.7</v>
      </c>
      <c r="O97" s="112">
        <v>56.2</v>
      </c>
      <c r="P97" s="112">
        <v>48.6</v>
      </c>
      <c r="Q97" s="112">
        <v>66.7</v>
      </c>
      <c r="R97" s="112">
        <v>41.1</v>
      </c>
      <c r="S97" s="112">
        <v>41.7</v>
      </c>
      <c r="T97" s="112">
        <v>53.4</v>
      </c>
      <c r="U97" s="112">
        <v>57.1</v>
      </c>
      <c r="V97" s="112">
        <v>57.1</v>
      </c>
      <c r="W97" s="112">
        <v>58</v>
      </c>
      <c r="X97" s="112">
        <v>70.599999999999994</v>
      </c>
      <c r="Y97" s="112">
        <v>70.599999999999994</v>
      </c>
      <c r="Z97" s="112">
        <v>66.400000000000006</v>
      </c>
      <c r="AA97" s="112">
        <v>72.8</v>
      </c>
      <c r="AB97" s="112">
        <v>61.2</v>
      </c>
      <c r="AC97" s="112">
        <v>54.5</v>
      </c>
      <c r="AD97" s="112">
        <v>0</v>
      </c>
      <c r="AE97" s="112">
        <v>0</v>
      </c>
      <c r="AF97" s="112">
        <v>0</v>
      </c>
      <c r="AG97" s="113">
        <v>120</v>
      </c>
      <c r="AH97" s="55">
        <f t="shared" si="38"/>
        <v>72.8</v>
      </c>
      <c r="AI97" s="108">
        <f t="shared" si="39"/>
        <v>0.8125</v>
      </c>
    </row>
    <row r="98" spans="1:37" x14ac:dyDescent="0.25">
      <c r="A98" s="111" t="s">
        <v>102</v>
      </c>
      <c r="B98" s="112">
        <v>45.4</v>
      </c>
      <c r="C98" s="112">
        <v>36.6</v>
      </c>
      <c r="D98" s="112">
        <v>27.9</v>
      </c>
      <c r="E98" s="112">
        <v>32.700000000000003</v>
      </c>
      <c r="F98" s="112">
        <v>35.700000000000003</v>
      </c>
      <c r="G98" s="112">
        <v>64</v>
      </c>
      <c r="H98" s="112">
        <v>76.599999999999994</v>
      </c>
      <c r="I98" s="112">
        <v>81</v>
      </c>
      <c r="J98" s="112">
        <v>94</v>
      </c>
      <c r="K98" s="112">
        <v>64</v>
      </c>
      <c r="L98" s="112">
        <v>37</v>
      </c>
      <c r="M98" s="112">
        <v>21.2</v>
      </c>
      <c r="N98" s="112">
        <v>49.4</v>
      </c>
      <c r="O98" s="112">
        <v>55</v>
      </c>
      <c r="P98" s="112">
        <v>43.3</v>
      </c>
      <c r="Q98" s="112">
        <v>57.4</v>
      </c>
      <c r="R98" s="112">
        <v>44.9</v>
      </c>
      <c r="S98" s="112">
        <v>44.8</v>
      </c>
      <c r="T98" s="112">
        <v>57.4</v>
      </c>
      <c r="U98" s="112">
        <v>56</v>
      </c>
      <c r="V98" s="112">
        <v>56</v>
      </c>
      <c r="W98" s="112">
        <v>541</v>
      </c>
      <c r="X98" s="112">
        <v>67.8</v>
      </c>
      <c r="Y98" s="112">
        <v>67.8</v>
      </c>
      <c r="Z98" s="112">
        <v>65.400000000000006</v>
      </c>
      <c r="AA98" s="112">
        <v>69</v>
      </c>
      <c r="AB98" s="112">
        <v>59.9</v>
      </c>
      <c r="AC98" s="112">
        <v>53.4</v>
      </c>
      <c r="AD98" s="112">
        <v>52.9</v>
      </c>
      <c r="AE98" s="112">
        <v>45</v>
      </c>
      <c r="AF98" s="112">
        <v>52</v>
      </c>
      <c r="AG98" s="113"/>
      <c r="AH98" s="55">
        <f t="shared" si="38"/>
        <v>541</v>
      </c>
      <c r="AI98" s="108">
        <f t="shared" si="39"/>
        <v>0.72916666666666663</v>
      </c>
    </row>
    <row r="99" spans="1:37" x14ac:dyDescent="0.25">
      <c r="A99" s="111" t="s">
        <v>253</v>
      </c>
      <c r="B99" s="112">
        <v>63.1</v>
      </c>
      <c r="C99" s="112">
        <v>60.9</v>
      </c>
      <c r="D99" s="112">
        <v>45.9</v>
      </c>
      <c r="E99" s="112">
        <v>59.8</v>
      </c>
      <c r="F99" s="112">
        <v>39.4</v>
      </c>
      <c r="G99" s="112">
        <v>77.599999999999994</v>
      </c>
      <c r="H99" s="112">
        <v>71.5</v>
      </c>
      <c r="I99" s="112">
        <v>75</v>
      </c>
      <c r="J99" s="112">
        <v>72.5</v>
      </c>
      <c r="K99" s="112">
        <v>74</v>
      </c>
      <c r="L99" s="112">
        <v>41.6</v>
      </c>
      <c r="M99" s="112">
        <v>12.9</v>
      </c>
      <c r="N99" s="112">
        <v>3.3</v>
      </c>
      <c r="O99" s="112">
        <v>31.9</v>
      </c>
      <c r="P99" s="112">
        <v>10.5</v>
      </c>
      <c r="Q99" s="112">
        <v>10.8</v>
      </c>
      <c r="R99" s="112">
        <v>-9.8000000000000007</v>
      </c>
      <c r="S99" s="112">
        <v>-24.5</v>
      </c>
      <c r="T99" s="112">
        <v>27.9</v>
      </c>
      <c r="U99" s="112">
        <v>16.899999999999999</v>
      </c>
      <c r="V99" s="112">
        <v>16.899999999999999</v>
      </c>
      <c r="W99" s="112">
        <v>34.299999999999997</v>
      </c>
      <c r="X99" s="112">
        <v>51.6</v>
      </c>
      <c r="Y99" s="112">
        <v>51.6</v>
      </c>
      <c r="Z99" s="112">
        <v>55.5</v>
      </c>
      <c r="AA99" s="112">
        <v>54.1</v>
      </c>
      <c r="AB99" s="112">
        <v>54.1</v>
      </c>
      <c r="AC99" s="112">
        <v>47.6</v>
      </c>
      <c r="AD99" s="112">
        <v>48</v>
      </c>
      <c r="AE99" s="112">
        <v>26</v>
      </c>
      <c r="AF99" s="112">
        <v>45.3</v>
      </c>
      <c r="AG99" s="114"/>
      <c r="AH99" s="55">
        <f t="shared" si="38"/>
        <v>77.599999999999994</v>
      </c>
      <c r="AI99" s="108">
        <f t="shared" si="39"/>
        <v>0.20833333333333301</v>
      </c>
    </row>
    <row r="100" spans="1:37" ht="15.75" thickBot="1" x14ac:dyDescent="0.3">
      <c r="A100" s="115" t="s">
        <v>104</v>
      </c>
      <c r="B100" s="95">
        <v>48.9</v>
      </c>
      <c r="C100" s="95">
        <v>28.8</v>
      </c>
      <c r="D100" s="95">
        <v>29</v>
      </c>
      <c r="E100" s="95">
        <v>24.6</v>
      </c>
      <c r="F100" s="95">
        <v>23.4</v>
      </c>
      <c r="G100" s="95">
        <v>16</v>
      </c>
      <c r="H100" s="95">
        <v>11.5</v>
      </c>
      <c r="I100" s="95">
        <v>6.7</v>
      </c>
      <c r="J100" s="95">
        <v>20</v>
      </c>
      <c r="K100" s="95">
        <v>22.3</v>
      </c>
      <c r="L100" s="95">
        <v>29.5</v>
      </c>
      <c r="M100" s="95">
        <v>31.8</v>
      </c>
      <c r="N100" s="95">
        <v>39.799999999999997</v>
      </c>
      <c r="O100" s="95">
        <v>30.5</v>
      </c>
      <c r="P100" s="95">
        <v>40.9</v>
      </c>
      <c r="Q100" s="95">
        <v>29.5</v>
      </c>
      <c r="R100" s="95">
        <v>25.4</v>
      </c>
      <c r="S100" s="95">
        <v>29</v>
      </c>
      <c r="T100" s="95">
        <v>27.6</v>
      </c>
      <c r="U100" s="95">
        <v>39.299999999999997</v>
      </c>
      <c r="V100" s="95">
        <v>39.299999999999997</v>
      </c>
      <c r="W100" s="95">
        <v>28.5</v>
      </c>
      <c r="X100" s="95">
        <v>28.1</v>
      </c>
      <c r="Y100" s="95">
        <v>28.1</v>
      </c>
      <c r="Z100" s="95">
        <v>39</v>
      </c>
      <c r="AA100" s="95">
        <v>46.6</v>
      </c>
      <c r="AB100" s="95">
        <v>56.5</v>
      </c>
      <c r="AC100" s="95">
        <v>47.2</v>
      </c>
      <c r="AD100" s="95">
        <v>44</v>
      </c>
      <c r="AE100" s="95">
        <v>43</v>
      </c>
      <c r="AF100" s="95">
        <v>40.1</v>
      </c>
      <c r="AG100" s="114"/>
      <c r="AH100" s="55">
        <f t="shared" si="38"/>
        <v>56.5</v>
      </c>
      <c r="AI100" s="108">
        <f t="shared" si="39"/>
        <v>0.83333333333333337</v>
      </c>
    </row>
    <row r="101" spans="1:37" ht="15.75" thickBot="1" x14ac:dyDescent="0.3">
      <c r="A101" s="116" t="s">
        <v>105</v>
      </c>
      <c r="B101" s="117" t="s">
        <v>258</v>
      </c>
      <c r="C101" s="117"/>
      <c r="D101" s="117"/>
      <c r="E101" s="117"/>
      <c r="F101" s="117"/>
      <c r="G101" s="117"/>
      <c r="H101" s="117"/>
      <c r="I101" s="117"/>
      <c r="J101" s="117"/>
      <c r="K101" s="117"/>
      <c r="L101" s="117">
        <f>4</f>
        <v>4</v>
      </c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42">AF102</f>
        <v>9.9</v>
      </c>
      <c r="C102" s="54">
        <v>9.9</v>
      </c>
      <c r="D102" s="121">
        <f t="shared" ref="D102:S107" si="43">C102</f>
        <v>9.9</v>
      </c>
      <c r="E102" s="121">
        <f t="shared" si="43"/>
        <v>9.9</v>
      </c>
      <c r="F102" s="121">
        <f t="shared" si="43"/>
        <v>9.9</v>
      </c>
      <c r="G102" s="121">
        <f t="shared" si="43"/>
        <v>9.9</v>
      </c>
      <c r="H102" s="121">
        <f t="shared" si="43"/>
        <v>9.9</v>
      </c>
      <c r="I102" s="121">
        <f t="shared" si="43"/>
        <v>9.9</v>
      </c>
      <c r="J102" s="121">
        <f t="shared" si="43"/>
        <v>9.9</v>
      </c>
      <c r="K102" s="121">
        <f t="shared" si="43"/>
        <v>9.9</v>
      </c>
      <c r="L102" s="121">
        <f t="shared" si="43"/>
        <v>9.9</v>
      </c>
      <c r="M102" s="121">
        <f t="shared" si="43"/>
        <v>9.9</v>
      </c>
      <c r="N102" s="121">
        <f t="shared" si="43"/>
        <v>9.9</v>
      </c>
      <c r="O102" s="121">
        <f t="shared" si="43"/>
        <v>9.9</v>
      </c>
      <c r="P102" s="121">
        <f t="shared" si="43"/>
        <v>9.9</v>
      </c>
      <c r="Q102" s="121">
        <f t="shared" si="43"/>
        <v>9.9</v>
      </c>
      <c r="R102" s="121">
        <f t="shared" si="43"/>
        <v>9.9</v>
      </c>
      <c r="S102" s="121">
        <f t="shared" si="43"/>
        <v>9.9</v>
      </c>
      <c r="T102" s="121">
        <f t="shared" ref="T102:AF107" si="44">S102</f>
        <v>9.9</v>
      </c>
      <c r="U102" s="121">
        <f t="shared" si="44"/>
        <v>9.9</v>
      </c>
      <c r="V102" s="121">
        <f t="shared" si="44"/>
        <v>9.9</v>
      </c>
      <c r="W102" s="121">
        <f t="shared" si="44"/>
        <v>9.9</v>
      </c>
      <c r="X102" s="121">
        <f t="shared" si="44"/>
        <v>9.9</v>
      </c>
      <c r="Y102" s="121">
        <f t="shared" si="44"/>
        <v>9.9</v>
      </c>
      <c r="Z102" s="121">
        <f t="shared" si="44"/>
        <v>9.9</v>
      </c>
      <c r="AA102" s="121">
        <f t="shared" si="44"/>
        <v>9.9</v>
      </c>
      <c r="AB102" s="121">
        <f t="shared" si="44"/>
        <v>9.9</v>
      </c>
      <c r="AC102" s="121">
        <f t="shared" si="44"/>
        <v>9.9</v>
      </c>
      <c r="AD102" s="121">
        <f t="shared" si="44"/>
        <v>9.9</v>
      </c>
      <c r="AE102" s="121">
        <f t="shared" si="44"/>
        <v>9.9</v>
      </c>
      <c r="AF102" s="121">
        <f t="shared" si="44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42"/>
        <v>9.6</v>
      </c>
      <c r="C103" s="124">
        <v>9.6</v>
      </c>
      <c r="D103" s="123">
        <f t="shared" si="43"/>
        <v>9.6</v>
      </c>
      <c r="E103" s="123">
        <f t="shared" si="43"/>
        <v>9.6</v>
      </c>
      <c r="F103" s="123">
        <f t="shared" si="43"/>
        <v>9.6</v>
      </c>
      <c r="G103" s="123">
        <f t="shared" si="43"/>
        <v>9.6</v>
      </c>
      <c r="H103" s="123">
        <f t="shared" si="43"/>
        <v>9.6</v>
      </c>
      <c r="I103" s="123">
        <f t="shared" si="43"/>
        <v>9.6</v>
      </c>
      <c r="J103" s="123">
        <f t="shared" si="43"/>
        <v>9.6</v>
      </c>
      <c r="K103" s="123">
        <f t="shared" si="43"/>
        <v>9.6</v>
      </c>
      <c r="L103" s="123">
        <f t="shared" si="43"/>
        <v>9.6</v>
      </c>
      <c r="M103" s="123">
        <f t="shared" si="43"/>
        <v>9.6</v>
      </c>
      <c r="N103" s="123">
        <f t="shared" si="43"/>
        <v>9.6</v>
      </c>
      <c r="O103" s="123">
        <f t="shared" si="43"/>
        <v>9.6</v>
      </c>
      <c r="P103" s="123">
        <f t="shared" si="43"/>
        <v>9.6</v>
      </c>
      <c r="Q103" s="123">
        <f t="shared" si="43"/>
        <v>9.6</v>
      </c>
      <c r="R103" s="123">
        <f t="shared" si="43"/>
        <v>9.6</v>
      </c>
      <c r="S103" s="123">
        <f t="shared" si="43"/>
        <v>9.6</v>
      </c>
      <c r="T103" s="123">
        <f t="shared" si="44"/>
        <v>9.6</v>
      </c>
      <c r="U103" s="123">
        <f t="shared" si="44"/>
        <v>9.6</v>
      </c>
      <c r="V103" s="123">
        <f t="shared" si="44"/>
        <v>9.6</v>
      </c>
      <c r="W103" s="123">
        <f t="shared" si="44"/>
        <v>9.6</v>
      </c>
      <c r="X103" s="123">
        <f t="shared" si="44"/>
        <v>9.6</v>
      </c>
      <c r="Y103" s="123">
        <f t="shared" si="44"/>
        <v>9.6</v>
      </c>
      <c r="Z103" s="123">
        <f t="shared" si="44"/>
        <v>9.6</v>
      </c>
      <c r="AA103" s="123">
        <f t="shared" si="44"/>
        <v>9.6</v>
      </c>
      <c r="AB103" s="123">
        <f t="shared" si="44"/>
        <v>9.6</v>
      </c>
      <c r="AC103" s="123">
        <f t="shared" si="44"/>
        <v>9.6</v>
      </c>
      <c r="AD103" s="123">
        <f t="shared" si="44"/>
        <v>9.6</v>
      </c>
      <c r="AE103" s="123">
        <f t="shared" si="44"/>
        <v>9.6</v>
      </c>
      <c r="AF103" s="123">
        <f t="shared" si="44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42"/>
        <v>9.98</v>
      </c>
      <c r="C104" s="124">
        <v>9.98</v>
      </c>
      <c r="D104" s="123">
        <f t="shared" si="43"/>
        <v>9.98</v>
      </c>
      <c r="E104" s="123">
        <f t="shared" si="43"/>
        <v>9.98</v>
      </c>
      <c r="F104" s="123">
        <f t="shared" si="43"/>
        <v>9.98</v>
      </c>
      <c r="G104" s="123">
        <f t="shared" si="43"/>
        <v>9.98</v>
      </c>
      <c r="H104" s="123">
        <f t="shared" si="43"/>
        <v>9.98</v>
      </c>
      <c r="I104" s="123">
        <f t="shared" si="43"/>
        <v>9.98</v>
      </c>
      <c r="J104" s="123">
        <f t="shared" si="43"/>
        <v>9.98</v>
      </c>
      <c r="K104" s="123">
        <f t="shared" si="43"/>
        <v>9.98</v>
      </c>
      <c r="L104" s="123">
        <f t="shared" si="43"/>
        <v>9.98</v>
      </c>
      <c r="M104" s="123">
        <f t="shared" si="43"/>
        <v>9.98</v>
      </c>
      <c r="N104" s="123">
        <f t="shared" si="43"/>
        <v>9.98</v>
      </c>
      <c r="O104" s="123">
        <f t="shared" si="43"/>
        <v>9.98</v>
      </c>
      <c r="P104" s="123">
        <f t="shared" si="43"/>
        <v>9.98</v>
      </c>
      <c r="Q104" s="123">
        <f t="shared" si="43"/>
        <v>9.98</v>
      </c>
      <c r="R104" s="123">
        <f t="shared" si="43"/>
        <v>9.98</v>
      </c>
      <c r="S104" s="123">
        <f t="shared" si="43"/>
        <v>9.98</v>
      </c>
      <c r="T104" s="123">
        <f t="shared" si="44"/>
        <v>9.98</v>
      </c>
      <c r="U104" s="123">
        <f t="shared" si="44"/>
        <v>9.98</v>
      </c>
      <c r="V104" s="123">
        <f t="shared" si="44"/>
        <v>9.98</v>
      </c>
      <c r="W104" s="123">
        <f t="shared" si="44"/>
        <v>9.98</v>
      </c>
      <c r="X104" s="123">
        <f t="shared" si="44"/>
        <v>9.98</v>
      </c>
      <c r="Y104" s="123">
        <f t="shared" si="44"/>
        <v>9.98</v>
      </c>
      <c r="Z104" s="123">
        <f t="shared" si="44"/>
        <v>9.98</v>
      </c>
      <c r="AA104" s="123">
        <f t="shared" si="44"/>
        <v>9.98</v>
      </c>
      <c r="AB104" s="123">
        <f t="shared" si="44"/>
        <v>9.98</v>
      </c>
      <c r="AC104" s="123">
        <f t="shared" si="44"/>
        <v>9.98</v>
      </c>
      <c r="AD104" s="123">
        <f t="shared" si="44"/>
        <v>9.98</v>
      </c>
      <c r="AE104" s="123">
        <f t="shared" si="44"/>
        <v>9.98</v>
      </c>
      <c r="AF104" s="123">
        <f t="shared" si="44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42"/>
        <v>9.1</v>
      </c>
      <c r="C105" s="124">
        <v>9.1</v>
      </c>
      <c r="D105" s="123">
        <f t="shared" si="43"/>
        <v>9.1</v>
      </c>
      <c r="E105" s="123">
        <f t="shared" si="43"/>
        <v>9.1</v>
      </c>
      <c r="F105" s="123">
        <f t="shared" si="43"/>
        <v>9.1</v>
      </c>
      <c r="G105" s="123">
        <f t="shared" si="43"/>
        <v>9.1</v>
      </c>
      <c r="H105" s="123">
        <f t="shared" si="43"/>
        <v>9.1</v>
      </c>
      <c r="I105" s="123">
        <f t="shared" si="43"/>
        <v>9.1</v>
      </c>
      <c r="J105" s="123">
        <f t="shared" si="43"/>
        <v>9.1</v>
      </c>
      <c r="K105" s="123">
        <f t="shared" si="43"/>
        <v>9.1</v>
      </c>
      <c r="L105" s="123">
        <f t="shared" si="43"/>
        <v>9.1</v>
      </c>
      <c r="M105" s="123">
        <f t="shared" si="43"/>
        <v>9.1</v>
      </c>
      <c r="N105" s="123">
        <f t="shared" si="43"/>
        <v>9.1</v>
      </c>
      <c r="O105" s="123">
        <f t="shared" si="43"/>
        <v>9.1</v>
      </c>
      <c r="P105" s="123">
        <f t="shared" si="43"/>
        <v>9.1</v>
      </c>
      <c r="Q105" s="123">
        <f t="shared" si="43"/>
        <v>9.1</v>
      </c>
      <c r="R105" s="123">
        <f t="shared" si="43"/>
        <v>9.1</v>
      </c>
      <c r="S105" s="123">
        <f t="shared" si="43"/>
        <v>9.1</v>
      </c>
      <c r="T105" s="123">
        <f t="shared" si="44"/>
        <v>9.1</v>
      </c>
      <c r="U105" s="123">
        <f t="shared" si="44"/>
        <v>9.1</v>
      </c>
      <c r="V105" s="123">
        <f t="shared" si="44"/>
        <v>9.1</v>
      </c>
      <c r="W105" s="123">
        <f t="shared" si="44"/>
        <v>9.1</v>
      </c>
      <c r="X105" s="123">
        <f t="shared" si="44"/>
        <v>9.1</v>
      </c>
      <c r="Y105" s="123">
        <f t="shared" si="44"/>
        <v>9.1</v>
      </c>
      <c r="Z105" s="123">
        <f t="shared" si="44"/>
        <v>9.1</v>
      </c>
      <c r="AA105" s="123">
        <f t="shared" si="44"/>
        <v>9.1</v>
      </c>
      <c r="AB105" s="123">
        <f t="shared" si="44"/>
        <v>9.1</v>
      </c>
      <c r="AC105" s="123">
        <f t="shared" si="44"/>
        <v>9.1</v>
      </c>
      <c r="AD105" s="123">
        <f t="shared" si="44"/>
        <v>9.1</v>
      </c>
      <c r="AE105" s="123">
        <f t="shared" si="44"/>
        <v>9.1</v>
      </c>
      <c r="AF105" s="123">
        <f t="shared" si="44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42"/>
        <v>9.18</v>
      </c>
      <c r="C106" s="124">
        <v>9.18</v>
      </c>
      <c r="D106" s="123">
        <f t="shared" si="43"/>
        <v>9.18</v>
      </c>
      <c r="E106" s="123">
        <f t="shared" si="43"/>
        <v>9.18</v>
      </c>
      <c r="F106" s="123">
        <f t="shared" si="43"/>
        <v>9.18</v>
      </c>
      <c r="G106" s="123">
        <f t="shared" si="43"/>
        <v>9.18</v>
      </c>
      <c r="H106" s="123">
        <f t="shared" si="43"/>
        <v>9.18</v>
      </c>
      <c r="I106" s="123">
        <f t="shared" si="43"/>
        <v>9.18</v>
      </c>
      <c r="J106" s="123">
        <f t="shared" si="43"/>
        <v>9.18</v>
      </c>
      <c r="K106" s="123">
        <f t="shared" si="43"/>
        <v>9.18</v>
      </c>
      <c r="L106" s="123">
        <f t="shared" si="43"/>
        <v>9.18</v>
      </c>
      <c r="M106" s="123">
        <f t="shared" si="43"/>
        <v>9.18</v>
      </c>
      <c r="N106" s="123">
        <f t="shared" si="43"/>
        <v>9.18</v>
      </c>
      <c r="O106" s="123">
        <f t="shared" si="43"/>
        <v>9.18</v>
      </c>
      <c r="P106" s="123">
        <f t="shared" si="43"/>
        <v>9.18</v>
      </c>
      <c r="Q106" s="123">
        <f t="shared" si="43"/>
        <v>9.18</v>
      </c>
      <c r="R106" s="123">
        <f t="shared" si="43"/>
        <v>9.18</v>
      </c>
      <c r="S106" s="123">
        <f t="shared" si="43"/>
        <v>9.18</v>
      </c>
      <c r="T106" s="123">
        <f t="shared" si="44"/>
        <v>9.18</v>
      </c>
      <c r="U106" s="123">
        <f t="shared" si="44"/>
        <v>9.18</v>
      </c>
      <c r="V106" s="123">
        <f t="shared" si="44"/>
        <v>9.18</v>
      </c>
      <c r="W106" s="123">
        <f t="shared" si="44"/>
        <v>9.18</v>
      </c>
      <c r="X106" s="123">
        <f t="shared" si="44"/>
        <v>9.18</v>
      </c>
      <c r="Y106" s="123">
        <f t="shared" si="44"/>
        <v>9.18</v>
      </c>
      <c r="Z106" s="123">
        <f t="shared" si="44"/>
        <v>9.18</v>
      </c>
      <c r="AA106" s="123">
        <f t="shared" si="44"/>
        <v>9.18</v>
      </c>
      <c r="AB106" s="123">
        <f t="shared" si="44"/>
        <v>9.18</v>
      </c>
      <c r="AC106" s="123">
        <f t="shared" si="44"/>
        <v>9.18</v>
      </c>
      <c r="AD106" s="123">
        <f t="shared" si="44"/>
        <v>9.18</v>
      </c>
      <c r="AE106" s="123">
        <f t="shared" si="44"/>
        <v>9.18</v>
      </c>
      <c r="AF106" s="123">
        <f t="shared" si="44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42"/>
        <v>7</v>
      </c>
      <c r="C107" s="124">
        <v>7</v>
      </c>
      <c r="D107" s="123">
        <f t="shared" si="43"/>
        <v>7</v>
      </c>
      <c r="E107" s="123">
        <f t="shared" si="43"/>
        <v>7</v>
      </c>
      <c r="F107" s="123">
        <f t="shared" si="43"/>
        <v>7</v>
      </c>
      <c r="G107" s="123">
        <f t="shared" si="43"/>
        <v>7</v>
      </c>
      <c r="H107" s="123">
        <f t="shared" si="43"/>
        <v>7</v>
      </c>
      <c r="I107" s="123">
        <f t="shared" si="43"/>
        <v>7</v>
      </c>
      <c r="J107" s="123">
        <f t="shared" si="43"/>
        <v>7</v>
      </c>
      <c r="K107" s="123">
        <f t="shared" si="43"/>
        <v>7</v>
      </c>
      <c r="L107" s="123">
        <f t="shared" si="43"/>
        <v>7</v>
      </c>
      <c r="M107" s="123">
        <f t="shared" si="43"/>
        <v>7</v>
      </c>
      <c r="N107" s="123">
        <f t="shared" si="43"/>
        <v>7</v>
      </c>
      <c r="O107" s="123">
        <f t="shared" si="43"/>
        <v>7</v>
      </c>
      <c r="P107" s="123">
        <f t="shared" si="43"/>
        <v>7</v>
      </c>
      <c r="Q107" s="123">
        <f t="shared" si="43"/>
        <v>7</v>
      </c>
      <c r="R107" s="123">
        <f t="shared" si="43"/>
        <v>7</v>
      </c>
      <c r="S107" s="123">
        <f t="shared" si="43"/>
        <v>7</v>
      </c>
      <c r="T107" s="123">
        <f t="shared" si="44"/>
        <v>7</v>
      </c>
      <c r="U107" s="123">
        <f t="shared" si="44"/>
        <v>7</v>
      </c>
      <c r="V107" s="123">
        <f t="shared" si="44"/>
        <v>7</v>
      </c>
      <c r="W107" s="123">
        <f t="shared" si="44"/>
        <v>7</v>
      </c>
      <c r="X107" s="123">
        <f t="shared" si="44"/>
        <v>7</v>
      </c>
      <c r="Y107" s="123">
        <f t="shared" si="44"/>
        <v>7</v>
      </c>
      <c r="Z107" s="123">
        <f t="shared" si="44"/>
        <v>7</v>
      </c>
      <c r="AA107" s="123">
        <f t="shared" si="44"/>
        <v>7</v>
      </c>
      <c r="AB107" s="123">
        <f t="shared" si="44"/>
        <v>7</v>
      </c>
      <c r="AC107" s="123">
        <f t="shared" si="44"/>
        <v>7</v>
      </c>
      <c r="AD107" s="123">
        <f t="shared" si="44"/>
        <v>7</v>
      </c>
      <c r="AE107" s="123">
        <f t="shared" si="44"/>
        <v>7</v>
      </c>
      <c r="AF107" s="123">
        <f t="shared" si="44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5">C109</f>
        <v>2.25</v>
      </c>
      <c r="E109" s="123">
        <f t="shared" si="45"/>
        <v>2.25</v>
      </c>
      <c r="F109" s="123">
        <f t="shared" si="45"/>
        <v>2.25</v>
      </c>
      <c r="G109" s="123">
        <f t="shared" si="45"/>
        <v>2.25</v>
      </c>
      <c r="H109" s="123">
        <f t="shared" si="45"/>
        <v>2.25</v>
      </c>
      <c r="I109" s="123">
        <f t="shared" si="45"/>
        <v>2.25</v>
      </c>
      <c r="J109" s="123">
        <f t="shared" si="45"/>
        <v>2.25</v>
      </c>
      <c r="K109" s="123">
        <f t="shared" si="45"/>
        <v>2.25</v>
      </c>
      <c r="L109" s="123">
        <f t="shared" si="45"/>
        <v>2.25</v>
      </c>
      <c r="M109" s="123">
        <f t="shared" si="45"/>
        <v>2.25</v>
      </c>
      <c r="N109" s="123">
        <f t="shared" si="45"/>
        <v>2.25</v>
      </c>
      <c r="O109" s="123">
        <f t="shared" si="45"/>
        <v>2.25</v>
      </c>
      <c r="P109" s="123">
        <f t="shared" si="45"/>
        <v>2.25</v>
      </c>
      <c r="Q109" s="123">
        <f t="shared" si="45"/>
        <v>2.25</v>
      </c>
      <c r="R109" s="123">
        <f t="shared" si="45"/>
        <v>2.25</v>
      </c>
      <c r="S109" s="123">
        <f t="shared" si="45"/>
        <v>2.25</v>
      </c>
      <c r="T109" s="123">
        <f t="shared" ref="T109:AF110" si="46">S109</f>
        <v>2.25</v>
      </c>
      <c r="U109" s="123">
        <f t="shared" si="46"/>
        <v>2.25</v>
      </c>
      <c r="V109" s="123">
        <f t="shared" si="46"/>
        <v>2.25</v>
      </c>
      <c r="W109" s="123">
        <f t="shared" si="46"/>
        <v>2.25</v>
      </c>
      <c r="X109" s="123">
        <f t="shared" si="46"/>
        <v>2.25</v>
      </c>
      <c r="Y109" s="123">
        <f t="shared" si="46"/>
        <v>2.25</v>
      </c>
      <c r="Z109" s="123">
        <f t="shared" si="46"/>
        <v>2.25</v>
      </c>
      <c r="AA109" s="123">
        <f t="shared" si="46"/>
        <v>2.25</v>
      </c>
      <c r="AB109" s="123">
        <f t="shared" si="46"/>
        <v>2.25</v>
      </c>
      <c r="AC109" s="123">
        <f t="shared" si="46"/>
        <v>2.25</v>
      </c>
      <c r="AD109" s="123">
        <f t="shared" si="46"/>
        <v>2.25</v>
      </c>
      <c r="AE109" s="123">
        <f t="shared" si="46"/>
        <v>2.25</v>
      </c>
      <c r="AF109" s="123">
        <f t="shared" si="46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5"/>
        <v>1.64</v>
      </c>
      <c r="E110" s="123">
        <f t="shared" si="45"/>
        <v>1.64</v>
      </c>
      <c r="F110" s="123">
        <f t="shared" si="45"/>
        <v>1.64</v>
      </c>
      <c r="G110" s="123">
        <f t="shared" si="45"/>
        <v>1.64</v>
      </c>
      <c r="H110" s="123">
        <f t="shared" si="45"/>
        <v>1.64</v>
      </c>
      <c r="I110" s="123">
        <f t="shared" si="45"/>
        <v>1.64</v>
      </c>
      <c r="J110" s="123">
        <f t="shared" si="45"/>
        <v>1.64</v>
      </c>
      <c r="K110" s="123">
        <f t="shared" si="45"/>
        <v>1.64</v>
      </c>
      <c r="L110" s="123">
        <f t="shared" si="45"/>
        <v>1.64</v>
      </c>
      <c r="M110" s="123">
        <f t="shared" si="45"/>
        <v>1.64</v>
      </c>
      <c r="N110" s="123">
        <f t="shared" si="45"/>
        <v>1.64</v>
      </c>
      <c r="O110" s="123">
        <f t="shared" si="45"/>
        <v>1.64</v>
      </c>
      <c r="P110" s="123">
        <f t="shared" si="45"/>
        <v>1.64</v>
      </c>
      <c r="Q110" s="123">
        <f t="shared" si="45"/>
        <v>1.64</v>
      </c>
      <c r="R110" s="123">
        <f t="shared" si="45"/>
        <v>1.64</v>
      </c>
      <c r="S110" s="123">
        <f t="shared" si="45"/>
        <v>1.64</v>
      </c>
      <c r="T110" s="123">
        <f t="shared" si="46"/>
        <v>1.64</v>
      </c>
      <c r="U110" s="123">
        <f t="shared" si="46"/>
        <v>1.64</v>
      </c>
      <c r="V110" s="123">
        <f t="shared" si="46"/>
        <v>1.64</v>
      </c>
      <c r="W110" s="123">
        <f t="shared" si="46"/>
        <v>1.64</v>
      </c>
      <c r="X110" s="123">
        <f t="shared" si="46"/>
        <v>1.64</v>
      </c>
      <c r="Y110" s="123">
        <f t="shared" si="46"/>
        <v>1.64</v>
      </c>
      <c r="Z110" s="123">
        <f t="shared" si="46"/>
        <v>1.64</v>
      </c>
      <c r="AA110" s="123">
        <f t="shared" si="46"/>
        <v>1.64</v>
      </c>
      <c r="AB110" s="123">
        <f t="shared" si="46"/>
        <v>1.64</v>
      </c>
      <c r="AC110" s="123">
        <f t="shared" si="46"/>
        <v>1.64</v>
      </c>
      <c r="AD110" s="123">
        <f t="shared" si="46"/>
        <v>1.64</v>
      </c>
      <c r="AE110" s="123">
        <f t="shared" si="46"/>
        <v>1.64</v>
      </c>
      <c r="AF110" s="123">
        <f t="shared" si="46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7">AF112</f>
        <v>1.62</v>
      </c>
      <c r="C112" s="124">
        <v>1.62</v>
      </c>
      <c r="D112" s="123">
        <f t="shared" ref="D112:S119" si="48">C112</f>
        <v>1.62</v>
      </c>
      <c r="E112" s="123">
        <f t="shared" si="48"/>
        <v>1.62</v>
      </c>
      <c r="F112" s="123">
        <f t="shared" si="48"/>
        <v>1.62</v>
      </c>
      <c r="G112" s="123">
        <f t="shared" si="48"/>
        <v>1.62</v>
      </c>
      <c r="H112" s="123">
        <f t="shared" si="48"/>
        <v>1.62</v>
      </c>
      <c r="I112" s="123">
        <f t="shared" si="48"/>
        <v>1.62</v>
      </c>
      <c r="J112" s="123">
        <f t="shared" si="48"/>
        <v>1.62</v>
      </c>
      <c r="K112" s="123">
        <f t="shared" si="48"/>
        <v>1.62</v>
      </c>
      <c r="L112" s="123">
        <f t="shared" si="48"/>
        <v>1.62</v>
      </c>
      <c r="M112" s="123">
        <f t="shared" si="48"/>
        <v>1.62</v>
      </c>
      <c r="N112" s="123">
        <f t="shared" si="48"/>
        <v>1.62</v>
      </c>
      <c r="O112" s="123">
        <f t="shared" si="48"/>
        <v>1.62</v>
      </c>
      <c r="P112" s="123">
        <f t="shared" si="48"/>
        <v>1.62</v>
      </c>
      <c r="Q112" s="123">
        <f t="shared" si="48"/>
        <v>1.62</v>
      </c>
      <c r="R112" s="123">
        <f t="shared" si="48"/>
        <v>1.62</v>
      </c>
      <c r="S112" s="123">
        <f t="shared" si="48"/>
        <v>1.62</v>
      </c>
      <c r="T112" s="123">
        <f t="shared" ref="T112:AF127" si="49">S112</f>
        <v>1.62</v>
      </c>
      <c r="U112" s="123">
        <f t="shared" si="49"/>
        <v>1.62</v>
      </c>
      <c r="V112" s="123">
        <f t="shared" si="49"/>
        <v>1.62</v>
      </c>
      <c r="W112" s="123">
        <f t="shared" si="49"/>
        <v>1.62</v>
      </c>
      <c r="X112" s="123">
        <f t="shared" si="49"/>
        <v>1.62</v>
      </c>
      <c r="Y112" s="123">
        <f t="shared" si="49"/>
        <v>1.62</v>
      </c>
      <c r="Z112" s="123">
        <f t="shared" si="49"/>
        <v>1.62</v>
      </c>
      <c r="AA112" s="123">
        <f t="shared" si="49"/>
        <v>1.62</v>
      </c>
      <c r="AB112" s="123">
        <f t="shared" si="49"/>
        <v>1.62</v>
      </c>
      <c r="AC112" s="123">
        <f t="shared" si="49"/>
        <v>1.62</v>
      </c>
      <c r="AD112" s="123">
        <f t="shared" si="49"/>
        <v>1.62</v>
      </c>
      <c r="AE112" s="123">
        <f t="shared" si="49"/>
        <v>1.62</v>
      </c>
      <c r="AF112" s="123">
        <f t="shared" si="49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7"/>
        <v>8.36</v>
      </c>
      <c r="C113" s="124">
        <v>8.36</v>
      </c>
      <c r="D113" s="123">
        <f t="shared" si="48"/>
        <v>8.36</v>
      </c>
      <c r="E113" s="123">
        <f t="shared" si="48"/>
        <v>8.36</v>
      </c>
      <c r="F113" s="123">
        <f t="shared" si="48"/>
        <v>8.36</v>
      </c>
      <c r="G113" s="123">
        <f t="shared" si="48"/>
        <v>8.36</v>
      </c>
      <c r="H113" s="123">
        <f t="shared" si="48"/>
        <v>8.36</v>
      </c>
      <c r="I113" s="123">
        <f t="shared" si="48"/>
        <v>8.36</v>
      </c>
      <c r="J113" s="123">
        <f t="shared" si="48"/>
        <v>8.36</v>
      </c>
      <c r="K113" s="123">
        <f t="shared" si="48"/>
        <v>8.36</v>
      </c>
      <c r="L113" s="123">
        <f t="shared" si="48"/>
        <v>8.36</v>
      </c>
      <c r="M113" s="123">
        <f t="shared" si="48"/>
        <v>8.36</v>
      </c>
      <c r="N113" s="123">
        <f t="shared" si="48"/>
        <v>8.36</v>
      </c>
      <c r="O113" s="123">
        <f t="shared" si="48"/>
        <v>8.36</v>
      </c>
      <c r="P113" s="123">
        <f t="shared" si="48"/>
        <v>8.36</v>
      </c>
      <c r="Q113" s="123">
        <f t="shared" si="48"/>
        <v>8.36</v>
      </c>
      <c r="R113" s="123">
        <f t="shared" si="48"/>
        <v>8.36</v>
      </c>
      <c r="S113" s="123">
        <f t="shared" si="48"/>
        <v>8.36</v>
      </c>
      <c r="T113" s="123">
        <f t="shared" si="49"/>
        <v>8.36</v>
      </c>
      <c r="U113" s="123">
        <f t="shared" si="49"/>
        <v>8.36</v>
      </c>
      <c r="V113" s="123">
        <f t="shared" si="49"/>
        <v>8.36</v>
      </c>
      <c r="W113" s="123">
        <f t="shared" si="49"/>
        <v>8.36</v>
      </c>
      <c r="X113" s="123">
        <f t="shared" si="49"/>
        <v>8.36</v>
      </c>
      <c r="Y113" s="123">
        <f t="shared" si="49"/>
        <v>8.36</v>
      </c>
      <c r="Z113" s="123">
        <f t="shared" si="49"/>
        <v>8.36</v>
      </c>
      <c r="AA113" s="123">
        <f t="shared" si="49"/>
        <v>8.36</v>
      </c>
      <c r="AB113" s="123">
        <f t="shared" si="49"/>
        <v>8.36</v>
      </c>
      <c r="AC113" s="123">
        <f t="shared" si="49"/>
        <v>8.36</v>
      </c>
      <c r="AD113" s="123">
        <f t="shared" si="49"/>
        <v>8.36</v>
      </c>
      <c r="AE113" s="123">
        <f t="shared" si="49"/>
        <v>8.36</v>
      </c>
      <c r="AF113" s="123">
        <f t="shared" si="49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7"/>
        <v>5.4</v>
      </c>
      <c r="C114" s="124">
        <v>8</v>
      </c>
      <c r="D114" s="123">
        <f t="shared" si="48"/>
        <v>8</v>
      </c>
      <c r="E114" s="123">
        <f t="shared" si="48"/>
        <v>8</v>
      </c>
      <c r="F114" s="123">
        <f t="shared" si="48"/>
        <v>8</v>
      </c>
      <c r="G114" s="123">
        <f t="shared" si="48"/>
        <v>8</v>
      </c>
      <c r="H114" s="123">
        <f t="shared" si="48"/>
        <v>8</v>
      </c>
      <c r="I114" s="123">
        <f t="shared" si="48"/>
        <v>8</v>
      </c>
      <c r="J114" s="123">
        <v>5.4</v>
      </c>
      <c r="K114" s="123">
        <f t="shared" si="48"/>
        <v>5.4</v>
      </c>
      <c r="L114" s="123">
        <f t="shared" si="48"/>
        <v>5.4</v>
      </c>
      <c r="M114" s="123">
        <f t="shared" si="48"/>
        <v>5.4</v>
      </c>
      <c r="N114" s="123">
        <f t="shared" si="48"/>
        <v>5.4</v>
      </c>
      <c r="O114" s="123">
        <f t="shared" si="48"/>
        <v>5.4</v>
      </c>
      <c r="P114" s="123">
        <f t="shared" si="48"/>
        <v>5.4</v>
      </c>
      <c r="Q114" s="123">
        <f t="shared" si="48"/>
        <v>5.4</v>
      </c>
      <c r="R114" s="123">
        <f t="shared" si="48"/>
        <v>5.4</v>
      </c>
      <c r="S114" s="123">
        <f t="shared" si="48"/>
        <v>5.4</v>
      </c>
      <c r="T114" s="123">
        <f t="shared" si="49"/>
        <v>5.4</v>
      </c>
      <c r="U114" s="123">
        <f t="shared" si="49"/>
        <v>5.4</v>
      </c>
      <c r="V114" s="123">
        <f t="shared" si="49"/>
        <v>5.4</v>
      </c>
      <c r="W114" s="123">
        <f t="shared" si="49"/>
        <v>5.4</v>
      </c>
      <c r="X114" s="123">
        <f t="shared" si="49"/>
        <v>5.4</v>
      </c>
      <c r="Y114" s="123">
        <f t="shared" si="49"/>
        <v>5.4</v>
      </c>
      <c r="Z114" s="123">
        <f t="shared" si="49"/>
        <v>5.4</v>
      </c>
      <c r="AA114" s="123">
        <f t="shared" si="49"/>
        <v>5.4</v>
      </c>
      <c r="AB114" s="123">
        <f t="shared" si="49"/>
        <v>5.4</v>
      </c>
      <c r="AC114" s="123">
        <f t="shared" si="49"/>
        <v>5.4</v>
      </c>
      <c r="AD114" s="123">
        <f t="shared" si="49"/>
        <v>5.4</v>
      </c>
      <c r="AE114" s="123">
        <f t="shared" si="49"/>
        <v>5.4</v>
      </c>
      <c r="AF114" s="123">
        <f t="shared" si="49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7"/>
        <v>6.57</v>
      </c>
      <c r="C115" s="124">
        <v>6.57</v>
      </c>
      <c r="D115" s="123">
        <f t="shared" si="48"/>
        <v>6.57</v>
      </c>
      <c r="E115" s="123">
        <f t="shared" si="48"/>
        <v>6.57</v>
      </c>
      <c r="F115" s="123">
        <f t="shared" si="48"/>
        <v>6.57</v>
      </c>
      <c r="G115" s="123">
        <f t="shared" si="48"/>
        <v>6.57</v>
      </c>
      <c r="H115" s="123">
        <f t="shared" si="48"/>
        <v>6.57</v>
      </c>
      <c r="I115" s="123">
        <f t="shared" si="48"/>
        <v>6.57</v>
      </c>
      <c r="J115" s="123">
        <f t="shared" si="48"/>
        <v>6.57</v>
      </c>
      <c r="K115" s="123">
        <f t="shared" si="48"/>
        <v>6.57</v>
      </c>
      <c r="L115" s="123">
        <f t="shared" si="48"/>
        <v>6.57</v>
      </c>
      <c r="M115" s="123">
        <f t="shared" si="48"/>
        <v>6.57</v>
      </c>
      <c r="N115" s="123">
        <f t="shared" si="48"/>
        <v>6.57</v>
      </c>
      <c r="O115" s="123">
        <f t="shared" si="48"/>
        <v>6.57</v>
      </c>
      <c r="P115" s="123">
        <f t="shared" si="48"/>
        <v>6.57</v>
      </c>
      <c r="Q115" s="123">
        <f t="shared" si="48"/>
        <v>6.57</v>
      </c>
      <c r="R115" s="123">
        <f t="shared" si="48"/>
        <v>6.57</v>
      </c>
      <c r="S115" s="123">
        <f t="shared" si="48"/>
        <v>6.57</v>
      </c>
      <c r="T115" s="123">
        <f t="shared" si="49"/>
        <v>6.57</v>
      </c>
      <c r="U115" s="123">
        <f t="shared" si="49"/>
        <v>6.57</v>
      </c>
      <c r="V115" s="123">
        <f t="shared" si="49"/>
        <v>6.57</v>
      </c>
      <c r="W115" s="123">
        <f t="shared" si="49"/>
        <v>6.57</v>
      </c>
      <c r="X115" s="123">
        <f t="shared" si="49"/>
        <v>6.57</v>
      </c>
      <c r="Y115" s="123">
        <f t="shared" si="49"/>
        <v>6.57</v>
      </c>
      <c r="Z115" s="123">
        <f t="shared" si="49"/>
        <v>6.57</v>
      </c>
      <c r="AA115" s="123">
        <f t="shared" si="49"/>
        <v>6.57</v>
      </c>
      <c r="AB115" s="123">
        <f t="shared" si="49"/>
        <v>6.57</v>
      </c>
      <c r="AC115" s="123">
        <f t="shared" si="49"/>
        <v>6.57</v>
      </c>
      <c r="AD115" s="123">
        <f t="shared" si="49"/>
        <v>6.57</v>
      </c>
      <c r="AE115" s="123">
        <f t="shared" si="49"/>
        <v>6.57</v>
      </c>
      <c r="AF115" s="123">
        <f t="shared" si="49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7"/>
        <v>3.43</v>
      </c>
      <c r="C116" s="124">
        <v>3.43</v>
      </c>
      <c r="D116" s="123">
        <f t="shared" si="48"/>
        <v>3.43</v>
      </c>
      <c r="E116" s="123">
        <f t="shared" si="48"/>
        <v>3.43</v>
      </c>
      <c r="F116" s="123">
        <f t="shared" si="48"/>
        <v>3.43</v>
      </c>
      <c r="G116" s="123">
        <f t="shared" si="48"/>
        <v>3.43</v>
      </c>
      <c r="H116" s="123">
        <f t="shared" si="48"/>
        <v>3.43</v>
      </c>
      <c r="I116" s="123">
        <f t="shared" si="48"/>
        <v>3.43</v>
      </c>
      <c r="J116" s="123">
        <f t="shared" si="48"/>
        <v>3.43</v>
      </c>
      <c r="K116" s="123">
        <f t="shared" si="48"/>
        <v>3.43</v>
      </c>
      <c r="L116" s="123">
        <f t="shared" si="48"/>
        <v>3.43</v>
      </c>
      <c r="M116" s="123">
        <f t="shared" si="48"/>
        <v>3.43</v>
      </c>
      <c r="N116" s="123">
        <f t="shared" si="48"/>
        <v>3.43</v>
      </c>
      <c r="O116" s="123">
        <f t="shared" si="48"/>
        <v>3.43</v>
      </c>
      <c r="P116" s="123">
        <f t="shared" si="48"/>
        <v>3.43</v>
      </c>
      <c r="Q116" s="123">
        <f t="shared" si="48"/>
        <v>3.43</v>
      </c>
      <c r="R116" s="123">
        <f t="shared" si="48"/>
        <v>3.43</v>
      </c>
      <c r="S116" s="123">
        <f t="shared" si="48"/>
        <v>3.43</v>
      </c>
      <c r="T116" s="123">
        <f t="shared" si="49"/>
        <v>3.43</v>
      </c>
      <c r="U116" s="123">
        <f t="shared" si="49"/>
        <v>3.43</v>
      </c>
      <c r="V116" s="123">
        <f t="shared" si="49"/>
        <v>3.43</v>
      </c>
      <c r="W116" s="123">
        <f t="shared" si="49"/>
        <v>3.43</v>
      </c>
      <c r="X116" s="123">
        <f t="shared" si="49"/>
        <v>3.43</v>
      </c>
      <c r="Y116" s="123">
        <f t="shared" si="49"/>
        <v>3.43</v>
      </c>
      <c r="Z116" s="123">
        <f t="shared" si="49"/>
        <v>3.43</v>
      </c>
      <c r="AA116" s="123">
        <f t="shared" si="49"/>
        <v>3.43</v>
      </c>
      <c r="AB116" s="123">
        <f t="shared" si="49"/>
        <v>3.43</v>
      </c>
      <c r="AC116" s="123">
        <f t="shared" si="49"/>
        <v>3.43</v>
      </c>
      <c r="AD116" s="123">
        <f t="shared" si="49"/>
        <v>3.43</v>
      </c>
      <c r="AE116" s="123">
        <f t="shared" si="49"/>
        <v>3.43</v>
      </c>
      <c r="AF116" s="123">
        <f t="shared" si="49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7"/>
        <v>2.96</v>
      </c>
      <c r="C117" s="124">
        <v>2.96</v>
      </c>
      <c r="D117" s="123">
        <f t="shared" si="48"/>
        <v>2.96</v>
      </c>
      <c r="E117" s="123">
        <f t="shared" si="48"/>
        <v>2.96</v>
      </c>
      <c r="F117" s="123">
        <f t="shared" si="48"/>
        <v>2.96</v>
      </c>
      <c r="G117" s="123">
        <f t="shared" si="48"/>
        <v>2.96</v>
      </c>
      <c r="H117" s="123">
        <f t="shared" si="48"/>
        <v>2.96</v>
      </c>
      <c r="I117" s="123">
        <f t="shared" si="48"/>
        <v>2.96</v>
      </c>
      <c r="J117" s="123">
        <f t="shared" si="48"/>
        <v>2.96</v>
      </c>
      <c r="K117" s="123">
        <f t="shared" si="48"/>
        <v>2.96</v>
      </c>
      <c r="L117" s="123">
        <f t="shared" si="48"/>
        <v>2.96</v>
      </c>
      <c r="M117" s="123">
        <f t="shared" si="48"/>
        <v>2.96</v>
      </c>
      <c r="N117" s="123">
        <f t="shared" si="48"/>
        <v>2.96</v>
      </c>
      <c r="O117" s="123">
        <f t="shared" si="48"/>
        <v>2.96</v>
      </c>
      <c r="P117" s="123">
        <f t="shared" si="48"/>
        <v>2.96</v>
      </c>
      <c r="Q117" s="123">
        <f t="shared" si="48"/>
        <v>2.96</v>
      </c>
      <c r="R117" s="123">
        <f t="shared" si="48"/>
        <v>2.96</v>
      </c>
      <c r="S117" s="123">
        <f t="shared" si="48"/>
        <v>2.96</v>
      </c>
      <c r="T117" s="123">
        <f t="shared" si="49"/>
        <v>2.96</v>
      </c>
      <c r="U117" s="123">
        <f t="shared" si="49"/>
        <v>2.96</v>
      </c>
      <c r="V117" s="123">
        <f t="shared" si="49"/>
        <v>2.96</v>
      </c>
      <c r="W117" s="123">
        <f t="shared" si="49"/>
        <v>2.96</v>
      </c>
      <c r="X117" s="123">
        <f t="shared" si="49"/>
        <v>2.96</v>
      </c>
      <c r="Y117" s="123">
        <f t="shared" si="49"/>
        <v>2.96</v>
      </c>
      <c r="Z117" s="123">
        <f t="shared" si="49"/>
        <v>2.96</v>
      </c>
      <c r="AA117" s="123">
        <f t="shared" si="49"/>
        <v>2.96</v>
      </c>
      <c r="AB117" s="123">
        <f t="shared" si="49"/>
        <v>2.96</v>
      </c>
      <c r="AC117" s="123">
        <f t="shared" si="49"/>
        <v>2.96</v>
      </c>
      <c r="AD117" s="123">
        <f t="shared" si="49"/>
        <v>2.96</v>
      </c>
      <c r="AE117" s="123">
        <f t="shared" si="49"/>
        <v>2.96</v>
      </c>
      <c r="AF117" s="123">
        <f t="shared" si="49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7"/>
        <v>8</v>
      </c>
      <c r="C118" s="124">
        <v>8</v>
      </c>
      <c r="D118" s="123">
        <f t="shared" si="48"/>
        <v>8</v>
      </c>
      <c r="E118" s="123">
        <f t="shared" si="48"/>
        <v>8</v>
      </c>
      <c r="F118" s="123">
        <f t="shared" si="48"/>
        <v>8</v>
      </c>
      <c r="G118" s="123">
        <f t="shared" si="48"/>
        <v>8</v>
      </c>
      <c r="H118" s="123">
        <f t="shared" si="48"/>
        <v>8</v>
      </c>
      <c r="I118" s="123">
        <f t="shared" si="48"/>
        <v>8</v>
      </c>
      <c r="J118" s="123">
        <f t="shared" si="48"/>
        <v>8</v>
      </c>
      <c r="K118" s="123">
        <f t="shared" si="48"/>
        <v>8</v>
      </c>
      <c r="L118" s="123">
        <f t="shared" si="48"/>
        <v>8</v>
      </c>
      <c r="M118" s="123">
        <f t="shared" si="48"/>
        <v>8</v>
      </c>
      <c r="N118" s="123">
        <f t="shared" si="48"/>
        <v>8</v>
      </c>
      <c r="O118" s="123">
        <f t="shared" si="48"/>
        <v>8</v>
      </c>
      <c r="P118" s="123">
        <f t="shared" si="48"/>
        <v>8</v>
      </c>
      <c r="Q118" s="123">
        <f t="shared" si="48"/>
        <v>8</v>
      </c>
      <c r="R118" s="123">
        <f t="shared" si="48"/>
        <v>8</v>
      </c>
      <c r="S118" s="123">
        <f t="shared" si="48"/>
        <v>8</v>
      </c>
      <c r="T118" s="123">
        <f t="shared" si="49"/>
        <v>8</v>
      </c>
      <c r="U118" s="123">
        <f t="shared" si="49"/>
        <v>8</v>
      </c>
      <c r="V118" s="123">
        <f t="shared" si="49"/>
        <v>8</v>
      </c>
      <c r="W118" s="123">
        <f t="shared" si="49"/>
        <v>8</v>
      </c>
      <c r="X118" s="123">
        <f t="shared" si="49"/>
        <v>8</v>
      </c>
      <c r="Y118" s="123">
        <f t="shared" si="49"/>
        <v>8</v>
      </c>
      <c r="Z118" s="123">
        <f t="shared" si="49"/>
        <v>8</v>
      </c>
      <c r="AA118" s="123">
        <f t="shared" si="49"/>
        <v>8</v>
      </c>
      <c r="AB118" s="123">
        <f t="shared" si="49"/>
        <v>8</v>
      </c>
      <c r="AC118" s="123">
        <f t="shared" si="49"/>
        <v>8</v>
      </c>
      <c r="AD118" s="123">
        <f t="shared" si="49"/>
        <v>8</v>
      </c>
      <c r="AE118" s="123">
        <f t="shared" si="49"/>
        <v>8</v>
      </c>
      <c r="AF118" s="123">
        <f t="shared" si="49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7"/>
        <v>7</v>
      </c>
      <c r="C119" s="124">
        <v>7</v>
      </c>
      <c r="D119" s="123">
        <f>C119</f>
        <v>7</v>
      </c>
      <c r="E119" s="123">
        <f t="shared" si="48"/>
        <v>7</v>
      </c>
      <c r="F119" s="123">
        <f t="shared" si="48"/>
        <v>7</v>
      </c>
      <c r="G119" s="123">
        <f t="shared" si="48"/>
        <v>7</v>
      </c>
      <c r="H119" s="123">
        <f t="shared" si="48"/>
        <v>7</v>
      </c>
      <c r="I119" s="123">
        <f t="shared" si="48"/>
        <v>7</v>
      </c>
      <c r="J119" s="123">
        <f t="shared" si="48"/>
        <v>7</v>
      </c>
      <c r="K119" s="123">
        <f t="shared" si="48"/>
        <v>7</v>
      </c>
      <c r="L119" s="123">
        <f t="shared" si="48"/>
        <v>7</v>
      </c>
      <c r="M119" s="123">
        <f t="shared" si="48"/>
        <v>7</v>
      </c>
      <c r="N119" s="123">
        <f t="shared" si="48"/>
        <v>7</v>
      </c>
      <c r="O119" s="123">
        <f t="shared" si="48"/>
        <v>7</v>
      </c>
      <c r="P119" s="123">
        <f t="shared" si="48"/>
        <v>7</v>
      </c>
      <c r="Q119" s="123">
        <f t="shared" si="48"/>
        <v>7</v>
      </c>
      <c r="R119" s="123">
        <f t="shared" si="48"/>
        <v>7</v>
      </c>
      <c r="S119" s="123">
        <f t="shared" si="48"/>
        <v>7</v>
      </c>
      <c r="T119" s="123">
        <f t="shared" si="49"/>
        <v>7</v>
      </c>
      <c r="U119" s="123">
        <f t="shared" si="49"/>
        <v>7</v>
      </c>
      <c r="V119" s="123">
        <f t="shared" si="49"/>
        <v>7</v>
      </c>
      <c r="W119" s="123">
        <f t="shared" si="49"/>
        <v>7</v>
      </c>
      <c r="X119" s="123">
        <f t="shared" si="49"/>
        <v>7</v>
      </c>
      <c r="Y119" s="123">
        <f t="shared" si="49"/>
        <v>7</v>
      </c>
      <c r="Z119" s="123">
        <f t="shared" si="49"/>
        <v>7</v>
      </c>
      <c r="AA119" s="123">
        <f t="shared" si="49"/>
        <v>7</v>
      </c>
      <c r="AB119" s="123">
        <f t="shared" si="49"/>
        <v>7</v>
      </c>
      <c r="AC119" s="123">
        <f t="shared" si="49"/>
        <v>7</v>
      </c>
      <c r="AD119" s="123">
        <f t="shared" si="49"/>
        <v>7</v>
      </c>
      <c r="AE119" s="123">
        <f t="shared" si="49"/>
        <v>7</v>
      </c>
      <c r="AF119" s="123">
        <f t="shared" si="49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7"/>
        <v>3.47</v>
      </c>
      <c r="C120" s="124">
        <v>3.47</v>
      </c>
      <c r="D120" s="123">
        <f t="shared" ref="D120:S129" si="50">C120</f>
        <v>3.47</v>
      </c>
      <c r="E120" s="123">
        <f t="shared" si="50"/>
        <v>3.47</v>
      </c>
      <c r="F120" s="123">
        <f t="shared" si="50"/>
        <v>3.47</v>
      </c>
      <c r="G120" s="123">
        <f t="shared" si="50"/>
        <v>3.47</v>
      </c>
      <c r="H120" s="123">
        <f t="shared" si="50"/>
        <v>3.47</v>
      </c>
      <c r="I120" s="123">
        <f t="shared" si="50"/>
        <v>3.47</v>
      </c>
      <c r="J120" s="123">
        <f t="shared" si="50"/>
        <v>3.47</v>
      </c>
      <c r="K120" s="123">
        <f t="shared" si="50"/>
        <v>3.47</v>
      </c>
      <c r="L120" s="123">
        <f t="shared" si="50"/>
        <v>3.47</v>
      </c>
      <c r="M120" s="123">
        <f t="shared" si="50"/>
        <v>3.47</v>
      </c>
      <c r="N120" s="123">
        <f t="shared" si="50"/>
        <v>3.47</v>
      </c>
      <c r="O120" s="123">
        <f t="shared" si="50"/>
        <v>3.47</v>
      </c>
      <c r="P120" s="123">
        <f t="shared" si="50"/>
        <v>3.47</v>
      </c>
      <c r="Q120" s="123">
        <f t="shared" si="50"/>
        <v>3.47</v>
      </c>
      <c r="R120" s="123">
        <f t="shared" si="50"/>
        <v>3.47</v>
      </c>
      <c r="S120" s="123">
        <f t="shared" si="50"/>
        <v>3.47</v>
      </c>
      <c r="T120" s="123">
        <f t="shared" si="49"/>
        <v>3.47</v>
      </c>
      <c r="U120" s="123">
        <f t="shared" si="49"/>
        <v>3.47</v>
      </c>
      <c r="V120" s="123">
        <f t="shared" si="49"/>
        <v>3.47</v>
      </c>
      <c r="W120" s="123">
        <f t="shared" si="49"/>
        <v>3.47</v>
      </c>
      <c r="X120" s="123">
        <f t="shared" si="49"/>
        <v>3.47</v>
      </c>
      <c r="Y120" s="123">
        <f t="shared" si="49"/>
        <v>3.47</v>
      </c>
      <c r="Z120" s="123">
        <f t="shared" si="49"/>
        <v>3.47</v>
      </c>
      <c r="AA120" s="123">
        <f t="shared" si="49"/>
        <v>3.47</v>
      </c>
      <c r="AB120" s="123">
        <f t="shared" si="49"/>
        <v>3.47</v>
      </c>
      <c r="AC120" s="123">
        <f t="shared" si="49"/>
        <v>3.47</v>
      </c>
      <c r="AD120" s="123">
        <f t="shared" si="49"/>
        <v>3.47</v>
      </c>
      <c r="AE120" s="123">
        <f t="shared" si="49"/>
        <v>3.47</v>
      </c>
      <c r="AF120" s="123">
        <f t="shared" si="49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7"/>
        <v>2.1</v>
      </c>
      <c r="C121" s="124">
        <v>2.1</v>
      </c>
      <c r="D121" s="123">
        <f t="shared" si="50"/>
        <v>2.1</v>
      </c>
      <c r="E121" s="123">
        <f t="shared" si="50"/>
        <v>2.1</v>
      </c>
      <c r="F121" s="123">
        <f t="shared" si="50"/>
        <v>2.1</v>
      </c>
      <c r="G121" s="123">
        <f t="shared" si="50"/>
        <v>2.1</v>
      </c>
      <c r="H121" s="123">
        <f t="shared" si="50"/>
        <v>2.1</v>
      </c>
      <c r="I121" s="123">
        <f t="shared" si="50"/>
        <v>2.1</v>
      </c>
      <c r="J121" s="123">
        <f t="shared" si="50"/>
        <v>2.1</v>
      </c>
      <c r="K121" s="123">
        <f t="shared" si="50"/>
        <v>2.1</v>
      </c>
      <c r="L121" s="123">
        <f t="shared" si="50"/>
        <v>2.1</v>
      </c>
      <c r="M121" s="123">
        <f t="shared" si="50"/>
        <v>2.1</v>
      </c>
      <c r="N121" s="123">
        <f t="shared" si="50"/>
        <v>2.1</v>
      </c>
      <c r="O121" s="123">
        <f t="shared" si="50"/>
        <v>2.1</v>
      </c>
      <c r="P121" s="123">
        <f t="shared" si="50"/>
        <v>2.1</v>
      </c>
      <c r="Q121" s="123">
        <f t="shared" si="50"/>
        <v>2.1</v>
      </c>
      <c r="R121" s="123">
        <f t="shared" si="50"/>
        <v>2.1</v>
      </c>
      <c r="S121" s="123">
        <f t="shared" si="50"/>
        <v>2.1</v>
      </c>
      <c r="T121" s="123">
        <f t="shared" si="49"/>
        <v>2.1</v>
      </c>
      <c r="U121" s="123">
        <f t="shared" si="49"/>
        <v>2.1</v>
      </c>
      <c r="V121" s="123">
        <f t="shared" si="49"/>
        <v>2.1</v>
      </c>
      <c r="W121" s="123">
        <f t="shared" si="49"/>
        <v>2.1</v>
      </c>
      <c r="X121" s="123">
        <f t="shared" si="49"/>
        <v>2.1</v>
      </c>
      <c r="Y121" s="123">
        <f t="shared" si="49"/>
        <v>2.1</v>
      </c>
      <c r="Z121" s="123">
        <f t="shared" si="49"/>
        <v>2.1</v>
      </c>
      <c r="AA121" s="123">
        <f t="shared" si="49"/>
        <v>2.1</v>
      </c>
      <c r="AB121" s="123">
        <f t="shared" si="49"/>
        <v>2.1</v>
      </c>
      <c r="AC121" s="123">
        <f t="shared" si="49"/>
        <v>2.1</v>
      </c>
      <c r="AD121" s="123">
        <f t="shared" si="49"/>
        <v>2.1</v>
      </c>
      <c r="AE121" s="123">
        <f t="shared" si="49"/>
        <v>2.1</v>
      </c>
      <c r="AF121" s="123">
        <f t="shared" si="49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7"/>
        <v>9.3000000000000007</v>
      </c>
      <c r="C122" s="124">
        <v>9.3000000000000007</v>
      </c>
      <c r="D122" s="123">
        <f t="shared" si="50"/>
        <v>9.3000000000000007</v>
      </c>
      <c r="E122" s="123">
        <f t="shared" si="50"/>
        <v>9.3000000000000007</v>
      </c>
      <c r="F122" s="123">
        <f t="shared" si="50"/>
        <v>9.3000000000000007</v>
      </c>
      <c r="G122" s="123">
        <f t="shared" si="50"/>
        <v>9.3000000000000007</v>
      </c>
      <c r="H122" s="123">
        <f t="shared" si="50"/>
        <v>9.3000000000000007</v>
      </c>
      <c r="I122" s="123">
        <f t="shared" si="50"/>
        <v>9.3000000000000007</v>
      </c>
      <c r="J122" s="123">
        <f t="shared" si="50"/>
        <v>9.3000000000000007</v>
      </c>
      <c r="K122" s="123">
        <f t="shared" si="50"/>
        <v>9.3000000000000007</v>
      </c>
      <c r="L122" s="123">
        <f t="shared" si="50"/>
        <v>9.3000000000000007</v>
      </c>
      <c r="M122" s="123">
        <f t="shared" si="50"/>
        <v>9.3000000000000007</v>
      </c>
      <c r="N122" s="123">
        <f t="shared" si="50"/>
        <v>9.3000000000000007</v>
      </c>
      <c r="O122" s="123">
        <f t="shared" si="50"/>
        <v>9.3000000000000007</v>
      </c>
      <c r="P122" s="123">
        <f t="shared" si="50"/>
        <v>9.3000000000000007</v>
      </c>
      <c r="Q122" s="123">
        <f t="shared" si="50"/>
        <v>9.3000000000000007</v>
      </c>
      <c r="R122" s="123">
        <f t="shared" si="50"/>
        <v>9.3000000000000007</v>
      </c>
      <c r="S122" s="123">
        <f t="shared" si="50"/>
        <v>9.3000000000000007</v>
      </c>
      <c r="T122" s="123">
        <f t="shared" si="49"/>
        <v>9.3000000000000007</v>
      </c>
      <c r="U122" s="123">
        <f t="shared" si="49"/>
        <v>9.3000000000000007</v>
      </c>
      <c r="V122" s="123">
        <f t="shared" si="49"/>
        <v>9.3000000000000007</v>
      </c>
      <c r="W122" s="123">
        <f t="shared" si="49"/>
        <v>9.3000000000000007</v>
      </c>
      <c r="X122" s="123">
        <f t="shared" si="49"/>
        <v>9.3000000000000007</v>
      </c>
      <c r="Y122" s="123">
        <f t="shared" si="49"/>
        <v>9.3000000000000007</v>
      </c>
      <c r="Z122" s="123">
        <f t="shared" si="49"/>
        <v>9.3000000000000007</v>
      </c>
      <c r="AA122" s="123">
        <f t="shared" si="49"/>
        <v>9.3000000000000007</v>
      </c>
      <c r="AB122" s="123">
        <f t="shared" si="49"/>
        <v>9.3000000000000007</v>
      </c>
      <c r="AC122" s="123">
        <f t="shared" si="49"/>
        <v>9.3000000000000007</v>
      </c>
      <c r="AD122" s="123">
        <f t="shared" si="49"/>
        <v>9.3000000000000007</v>
      </c>
      <c r="AE122" s="123">
        <f t="shared" si="49"/>
        <v>9.3000000000000007</v>
      </c>
      <c r="AF122" s="123">
        <f t="shared" si="49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7"/>
        <v>0</v>
      </c>
      <c r="C123" s="124">
        <v>0</v>
      </c>
      <c r="D123" s="123">
        <f t="shared" si="50"/>
        <v>0</v>
      </c>
      <c r="E123" s="123">
        <f t="shared" si="50"/>
        <v>0</v>
      </c>
      <c r="F123" s="123">
        <f t="shared" si="50"/>
        <v>0</v>
      </c>
      <c r="G123" s="123">
        <f t="shared" si="50"/>
        <v>0</v>
      </c>
      <c r="H123" s="123">
        <f t="shared" si="50"/>
        <v>0</v>
      </c>
      <c r="I123" s="123">
        <f t="shared" si="50"/>
        <v>0</v>
      </c>
      <c r="J123" s="123">
        <f t="shared" si="50"/>
        <v>0</v>
      </c>
      <c r="K123" s="123">
        <f t="shared" si="50"/>
        <v>0</v>
      </c>
      <c r="L123" s="123">
        <f t="shared" si="50"/>
        <v>0</v>
      </c>
      <c r="M123" s="123">
        <f t="shared" si="50"/>
        <v>0</v>
      </c>
      <c r="N123" s="123">
        <f t="shared" si="50"/>
        <v>0</v>
      </c>
      <c r="O123" s="123">
        <f t="shared" si="50"/>
        <v>0</v>
      </c>
      <c r="P123" s="123">
        <f t="shared" si="50"/>
        <v>0</v>
      </c>
      <c r="Q123" s="123">
        <f t="shared" si="50"/>
        <v>0</v>
      </c>
      <c r="R123" s="123">
        <f t="shared" si="50"/>
        <v>0</v>
      </c>
      <c r="S123" s="123">
        <f t="shared" si="50"/>
        <v>0</v>
      </c>
      <c r="T123" s="123">
        <f t="shared" si="49"/>
        <v>0</v>
      </c>
      <c r="U123" s="123">
        <f t="shared" si="49"/>
        <v>0</v>
      </c>
      <c r="V123" s="123">
        <f t="shared" si="49"/>
        <v>0</v>
      </c>
      <c r="W123" s="123">
        <f t="shared" si="49"/>
        <v>0</v>
      </c>
      <c r="X123" s="123">
        <f t="shared" si="49"/>
        <v>0</v>
      </c>
      <c r="Y123" s="123">
        <f t="shared" si="49"/>
        <v>0</v>
      </c>
      <c r="Z123" s="123">
        <f t="shared" si="49"/>
        <v>0</v>
      </c>
      <c r="AA123" s="123">
        <f t="shared" si="49"/>
        <v>0</v>
      </c>
      <c r="AB123" s="123">
        <f t="shared" si="49"/>
        <v>0</v>
      </c>
      <c r="AC123" s="123">
        <f t="shared" si="49"/>
        <v>0</v>
      </c>
      <c r="AD123" s="123">
        <f t="shared" si="49"/>
        <v>0</v>
      </c>
      <c r="AE123" s="123">
        <f t="shared" si="49"/>
        <v>0</v>
      </c>
      <c r="AF123" s="123">
        <f t="shared" si="49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7"/>
        <v>0</v>
      </c>
      <c r="C124" s="124">
        <v>0</v>
      </c>
      <c r="D124" s="123">
        <f t="shared" si="50"/>
        <v>0</v>
      </c>
      <c r="E124" s="123">
        <f t="shared" si="50"/>
        <v>0</v>
      </c>
      <c r="F124" s="123">
        <f t="shared" si="50"/>
        <v>0</v>
      </c>
      <c r="G124" s="123">
        <f t="shared" si="50"/>
        <v>0</v>
      </c>
      <c r="H124" s="123">
        <f t="shared" si="50"/>
        <v>0</v>
      </c>
      <c r="I124" s="123">
        <f t="shared" si="50"/>
        <v>0</v>
      </c>
      <c r="J124" s="123">
        <f t="shared" si="50"/>
        <v>0</v>
      </c>
      <c r="K124" s="123">
        <f t="shared" si="50"/>
        <v>0</v>
      </c>
      <c r="L124" s="123">
        <f t="shared" si="50"/>
        <v>0</v>
      </c>
      <c r="M124" s="123">
        <f t="shared" si="50"/>
        <v>0</v>
      </c>
      <c r="N124" s="123">
        <f t="shared" si="50"/>
        <v>0</v>
      </c>
      <c r="O124" s="123">
        <f t="shared" si="50"/>
        <v>0</v>
      </c>
      <c r="P124" s="123">
        <f t="shared" si="50"/>
        <v>0</v>
      </c>
      <c r="Q124" s="123">
        <f t="shared" si="50"/>
        <v>0</v>
      </c>
      <c r="R124" s="123">
        <f t="shared" si="50"/>
        <v>0</v>
      </c>
      <c r="S124" s="123">
        <f t="shared" si="50"/>
        <v>0</v>
      </c>
      <c r="T124" s="123">
        <f t="shared" si="49"/>
        <v>0</v>
      </c>
      <c r="U124" s="123">
        <f t="shared" si="49"/>
        <v>0</v>
      </c>
      <c r="V124" s="123">
        <f t="shared" si="49"/>
        <v>0</v>
      </c>
      <c r="W124" s="123">
        <f t="shared" si="49"/>
        <v>0</v>
      </c>
      <c r="X124" s="123">
        <f t="shared" si="49"/>
        <v>0</v>
      </c>
      <c r="Y124" s="123">
        <f t="shared" si="49"/>
        <v>0</v>
      </c>
      <c r="Z124" s="123">
        <f t="shared" si="49"/>
        <v>0</v>
      </c>
      <c r="AA124" s="123">
        <f t="shared" si="49"/>
        <v>0</v>
      </c>
      <c r="AB124" s="123">
        <f t="shared" si="49"/>
        <v>0</v>
      </c>
      <c r="AC124" s="123">
        <f t="shared" si="49"/>
        <v>0</v>
      </c>
      <c r="AD124" s="123">
        <f t="shared" si="49"/>
        <v>0</v>
      </c>
      <c r="AE124" s="123">
        <f t="shared" si="49"/>
        <v>0</v>
      </c>
      <c r="AF124" s="123">
        <f t="shared" si="49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7"/>
        <v>;/</v>
      </c>
      <c r="C125" s="124">
        <v>5</v>
      </c>
      <c r="D125" s="123">
        <f t="shared" si="50"/>
        <v>5</v>
      </c>
      <c r="E125" s="123">
        <f t="shared" si="50"/>
        <v>5</v>
      </c>
      <c r="F125" s="123">
        <f t="shared" si="50"/>
        <v>5</v>
      </c>
      <c r="G125" s="123">
        <f t="shared" si="50"/>
        <v>5</v>
      </c>
      <c r="H125" s="123">
        <f t="shared" si="50"/>
        <v>5</v>
      </c>
      <c r="I125" s="123" t="s">
        <v>130</v>
      </c>
      <c r="J125" s="123" t="str">
        <f t="shared" si="50"/>
        <v>;/</v>
      </c>
      <c r="K125" s="123" t="str">
        <f t="shared" si="50"/>
        <v>;/</v>
      </c>
      <c r="L125" s="123" t="str">
        <f t="shared" si="50"/>
        <v>;/</v>
      </c>
      <c r="M125" s="123" t="str">
        <f t="shared" si="50"/>
        <v>;/</v>
      </c>
      <c r="N125" s="123" t="str">
        <f t="shared" si="50"/>
        <v>;/</v>
      </c>
      <c r="O125" s="123" t="str">
        <f t="shared" si="50"/>
        <v>;/</v>
      </c>
      <c r="P125" s="123" t="str">
        <f t="shared" si="50"/>
        <v>;/</v>
      </c>
      <c r="Q125" s="123" t="str">
        <f t="shared" si="50"/>
        <v>;/</v>
      </c>
      <c r="R125" s="123" t="str">
        <f t="shared" si="50"/>
        <v>;/</v>
      </c>
      <c r="S125" s="123" t="str">
        <f t="shared" si="50"/>
        <v>;/</v>
      </c>
      <c r="T125" s="123" t="str">
        <f t="shared" si="49"/>
        <v>;/</v>
      </c>
      <c r="U125" s="123" t="str">
        <f t="shared" si="49"/>
        <v>;/</v>
      </c>
      <c r="V125" s="123" t="str">
        <f t="shared" si="49"/>
        <v>;/</v>
      </c>
      <c r="W125" s="123" t="str">
        <f t="shared" si="49"/>
        <v>;/</v>
      </c>
      <c r="X125" s="123" t="str">
        <f t="shared" si="49"/>
        <v>;/</v>
      </c>
      <c r="Y125" s="123" t="str">
        <f t="shared" si="49"/>
        <v>;/</v>
      </c>
      <c r="Z125" s="123" t="str">
        <f t="shared" si="49"/>
        <v>;/</v>
      </c>
      <c r="AA125" s="123" t="str">
        <f t="shared" si="49"/>
        <v>;/</v>
      </c>
      <c r="AB125" s="123" t="str">
        <f t="shared" si="49"/>
        <v>;/</v>
      </c>
      <c r="AC125" s="123" t="str">
        <f t="shared" si="49"/>
        <v>;/</v>
      </c>
      <c r="AD125" s="123" t="str">
        <f t="shared" si="49"/>
        <v>;/</v>
      </c>
      <c r="AE125" s="123" t="str">
        <f t="shared" si="49"/>
        <v>;/</v>
      </c>
      <c r="AF125" s="123" t="str">
        <f t="shared" si="49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7"/>
        <v>1</v>
      </c>
      <c r="C126" s="124">
        <v>1</v>
      </c>
      <c r="D126" s="123">
        <f t="shared" si="50"/>
        <v>1</v>
      </c>
      <c r="E126" s="123">
        <f t="shared" si="50"/>
        <v>1</v>
      </c>
      <c r="F126" s="123">
        <f t="shared" si="50"/>
        <v>1</v>
      </c>
      <c r="G126" s="123">
        <f t="shared" si="50"/>
        <v>1</v>
      </c>
      <c r="H126" s="123">
        <f t="shared" si="50"/>
        <v>1</v>
      </c>
      <c r="I126" s="123">
        <f t="shared" si="50"/>
        <v>1</v>
      </c>
      <c r="J126" s="123">
        <f t="shared" si="50"/>
        <v>1</v>
      </c>
      <c r="K126" s="123">
        <f t="shared" si="50"/>
        <v>1</v>
      </c>
      <c r="L126" s="123">
        <f t="shared" si="50"/>
        <v>1</v>
      </c>
      <c r="M126" s="123">
        <f t="shared" si="50"/>
        <v>1</v>
      </c>
      <c r="N126" s="123">
        <f t="shared" si="50"/>
        <v>1</v>
      </c>
      <c r="O126" s="123">
        <f t="shared" si="50"/>
        <v>1</v>
      </c>
      <c r="P126" s="123">
        <f t="shared" si="50"/>
        <v>1</v>
      </c>
      <c r="Q126" s="123">
        <f t="shared" si="50"/>
        <v>1</v>
      </c>
      <c r="R126" s="123">
        <f t="shared" si="50"/>
        <v>1</v>
      </c>
      <c r="S126" s="123">
        <f t="shared" si="50"/>
        <v>1</v>
      </c>
      <c r="T126" s="123">
        <f t="shared" si="49"/>
        <v>1</v>
      </c>
      <c r="U126" s="123">
        <f t="shared" si="49"/>
        <v>1</v>
      </c>
      <c r="V126" s="123">
        <f t="shared" si="49"/>
        <v>1</v>
      </c>
      <c r="W126" s="123">
        <f t="shared" si="49"/>
        <v>1</v>
      </c>
      <c r="X126" s="123">
        <f t="shared" si="49"/>
        <v>1</v>
      </c>
      <c r="Y126" s="123">
        <f t="shared" si="49"/>
        <v>1</v>
      </c>
      <c r="Z126" s="123">
        <f t="shared" si="49"/>
        <v>1</v>
      </c>
      <c r="AA126" s="123">
        <f t="shared" si="49"/>
        <v>1</v>
      </c>
      <c r="AB126" s="123">
        <f t="shared" si="49"/>
        <v>1</v>
      </c>
      <c r="AC126" s="123">
        <f t="shared" si="49"/>
        <v>1</v>
      </c>
      <c r="AD126" s="123">
        <f t="shared" si="49"/>
        <v>1</v>
      </c>
      <c r="AE126" s="123">
        <f t="shared" si="49"/>
        <v>1</v>
      </c>
      <c r="AF126" s="123">
        <f t="shared" si="49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7"/>
        <v>1.58</v>
      </c>
      <c r="C127" s="124">
        <v>1.58</v>
      </c>
      <c r="D127" s="123">
        <f t="shared" si="50"/>
        <v>1.58</v>
      </c>
      <c r="E127" s="123">
        <f t="shared" si="50"/>
        <v>1.58</v>
      </c>
      <c r="F127" s="123">
        <f t="shared" si="50"/>
        <v>1.58</v>
      </c>
      <c r="G127" s="123">
        <f t="shared" si="50"/>
        <v>1.58</v>
      </c>
      <c r="H127" s="123">
        <f t="shared" si="50"/>
        <v>1.58</v>
      </c>
      <c r="I127" s="123">
        <f t="shared" si="50"/>
        <v>1.58</v>
      </c>
      <c r="J127" s="123">
        <f t="shared" si="50"/>
        <v>1.58</v>
      </c>
      <c r="K127" s="123">
        <f t="shared" si="50"/>
        <v>1.58</v>
      </c>
      <c r="L127" s="123">
        <f t="shared" si="50"/>
        <v>1.58</v>
      </c>
      <c r="M127" s="123">
        <f t="shared" si="50"/>
        <v>1.58</v>
      </c>
      <c r="N127" s="123">
        <f t="shared" si="50"/>
        <v>1.58</v>
      </c>
      <c r="O127" s="123">
        <f t="shared" si="50"/>
        <v>1.58</v>
      </c>
      <c r="P127" s="123">
        <f t="shared" si="50"/>
        <v>1.58</v>
      </c>
      <c r="Q127" s="123">
        <f t="shared" si="50"/>
        <v>1.58</v>
      </c>
      <c r="R127" s="123">
        <f t="shared" si="50"/>
        <v>1.58</v>
      </c>
      <c r="S127" s="123">
        <f t="shared" si="50"/>
        <v>1.58</v>
      </c>
      <c r="T127" s="123">
        <f t="shared" si="49"/>
        <v>1.58</v>
      </c>
      <c r="U127" s="123">
        <f t="shared" si="49"/>
        <v>1.58</v>
      </c>
      <c r="V127" s="123">
        <f t="shared" si="49"/>
        <v>1.58</v>
      </c>
      <c r="W127" s="123">
        <f t="shared" si="49"/>
        <v>1.58</v>
      </c>
      <c r="X127" s="123">
        <f t="shared" si="49"/>
        <v>1.58</v>
      </c>
      <c r="Y127" s="123">
        <f t="shared" si="49"/>
        <v>1.58</v>
      </c>
      <c r="Z127" s="123">
        <f t="shared" si="49"/>
        <v>1.58</v>
      </c>
      <c r="AA127" s="123">
        <f t="shared" si="49"/>
        <v>1.58</v>
      </c>
      <c r="AB127" s="123">
        <f t="shared" si="49"/>
        <v>1.58</v>
      </c>
      <c r="AC127" s="123">
        <f t="shared" si="49"/>
        <v>1.58</v>
      </c>
      <c r="AD127" s="123">
        <f t="shared" si="49"/>
        <v>1.58</v>
      </c>
      <c r="AE127" s="123">
        <f t="shared" si="49"/>
        <v>1.58</v>
      </c>
      <c r="AF127" s="123">
        <f t="shared" si="49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7"/>
        <v>1.46</v>
      </c>
      <c r="C128" s="124">
        <v>1.46</v>
      </c>
      <c r="D128" s="123">
        <f t="shared" si="50"/>
        <v>1.46</v>
      </c>
      <c r="E128" s="123">
        <f t="shared" si="50"/>
        <v>1.46</v>
      </c>
      <c r="F128" s="123">
        <f t="shared" si="50"/>
        <v>1.46</v>
      </c>
      <c r="G128" s="123">
        <f t="shared" si="50"/>
        <v>1.46</v>
      </c>
      <c r="H128" s="123">
        <f t="shared" si="50"/>
        <v>1.46</v>
      </c>
      <c r="I128" s="123">
        <f t="shared" si="50"/>
        <v>1.46</v>
      </c>
      <c r="J128" s="123">
        <f t="shared" si="50"/>
        <v>1.46</v>
      </c>
      <c r="K128" s="123">
        <f t="shared" si="50"/>
        <v>1.46</v>
      </c>
      <c r="L128" s="123">
        <f t="shared" si="50"/>
        <v>1.46</v>
      </c>
      <c r="M128" s="123">
        <f t="shared" si="50"/>
        <v>1.46</v>
      </c>
      <c r="N128" s="123">
        <f t="shared" si="50"/>
        <v>1.46</v>
      </c>
      <c r="O128" s="123">
        <f t="shared" si="50"/>
        <v>1.46</v>
      </c>
      <c r="P128" s="123">
        <f t="shared" si="50"/>
        <v>1.46</v>
      </c>
      <c r="Q128" s="123">
        <f t="shared" si="50"/>
        <v>1.46</v>
      </c>
      <c r="R128" s="123">
        <f t="shared" si="50"/>
        <v>1.46</v>
      </c>
      <c r="S128" s="123">
        <f t="shared" si="50"/>
        <v>1.46</v>
      </c>
      <c r="T128" s="123">
        <f t="shared" ref="T128:AF129" si="51">S128</f>
        <v>1.46</v>
      </c>
      <c r="U128" s="123">
        <f t="shared" si="51"/>
        <v>1.46</v>
      </c>
      <c r="V128" s="123">
        <f t="shared" si="51"/>
        <v>1.46</v>
      </c>
      <c r="W128" s="123">
        <f t="shared" si="51"/>
        <v>1.46</v>
      </c>
      <c r="X128" s="123">
        <f t="shared" si="51"/>
        <v>1.46</v>
      </c>
      <c r="Y128" s="123">
        <f t="shared" si="51"/>
        <v>1.46</v>
      </c>
      <c r="Z128" s="123">
        <f t="shared" si="51"/>
        <v>1.46</v>
      </c>
      <c r="AA128" s="123">
        <f t="shared" si="51"/>
        <v>1.46</v>
      </c>
      <c r="AB128" s="123">
        <f t="shared" si="51"/>
        <v>1.46</v>
      </c>
      <c r="AC128" s="123">
        <f t="shared" si="51"/>
        <v>1.46</v>
      </c>
      <c r="AD128" s="123">
        <f t="shared" si="51"/>
        <v>1.46</v>
      </c>
      <c r="AE128" s="123">
        <f t="shared" si="51"/>
        <v>1.46</v>
      </c>
      <c r="AF128" s="123">
        <f t="shared" si="51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7"/>
        <v>1.48</v>
      </c>
      <c r="C129" s="124">
        <v>1.48</v>
      </c>
      <c r="D129" s="123">
        <f t="shared" si="50"/>
        <v>1.48</v>
      </c>
      <c r="E129" s="123">
        <f t="shared" si="50"/>
        <v>1.48</v>
      </c>
      <c r="F129" s="123">
        <f t="shared" si="50"/>
        <v>1.48</v>
      </c>
      <c r="G129" s="123">
        <f t="shared" si="50"/>
        <v>1.48</v>
      </c>
      <c r="H129" s="123">
        <f t="shared" si="50"/>
        <v>1.48</v>
      </c>
      <c r="I129" s="123">
        <f t="shared" si="50"/>
        <v>1.48</v>
      </c>
      <c r="J129" s="123">
        <f t="shared" si="50"/>
        <v>1.48</v>
      </c>
      <c r="K129" s="123">
        <f t="shared" si="50"/>
        <v>1.48</v>
      </c>
      <c r="L129" s="123">
        <f t="shared" si="50"/>
        <v>1.48</v>
      </c>
      <c r="M129" s="123">
        <f t="shared" si="50"/>
        <v>1.48</v>
      </c>
      <c r="N129" s="123">
        <f t="shared" si="50"/>
        <v>1.48</v>
      </c>
      <c r="O129" s="123">
        <f t="shared" si="50"/>
        <v>1.48</v>
      </c>
      <c r="P129" s="123">
        <f t="shared" si="50"/>
        <v>1.48</v>
      </c>
      <c r="Q129" s="123">
        <f t="shared" si="50"/>
        <v>1.48</v>
      </c>
      <c r="R129" s="123">
        <f t="shared" si="50"/>
        <v>1.48</v>
      </c>
      <c r="S129" s="123">
        <f t="shared" si="50"/>
        <v>1.48</v>
      </c>
      <c r="T129" s="123">
        <f t="shared" si="51"/>
        <v>1.48</v>
      </c>
      <c r="U129" s="123">
        <f t="shared" si="51"/>
        <v>1.48</v>
      </c>
      <c r="V129" s="123">
        <f t="shared" si="51"/>
        <v>1.48</v>
      </c>
      <c r="W129" s="123">
        <f t="shared" si="51"/>
        <v>1.48</v>
      </c>
      <c r="X129" s="123">
        <f t="shared" si="51"/>
        <v>1.48</v>
      </c>
      <c r="Y129" s="123">
        <f t="shared" si="51"/>
        <v>1.48</v>
      </c>
      <c r="Z129" s="123">
        <f t="shared" si="51"/>
        <v>1.48</v>
      </c>
      <c r="AA129" s="123">
        <f t="shared" si="51"/>
        <v>1.48</v>
      </c>
      <c r="AB129" s="123">
        <f t="shared" si="51"/>
        <v>1.48</v>
      </c>
      <c r="AC129" s="123">
        <f t="shared" si="51"/>
        <v>1.48</v>
      </c>
      <c r="AD129" s="123">
        <f t="shared" si="51"/>
        <v>1.48</v>
      </c>
      <c r="AE129" s="123">
        <f t="shared" si="51"/>
        <v>1.48</v>
      </c>
      <c r="AF129" s="123">
        <f t="shared" si="51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52">AF131</f>
        <v>2.2000000000000002</v>
      </c>
      <c r="C131" s="124">
        <v>2.2000000000000002</v>
      </c>
      <c r="D131" s="123">
        <f t="shared" ref="D131:S138" si="53">C131</f>
        <v>2.2000000000000002</v>
      </c>
      <c r="E131" s="123">
        <f t="shared" si="53"/>
        <v>2.2000000000000002</v>
      </c>
      <c r="F131" s="123">
        <f t="shared" si="53"/>
        <v>2.2000000000000002</v>
      </c>
      <c r="G131" s="123">
        <f t="shared" si="53"/>
        <v>2.2000000000000002</v>
      </c>
      <c r="H131" s="123">
        <f t="shared" si="53"/>
        <v>2.2000000000000002</v>
      </c>
      <c r="I131" s="123">
        <f t="shared" si="53"/>
        <v>2.2000000000000002</v>
      </c>
      <c r="J131" s="123">
        <f t="shared" si="53"/>
        <v>2.2000000000000002</v>
      </c>
      <c r="K131" s="123">
        <f t="shared" si="53"/>
        <v>2.2000000000000002</v>
      </c>
      <c r="L131" s="123">
        <f t="shared" si="53"/>
        <v>2.2000000000000002</v>
      </c>
      <c r="M131" s="123">
        <f t="shared" si="53"/>
        <v>2.2000000000000002</v>
      </c>
      <c r="N131" s="123">
        <f t="shared" si="53"/>
        <v>2.2000000000000002</v>
      </c>
      <c r="O131" s="123">
        <f t="shared" si="53"/>
        <v>2.2000000000000002</v>
      </c>
      <c r="P131" s="123">
        <f t="shared" si="53"/>
        <v>2.2000000000000002</v>
      </c>
      <c r="Q131" s="123">
        <f t="shared" si="53"/>
        <v>2.2000000000000002</v>
      </c>
      <c r="R131" s="123">
        <f t="shared" si="53"/>
        <v>2.2000000000000002</v>
      </c>
      <c r="S131" s="123">
        <f t="shared" si="53"/>
        <v>2.2000000000000002</v>
      </c>
      <c r="T131" s="123">
        <f t="shared" ref="T131:AF138" si="54">S131</f>
        <v>2.2000000000000002</v>
      </c>
      <c r="U131" s="123">
        <f t="shared" si="54"/>
        <v>2.2000000000000002</v>
      </c>
      <c r="V131" s="123">
        <f t="shared" si="54"/>
        <v>2.2000000000000002</v>
      </c>
      <c r="W131" s="123">
        <f t="shared" si="54"/>
        <v>2.2000000000000002</v>
      </c>
      <c r="X131" s="123">
        <f t="shared" si="54"/>
        <v>2.2000000000000002</v>
      </c>
      <c r="Y131" s="123">
        <f t="shared" si="54"/>
        <v>2.2000000000000002</v>
      </c>
      <c r="Z131" s="123">
        <f t="shared" si="54"/>
        <v>2.2000000000000002</v>
      </c>
      <c r="AA131" s="123">
        <f t="shared" si="54"/>
        <v>2.2000000000000002</v>
      </c>
      <c r="AB131" s="123">
        <f t="shared" si="54"/>
        <v>2.2000000000000002</v>
      </c>
      <c r="AC131" s="123">
        <f t="shared" si="54"/>
        <v>2.2000000000000002</v>
      </c>
      <c r="AD131" s="123">
        <f t="shared" si="54"/>
        <v>2.2000000000000002</v>
      </c>
      <c r="AE131" s="123">
        <f t="shared" si="54"/>
        <v>2.2000000000000002</v>
      </c>
      <c r="AF131" s="123">
        <f t="shared" si="54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52"/>
        <v>2</v>
      </c>
      <c r="C132" s="124">
        <v>2</v>
      </c>
      <c r="D132" s="123">
        <f t="shared" si="53"/>
        <v>2</v>
      </c>
      <c r="E132" s="123">
        <f t="shared" si="53"/>
        <v>2</v>
      </c>
      <c r="F132" s="123">
        <f t="shared" si="53"/>
        <v>2</v>
      </c>
      <c r="G132" s="123">
        <f t="shared" si="53"/>
        <v>2</v>
      </c>
      <c r="H132" s="123">
        <f t="shared" si="53"/>
        <v>2</v>
      </c>
      <c r="I132" s="123">
        <f t="shared" si="53"/>
        <v>2</v>
      </c>
      <c r="J132" s="123">
        <f t="shared" si="53"/>
        <v>2</v>
      </c>
      <c r="K132" s="123">
        <f t="shared" si="53"/>
        <v>2</v>
      </c>
      <c r="L132" s="123">
        <f t="shared" si="53"/>
        <v>2</v>
      </c>
      <c r="M132" s="123">
        <f t="shared" si="53"/>
        <v>2</v>
      </c>
      <c r="N132" s="123">
        <f t="shared" si="53"/>
        <v>2</v>
      </c>
      <c r="O132" s="123">
        <f t="shared" si="53"/>
        <v>2</v>
      </c>
      <c r="P132" s="123">
        <f t="shared" si="53"/>
        <v>2</v>
      </c>
      <c r="Q132" s="123">
        <f t="shared" si="53"/>
        <v>2</v>
      </c>
      <c r="R132" s="123">
        <f t="shared" si="53"/>
        <v>2</v>
      </c>
      <c r="S132" s="123">
        <f t="shared" si="53"/>
        <v>2</v>
      </c>
      <c r="T132" s="123">
        <f t="shared" si="54"/>
        <v>2</v>
      </c>
      <c r="U132" s="123">
        <f t="shared" si="54"/>
        <v>2</v>
      </c>
      <c r="V132" s="123">
        <f t="shared" si="54"/>
        <v>2</v>
      </c>
      <c r="W132" s="123">
        <f t="shared" si="54"/>
        <v>2</v>
      </c>
      <c r="X132" s="123">
        <f t="shared" si="54"/>
        <v>2</v>
      </c>
      <c r="Y132" s="123">
        <f t="shared" si="54"/>
        <v>2</v>
      </c>
      <c r="Z132" s="123">
        <f t="shared" si="54"/>
        <v>2</v>
      </c>
      <c r="AA132" s="123">
        <f t="shared" si="54"/>
        <v>2</v>
      </c>
      <c r="AB132" s="123">
        <f t="shared" si="54"/>
        <v>2</v>
      </c>
      <c r="AC132" s="123">
        <f t="shared" si="54"/>
        <v>2</v>
      </c>
      <c r="AD132" s="123">
        <f t="shared" si="54"/>
        <v>2</v>
      </c>
      <c r="AE132" s="123">
        <f t="shared" si="54"/>
        <v>2</v>
      </c>
      <c r="AF132" s="123">
        <f t="shared" si="54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52"/>
        <v>1.25</v>
      </c>
      <c r="C133" s="124">
        <v>1.25</v>
      </c>
      <c r="D133" s="123">
        <f t="shared" si="53"/>
        <v>1.25</v>
      </c>
      <c r="E133" s="123">
        <f t="shared" si="53"/>
        <v>1.25</v>
      </c>
      <c r="F133" s="123">
        <f t="shared" si="53"/>
        <v>1.25</v>
      </c>
      <c r="G133" s="123">
        <f t="shared" si="53"/>
        <v>1.25</v>
      </c>
      <c r="H133" s="123">
        <f t="shared" si="53"/>
        <v>1.25</v>
      </c>
      <c r="I133" s="123">
        <f t="shared" si="53"/>
        <v>1.25</v>
      </c>
      <c r="J133" s="123">
        <f t="shared" si="53"/>
        <v>1.25</v>
      </c>
      <c r="K133" s="123">
        <f t="shared" si="53"/>
        <v>1.25</v>
      </c>
      <c r="L133" s="123">
        <f t="shared" si="53"/>
        <v>1.25</v>
      </c>
      <c r="M133" s="123">
        <f t="shared" si="53"/>
        <v>1.25</v>
      </c>
      <c r="N133" s="123">
        <f t="shared" si="53"/>
        <v>1.25</v>
      </c>
      <c r="O133" s="123">
        <f t="shared" si="53"/>
        <v>1.25</v>
      </c>
      <c r="P133" s="123">
        <f t="shared" si="53"/>
        <v>1.25</v>
      </c>
      <c r="Q133" s="123">
        <f t="shared" si="53"/>
        <v>1.25</v>
      </c>
      <c r="R133" s="123">
        <f t="shared" si="53"/>
        <v>1.25</v>
      </c>
      <c r="S133" s="123">
        <f t="shared" si="53"/>
        <v>1.25</v>
      </c>
      <c r="T133" s="123">
        <f t="shared" si="54"/>
        <v>1.25</v>
      </c>
      <c r="U133" s="123">
        <f t="shared" si="54"/>
        <v>1.25</v>
      </c>
      <c r="V133" s="123">
        <f t="shared" si="54"/>
        <v>1.25</v>
      </c>
      <c r="W133" s="123">
        <f t="shared" si="54"/>
        <v>1.25</v>
      </c>
      <c r="X133" s="123">
        <f t="shared" si="54"/>
        <v>1.25</v>
      </c>
      <c r="Y133" s="123">
        <f t="shared" si="54"/>
        <v>1.25</v>
      </c>
      <c r="Z133" s="123">
        <f t="shared" si="54"/>
        <v>1.25</v>
      </c>
      <c r="AA133" s="123">
        <f t="shared" si="54"/>
        <v>1.25</v>
      </c>
      <c r="AB133" s="123">
        <f t="shared" si="54"/>
        <v>1.25</v>
      </c>
      <c r="AC133" s="123">
        <f t="shared" si="54"/>
        <v>1.25</v>
      </c>
      <c r="AD133" s="123">
        <f t="shared" si="54"/>
        <v>1.25</v>
      </c>
      <c r="AE133" s="123">
        <f t="shared" si="54"/>
        <v>1.25</v>
      </c>
      <c r="AF133" s="123">
        <f t="shared" si="54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52"/>
        <v>1.1499999999999999</v>
      </c>
      <c r="C134" s="124">
        <v>1.1499999999999999</v>
      </c>
      <c r="D134" s="123">
        <f t="shared" si="53"/>
        <v>1.1499999999999999</v>
      </c>
      <c r="E134" s="123">
        <f t="shared" si="53"/>
        <v>1.1499999999999999</v>
      </c>
      <c r="F134" s="123">
        <f t="shared" si="53"/>
        <v>1.1499999999999999</v>
      </c>
      <c r="G134" s="123">
        <f t="shared" si="53"/>
        <v>1.1499999999999999</v>
      </c>
      <c r="H134" s="123">
        <f t="shared" si="53"/>
        <v>1.1499999999999999</v>
      </c>
      <c r="I134" s="123">
        <f t="shared" si="53"/>
        <v>1.1499999999999999</v>
      </c>
      <c r="J134" s="123">
        <f t="shared" si="53"/>
        <v>1.1499999999999999</v>
      </c>
      <c r="K134" s="123">
        <f t="shared" si="53"/>
        <v>1.1499999999999999</v>
      </c>
      <c r="L134" s="123">
        <f t="shared" si="53"/>
        <v>1.1499999999999999</v>
      </c>
      <c r="M134" s="123">
        <f t="shared" si="53"/>
        <v>1.1499999999999999</v>
      </c>
      <c r="N134" s="123">
        <f t="shared" si="53"/>
        <v>1.1499999999999999</v>
      </c>
      <c r="O134" s="123">
        <f t="shared" si="53"/>
        <v>1.1499999999999999</v>
      </c>
      <c r="P134" s="123">
        <f t="shared" si="53"/>
        <v>1.1499999999999999</v>
      </c>
      <c r="Q134" s="123">
        <f t="shared" si="53"/>
        <v>1.1499999999999999</v>
      </c>
      <c r="R134" s="123">
        <f t="shared" si="53"/>
        <v>1.1499999999999999</v>
      </c>
      <c r="S134" s="123">
        <f t="shared" si="53"/>
        <v>1.1499999999999999</v>
      </c>
      <c r="T134" s="123">
        <f t="shared" si="54"/>
        <v>1.1499999999999999</v>
      </c>
      <c r="U134" s="123">
        <f t="shared" si="54"/>
        <v>1.1499999999999999</v>
      </c>
      <c r="V134" s="123">
        <f t="shared" si="54"/>
        <v>1.1499999999999999</v>
      </c>
      <c r="W134" s="123">
        <f t="shared" si="54"/>
        <v>1.1499999999999999</v>
      </c>
      <c r="X134" s="123">
        <f t="shared" si="54"/>
        <v>1.1499999999999999</v>
      </c>
      <c r="Y134" s="123">
        <f t="shared" si="54"/>
        <v>1.1499999999999999</v>
      </c>
      <c r="Z134" s="123">
        <f t="shared" si="54"/>
        <v>1.1499999999999999</v>
      </c>
      <c r="AA134" s="123">
        <f t="shared" si="54"/>
        <v>1.1499999999999999</v>
      </c>
      <c r="AB134" s="123">
        <f t="shared" si="54"/>
        <v>1.1499999999999999</v>
      </c>
      <c r="AC134" s="123">
        <f t="shared" si="54"/>
        <v>1.1499999999999999</v>
      </c>
      <c r="AD134" s="123">
        <f t="shared" si="54"/>
        <v>1.1499999999999999</v>
      </c>
      <c r="AE134" s="123">
        <f t="shared" si="54"/>
        <v>1.1499999999999999</v>
      </c>
      <c r="AF134" s="123">
        <f t="shared" si="54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52"/>
        <v>2.133</v>
      </c>
      <c r="C135" s="124">
        <v>2.133</v>
      </c>
      <c r="D135" s="123">
        <f t="shared" si="53"/>
        <v>2.133</v>
      </c>
      <c r="E135" s="123">
        <f t="shared" si="53"/>
        <v>2.133</v>
      </c>
      <c r="F135" s="123">
        <f t="shared" si="53"/>
        <v>2.133</v>
      </c>
      <c r="G135" s="123">
        <f t="shared" si="53"/>
        <v>2.133</v>
      </c>
      <c r="H135" s="123">
        <f t="shared" si="53"/>
        <v>2.133</v>
      </c>
      <c r="I135" s="123">
        <f t="shared" si="53"/>
        <v>2.133</v>
      </c>
      <c r="J135" s="123">
        <f t="shared" si="53"/>
        <v>2.133</v>
      </c>
      <c r="K135" s="123">
        <f t="shared" si="53"/>
        <v>2.133</v>
      </c>
      <c r="L135" s="123">
        <f t="shared" si="53"/>
        <v>2.133</v>
      </c>
      <c r="M135" s="123">
        <f t="shared" si="53"/>
        <v>2.133</v>
      </c>
      <c r="N135" s="123">
        <f t="shared" si="53"/>
        <v>2.133</v>
      </c>
      <c r="O135" s="123">
        <f t="shared" si="53"/>
        <v>2.133</v>
      </c>
      <c r="P135" s="123">
        <f t="shared" si="53"/>
        <v>2.133</v>
      </c>
      <c r="Q135" s="123">
        <f t="shared" si="53"/>
        <v>2.133</v>
      </c>
      <c r="R135" s="123">
        <f t="shared" si="53"/>
        <v>2.133</v>
      </c>
      <c r="S135" s="123">
        <f t="shared" si="53"/>
        <v>2.133</v>
      </c>
      <c r="T135" s="123">
        <f t="shared" si="54"/>
        <v>2.133</v>
      </c>
      <c r="U135" s="123">
        <f t="shared" si="54"/>
        <v>2.133</v>
      </c>
      <c r="V135" s="123">
        <f t="shared" si="54"/>
        <v>2.133</v>
      </c>
      <c r="W135" s="123">
        <f t="shared" si="54"/>
        <v>2.133</v>
      </c>
      <c r="X135" s="123">
        <f t="shared" si="54"/>
        <v>2.133</v>
      </c>
      <c r="Y135" s="123">
        <f t="shared" si="54"/>
        <v>2.133</v>
      </c>
      <c r="Z135" s="123">
        <f t="shared" si="54"/>
        <v>2.133</v>
      </c>
      <c r="AA135" s="123">
        <f t="shared" si="54"/>
        <v>2.133</v>
      </c>
      <c r="AB135" s="123">
        <f t="shared" si="54"/>
        <v>2.133</v>
      </c>
      <c r="AC135" s="123">
        <f t="shared" si="54"/>
        <v>2.133</v>
      </c>
      <c r="AD135" s="123">
        <f t="shared" si="54"/>
        <v>2.133</v>
      </c>
      <c r="AE135" s="123">
        <f t="shared" si="54"/>
        <v>2.133</v>
      </c>
      <c r="AF135" s="123">
        <f t="shared" si="54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52"/>
        <v>2.09</v>
      </c>
      <c r="C136" s="124">
        <v>2.09</v>
      </c>
      <c r="D136" s="123">
        <f t="shared" si="53"/>
        <v>2.09</v>
      </c>
      <c r="E136" s="123">
        <f t="shared" si="53"/>
        <v>2.09</v>
      </c>
      <c r="F136" s="123">
        <f t="shared" si="53"/>
        <v>2.09</v>
      </c>
      <c r="G136" s="123">
        <f t="shared" si="53"/>
        <v>2.09</v>
      </c>
      <c r="H136" s="123">
        <f t="shared" si="53"/>
        <v>2.09</v>
      </c>
      <c r="I136" s="123">
        <f t="shared" si="53"/>
        <v>2.09</v>
      </c>
      <c r="J136" s="123">
        <f t="shared" si="53"/>
        <v>2.09</v>
      </c>
      <c r="K136" s="123">
        <f t="shared" si="53"/>
        <v>2.09</v>
      </c>
      <c r="L136" s="123">
        <f t="shared" si="53"/>
        <v>2.09</v>
      </c>
      <c r="M136" s="123">
        <f t="shared" si="53"/>
        <v>2.09</v>
      </c>
      <c r="N136" s="123">
        <f t="shared" si="53"/>
        <v>2.09</v>
      </c>
      <c r="O136" s="123">
        <f t="shared" si="53"/>
        <v>2.09</v>
      </c>
      <c r="P136" s="123">
        <f t="shared" si="53"/>
        <v>2.09</v>
      </c>
      <c r="Q136" s="123">
        <f t="shared" si="53"/>
        <v>2.09</v>
      </c>
      <c r="R136" s="123">
        <f t="shared" si="53"/>
        <v>2.09</v>
      </c>
      <c r="S136" s="123">
        <f t="shared" si="53"/>
        <v>2.09</v>
      </c>
      <c r="T136" s="123">
        <f t="shared" si="54"/>
        <v>2.09</v>
      </c>
      <c r="U136" s="123">
        <f t="shared" si="54"/>
        <v>2.09</v>
      </c>
      <c r="V136" s="123">
        <f t="shared" si="54"/>
        <v>2.09</v>
      </c>
      <c r="W136" s="123">
        <f t="shared" si="54"/>
        <v>2.09</v>
      </c>
      <c r="X136" s="123">
        <f t="shared" si="54"/>
        <v>2.09</v>
      </c>
      <c r="Y136" s="123">
        <f t="shared" si="54"/>
        <v>2.09</v>
      </c>
      <c r="Z136" s="123">
        <f t="shared" si="54"/>
        <v>2.09</v>
      </c>
      <c r="AA136" s="123">
        <f t="shared" si="54"/>
        <v>2.09</v>
      </c>
      <c r="AB136" s="123">
        <f t="shared" si="54"/>
        <v>2.09</v>
      </c>
      <c r="AC136" s="123">
        <f t="shared" si="54"/>
        <v>2.09</v>
      </c>
      <c r="AD136" s="123">
        <f t="shared" si="54"/>
        <v>2.09</v>
      </c>
      <c r="AE136" s="123">
        <f t="shared" si="54"/>
        <v>2.09</v>
      </c>
      <c r="AF136" s="123">
        <f t="shared" si="54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52"/>
        <v>1.1399999999999999</v>
      </c>
      <c r="C137" s="124">
        <v>1.1399999999999999</v>
      </c>
      <c r="D137" s="123">
        <f t="shared" si="53"/>
        <v>1.1399999999999999</v>
      </c>
      <c r="E137" s="123">
        <f t="shared" si="53"/>
        <v>1.1399999999999999</v>
      </c>
      <c r="F137" s="123">
        <f t="shared" si="53"/>
        <v>1.1399999999999999</v>
      </c>
      <c r="G137" s="123">
        <f t="shared" si="53"/>
        <v>1.1399999999999999</v>
      </c>
      <c r="H137" s="123">
        <f t="shared" si="53"/>
        <v>1.1399999999999999</v>
      </c>
      <c r="I137" s="123">
        <f t="shared" si="53"/>
        <v>1.1399999999999999</v>
      </c>
      <c r="J137" s="123">
        <f t="shared" si="53"/>
        <v>1.1399999999999999</v>
      </c>
      <c r="K137" s="123">
        <f t="shared" si="53"/>
        <v>1.1399999999999999</v>
      </c>
      <c r="L137" s="123">
        <f t="shared" si="53"/>
        <v>1.1399999999999999</v>
      </c>
      <c r="M137" s="123">
        <f t="shared" si="53"/>
        <v>1.1399999999999999</v>
      </c>
      <c r="N137" s="123">
        <f t="shared" si="53"/>
        <v>1.1399999999999999</v>
      </c>
      <c r="O137" s="123">
        <f t="shared" si="53"/>
        <v>1.1399999999999999</v>
      </c>
      <c r="P137" s="123">
        <f t="shared" si="53"/>
        <v>1.1399999999999999</v>
      </c>
      <c r="Q137" s="123">
        <f t="shared" si="53"/>
        <v>1.1399999999999999</v>
      </c>
      <c r="R137" s="123">
        <f t="shared" si="53"/>
        <v>1.1399999999999999</v>
      </c>
      <c r="S137" s="123">
        <f t="shared" si="53"/>
        <v>1.1399999999999999</v>
      </c>
      <c r="T137" s="123">
        <f t="shared" si="54"/>
        <v>1.1399999999999999</v>
      </c>
      <c r="U137" s="123">
        <f t="shared" si="54"/>
        <v>1.1399999999999999</v>
      </c>
      <c r="V137" s="123">
        <f t="shared" si="54"/>
        <v>1.1399999999999999</v>
      </c>
      <c r="W137" s="123">
        <f t="shared" si="54"/>
        <v>1.1399999999999999</v>
      </c>
      <c r="X137" s="123">
        <f t="shared" si="54"/>
        <v>1.1399999999999999</v>
      </c>
      <c r="Y137" s="123">
        <f t="shared" si="54"/>
        <v>1.1399999999999999</v>
      </c>
      <c r="Z137" s="123">
        <f t="shared" si="54"/>
        <v>1.1399999999999999</v>
      </c>
      <c r="AA137" s="123">
        <f t="shared" si="54"/>
        <v>1.1399999999999999</v>
      </c>
      <c r="AB137" s="123">
        <f t="shared" si="54"/>
        <v>1.1399999999999999</v>
      </c>
      <c r="AC137" s="123">
        <f t="shared" si="54"/>
        <v>1.1399999999999999</v>
      </c>
      <c r="AD137" s="123">
        <f t="shared" si="54"/>
        <v>1.1399999999999999</v>
      </c>
      <c r="AE137" s="123">
        <f t="shared" si="54"/>
        <v>1.1399999999999999</v>
      </c>
      <c r="AF137" s="123">
        <f t="shared" si="54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52"/>
        <v>0.82</v>
      </c>
      <c r="C138" s="124">
        <v>0.82</v>
      </c>
      <c r="D138" s="123">
        <f t="shared" si="53"/>
        <v>0.82</v>
      </c>
      <c r="E138" s="123">
        <f t="shared" si="53"/>
        <v>0.82</v>
      </c>
      <c r="F138" s="123">
        <f t="shared" si="53"/>
        <v>0.82</v>
      </c>
      <c r="G138" s="123">
        <f t="shared" si="53"/>
        <v>0.82</v>
      </c>
      <c r="H138" s="123">
        <f t="shared" si="53"/>
        <v>0.82</v>
      </c>
      <c r="I138" s="123">
        <f t="shared" si="53"/>
        <v>0.82</v>
      </c>
      <c r="J138" s="123">
        <f t="shared" si="53"/>
        <v>0.82</v>
      </c>
      <c r="K138" s="123">
        <f t="shared" si="53"/>
        <v>0.82</v>
      </c>
      <c r="L138" s="123">
        <f t="shared" si="53"/>
        <v>0.82</v>
      </c>
      <c r="M138" s="123">
        <f t="shared" si="53"/>
        <v>0.82</v>
      </c>
      <c r="N138" s="123">
        <f t="shared" si="53"/>
        <v>0.82</v>
      </c>
      <c r="O138" s="123">
        <f t="shared" si="53"/>
        <v>0.82</v>
      </c>
      <c r="P138" s="123">
        <f t="shared" si="53"/>
        <v>0.82</v>
      </c>
      <c r="Q138" s="123">
        <f t="shared" si="53"/>
        <v>0.82</v>
      </c>
      <c r="R138" s="123">
        <f t="shared" si="53"/>
        <v>0.82</v>
      </c>
      <c r="S138" s="123">
        <f t="shared" si="53"/>
        <v>0.82</v>
      </c>
      <c r="T138" s="123">
        <f t="shared" si="54"/>
        <v>0.82</v>
      </c>
      <c r="U138" s="123">
        <f t="shared" si="54"/>
        <v>0.82</v>
      </c>
      <c r="V138" s="123">
        <f t="shared" si="54"/>
        <v>0.82</v>
      </c>
      <c r="W138" s="123">
        <f t="shared" si="54"/>
        <v>0.82</v>
      </c>
      <c r="X138" s="123">
        <f t="shared" si="54"/>
        <v>0.82</v>
      </c>
      <c r="Y138" s="123">
        <f t="shared" si="54"/>
        <v>0.82</v>
      </c>
      <c r="Z138" s="123">
        <f t="shared" si="54"/>
        <v>0.82</v>
      </c>
      <c r="AA138" s="123">
        <f t="shared" si="54"/>
        <v>0.82</v>
      </c>
      <c r="AB138" s="123">
        <f t="shared" si="54"/>
        <v>0.82</v>
      </c>
      <c r="AC138" s="123">
        <f t="shared" si="54"/>
        <v>0.82</v>
      </c>
      <c r="AD138" s="123">
        <f t="shared" si="54"/>
        <v>0.82</v>
      </c>
      <c r="AE138" s="123">
        <f t="shared" si="54"/>
        <v>0.82</v>
      </c>
      <c r="AF138" s="123">
        <f t="shared" si="54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5">AF140</f>
        <v>2</v>
      </c>
      <c r="C140" s="124">
        <v>2</v>
      </c>
      <c r="D140" s="123">
        <f t="shared" ref="D140:S146" si="56">C140</f>
        <v>2</v>
      </c>
      <c r="E140" s="123">
        <f t="shared" si="56"/>
        <v>2</v>
      </c>
      <c r="F140" s="123">
        <f t="shared" si="56"/>
        <v>2</v>
      </c>
      <c r="G140" s="123">
        <f t="shared" si="56"/>
        <v>2</v>
      </c>
      <c r="H140" s="123">
        <f t="shared" si="56"/>
        <v>2</v>
      </c>
      <c r="I140" s="123">
        <f t="shared" si="56"/>
        <v>2</v>
      </c>
      <c r="J140" s="123">
        <f t="shared" si="56"/>
        <v>2</v>
      </c>
      <c r="K140" s="123">
        <f t="shared" si="56"/>
        <v>2</v>
      </c>
      <c r="L140" s="123">
        <f t="shared" si="56"/>
        <v>2</v>
      </c>
      <c r="M140" s="123">
        <f t="shared" si="56"/>
        <v>2</v>
      </c>
      <c r="N140" s="123">
        <f t="shared" si="56"/>
        <v>2</v>
      </c>
      <c r="O140" s="123">
        <f t="shared" si="56"/>
        <v>2</v>
      </c>
      <c r="P140" s="123">
        <f t="shared" si="56"/>
        <v>2</v>
      </c>
      <c r="Q140" s="123">
        <f t="shared" si="56"/>
        <v>2</v>
      </c>
      <c r="R140" s="123">
        <f t="shared" si="56"/>
        <v>2</v>
      </c>
      <c r="S140" s="123">
        <f t="shared" si="56"/>
        <v>2</v>
      </c>
      <c r="T140" s="123">
        <f t="shared" ref="T140:AF146" si="57">S140</f>
        <v>2</v>
      </c>
      <c r="U140" s="123">
        <f t="shared" si="57"/>
        <v>2</v>
      </c>
      <c r="V140" s="123">
        <f t="shared" si="57"/>
        <v>2</v>
      </c>
      <c r="W140" s="123">
        <f t="shared" si="57"/>
        <v>2</v>
      </c>
      <c r="X140" s="123">
        <f t="shared" si="57"/>
        <v>2</v>
      </c>
      <c r="Y140" s="123">
        <f t="shared" si="57"/>
        <v>2</v>
      </c>
      <c r="Z140" s="123">
        <f t="shared" si="57"/>
        <v>2</v>
      </c>
      <c r="AA140" s="123">
        <f t="shared" si="57"/>
        <v>2</v>
      </c>
      <c r="AB140" s="123">
        <f t="shared" si="57"/>
        <v>2</v>
      </c>
      <c r="AC140" s="123">
        <f t="shared" si="57"/>
        <v>2</v>
      </c>
      <c r="AD140" s="123">
        <f t="shared" si="57"/>
        <v>2</v>
      </c>
      <c r="AE140" s="123">
        <f t="shared" si="57"/>
        <v>2</v>
      </c>
      <c r="AF140" s="123">
        <f t="shared" si="57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5"/>
        <v>5.61</v>
      </c>
      <c r="C141" s="124">
        <v>5.61</v>
      </c>
      <c r="D141" s="123">
        <f t="shared" si="56"/>
        <v>5.61</v>
      </c>
      <c r="E141" s="123">
        <f t="shared" si="56"/>
        <v>5.61</v>
      </c>
      <c r="F141" s="123">
        <f t="shared" si="56"/>
        <v>5.61</v>
      </c>
      <c r="G141" s="123">
        <f t="shared" si="56"/>
        <v>5.61</v>
      </c>
      <c r="H141" s="123">
        <f t="shared" si="56"/>
        <v>5.61</v>
      </c>
      <c r="I141" s="123">
        <f t="shared" si="56"/>
        <v>5.61</v>
      </c>
      <c r="J141" s="123">
        <f t="shared" si="56"/>
        <v>5.61</v>
      </c>
      <c r="K141" s="123">
        <f t="shared" si="56"/>
        <v>5.61</v>
      </c>
      <c r="L141" s="123">
        <f t="shared" si="56"/>
        <v>5.61</v>
      </c>
      <c r="M141" s="123">
        <f t="shared" si="56"/>
        <v>5.61</v>
      </c>
      <c r="N141" s="123">
        <f t="shared" si="56"/>
        <v>5.61</v>
      </c>
      <c r="O141" s="123">
        <f t="shared" si="56"/>
        <v>5.61</v>
      </c>
      <c r="P141" s="123">
        <f t="shared" si="56"/>
        <v>5.61</v>
      </c>
      <c r="Q141" s="123">
        <f t="shared" si="56"/>
        <v>5.61</v>
      </c>
      <c r="R141" s="123">
        <f t="shared" si="56"/>
        <v>5.61</v>
      </c>
      <c r="S141" s="123">
        <f t="shared" si="56"/>
        <v>5.61</v>
      </c>
      <c r="T141" s="123">
        <f t="shared" si="57"/>
        <v>5.61</v>
      </c>
      <c r="U141" s="123">
        <f t="shared" si="57"/>
        <v>5.61</v>
      </c>
      <c r="V141" s="123">
        <f t="shared" si="57"/>
        <v>5.61</v>
      </c>
      <c r="W141" s="123">
        <f t="shared" si="57"/>
        <v>5.61</v>
      </c>
      <c r="X141" s="123">
        <f t="shared" si="57"/>
        <v>5.61</v>
      </c>
      <c r="Y141" s="123">
        <f t="shared" si="57"/>
        <v>5.61</v>
      </c>
      <c r="Z141" s="123">
        <f t="shared" si="57"/>
        <v>5.61</v>
      </c>
      <c r="AA141" s="123">
        <f t="shared" si="57"/>
        <v>5.61</v>
      </c>
      <c r="AB141" s="123">
        <f t="shared" si="57"/>
        <v>5.61</v>
      </c>
      <c r="AC141" s="123">
        <f t="shared" si="57"/>
        <v>5.61</v>
      </c>
      <c r="AD141" s="123">
        <f t="shared" si="57"/>
        <v>5.61</v>
      </c>
      <c r="AE141" s="123">
        <f t="shared" si="57"/>
        <v>5.61</v>
      </c>
      <c r="AF141" s="123">
        <f t="shared" si="57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5"/>
        <v>1.25</v>
      </c>
      <c r="C142" s="124">
        <v>1.25</v>
      </c>
      <c r="D142" s="123">
        <f t="shared" si="56"/>
        <v>1.25</v>
      </c>
      <c r="E142" s="123">
        <f t="shared" si="56"/>
        <v>1.25</v>
      </c>
      <c r="F142" s="123">
        <f t="shared" si="56"/>
        <v>1.25</v>
      </c>
      <c r="G142" s="123">
        <f t="shared" si="56"/>
        <v>1.25</v>
      </c>
      <c r="H142" s="123">
        <f t="shared" si="56"/>
        <v>1.25</v>
      </c>
      <c r="I142" s="123">
        <f t="shared" si="56"/>
        <v>1.25</v>
      </c>
      <c r="J142" s="123">
        <f t="shared" si="56"/>
        <v>1.25</v>
      </c>
      <c r="K142" s="123">
        <f t="shared" si="56"/>
        <v>1.25</v>
      </c>
      <c r="L142" s="123">
        <f t="shared" si="56"/>
        <v>1.25</v>
      </c>
      <c r="M142" s="123">
        <f t="shared" si="56"/>
        <v>1.25</v>
      </c>
      <c r="N142" s="123">
        <f t="shared" si="56"/>
        <v>1.25</v>
      </c>
      <c r="O142" s="123">
        <f t="shared" si="56"/>
        <v>1.25</v>
      </c>
      <c r="P142" s="123">
        <f t="shared" si="56"/>
        <v>1.25</v>
      </c>
      <c r="Q142" s="123">
        <f t="shared" si="56"/>
        <v>1.25</v>
      </c>
      <c r="R142" s="123">
        <f t="shared" si="56"/>
        <v>1.25</v>
      </c>
      <c r="S142" s="123">
        <f t="shared" si="56"/>
        <v>1.25</v>
      </c>
      <c r="T142" s="123">
        <f t="shared" si="57"/>
        <v>1.25</v>
      </c>
      <c r="U142" s="123">
        <f t="shared" si="57"/>
        <v>1.25</v>
      </c>
      <c r="V142" s="123">
        <f t="shared" si="57"/>
        <v>1.25</v>
      </c>
      <c r="W142" s="123">
        <f t="shared" si="57"/>
        <v>1.25</v>
      </c>
      <c r="X142" s="123">
        <f t="shared" si="57"/>
        <v>1.25</v>
      </c>
      <c r="Y142" s="123">
        <f t="shared" si="57"/>
        <v>1.25</v>
      </c>
      <c r="Z142" s="123">
        <f t="shared" si="57"/>
        <v>1.25</v>
      </c>
      <c r="AA142" s="123">
        <f t="shared" si="57"/>
        <v>1.25</v>
      </c>
      <c r="AB142" s="123">
        <f t="shared" si="57"/>
        <v>1.25</v>
      </c>
      <c r="AC142" s="123">
        <f t="shared" si="57"/>
        <v>1.25</v>
      </c>
      <c r="AD142" s="123">
        <f t="shared" si="57"/>
        <v>1.25</v>
      </c>
      <c r="AE142" s="123">
        <f t="shared" si="57"/>
        <v>1.25</v>
      </c>
      <c r="AF142" s="123">
        <f t="shared" si="57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5"/>
        <v>1.25</v>
      </c>
      <c r="C143" s="124">
        <v>1.25</v>
      </c>
      <c r="D143" s="123">
        <f t="shared" si="56"/>
        <v>1.25</v>
      </c>
      <c r="E143" s="123">
        <f t="shared" si="56"/>
        <v>1.25</v>
      </c>
      <c r="F143" s="123">
        <f t="shared" si="56"/>
        <v>1.25</v>
      </c>
      <c r="G143" s="123">
        <f t="shared" si="56"/>
        <v>1.25</v>
      </c>
      <c r="H143" s="123">
        <f t="shared" si="56"/>
        <v>1.25</v>
      </c>
      <c r="I143" s="123">
        <f t="shared" si="56"/>
        <v>1.25</v>
      </c>
      <c r="J143" s="123">
        <f t="shared" si="56"/>
        <v>1.25</v>
      </c>
      <c r="K143" s="123">
        <f t="shared" si="56"/>
        <v>1.25</v>
      </c>
      <c r="L143" s="123">
        <f t="shared" si="56"/>
        <v>1.25</v>
      </c>
      <c r="M143" s="123">
        <f t="shared" si="56"/>
        <v>1.25</v>
      </c>
      <c r="N143" s="123">
        <f t="shared" si="56"/>
        <v>1.25</v>
      </c>
      <c r="O143" s="123">
        <f t="shared" si="56"/>
        <v>1.25</v>
      </c>
      <c r="P143" s="123">
        <f t="shared" si="56"/>
        <v>1.25</v>
      </c>
      <c r="Q143" s="123">
        <f t="shared" si="56"/>
        <v>1.25</v>
      </c>
      <c r="R143" s="123">
        <f t="shared" si="56"/>
        <v>1.25</v>
      </c>
      <c r="S143" s="123">
        <f t="shared" si="56"/>
        <v>1.25</v>
      </c>
      <c r="T143" s="123">
        <f t="shared" si="57"/>
        <v>1.25</v>
      </c>
      <c r="U143" s="123">
        <f t="shared" si="57"/>
        <v>1.25</v>
      </c>
      <c r="V143" s="123">
        <f t="shared" si="57"/>
        <v>1.25</v>
      </c>
      <c r="W143" s="123">
        <f t="shared" si="57"/>
        <v>1.25</v>
      </c>
      <c r="X143" s="123">
        <f t="shared" si="57"/>
        <v>1.25</v>
      </c>
      <c r="Y143" s="123">
        <f t="shared" si="57"/>
        <v>1.25</v>
      </c>
      <c r="Z143" s="123">
        <f t="shared" si="57"/>
        <v>1.25</v>
      </c>
      <c r="AA143" s="123">
        <f t="shared" si="57"/>
        <v>1.25</v>
      </c>
      <c r="AB143" s="123">
        <f t="shared" si="57"/>
        <v>1.25</v>
      </c>
      <c r="AC143" s="123">
        <f t="shared" si="57"/>
        <v>1.25</v>
      </c>
      <c r="AD143" s="123">
        <f t="shared" si="57"/>
        <v>1.25</v>
      </c>
      <c r="AE143" s="123">
        <f t="shared" si="57"/>
        <v>1.25</v>
      </c>
      <c r="AF143" s="123">
        <f t="shared" si="57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5"/>
        <v>1.46</v>
      </c>
      <c r="C144" s="124">
        <v>1.46</v>
      </c>
      <c r="D144" s="123">
        <f t="shared" si="56"/>
        <v>1.46</v>
      </c>
      <c r="E144" s="123">
        <f t="shared" si="56"/>
        <v>1.46</v>
      </c>
      <c r="F144" s="123">
        <f t="shared" si="56"/>
        <v>1.46</v>
      </c>
      <c r="G144" s="123">
        <f t="shared" si="56"/>
        <v>1.46</v>
      </c>
      <c r="H144" s="123">
        <f t="shared" si="56"/>
        <v>1.46</v>
      </c>
      <c r="I144" s="123">
        <f t="shared" si="56"/>
        <v>1.46</v>
      </c>
      <c r="J144" s="123">
        <f t="shared" si="56"/>
        <v>1.46</v>
      </c>
      <c r="K144" s="123">
        <f t="shared" si="56"/>
        <v>1.46</v>
      </c>
      <c r="L144" s="123">
        <f t="shared" si="56"/>
        <v>1.46</v>
      </c>
      <c r="M144" s="123">
        <f t="shared" si="56"/>
        <v>1.46</v>
      </c>
      <c r="N144" s="123">
        <f t="shared" si="56"/>
        <v>1.46</v>
      </c>
      <c r="O144" s="123">
        <f t="shared" si="56"/>
        <v>1.46</v>
      </c>
      <c r="P144" s="123">
        <f t="shared" si="56"/>
        <v>1.46</v>
      </c>
      <c r="Q144" s="123">
        <f t="shared" si="56"/>
        <v>1.46</v>
      </c>
      <c r="R144" s="123">
        <f t="shared" si="56"/>
        <v>1.46</v>
      </c>
      <c r="S144" s="123">
        <f t="shared" si="56"/>
        <v>1.46</v>
      </c>
      <c r="T144" s="123">
        <f t="shared" si="57"/>
        <v>1.46</v>
      </c>
      <c r="U144" s="123">
        <f t="shared" si="57"/>
        <v>1.46</v>
      </c>
      <c r="V144" s="123">
        <f t="shared" si="57"/>
        <v>1.46</v>
      </c>
      <c r="W144" s="123">
        <f t="shared" si="57"/>
        <v>1.46</v>
      </c>
      <c r="X144" s="123">
        <f t="shared" si="57"/>
        <v>1.46</v>
      </c>
      <c r="Y144" s="123">
        <f t="shared" si="57"/>
        <v>1.46</v>
      </c>
      <c r="Z144" s="123">
        <f t="shared" si="57"/>
        <v>1.46</v>
      </c>
      <c r="AA144" s="123">
        <f t="shared" si="57"/>
        <v>1.46</v>
      </c>
      <c r="AB144" s="123">
        <f t="shared" si="57"/>
        <v>1.46</v>
      </c>
      <c r="AC144" s="123">
        <f t="shared" si="57"/>
        <v>1.46</v>
      </c>
      <c r="AD144" s="123">
        <f t="shared" si="57"/>
        <v>1.46</v>
      </c>
      <c r="AE144" s="123">
        <f t="shared" si="57"/>
        <v>1.46</v>
      </c>
      <c r="AF144" s="123">
        <f t="shared" si="57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5"/>
        <v>3</v>
      </c>
      <c r="C145" s="124">
        <v>3</v>
      </c>
      <c r="D145" s="123">
        <f t="shared" si="56"/>
        <v>3</v>
      </c>
      <c r="E145" s="123">
        <f t="shared" si="56"/>
        <v>3</v>
      </c>
      <c r="F145" s="123">
        <f t="shared" si="56"/>
        <v>3</v>
      </c>
      <c r="G145" s="123">
        <f t="shared" si="56"/>
        <v>3</v>
      </c>
      <c r="H145" s="123">
        <f t="shared" si="56"/>
        <v>3</v>
      </c>
      <c r="I145" s="123">
        <f t="shared" si="56"/>
        <v>3</v>
      </c>
      <c r="J145" s="123">
        <f t="shared" si="56"/>
        <v>3</v>
      </c>
      <c r="K145" s="123">
        <f t="shared" si="56"/>
        <v>3</v>
      </c>
      <c r="L145" s="123">
        <f t="shared" si="56"/>
        <v>3</v>
      </c>
      <c r="M145" s="123">
        <f t="shared" si="56"/>
        <v>3</v>
      </c>
      <c r="N145" s="123">
        <f t="shared" si="56"/>
        <v>3</v>
      </c>
      <c r="O145" s="123">
        <f t="shared" si="56"/>
        <v>3</v>
      </c>
      <c r="P145" s="123">
        <f t="shared" si="56"/>
        <v>3</v>
      </c>
      <c r="Q145" s="123">
        <f t="shared" si="56"/>
        <v>3</v>
      </c>
      <c r="R145" s="123">
        <f t="shared" si="56"/>
        <v>3</v>
      </c>
      <c r="S145" s="123">
        <f t="shared" si="56"/>
        <v>3</v>
      </c>
      <c r="T145" s="123">
        <f t="shared" si="57"/>
        <v>3</v>
      </c>
      <c r="U145" s="123">
        <f t="shared" si="57"/>
        <v>3</v>
      </c>
      <c r="V145" s="123">
        <f t="shared" si="57"/>
        <v>3</v>
      </c>
      <c r="W145" s="123">
        <f t="shared" si="57"/>
        <v>3</v>
      </c>
      <c r="X145" s="123">
        <f t="shared" si="57"/>
        <v>3</v>
      </c>
      <c r="Y145" s="123">
        <f t="shared" si="57"/>
        <v>3</v>
      </c>
      <c r="Z145" s="123">
        <f t="shared" si="57"/>
        <v>3</v>
      </c>
      <c r="AA145" s="123">
        <f t="shared" si="57"/>
        <v>3</v>
      </c>
      <c r="AB145" s="123">
        <f t="shared" si="57"/>
        <v>3</v>
      </c>
      <c r="AC145" s="123">
        <f t="shared" si="57"/>
        <v>3</v>
      </c>
      <c r="AD145" s="123">
        <f t="shared" si="57"/>
        <v>3</v>
      </c>
      <c r="AE145" s="123">
        <f t="shared" si="57"/>
        <v>3</v>
      </c>
      <c r="AF145" s="123">
        <f t="shared" si="57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5"/>
        <v>3.3</v>
      </c>
      <c r="C146" s="124">
        <v>3.3</v>
      </c>
      <c r="D146" s="123">
        <f t="shared" si="56"/>
        <v>3.3</v>
      </c>
      <c r="E146" s="123">
        <f t="shared" si="56"/>
        <v>3.3</v>
      </c>
      <c r="F146" s="123">
        <f t="shared" si="56"/>
        <v>3.3</v>
      </c>
      <c r="G146" s="123">
        <f t="shared" si="56"/>
        <v>3.3</v>
      </c>
      <c r="H146" s="123">
        <f t="shared" si="56"/>
        <v>3.3</v>
      </c>
      <c r="I146" s="123">
        <f t="shared" si="56"/>
        <v>3.3</v>
      </c>
      <c r="J146" s="123">
        <f t="shared" si="56"/>
        <v>3.3</v>
      </c>
      <c r="K146" s="123">
        <f t="shared" si="56"/>
        <v>3.3</v>
      </c>
      <c r="L146" s="123">
        <f t="shared" si="56"/>
        <v>3.3</v>
      </c>
      <c r="M146" s="123">
        <f t="shared" si="56"/>
        <v>3.3</v>
      </c>
      <c r="N146" s="123">
        <f t="shared" si="56"/>
        <v>3.3</v>
      </c>
      <c r="O146" s="123">
        <f t="shared" si="56"/>
        <v>3.3</v>
      </c>
      <c r="P146" s="123">
        <f t="shared" si="56"/>
        <v>3.3</v>
      </c>
      <c r="Q146" s="123">
        <f t="shared" si="56"/>
        <v>3.3</v>
      </c>
      <c r="R146" s="123">
        <f t="shared" si="56"/>
        <v>3.3</v>
      </c>
      <c r="S146" s="123">
        <f t="shared" si="56"/>
        <v>3.3</v>
      </c>
      <c r="T146" s="123">
        <f t="shared" si="57"/>
        <v>3.3</v>
      </c>
      <c r="U146" s="123">
        <f t="shared" si="57"/>
        <v>3.3</v>
      </c>
      <c r="V146" s="123">
        <f t="shared" si="57"/>
        <v>3.3</v>
      </c>
      <c r="W146" s="123">
        <f t="shared" si="57"/>
        <v>3.3</v>
      </c>
      <c r="X146" s="123">
        <f t="shared" si="57"/>
        <v>3.3</v>
      </c>
      <c r="Y146" s="123">
        <f t="shared" si="57"/>
        <v>3.3</v>
      </c>
      <c r="Z146" s="123">
        <f t="shared" si="57"/>
        <v>3.3</v>
      </c>
      <c r="AA146" s="123">
        <f t="shared" si="57"/>
        <v>3.3</v>
      </c>
      <c r="AB146" s="123">
        <f t="shared" si="57"/>
        <v>3.3</v>
      </c>
      <c r="AC146" s="123">
        <f t="shared" si="57"/>
        <v>3.3</v>
      </c>
      <c r="AD146" s="123">
        <f t="shared" si="57"/>
        <v>3.3</v>
      </c>
      <c r="AE146" s="123">
        <f t="shared" si="57"/>
        <v>3.3</v>
      </c>
      <c r="AF146" s="123">
        <f t="shared" si="57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8">C148</f>
        <v>1.76</v>
      </c>
      <c r="E148" s="123">
        <f t="shared" si="58"/>
        <v>1.76</v>
      </c>
      <c r="F148" s="123">
        <f t="shared" si="58"/>
        <v>1.76</v>
      </c>
      <c r="G148" s="123">
        <f t="shared" si="58"/>
        <v>1.76</v>
      </c>
      <c r="H148" s="123">
        <f t="shared" si="58"/>
        <v>1.76</v>
      </c>
      <c r="I148" s="123">
        <f t="shared" si="58"/>
        <v>1.76</v>
      </c>
      <c r="J148" s="123">
        <f t="shared" si="58"/>
        <v>1.76</v>
      </c>
      <c r="K148" s="123">
        <f t="shared" si="58"/>
        <v>1.76</v>
      </c>
      <c r="L148" s="123">
        <f t="shared" si="58"/>
        <v>1.76</v>
      </c>
      <c r="M148" s="123">
        <f t="shared" si="58"/>
        <v>1.76</v>
      </c>
      <c r="N148" s="123">
        <f t="shared" si="58"/>
        <v>1.76</v>
      </c>
      <c r="O148" s="123">
        <f t="shared" si="58"/>
        <v>1.76</v>
      </c>
      <c r="P148" s="123">
        <f t="shared" si="58"/>
        <v>1.76</v>
      </c>
      <c r="Q148" s="123">
        <f t="shared" si="58"/>
        <v>1.76</v>
      </c>
      <c r="R148" s="123">
        <f t="shared" si="58"/>
        <v>1.76</v>
      </c>
      <c r="S148" s="123">
        <f t="shared" si="58"/>
        <v>1.76</v>
      </c>
      <c r="T148" s="123">
        <f t="shared" ref="T148:AF149" si="59">S148</f>
        <v>1.76</v>
      </c>
      <c r="U148" s="123">
        <f t="shared" si="59"/>
        <v>1.76</v>
      </c>
      <c r="V148" s="123">
        <f t="shared" si="59"/>
        <v>1.76</v>
      </c>
      <c r="W148" s="123">
        <f t="shared" si="59"/>
        <v>1.76</v>
      </c>
      <c r="X148" s="123">
        <f t="shared" si="59"/>
        <v>1.76</v>
      </c>
      <c r="Y148" s="123">
        <f t="shared" si="59"/>
        <v>1.76</v>
      </c>
      <c r="Z148" s="123">
        <f t="shared" si="59"/>
        <v>1.76</v>
      </c>
      <c r="AA148" s="123">
        <f t="shared" si="59"/>
        <v>1.76</v>
      </c>
      <c r="AB148" s="123">
        <f t="shared" si="59"/>
        <v>1.76</v>
      </c>
      <c r="AC148" s="123">
        <f t="shared" si="59"/>
        <v>1.76</v>
      </c>
      <c r="AD148" s="123">
        <f t="shared" si="59"/>
        <v>1.76</v>
      </c>
      <c r="AE148" s="123">
        <f t="shared" si="59"/>
        <v>1.76</v>
      </c>
      <c r="AF148" s="123">
        <f t="shared" si="59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8"/>
        <v>0</v>
      </c>
      <c r="E149" s="123">
        <f t="shared" si="58"/>
        <v>0</v>
      </c>
      <c r="F149" s="123">
        <f t="shared" si="58"/>
        <v>0</v>
      </c>
      <c r="G149" s="123">
        <f t="shared" si="58"/>
        <v>0</v>
      </c>
      <c r="H149" s="123">
        <f t="shared" si="58"/>
        <v>0</v>
      </c>
      <c r="I149" s="123">
        <f t="shared" si="58"/>
        <v>0</v>
      </c>
      <c r="J149" s="123">
        <f t="shared" si="58"/>
        <v>0</v>
      </c>
      <c r="K149" s="123">
        <f t="shared" si="58"/>
        <v>0</v>
      </c>
      <c r="L149" s="123">
        <f t="shared" si="58"/>
        <v>0</v>
      </c>
      <c r="M149" s="123">
        <f t="shared" si="58"/>
        <v>0</v>
      </c>
      <c r="N149" s="123">
        <f t="shared" si="58"/>
        <v>0</v>
      </c>
      <c r="O149" s="123">
        <f t="shared" si="58"/>
        <v>0</v>
      </c>
      <c r="P149" s="123">
        <f t="shared" si="58"/>
        <v>0</v>
      </c>
      <c r="Q149" s="123">
        <f t="shared" si="58"/>
        <v>0</v>
      </c>
      <c r="R149" s="123">
        <f t="shared" si="58"/>
        <v>0</v>
      </c>
      <c r="S149" s="123">
        <f t="shared" si="58"/>
        <v>0</v>
      </c>
      <c r="T149" s="123">
        <f t="shared" si="59"/>
        <v>0</v>
      </c>
      <c r="U149" s="123">
        <f t="shared" si="59"/>
        <v>0</v>
      </c>
      <c r="V149" s="123">
        <f t="shared" si="59"/>
        <v>0</v>
      </c>
      <c r="W149" s="123">
        <f t="shared" si="59"/>
        <v>0</v>
      </c>
      <c r="X149" s="123">
        <f t="shared" si="59"/>
        <v>0</v>
      </c>
      <c r="Y149" s="123">
        <f t="shared" si="59"/>
        <v>0</v>
      </c>
      <c r="Z149" s="123">
        <f t="shared" si="59"/>
        <v>0</v>
      </c>
      <c r="AA149" s="123">
        <f t="shared" si="59"/>
        <v>0</v>
      </c>
      <c r="AB149" s="123">
        <f t="shared" si="59"/>
        <v>0</v>
      </c>
      <c r="AC149" s="123">
        <f t="shared" si="59"/>
        <v>0</v>
      </c>
      <c r="AD149" s="123">
        <f t="shared" si="59"/>
        <v>0</v>
      </c>
      <c r="AE149" s="123">
        <f t="shared" si="59"/>
        <v>0</v>
      </c>
      <c r="AF149" s="123">
        <f t="shared" si="59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60">C151</f>
        <v>0.1</v>
      </c>
      <c r="E151" s="123">
        <f t="shared" si="60"/>
        <v>0.1</v>
      </c>
      <c r="F151" s="123">
        <f t="shared" si="60"/>
        <v>0.1</v>
      </c>
      <c r="G151" s="123">
        <f t="shared" si="60"/>
        <v>0.1</v>
      </c>
      <c r="H151" s="123">
        <f t="shared" si="60"/>
        <v>0.1</v>
      </c>
      <c r="I151" s="123">
        <f t="shared" si="60"/>
        <v>0.1</v>
      </c>
      <c r="J151" s="123">
        <f t="shared" si="60"/>
        <v>0.1</v>
      </c>
      <c r="K151" s="123">
        <f t="shared" si="60"/>
        <v>0.1</v>
      </c>
      <c r="L151" s="123">
        <f t="shared" si="60"/>
        <v>0.1</v>
      </c>
      <c r="M151" s="123">
        <f t="shared" si="60"/>
        <v>0.1</v>
      </c>
      <c r="N151" s="123">
        <f t="shared" si="60"/>
        <v>0.1</v>
      </c>
      <c r="O151" s="123">
        <f t="shared" si="60"/>
        <v>0.1</v>
      </c>
      <c r="P151" s="123">
        <f t="shared" si="60"/>
        <v>0.1</v>
      </c>
      <c r="Q151" s="123">
        <f t="shared" si="60"/>
        <v>0.1</v>
      </c>
      <c r="R151" s="123">
        <f t="shared" si="60"/>
        <v>0.1</v>
      </c>
      <c r="S151" s="123">
        <f t="shared" si="60"/>
        <v>0.1</v>
      </c>
      <c r="T151" s="123">
        <f t="shared" ref="T151:AF154" si="61">S151</f>
        <v>0.1</v>
      </c>
      <c r="U151" s="123">
        <f t="shared" si="61"/>
        <v>0.1</v>
      </c>
      <c r="V151" s="123">
        <f t="shared" si="61"/>
        <v>0.1</v>
      </c>
      <c r="W151" s="123">
        <f t="shared" si="61"/>
        <v>0.1</v>
      </c>
      <c r="X151" s="123">
        <f t="shared" si="61"/>
        <v>0.1</v>
      </c>
      <c r="Y151" s="123">
        <f t="shared" si="61"/>
        <v>0.1</v>
      </c>
      <c r="Z151" s="123">
        <f t="shared" si="61"/>
        <v>0.1</v>
      </c>
      <c r="AA151" s="123">
        <f t="shared" si="61"/>
        <v>0.1</v>
      </c>
      <c r="AB151" s="123">
        <f t="shared" si="61"/>
        <v>0.1</v>
      </c>
      <c r="AC151" s="123">
        <f t="shared" si="61"/>
        <v>0.1</v>
      </c>
      <c r="AD151" s="123">
        <f t="shared" si="61"/>
        <v>0.1</v>
      </c>
      <c r="AE151" s="123">
        <f t="shared" si="61"/>
        <v>0.1</v>
      </c>
      <c r="AF151" s="123">
        <f t="shared" si="61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60"/>
        <v>2.0499999999999998</v>
      </c>
      <c r="E152" s="123">
        <f t="shared" si="60"/>
        <v>2.0499999999999998</v>
      </c>
      <c r="F152" s="123">
        <f t="shared" si="60"/>
        <v>2.0499999999999998</v>
      </c>
      <c r="G152" s="123">
        <f t="shared" si="60"/>
        <v>2.0499999999999998</v>
      </c>
      <c r="H152" s="123">
        <f t="shared" si="60"/>
        <v>2.0499999999999998</v>
      </c>
      <c r="I152" s="123">
        <f t="shared" si="60"/>
        <v>2.0499999999999998</v>
      </c>
      <c r="J152" s="123">
        <f t="shared" si="60"/>
        <v>2.0499999999999998</v>
      </c>
      <c r="K152" s="123">
        <f t="shared" si="60"/>
        <v>2.0499999999999998</v>
      </c>
      <c r="L152" s="123">
        <f t="shared" si="60"/>
        <v>2.0499999999999998</v>
      </c>
      <c r="M152" s="123">
        <f t="shared" si="60"/>
        <v>2.0499999999999998</v>
      </c>
      <c r="N152" s="123">
        <f t="shared" si="60"/>
        <v>2.0499999999999998</v>
      </c>
      <c r="O152" s="123">
        <f t="shared" si="60"/>
        <v>2.0499999999999998</v>
      </c>
      <c r="P152" s="123">
        <f t="shared" si="60"/>
        <v>2.0499999999999998</v>
      </c>
      <c r="Q152" s="123">
        <f t="shared" si="60"/>
        <v>2.0499999999999998</v>
      </c>
      <c r="R152" s="123">
        <f t="shared" si="60"/>
        <v>2.0499999999999998</v>
      </c>
      <c r="S152" s="123">
        <f t="shared" si="60"/>
        <v>2.0499999999999998</v>
      </c>
      <c r="T152" s="123">
        <f t="shared" si="61"/>
        <v>2.0499999999999998</v>
      </c>
      <c r="U152" s="123">
        <f t="shared" si="61"/>
        <v>2.0499999999999998</v>
      </c>
      <c r="V152" s="123">
        <f t="shared" si="61"/>
        <v>2.0499999999999998</v>
      </c>
      <c r="W152" s="123">
        <f t="shared" si="61"/>
        <v>2.0499999999999998</v>
      </c>
      <c r="X152" s="123">
        <f t="shared" si="61"/>
        <v>2.0499999999999998</v>
      </c>
      <c r="Y152" s="123">
        <f t="shared" si="61"/>
        <v>2.0499999999999998</v>
      </c>
      <c r="Z152" s="123">
        <f t="shared" si="61"/>
        <v>2.0499999999999998</v>
      </c>
      <c r="AA152" s="123">
        <f t="shared" si="61"/>
        <v>2.0499999999999998</v>
      </c>
      <c r="AB152" s="123">
        <f t="shared" si="61"/>
        <v>2.0499999999999998</v>
      </c>
      <c r="AC152" s="123">
        <f t="shared" si="61"/>
        <v>2.0499999999999998</v>
      </c>
      <c r="AD152" s="123">
        <f t="shared" si="61"/>
        <v>2.0499999999999998</v>
      </c>
      <c r="AE152" s="123">
        <f t="shared" si="61"/>
        <v>2.0499999999999998</v>
      </c>
      <c r="AF152" s="123">
        <f t="shared" si="61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60"/>
        <v>2.7</v>
      </c>
      <c r="E153" s="123">
        <f t="shared" si="60"/>
        <v>2.7</v>
      </c>
      <c r="F153" s="123">
        <f t="shared" si="60"/>
        <v>2.7</v>
      </c>
      <c r="G153" s="123">
        <f t="shared" si="60"/>
        <v>2.7</v>
      </c>
      <c r="H153" s="123">
        <f t="shared" si="60"/>
        <v>2.7</v>
      </c>
      <c r="I153" s="123">
        <f t="shared" si="60"/>
        <v>2.7</v>
      </c>
      <c r="J153" s="123">
        <f t="shared" si="60"/>
        <v>2.7</v>
      </c>
      <c r="K153" s="123">
        <f t="shared" si="60"/>
        <v>2.7</v>
      </c>
      <c r="L153" s="123">
        <f t="shared" si="60"/>
        <v>2.7</v>
      </c>
      <c r="M153" s="123">
        <f t="shared" si="60"/>
        <v>2.7</v>
      </c>
      <c r="N153" s="123">
        <f t="shared" si="60"/>
        <v>2.7</v>
      </c>
      <c r="O153" s="123">
        <f t="shared" si="60"/>
        <v>2.7</v>
      </c>
      <c r="P153" s="123">
        <f t="shared" si="60"/>
        <v>2.7</v>
      </c>
      <c r="Q153" s="123">
        <f t="shared" si="60"/>
        <v>2.7</v>
      </c>
      <c r="R153" s="123">
        <f t="shared" si="60"/>
        <v>2.7</v>
      </c>
      <c r="S153" s="123">
        <f t="shared" si="60"/>
        <v>2.7</v>
      </c>
      <c r="T153" s="123">
        <f t="shared" si="61"/>
        <v>2.7</v>
      </c>
      <c r="U153" s="123">
        <f t="shared" si="61"/>
        <v>2.7</v>
      </c>
      <c r="V153" s="123">
        <f t="shared" si="61"/>
        <v>2.7</v>
      </c>
      <c r="W153" s="123">
        <f t="shared" si="61"/>
        <v>2.7</v>
      </c>
      <c r="X153" s="123">
        <f t="shared" si="61"/>
        <v>2.7</v>
      </c>
      <c r="Y153" s="123">
        <f t="shared" si="61"/>
        <v>2.7</v>
      </c>
      <c r="Z153" s="123">
        <f t="shared" si="61"/>
        <v>2.7</v>
      </c>
      <c r="AA153" s="123">
        <f t="shared" si="61"/>
        <v>2.7</v>
      </c>
      <c r="AB153" s="123">
        <f t="shared" si="61"/>
        <v>2.7</v>
      </c>
      <c r="AC153" s="123">
        <f t="shared" si="61"/>
        <v>2.7</v>
      </c>
      <c r="AD153" s="123">
        <f t="shared" si="61"/>
        <v>2.7</v>
      </c>
      <c r="AE153" s="123">
        <f t="shared" si="61"/>
        <v>2.7</v>
      </c>
      <c r="AF153" s="123">
        <f t="shared" si="61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60"/>
        <v>2.15</v>
      </c>
      <c r="E154" s="123">
        <f t="shared" si="60"/>
        <v>2.15</v>
      </c>
      <c r="F154" s="123">
        <f t="shared" si="60"/>
        <v>2.15</v>
      </c>
      <c r="G154" s="123">
        <f t="shared" si="60"/>
        <v>2.15</v>
      </c>
      <c r="H154" s="123">
        <f t="shared" si="60"/>
        <v>2.15</v>
      </c>
      <c r="I154" s="123">
        <f t="shared" si="60"/>
        <v>2.15</v>
      </c>
      <c r="J154" s="123">
        <f t="shared" si="60"/>
        <v>2.15</v>
      </c>
      <c r="K154" s="123">
        <f t="shared" si="60"/>
        <v>2.15</v>
      </c>
      <c r="L154" s="123">
        <f t="shared" si="60"/>
        <v>2.15</v>
      </c>
      <c r="M154" s="123">
        <f t="shared" si="60"/>
        <v>2.15</v>
      </c>
      <c r="N154" s="123">
        <f t="shared" si="60"/>
        <v>2.15</v>
      </c>
      <c r="O154" s="123">
        <f t="shared" si="60"/>
        <v>2.15</v>
      </c>
      <c r="P154" s="123">
        <f t="shared" si="60"/>
        <v>2.15</v>
      </c>
      <c r="Q154" s="123">
        <f t="shared" si="60"/>
        <v>2.15</v>
      </c>
      <c r="R154" s="123">
        <f t="shared" si="60"/>
        <v>2.15</v>
      </c>
      <c r="S154" s="123">
        <f t="shared" si="60"/>
        <v>2.15</v>
      </c>
      <c r="T154" s="123">
        <f t="shared" si="61"/>
        <v>2.15</v>
      </c>
      <c r="U154" s="123">
        <f t="shared" si="61"/>
        <v>2.15</v>
      </c>
      <c r="V154" s="123">
        <f t="shared" si="61"/>
        <v>2.15</v>
      </c>
      <c r="W154" s="123">
        <f t="shared" si="61"/>
        <v>2.15</v>
      </c>
      <c r="X154" s="123">
        <f t="shared" si="61"/>
        <v>2.15</v>
      </c>
      <c r="Y154" s="123">
        <f t="shared" si="61"/>
        <v>2.15</v>
      </c>
      <c r="Z154" s="123">
        <f t="shared" si="61"/>
        <v>2.15</v>
      </c>
      <c r="AA154" s="123">
        <f t="shared" si="61"/>
        <v>2.15</v>
      </c>
      <c r="AB154" s="123">
        <f t="shared" si="61"/>
        <v>2.15</v>
      </c>
      <c r="AC154" s="123">
        <f t="shared" si="61"/>
        <v>2.15</v>
      </c>
      <c r="AD154" s="123">
        <f t="shared" si="61"/>
        <v>2.15</v>
      </c>
      <c r="AE154" s="123">
        <f t="shared" si="61"/>
        <v>2.15</v>
      </c>
      <c r="AF154" s="123">
        <f t="shared" si="61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62">AF156</f>
        <v>0.9</v>
      </c>
      <c r="C156" s="124">
        <v>0.9</v>
      </c>
      <c r="D156" s="123">
        <f t="shared" ref="D156:S168" si="63">C156</f>
        <v>0.9</v>
      </c>
      <c r="E156" s="123">
        <f t="shared" si="63"/>
        <v>0.9</v>
      </c>
      <c r="F156" s="123">
        <f t="shared" si="63"/>
        <v>0.9</v>
      </c>
      <c r="G156" s="123">
        <f t="shared" si="63"/>
        <v>0.9</v>
      </c>
      <c r="H156" s="123">
        <f t="shared" si="63"/>
        <v>0.9</v>
      </c>
      <c r="I156" s="123">
        <f t="shared" si="63"/>
        <v>0.9</v>
      </c>
      <c r="J156" s="123">
        <f t="shared" si="63"/>
        <v>0.9</v>
      </c>
      <c r="K156" s="123">
        <f t="shared" si="63"/>
        <v>0.9</v>
      </c>
      <c r="L156" s="123">
        <f t="shared" si="63"/>
        <v>0.9</v>
      </c>
      <c r="M156" s="123">
        <f t="shared" si="63"/>
        <v>0.9</v>
      </c>
      <c r="N156" s="123">
        <f t="shared" si="63"/>
        <v>0.9</v>
      </c>
      <c r="O156" s="123">
        <f t="shared" si="63"/>
        <v>0.9</v>
      </c>
      <c r="P156" s="123">
        <f t="shared" si="63"/>
        <v>0.9</v>
      </c>
      <c r="Q156" s="123">
        <f t="shared" si="63"/>
        <v>0.9</v>
      </c>
      <c r="R156" s="123">
        <f t="shared" si="63"/>
        <v>0.9</v>
      </c>
      <c r="S156" s="123">
        <f t="shared" si="63"/>
        <v>0.9</v>
      </c>
      <c r="T156" s="123">
        <f t="shared" ref="S156:AF168" si="64">S156</f>
        <v>0.9</v>
      </c>
      <c r="U156" s="123">
        <f t="shared" si="64"/>
        <v>0.9</v>
      </c>
      <c r="V156" s="123">
        <f t="shared" si="64"/>
        <v>0.9</v>
      </c>
      <c r="W156" s="123">
        <f t="shared" si="64"/>
        <v>0.9</v>
      </c>
      <c r="X156" s="123">
        <f t="shared" si="64"/>
        <v>0.9</v>
      </c>
      <c r="Y156" s="123">
        <f t="shared" si="64"/>
        <v>0.9</v>
      </c>
      <c r="Z156" s="123">
        <f t="shared" si="64"/>
        <v>0.9</v>
      </c>
      <c r="AA156" s="123">
        <f t="shared" si="64"/>
        <v>0.9</v>
      </c>
      <c r="AB156" s="123">
        <f t="shared" si="64"/>
        <v>0.9</v>
      </c>
      <c r="AC156" s="123">
        <f t="shared" si="64"/>
        <v>0.9</v>
      </c>
      <c r="AD156" s="123">
        <f t="shared" si="64"/>
        <v>0.9</v>
      </c>
      <c r="AE156" s="123">
        <f t="shared" si="64"/>
        <v>0.9</v>
      </c>
      <c r="AF156" s="123">
        <f t="shared" si="64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62"/>
        <v>1.08</v>
      </c>
      <c r="C157" s="124">
        <v>1.08</v>
      </c>
      <c r="D157" s="123">
        <f t="shared" si="63"/>
        <v>1.08</v>
      </c>
      <c r="E157" s="123">
        <f t="shared" si="63"/>
        <v>1.08</v>
      </c>
      <c r="F157" s="123">
        <f t="shared" si="63"/>
        <v>1.08</v>
      </c>
      <c r="G157" s="123">
        <f t="shared" si="63"/>
        <v>1.08</v>
      </c>
      <c r="H157" s="123">
        <f t="shared" si="63"/>
        <v>1.08</v>
      </c>
      <c r="I157" s="123">
        <f t="shared" si="63"/>
        <v>1.08</v>
      </c>
      <c r="J157" s="123">
        <f t="shared" si="63"/>
        <v>1.08</v>
      </c>
      <c r="K157" s="123">
        <f t="shared" si="63"/>
        <v>1.08</v>
      </c>
      <c r="L157" s="123">
        <f t="shared" si="63"/>
        <v>1.08</v>
      </c>
      <c r="M157" s="123">
        <f t="shared" si="63"/>
        <v>1.08</v>
      </c>
      <c r="N157" s="123">
        <f t="shared" si="63"/>
        <v>1.08</v>
      </c>
      <c r="O157" s="123">
        <f t="shared" si="63"/>
        <v>1.08</v>
      </c>
      <c r="P157" s="123">
        <f t="shared" si="63"/>
        <v>1.08</v>
      </c>
      <c r="Q157" s="123">
        <f t="shared" si="63"/>
        <v>1.08</v>
      </c>
      <c r="R157" s="123">
        <f t="shared" si="63"/>
        <v>1.08</v>
      </c>
      <c r="S157" s="123">
        <f t="shared" si="63"/>
        <v>1.08</v>
      </c>
      <c r="T157" s="123">
        <f t="shared" si="64"/>
        <v>1.08</v>
      </c>
      <c r="U157" s="123">
        <f t="shared" si="64"/>
        <v>1.08</v>
      </c>
      <c r="V157" s="123">
        <f t="shared" si="64"/>
        <v>1.08</v>
      </c>
      <c r="W157" s="123">
        <f t="shared" si="64"/>
        <v>1.08</v>
      </c>
      <c r="X157" s="123">
        <f t="shared" si="64"/>
        <v>1.08</v>
      </c>
      <c r="Y157" s="123">
        <f t="shared" si="64"/>
        <v>1.08</v>
      </c>
      <c r="Z157" s="123">
        <f t="shared" si="64"/>
        <v>1.08</v>
      </c>
      <c r="AA157" s="123">
        <f t="shared" si="64"/>
        <v>1.08</v>
      </c>
      <c r="AB157" s="123">
        <f t="shared" si="64"/>
        <v>1.08</v>
      </c>
      <c r="AC157" s="123">
        <f t="shared" si="64"/>
        <v>1.08</v>
      </c>
      <c r="AD157" s="123">
        <f t="shared" si="64"/>
        <v>1.08</v>
      </c>
      <c r="AE157" s="123">
        <f t="shared" si="64"/>
        <v>1.08</v>
      </c>
      <c r="AF157" s="123">
        <f t="shared" si="64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62"/>
        <v>2.37</v>
      </c>
      <c r="C158" s="124">
        <v>2.37</v>
      </c>
      <c r="D158" s="123">
        <f t="shared" si="63"/>
        <v>2.37</v>
      </c>
      <c r="E158" s="123">
        <f t="shared" si="63"/>
        <v>2.37</v>
      </c>
      <c r="F158" s="123">
        <f t="shared" si="63"/>
        <v>2.37</v>
      </c>
      <c r="G158" s="123">
        <f t="shared" si="63"/>
        <v>2.37</v>
      </c>
      <c r="H158" s="123">
        <f t="shared" si="63"/>
        <v>2.37</v>
      </c>
      <c r="I158" s="123">
        <f t="shared" si="63"/>
        <v>2.37</v>
      </c>
      <c r="J158" s="123">
        <f t="shared" si="63"/>
        <v>2.37</v>
      </c>
      <c r="K158" s="123">
        <f t="shared" si="63"/>
        <v>2.37</v>
      </c>
      <c r="L158" s="123">
        <f t="shared" si="63"/>
        <v>2.37</v>
      </c>
      <c r="M158" s="123">
        <f t="shared" si="63"/>
        <v>2.37</v>
      </c>
      <c r="N158" s="123">
        <f t="shared" si="63"/>
        <v>2.37</v>
      </c>
      <c r="O158" s="123">
        <f t="shared" si="63"/>
        <v>2.37</v>
      </c>
      <c r="P158" s="123">
        <f t="shared" si="63"/>
        <v>2.37</v>
      </c>
      <c r="Q158" s="123">
        <f t="shared" si="63"/>
        <v>2.37</v>
      </c>
      <c r="R158" s="123">
        <f t="shared" si="63"/>
        <v>2.37</v>
      </c>
      <c r="S158" s="123">
        <f t="shared" si="63"/>
        <v>2.37</v>
      </c>
      <c r="T158" s="123">
        <f t="shared" si="64"/>
        <v>2.37</v>
      </c>
      <c r="U158" s="123">
        <f t="shared" si="64"/>
        <v>2.37</v>
      </c>
      <c r="V158" s="123">
        <f t="shared" si="64"/>
        <v>2.37</v>
      </c>
      <c r="W158" s="123">
        <f t="shared" si="64"/>
        <v>2.37</v>
      </c>
      <c r="X158" s="123">
        <f t="shared" si="64"/>
        <v>2.37</v>
      </c>
      <c r="Y158" s="123">
        <f t="shared" si="64"/>
        <v>2.37</v>
      </c>
      <c r="Z158" s="123">
        <f t="shared" si="64"/>
        <v>2.37</v>
      </c>
      <c r="AA158" s="123">
        <f t="shared" si="64"/>
        <v>2.37</v>
      </c>
      <c r="AB158" s="123">
        <f t="shared" si="64"/>
        <v>2.37</v>
      </c>
      <c r="AC158" s="123">
        <f t="shared" si="64"/>
        <v>2.37</v>
      </c>
      <c r="AD158" s="123">
        <f t="shared" si="64"/>
        <v>2.37</v>
      </c>
      <c r="AE158" s="123">
        <f t="shared" si="64"/>
        <v>2.37</v>
      </c>
      <c r="AF158" s="123">
        <f t="shared" si="64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62"/>
        <v>1.81</v>
      </c>
      <c r="C159" s="124">
        <v>1.81</v>
      </c>
      <c r="D159" s="123">
        <f t="shared" si="63"/>
        <v>1.81</v>
      </c>
      <c r="E159" s="123">
        <f t="shared" si="63"/>
        <v>1.81</v>
      </c>
      <c r="F159" s="123">
        <f t="shared" si="63"/>
        <v>1.81</v>
      </c>
      <c r="G159" s="123">
        <f t="shared" si="63"/>
        <v>1.81</v>
      </c>
      <c r="H159" s="123">
        <f t="shared" si="63"/>
        <v>1.81</v>
      </c>
      <c r="I159" s="123">
        <f t="shared" si="63"/>
        <v>1.81</v>
      </c>
      <c r="J159" s="123">
        <f t="shared" si="63"/>
        <v>1.81</v>
      </c>
      <c r="K159" s="123">
        <f t="shared" si="63"/>
        <v>1.81</v>
      </c>
      <c r="L159" s="123">
        <f t="shared" si="63"/>
        <v>1.81</v>
      </c>
      <c r="M159" s="123">
        <f t="shared" si="63"/>
        <v>1.81</v>
      </c>
      <c r="N159" s="123">
        <f t="shared" si="63"/>
        <v>1.81</v>
      </c>
      <c r="O159" s="123">
        <f t="shared" si="63"/>
        <v>1.81</v>
      </c>
      <c r="P159" s="123">
        <f t="shared" si="63"/>
        <v>1.81</v>
      </c>
      <c r="Q159" s="123">
        <f t="shared" si="63"/>
        <v>1.81</v>
      </c>
      <c r="R159" s="123">
        <f t="shared" si="63"/>
        <v>1.81</v>
      </c>
      <c r="S159" s="123">
        <f t="shared" si="63"/>
        <v>1.81</v>
      </c>
      <c r="T159" s="123">
        <f t="shared" si="64"/>
        <v>1.81</v>
      </c>
      <c r="U159" s="123">
        <f t="shared" si="64"/>
        <v>1.81</v>
      </c>
      <c r="V159" s="123">
        <f t="shared" si="64"/>
        <v>1.81</v>
      </c>
      <c r="W159" s="123">
        <f t="shared" si="64"/>
        <v>1.81</v>
      </c>
      <c r="X159" s="123">
        <f t="shared" si="64"/>
        <v>1.81</v>
      </c>
      <c r="Y159" s="123">
        <f t="shared" si="64"/>
        <v>1.81</v>
      </c>
      <c r="Z159" s="123">
        <f t="shared" si="64"/>
        <v>1.81</v>
      </c>
      <c r="AA159" s="123">
        <f t="shared" si="64"/>
        <v>1.81</v>
      </c>
      <c r="AB159" s="123">
        <f t="shared" si="64"/>
        <v>1.81</v>
      </c>
      <c r="AC159" s="123">
        <f t="shared" si="64"/>
        <v>1.81</v>
      </c>
      <c r="AD159" s="123">
        <f t="shared" si="64"/>
        <v>1.81</v>
      </c>
      <c r="AE159" s="123">
        <f t="shared" si="64"/>
        <v>1.81</v>
      </c>
      <c r="AF159" s="123">
        <f t="shared" si="64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62"/>
        <v>1.0900000000000001</v>
      </c>
      <c r="C160" s="124">
        <v>1.0900000000000001</v>
      </c>
      <c r="D160" s="123">
        <f t="shared" si="63"/>
        <v>1.0900000000000001</v>
      </c>
      <c r="E160" s="123">
        <f t="shared" si="63"/>
        <v>1.0900000000000001</v>
      </c>
      <c r="F160" s="123">
        <f t="shared" si="63"/>
        <v>1.0900000000000001</v>
      </c>
      <c r="G160" s="123">
        <f t="shared" si="63"/>
        <v>1.0900000000000001</v>
      </c>
      <c r="H160" s="123">
        <f t="shared" si="63"/>
        <v>1.0900000000000001</v>
      </c>
      <c r="I160" s="123">
        <f t="shared" si="63"/>
        <v>1.0900000000000001</v>
      </c>
      <c r="J160" s="123">
        <f t="shared" si="63"/>
        <v>1.0900000000000001</v>
      </c>
      <c r="K160" s="123">
        <f t="shared" si="63"/>
        <v>1.0900000000000001</v>
      </c>
      <c r="L160" s="123">
        <f t="shared" si="63"/>
        <v>1.0900000000000001</v>
      </c>
      <c r="M160" s="123">
        <f t="shared" si="63"/>
        <v>1.0900000000000001</v>
      </c>
      <c r="N160" s="123">
        <f t="shared" si="63"/>
        <v>1.0900000000000001</v>
      </c>
      <c r="O160" s="123">
        <f t="shared" si="63"/>
        <v>1.0900000000000001</v>
      </c>
      <c r="P160" s="123">
        <f t="shared" si="63"/>
        <v>1.0900000000000001</v>
      </c>
      <c r="Q160" s="123">
        <f t="shared" si="63"/>
        <v>1.0900000000000001</v>
      </c>
      <c r="R160" s="123">
        <f t="shared" si="63"/>
        <v>1.0900000000000001</v>
      </c>
      <c r="S160" s="123">
        <f t="shared" si="63"/>
        <v>1.0900000000000001</v>
      </c>
      <c r="T160" s="123">
        <f t="shared" si="64"/>
        <v>1.0900000000000001</v>
      </c>
      <c r="U160" s="123">
        <f t="shared" si="64"/>
        <v>1.0900000000000001</v>
      </c>
      <c r="V160" s="123">
        <f t="shared" si="64"/>
        <v>1.0900000000000001</v>
      </c>
      <c r="W160" s="123">
        <f t="shared" si="64"/>
        <v>1.0900000000000001</v>
      </c>
      <c r="X160" s="123">
        <f t="shared" si="64"/>
        <v>1.0900000000000001</v>
      </c>
      <c r="Y160" s="123">
        <f t="shared" si="64"/>
        <v>1.0900000000000001</v>
      </c>
      <c r="Z160" s="123">
        <f t="shared" si="64"/>
        <v>1.0900000000000001</v>
      </c>
      <c r="AA160" s="123">
        <f t="shared" si="64"/>
        <v>1.0900000000000001</v>
      </c>
      <c r="AB160" s="123">
        <f t="shared" si="64"/>
        <v>1.0900000000000001</v>
      </c>
      <c r="AC160" s="123">
        <f t="shared" si="64"/>
        <v>1.0900000000000001</v>
      </c>
      <c r="AD160" s="123">
        <f t="shared" si="64"/>
        <v>1.0900000000000001</v>
      </c>
      <c r="AE160" s="123">
        <f t="shared" si="64"/>
        <v>1.0900000000000001</v>
      </c>
      <c r="AF160" s="123">
        <f t="shared" si="64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62"/>
        <v>1.58</v>
      </c>
      <c r="C161" s="124">
        <v>1.58</v>
      </c>
      <c r="D161" s="123">
        <f t="shared" si="63"/>
        <v>1.58</v>
      </c>
      <c r="E161" s="123">
        <f t="shared" si="63"/>
        <v>1.58</v>
      </c>
      <c r="F161" s="123">
        <f t="shared" si="63"/>
        <v>1.58</v>
      </c>
      <c r="G161" s="123">
        <f t="shared" si="63"/>
        <v>1.58</v>
      </c>
      <c r="H161" s="123">
        <f t="shared" si="63"/>
        <v>1.58</v>
      </c>
      <c r="I161" s="123">
        <f t="shared" si="63"/>
        <v>1.58</v>
      </c>
      <c r="J161" s="123">
        <f t="shared" si="63"/>
        <v>1.58</v>
      </c>
      <c r="K161" s="123">
        <f t="shared" si="63"/>
        <v>1.58</v>
      </c>
      <c r="L161" s="123">
        <f t="shared" si="63"/>
        <v>1.58</v>
      </c>
      <c r="M161" s="123">
        <f t="shared" si="63"/>
        <v>1.58</v>
      </c>
      <c r="N161" s="123">
        <f t="shared" si="63"/>
        <v>1.58</v>
      </c>
      <c r="O161" s="123">
        <f t="shared" si="63"/>
        <v>1.58</v>
      </c>
      <c r="P161" s="123">
        <f t="shared" si="63"/>
        <v>1.58</v>
      </c>
      <c r="Q161" s="123">
        <f t="shared" si="63"/>
        <v>1.58</v>
      </c>
      <c r="R161" s="123">
        <f t="shared" si="63"/>
        <v>1.58</v>
      </c>
      <c r="S161" s="123">
        <f t="shared" si="63"/>
        <v>1.58</v>
      </c>
      <c r="T161" s="123">
        <f t="shared" si="64"/>
        <v>1.58</v>
      </c>
      <c r="U161" s="123">
        <f t="shared" si="64"/>
        <v>1.58</v>
      </c>
      <c r="V161" s="123">
        <f t="shared" si="64"/>
        <v>1.58</v>
      </c>
      <c r="W161" s="123">
        <f t="shared" si="64"/>
        <v>1.58</v>
      </c>
      <c r="X161" s="123">
        <f t="shared" si="64"/>
        <v>1.58</v>
      </c>
      <c r="Y161" s="123">
        <f t="shared" si="64"/>
        <v>1.58</v>
      </c>
      <c r="Z161" s="123">
        <f t="shared" si="64"/>
        <v>1.58</v>
      </c>
      <c r="AA161" s="123">
        <f t="shared" si="64"/>
        <v>1.58</v>
      </c>
      <c r="AB161" s="123">
        <f t="shared" si="64"/>
        <v>1.58</v>
      </c>
      <c r="AC161" s="123">
        <f t="shared" si="64"/>
        <v>1.58</v>
      </c>
      <c r="AD161" s="123">
        <f t="shared" si="64"/>
        <v>1.58</v>
      </c>
      <c r="AE161" s="123">
        <f t="shared" si="64"/>
        <v>1.58</v>
      </c>
      <c r="AF161" s="123">
        <f t="shared" si="64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62"/>
        <v>2</v>
      </c>
      <c r="C162" s="124">
        <v>2</v>
      </c>
      <c r="D162" s="123">
        <f t="shared" si="63"/>
        <v>2</v>
      </c>
      <c r="E162" s="123">
        <f t="shared" si="63"/>
        <v>2</v>
      </c>
      <c r="F162" s="123">
        <f t="shared" si="63"/>
        <v>2</v>
      </c>
      <c r="G162" s="123">
        <f t="shared" si="63"/>
        <v>2</v>
      </c>
      <c r="H162" s="123">
        <f t="shared" si="63"/>
        <v>2</v>
      </c>
      <c r="I162" s="123">
        <f t="shared" si="63"/>
        <v>2</v>
      </c>
      <c r="J162" s="123">
        <f t="shared" si="63"/>
        <v>2</v>
      </c>
      <c r="K162" s="123">
        <f t="shared" si="63"/>
        <v>2</v>
      </c>
      <c r="L162" s="123">
        <f t="shared" si="63"/>
        <v>2</v>
      </c>
      <c r="M162" s="123">
        <f t="shared" si="63"/>
        <v>2</v>
      </c>
      <c r="N162" s="123">
        <f t="shared" si="63"/>
        <v>2</v>
      </c>
      <c r="O162" s="123">
        <f t="shared" si="63"/>
        <v>2</v>
      </c>
      <c r="P162" s="123">
        <f t="shared" si="63"/>
        <v>2</v>
      </c>
      <c r="Q162" s="123">
        <f t="shared" si="63"/>
        <v>2</v>
      </c>
      <c r="R162" s="123">
        <f t="shared" si="63"/>
        <v>2</v>
      </c>
      <c r="S162" s="123">
        <f t="shared" si="63"/>
        <v>2</v>
      </c>
      <c r="T162" s="123">
        <f t="shared" si="64"/>
        <v>2</v>
      </c>
      <c r="U162" s="123">
        <f t="shared" si="64"/>
        <v>2</v>
      </c>
      <c r="V162" s="123">
        <f t="shared" si="64"/>
        <v>2</v>
      </c>
      <c r="W162" s="123">
        <f t="shared" si="64"/>
        <v>2</v>
      </c>
      <c r="X162" s="123">
        <f t="shared" si="64"/>
        <v>2</v>
      </c>
      <c r="Y162" s="123">
        <f t="shared" si="64"/>
        <v>2</v>
      </c>
      <c r="Z162" s="123">
        <f t="shared" si="64"/>
        <v>2</v>
      </c>
      <c r="AA162" s="123">
        <f t="shared" si="64"/>
        <v>2</v>
      </c>
      <c r="AB162" s="123">
        <f t="shared" si="64"/>
        <v>2</v>
      </c>
      <c r="AC162" s="123">
        <f t="shared" si="64"/>
        <v>2</v>
      </c>
      <c r="AD162" s="123">
        <f t="shared" si="64"/>
        <v>2</v>
      </c>
      <c r="AE162" s="123">
        <f t="shared" si="64"/>
        <v>2</v>
      </c>
      <c r="AF162" s="123">
        <f t="shared" si="64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62"/>
        <v>0.47</v>
      </c>
      <c r="C163" s="124">
        <v>0.47</v>
      </c>
      <c r="D163" s="123">
        <f t="shared" si="63"/>
        <v>0.47</v>
      </c>
      <c r="E163" s="123">
        <f t="shared" si="63"/>
        <v>0.47</v>
      </c>
      <c r="F163" s="123">
        <f t="shared" si="63"/>
        <v>0.47</v>
      </c>
      <c r="G163" s="123">
        <f t="shared" si="63"/>
        <v>0.47</v>
      </c>
      <c r="H163" s="123">
        <f t="shared" si="63"/>
        <v>0.47</v>
      </c>
      <c r="I163" s="123">
        <f t="shared" si="63"/>
        <v>0.47</v>
      </c>
      <c r="J163" s="123">
        <f t="shared" si="63"/>
        <v>0.47</v>
      </c>
      <c r="K163" s="123">
        <f t="shared" si="63"/>
        <v>0.47</v>
      </c>
      <c r="L163" s="123">
        <f t="shared" si="63"/>
        <v>0.47</v>
      </c>
      <c r="M163" s="123">
        <f t="shared" si="63"/>
        <v>0.47</v>
      </c>
      <c r="N163" s="123">
        <f t="shared" si="63"/>
        <v>0.47</v>
      </c>
      <c r="O163" s="123">
        <f t="shared" si="63"/>
        <v>0.47</v>
      </c>
      <c r="P163" s="123">
        <f t="shared" si="63"/>
        <v>0.47</v>
      </c>
      <c r="Q163" s="123">
        <f t="shared" si="63"/>
        <v>0.47</v>
      </c>
      <c r="R163" s="123">
        <f t="shared" si="63"/>
        <v>0.47</v>
      </c>
      <c r="S163" s="123">
        <f t="shared" si="63"/>
        <v>0.47</v>
      </c>
      <c r="T163" s="123">
        <f t="shared" si="64"/>
        <v>0.47</v>
      </c>
      <c r="U163" s="123">
        <f t="shared" si="64"/>
        <v>0.47</v>
      </c>
      <c r="V163" s="123">
        <f t="shared" si="64"/>
        <v>0.47</v>
      </c>
      <c r="W163" s="123">
        <f t="shared" si="64"/>
        <v>0.47</v>
      </c>
      <c r="X163" s="123">
        <f t="shared" si="64"/>
        <v>0.47</v>
      </c>
      <c r="Y163" s="123">
        <f t="shared" si="64"/>
        <v>0.47</v>
      </c>
      <c r="Z163" s="123">
        <f t="shared" si="64"/>
        <v>0.47</v>
      </c>
      <c r="AA163" s="123">
        <f t="shared" si="64"/>
        <v>0.47</v>
      </c>
      <c r="AB163" s="123">
        <f t="shared" si="64"/>
        <v>0.47</v>
      </c>
      <c r="AC163" s="123">
        <f t="shared" si="64"/>
        <v>0.47</v>
      </c>
      <c r="AD163" s="123">
        <f t="shared" si="64"/>
        <v>0.47</v>
      </c>
      <c r="AE163" s="123">
        <f t="shared" si="64"/>
        <v>0.47</v>
      </c>
      <c r="AF163" s="123">
        <f t="shared" si="64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62"/>
        <v>0</v>
      </c>
      <c r="C164" s="124">
        <v>0</v>
      </c>
      <c r="D164" s="123">
        <f t="shared" si="63"/>
        <v>0</v>
      </c>
      <c r="E164" s="123">
        <f t="shared" si="63"/>
        <v>0</v>
      </c>
      <c r="F164" s="123">
        <f t="shared" si="63"/>
        <v>0</v>
      </c>
      <c r="G164" s="123">
        <f t="shared" si="63"/>
        <v>0</v>
      </c>
      <c r="H164" s="123">
        <f t="shared" si="63"/>
        <v>0</v>
      </c>
      <c r="I164" s="123">
        <f t="shared" si="63"/>
        <v>0</v>
      </c>
      <c r="J164" s="123">
        <f t="shared" si="63"/>
        <v>0</v>
      </c>
      <c r="K164" s="123">
        <f t="shared" si="63"/>
        <v>0</v>
      </c>
      <c r="L164" s="123">
        <f t="shared" si="63"/>
        <v>0</v>
      </c>
      <c r="M164" s="123">
        <f t="shared" si="63"/>
        <v>0</v>
      </c>
      <c r="N164" s="123">
        <f t="shared" si="63"/>
        <v>0</v>
      </c>
      <c r="O164" s="123">
        <f t="shared" si="63"/>
        <v>0</v>
      </c>
      <c r="P164" s="123">
        <f t="shared" si="63"/>
        <v>0</v>
      </c>
      <c r="Q164" s="123">
        <f t="shared" si="63"/>
        <v>0</v>
      </c>
      <c r="R164" s="123">
        <f t="shared" si="63"/>
        <v>0</v>
      </c>
      <c r="S164" s="123">
        <f t="shared" si="63"/>
        <v>0</v>
      </c>
      <c r="T164" s="123">
        <f t="shared" si="64"/>
        <v>0</v>
      </c>
      <c r="U164" s="123">
        <f t="shared" si="64"/>
        <v>0</v>
      </c>
      <c r="V164" s="123">
        <f t="shared" si="64"/>
        <v>0</v>
      </c>
      <c r="W164" s="123">
        <f t="shared" si="64"/>
        <v>0</v>
      </c>
      <c r="X164" s="123">
        <f t="shared" si="64"/>
        <v>0</v>
      </c>
      <c r="Y164" s="123">
        <f t="shared" si="64"/>
        <v>0</v>
      </c>
      <c r="Z164" s="123">
        <f t="shared" si="64"/>
        <v>0</v>
      </c>
      <c r="AA164" s="123">
        <f t="shared" si="64"/>
        <v>0</v>
      </c>
      <c r="AB164" s="123">
        <f t="shared" si="64"/>
        <v>0</v>
      </c>
      <c r="AC164" s="123">
        <f t="shared" si="64"/>
        <v>0</v>
      </c>
      <c r="AD164" s="123">
        <f t="shared" si="64"/>
        <v>0</v>
      </c>
      <c r="AE164" s="123">
        <f t="shared" si="64"/>
        <v>0</v>
      </c>
      <c r="AF164" s="123">
        <f t="shared" si="64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62"/>
        <v>0</v>
      </c>
      <c r="C165" s="124">
        <v>0</v>
      </c>
      <c r="D165" s="123">
        <f t="shared" si="63"/>
        <v>0</v>
      </c>
      <c r="E165" s="123">
        <f t="shared" si="63"/>
        <v>0</v>
      </c>
      <c r="F165" s="123">
        <f t="shared" si="63"/>
        <v>0</v>
      </c>
      <c r="G165" s="123">
        <f t="shared" si="63"/>
        <v>0</v>
      </c>
      <c r="H165" s="123">
        <f t="shared" si="63"/>
        <v>0</v>
      </c>
      <c r="I165" s="123">
        <f t="shared" si="63"/>
        <v>0</v>
      </c>
      <c r="J165" s="123">
        <f t="shared" si="63"/>
        <v>0</v>
      </c>
      <c r="K165" s="123">
        <f t="shared" si="63"/>
        <v>0</v>
      </c>
      <c r="L165" s="123">
        <f t="shared" si="63"/>
        <v>0</v>
      </c>
      <c r="M165" s="123">
        <f t="shared" si="63"/>
        <v>0</v>
      </c>
      <c r="N165" s="123">
        <f t="shared" si="63"/>
        <v>0</v>
      </c>
      <c r="O165" s="123">
        <f t="shared" si="63"/>
        <v>0</v>
      </c>
      <c r="P165" s="123">
        <f t="shared" si="63"/>
        <v>0</v>
      </c>
      <c r="Q165" s="123">
        <f t="shared" si="63"/>
        <v>0</v>
      </c>
      <c r="R165" s="123">
        <f t="shared" si="63"/>
        <v>0</v>
      </c>
      <c r="S165" s="123">
        <f t="shared" si="64"/>
        <v>0</v>
      </c>
      <c r="T165" s="123">
        <f t="shared" si="64"/>
        <v>0</v>
      </c>
      <c r="U165" s="123">
        <f t="shared" si="64"/>
        <v>0</v>
      </c>
      <c r="V165" s="123">
        <f t="shared" si="64"/>
        <v>0</v>
      </c>
      <c r="W165" s="123">
        <f t="shared" si="64"/>
        <v>0</v>
      </c>
      <c r="X165" s="123">
        <f t="shared" si="64"/>
        <v>0</v>
      </c>
      <c r="Y165" s="123">
        <f t="shared" si="64"/>
        <v>0</v>
      </c>
      <c r="Z165" s="123">
        <f t="shared" si="64"/>
        <v>0</v>
      </c>
      <c r="AA165" s="123">
        <f t="shared" si="64"/>
        <v>0</v>
      </c>
      <c r="AB165" s="123">
        <f t="shared" si="64"/>
        <v>0</v>
      </c>
      <c r="AC165" s="123">
        <f t="shared" si="64"/>
        <v>0</v>
      </c>
      <c r="AD165" s="123">
        <f t="shared" si="64"/>
        <v>0</v>
      </c>
      <c r="AE165" s="123">
        <f t="shared" si="64"/>
        <v>0</v>
      </c>
      <c r="AF165" s="123">
        <f t="shared" si="64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62"/>
        <v>0.8</v>
      </c>
      <c r="C166" s="124">
        <v>0.8</v>
      </c>
      <c r="D166" s="123">
        <f t="shared" si="63"/>
        <v>0.8</v>
      </c>
      <c r="E166" s="123">
        <f t="shared" si="63"/>
        <v>0.8</v>
      </c>
      <c r="F166" s="123">
        <f t="shared" si="63"/>
        <v>0.8</v>
      </c>
      <c r="G166" s="123">
        <f t="shared" si="63"/>
        <v>0.8</v>
      </c>
      <c r="H166" s="123">
        <f t="shared" si="63"/>
        <v>0.8</v>
      </c>
      <c r="I166" s="123">
        <f t="shared" si="63"/>
        <v>0.8</v>
      </c>
      <c r="J166" s="123">
        <f t="shared" si="63"/>
        <v>0.8</v>
      </c>
      <c r="K166" s="123">
        <f t="shared" si="63"/>
        <v>0.8</v>
      </c>
      <c r="L166" s="123">
        <f t="shared" si="63"/>
        <v>0.8</v>
      </c>
      <c r="M166" s="123">
        <f t="shared" si="63"/>
        <v>0.8</v>
      </c>
      <c r="N166" s="123">
        <f t="shared" si="63"/>
        <v>0.8</v>
      </c>
      <c r="O166" s="123">
        <f t="shared" si="63"/>
        <v>0.8</v>
      </c>
      <c r="P166" s="123">
        <f t="shared" si="63"/>
        <v>0.8</v>
      </c>
      <c r="Q166" s="123">
        <f t="shared" si="63"/>
        <v>0.8</v>
      </c>
      <c r="R166" s="123">
        <f t="shared" si="63"/>
        <v>0.8</v>
      </c>
      <c r="S166" s="123">
        <f t="shared" si="64"/>
        <v>0.8</v>
      </c>
      <c r="T166" s="123">
        <f t="shared" si="64"/>
        <v>0.8</v>
      </c>
      <c r="U166" s="123">
        <f t="shared" si="64"/>
        <v>0.8</v>
      </c>
      <c r="V166" s="123">
        <f t="shared" si="64"/>
        <v>0.8</v>
      </c>
      <c r="W166" s="123">
        <f t="shared" si="64"/>
        <v>0.8</v>
      </c>
      <c r="X166" s="123">
        <f t="shared" si="64"/>
        <v>0.8</v>
      </c>
      <c r="Y166" s="123">
        <f t="shared" si="64"/>
        <v>0.8</v>
      </c>
      <c r="Z166" s="123">
        <f t="shared" si="64"/>
        <v>0.8</v>
      </c>
      <c r="AA166" s="123">
        <f t="shared" si="64"/>
        <v>0.8</v>
      </c>
      <c r="AB166" s="123">
        <f t="shared" si="64"/>
        <v>0.8</v>
      </c>
      <c r="AC166" s="123">
        <f t="shared" si="64"/>
        <v>0.8</v>
      </c>
      <c r="AD166" s="123">
        <f t="shared" si="64"/>
        <v>0.8</v>
      </c>
      <c r="AE166" s="123">
        <f t="shared" si="64"/>
        <v>0.8</v>
      </c>
      <c r="AF166" s="123">
        <f t="shared" si="64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62"/>
        <v>1.5</v>
      </c>
      <c r="C167" s="124">
        <v>1.5</v>
      </c>
      <c r="D167" s="123">
        <f t="shared" si="63"/>
        <v>1.5</v>
      </c>
      <c r="E167" s="123">
        <f t="shared" si="63"/>
        <v>1.5</v>
      </c>
      <c r="F167" s="123">
        <f t="shared" si="63"/>
        <v>1.5</v>
      </c>
      <c r="G167" s="123">
        <f t="shared" si="63"/>
        <v>1.5</v>
      </c>
      <c r="H167" s="123">
        <f t="shared" si="63"/>
        <v>1.5</v>
      </c>
      <c r="I167" s="123">
        <f t="shared" si="63"/>
        <v>1.5</v>
      </c>
      <c r="J167" s="123">
        <f t="shared" si="63"/>
        <v>1.5</v>
      </c>
      <c r="K167" s="123">
        <f t="shared" si="63"/>
        <v>1.5</v>
      </c>
      <c r="L167" s="123">
        <f t="shared" si="63"/>
        <v>1.5</v>
      </c>
      <c r="M167" s="123">
        <f t="shared" si="63"/>
        <v>1.5</v>
      </c>
      <c r="N167" s="123">
        <f t="shared" si="63"/>
        <v>1.5</v>
      </c>
      <c r="O167" s="123">
        <f t="shared" si="63"/>
        <v>1.5</v>
      </c>
      <c r="P167" s="123">
        <f t="shared" si="63"/>
        <v>1.5</v>
      </c>
      <c r="Q167" s="123">
        <f t="shared" si="63"/>
        <v>1.5</v>
      </c>
      <c r="R167" s="123">
        <f t="shared" si="63"/>
        <v>1.5</v>
      </c>
      <c r="S167" s="123">
        <f t="shared" si="64"/>
        <v>1.5</v>
      </c>
      <c r="T167" s="123">
        <f t="shared" si="64"/>
        <v>1.5</v>
      </c>
      <c r="U167" s="123">
        <f t="shared" si="64"/>
        <v>1.5</v>
      </c>
      <c r="V167" s="123">
        <f t="shared" si="64"/>
        <v>1.5</v>
      </c>
      <c r="W167" s="123">
        <f t="shared" si="64"/>
        <v>1.5</v>
      </c>
      <c r="X167" s="123">
        <f t="shared" si="64"/>
        <v>1.5</v>
      </c>
      <c r="Y167" s="123">
        <f t="shared" si="64"/>
        <v>1.5</v>
      </c>
      <c r="Z167" s="123">
        <f t="shared" si="64"/>
        <v>1.5</v>
      </c>
      <c r="AA167" s="123">
        <f t="shared" si="64"/>
        <v>1.5</v>
      </c>
      <c r="AB167" s="123">
        <f t="shared" si="64"/>
        <v>1.5</v>
      </c>
      <c r="AC167" s="123">
        <f t="shared" si="64"/>
        <v>1.5</v>
      </c>
      <c r="AD167" s="123">
        <f t="shared" si="64"/>
        <v>1.5</v>
      </c>
      <c r="AE167" s="123">
        <f t="shared" si="64"/>
        <v>1.5</v>
      </c>
      <c r="AF167" s="123">
        <f t="shared" si="64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62"/>
        <v>1</v>
      </c>
      <c r="C168" s="124">
        <v>1</v>
      </c>
      <c r="D168" s="123">
        <f t="shared" si="63"/>
        <v>1</v>
      </c>
      <c r="E168" s="123">
        <f t="shared" si="63"/>
        <v>1</v>
      </c>
      <c r="F168" s="123">
        <f t="shared" si="63"/>
        <v>1</v>
      </c>
      <c r="G168" s="123">
        <f t="shared" si="63"/>
        <v>1</v>
      </c>
      <c r="H168" s="123">
        <f t="shared" si="63"/>
        <v>1</v>
      </c>
      <c r="I168" s="123">
        <f t="shared" si="63"/>
        <v>1</v>
      </c>
      <c r="J168" s="123">
        <f t="shared" si="63"/>
        <v>1</v>
      </c>
      <c r="K168" s="123">
        <f t="shared" si="63"/>
        <v>1</v>
      </c>
      <c r="L168" s="123">
        <f t="shared" si="63"/>
        <v>1</v>
      </c>
      <c r="M168" s="123">
        <f t="shared" si="63"/>
        <v>1</v>
      </c>
      <c r="N168" s="123">
        <f t="shared" si="63"/>
        <v>1</v>
      </c>
      <c r="O168" s="123">
        <f t="shared" si="63"/>
        <v>1</v>
      </c>
      <c r="P168" s="123">
        <f t="shared" si="63"/>
        <v>1</v>
      </c>
      <c r="Q168" s="123">
        <f t="shared" si="63"/>
        <v>1</v>
      </c>
      <c r="R168" s="123">
        <f t="shared" si="63"/>
        <v>1</v>
      </c>
      <c r="S168" s="123">
        <f t="shared" si="64"/>
        <v>1</v>
      </c>
      <c r="T168" s="123">
        <f t="shared" si="64"/>
        <v>1</v>
      </c>
      <c r="U168" s="123">
        <f t="shared" si="64"/>
        <v>1</v>
      </c>
      <c r="V168" s="123">
        <f t="shared" si="64"/>
        <v>1</v>
      </c>
      <c r="W168" s="123">
        <f t="shared" si="64"/>
        <v>1</v>
      </c>
      <c r="X168" s="123">
        <f t="shared" si="64"/>
        <v>1</v>
      </c>
      <c r="Y168" s="123">
        <f t="shared" si="64"/>
        <v>1</v>
      </c>
      <c r="Z168" s="123">
        <f t="shared" si="64"/>
        <v>1</v>
      </c>
      <c r="AA168" s="123">
        <f t="shared" si="64"/>
        <v>1</v>
      </c>
      <c r="AB168" s="123">
        <f t="shared" si="64"/>
        <v>1</v>
      </c>
      <c r="AC168" s="123">
        <f t="shared" si="64"/>
        <v>1</v>
      </c>
      <c r="AD168" s="123">
        <f t="shared" si="64"/>
        <v>1</v>
      </c>
      <c r="AE168" s="123">
        <f t="shared" si="64"/>
        <v>1</v>
      </c>
      <c r="AF168" s="123">
        <f t="shared" si="64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5">AF170</f>
        <v>1</v>
      </c>
      <c r="C170" s="124">
        <v>1</v>
      </c>
      <c r="D170" s="123">
        <f t="shared" ref="D170:S177" si="66">C170</f>
        <v>1</v>
      </c>
      <c r="E170" s="123">
        <f t="shared" si="66"/>
        <v>1</v>
      </c>
      <c r="F170" s="123">
        <f t="shared" si="66"/>
        <v>1</v>
      </c>
      <c r="G170" s="123">
        <f t="shared" si="66"/>
        <v>1</v>
      </c>
      <c r="H170" s="123">
        <f t="shared" si="66"/>
        <v>1</v>
      </c>
      <c r="I170" s="123">
        <f t="shared" si="66"/>
        <v>1</v>
      </c>
      <c r="J170" s="123">
        <f t="shared" si="66"/>
        <v>1</v>
      </c>
      <c r="K170" s="123">
        <f t="shared" si="66"/>
        <v>1</v>
      </c>
      <c r="L170" s="123">
        <f t="shared" si="66"/>
        <v>1</v>
      </c>
      <c r="M170" s="123">
        <f t="shared" si="66"/>
        <v>1</v>
      </c>
      <c r="N170" s="123">
        <f t="shared" si="66"/>
        <v>1</v>
      </c>
      <c r="O170" s="123">
        <f t="shared" si="66"/>
        <v>1</v>
      </c>
      <c r="P170" s="123">
        <f t="shared" si="66"/>
        <v>1</v>
      </c>
      <c r="Q170" s="123">
        <f t="shared" si="66"/>
        <v>1</v>
      </c>
      <c r="R170" s="123">
        <f t="shared" si="66"/>
        <v>1</v>
      </c>
      <c r="S170" s="123">
        <f t="shared" si="66"/>
        <v>1</v>
      </c>
      <c r="T170" s="123">
        <f t="shared" ref="S170:AF177" si="67">S170</f>
        <v>1</v>
      </c>
      <c r="U170" s="123">
        <f t="shared" si="67"/>
        <v>1</v>
      </c>
      <c r="V170" s="123">
        <f t="shared" si="67"/>
        <v>1</v>
      </c>
      <c r="W170" s="123">
        <f t="shared" si="67"/>
        <v>1</v>
      </c>
      <c r="X170" s="123">
        <f t="shared" si="67"/>
        <v>1</v>
      </c>
      <c r="Y170" s="123">
        <f t="shared" si="67"/>
        <v>1</v>
      </c>
      <c r="Z170" s="123">
        <f t="shared" si="67"/>
        <v>1</v>
      </c>
      <c r="AA170" s="123">
        <f t="shared" si="67"/>
        <v>1</v>
      </c>
      <c r="AB170" s="123">
        <f t="shared" si="67"/>
        <v>1</v>
      </c>
      <c r="AC170" s="123">
        <f t="shared" si="67"/>
        <v>1</v>
      </c>
      <c r="AD170" s="123">
        <f t="shared" si="67"/>
        <v>1</v>
      </c>
      <c r="AE170" s="123">
        <f t="shared" si="67"/>
        <v>1</v>
      </c>
      <c r="AF170" s="123">
        <f t="shared" si="67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5"/>
        <v>0.42</v>
      </c>
      <c r="C171" s="124">
        <v>0.42</v>
      </c>
      <c r="D171" s="123">
        <f t="shared" si="66"/>
        <v>0.42</v>
      </c>
      <c r="E171" s="123">
        <f t="shared" si="66"/>
        <v>0.42</v>
      </c>
      <c r="F171" s="123">
        <f t="shared" si="66"/>
        <v>0.42</v>
      </c>
      <c r="G171" s="123">
        <f t="shared" si="66"/>
        <v>0.42</v>
      </c>
      <c r="H171" s="123">
        <f t="shared" si="66"/>
        <v>0.42</v>
      </c>
      <c r="I171" s="123">
        <f t="shared" si="66"/>
        <v>0.42</v>
      </c>
      <c r="J171" s="123">
        <f t="shared" si="66"/>
        <v>0.42</v>
      </c>
      <c r="K171" s="123">
        <f t="shared" si="66"/>
        <v>0.42</v>
      </c>
      <c r="L171" s="123">
        <f t="shared" si="66"/>
        <v>0.42</v>
      </c>
      <c r="M171" s="123">
        <f t="shared" si="66"/>
        <v>0.42</v>
      </c>
      <c r="N171" s="123">
        <f t="shared" si="66"/>
        <v>0.42</v>
      </c>
      <c r="O171" s="123">
        <f t="shared" si="66"/>
        <v>0.42</v>
      </c>
      <c r="P171" s="123">
        <f t="shared" si="66"/>
        <v>0.42</v>
      </c>
      <c r="Q171" s="123">
        <f t="shared" si="66"/>
        <v>0.42</v>
      </c>
      <c r="R171" s="123">
        <f t="shared" si="66"/>
        <v>0.42</v>
      </c>
      <c r="S171" s="123">
        <f t="shared" si="67"/>
        <v>0.42</v>
      </c>
      <c r="T171" s="123">
        <f t="shared" si="67"/>
        <v>0.42</v>
      </c>
      <c r="U171" s="123">
        <f t="shared" si="67"/>
        <v>0.42</v>
      </c>
      <c r="V171" s="123">
        <f t="shared" si="67"/>
        <v>0.42</v>
      </c>
      <c r="W171" s="123">
        <f t="shared" si="67"/>
        <v>0.42</v>
      </c>
      <c r="X171" s="123">
        <f t="shared" si="67"/>
        <v>0.42</v>
      </c>
      <c r="Y171" s="123">
        <f t="shared" si="67"/>
        <v>0.42</v>
      </c>
      <c r="Z171" s="123">
        <f t="shared" si="67"/>
        <v>0.42</v>
      </c>
      <c r="AA171" s="123">
        <f t="shared" si="67"/>
        <v>0.42</v>
      </c>
      <c r="AB171" s="123">
        <f t="shared" si="67"/>
        <v>0.42</v>
      </c>
      <c r="AC171" s="123">
        <f t="shared" si="67"/>
        <v>0.42</v>
      </c>
      <c r="AD171" s="123">
        <f t="shared" si="67"/>
        <v>0.42</v>
      </c>
      <c r="AE171" s="123">
        <f t="shared" si="67"/>
        <v>0.42</v>
      </c>
      <c r="AF171" s="123">
        <f t="shared" si="67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5"/>
        <v>0.46</v>
      </c>
      <c r="C172" s="124">
        <v>0.46</v>
      </c>
      <c r="D172" s="123">
        <f t="shared" si="66"/>
        <v>0.46</v>
      </c>
      <c r="E172" s="123">
        <f t="shared" si="66"/>
        <v>0.46</v>
      </c>
      <c r="F172" s="123">
        <f t="shared" si="66"/>
        <v>0.46</v>
      </c>
      <c r="G172" s="123">
        <f t="shared" si="66"/>
        <v>0.46</v>
      </c>
      <c r="H172" s="123">
        <f t="shared" si="66"/>
        <v>0.46</v>
      </c>
      <c r="I172" s="123">
        <f t="shared" si="66"/>
        <v>0.46</v>
      </c>
      <c r="J172" s="123">
        <f t="shared" si="66"/>
        <v>0.46</v>
      </c>
      <c r="K172" s="123">
        <f t="shared" si="66"/>
        <v>0.46</v>
      </c>
      <c r="L172" s="123">
        <f t="shared" si="66"/>
        <v>0.46</v>
      </c>
      <c r="M172" s="123">
        <f t="shared" si="66"/>
        <v>0.46</v>
      </c>
      <c r="N172" s="123">
        <f t="shared" si="66"/>
        <v>0.46</v>
      </c>
      <c r="O172" s="123">
        <f t="shared" si="66"/>
        <v>0.46</v>
      </c>
      <c r="P172" s="123">
        <f t="shared" si="66"/>
        <v>0.46</v>
      </c>
      <c r="Q172" s="123">
        <f t="shared" si="66"/>
        <v>0.46</v>
      </c>
      <c r="R172" s="123">
        <f t="shared" si="66"/>
        <v>0.46</v>
      </c>
      <c r="S172" s="123">
        <f t="shared" si="67"/>
        <v>0.46</v>
      </c>
      <c r="T172" s="123">
        <f t="shared" si="67"/>
        <v>0.46</v>
      </c>
      <c r="U172" s="123">
        <f t="shared" si="67"/>
        <v>0.46</v>
      </c>
      <c r="V172" s="123">
        <f t="shared" si="67"/>
        <v>0.46</v>
      </c>
      <c r="W172" s="123">
        <f t="shared" si="67"/>
        <v>0.46</v>
      </c>
      <c r="X172" s="123">
        <f t="shared" si="67"/>
        <v>0.46</v>
      </c>
      <c r="Y172" s="123">
        <f t="shared" si="67"/>
        <v>0.46</v>
      </c>
      <c r="Z172" s="123">
        <f t="shared" si="67"/>
        <v>0.46</v>
      </c>
      <c r="AA172" s="123">
        <f t="shared" si="67"/>
        <v>0.46</v>
      </c>
      <c r="AB172" s="123">
        <f t="shared" si="67"/>
        <v>0.46</v>
      </c>
      <c r="AC172" s="123">
        <f t="shared" si="67"/>
        <v>0.46</v>
      </c>
      <c r="AD172" s="123">
        <f t="shared" si="67"/>
        <v>0.46</v>
      </c>
      <c r="AE172" s="123">
        <f t="shared" si="67"/>
        <v>0.46</v>
      </c>
      <c r="AF172" s="123">
        <f t="shared" si="67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5"/>
        <v>0.85</v>
      </c>
      <c r="C173" s="124">
        <v>0.85</v>
      </c>
      <c r="D173" s="123">
        <f t="shared" si="66"/>
        <v>0.85</v>
      </c>
      <c r="E173" s="123">
        <f t="shared" si="66"/>
        <v>0.85</v>
      </c>
      <c r="F173" s="123">
        <f t="shared" si="66"/>
        <v>0.85</v>
      </c>
      <c r="G173" s="123">
        <f t="shared" si="66"/>
        <v>0.85</v>
      </c>
      <c r="H173" s="123">
        <f t="shared" si="66"/>
        <v>0.85</v>
      </c>
      <c r="I173" s="123">
        <f t="shared" si="66"/>
        <v>0.85</v>
      </c>
      <c r="J173" s="123">
        <f t="shared" si="66"/>
        <v>0.85</v>
      </c>
      <c r="K173" s="123">
        <f t="shared" si="66"/>
        <v>0.85</v>
      </c>
      <c r="L173" s="123">
        <f t="shared" si="66"/>
        <v>0.85</v>
      </c>
      <c r="M173" s="123">
        <f t="shared" si="66"/>
        <v>0.85</v>
      </c>
      <c r="N173" s="123">
        <f t="shared" si="66"/>
        <v>0.85</v>
      </c>
      <c r="O173" s="123">
        <f t="shared" si="66"/>
        <v>0.85</v>
      </c>
      <c r="P173" s="123">
        <f t="shared" si="66"/>
        <v>0.85</v>
      </c>
      <c r="Q173" s="123">
        <f t="shared" si="66"/>
        <v>0.85</v>
      </c>
      <c r="R173" s="123">
        <f t="shared" si="66"/>
        <v>0.85</v>
      </c>
      <c r="S173" s="123">
        <f t="shared" si="67"/>
        <v>0.85</v>
      </c>
      <c r="T173" s="123">
        <f t="shared" si="67"/>
        <v>0.85</v>
      </c>
      <c r="U173" s="123">
        <f t="shared" si="67"/>
        <v>0.85</v>
      </c>
      <c r="V173" s="123">
        <f t="shared" si="67"/>
        <v>0.85</v>
      </c>
      <c r="W173" s="123">
        <f t="shared" si="67"/>
        <v>0.85</v>
      </c>
      <c r="X173" s="123">
        <f t="shared" si="67"/>
        <v>0.85</v>
      </c>
      <c r="Y173" s="123">
        <f t="shared" si="67"/>
        <v>0.85</v>
      </c>
      <c r="Z173" s="123">
        <f t="shared" si="67"/>
        <v>0.85</v>
      </c>
      <c r="AA173" s="123">
        <f t="shared" si="67"/>
        <v>0.85</v>
      </c>
      <c r="AB173" s="123">
        <f t="shared" si="67"/>
        <v>0.85</v>
      </c>
      <c r="AC173" s="123">
        <f t="shared" si="67"/>
        <v>0.85</v>
      </c>
      <c r="AD173" s="123">
        <f t="shared" si="67"/>
        <v>0.85</v>
      </c>
      <c r="AE173" s="123">
        <f t="shared" si="67"/>
        <v>0.85</v>
      </c>
      <c r="AF173" s="123">
        <f t="shared" si="67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5"/>
        <v>0.9</v>
      </c>
      <c r="C174" s="124">
        <v>0.9</v>
      </c>
      <c r="D174" s="123">
        <f t="shared" si="66"/>
        <v>0.9</v>
      </c>
      <c r="E174" s="123">
        <f t="shared" si="66"/>
        <v>0.9</v>
      </c>
      <c r="F174" s="123">
        <f t="shared" si="66"/>
        <v>0.9</v>
      </c>
      <c r="G174" s="123">
        <f t="shared" si="66"/>
        <v>0.9</v>
      </c>
      <c r="H174" s="123">
        <f t="shared" si="66"/>
        <v>0.9</v>
      </c>
      <c r="I174" s="123">
        <f t="shared" si="66"/>
        <v>0.9</v>
      </c>
      <c r="J174" s="123">
        <f t="shared" si="66"/>
        <v>0.9</v>
      </c>
      <c r="K174" s="123">
        <f t="shared" si="66"/>
        <v>0.9</v>
      </c>
      <c r="L174" s="123">
        <f t="shared" si="66"/>
        <v>0.9</v>
      </c>
      <c r="M174" s="123">
        <f t="shared" si="66"/>
        <v>0.9</v>
      </c>
      <c r="N174" s="123">
        <f t="shared" si="66"/>
        <v>0.9</v>
      </c>
      <c r="O174" s="123">
        <f t="shared" si="66"/>
        <v>0.9</v>
      </c>
      <c r="P174" s="123">
        <f t="shared" si="66"/>
        <v>0.9</v>
      </c>
      <c r="Q174" s="123">
        <f t="shared" si="66"/>
        <v>0.9</v>
      </c>
      <c r="R174" s="123">
        <f t="shared" si="66"/>
        <v>0.9</v>
      </c>
      <c r="S174" s="123">
        <f t="shared" si="67"/>
        <v>0.9</v>
      </c>
      <c r="T174" s="123">
        <f t="shared" si="67"/>
        <v>0.9</v>
      </c>
      <c r="U174" s="123">
        <f t="shared" si="67"/>
        <v>0.9</v>
      </c>
      <c r="V174" s="123">
        <f t="shared" si="67"/>
        <v>0.9</v>
      </c>
      <c r="W174" s="123">
        <f t="shared" si="67"/>
        <v>0.9</v>
      </c>
      <c r="X174" s="123">
        <f t="shared" si="67"/>
        <v>0.9</v>
      </c>
      <c r="Y174" s="123">
        <f t="shared" si="67"/>
        <v>0.9</v>
      </c>
      <c r="Z174" s="123">
        <f t="shared" si="67"/>
        <v>0.9</v>
      </c>
      <c r="AA174" s="123">
        <f t="shared" si="67"/>
        <v>0.9</v>
      </c>
      <c r="AB174" s="123">
        <f t="shared" si="67"/>
        <v>0.9</v>
      </c>
      <c r="AC174" s="123">
        <f t="shared" si="67"/>
        <v>0.9</v>
      </c>
      <c r="AD174" s="123">
        <f t="shared" si="67"/>
        <v>0.9</v>
      </c>
      <c r="AE174" s="123">
        <f t="shared" si="67"/>
        <v>0.9</v>
      </c>
      <c r="AF174" s="123">
        <f t="shared" si="67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5"/>
        <v>0.44</v>
      </c>
      <c r="C175" s="124">
        <v>0.44</v>
      </c>
      <c r="D175" s="123">
        <f t="shared" si="66"/>
        <v>0.44</v>
      </c>
      <c r="E175" s="123">
        <f t="shared" si="66"/>
        <v>0.44</v>
      </c>
      <c r="F175" s="123">
        <f t="shared" si="66"/>
        <v>0.44</v>
      </c>
      <c r="G175" s="123">
        <f t="shared" si="66"/>
        <v>0.44</v>
      </c>
      <c r="H175" s="123">
        <f t="shared" si="66"/>
        <v>0.44</v>
      </c>
      <c r="I175" s="123">
        <f t="shared" si="66"/>
        <v>0.44</v>
      </c>
      <c r="J175" s="123">
        <f t="shared" si="66"/>
        <v>0.44</v>
      </c>
      <c r="K175" s="123">
        <f t="shared" si="66"/>
        <v>0.44</v>
      </c>
      <c r="L175" s="123">
        <f t="shared" si="66"/>
        <v>0.44</v>
      </c>
      <c r="M175" s="123">
        <f t="shared" si="66"/>
        <v>0.44</v>
      </c>
      <c r="N175" s="123">
        <f t="shared" si="66"/>
        <v>0.44</v>
      </c>
      <c r="O175" s="123">
        <f t="shared" si="66"/>
        <v>0.44</v>
      </c>
      <c r="P175" s="123">
        <f t="shared" si="66"/>
        <v>0.44</v>
      </c>
      <c r="Q175" s="123">
        <f t="shared" si="66"/>
        <v>0.44</v>
      </c>
      <c r="R175" s="123">
        <f t="shared" si="66"/>
        <v>0.44</v>
      </c>
      <c r="S175" s="123">
        <f t="shared" si="67"/>
        <v>0.44</v>
      </c>
      <c r="T175" s="123">
        <f t="shared" si="67"/>
        <v>0.44</v>
      </c>
      <c r="U175" s="123">
        <f t="shared" si="67"/>
        <v>0.44</v>
      </c>
      <c r="V175" s="123">
        <f t="shared" si="67"/>
        <v>0.44</v>
      </c>
      <c r="W175" s="123">
        <f t="shared" si="67"/>
        <v>0.44</v>
      </c>
      <c r="X175" s="123">
        <f t="shared" si="67"/>
        <v>0.44</v>
      </c>
      <c r="Y175" s="123">
        <f t="shared" si="67"/>
        <v>0.44</v>
      </c>
      <c r="Z175" s="123">
        <f t="shared" si="67"/>
        <v>0.44</v>
      </c>
      <c r="AA175" s="123">
        <f t="shared" si="67"/>
        <v>0.44</v>
      </c>
      <c r="AB175" s="123">
        <f t="shared" si="67"/>
        <v>0.44</v>
      </c>
      <c r="AC175" s="123">
        <f t="shared" si="67"/>
        <v>0.44</v>
      </c>
      <c r="AD175" s="123">
        <f t="shared" si="67"/>
        <v>0.44</v>
      </c>
      <c r="AE175" s="123">
        <f t="shared" si="67"/>
        <v>0.44</v>
      </c>
      <c r="AF175" s="123">
        <f t="shared" si="67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5"/>
        <v>2.1</v>
      </c>
      <c r="C176" s="124">
        <v>2.1</v>
      </c>
      <c r="D176" s="123">
        <f t="shared" si="66"/>
        <v>2.1</v>
      </c>
      <c r="E176" s="123">
        <f t="shared" si="66"/>
        <v>2.1</v>
      </c>
      <c r="F176" s="123">
        <f t="shared" si="66"/>
        <v>2.1</v>
      </c>
      <c r="G176" s="123">
        <f t="shared" si="66"/>
        <v>2.1</v>
      </c>
      <c r="H176" s="123">
        <f t="shared" si="66"/>
        <v>2.1</v>
      </c>
      <c r="I176" s="123">
        <f t="shared" si="66"/>
        <v>2.1</v>
      </c>
      <c r="J176" s="123">
        <f t="shared" si="66"/>
        <v>2.1</v>
      </c>
      <c r="K176" s="123">
        <f t="shared" si="66"/>
        <v>2.1</v>
      </c>
      <c r="L176" s="123">
        <f t="shared" si="66"/>
        <v>2.1</v>
      </c>
      <c r="M176" s="123">
        <f t="shared" si="66"/>
        <v>2.1</v>
      </c>
      <c r="N176" s="123">
        <f t="shared" si="66"/>
        <v>2.1</v>
      </c>
      <c r="O176" s="123">
        <f t="shared" si="66"/>
        <v>2.1</v>
      </c>
      <c r="P176" s="123">
        <f t="shared" si="66"/>
        <v>2.1</v>
      </c>
      <c r="Q176" s="123">
        <f t="shared" si="66"/>
        <v>2.1</v>
      </c>
      <c r="R176" s="123">
        <f t="shared" si="66"/>
        <v>2.1</v>
      </c>
      <c r="S176" s="123">
        <f t="shared" si="67"/>
        <v>2.1</v>
      </c>
      <c r="T176" s="123">
        <f t="shared" si="67"/>
        <v>2.1</v>
      </c>
      <c r="U176" s="123">
        <f t="shared" si="67"/>
        <v>2.1</v>
      </c>
      <c r="V176" s="123">
        <f t="shared" si="67"/>
        <v>2.1</v>
      </c>
      <c r="W176" s="123">
        <f t="shared" si="67"/>
        <v>2.1</v>
      </c>
      <c r="X176" s="123">
        <f t="shared" si="67"/>
        <v>2.1</v>
      </c>
      <c r="Y176" s="123">
        <f t="shared" si="67"/>
        <v>2.1</v>
      </c>
      <c r="Z176" s="123">
        <f t="shared" si="67"/>
        <v>2.1</v>
      </c>
      <c r="AA176" s="123">
        <f t="shared" si="67"/>
        <v>2.1</v>
      </c>
      <c r="AB176" s="123">
        <f t="shared" si="67"/>
        <v>2.1</v>
      </c>
      <c r="AC176" s="123">
        <f t="shared" si="67"/>
        <v>2.1</v>
      </c>
      <c r="AD176" s="123">
        <f t="shared" si="67"/>
        <v>2.1</v>
      </c>
      <c r="AE176" s="123">
        <f t="shared" si="67"/>
        <v>2.1</v>
      </c>
      <c r="AF176" s="123">
        <f t="shared" si="67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5"/>
        <v>0.9</v>
      </c>
      <c r="C177" s="124">
        <v>0.9</v>
      </c>
      <c r="D177" s="123">
        <f t="shared" si="66"/>
        <v>0.9</v>
      </c>
      <c r="E177" s="123">
        <f t="shared" si="66"/>
        <v>0.9</v>
      </c>
      <c r="F177" s="123">
        <f t="shared" si="66"/>
        <v>0.9</v>
      </c>
      <c r="G177" s="123">
        <f t="shared" si="66"/>
        <v>0.9</v>
      </c>
      <c r="H177" s="123">
        <f t="shared" si="66"/>
        <v>0.9</v>
      </c>
      <c r="I177" s="123">
        <f t="shared" si="66"/>
        <v>0.9</v>
      </c>
      <c r="J177" s="123">
        <f t="shared" si="66"/>
        <v>0.9</v>
      </c>
      <c r="K177" s="123">
        <f t="shared" si="66"/>
        <v>0.9</v>
      </c>
      <c r="L177" s="123">
        <f t="shared" si="66"/>
        <v>0.9</v>
      </c>
      <c r="M177" s="123">
        <f t="shared" si="66"/>
        <v>0.9</v>
      </c>
      <c r="N177" s="123">
        <f t="shared" si="66"/>
        <v>0.9</v>
      </c>
      <c r="O177" s="123">
        <f t="shared" si="66"/>
        <v>0.9</v>
      </c>
      <c r="P177" s="123">
        <f t="shared" si="66"/>
        <v>0.9</v>
      </c>
      <c r="Q177" s="123">
        <f t="shared" si="66"/>
        <v>0.9</v>
      </c>
      <c r="R177" s="123">
        <f t="shared" si="66"/>
        <v>0.9</v>
      </c>
      <c r="S177" s="123">
        <f t="shared" si="67"/>
        <v>0.9</v>
      </c>
      <c r="T177" s="123">
        <f t="shared" si="67"/>
        <v>0.9</v>
      </c>
      <c r="U177" s="123">
        <f t="shared" si="67"/>
        <v>0.9</v>
      </c>
      <c r="V177" s="123">
        <f t="shared" si="67"/>
        <v>0.9</v>
      </c>
      <c r="W177" s="123">
        <f t="shared" si="67"/>
        <v>0.9</v>
      </c>
      <c r="X177" s="123">
        <f t="shared" si="67"/>
        <v>0.9</v>
      </c>
      <c r="Y177" s="123">
        <f t="shared" si="67"/>
        <v>0.9</v>
      </c>
      <c r="Z177" s="123">
        <f t="shared" si="67"/>
        <v>0.9</v>
      </c>
      <c r="AA177" s="123">
        <f t="shared" si="67"/>
        <v>0.9</v>
      </c>
      <c r="AB177" s="123">
        <f t="shared" si="67"/>
        <v>0.9</v>
      </c>
      <c r="AC177" s="123">
        <f t="shared" si="67"/>
        <v>0.9</v>
      </c>
      <c r="AD177" s="123">
        <f t="shared" si="67"/>
        <v>0.9</v>
      </c>
      <c r="AE177" s="123">
        <f t="shared" si="67"/>
        <v>0.9</v>
      </c>
      <c r="AF177" s="123">
        <f t="shared" si="67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8">AF179</f>
        <v>0.57999999999999996</v>
      </c>
      <c r="C179" s="124">
        <v>0.57999999999999996</v>
      </c>
      <c r="D179" s="123">
        <f t="shared" ref="D179:S191" si="69">C179</f>
        <v>0.57999999999999996</v>
      </c>
      <c r="E179" s="123">
        <f t="shared" si="69"/>
        <v>0.57999999999999996</v>
      </c>
      <c r="F179" s="123">
        <f t="shared" si="69"/>
        <v>0.57999999999999996</v>
      </c>
      <c r="G179" s="123">
        <f t="shared" si="69"/>
        <v>0.57999999999999996</v>
      </c>
      <c r="H179" s="123">
        <f t="shared" si="69"/>
        <v>0.57999999999999996</v>
      </c>
      <c r="I179" s="123">
        <f t="shared" si="69"/>
        <v>0.57999999999999996</v>
      </c>
      <c r="J179" s="123">
        <f t="shared" si="69"/>
        <v>0.57999999999999996</v>
      </c>
      <c r="K179" s="123">
        <f t="shared" si="69"/>
        <v>0.57999999999999996</v>
      </c>
      <c r="L179" s="123">
        <f t="shared" si="69"/>
        <v>0.57999999999999996</v>
      </c>
      <c r="M179" s="123">
        <f t="shared" si="69"/>
        <v>0.57999999999999996</v>
      </c>
      <c r="N179" s="123">
        <f t="shared" si="69"/>
        <v>0.57999999999999996</v>
      </c>
      <c r="O179" s="123">
        <f t="shared" si="69"/>
        <v>0.57999999999999996</v>
      </c>
      <c r="P179" s="123">
        <f t="shared" si="69"/>
        <v>0.57999999999999996</v>
      </c>
      <c r="Q179" s="123">
        <f t="shared" si="69"/>
        <v>0.57999999999999996</v>
      </c>
      <c r="R179" s="123">
        <f t="shared" si="69"/>
        <v>0.57999999999999996</v>
      </c>
      <c r="S179" s="123">
        <f t="shared" si="69"/>
        <v>0.57999999999999996</v>
      </c>
      <c r="T179" s="123">
        <f t="shared" ref="S179:AF191" si="70">S179</f>
        <v>0.57999999999999996</v>
      </c>
      <c r="U179" s="123">
        <f t="shared" si="70"/>
        <v>0.57999999999999996</v>
      </c>
      <c r="V179" s="123">
        <f t="shared" si="70"/>
        <v>0.57999999999999996</v>
      </c>
      <c r="W179" s="123">
        <f t="shared" si="70"/>
        <v>0.57999999999999996</v>
      </c>
      <c r="X179" s="123">
        <f t="shared" si="70"/>
        <v>0.57999999999999996</v>
      </c>
      <c r="Y179" s="123">
        <f t="shared" si="70"/>
        <v>0.57999999999999996</v>
      </c>
      <c r="Z179" s="123">
        <f t="shared" si="70"/>
        <v>0.57999999999999996</v>
      </c>
      <c r="AA179" s="123">
        <f t="shared" si="70"/>
        <v>0.57999999999999996</v>
      </c>
      <c r="AB179" s="123">
        <f t="shared" si="70"/>
        <v>0.57999999999999996</v>
      </c>
      <c r="AC179" s="123">
        <f t="shared" si="70"/>
        <v>0.57999999999999996</v>
      </c>
      <c r="AD179" s="123">
        <f t="shared" si="70"/>
        <v>0.57999999999999996</v>
      </c>
      <c r="AE179" s="123">
        <f t="shared" si="70"/>
        <v>0.57999999999999996</v>
      </c>
      <c r="AF179" s="123">
        <f t="shared" si="70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8"/>
        <v>0.8</v>
      </c>
      <c r="C180" s="124">
        <v>0.8</v>
      </c>
      <c r="D180" s="123">
        <f t="shared" si="69"/>
        <v>0.8</v>
      </c>
      <c r="E180" s="123">
        <f t="shared" si="69"/>
        <v>0.8</v>
      </c>
      <c r="F180" s="123">
        <f t="shared" si="69"/>
        <v>0.8</v>
      </c>
      <c r="G180" s="123">
        <f t="shared" si="69"/>
        <v>0.8</v>
      </c>
      <c r="H180" s="123">
        <f t="shared" si="69"/>
        <v>0.8</v>
      </c>
      <c r="I180" s="123">
        <f t="shared" si="69"/>
        <v>0.8</v>
      </c>
      <c r="J180" s="123">
        <f t="shared" si="69"/>
        <v>0.8</v>
      </c>
      <c r="K180" s="123">
        <f t="shared" si="69"/>
        <v>0.8</v>
      </c>
      <c r="L180" s="123">
        <f t="shared" si="69"/>
        <v>0.8</v>
      </c>
      <c r="M180" s="123">
        <f t="shared" si="69"/>
        <v>0.8</v>
      </c>
      <c r="N180" s="123">
        <f t="shared" si="69"/>
        <v>0.8</v>
      </c>
      <c r="O180" s="123">
        <f t="shared" si="69"/>
        <v>0.8</v>
      </c>
      <c r="P180" s="123">
        <f t="shared" si="69"/>
        <v>0.8</v>
      </c>
      <c r="Q180" s="123">
        <f t="shared" si="69"/>
        <v>0.8</v>
      </c>
      <c r="R180" s="123">
        <f t="shared" si="69"/>
        <v>0.8</v>
      </c>
      <c r="S180" s="123">
        <f t="shared" si="69"/>
        <v>0.8</v>
      </c>
      <c r="T180" s="123">
        <f t="shared" si="70"/>
        <v>0.8</v>
      </c>
      <c r="U180" s="123">
        <f t="shared" si="70"/>
        <v>0.8</v>
      </c>
      <c r="V180" s="123">
        <f t="shared" si="70"/>
        <v>0.8</v>
      </c>
      <c r="W180" s="123">
        <f t="shared" si="70"/>
        <v>0.8</v>
      </c>
      <c r="X180" s="123">
        <f t="shared" si="70"/>
        <v>0.8</v>
      </c>
      <c r="Y180" s="123">
        <f t="shared" si="70"/>
        <v>0.8</v>
      </c>
      <c r="Z180" s="123">
        <f t="shared" si="70"/>
        <v>0.8</v>
      </c>
      <c r="AA180" s="123">
        <f t="shared" si="70"/>
        <v>0.8</v>
      </c>
      <c r="AB180" s="123">
        <f t="shared" si="70"/>
        <v>0.8</v>
      </c>
      <c r="AC180" s="123">
        <f t="shared" si="70"/>
        <v>0.8</v>
      </c>
      <c r="AD180" s="123">
        <f t="shared" si="70"/>
        <v>0.8</v>
      </c>
      <c r="AE180" s="123">
        <f t="shared" si="70"/>
        <v>0.8</v>
      </c>
      <c r="AF180" s="123">
        <f t="shared" si="70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8"/>
        <v>0</v>
      </c>
      <c r="C181" s="124">
        <v>0</v>
      </c>
      <c r="D181" s="123">
        <f t="shared" si="69"/>
        <v>0</v>
      </c>
      <c r="E181" s="123">
        <f t="shared" si="69"/>
        <v>0</v>
      </c>
      <c r="F181" s="123">
        <f t="shared" si="69"/>
        <v>0</v>
      </c>
      <c r="G181" s="123">
        <f t="shared" si="69"/>
        <v>0</v>
      </c>
      <c r="H181" s="123">
        <f t="shared" si="69"/>
        <v>0</v>
      </c>
      <c r="I181" s="123">
        <f t="shared" si="69"/>
        <v>0</v>
      </c>
      <c r="J181" s="123">
        <f t="shared" si="69"/>
        <v>0</v>
      </c>
      <c r="K181" s="123">
        <f t="shared" si="69"/>
        <v>0</v>
      </c>
      <c r="L181" s="123">
        <f t="shared" si="69"/>
        <v>0</v>
      </c>
      <c r="M181" s="123">
        <f t="shared" si="69"/>
        <v>0</v>
      </c>
      <c r="N181" s="123">
        <f t="shared" si="69"/>
        <v>0</v>
      </c>
      <c r="O181" s="123">
        <f t="shared" si="69"/>
        <v>0</v>
      </c>
      <c r="P181" s="123">
        <f t="shared" si="69"/>
        <v>0</v>
      </c>
      <c r="Q181" s="123">
        <f t="shared" si="69"/>
        <v>0</v>
      </c>
      <c r="R181" s="123">
        <f t="shared" si="69"/>
        <v>0</v>
      </c>
      <c r="S181" s="123">
        <f t="shared" si="69"/>
        <v>0</v>
      </c>
      <c r="T181" s="123">
        <f t="shared" si="70"/>
        <v>0</v>
      </c>
      <c r="U181" s="123">
        <f t="shared" si="70"/>
        <v>0</v>
      </c>
      <c r="V181" s="123">
        <f t="shared" si="70"/>
        <v>0</v>
      </c>
      <c r="W181" s="123">
        <f t="shared" si="70"/>
        <v>0</v>
      </c>
      <c r="X181" s="123">
        <f t="shared" si="70"/>
        <v>0</v>
      </c>
      <c r="Y181" s="123">
        <f t="shared" si="70"/>
        <v>0</v>
      </c>
      <c r="Z181" s="123">
        <f t="shared" si="70"/>
        <v>0</v>
      </c>
      <c r="AA181" s="123">
        <f t="shared" si="70"/>
        <v>0</v>
      </c>
      <c r="AB181" s="123">
        <f t="shared" si="70"/>
        <v>0</v>
      </c>
      <c r="AC181" s="123">
        <f t="shared" si="70"/>
        <v>0</v>
      </c>
      <c r="AD181" s="123">
        <f t="shared" si="70"/>
        <v>0</v>
      </c>
      <c r="AE181" s="123">
        <f t="shared" si="70"/>
        <v>0</v>
      </c>
      <c r="AF181" s="123">
        <f t="shared" si="70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8"/>
        <v>0.6</v>
      </c>
      <c r="C182" s="124">
        <v>0.6</v>
      </c>
      <c r="D182" s="123">
        <f t="shared" si="69"/>
        <v>0.6</v>
      </c>
      <c r="E182" s="123">
        <f t="shared" si="69"/>
        <v>0.6</v>
      </c>
      <c r="F182" s="123">
        <f t="shared" si="69"/>
        <v>0.6</v>
      </c>
      <c r="G182" s="123">
        <f t="shared" si="69"/>
        <v>0.6</v>
      </c>
      <c r="H182" s="123">
        <f t="shared" si="69"/>
        <v>0.6</v>
      </c>
      <c r="I182" s="123">
        <f t="shared" si="69"/>
        <v>0.6</v>
      </c>
      <c r="J182" s="123">
        <f t="shared" si="69"/>
        <v>0.6</v>
      </c>
      <c r="K182" s="123">
        <f t="shared" si="69"/>
        <v>0.6</v>
      </c>
      <c r="L182" s="123">
        <f t="shared" si="69"/>
        <v>0.6</v>
      </c>
      <c r="M182" s="123">
        <f t="shared" si="69"/>
        <v>0.6</v>
      </c>
      <c r="N182" s="123">
        <f t="shared" si="69"/>
        <v>0.6</v>
      </c>
      <c r="O182" s="123">
        <f t="shared" si="69"/>
        <v>0.6</v>
      </c>
      <c r="P182" s="123">
        <f t="shared" si="69"/>
        <v>0.6</v>
      </c>
      <c r="Q182" s="123">
        <f t="shared" si="69"/>
        <v>0.6</v>
      </c>
      <c r="R182" s="123">
        <f t="shared" si="69"/>
        <v>0.6</v>
      </c>
      <c r="S182" s="123">
        <f t="shared" si="69"/>
        <v>0.6</v>
      </c>
      <c r="T182" s="123">
        <f t="shared" si="70"/>
        <v>0.6</v>
      </c>
      <c r="U182" s="123">
        <f t="shared" si="70"/>
        <v>0.6</v>
      </c>
      <c r="V182" s="123">
        <f t="shared" si="70"/>
        <v>0.6</v>
      </c>
      <c r="W182" s="123">
        <f t="shared" si="70"/>
        <v>0.6</v>
      </c>
      <c r="X182" s="123">
        <f t="shared" si="70"/>
        <v>0.6</v>
      </c>
      <c r="Y182" s="123">
        <f t="shared" si="70"/>
        <v>0.6</v>
      </c>
      <c r="Z182" s="123">
        <f t="shared" si="70"/>
        <v>0.6</v>
      </c>
      <c r="AA182" s="123">
        <f t="shared" si="70"/>
        <v>0.6</v>
      </c>
      <c r="AB182" s="123">
        <f t="shared" si="70"/>
        <v>0.6</v>
      </c>
      <c r="AC182" s="123">
        <f t="shared" si="70"/>
        <v>0.6</v>
      </c>
      <c r="AD182" s="123">
        <f t="shared" si="70"/>
        <v>0.6</v>
      </c>
      <c r="AE182" s="123">
        <f t="shared" si="70"/>
        <v>0.6</v>
      </c>
      <c r="AF182" s="123">
        <f t="shared" si="70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8"/>
        <v>0.6</v>
      </c>
      <c r="C183" s="124">
        <v>0.6</v>
      </c>
      <c r="D183" s="123">
        <f t="shared" si="69"/>
        <v>0.6</v>
      </c>
      <c r="E183" s="123">
        <f t="shared" si="69"/>
        <v>0.6</v>
      </c>
      <c r="F183" s="123">
        <f t="shared" si="69"/>
        <v>0.6</v>
      </c>
      <c r="G183" s="123">
        <f t="shared" si="69"/>
        <v>0.6</v>
      </c>
      <c r="H183" s="123">
        <f t="shared" si="69"/>
        <v>0.6</v>
      </c>
      <c r="I183" s="123">
        <f t="shared" si="69"/>
        <v>0.6</v>
      </c>
      <c r="J183" s="123">
        <f t="shared" si="69"/>
        <v>0.6</v>
      </c>
      <c r="K183" s="123">
        <f t="shared" si="69"/>
        <v>0.6</v>
      </c>
      <c r="L183" s="123">
        <f t="shared" si="69"/>
        <v>0.6</v>
      </c>
      <c r="M183" s="123">
        <f t="shared" si="69"/>
        <v>0.6</v>
      </c>
      <c r="N183" s="123">
        <f t="shared" si="69"/>
        <v>0.6</v>
      </c>
      <c r="O183" s="123">
        <f t="shared" si="69"/>
        <v>0.6</v>
      </c>
      <c r="P183" s="123">
        <f t="shared" si="69"/>
        <v>0.6</v>
      </c>
      <c r="Q183" s="123">
        <f t="shared" si="69"/>
        <v>0.6</v>
      </c>
      <c r="R183" s="123">
        <f t="shared" si="69"/>
        <v>0.6</v>
      </c>
      <c r="S183" s="123">
        <f t="shared" si="69"/>
        <v>0.6</v>
      </c>
      <c r="T183" s="123">
        <f t="shared" si="70"/>
        <v>0.6</v>
      </c>
      <c r="U183" s="123">
        <f t="shared" si="70"/>
        <v>0.6</v>
      </c>
      <c r="V183" s="123">
        <f t="shared" si="70"/>
        <v>0.6</v>
      </c>
      <c r="W183" s="123">
        <f t="shared" si="70"/>
        <v>0.6</v>
      </c>
      <c r="X183" s="123">
        <f t="shared" si="70"/>
        <v>0.6</v>
      </c>
      <c r="Y183" s="123">
        <f t="shared" si="70"/>
        <v>0.6</v>
      </c>
      <c r="Z183" s="123">
        <f t="shared" si="70"/>
        <v>0.6</v>
      </c>
      <c r="AA183" s="123">
        <f t="shared" si="70"/>
        <v>0.6</v>
      </c>
      <c r="AB183" s="123">
        <f t="shared" si="70"/>
        <v>0.6</v>
      </c>
      <c r="AC183" s="123">
        <f t="shared" si="70"/>
        <v>0.6</v>
      </c>
      <c r="AD183" s="123">
        <f t="shared" si="70"/>
        <v>0.6</v>
      </c>
      <c r="AE183" s="123">
        <f t="shared" si="70"/>
        <v>0.6</v>
      </c>
      <c r="AF183" s="123">
        <f t="shared" si="70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8"/>
        <v>0.35</v>
      </c>
      <c r="C184" s="124">
        <v>0.35</v>
      </c>
      <c r="D184" s="123">
        <f t="shared" si="69"/>
        <v>0.35</v>
      </c>
      <c r="E184" s="123">
        <f t="shared" si="69"/>
        <v>0.35</v>
      </c>
      <c r="F184" s="123">
        <f t="shared" si="69"/>
        <v>0.35</v>
      </c>
      <c r="G184" s="123">
        <f t="shared" si="69"/>
        <v>0.35</v>
      </c>
      <c r="H184" s="123">
        <f t="shared" si="69"/>
        <v>0.35</v>
      </c>
      <c r="I184" s="123">
        <f t="shared" si="69"/>
        <v>0.35</v>
      </c>
      <c r="J184" s="123">
        <f t="shared" si="69"/>
        <v>0.35</v>
      </c>
      <c r="K184" s="123">
        <f t="shared" si="69"/>
        <v>0.35</v>
      </c>
      <c r="L184" s="123">
        <f t="shared" si="69"/>
        <v>0.35</v>
      </c>
      <c r="M184" s="123">
        <f t="shared" si="69"/>
        <v>0.35</v>
      </c>
      <c r="N184" s="123">
        <f t="shared" si="69"/>
        <v>0.35</v>
      </c>
      <c r="O184" s="123">
        <f t="shared" si="69"/>
        <v>0.35</v>
      </c>
      <c r="P184" s="123">
        <f t="shared" si="69"/>
        <v>0.35</v>
      </c>
      <c r="Q184" s="123">
        <f t="shared" si="69"/>
        <v>0.35</v>
      </c>
      <c r="R184" s="123">
        <f t="shared" si="69"/>
        <v>0.35</v>
      </c>
      <c r="S184" s="123">
        <f t="shared" si="69"/>
        <v>0.35</v>
      </c>
      <c r="T184" s="123">
        <f t="shared" si="70"/>
        <v>0.35</v>
      </c>
      <c r="U184" s="123">
        <f t="shared" si="70"/>
        <v>0.35</v>
      </c>
      <c r="V184" s="123">
        <f t="shared" si="70"/>
        <v>0.35</v>
      </c>
      <c r="W184" s="123">
        <f t="shared" si="70"/>
        <v>0.35</v>
      </c>
      <c r="X184" s="123">
        <f t="shared" si="70"/>
        <v>0.35</v>
      </c>
      <c r="Y184" s="123">
        <f t="shared" si="70"/>
        <v>0.35</v>
      </c>
      <c r="Z184" s="123">
        <f t="shared" si="70"/>
        <v>0.35</v>
      </c>
      <c r="AA184" s="123">
        <f t="shared" si="70"/>
        <v>0.35</v>
      </c>
      <c r="AB184" s="123">
        <f t="shared" si="70"/>
        <v>0.35</v>
      </c>
      <c r="AC184" s="123">
        <f t="shared" si="70"/>
        <v>0.35</v>
      </c>
      <c r="AD184" s="123">
        <f t="shared" si="70"/>
        <v>0.35</v>
      </c>
      <c r="AE184" s="123">
        <f t="shared" si="70"/>
        <v>0.35</v>
      </c>
      <c r="AF184" s="123">
        <f t="shared" si="70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8"/>
        <v>0.28999999999999998</v>
      </c>
      <c r="C185" s="124">
        <v>0.28999999999999998</v>
      </c>
      <c r="D185" s="123">
        <f t="shared" si="69"/>
        <v>0.28999999999999998</v>
      </c>
      <c r="E185" s="123">
        <f t="shared" si="69"/>
        <v>0.28999999999999998</v>
      </c>
      <c r="F185" s="123">
        <f t="shared" si="69"/>
        <v>0.28999999999999998</v>
      </c>
      <c r="G185" s="123">
        <f t="shared" si="69"/>
        <v>0.28999999999999998</v>
      </c>
      <c r="H185" s="123">
        <f t="shared" si="69"/>
        <v>0.28999999999999998</v>
      </c>
      <c r="I185" s="123">
        <f t="shared" si="69"/>
        <v>0.28999999999999998</v>
      </c>
      <c r="J185" s="123">
        <f t="shared" si="69"/>
        <v>0.28999999999999998</v>
      </c>
      <c r="K185" s="123">
        <f t="shared" si="69"/>
        <v>0.28999999999999998</v>
      </c>
      <c r="L185" s="123">
        <f t="shared" si="69"/>
        <v>0.28999999999999998</v>
      </c>
      <c r="M185" s="123">
        <f t="shared" si="69"/>
        <v>0.28999999999999998</v>
      </c>
      <c r="N185" s="123">
        <f t="shared" si="69"/>
        <v>0.28999999999999998</v>
      </c>
      <c r="O185" s="123">
        <f t="shared" si="69"/>
        <v>0.28999999999999998</v>
      </c>
      <c r="P185" s="123">
        <f t="shared" si="69"/>
        <v>0.28999999999999998</v>
      </c>
      <c r="Q185" s="123">
        <f t="shared" si="69"/>
        <v>0.28999999999999998</v>
      </c>
      <c r="R185" s="123">
        <f t="shared" si="69"/>
        <v>0.28999999999999998</v>
      </c>
      <c r="S185" s="123">
        <f t="shared" si="69"/>
        <v>0.28999999999999998</v>
      </c>
      <c r="T185" s="123">
        <f t="shared" si="70"/>
        <v>0.28999999999999998</v>
      </c>
      <c r="U185" s="123">
        <f t="shared" si="70"/>
        <v>0.28999999999999998</v>
      </c>
      <c r="V185" s="123">
        <f t="shared" si="70"/>
        <v>0.28999999999999998</v>
      </c>
      <c r="W185" s="123">
        <f t="shared" si="70"/>
        <v>0.28999999999999998</v>
      </c>
      <c r="X185" s="123">
        <f t="shared" si="70"/>
        <v>0.28999999999999998</v>
      </c>
      <c r="Y185" s="123">
        <f t="shared" si="70"/>
        <v>0.28999999999999998</v>
      </c>
      <c r="Z185" s="123">
        <f t="shared" si="70"/>
        <v>0.28999999999999998</v>
      </c>
      <c r="AA185" s="123">
        <f t="shared" si="70"/>
        <v>0.28999999999999998</v>
      </c>
      <c r="AB185" s="123">
        <f t="shared" si="70"/>
        <v>0.28999999999999998</v>
      </c>
      <c r="AC185" s="123">
        <f t="shared" si="70"/>
        <v>0.28999999999999998</v>
      </c>
      <c r="AD185" s="123">
        <f t="shared" si="70"/>
        <v>0.28999999999999998</v>
      </c>
      <c r="AE185" s="123">
        <f t="shared" si="70"/>
        <v>0.28999999999999998</v>
      </c>
      <c r="AF185" s="123">
        <f t="shared" si="70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8"/>
        <v>0.06</v>
      </c>
      <c r="C186" s="124">
        <v>0.06</v>
      </c>
      <c r="D186" s="123">
        <f t="shared" si="69"/>
        <v>0.06</v>
      </c>
      <c r="E186" s="123">
        <f t="shared" si="69"/>
        <v>0.06</v>
      </c>
      <c r="F186" s="123">
        <f t="shared" si="69"/>
        <v>0.06</v>
      </c>
      <c r="G186" s="123">
        <f t="shared" si="69"/>
        <v>0.06</v>
      </c>
      <c r="H186" s="123">
        <f t="shared" si="69"/>
        <v>0.06</v>
      </c>
      <c r="I186" s="123">
        <f t="shared" si="69"/>
        <v>0.06</v>
      </c>
      <c r="J186" s="123">
        <f t="shared" si="69"/>
        <v>0.06</v>
      </c>
      <c r="K186" s="123">
        <f t="shared" si="69"/>
        <v>0.06</v>
      </c>
      <c r="L186" s="123">
        <f t="shared" si="69"/>
        <v>0.06</v>
      </c>
      <c r="M186" s="123">
        <f t="shared" si="69"/>
        <v>0.06</v>
      </c>
      <c r="N186" s="123">
        <f t="shared" si="69"/>
        <v>0.06</v>
      </c>
      <c r="O186" s="123">
        <f t="shared" si="69"/>
        <v>0.06</v>
      </c>
      <c r="P186" s="123">
        <f t="shared" si="69"/>
        <v>0.06</v>
      </c>
      <c r="Q186" s="123">
        <f t="shared" si="69"/>
        <v>0.06</v>
      </c>
      <c r="R186" s="123">
        <f t="shared" si="69"/>
        <v>0.06</v>
      </c>
      <c r="S186" s="123">
        <f t="shared" si="69"/>
        <v>0.06</v>
      </c>
      <c r="T186" s="123">
        <f t="shared" si="70"/>
        <v>0.06</v>
      </c>
      <c r="U186" s="123">
        <f t="shared" si="70"/>
        <v>0.06</v>
      </c>
      <c r="V186" s="123">
        <f t="shared" si="70"/>
        <v>0.06</v>
      </c>
      <c r="W186" s="123">
        <f t="shared" si="70"/>
        <v>0.06</v>
      </c>
      <c r="X186" s="123">
        <f t="shared" si="70"/>
        <v>0.06</v>
      </c>
      <c r="Y186" s="123">
        <f t="shared" si="70"/>
        <v>0.06</v>
      </c>
      <c r="Z186" s="123">
        <f t="shared" si="70"/>
        <v>0.06</v>
      </c>
      <c r="AA186" s="123">
        <f t="shared" si="70"/>
        <v>0.06</v>
      </c>
      <c r="AB186" s="123">
        <f t="shared" si="70"/>
        <v>0.06</v>
      </c>
      <c r="AC186" s="123">
        <f t="shared" si="70"/>
        <v>0.06</v>
      </c>
      <c r="AD186" s="123">
        <f t="shared" si="70"/>
        <v>0.06</v>
      </c>
      <c r="AE186" s="123">
        <f t="shared" si="70"/>
        <v>0.06</v>
      </c>
      <c r="AF186" s="123">
        <f t="shared" si="70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8"/>
        <v>0.11</v>
      </c>
      <c r="C187" s="124">
        <v>0.11</v>
      </c>
      <c r="D187" s="123">
        <f t="shared" si="69"/>
        <v>0.11</v>
      </c>
      <c r="E187" s="123">
        <f t="shared" si="69"/>
        <v>0.11</v>
      </c>
      <c r="F187" s="123">
        <f t="shared" si="69"/>
        <v>0.11</v>
      </c>
      <c r="G187" s="123">
        <f t="shared" si="69"/>
        <v>0.11</v>
      </c>
      <c r="H187" s="123">
        <f t="shared" si="69"/>
        <v>0.11</v>
      </c>
      <c r="I187" s="123">
        <f t="shared" si="69"/>
        <v>0.11</v>
      </c>
      <c r="J187" s="123">
        <f t="shared" si="69"/>
        <v>0.11</v>
      </c>
      <c r="K187" s="123">
        <f t="shared" si="69"/>
        <v>0.11</v>
      </c>
      <c r="L187" s="123">
        <f t="shared" si="69"/>
        <v>0.11</v>
      </c>
      <c r="M187" s="123">
        <f t="shared" si="69"/>
        <v>0.11</v>
      </c>
      <c r="N187" s="123">
        <f t="shared" si="69"/>
        <v>0.11</v>
      </c>
      <c r="O187" s="123">
        <f t="shared" si="69"/>
        <v>0.11</v>
      </c>
      <c r="P187" s="123">
        <f t="shared" si="69"/>
        <v>0.11</v>
      </c>
      <c r="Q187" s="123">
        <f t="shared" si="69"/>
        <v>0.11</v>
      </c>
      <c r="R187" s="123">
        <f t="shared" si="69"/>
        <v>0.11</v>
      </c>
      <c r="S187" s="123">
        <f t="shared" si="69"/>
        <v>0.11</v>
      </c>
      <c r="T187" s="123">
        <f t="shared" si="70"/>
        <v>0.11</v>
      </c>
      <c r="U187" s="123">
        <f t="shared" si="70"/>
        <v>0.11</v>
      </c>
      <c r="V187" s="123">
        <f t="shared" si="70"/>
        <v>0.11</v>
      </c>
      <c r="W187" s="123">
        <f t="shared" si="70"/>
        <v>0.11</v>
      </c>
      <c r="X187" s="123">
        <f t="shared" si="70"/>
        <v>0.11</v>
      </c>
      <c r="Y187" s="123">
        <f t="shared" si="70"/>
        <v>0.11</v>
      </c>
      <c r="Z187" s="123">
        <f t="shared" si="70"/>
        <v>0.11</v>
      </c>
      <c r="AA187" s="123">
        <f t="shared" si="70"/>
        <v>0.11</v>
      </c>
      <c r="AB187" s="123">
        <f t="shared" si="70"/>
        <v>0.11</v>
      </c>
      <c r="AC187" s="123">
        <f t="shared" si="70"/>
        <v>0.11</v>
      </c>
      <c r="AD187" s="123">
        <f t="shared" si="70"/>
        <v>0.11</v>
      </c>
      <c r="AE187" s="123">
        <f t="shared" si="70"/>
        <v>0.11</v>
      </c>
      <c r="AF187" s="123">
        <f t="shared" si="70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8"/>
        <v>0.1</v>
      </c>
      <c r="C188" s="124">
        <v>0.1</v>
      </c>
      <c r="D188" s="123">
        <f t="shared" si="69"/>
        <v>0.1</v>
      </c>
      <c r="E188" s="123">
        <f t="shared" si="69"/>
        <v>0.1</v>
      </c>
      <c r="F188" s="123">
        <f t="shared" si="69"/>
        <v>0.1</v>
      </c>
      <c r="G188" s="123">
        <f t="shared" si="69"/>
        <v>0.1</v>
      </c>
      <c r="H188" s="123">
        <f t="shared" si="69"/>
        <v>0.1</v>
      </c>
      <c r="I188" s="123">
        <f t="shared" si="69"/>
        <v>0.1</v>
      </c>
      <c r="J188" s="123">
        <f t="shared" si="69"/>
        <v>0.1</v>
      </c>
      <c r="K188" s="123">
        <f t="shared" si="69"/>
        <v>0.1</v>
      </c>
      <c r="L188" s="123">
        <f t="shared" si="69"/>
        <v>0.1</v>
      </c>
      <c r="M188" s="123">
        <f t="shared" si="69"/>
        <v>0.1</v>
      </c>
      <c r="N188" s="123">
        <f t="shared" si="69"/>
        <v>0.1</v>
      </c>
      <c r="O188" s="123">
        <f t="shared" si="69"/>
        <v>0.1</v>
      </c>
      <c r="P188" s="123">
        <f t="shared" si="69"/>
        <v>0.1</v>
      </c>
      <c r="Q188" s="123">
        <f t="shared" si="69"/>
        <v>0.1</v>
      </c>
      <c r="R188" s="123">
        <f t="shared" si="69"/>
        <v>0.1</v>
      </c>
      <c r="S188" s="123">
        <f t="shared" si="70"/>
        <v>0.1</v>
      </c>
      <c r="T188" s="123">
        <f t="shared" si="70"/>
        <v>0.1</v>
      </c>
      <c r="U188" s="123">
        <f t="shared" si="70"/>
        <v>0.1</v>
      </c>
      <c r="V188" s="123">
        <f t="shared" si="70"/>
        <v>0.1</v>
      </c>
      <c r="W188" s="123">
        <f t="shared" si="70"/>
        <v>0.1</v>
      </c>
      <c r="X188" s="123">
        <f t="shared" si="70"/>
        <v>0.1</v>
      </c>
      <c r="Y188" s="123">
        <f t="shared" si="70"/>
        <v>0.1</v>
      </c>
      <c r="Z188" s="123">
        <f t="shared" si="70"/>
        <v>0.1</v>
      </c>
      <c r="AA188" s="123">
        <f t="shared" si="70"/>
        <v>0.1</v>
      </c>
      <c r="AB188" s="123">
        <f t="shared" si="70"/>
        <v>0.1</v>
      </c>
      <c r="AC188" s="123">
        <f t="shared" si="70"/>
        <v>0.1</v>
      </c>
      <c r="AD188" s="123">
        <f t="shared" si="70"/>
        <v>0.1</v>
      </c>
      <c r="AE188" s="123">
        <f t="shared" si="70"/>
        <v>0.1</v>
      </c>
      <c r="AF188" s="123">
        <f t="shared" si="70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8"/>
        <v>0.09</v>
      </c>
      <c r="C189" s="124">
        <v>0.09</v>
      </c>
      <c r="D189" s="123">
        <f t="shared" si="69"/>
        <v>0.09</v>
      </c>
      <c r="E189" s="123">
        <f t="shared" si="69"/>
        <v>0.09</v>
      </c>
      <c r="F189" s="123">
        <f t="shared" si="69"/>
        <v>0.09</v>
      </c>
      <c r="G189" s="123">
        <f t="shared" si="69"/>
        <v>0.09</v>
      </c>
      <c r="H189" s="123">
        <f t="shared" si="69"/>
        <v>0.09</v>
      </c>
      <c r="I189" s="123">
        <f t="shared" si="69"/>
        <v>0.09</v>
      </c>
      <c r="J189" s="123">
        <f t="shared" si="69"/>
        <v>0.09</v>
      </c>
      <c r="K189" s="123">
        <f t="shared" si="69"/>
        <v>0.09</v>
      </c>
      <c r="L189" s="123">
        <f t="shared" si="69"/>
        <v>0.09</v>
      </c>
      <c r="M189" s="123">
        <f t="shared" si="69"/>
        <v>0.09</v>
      </c>
      <c r="N189" s="123">
        <f t="shared" si="69"/>
        <v>0.09</v>
      </c>
      <c r="O189" s="123">
        <f t="shared" si="69"/>
        <v>0.09</v>
      </c>
      <c r="P189" s="123">
        <f t="shared" si="69"/>
        <v>0.09</v>
      </c>
      <c r="Q189" s="123">
        <f t="shared" si="69"/>
        <v>0.09</v>
      </c>
      <c r="R189" s="123">
        <f t="shared" si="69"/>
        <v>0.09</v>
      </c>
      <c r="S189" s="123">
        <f t="shared" si="70"/>
        <v>0.09</v>
      </c>
      <c r="T189" s="123">
        <f t="shared" si="70"/>
        <v>0.09</v>
      </c>
      <c r="U189" s="123">
        <f t="shared" si="70"/>
        <v>0.09</v>
      </c>
      <c r="V189" s="123">
        <f t="shared" si="70"/>
        <v>0.09</v>
      </c>
      <c r="W189" s="123">
        <f t="shared" si="70"/>
        <v>0.09</v>
      </c>
      <c r="X189" s="123">
        <f t="shared" si="70"/>
        <v>0.09</v>
      </c>
      <c r="Y189" s="123">
        <f t="shared" si="70"/>
        <v>0.09</v>
      </c>
      <c r="Z189" s="123">
        <f t="shared" si="70"/>
        <v>0.09</v>
      </c>
      <c r="AA189" s="123">
        <f t="shared" si="70"/>
        <v>0.09</v>
      </c>
      <c r="AB189" s="123">
        <f t="shared" si="70"/>
        <v>0.09</v>
      </c>
      <c r="AC189" s="123">
        <f t="shared" si="70"/>
        <v>0.09</v>
      </c>
      <c r="AD189" s="123">
        <f t="shared" si="70"/>
        <v>0.09</v>
      </c>
      <c r="AE189" s="123">
        <f t="shared" si="70"/>
        <v>0.09</v>
      </c>
      <c r="AF189" s="123">
        <f t="shared" si="70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8"/>
        <v>0.04</v>
      </c>
      <c r="C190" s="54">
        <v>0.04</v>
      </c>
      <c r="D190" s="123">
        <f t="shared" si="69"/>
        <v>0.04</v>
      </c>
      <c r="E190" s="123">
        <f t="shared" si="69"/>
        <v>0.04</v>
      </c>
      <c r="F190" s="123">
        <f t="shared" si="69"/>
        <v>0.04</v>
      </c>
      <c r="G190" s="123">
        <f t="shared" si="69"/>
        <v>0.04</v>
      </c>
      <c r="H190" s="123">
        <f t="shared" si="69"/>
        <v>0.04</v>
      </c>
      <c r="I190" s="123">
        <f t="shared" si="69"/>
        <v>0.04</v>
      </c>
      <c r="J190" s="123">
        <f t="shared" si="69"/>
        <v>0.04</v>
      </c>
      <c r="K190" s="123">
        <f t="shared" si="69"/>
        <v>0.04</v>
      </c>
      <c r="L190" s="123">
        <f t="shared" si="69"/>
        <v>0.04</v>
      </c>
      <c r="M190" s="123">
        <f t="shared" si="69"/>
        <v>0.04</v>
      </c>
      <c r="N190" s="123">
        <f t="shared" si="69"/>
        <v>0.04</v>
      </c>
      <c r="O190" s="123">
        <f t="shared" si="69"/>
        <v>0.04</v>
      </c>
      <c r="P190" s="123">
        <f t="shared" si="69"/>
        <v>0.04</v>
      </c>
      <c r="Q190" s="123">
        <f t="shared" si="69"/>
        <v>0.04</v>
      </c>
      <c r="R190" s="123">
        <f t="shared" si="69"/>
        <v>0.04</v>
      </c>
      <c r="S190" s="123">
        <f t="shared" si="70"/>
        <v>0.04</v>
      </c>
      <c r="T190" s="123">
        <f t="shared" si="70"/>
        <v>0.04</v>
      </c>
      <c r="U190" s="123">
        <f t="shared" si="70"/>
        <v>0.04</v>
      </c>
      <c r="V190" s="123">
        <f t="shared" si="70"/>
        <v>0.04</v>
      </c>
      <c r="W190" s="123">
        <f t="shared" si="70"/>
        <v>0.04</v>
      </c>
      <c r="X190" s="123">
        <f t="shared" si="70"/>
        <v>0.04</v>
      </c>
      <c r="Y190" s="123">
        <f t="shared" si="70"/>
        <v>0.04</v>
      </c>
      <c r="Z190" s="123">
        <f t="shared" si="70"/>
        <v>0.04</v>
      </c>
      <c r="AA190" s="123">
        <f t="shared" si="70"/>
        <v>0.04</v>
      </c>
      <c r="AB190" s="123">
        <f t="shared" si="70"/>
        <v>0.04</v>
      </c>
      <c r="AC190" s="123">
        <f t="shared" si="70"/>
        <v>0.04</v>
      </c>
      <c r="AD190" s="123">
        <f t="shared" si="70"/>
        <v>0.04</v>
      </c>
      <c r="AE190" s="123">
        <f t="shared" si="70"/>
        <v>0.04</v>
      </c>
      <c r="AF190" s="123">
        <f t="shared" si="70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8"/>
        <v>2.3E-2</v>
      </c>
      <c r="C191" s="54">
        <v>2.3E-2</v>
      </c>
      <c r="D191" s="123">
        <f>C191</f>
        <v>2.3E-2</v>
      </c>
      <c r="E191" s="123">
        <f t="shared" si="69"/>
        <v>2.3E-2</v>
      </c>
      <c r="F191" s="123">
        <f t="shared" si="69"/>
        <v>2.3E-2</v>
      </c>
      <c r="G191" s="123">
        <f t="shared" si="69"/>
        <v>2.3E-2</v>
      </c>
      <c r="H191" s="123">
        <f t="shared" si="69"/>
        <v>2.3E-2</v>
      </c>
      <c r="I191" s="123">
        <f t="shared" si="69"/>
        <v>2.3E-2</v>
      </c>
      <c r="J191" s="123">
        <f t="shared" si="69"/>
        <v>2.3E-2</v>
      </c>
      <c r="K191" s="123">
        <f t="shared" si="69"/>
        <v>2.3E-2</v>
      </c>
      <c r="L191" s="123">
        <f t="shared" si="69"/>
        <v>2.3E-2</v>
      </c>
      <c r="M191" s="123">
        <f t="shared" si="69"/>
        <v>2.3E-2</v>
      </c>
      <c r="N191" s="123">
        <f t="shared" si="69"/>
        <v>2.3E-2</v>
      </c>
      <c r="O191" s="123">
        <f t="shared" si="69"/>
        <v>2.3E-2</v>
      </c>
      <c r="P191" s="123">
        <f t="shared" si="69"/>
        <v>2.3E-2</v>
      </c>
      <c r="Q191" s="123">
        <f t="shared" si="69"/>
        <v>2.3E-2</v>
      </c>
      <c r="R191" s="123">
        <f t="shared" si="69"/>
        <v>2.3E-2</v>
      </c>
      <c r="S191" s="123">
        <f t="shared" si="70"/>
        <v>2.3E-2</v>
      </c>
      <c r="T191" s="123">
        <f t="shared" si="70"/>
        <v>2.3E-2</v>
      </c>
      <c r="U191" s="123">
        <f t="shared" si="70"/>
        <v>2.3E-2</v>
      </c>
      <c r="V191" s="123">
        <f t="shared" si="70"/>
        <v>2.3E-2</v>
      </c>
      <c r="W191" s="123">
        <f t="shared" si="70"/>
        <v>2.3E-2</v>
      </c>
      <c r="X191" s="123">
        <f t="shared" si="70"/>
        <v>2.3E-2</v>
      </c>
      <c r="Y191" s="123">
        <f t="shared" si="70"/>
        <v>2.3E-2</v>
      </c>
      <c r="Z191" s="123">
        <f t="shared" si="70"/>
        <v>2.3E-2</v>
      </c>
      <c r="AA191" s="123">
        <f t="shared" si="70"/>
        <v>2.3E-2</v>
      </c>
      <c r="AB191" s="123">
        <f t="shared" si="70"/>
        <v>2.3E-2</v>
      </c>
      <c r="AC191" s="123">
        <f t="shared" si="70"/>
        <v>2.3E-2</v>
      </c>
      <c r="AD191" s="123">
        <f t="shared" si="70"/>
        <v>2.3E-2</v>
      </c>
      <c r="AE191" s="123">
        <f t="shared" si="70"/>
        <v>2.3E-2</v>
      </c>
      <c r="AF191" s="123">
        <f t="shared" si="70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71">SUM(C102:C191)</f>
        <v>194.70600000000002</v>
      </c>
      <c r="D192" s="128">
        <f t="shared" si="71"/>
        <v>194.70600000000002</v>
      </c>
      <c r="E192" s="128">
        <f t="shared" si="71"/>
        <v>194.70600000000002</v>
      </c>
      <c r="F192" s="128">
        <f t="shared" si="71"/>
        <v>194.70600000000002</v>
      </c>
      <c r="G192" s="128">
        <f t="shared" si="71"/>
        <v>194.70600000000002</v>
      </c>
      <c r="H192" s="128">
        <f t="shared" si="71"/>
        <v>194.70600000000002</v>
      </c>
      <c r="I192" s="128">
        <f t="shared" si="71"/>
        <v>189.70600000000005</v>
      </c>
      <c r="J192" s="128">
        <f t="shared" si="71"/>
        <v>187.10600000000005</v>
      </c>
      <c r="K192" s="128">
        <f t="shared" si="71"/>
        <v>187.10600000000005</v>
      </c>
      <c r="L192" s="128">
        <f t="shared" si="71"/>
        <v>187.10600000000005</v>
      </c>
      <c r="M192" s="128">
        <f t="shared" si="71"/>
        <v>187.10600000000005</v>
      </c>
      <c r="N192" s="128">
        <f t="shared" si="71"/>
        <v>187.10600000000005</v>
      </c>
      <c r="O192" s="128">
        <f t="shared" si="71"/>
        <v>187.10600000000005</v>
      </c>
      <c r="P192" s="128">
        <f t="shared" si="71"/>
        <v>187.10600000000005</v>
      </c>
      <c r="Q192" s="128">
        <f t="shared" si="71"/>
        <v>187.10600000000005</v>
      </c>
      <c r="R192" s="128">
        <f t="shared" si="71"/>
        <v>187.10600000000005</v>
      </c>
      <c r="S192" s="128">
        <f t="shared" si="71"/>
        <v>187.10600000000005</v>
      </c>
      <c r="T192" s="128">
        <f t="shared" si="71"/>
        <v>187.10600000000005</v>
      </c>
      <c r="U192" s="128">
        <f t="shared" si="71"/>
        <v>187.10600000000005</v>
      </c>
      <c r="V192" s="128">
        <f t="shared" si="71"/>
        <v>187.10600000000005</v>
      </c>
      <c r="W192" s="128">
        <f t="shared" si="71"/>
        <v>187.10600000000005</v>
      </c>
      <c r="X192" s="128">
        <f t="shared" si="71"/>
        <v>187.10600000000005</v>
      </c>
      <c r="Y192" s="128">
        <f t="shared" si="71"/>
        <v>187.10600000000005</v>
      </c>
      <c r="Z192" s="128">
        <f t="shared" si="71"/>
        <v>187.10600000000005</v>
      </c>
      <c r="AA192" s="128">
        <f t="shared" si="71"/>
        <v>187.10600000000005</v>
      </c>
      <c r="AB192" s="128">
        <f t="shared" si="71"/>
        <v>187.10600000000005</v>
      </c>
      <c r="AC192" s="128">
        <f t="shared" si="71"/>
        <v>187.10600000000005</v>
      </c>
      <c r="AD192" s="128">
        <f t="shared" si="71"/>
        <v>187.10600000000005</v>
      </c>
      <c r="AE192" s="128">
        <f t="shared" si="71"/>
        <v>187.10600000000005</v>
      </c>
      <c r="AF192" s="128">
        <f t="shared" si="71"/>
        <v>187.10600000000005</v>
      </c>
      <c r="AG192" s="129">
        <f t="shared" si="71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72">AF194</f>
        <v>0.3</v>
      </c>
      <c r="C194" s="130">
        <v>0.3</v>
      </c>
      <c r="D194" s="130">
        <f t="shared" ref="D194:S199" si="73">C194</f>
        <v>0.3</v>
      </c>
      <c r="E194" s="130">
        <f t="shared" si="73"/>
        <v>0.3</v>
      </c>
      <c r="F194" s="130">
        <f t="shared" si="73"/>
        <v>0.3</v>
      </c>
      <c r="G194" s="130">
        <f t="shared" si="73"/>
        <v>0.3</v>
      </c>
      <c r="H194" s="130">
        <f t="shared" si="73"/>
        <v>0.3</v>
      </c>
      <c r="I194" s="130">
        <f t="shared" si="73"/>
        <v>0.3</v>
      </c>
      <c r="J194" s="130">
        <f t="shared" si="73"/>
        <v>0.3</v>
      </c>
      <c r="K194" s="130">
        <f t="shared" si="73"/>
        <v>0.3</v>
      </c>
      <c r="L194" s="130">
        <f t="shared" si="73"/>
        <v>0.3</v>
      </c>
      <c r="M194" s="130">
        <f t="shared" si="73"/>
        <v>0.3</v>
      </c>
      <c r="N194" s="130">
        <f t="shared" si="73"/>
        <v>0.3</v>
      </c>
      <c r="O194" s="130">
        <f t="shared" si="73"/>
        <v>0.3</v>
      </c>
      <c r="P194" s="130">
        <f t="shared" si="73"/>
        <v>0.3</v>
      </c>
      <c r="Q194" s="130">
        <f t="shared" si="73"/>
        <v>0.3</v>
      </c>
      <c r="R194" s="130">
        <f t="shared" si="73"/>
        <v>0.3</v>
      </c>
      <c r="S194" s="130">
        <f t="shared" si="73"/>
        <v>0.3</v>
      </c>
      <c r="T194" s="130">
        <f t="shared" ref="T194:AF199" si="74">S194</f>
        <v>0.3</v>
      </c>
      <c r="U194" s="130">
        <f t="shared" si="74"/>
        <v>0.3</v>
      </c>
      <c r="V194" s="130">
        <f t="shared" si="74"/>
        <v>0.3</v>
      </c>
      <c r="W194" s="130">
        <f t="shared" si="74"/>
        <v>0.3</v>
      </c>
      <c r="X194" s="130">
        <f t="shared" si="74"/>
        <v>0.3</v>
      </c>
      <c r="Y194" s="130">
        <f t="shared" si="74"/>
        <v>0.3</v>
      </c>
      <c r="Z194" s="130">
        <f t="shared" si="74"/>
        <v>0.3</v>
      </c>
      <c r="AA194" s="130">
        <f t="shared" si="74"/>
        <v>0.3</v>
      </c>
      <c r="AB194" s="130">
        <f t="shared" si="74"/>
        <v>0.3</v>
      </c>
      <c r="AC194" s="130">
        <f t="shared" si="74"/>
        <v>0.3</v>
      </c>
      <c r="AD194" s="130">
        <f t="shared" si="74"/>
        <v>0.3</v>
      </c>
      <c r="AE194" s="130">
        <f t="shared" si="74"/>
        <v>0.3</v>
      </c>
      <c r="AF194" s="130">
        <f t="shared" si="74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72"/>
        <v>0.4</v>
      </c>
      <c r="C195" s="123">
        <v>0.4</v>
      </c>
      <c r="D195" s="123">
        <f t="shared" si="73"/>
        <v>0.4</v>
      </c>
      <c r="E195" s="123">
        <f t="shared" si="73"/>
        <v>0.4</v>
      </c>
      <c r="F195" s="123">
        <f t="shared" si="73"/>
        <v>0.4</v>
      </c>
      <c r="G195" s="123">
        <f t="shared" si="73"/>
        <v>0.4</v>
      </c>
      <c r="H195" s="123">
        <f t="shared" si="73"/>
        <v>0.4</v>
      </c>
      <c r="I195" s="123">
        <f t="shared" si="73"/>
        <v>0.4</v>
      </c>
      <c r="J195" s="123">
        <f t="shared" si="73"/>
        <v>0.4</v>
      </c>
      <c r="K195" s="123">
        <f t="shared" si="73"/>
        <v>0.4</v>
      </c>
      <c r="L195" s="123">
        <f t="shared" si="73"/>
        <v>0.4</v>
      </c>
      <c r="M195" s="123">
        <f t="shared" si="73"/>
        <v>0.4</v>
      </c>
      <c r="N195" s="123">
        <f t="shared" si="73"/>
        <v>0.4</v>
      </c>
      <c r="O195" s="123">
        <f t="shared" si="73"/>
        <v>0.4</v>
      </c>
      <c r="P195" s="123">
        <f t="shared" si="73"/>
        <v>0.4</v>
      </c>
      <c r="Q195" s="123">
        <f t="shared" si="73"/>
        <v>0.4</v>
      </c>
      <c r="R195" s="123">
        <f t="shared" si="73"/>
        <v>0.4</v>
      </c>
      <c r="S195" s="123">
        <f t="shared" si="73"/>
        <v>0.4</v>
      </c>
      <c r="T195" s="123">
        <f t="shared" si="74"/>
        <v>0.4</v>
      </c>
      <c r="U195" s="123">
        <f t="shared" si="74"/>
        <v>0.4</v>
      </c>
      <c r="V195" s="123">
        <f t="shared" si="74"/>
        <v>0.4</v>
      </c>
      <c r="W195" s="123">
        <f>V195</f>
        <v>0.4</v>
      </c>
      <c r="X195" s="123">
        <f>W195</f>
        <v>0.4</v>
      </c>
      <c r="Y195" s="123">
        <f t="shared" si="74"/>
        <v>0.4</v>
      </c>
      <c r="Z195" s="123">
        <f t="shared" si="74"/>
        <v>0.4</v>
      </c>
      <c r="AA195" s="123">
        <f t="shared" si="74"/>
        <v>0.4</v>
      </c>
      <c r="AB195" s="123">
        <f t="shared" si="74"/>
        <v>0.4</v>
      </c>
      <c r="AC195" s="123">
        <f t="shared" si="74"/>
        <v>0.4</v>
      </c>
      <c r="AD195" s="123">
        <f t="shared" si="74"/>
        <v>0.4</v>
      </c>
      <c r="AE195" s="123">
        <f t="shared" si="74"/>
        <v>0.4</v>
      </c>
      <c r="AF195" s="123">
        <f t="shared" si="74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72"/>
        <v>1.5</v>
      </c>
      <c r="C196" s="123">
        <v>1.5</v>
      </c>
      <c r="D196" s="123">
        <f t="shared" si="73"/>
        <v>1.5</v>
      </c>
      <c r="E196" s="123">
        <f t="shared" si="73"/>
        <v>1.5</v>
      </c>
      <c r="F196" s="123">
        <f t="shared" si="73"/>
        <v>1.5</v>
      </c>
      <c r="G196" s="123">
        <f t="shared" si="73"/>
        <v>1.5</v>
      </c>
      <c r="H196" s="123">
        <f t="shared" si="73"/>
        <v>1.5</v>
      </c>
      <c r="I196" s="123">
        <f t="shared" si="73"/>
        <v>1.5</v>
      </c>
      <c r="J196" s="123">
        <f t="shared" si="73"/>
        <v>1.5</v>
      </c>
      <c r="K196" s="123">
        <f t="shared" si="73"/>
        <v>1.5</v>
      </c>
      <c r="L196" s="123">
        <f t="shared" si="73"/>
        <v>1.5</v>
      </c>
      <c r="M196" s="123">
        <f t="shared" si="73"/>
        <v>1.5</v>
      </c>
      <c r="N196" s="123">
        <f t="shared" si="73"/>
        <v>1.5</v>
      </c>
      <c r="O196" s="123">
        <f t="shared" si="73"/>
        <v>1.5</v>
      </c>
      <c r="P196" s="123">
        <f t="shared" si="73"/>
        <v>1.5</v>
      </c>
      <c r="Q196" s="123">
        <f t="shared" si="73"/>
        <v>1.5</v>
      </c>
      <c r="R196" s="123">
        <f t="shared" si="73"/>
        <v>1.5</v>
      </c>
      <c r="S196" s="123">
        <f t="shared" si="73"/>
        <v>1.5</v>
      </c>
      <c r="T196" s="123">
        <f t="shared" si="74"/>
        <v>1.5</v>
      </c>
      <c r="U196" s="123">
        <f t="shared" si="74"/>
        <v>1.5</v>
      </c>
      <c r="V196" s="123">
        <f t="shared" si="74"/>
        <v>1.5</v>
      </c>
      <c r="W196" s="123">
        <f t="shared" si="74"/>
        <v>1.5</v>
      </c>
      <c r="X196" s="123">
        <f t="shared" si="74"/>
        <v>1.5</v>
      </c>
      <c r="Y196" s="123">
        <f t="shared" si="74"/>
        <v>1.5</v>
      </c>
      <c r="Z196" s="123">
        <f t="shared" si="74"/>
        <v>1.5</v>
      </c>
      <c r="AA196" s="123">
        <f t="shared" si="74"/>
        <v>1.5</v>
      </c>
      <c r="AB196" s="123">
        <f t="shared" si="74"/>
        <v>1.5</v>
      </c>
      <c r="AC196" s="123">
        <f t="shared" si="74"/>
        <v>1.5</v>
      </c>
      <c r="AD196" s="123">
        <f t="shared" si="74"/>
        <v>1.5</v>
      </c>
      <c r="AE196" s="123">
        <f t="shared" si="74"/>
        <v>1.5</v>
      </c>
      <c r="AF196" s="123">
        <f t="shared" si="74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72"/>
        <v>0.3</v>
      </c>
      <c r="C197" s="123">
        <v>0.3</v>
      </c>
      <c r="D197" s="123">
        <f t="shared" si="73"/>
        <v>0.3</v>
      </c>
      <c r="E197" s="123">
        <f t="shared" si="73"/>
        <v>0.3</v>
      </c>
      <c r="F197" s="123">
        <f t="shared" si="73"/>
        <v>0.3</v>
      </c>
      <c r="G197" s="123">
        <f t="shared" si="73"/>
        <v>0.3</v>
      </c>
      <c r="H197" s="123">
        <f t="shared" si="73"/>
        <v>0.3</v>
      </c>
      <c r="I197" s="123">
        <f t="shared" si="73"/>
        <v>0.3</v>
      </c>
      <c r="J197" s="123">
        <f t="shared" si="73"/>
        <v>0.3</v>
      </c>
      <c r="K197" s="123">
        <f t="shared" si="73"/>
        <v>0.3</v>
      </c>
      <c r="L197" s="123">
        <f t="shared" si="73"/>
        <v>0.3</v>
      </c>
      <c r="M197" s="123">
        <f t="shared" si="73"/>
        <v>0.3</v>
      </c>
      <c r="N197" s="123">
        <f t="shared" si="73"/>
        <v>0.3</v>
      </c>
      <c r="O197" s="123">
        <f t="shared" si="73"/>
        <v>0.3</v>
      </c>
      <c r="P197" s="123">
        <f t="shared" si="73"/>
        <v>0.3</v>
      </c>
      <c r="Q197" s="123">
        <f t="shared" si="73"/>
        <v>0.3</v>
      </c>
      <c r="R197" s="123">
        <f t="shared" si="73"/>
        <v>0.3</v>
      </c>
      <c r="S197" s="123">
        <f t="shared" si="73"/>
        <v>0.3</v>
      </c>
      <c r="T197" s="123">
        <f t="shared" si="74"/>
        <v>0.3</v>
      </c>
      <c r="U197" s="123">
        <f t="shared" si="74"/>
        <v>0.3</v>
      </c>
      <c r="V197" s="123">
        <f t="shared" si="74"/>
        <v>0.3</v>
      </c>
      <c r="W197" s="123">
        <f t="shared" si="74"/>
        <v>0.3</v>
      </c>
      <c r="X197" s="123">
        <f t="shared" si="74"/>
        <v>0.3</v>
      </c>
      <c r="Y197" s="123">
        <f t="shared" si="74"/>
        <v>0.3</v>
      </c>
      <c r="Z197" s="123">
        <f t="shared" si="74"/>
        <v>0.3</v>
      </c>
      <c r="AA197" s="123">
        <f t="shared" si="74"/>
        <v>0.3</v>
      </c>
      <c r="AB197" s="123">
        <f t="shared" si="74"/>
        <v>0.3</v>
      </c>
      <c r="AC197" s="123">
        <f t="shared" si="74"/>
        <v>0.3</v>
      </c>
      <c r="AD197" s="123">
        <f t="shared" si="74"/>
        <v>0.3</v>
      </c>
      <c r="AE197" s="123">
        <f t="shared" si="74"/>
        <v>0.3</v>
      </c>
      <c r="AF197" s="123">
        <f t="shared" si="74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72"/>
        <v>0.4</v>
      </c>
      <c r="C198" s="123">
        <v>0.4</v>
      </c>
      <c r="D198" s="123">
        <f t="shared" si="73"/>
        <v>0.4</v>
      </c>
      <c r="E198" s="123">
        <f t="shared" si="73"/>
        <v>0.4</v>
      </c>
      <c r="F198" s="123">
        <f t="shared" si="73"/>
        <v>0.4</v>
      </c>
      <c r="G198" s="123">
        <f t="shared" si="73"/>
        <v>0.4</v>
      </c>
      <c r="H198" s="123">
        <f t="shared" si="73"/>
        <v>0.4</v>
      </c>
      <c r="I198" s="123">
        <f t="shared" si="73"/>
        <v>0.4</v>
      </c>
      <c r="J198" s="123">
        <f t="shared" si="73"/>
        <v>0.4</v>
      </c>
      <c r="K198" s="123">
        <f t="shared" si="73"/>
        <v>0.4</v>
      </c>
      <c r="L198" s="123">
        <f t="shared" si="73"/>
        <v>0.4</v>
      </c>
      <c r="M198" s="123">
        <f t="shared" si="73"/>
        <v>0.4</v>
      </c>
      <c r="N198" s="123">
        <f t="shared" si="73"/>
        <v>0.4</v>
      </c>
      <c r="O198" s="123">
        <f t="shared" si="73"/>
        <v>0.4</v>
      </c>
      <c r="P198" s="123">
        <f t="shared" si="73"/>
        <v>0.4</v>
      </c>
      <c r="Q198" s="123">
        <f t="shared" si="73"/>
        <v>0.4</v>
      </c>
      <c r="R198" s="123">
        <f t="shared" si="73"/>
        <v>0.4</v>
      </c>
      <c r="S198" s="123">
        <f t="shared" si="73"/>
        <v>0.4</v>
      </c>
      <c r="T198" s="123">
        <f t="shared" si="74"/>
        <v>0.4</v>
      </c>
      <c r="U198" s="123">
        <f t="shared" si="74"/>
        <v>0.4</v>
      </c>
      <c r="V198" s="123">
        <f t="shared" si="74"/>
        <v>0.4</v>
      </c>
      <c r="W198" s="123">
        <f t="shared" si="74"/>
        <v>0.4</v>
      </c>
      <c r="X198" s="123">
        <f t="shared" si="74"/>
        <v>0.4</v>
      </c>
      <c r="Y198" s="123">
        <f t="shared" si="74"/>
        <v>0.4</v>
      </c>
      <c r="Z198" s="123">
        <f t="shared" si="74"/>
        <v>0.4</v>
      </c>
      <c r="AA198" s="123">
        <f t="shared" si="74"/>
        <v>0.4</v>
      </c>
      <c r="AB198" s="123">
        <f t="shared" si="74"/>
        <v>0.4</v>
      </c>
      <c r="AC198" s="123">
        <f t="shared" si="74"/>
        <v>0.4</v>
      </c>
      <c r="AD198" s="123">
        <f t="shared" si="74"/>
        <v>0.4</v>
      </c>
      <c r="AE198" s="123">
        <f t="shared" si="74"/>
        <v>0.4</v>
      </c>
      <c r="AF198" s="123">
        <f t="shared" si="74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72"/>
        <v>0.64</v>
      </c>
      <c r="C199" s="133">
        <v>0.64</v>
      </c>
      <c r="D199" s="133">
        <f t="shared" si="73"/>
        <v>0.64</v>
      </c>
      <c r="E199" s="133">
        <f t="shared" si="73"/>
        <v>0.64</v>
      </c>
      <c r="F199" s="133">
        <f t="shared" si="73"/>
        <v>0.64</v>
      </c>
      <c r="G199" s="133">
        <f t="shared" si="73"/>
        <v>0.64</v>
      </c>
      <c r="H199" s="133">
        <f t="shared" si="73"/>
        <v>0.64</v>
      </c>
      <c r="I199" s="133">
        <f t="shared" si="73"/>
        <v>0.64</v>
      </c>
      <c r="J199" s="133">
        <f t="shared" si="73"/>
        <v>0.64</v>
      </c>
      <c r="K199" s="133">
        <f t="shared" si="73"/>
        <v>0.64</v>
      </c>
      <c r="L199" s="133">
        <f t="shared" si="73"/>
        <v>0.64</v>
      </c>
      <c r="M199" s="133">
        <f t="shared" si="73"/>
        <v>0.64</v>
      </c>
      <c r="N199" s="133">
        <f t="shared" si="73"/>
        <v>0.64</v>
      </c>
      <c r="O199" s="133">
        <f t="shared" si="73"/>
        <v>0.64</v>
      </c>
      <c r="P199" s="133">
        <f t="shared" si="73"/>
        <v>0.64</v>
      </c>
      <c r="Q199" s="133">
        <f t="shared" si="73"/>
        <v>0.64</v>
      </c>
      <c r="R199" s="133">
        <f t="shared" si="73"/>
        <v>0.64</v>
      </c>
      <c r="S199" s="133">
        <f t="shared" si="73"/>
        <v>0.64</v>
      </c>
      <c r="T199" s="133">
        <f t="shared" si="74"/>
        <v>0.64</v>
      </c>
      <c r="U199" s="133">
        <f t="shared" si="74"/>
        <v>0.64</v>
      </c>
      <c r="V199" s="133">
        <f t="shared" si="74"/>
        <v>0.64</v>
      </c>
      <c r="W199" s="133">
        <f t="shared" si="74"/>
        <v>0.64</v>
      </c>
      <c r="X199" s="133">
        <f t="shared" si="74"/>
        <v>0.64</v>
      </c>
      <c r="Y199" s="133">
        <f t="shared" si="74"/>
        <v>0.64</v>
      </c>
      <c r="Z199" s="133">
        <f t="shared" si="74"/>
        <v>0.64</v>
      </c>
      <c r="AA199" s="133">
        <f t="shared" si="74"/>
        <v>0.64</v>
      </c>
      <c r="AB199" s="133">
        <f t="shared" si="74"/>
        <v>0.64</v>
      </c>
      <c r="AC199" s="133">
        <f t="shared" si="74"/>
        <v>0.64</v>
      </c>
      <c r="AD199" s="133">
        <f t="shared" si="74"/>
        <v>0.64</v>
      </c>
      <c r="AE199" s="133">
        <f t="shared" si="74"/>
        <v>0.64</v>
      </c>
      <c r="AF199" s="133">
        <f t="shared" si="74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5">SUM(D194:D199)</f>
        <v>3.54</v>
      </c>
      <c r="E200" s="136">
        <f t="shared" si="75"/>
        <v>3.54</v>
      </c>
      <c r="F200" s="136">
        <f t="shared" si="75"/>
        <v>3.54</v>
      </c>
      <c r="G200" s="136">
        <f t="shared" si="75"/>
        <v>3.54</v>
      </c>
      <c r="H200" s="136">
        <f t="shared" si="75"/>
        <v>3.54</v>
      </c>
      <c r="I200" s="136">
        <f t="shared" si="75"/>
        <v>3.54</v>
      </c>
      <c r="J200" s="136">
        <f t="shared" si="75"/>
        <v>3.54</v>
      </c>
      <c r="K200" s="136">
        <f t="shared" si="75"/>
        <v>3.54</v>
      </c>
      <c r="L200" s="136">
        <f t="shared" si="75"/>
        <v>3.54</v>
      </c>
      <c r="M200" s="136">
        <f>SUM(M194:M199)</f>
        <v>3.54</v>
      </c>
      <c r="N200" s="136">
        <f t="shared" ref="N200:S200" si="76">SUM(N194:N199)</f>
        <v>3.54</v>
      </c>
      <c r="O200" s="136">
        <f t="shared" si="76"/>
        <v>3.54</v>
      </c>
      <c r="P200" s="136">
        <f t="shared" si="76"/>
        <v>3.54</v>
      </c>
      <c r="Q200" s="136">
        <f t="shared" si="76"/>
        <v>3.54</v>
      </c>
      <c r="R200" s="136">
        <f t="shared" si="76"/>
        <v>3.54</v>
      </c>
      <c r="S200" s="136">
        <f t="shared" si="76"/>
        <v>3.54</v>
      </c>
      <c r="T200" s="136">
        <f>SUM(T194:T199)</f>
        <v>3.54</v>
      </c>
      <c r="U200" s="136">
        <f t="shared" ref="U200:AG200" si="77">SUM(U194:U199)</f>
        <v>3.54</v>
      </c>
      <c r="V200" s="136">
        <f t="shared" si="77"/>
        <v>3.54</v>
      </c>
      <c r="W200" s="136">
        <f t="shared" si="77"/>
        <v>3.54</v>
      </c>
      <c r="X200" s="136">
        <f t="shared" si="77"/>
        <v>3.54</v>
      </c>
      <c r="Y200" s="136">
        <f t="shared" si="77"/>
        <v>3.54</v>
      </c>
      <c r="Z200" s="136">
        <f t="shared" si="77"/>
        <v>3.54</v>
      </c>
      <c r="AA200" s="136">
        <f t="shared" si="77"/>
        <v>3.54</v>
      </c>
      <c r="AB200" s="136">
        <f t="shared" si="77"/>
        <v>3.54</v>
      </c>
      <c r="AC200" s="136">
        <f t="shared" si="77"/>
        <v>3.54</v>
      </c>
      <c r="AD200" s="136">
        <f t="shared" si="77"/>
        <v>3.54</v>
      </c>
      <c r="AE200" s="136">
        <f t="shared" si="77"/>
        <v>3.54</v>
      </c>
      <c r="AF200" s="136">
        <f t="shared" si="77"/>
        <v>3.54</v>
      </c>
      <c r="AG200" s="137">
        <f t="shared" si="77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1768.64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21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2079/02/21)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2079/02/21)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8">B75</f>
        <v>1754.74</v>
      </c>
      <c r="U214" s="161">
        <f t="shared" si="78"/>
        <v>1752.44</v>
      </c>
      <c r="V214" s="161">
        <f t="shared" si="78"/>
        <v>1749.04</v>
      </c>
      <c r="W214" s="161">
        <f t="shared" si="78"/>
        <v>1756.4399999999998</v>
      </c>
      <c r="X214" s="161">
        <f t="shared" si="78"/>
        <v>1676.54</v>
      </c>
      <c r="Y214" s="161">
        <f t="shared" si="78"/>
        <v>1606.54</v>
      </c>
      <c r="Z214" s="161">
        <f t="shared" si="78"/>
        <v>1676.44</v>
      </c>
      <c r="AA214" s="161">
        <f t="shared" si="78"/>
        <v>1672.04</v>
      </c>
      <c r="AB214" s="161">
        <f t="shared" si="78"/>
        <v>1669.34</v>
      </c>
      <c r="AC214" s="161">
        <f t="shared" si="78"/>
        <v>1667.94</v>
      </c>
      <c r="AD214" s="161">
        <f t="shared" si="78"/>
        <v>1768.64</v>
      </c>
      <c r="AE214" s="161">
        <f t="shared" si="78"/>
        <v>1685.24</v>
      </c>
      <c r="AF214" s="161">
        <f t="shared" si="78"/>
        <v>1767.04</v>
      </c>
      <c r="AG214" s="161">
        <f t="shared" si="78"/>
        <v>1763.4399999999998</v>
      </c>
      <c r="AH214" s="161">
        <f t="shared" si="78"/>
        <v>1800.54</v>
      </c>
      <c r="AI214" s="161">
        <f t="shared" si="78"/>
        <v>1802.04</v>
      </c>
      <c r="AJ214" s="161">
        <f t="shared" si="78"/>
        <v>1797.94</v>
      </c>
      <c r="AK214" s="161">
        <f t="shared" si="78"/>
        <v>1811.24</v>
      </c>
      <c r="AL214" s="161">
        <f t="shared" si="78"/>
        <v>1787.34</v>
      </c>
      <c r="AM214" s="161">
        <f t="shared" si="78"/>
        <v>1768.84</v>
      </c>
      <c r="AN214" s="161">
        <f t="shared" si="78"/>
        <v>1780.84</v>
      </c>
      <c r="AO214" s="161">
        <f t="shared" si="78"/>
        <v>1780.84</v>
      </c>
      <c r="AP214" s="161">
        <f t="shared" si="78"/>
        <v>1713.9399999999998</v>
      </c>
      <c r="AQ214" s="161">
        <f t="shared" si="78"/>
        <v>1713.9399999999998</v>
      </c>
      <c r="AR214" s="161">
        <f t="shared" si="78"/>
        <v>1726.84</v>
      </c>
      <c r="AS214" s="161">
        <f t="shared" si="78"/>
        <v>1738.04</v>
      </c>
      <c r="AT214" s="161">
        <f t="shared" si="78"/>
        <v>1782.2400000000002</v>
      </c>
      <c r="AU214" s="161">
        <f t="shared" si="78"/>
        <v>1777.54</v>
      </c>
      <c r="AV214" s="161">
        <f t="shared" si="78"/>
        <v>1787.64</v>
      </c>
      <c r="AW214" s="161">
        <f t="shared" si="78"/>
        <v>1790.14</v>
      </c>
      <c r="AX214" s="161">
        <f t="shared" si="78"/>
        <v>1772.3400000000001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9">C199</f>
        <v>0.64</v>
      </c>
      <c r="C235" s="164">
        <f t="shared" si="79"/>
        <v>0.64</v>
      </c>
      <c r="D235" s="164">
        <f t="shared" si="79"/>
        <v>0.64</v>
      </c>
      <c r="E235" s="164">
        <f t="shared" si="79"/>
        <v>0.64</v>
      </c>
      <c r="F235" s="164">
        <f t="shared" si="79"/>
        <v>0.64</v>
      </c>
      <c r="G235" s="164">
        <f t="shared" si="79"/>
        <v>0.64</v>
      </c>
      <c r="H235" s="164">
        <f t="shared" si="79"/>
        <v>0.64</v>
      </c>
      <c r="I235" s="164">
        <f t="shared" si="79"/>
        <v>0.64</v>
      </c>
      <c r="J235" s="164">
        <f t="shared" si="79"/>
        <v>0.64</v>
      </c>
      <c r="K235" s="164">
        <f t="shared" si="79"/>
        <v>0.64</v>
      </c>
      <c r="L235" s="164">
        <f t="shared" si="79"/>
        <v>0.64</v>
      </c>
      <c r="M235" s="164">
        <f t="shared" si="79"/>
        <v>0.64</v>
      </c>
      <c r="N235" s="164">
        <f t="shared" si="79"/>
        <v>0.64</v>
      </c>
      <c r="O235" s="164">
        <f t="shared" si="79"/>
        <v>0.64</v>
      </c>
      <c r="P235" s="164">
        <f t="shared" si="79"/>
        <v>0.64</v>
      </c>
      <c r="Q235" s="164">
        <f t="shared" si="79"/>
        <v>0.64</v>
      </c>
      <c r="R235" s="164">
        <f t="shared" si="79"/>
        <v>0.64</v>
      </c>
      <c r="S235" s="164">
        <f t="shared" si="79"/>
        <v>0.64</v>
      </c>
      <c r="T235" s="164">
        <f t="shared" si="79"/>
        <v>0.64</v>
      </c>
      <c r="U235" s="164">
        <f t="shared" si="79"/>
        <v>0.64</v>
      </c>
      <c r="V235" s="164">
        <f t="shared" si="79"/>
        <v>0.64</v>
      </c>
      <c r="W235" s="164">
        <f t="shared" si="79"/>
        <v>0.64</v>
      </c>
      <c r="X235" s="164">
        <f t="shared" si="79"/>
        <v>0.64</v>
      </c>
      <c r="Y235" s="164">
        <f t="shared" si="79"/>
        <v>0.64</v>
      </c>
      <c r="Z235" s="164">
        <f t="shared" si="79"/>
        <v>0.64</v>
      </c>
      <c r="AA235" s="164">
        <f t="shared" si="79"/>
        <v>0.64</v>
      </c>
      <c r="AB235" s="164">
        <f t="shared" si="79"/>
        <v>0.64</v>
      </c>
      <c r="AC235" s="164">
        <f t="shared" si="79"/>
        <v>0.64</v>
      </c>
      <c r="AD235" s="164">
        <f t="shared" si="79"/>
        <v>0.64</v>
      </c>
      <c r="AE235" s="164">
        <f t="shared" si="79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80">IF(C203&lt;100,"",C203-520)</f>
        <v/>
      </c>
      <c r="D236" s="107" t="str">
        <f t="shared" si="80"/>
        <v/>
      </c>
      <c r="E236" s="107" t="str">
        <f t="shared" si="80"/>
        <v/>
      </c>
      <c r="F236" s="107" t="str">
        <f t="shared" si="80"/>
        <v/>
      </c>
      <c r="G236" s="107" t="str">
        <f t="shared" si="80"/>
        <v/>
      </c>
      <c r="H236" s="107" t="str">
        <f t="shared" si="80"/>
        <v/>
      </c>
      <c r="I236" s="107" t="str">
        <f t="shared" si="80"/>
        <v/>
      </c>
      <c r="J236" s="107" t="str">
        <f t="shared" si="80"/>
        <v/>
      </c>
      <c r="K236" s="107" t="str">
        <f t="shared" si="80"/>
        <v/>
      </c>
      <c r="L236" s="107" t="str">
        <f t="shared" si="80"/>
        <v/>
      </c>
      <c r="M236" s="107" t="str">
        <f t="shared" si="80"/>
        <v/>
      </c>
      <c r="N236" s="107" t="str">
        <f t="shared" si="80"/>
        <v/>
      </c>
      <c r="O236" s="107" t="str">
        <f t="shared" si="80"/>
        <v/>
      </c>
      <c r="P236" s="107" t="str">
        <f t="shared" si="80"/>
        <v/>
      </c>
      <c r="Q236" s="107" t="str">
        <f t="shared" si="80"/>
        <v/>
      </c>
      <c r="R236" s="107" t="str">
        <f t="shared" si="80"/>
        <v/>
      </c>
      <c r="S236" s="107" t="str">
        <f t="shared" si="80"/>
        <v/>
      </c>
      <c r="T236" s="107" t="str">
        <f t="shared" si="80"/>
        <v/>
      </c>
      <c r="U236" s="107" t="str">
        <f t="shared" si="80"/>
        <v/>
      </c>
      <c r="V236" s="107" t="str">
        <f t="shared" si="80"/>
        <v/>
      </c>
      <c r="W236" s="107" t="str">
        <f t="shared" si="80"/>
        <v/>
      </c>
      <c r="X236" s="107" t="str">
        <f t="shared" si="80"/>
        <v/>
      </c>
      <c r="Y236" s="107" t="str">
        <f t="shared" si="80"/>
        <v/>
      </c>
      <c r="Z236" s="107" t="str">
        <f t="shared" si="80"/>
        <v/>
      </c>
      <c r="AA236" s="107" t="str">
        <f t="shared" si="80"/>
        <v/>
      </c>
      <c r="AB236" s="107" t="str">
        <f t="shared" si="80"/>
        <v/>
      </c>
      <c r="AC236" s="107" t="str">
        <f t="shared" si="80"/>
        <v/>
      </c>
      <c r="AD236" s="107" t="str">
        <f t="shared" si="80"/>
        <v/>
      </c>
      <c r="AE236" s="107" t="str">
        <f t="shared" si="80"/>
        <v/>
      </c>
      <c r="AF236" s="107" t="str">
        <f t="shared" si="80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81">IF(B204&lt;100,"",B204-620)</f>
        <v/>
      </c>
      <c r="C237" s="107" t="str">
        <f t="shared" si="81"/>
        <v/>
      </c>
      <c r="D237" s="107" t="str">
        <f t="shared" si="81"/>
        <v/>
      </c>
      <c r="E237" s="107" t="str">
        <f t="shared" si="81"/>
        <v/>
      </c>
      <c r="F237" s="107" t="str">
        <f t="shared" si="81"/>
        <v/>
      </c>
      <c r="G237" s="107" t="str">
        <f t="shared" si="81"/>
        <v/>
      </c>
      <c r="H237" s="107" t="str">
        <f t="shared" si="81"/>
        <v/>
      </c>
      <c r="I237" s="107" t="str">
        <f t="shared" si="81"/>
        <v/>
      </c>
      <c r="J237" s="107" t="str">
        <f t="shared" si="81"/>
        <v/>
      </c>
      <c r="K237" s="107" t="str">
        <f t="shared" si="81"/>
        <v/>
      </c>
      <c r="L237" s="107" t="str">
        <f t="shared" si="81"/>
        <v/>
      </c>
      <c r="M237" s="107" t="str">
        <f t="shared" si="81"/>
        <v/>
      </c>
      <c r="N237" s="107" t="str">
        <f t="shared" si="81"/>
        <v/>
      </c>
      <c r="O237" s="107" t="str">
        <f t="shared" si="81"/>
        <v/>
      </c>
      <c r="P237" s="107" t="str">
        <f t="shared" si="81"/>
        <v/>
      </c>
      <c r="Q237" s="107" t="str">
        <f t="shared" si="81"/>
        <v/>
      </c>
      <c r="R237" s="107" t="str">
        <f t="shared" si="81"/>
        <v/>
      </c>
      <c r="S237" s="107" t="str">
        <f t="shared" si="81"/>
        <v/>
      </c>
      <c r="T237" s="107" t="str">
        <f t="shared" si="81"/>
        <v/>
      </c>
      <c r="U237" s="107" t="str">
        <f t="shared" si="81"/>
        <v/>
      </c>
      <c r="V237" s="107" t="str">
        <f t="shared" si="81"/>
        <v/>
      </c>
      <c r="W237" s="107" t="str">
        <f t="shared" si="81"/>
        <v/>
      </c>
      <c r="X237" s="107" t="str">
        <f t="shared" si="81"/>
        <v/>
      </c>
      <c r="Y237" s="107" t="str">
        <f t="shared" si="81"/>
        <v/>
      </c>
      <c r="Z237" s="107" t="str">
        <f t="shared" si="81"/>
        <v/>
      </c>
      <c r="AA237" s="107" t="str">
        <f t="shared" si="81"/>
        <v/>
      </c>
      <c r="AB237" s="107" t="str">
        <f t="shared" si="81"/>
        <v/>
      </c>
      <c r="AC237" s="107" t="str">
        <f t="shared" si="81"/>
        <v/>
      </c>
      <c r="AD237" s="107" t="str">
        <f t="shared" si="81"/>
        <v/>
      </c>
      <c r="AE237" s="107" t="str">
        <f t="shared" si="81"/>
        <v/>
      </c>
      <c r="AF237" s="107" t="str">
        <f t="shared" si="81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82">IF(B205&lt;100,"",B205-330)</f>
        <v/>
      </c>
      <c r="C238" s="107" t="str">
        <f t="shared" si="82"/>
        <v/>
      </c>
      <c r="D238" s="107" t="str">
        <f t="shared" si="82"/>
        <v/>
      </c>
      <c r="E238" s="107" t="str">
        <f t="shared" si="82"/>
        <v/>
      </c>
      <c r="F238" s="107" t="str">
        <f t="shared" si="82"/>
        <v/>
      </c>
      <c r="G238" s="107" t="str">
        <f t="shared" si="82"/>
        <v/>
      </c>
      <c r="H238" s="107" t="str">
        <f t="shared" si="82"/>
        <v/>
      </c>
      <c r="I238" s="107" t="str">
        <f t="shared" si="82"/>
        <v/>
      </c>
      <c r="J238" s="107" t="str">
        <f t="shared" si="82"/>
        <v/>
      </c>
      <c r="K238" s="107" t="str">
        <f t="shared" si="82"/>
        <v/>
      </c>
      <c r="L238" s="107" t="str">
        <f t="shared" si="82"/>
        <v/>
      </c>
      <c r="M238" s="107" t="str">
        <f t="shared" si="82"/>
        <v/>
      </c>
      <c r="N238" s="107" t="str">
        <f t="shared" si="82"/>
        <v/>
      </c>
      <c r="O238" s="107" t="str">
        <f t="shared" si="82"/>
        <v/>
      </c>
      <c r="P238" s="107" t="str">
        <f t="shared" si="82"/>
        <v/>
      </c>
      <c r="Q238" s="107" t="str">
        <f t="shared" si="82"/>
        <v/>
      </c>
      <c r="R238" s="107" t="str">
        <f t="shared" si="82"/>
        <v/>
      </c>
      <c r="S238" s="107" t="str">
        <f t="shared" si="82"/>
        <v/>
      </c>
      <c r="T238" s="107" t="str">
        <f t="shared" si="82"/>
        <v/>
      </c>
      <c r="U238" s="107" t="str">
        <f t="shared" si="82"/>
        <v/>
      </c>
      <c r="V238" s="107" t="str">
        <f t="shared" si="82"/>
        <v/>
      </c>
      <c r="W238" s="107" t="str">
        <f t="shared" si="82"/>
        <v/>
      </c>
      <c r="X238" s="107" t="str">
        <f t="shared" si="82"/>
        <v/>
      </c>
      <c r="Y238" s="107" t="str">
        <f t="shared" si="82"/>
        <v/>
      </c>
      <c r="Z238" s="107" t="str">
        <f t="shared" si="82"/>
        <v/>
      </c>
      <c r="AA238" s="107" t="str">
        <f t="shared" si="82"/>
        <v/>
      </c>
      <c r="AB238" s="107" t="str">
        <f t="shared" si="82"/>
        <v/>
      </c>
      <c r="AC238" s="107" t="str">
        <f t="shared" si="82"/>
        <v/>
      </c>
      <c r="AD238" s="107" t="str">
        <f t="shared" si="82"/>
        <v/>
      </c>
      <c r="AE238" s="107" t="str">
        <f t="shared" si="82"/>
        <v/>
      </c>
      <c r="AF238" s="107" t="str">
        <f t="shared" si="82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3">IF(C206&lt;100,"",C206-1500)</f>
        <v/>
      </c>
      <c r="D239" s="107" t="str">
        <f t="shared" si="83"/>
        <v/>
      </c>
      <c r="E239" s="107" t="str">
        <f t="shared" si="83"/>
        <v/>
      </c>
      <c r="F239" s="107" t="str">
        <f t="shared" si="83"/>
        <v/>
      </c>
      <c r="G239" s="107" t="str">
        <f t="shared" si="83"/>
        <v/>
      </c>
      <c r="H239" s="107" t="str">
        <f t="shared" si="83"/>
        <v/>
      </c>
      <c r="I239" s="107" t="str">
        <f t="shared" si="83"/>
        <v/>
      </c>
      <c r="J239" s="107" t="str">
        <f t="shared" si="83"/>
        <v/>
      </c>
      <c r="K239" s="107" t="str">
        <f t="shared" si="83"/>
        <v/>
      </c>
      <c r="L239" s="107" t="str">
        <f t="shared" si="83"/>
        <v/>
      </c>
      <c r="M239" s="107" t="str">
        <f t="shared" si="83"/>
        <v/>
      </c>
      <c r="N239" s="107" t="str">
        <f t="shared" si="83"/>
        <v/>
      </c>
      <c r="O239" s="107" t="str">
        <f t="shared" si="83"/>
        <v/>
      </c>
      <c r="P239" s="107" t="str">
        <f t="shared" si="83"/>
        <v/>
      </c>
      <c r="Q239" s="107" t="str">
        <f t="shared" si="83"/>
        <v/>
      </c>
      <c r="R239" s="107" t="str">
        <f t="shared" si="83"/>
        <v/>
      </c>
      <c r="S239" s="107" t="str">
        <f t="shared" si="83"/>
        <v/>
      </c>
      <c r="T239" s="107" t="str">
        <f t="shared" si="83"/>
        <v/>
      </c>
      <c r="U239" s="107" t="str">
        <f t="shared" si="83"/>
        <v/>
      </c>
      <c r="V239" s="107" t="str">
        <f t="shared" si="83"/>
        <v/>
      </c>
      <c r="W239" s="107" t="str">
        <f t="shared" si="83"/>
        <v/>
      </c>
      <c r="X239" s="107" t="str">
        <f t="shared" si="83"/>
        <v/>
      </c>
      <c r="Y239" s="107" t="str">
        <f t="shared" si="83"/>
        <v/>
      </c>
      <c r="Z239" s="107" t="str">
        <f t="shared" si="83"/>
        <v/>
      </c>
      <c r="AA239" s="107" t="str">
        <f t="shared" si="83"/>
        <v/>
      </c>
      <c r="AB239" s="107" t="str">
        <f t="shared" si="83"/>
        <v/>
      </c>
      <c r="AC239" s="107" t="str">
        <f t="shared" si="83"/>
        <v/>
      </c>
      <c r="AD239" s="107" t="str">
        <f t="shared" si="83"/>
        <v/>
      </c>
      <c r="AE239" s="107" t="str">
        <f t="shared" si="83"/>
        <v/>
      </c>
      <c r="AF239" s="107" t="str">
        <f t="shared" si="83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9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AB11:AF11">
    <cfRule type="expression" dxfId="2730" priority="289">
      <formula>B$9&gt;=20/24</formula>
    </cfRule>
    <cfRule type="expression" dxfId="2729" priority="290">
      <formula>AND(B$9&gt;=14/24,B$9&lt;20/24)</formula>
    </cfRule>
    <cfRule type="expression" dxfId="2728" priority="291">
      <formula>AND(B$9&gt;=8/24,B$9&lt;14/24)</formula>
    </cfRule>
    <cfRule type="expression" dxfId="2727" priority="292">
      <formula>B$9&lt;8/24</formula>
    </cfRule>
  </conditionalFormatting>
  <conditionalFormatting sqref="AL4:AL6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726" priority="284">
      <formula>S$9&gt;=20/24</formula>
    </cfRule>
    <cfRule type="expression" dxfId="2725" priority="285">
      <formula>AND(S$9&gt;=14/24,S$9&lt;20/24)</formula>
    </cfRule>
    <cfRule type="expression" dxfId="2724" priority="286">
      <formula>AND(S$9&gt;=8/24,S$9&lt;14/24)</formula>
    </cfRule>
    <cfRule type="expression" dxfId="2723" priority="287">
      <formula>S$9&lt;8/24</formula>
    </cfRule>
  </conditionalFormatting>
  <conditionalFormatting sqref="AG51 M11:R11 M16:R16 S37:AF37 S11:AF16">
    <cfRule type="expression" dxfId="2722" priority="283">
      <formula>M11&gt;$AG11</formula>
    </cfRule>
  </conditionalFormatting>
  <conditionalFormatting sqref="A101:A157 A84:A97 A11:A14 A45:A72 A80:A82 A74:A78 A35:A43 A170:A200 A16:A32">
    <cfRule type="expression" dxfId="2721" priority="282">
      <formula>$AH11=0</formula>
    </cfRule>
  </conditionalFormatting>
  <conditionalFormatting sqref="A98">
    <cfRule type="expression" dxfId="2720" priority="281">
      <formula>$AH98=0</formula>
    </cfRule>
  </conditionalFormatting>
  <conditionalFormatting sqref="AL32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719" priority="279">
      <formula>$AH34=0</formula>
    </cfRule>
  </conditionalFormatting>
  <conditionalFormatting sqref="A83">
    <cfRule type="expression" dxfId="2718" priority="278">
      <formula>$AH83=0</formula>
    </cfRule>
  </conditionalFormatting>
  <conditionalFormatting sqref="A15">
    <cfRule type="expression" dxfId="2717" priority="277">
      <formula>$AH15=0</formula>
    </cfRule>
  </conditionalFormatting>
  <conditionalFormatting sqref="A164:A169">
    <cfRule type="expression" dxfId="2716" priority="276">
      <formula>$AH164=0</formula>
    </cfRule>
  </conditionalFormatting>
  <conditionalFormatting sqref="A158:A163">
    <cfRule type="expression" dxfId="2715" priority="275">
      <formula>$AH158=0</formula>
    </cfRule>
  </conditionalFormatting>
  <conditionalFormatting sqref="A44">
    <cfRule type="expression" dxfId="2714" priority="274">
      <formula>$AH44=0</formula>
    </cfRule>
  </conditionalFormatting>
  <conditionalFormatting sqref="A79">
    <cfRule type="expression" dxfId="2713" priority="273">
      <formula>$AH79=0</formula>
    </cfRule>
  </conditionalFormatting>
  <conditionalFormatting sqref="A73">
    <cfRule type="expression" dxfId="2712" priority="272">
      <formula>$AH73=0</formula>
    </cfRule>
  </conditionalFormatting>
  <conditionalFormatting sqref="AL34:AL35 AL7:AL31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711" priority="268">
      <formula>C$9&gt;=20/24</formula>
    </cfRule>
    <cfRule type="expression" dxfId="2710" priority="269">
      <formula>AND(C$9&gt;=14/24,C$9&lt;20/24)</formula>
    </cfRule>
    <cfRule type="expression" dxfId="2709" priority="270">
      <formula>AND(C$9&gt;=8/24,C$9&lt;14/24)</formula>
    </cfRule>
    <cfRule type="expression" dxfId="2708" priority="271">
      <formula>C$9&lt;8/24</formula>
    </cfRule>
  </conditionalFormatting>
  <conditionalFormatting sqref="AL33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707" priority="296">
      <formula>C$9&gt;=20/24</formula>
    </cfRule>
    <cfRule type="expression" dxfId="2706" priority="297">
      <formula>AND(C$9&gt;=14/24,C$9&lt;20/24)</formula>
    </cfRule>
    <cfRule type="expression" dxfId="2705" priority="298">
      <formula>AND(C$9&gt;=8/24,C$9&lt;14/24)</formula>
    </cfRule>
    <cfRule type="expression" dxfId="2704" priority="299">
      <formula>C$9&lt;8/24</formula>
    </cfRule>
  </conditionalFormatting>
  <conditionalFormatting sqref="A201">
    <cfRule type="expression" dxfId="2703" priority="300">
      <formula>$AH201=0</formula>
    </cfRule>
  </conditionalFormatting>
  <conditionalFormatting sqref="AG213">
    <cfRule type="expression" dxfId="2702" priority="301">
      <formula>B$9&gt;=20/24</formula>
    </cfRule>
    <cfRule type="expression" dxfId="2701" priority="302">
      <formula>AND(B$9&gt;=14/24,B$9&lt;20/24)</formula>
    </cfRule>
    <cfRule type="expression" dxfId="2700" priority="303">
      <formula>AND(B$9&gt;=8/24,B$9&lt;14/24)</formula>
    </cfRule>
    <cfRule type="expression" dxfId="2699" priority="304">
      <formula>B$9&lt;8/24</formula>
    </cfRule>
  </conditionalFormatting>
  <conditionalFormatting sqref="S8">
    <cfRule type="expression" dxfId="2698" priority="263">
      <formula>U$9&gt;=20/24</formula>
    </cfRule>
    <cfRule type="expression" dxfId="2697" priority="264">
      <formula>AND(U$9&gt;=14/24,U$9&lt;20/24)</formula>
    </cfRule>
    <cfRule type="expression" dxfId="2696" priority="265">
      <formula>AND(U$9&gt;=8/24,U$9&lt;14/24)</formula>
    </cfRule>
    <cfRule type="expression" dxfId="2695" priority="266">
      <formula>U$9&lt;8/24</formula>
    </cfRule>
  </conditionalFormatting>
  <conditionalFormatting sqref="AB8">
    <cfRule type="expression" dxfId="2694" priority="259">
      <formula>AD$9&gt;=20/24</formula>
    </cfRule>
    <cfRule type="expression" dxfId="2693" priority="260">
      <formula>AND(AD$9&gt;=14/24,AD$9&lt;20/24)</formula>
    </cfRule>
    <cfRule type="expression" dxfId="2692" priority="261">
      <formula>AND(AD$9&gt;=8/24,AD$9&lt;14/24)</formula>
    </cfRule>
    <cfRule type="expression" dxfId="2691" priority="262">
      <formula>AD$9&lt;8/24</formula>
    </cfRule>
  </conditionalFormatting>
  <conditionalFormatting sqref="AH213:AX213">
    <cfRule type="expression" dxfId="2690" priority="305">
      <formula>AG$9&gt;=20/24</formula>
    </cfRule>
    <cfRule type="expression" dxfId="2689" priority="306">
      <formula>AND(AG$9&gt;=14/24,AG$9&lt;20/24)</formula>
    </cfRule>
    <cfRule type="expression" dxfId="2688" priority="307">
      <formula>AND(AG$9&gt;=8/24,AG$9&lt;14/24)</formula>
    </cfRule>
    <cfRule type="expression" dxfId="2687" priority="308">
      <formula>AG$9&lt;8/24</formula>
    </cfRule>
  </conditionalFormatting>
  <conditionalFormatting sqref="T213">
    <cfRule type="expression" dxfId="2686" priority="309">
      <formula>AX$9&gt;=20/24</formula>
    </cfRule>
    <cfRule type="expression" dxfId="2685" priority="310">
      <formula>AND(AX$9&gt;=14/24,AX$9&lt;20/24)</formula>
    </cfRule>
    <cfRule type="expression" dxfId="2684" priority="311">
      <formula>AND(AX$9&gt;=8/24,AX$9&lt;14/24)</formula>
    </cfRule>
    <cfRule type="expression" dxfId="2683" priority="312">
      <formula>AX$9&lt;8/24</formula>
    </cfRule>
  </conditionalFormatting>
  <conditionalFormatting sqref="A99:A100">
    <cfRule type="expression" dxfId="2682" priority="258">
      <formula>$AH99=0</formula>
    </cfRule>
  </conditionalFormatting>
  <conditionalFormatting sqref="F11:L11 AB36:AF36 S40:AF41 C57:AF57">
    <cfRule type="expression" dxfId="2681" priority="254">
      <formula>C$9&gt;=20/24</formula>
    </cfRule>
    <cfRule type="expression" dxfId="2680" priority="255">
      <formula>AND(C$9&gt;=14/24,C$9&lt;20/24)</formula>
    </cfRule>
    <cfRule type="expression" dxfId="2679" priority="256">
      <formula>AND(C$9&gt;=8/24,C$9&lt;14/24)</formula>
    </cfRule>
    <cfRule type="expression" dxfId="2678" priority="257">
      <formula>C$9&lt;8/24</formula>
    </cfRule>
  </conditionalFormatting>
  <conditionalFormatting sqref="S39:AF39">
    <cfRule type="expression" dxfId="2677" priority="250">
      <formula>S$9&gt;=20/24</formula>
    </cfRule>
    <cfRule type="expression" dxfId="2676" priority="251">
      <formula>AND(S$9&gt;=14/24,S$9&lt;20/24)</formula>
    </cfRule>
    <cfRule type="expression" dxfId="2675" priority="252">
      <formula>AND(S$9&gt;=8/24,S$9&lt;14/24)</formula>
    </cfRule>
    <cfRule type="expression" dxfId="2674" priority="253">
      <formula>S$9&lt;8/24</formula>
    </cfRule>
  </conditionalFormatting>
  <conditionalFormatting sqref="F11:L11 AB36:AF36 S39:AF41">
    <cfRule type="expression" dxfId="2673" priority="249">
      <formula>F11&gt;$AG11</formula>
    </cfRule>
  </conditionalFormatting>
  <conditionalFormatting sqref="C81:AF81 C69:AF72 M37:R37 M58:T59 C58:L63 O60:T60 M60:N63 S61:T67 P26:R26 M11:R14 C67:R67 O61:R63 C53:AF56 C85:AF91 Q36:AA36 S18:AF22 S12:AF14 M16:AF16 S24:AF26 U58:AF67 S28:AF31">
    <cfRule type="expression" dxfId="2672" priority="245">
      <formula>C$9&gt;=20/24</formula>
    </cfRule>
    <cfRule type="expression" dxfId="2671" priority="246">
      <formula>AND(C$9&gt;=14/24,C$9&lt;20/24)</formula>
    </cfRule>
    <cfRule type="expression" dxfId="2670" priority="247">
      <formula>AND(C$9&gt;=8/24,C$9&lt;14/24)</formula>
    </cfRule>
    <cfRule type="expression" dxfId="2669" priority="248">
      <formula>C$9&lt;8/24</formula>
    </cfRule>
  </conditionalFormatting>
  <conditionalFormatting sqref="S32:AF32">
    <cfRule type="expression" dxfId="2668" priority="241">
      <formula>S$9&gt;=20/24</formula>
    </cfRule>
    <cfRule type="expression" dxfId="2667" priority="242">
      <formula>AND(S$9&gt;=14/24,S$9&lt;20/24)</formula>
    </cfRule>
    <cfRule type="expression" dxfId="2666" priority="243">
      <formula>AND(S$9&gt;=8/24,S$9&lt;14/24)</formula>
    </cfRule>
    <cfRule type="expression" dxfId="2665" priority="244">
      <formula>S$9&lt;8/24</formula>
    </cfRule>
  </conditionalFormatting>
  <conditionalFormatting sqref="S35:AF35">
    <cfRule type="expression" dxfId="2664" priority="237">
      <formula>S$9&gt;=20/24</formula>
    </cfRule>
    <cfRule type="expression" dxfId="2663" priority="238">
      <formula>AND(S$9&gt;=14/24,S$9&lt;20/24)</formula>
    </cfRule>
    <cfRule type="expression" dxfId="2662" priority="239">
      <formula>AND(S$9&gt;=8/24,S$9&lt;14/24)</formula>
    </cfRule>
    <cfRule type="expression" dxfId="2661" priority="240">
      <formula>S$9&lt;8/24</formula>
    </cfRule>
  </conditionalFormatting>
  <conditionalFormatting sqref="S34:S35 C51:AF51 K37:R37 Q36:S36 P26:R26 M11:R15 C53:AF56 T34:AA36 AB34:AF35 S18:AF22 AB42:AF43 S24:AF32">
    <cfRule type="expression" dxfId="2660" priority="236">
      <formula>C11&gt;$AG11</formula>
    </cfRule>
  </conditionalFormatting>
  <conditionalFormatting sqref="S34:AF34">
    <cfRule type="expression" dxfId="2659" priority="232">
      <formula>S$9&gt;=20/24</formula>
    </cfRule>
    <cfRule type="expression" dxfId="2658" priority="233">
      <formula>AND(S$9&gt;=14/24,S$9&lt;20/24)</formula>
    </cfRule>
    <cfRule type="expression" dxfId="2657" priority="234">
      <formula>AND(S$9&gt;=8/24,S$9&lt;14/24)</formula>
    </cfRule>
    <cfRule type="expression" dxfId="2656" priority="235">
      <formula>S$9&lt;8/24</formula>
    </cfRule>
  </conditionalFormatting>
  <conditionalFormatting sqref="M15:AF15">
    <cfRule type="expression" dxfId="2655" priority="228">
      <formula>M$9&gt;=20/24</formula>
    </cfRule>
    <cfRule type="expression" dxfId="2654" priority="229">
      <formula>AND(M$9&gt;=14/24,M$9&lt;20/24)</formula>
    </cfRule>
    <cfRule type="expression" dxfId="2653" priority="230">
      <formula>AND(M$9&gt;=8/24,M$9&lt;14/24)</formula>
    </cfRule>
    <cfRule type="expression" dxfId="2652" priority="231">
      <formula>M$9&lt;8/24</formula>
    </cfRule>
  </conditionalFormatting>
  <conditionalFormatting sqref="S33:AF33">
    <cfRule type="expression" dxfId="2651" priority="224">
      <formula>S$9&gt;=20/24</formula>
    </cfRule>
    <cfRule type="expression" dxfId="2650" priority="225">
      <formula>AND(S$9&gt;=14/24,S$9&lt;20/24)</formula>
    </cfRule>
    <cfRule type="expression" dxfId="2649" priority="226">
      <formula>AND(S$9&gt;=8/24,S$9&lt;14/24)</formula>
    </cfRule>
    <cfRule type="expression" dxfId="2648" priority="227">
      <formula>S$9&lt;8/24</formula>
    </cfRule>
  </conditionalFormatting>
  <conditionalFormatting sqref="S33:AF33">
    <cfRule type="expression" dxfId="2647" priority="223">
      <formula>S33&gt;$AG33</formula>
    </cfRule>
  </conditionalFormatting>
  <conditionalFormatting sqref="S11:AA11">
    <cfRule type="expression" dxfId="2646" priority="219">
      <formula>S$9&gt;=20/24</formula>
    </cfRule>
    <cfRule type="expression" dxfId="2645" priority="220">
      <formula>AND(S$9&gt;=14/24,S$9&lt;20/24)</formula>
    </cfRule>
    <cfRule type="expression" dxfId="2644" priority="221">
      <formula>AND(S$9&gt;=8/24,S$9&lt;14/24)</formula>
    </cfRule>
    <cfRule type="expression" dxfId="2643" priority="222">
      <formula>S$9&lt;8/24</formula>
    </cfRule>
  </conditionalFormatting>
  <conditionalFormatting sqref="AB50:AF50 AB44:AF48">
    <cfRule type="expression" dxfId="2642" priority="215">
      <formula>AB$9&gt;=20/24</formula>
    </cfRule>
    <cfRule type="expression" dxfId="2641" priority="216">
      <formula>AND(AB$9&gt;=14/24,AB$9&lt;20/24)</formula>
    </cfRule>
    <cfRule type="expression" dxfId="2640" priority="217">
      <formula>AND(AB$9&gt;=8/24,AB$9&lt;14/24)</formula>
    </cfRule>
    <cfRule type="expression" dxfId="2639" priority="218">
      <formula>AB$9&lt;8/24</formula>
    </cfRule>
  </conditionalFormatting>
  <conditionalFormatting sqref="AB50:AF50 AB44:AF48">
    <cfRule type="expression" dxfId="2638" priority="214">
      <formula>AB44&gt;$AG44</formula>
    </cfRule>
  </conditionalFormatting>
  <conditionalFormatting sqref="M39:R43 O44:Q44 O45:P46 Q45 R44:R45 Q46:R48 S42:AA50 AB49:AF49">
    <cfRule type="expression" dxfId="2637" priority="210">
      <formula>M$9&gt;=20/24</formula>
    </cfRule>
    <cfRule type="expression" dxfId="2636" priority="211">
      <formula>AND(M$9&gt;=14/24,M$9&lt;20/24)</formula>
    </cfRule>
    <cfRule type="expression" dxfId="2635" priority="212">
      <formula>AND(M$9&gt;=8/24,M$9&lt;14/24)</formula>
    </cfRule>
    <cfRule type="expression" dxfId="2634" priority="213">
      <formula>M$9&lt;8/24</formula>
    </cfRule>
  </conditionalFormatting>
  <conditionalFormatting sqref="M39:R43 O44:Q44 O45:P46 Q45 R44:R45 Q46:R48 S42:AA50 AB49:AF49">
    <cfRule type="expression" dxfId="2633" priority="209">
      <formula>M39&gt;$AG39</formula>
    </cfRule>
  </conditionalFormatting>
  <conditionalFormatting sqref="S27:AF27">
    <cfRule type="expression" dxfId="2632" priority="205">
      <formula>S$9&gt;=20/24</formula>
    </cfRule>
    <cfRule type="expression" dxfId="2631" priority="206">
      <formula>AND(S$9&gt;=14/24,S$9&lt;20/24)</formula>
    </cfRule>
    <cfRule type="expression" dxfId="2630" priority="207">
      <formula>AND(S$9&gt;=8/24,S$9&lt;14/24)</formula>
    </cfRule>
    <cfRule type="expression" dxfId="2629" priority="208">
      <formula>S$9&lt;8/24</formula>
    </cfRule>
  </conditionalFormatting>
  <conditionalFormatting sqref="L30:R30 S23:AF23 S17:AF17">
    <cfRule type="expression" dxfId="2628" priority="201">
      <formula>L$9&gt;=20/24</formula>
    </cfRule>
    <cfRule type="expression" dxfId="2627" priority="202">
      <formula>AND(L$9&gt;=14/24,L$9&lt;20/24)</formula>
    </cfRule>
    <cfRule type="expression" dxfId="2626" priority="203">
      <formula>AND(L$9&gt;=8/24,L$9&lt;14/24)</formula>
    </cfRule>
    <cfRule type="expression" dxfId="2625" priority="204">
      <formula>L$9&lt;8/24</formula>
    </cfRule>
  </conditionalFormatting>
  <conditionalFormatting sqref="L30:R30 S23:AF23 S17:AF17">
    <cfRule type="expression" dxfId="2624" priority="192">
      <formula>L17&gt;$AG17</formula>
    </cfRule>
  </conditionalFormatting>
  <conditionalFormatting sqref="C40:L41">
    <cfRule type="expression" dxfId="2623" priority="175">
      <formula>C$9&gt;=20/24</formula>
    </cfRule>
    <cfRule type="expression" dxfId="2622" priority="176">
      <formula>AND(C$9&gt;=14/24,C$9&lt;20/24)</formula>
    </cfRule>
    <cfRule type="expression" dxfId="2621" priority="177">
      <formula>AND(C$9&gt;=8/24,C$9&lt;14/24)</formula>
    </cfRule>
    <cfRule type="expression" dxfId="2620" priority="178">
      <formula>C$9&lt;8/24</formula>
    </cfRule>
  </conditionalFormatting>
  <conditionalFormatting sqref="C39:L39">
    <cfRule type="expression" dxfId="2619" priority="171">
      <formula>C$9&gt;=20/24</formula>
    </cfRule>
    <cfRule type="expression" dxfId="2618" priority="172">
      <formula>AND(C$9&gt;=14/24,C$9&lt;20/24)</formula>
    </cfRule>
    <cfRule type="expression" dxfId="2617" priority="173">
      <formula>AND(C$9&gt;=8/24,C$9&lt;14/24)</formula>
    </cfRule>
    <cfRule type="expression" dxfId="2616" priority="174">
      <formula>C$9&lt;8/24</formula>
    </cfRule>
  </conditionalFormatting>
  <conditionalFormatting sqref="C39:L41">
    <cfRule type="expression" dxfId="2615" priority="170">
      <formula>C39&gt;$AG39</formula>
    </cfRule>
  </conditionalFormatting>
  <conditionalFormatting sqref="C64:R66">
    <cfRule type="expression" dxfId="2614" priority="166">
      <formula>C$9&gt;=20/24</formula>
    </cfRule>
    <cfRule type="expression" dxfId="2613" priority="167">
      <formula>AND(C$9&gt;=14/24,C$9&lt;20/24)</formula>
    </cfRule>
    <cfRule type="expression" dxfId="2612" priority="168">
      <formula>AND(C$9&gt;=8/24,C$9&lt;14/24)</formula>
    </cfRule>
    <cfRule type="expression" dxfId="2611" priority="169">
      <formula>C$9&lt;8/24</formula>
    </cfRule>
  </conditionalFormatting>
  <conditionalFormatting sqref="C42:L43">
    <cfRule type="expression" dxfId="2610" priority="165">
      <formula>C42&gt;$AG42</formula>
    </cfRule>
  </conditionalFormatting>
  <conditionalFormatting sqref="C44:N50 O47:P50 Q49:R50">
    <cfRule type="expression" dxfId="2609" priority="161">
      <formula>C$9&gt;=20/24</formula>
    </cfRule>
    <cfRule type="expression" dxfId="2608" priority="162">
      <formula>AND(C$9&gt;=14/24,C$9&lt;20/24)</formula>
    </cfRule>
    <cfRule type="expression" dxfId="2607" priority="163">
      <formula>AND(C$9&gt;=8/24,C$9&lt;14/24)</formula>
    </cfRule>
    <cfRule type="expression" dxfId="2606" priority="164">
      <formula>C$9&lt;8/24</formula>
    </cfRule>
  </conditionalFormatting>
  <conditionalFormatting sqref="C44:N50 O47:P50 Q49:R50">
    <cfRule type="expression" dxfId="2605" priority="160">
      <formula>C44&gt;$AG44</formula>
    </cfRule>
  </conditionalFormatting>
  <conditionalFormatting sqref="C74:AF74 C82:AF82">
    <cfRule type="expression" dxfId="2604" priority="147">
      <formula>C$9&gt;=20/24</formula>
    </cfRule>
    <cfRule type="expression" dxfId="2603" priority="148">
      <formula>AND(C$9&gt;=14/24,C$9&lt;20/24)</formula>
    </cfRule>
    <cfRule type="expression" dxfId="2602" priority="149">
      <formula>AND(C$9&gt;=8/24,C$9&lt;14/24)</formula>
    </cfRule>
    <cfRule type="expression" dxfId="2601" priority="150">
      <formula>C$9&lt;8/24</formula>
    </cfRule>
  </conditionalFormatting>
  <conditionalFormatting sqref="C75:AF75 C73:AF73 C83:AF83">
    <cfRule type="expression" dxfId="2600" priority="125">
      <formula>C$9&gt;=20/24</formula>
    </cfRule>
    <cfRule type="expression" dxfId="2599" priority="126">
      <formula>AND(C$9&gt;=14/24,C$9&lt;20/24)</formula>
    </cfRule>
    <cfRule type="expression" dxfId="2598" priority="127">
      <formula>AND(C$9&gt;=8/24,C$9&lt;14/24)</formula>
    </cfRule>
    <cfRule type="expression" dxfId="2597" priority="128">
      <formula>C$9&lt;8/24</formula>
    </cfRule>
  </conditionalFormatting>
  <conditionalFormatting sqref="C52:AF52 C38:AF38">
    <cfRule type="expression" dxfId="2596" priority="116">
      <formula>C38&gt;$AG38</formula>
    </cfRule>
  </conditionalFormatting>
  <conditionalFormatting sqref="A33">
    <cfRule type="expression" dxfId="2595" priority="88">
      <formula>$AH33=0</formula>
    </cfRule>
  </conditionalFormatting>
  <conditionalFormatting sqref="C68:AF68">
    <cfRule type="expression" dxfId="2594" priority="84">
      <formula>C$9&gt;=20/24</formula>
    </cfRule>
    <cfRule type="expression" dxfId="2593" priority="85">
      <formula>AND(C$9&gt;=14/24,C$9&lt;20/24)</formula>
    </cfRule>
    <cfRule type="expression" dxfId="2592" priority="86">
      <formula>AND(C$9&gt;=8/24,C$9&lt;14/24)</formula>
    </cfRule>
    <cfRule type="expression" dxfId="2591" priority="87">
      <formula>C$9&lt;8/24</formula>
    </cfRule>
  </conditionalFormatting>
  <conditionalFormatting sqref="C76:AF80">
    <cfRule type="expression" dxfId="2590" priority="80">
      <formula>C$9&gt;=20/24</formula>
    </cfRule>
    <cfRule type="expression" dxfId="2589" priority="81">
      <formula>AND(C$9&gt;=14/24,C$9&lt;20/24)</formula>
    </cfRule>
    <cfRule type="expression" dxfId="2588" priority="82">
      <formula>AND(C$9&gt;=8/24,C$9&lt;14/24)</formula>
    </cfRule>
    <cfRule type="expression" dxfId="2587" priority="83">
      <formula>C$9&lt;8/24</formula>
    </cfRule>
  </conditionalFormatting>
  <conditionalFormatting sqref="B94:B100 B11:E11">
    <cfRule type="expression" dxfId="2586" priority="76">
      <formula>B$9&gt;=20/24</formula>
    </cfRule>
    <cfRule type="expression" dxfId="2585" priority="77">
      <formula>AND(B$9&gt;=14/24,B$9&lt;20/24)</formula>
    </cfRule>
    <cfRule type="expression" dxfId="2584" priority="78">
      <formula>AND(B$9&gt;=8/24,B$9&lt;14/24)</formula>
    </cfRule>
    <cfRule type="expression" dxfId="2583" priority="79">
      <formula>B$9&lt;8/24</formula>
    </cfRule>
  </conditionalFormatting>
  <conditionalFormatting sqref="B37:J37">
    <cfRule type="expression" dxfId="2582" priority="72">
      <formula>B$9&gt;=20/24</formula>
    </cfRule>
    <cfRule type="expression" dxfId="2581" priority="73">
      <formula>AND(B$9&gt;=14/24,B$9&lt;20/24)</formula>
    </cfRule>
    <cfRule type="expression" dxfId="2580" priority="74">
      <formula>AND(B$9&gt;=8/24,B$9&lt;14/24)</formula>
    </cfRule>
    <cfRule type="expression" dxfId="2579" priority="75">
      <formula>B$9&lt;8/24</formula>
    </cfRule>
  </conditionalFormatting>
  <conditionalFormatting sqref="B11:E12 B37:J37 F12:L12 B16:L16">
    <cfRule type="expression" dxfId="2578" priority="71">
      <formula>B11&gt;$AG11</formula>
    </cfRule>
  </conditionalFormatting>
  <conditionalFormatting sqref="B84">
    <cfRule type="expression" dxfId="2577" priority="67">
      <formula>B$9&gt;=20/24</formula>
    </cfRule>
    <cfRule type="expression" dxfId="2576" priority="68">
      <formula>AND(B$9&gt;=14/24,B$9&lt;20/24)</formula>
    </cfRule>
    <cfRule type="expression" dxfId="2575" priority="69">
      <formula>AND(B$9&gt;=8/24,B$9&lt;14/24)</formula>
    </cfRule>
    <cfRule type="expression" dxfId="2574" priority="70">
      <formula>B$9&lt;8/24</formula>
    </cfRule>
  </conditionalFormatting>
  <conditionalFormatting sqref="B57 B40:B41">
    <cfRule type="expression" dxfId="2573" priority="63">
      <formula>B$9&gt;=20/24</formula>
    </cfRule>
    <cfRule type="expression" dxfId="2572" priority="64">
      <formula>AND(B$9&gt;=14/24,B$9&lt;20/24)</formula>
    </cfRule>
    <cfRule type="expression" dxfId="2571" priority="65">
      <formula>AND(B$9&gt;=8/24,B$9&lt;14/24)</formula>
    </cfRule>
    <cfRule type="expression" dxfId="2570" priority="66">
      <formula>B$9&lt;8/24</formula>
    </cfRule>
  </conditionalFormatting>
  <conditionalFormatting sqref="B39">
    <cfRule type="expression" dxfId="2569" priority="59">
      <formula>B$9&gt;=20/24</formula>
    </cfRule>
    <cfRule type="expression" dxfId="2568" priority="60">
      <formula>AND(B$9&gt;=14/24,B$9&lt;20/24)</formula>
    </cfRule>
    <cfRule type="expression" dxfId="2567" priority="61">
      <formula>AND(B$9&gt;=8/24,B$9&lt;14/24)</formula>
    </cfRule>
    <cfRule type="expression" dxfId="2566" priority="62">
      <formula>B$9&lt;8/24</formula>
    </cfRule>
  </conditionalFormatting>
  <conditionalFormatting sqref="B39:B41">
    <cfRule type="expression" dxfId="2565" priority="58">
      <formula>B39&gt;$AG39</formula>
    </cfRule>
  </conditionalFormatting>
  <conditionalFormatting sqref="B81 B69:B72 B53:B56 B85:B91 B58:B67 B28:K31 B12:L14 B16:L16 B26:O26 B36:P36 B18:R22 B24:R24 L28:R29 L31:R31">
    <cfRule type="expression" dxfId="2564" priority="54">
      <formula>B$9&gt;=20/24</formula>
    </cfRule>
    <cfRule type="expression" dxfId="2563" priority="55">
      <formula>AND(B$9&gt;=14/24,B$9&lt;20/24)</formula>
    </cfRule>
    <cfRule type="expression" dxfId="2562" priority="56">
      <formula>AND(B$9&gt;=8/24,B$9&lt;14/24)</formula>
    </cfRule>
    <cfRule type="expression" dxfId="2561" priority="57">
      <formula>B$9&lt;8/24</formula>
    </cfRule>
  </conditionalFormatting>
  <conditionalFormatting sqref="B32:R32">
    <cfRule type="expression" dxfId="2560" priority="50">
      <formula>B$9&gt;=20/24</formula>
    </cfRule>
    <cfRule type="expression" dxfId="2559" priority="51">
      <formula>AND(B$9&gt;=14/24,B$9&lt;20/24)</formula>
    </cfRule>
    <cfRule type="expression" dxfId="2558" priority="52">
      <formula>AND(B$9&gt;=8/24,B$9&lt;14/24)</formula>
    </cfRule>
    <cfRule type="expression" dxfId="2557" priority="53">
      <formula>B$9&lt;8/24</formula>
    </cfRule>
  </conditionalFormatting>
  <conditionalFormatting sqref="B35:R35">
    <cfRule type="expression" dxfId="2556" priority="46">
      <formula>B$9&gt;=20/24</formula>
    </cfRule>
    <cfRule type="expression" dxfId="2555" priority="47">
      <formula>AND(B$9&gt;=14/24,B$9&lt;20/24)</formula>
    </cfRule>
    <cfRule type="expression" dxfId="2554" priority="48">
      <formula>AND(B$9&gt;=8/24,B$9&lt;14/24)</formula>
    </cfRule>
    <cfRule type="expression" dxfId="2553" priority="49">
      <formula>B$9&lt;8/24</formula>
    </cfRule>
  </conditionalFormatting>
  <conditionalFormatting sqref="B42:B43 B51 B53:B56 B26:K32 B13:L15 L26:O29 B34:P36 B18:R22 B24:R24 P27:R29 L31:R32 Q34:R35">
    <cfRule type="expression" dxfId="2552" priority="45">
      <formula>B13&gt;$AG13</formula>
    </cfRule>
  </conditionalFormatting>
  <conditionalFormatting sqref="B34:R34">
    <cfRule type="expression" dxfId="2551" priority="41">
      <formula>B$9&gt;=20/24</formula>
    </cfRule>
    <cfRule type="expression" dxfId="2550" priority="42">
      <formula>AND(B$9&gt;=14/24,B$9&lt;20/24)</formula>
    </cfRule>
    <cfRule type="expression" dxfId="2549" priority="43">
      <formula>AND(B$9&gt;=8/24,B$9&lt;14/24)</formula>
    </cfRule>
    <cfRule type="expression" dxfId="2548" priority="44">
      <formula>B$9&lt;8/24</formula>
    </cfRule>
  </conditionalFormatting>
  <conditionalFormatting sqref="B15:L15">
    <cfRule type="expression" dxfId="2547" priority="37">
      <formula>B$9&gt;=20/24</formula>
    </cfRule>
    <cfRule type="expression" dxfId="2546" priority="38">
      <formula>AND(B$9&gt;=14/24,B$9&lt;20/24)</formula>
    </cfRule>
    <cfRule type="expression" dxfId="2545" priority="39">
      <formula>AND(B$9&gt;=8/24,B$9&lt;14/24)</formula>
    </cfRule>
    <cfRule type="expression" dxfId="2544" priority="40">
      <formula>B$9&lt;8/24</formula>
    </cfRule>
  </conditionalFormatting>
  <conditionalFormatting sqref="B33:R33">
    <cfRule type="expression" dxfId="2543" priority="33">
      <formula>B$9&gt;=20/24</formula>
    </cfRule>
    <cfRule type="expression" dxfId="2542" priority="34">
      <formula>AND(B$9&gt;=14/24,B$9&lt;20/24)</formula>
    </cfRule>
    <cfRule type="expression" dxfId="2541" priority="35">
      <formula>AND(B$9&gt;=8/24,B$9&lt;14/24)</formula>
    </cfRule>
    <cfRule type="expression" dxfId="2540" priority="36">
      <formula>B$9&lt;8/24</formula>
    </cfRule>
  </conditionalFormatting>
  <conditionalFormatting sqref="B33:R33">
    <cfRule type="expression" dxfId="2539" priority="32">
      <formula>B33&gt;$AG33</formula>
    </cfRule>
  </conditionalFormatting>
  <conditionalFormatting sqref="B44:B50">
    <cfRule type="expression" dxfId="2538" priority="28">
      <formula>B$9&gt;=20/24</formula>
    </cfRule>
    <cfRule type="expression" dxfId="2537" priority="29">
      <formula>AND(B$9&gt;=14/24,B$9&lt;20/24)</formula>
    </cfRule>
    <cfRule type="expression" dxfId="2536" priority="30">
      <formula>AND(B$9&gt;=8/24,B$9&lt;14/24)</formula>
    </cfRule>
    <cfRule type="expression" dxfId="2535" priority="31">
      <formula>B$9&lt;8/24</formula>
    </cfRule>
  </conditionalFormatting>
  <conditionalFormatting sqref="B44:B50">
    <cfRule type="expression" dxfId="2534" priority="27">
      <formula>B44&gt;$AG44</formula>
    </cfRule>
  </conditionalFormatting>
  <conditionalFormatting sqref="B27:R27">
    <cfRule type="expression" dxfId="2533" priority="23">
      <formula>B$9&gt;=20/24</formula>
    </cfRule>
    <cfRule type="expression" dxfId="2532" priority="24">
      <formula>AND(B$9&gt;=14/24,B$9&lt;20/24)</formula>
    </cfRule>
    <cfRule type="expression" dxfId="2531" priority="25">
      <formula>AND(B$9&gt;=8/24,B$9&lt;14/24)</formula>
    </cfRule>
    <cfRule type="expression" dxfId="2530" priority="26">
      <formula>B$9&lt;8/24</formula>
    </cfRule>
  </conditionalFormatting>
  <conditionalFormatting sqref="B17:R17 B23:R23">
    <cfRule type="expression" dxfId="2529" priority="19">
      <formula>B$9&gt;=20/24</formula>
    </cfRule>
    <cfRule type="expression" dxfId="2528" priority="20">
      <formula>AND(B$9&gt;=14/24,B$9&lt;20/24)</formula>
    </cfRule>
    <cfRule type="expression" dxfId="2527" priority="21">
      <formula>AND(B$9&gt;=8/24,B$9&lt;14/24)</formula>
    </cfRule>
    <cfRule type="expression" dxfId="2526" priority="22">
      <formula>B$9&lt;8/24</formula>
    </cfRule>
  </conditionalFormatting>
  <conditionalFormatting sqref="B17:R17 B23:R23">
    <cfRule type="expression" dxfId="2525" priority="18">
      <formula>B17&gt;$AG17</formula>
    </cfRule>
  </conditionalFormatting>
  <conditionalFormatting sqref="B74 B82">
    <cfRule type="expression" dxfId="2524" priority="14">
      <formula>B$9&gt;=20/24</formula>
    </cfRule>
    <cfRule type="expression" dxfId="2523" priority="15">
      <formula>AND(B$9&gt;=14/24,B$9&lt;20/24)</formula>
    </cfRule>
    <cfRule type="expression" dxfId="2522" priority="16">
      <formula>AND(B$9&gt;=8/24,B$9&lt;14/24)</formula>
    </cfRule>
    <cfRule type="expression" dxfId="2521" priority="17">
      <formula>B$9&lt;8/24</formula>
    </cfRule>
  </conditionalFormatting>
  <conditionalFormatting sqref="B75 B73 B83 B25:R25">
    <cfRule type="expression" dxfId="2520" priority="10">
      <formula>B$9&gt;=20/24</formula>
    </cfRule>
    <cfRule type="expression" dxfId="2519" priority="11">
      <formula>AND(B$9&gt;=14/24,B$9&lt;20/24)</formula>
    </cfRule>
    <cfRule type="expression" dxfId="2518" priority="12">
      <formula>AND(B$9&gt;=8/24,B$9&lt;14/24)</formula>
    </cfRule>
    <cfRule type="expression" dxfId="2517" priority="13">
      <formula>B$9&lt;8/24</formula>
    </cfRule>
  </conditionalFormatting>
  <conditionalFormatting sqref="B52 B38 B25:R25">
    <cfRule type="expression" dxfId="2516" priority="9">
      <formula>B25&gt;$AG25</formula>
    </cfRule>
  </conditionalFormatting>
  <conditionalFormatting sqref="B68">
    <cfRule type="expression" dxfId="2515" priority="5">
      <formula>B$9&gt;=20/24</formula>
    </cfRule>
    <cfRule type="expression" dxfId="2514" priority="6">
      <formula>AND(B$9&gt;=14/24,B$9&lt;20/24)</formula>
    </cfRule>
    <cfRule type="expression" dxfId="2513" priority="7">
      <formula>AND(B$9&gt;=8/24,B$9&lt;14/24)</formula>
    </cfRule>
    <cfRule type="expression" dxfId="2512" priority="8">
      <formula>B$9&lt;8/24</formula>
    </cfRule>
  </conditionalFormatting>
  <conditionalFormatting sqref="B76:B80">
    <cfRule type="expression" dxfId="2511" priority="1">
      <formula>B$9&gt;=20/24</formula>
    </cfRule>
    <cfRule type="expression" dxfId="2510" priority="2">
      <formula>AND(B$9&gt;=14/24,B$9&lt;20/24)</formula>
    </cfRule>
    <cfRule type="expression" dxfId="2509" priority="3">
      <formula>AND(B$9&gt;=8/24,B$9&lt;14/24)</formula>
    </cfRule>
    <cfRule type="expression" dxfId="2508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S26" sqref="S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2079/02/22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43.5</v>
      </c>
      <c r="C5" s="32">
        <f t="shared" si="0"/>
        <v>53.3</v>
      </c>
      <c r="D5" s="32">
        <f t="shared" si="0"/>
        <v>44.6</v>
      </c>
      <c r="E5" s="32">
        <f t="shared" si="0"/>
        <v>44.2</v>
      </c>
      <c r="F5" s="32">
        <f t="shared" si="0"/>
        <v>43.7</v>
      </c>
      <c r="G5" s="32">
        <f t="shared" si="0"/>
        <v>38.6</v>
      </c>
      <c r="H5" s="32">
        <f t="shared" si="0"/>
        <v>0</v>
      </c>
      <c r="I5" s="32">
        <f t="shared" si="0"/>
        <v>76</v>
      </c>
      <c r="J5" s="32">
        <f t="shared" si="0"/>
        <v>79.400000000000006</v>
      </c>
      <c r="K5" s="32">
        <f t="shared" si="0"/>
        <v>65</v>
      </c>
      <c r="L5" s="32">
        <f t="shared" si="0"/>
        <v>89.4</v>
      </c>
      <c r="M5" s="32">
        <f t="shared" si="0"/>
        <v>101.6</v>
      </c>
      <c r="N5" s="32">
        <f t="shared" si="0"/>
        <v>98.8</v>
      </c>
      <c r="O5" s="32">
        <f t="shared" si="0"/>
        <v>112.8</v>
      </c>
      <c r="P5" s="32">
        <f t="shared" si="0"/>
        <v>100.5</v>
      </c>
      <c r="Q5" s="32">
        <f t="shared" si="0"/>
        <v>115.9</v>
      </c>
      <c r="R5" s="32">
        <f t="shared" si="0"/>
        <v>112</v>
      </c>
      <c r="S5" s="32">
        <f t="shared" si="0"/>
        <v>71</v>
      </c>
      <c r="T5" s="32">
        <f t="shared" si="0"/>
        <v>72</v>
      </c>
      <c r="U5" s="32">
        <f t="shared" si="0"/>
        <v>60.8</v>
      </c>
      <c r="V5" s="32">
        <f t="shared" si="0"/>
        <v>38.700000000000003</v>
      </c>
      <c r="W5" s="32">
        <f t="shared" si="0"/>
        <v>38</v>
      </c>
      <c r="X5" s="32">
        <f t="shared" si="0"/>
        <v>38</v>
      </c>
      <c r="Y5" s="32">
        <f t="shared" si="0"/>
        <v>0</v>
      </c>
      <c r="Z5" s="32">
        <f t="shared" si="0"/>
        <v>84</v>
      </c>
      <c r="AA5" s="32">
        <f t="shared" si="0"/>
        <v>75.400000000000006</v>
      </c>
      <c r="AB5" s="32">
        <f t="shared" si="0"/>
        <v>82</v>
      </c>
      <c r="AC5" s="32">
        <f t="shared" si="0"/>
        <v>79</v>
      </c>
      <c r="AD5" s="32">
        <f t="shared" si="0"/>
        <v>78.7</v>
      </c>
      <c r="AE5" s="32">
        <f t="shared" si="0"/>
        <v>46</v>
      </c>
      <c r="AF5" s="32">
        <f>B68</f>
        <v>49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1733MW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1749.14</v>
      </c>
      <c r="C7" s="37">
        <f t="shared" ref="C7:AF7" si="1">C75</f>
        <v>1738.3400000000001</v>
      </c>
      <c r="D7" s="37">
        <f t="shared" si="1"/>
        <v>1722.5400000000002</v>
      </c>
      <c r="E7" s="37">
        <f t="shared" si="1"/>
        <v>1625.74</v>
      </c>
      <c r="F7" s="37">
        <f t="shared" si="1"/>
        <v>1633.7400000000002</v>
      </c>
      <c r="G7" s="37">
        <f t="shared" si="1"/>
        <v>1716.5400000000002</v>
      </c>
      <c r="H7" s="37">
        <f t="shared" si="1"/>
        <v>1681.1399999999999</v>
      </c>
      <c r="I7" s="37">
        <f t="shared" si="1"/>
        <v>3.54</v>
      </c>
      <c r="J7" s="37">
        <f t="shared" si="1"/>
        <v>1560.1399999999999</v>
      </c>
      <c r="K7" s="37">
        <f t="shared" si="1"/>
        <v>1730.54</v>
      </c>
      <c r="L7" s="37">
        <f t="shared" si="1"/>
        <v>1696.04</v>
      </c>
      <c r="M7" s="37">
        <f t="shared" si="1"/>
        <v>1729.8400000000001</v>
      </c>
      <c r="N7" s="37">
        <f t="shared" si="1"/>
        <v>1733.1399999999996</v>
      </c>
      <c r="O7" s="37">
        <f t="shared" si="1"/>
        <v>1689.6399999999996</v>
      </c>
      <c r="P7" s="37">
        <f t="shared" si="1"/>
        <v>1768.34</v>
      </c>
      <c r="Q7" s="37">
        <f t="shared" si="1"/>
        <v>1747.14</v>
      </c>
      <c r="R7" s="37">
        <f t="shared" si="1"/>
        <v>1769.5400000000002</v>
      </c>
      <c r="S7" s="37">
        <f t="shared" si="1"/>
        <v>1752.7400000000002</v>
      </c>
      <c r="T7" s="37">
        <f t="shared" si="1"/>
        <v>1760.04</v>
      </c>
      <c r="U7" s="37">
        <f t="shared" si="1"/>
        <v>1761.04</v>
      </c>
      <c r="V7" s="37">
        <f t="shared" si="1"/>
        <v>1744.84</v>
      </c>
      <c r="W7" s="37">
        <f t="shared" si="1"/>
        <v>1723.84</v>
      </c>
      <c r="X7" s="37">
        <f t="shared" si="1"/>
        <v>1627.54</v>
      </c>
      <c r="Y7" s="37">
        <f t="shared" si="1"/>
        <v>1727.3399999999997</v>
      </c>
      <c r="Z7" s="37">
        <f t="shared" si="1"/>
        <v>3.54</v>
      </c>
      <c r="AA7" s="37">
        <f t="shared" si="1"/>
        <v>1649.04</v>
      </c>
      <c r="AB7" s="37">
        <f t="shared" si="1"/>
        <v>1732.2399999999998</v>
      </c>
      <c r="AC7" s="37">
        <f t="shared" si="1"/>
        <v>1738.7399999999998</v>
      </c>
      <c r="AD7" s="37">
        <f t="shared" si="1"/>
        <v>1780.2399999999998</v>
      </c>
      <c r="AE7" s="37">
        <f t="shared" si="1"/>
        <v>1790.74</v>
      </c>
      <c r="AF7" s="37">
        <f t="shared" si="1"/>
        <v>1754.04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51">
        <v>370</v>
      </c>
      <c r="F11" s="51">
        <v>370</v>
      </c>
      <c r="G11" s="51">
        <v>456</v>
      </c>
      <c r="H11" s="51">
        <v>456</v>
      </c>
      <c r="I11" s="51"/>
      <c r="J11" s="52">
        <v>456</v>
      </c>
      <c r="K11" s="51">
        <v>456</v>
      </c>
      <c r="L11" s="51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3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 t="s">
        <v>234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370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/>
      <c r="J12" s="51">
        <v>60</v>
      </c>
      <c r="K12" s="51">
        <v>60</v>
      </c>
      <c r="L12" s="51">
        <v>60</v>
      </c>
      <c r="M12" s="51">
        <v>60</v>
      </c>
      <c r="N12" s="51">
        <v>48</v>
      </c>
      <c r="O12" s="51">
        <v>48</v>
      </c>
      <c r="P12" s="51">
        <v>48</v>
      </c>
      <c r="Q12" s="51">
        <v>48</v>
      </c>
      <c r="R12" s="51">
        <v>48</v>
      </c>
      <c r="S12" s="51">
        <v>48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 t="s">
        <v>255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48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54.1</v>
      </c>
      <c r="C13" s="51">
        <v>54.1</v>
      </c>
      <c r="D13" s="51">
        <v>54.1</v>
      </c>
      <c r="E13" s="51">
        <v>54.1</v>
      </c>
      <c r="F13" s="51">
        <v>54.1</v>
      </c>
      <c r="G13" s="51">
        <v>54.1</v>
      </c>
      <c r="H13" s="51">
        <v>53.8</v>
      </c>
      <c r="I13" s="51" t="s">
        <v>245</v>
      </c>
      <c r="J13" s="51">
        <v>53.8</v>
      </c>
      <c r="K13" s="51">
        <v>53.8</v>
      </c>
      <c r="L13" s="51">
        <v>53.8</v>
      </c>
      <c r="M13" s="51">
        <v>53.8</v>
      </c>
      <c r="N13" s="51">
        <v>53.8</v>
      </c>
      <c r="O13" s="51">
        <v>53.8</v>
      </c>
      <c r="P13" s="51">
        <v>53.8</v>
      </c>
      <c r="Q13" s="51">
        <v>53.8</v>
      </c>
      <c r="R13" s="51">
        <v>53.8</v>
      </c>
      <c r="S13" s="51">
        <v>53.8</v>
      </c>
      <c r="T13" s="51">
        <v>53.8</v>
      </c>
      <c r="U13" s="51">
        <v>53.8</v>
      </c>
      <c r="V13" s="51">
        <v>53.8</v>
      </c>
      <c r="W13" s="51">
        <v>53.8</v>
      </c>
      <c r="X13" s="51">
        <v>0</v>
      </c>
      <c r="Y13" s="51">
        <v>53.9</v>
      </c>
      <c r="Z13" s="51" t="s">
        <v>234</v>
      </c>
      <c r="AA13" s="51">
        <v>0</v>
      </c>
      <c r="AB13" s="51">
        <v>53.9</v>
      </c>
      <c r="AC13" s="51">
        <v>53.9</v>
      </c>
      <c r="AD13" s="51">
        <v>53.9</v>
      </c>
      <c r="AE13" s="51">
        <v>53.9</v>
      </c>
      <c r="AF13" s="51">
        <v>53.9</v>
      </c>
      <c r="AG13" s="59">
        <v>52.4</v>
      </c>
      <c r="AH13" s="55">
        <f t="shared" si="2"/>
        <v>54.1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50.6</v>
      </c>
      <c r="C14" s="51">
        <v>50.6</v>
      </c>
      <c r="D14" s="51">
        <v>50.6</v>
      </c>
      <c r="E14" s="51">
        <v>50.6</v>
      </c>
      <c r="F14" s="51">
        <v>50.6</v>
      </c>
      <c r="G14" s="51">
        <v>50.6</v>
      </c>
      <c r="H14" s="51">
        <v>25.1</v>
      </c>
      <c r="I14" s="51" t="s">
        <v>246</v>
      </c>
      <c r="J14" s="51">
        <v>50</v>
      </c>
      <c r="K14" s="51">
        <v>50</v>
      </c>
      <c r="L14" s="51">
        <v>50</v>
      </c>
      <c r="M14" s="51">
        <v>50</v>
      </c>
      <c r="N14" s="51">
        <v>50.4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50.9</v>
      </c>
      <c r="U14" s="51">
        <v>50.9</v>
      </c>
      <c r="V14" s="51">
        <v>50.9</v>
      </c>
      <c r="W14" s="51">
        <v>50.9</v>
      </c>
      <c r="X14" s="51">
        <v>50.9</v>
      </c>
      <c r="Y14" s="51">
        <v>50.9</v>
      </c>
      <c r="Z14" s="51" t="s">
        <v>235</v>
      </c>
      <c r="AA14" s="51">
        <v>50.9</v>
      </c>
      <c r="AB14" s="51">
        <v>50.9</v>
      </c>
      <c r="AC14" s="51">
        <v>50.9</v>
      </c>
      <c r="AD14" s="51">
        <v>50.9</v>
      </c>
      <c r="AE14" s="51">
        <v>50.9</v>
      </c>
      <c r="AF14" s="51">
        <v>50.9</v>
      </c>
      <c r="AG14" s="59">
        <v>50</v>
      </c>
      <c r="AH14" s="55">
        <f t="shared" si="2"/>
        <v>50.9</v>
      </c>
      <c r="AI14" s="56">
        <f t="shared" si="3"/>
        <v>25.1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45.8</v>
      </c>
      <c r="C15" s="51">
        <v>45.8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 t="s">
        <v>228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45.8</v>
      </c>
      <c r="P15" s="51">
        <v>45.8</v>
      </c>
      <c r="Q15" s="51">
        <v>45.8</v>
      </c>
      <c r="R15" s="51">
        <v>45.8</v>
      </c>
      <c r="S15" s="51">
        <v>45.8</v>
      </c>
      <c r="T15" s="51">
        <v>45.8</v>
      </c>
      <c r="U15" s="51">
        <v>45.8</v>
      </c>
      <c r="V15" s="51">
        <v>45.8</v>
      </c>
      <c r="W15" s="51">
        <v>45.8</v>
      </c>
      <c r="X15" s="51">
        <v>0</v>
      </c>
      <c r="Y15" s="51">
        <v>45.9</v>
      </c>
      <c r="Z15" s="51" t="s">
        <v>256</v>
      </c>
      <c r="AA15" s="51">
        <v>0</v>
      </c>
      <c r="AB15" s="51">
        <v>45.9</v>
      </c>
      <c r="AC15" s="51">
        <v>45.9</v>
      </c>
      <c r="AD15" s="51">
        <v>45.9</v>
      </c>
      <c r="AE15" s="51">
        <v>45.9</v>
      </c>
      <c r="AF15" s="51">
        <v>45.9</v>
      </c>
      <c r="AG15" s="60">
        <v>45</v>
      </c>
      <c r="AH15" s="55">
        <f t="shared" si="2"/>
        <v>45.9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36</v>
      </c>
      <c r="D16" s="51">
        <v>36</v>
      </c>
      <c r="E16" s="51">
        <v>36</v>
      </c>
      <c r="F16" s="51">
        <v>40</v>
      </c>
      <c r="G16" s="51">
        <v>40</v>
      </c>
      <c r="H16" s="51">
        <v>40</v>
      </c>
      <c r="I16" s="51" t="s">
        <v>226</v>
      </c>
      <c r="J16" s="51">
        <v>0</v>
      </c>
      <c r="K16" s="51">
        <v>0</v>
      </c>
      <c r="L16" s="51">
        <v>0</v>
      </c>
      <c r="M16" s="51">
        <v>13</v>
      </c>
      <c r="N16" s="51">
        <v>8</v>
      </c>
      <c r="O16" s="51">
        <v>8</v>
      </c>
      <c r="P16" s="51">
        <v>8</v>
      </c>
      <c r="Q16" s="51">
        <v>8</v>
      </c>
      <c r="R16" s="51">
        <v>8</v>
      </c>
      <c r="S16" s="51">
        <v>8</v>
      </c>
      <c r="T16" s="51">
        <v>40</v>
      </c>
      <c r="U16" s="51">
        <v>40</v>
      </c>
      <c r="V16" s="51">
        <v>35</v>
      </c>
      <c r="W16" s="51">
        <v>35</v>
      </c>
      <c r="X16" s="51">
        <v>40</v>
      </c>
      <c r="Y16" s="51">
        <v>40</v>
      </c>
      <c r="Z16" s="51" t="s">
        <v>257</v>
      </c>
      <c r="AA16" s="51">
        <v>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 t="s">
        <v>225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0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 t="s">
        <v>236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 t="s">
        <v>246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 t="s">
        <v>237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26.1</v>
      </c>
      <c r="C19" s="51">
        <v>26.1</v>
      </c>
      <c r="D19" s="51">
        <v>26.1</v>
      </c>
      <c r="E19" s="51">
        <v>26.1</v>
      </c>
      <c r="F19" s="51">
        <v>26.1</v>
      </c>
      <c r="G19" s="51">
        <v>26.1</v>
      </c>
      <c r="H19" s="51">
        <v>26.1</v>
      </c>
      <c r="I19" s="51" t="s">
        <v>247</v>
      </c>
      <c r="J19" s="51">
        <v>15</v>
      </c>
      <c r="K19" s="51">
        <v>21.5</v>
      </c>
      <c r="L19" s="51">
        <v>21.5</v>
      </c>
      <c r="M19" s="51">
        <v>21.5</v>
      </c>
      <c r="N19" s="51">
        <v>21.5</v>
      </c>
      <c r="O19" s="51">
        <v>21.5</v>
      </c>
      <c r="P19" s="51">
        <v>21.5</v>
      </c>
      <c r="Q19" s="51">
        <v>20.2</v>
      </c>
      <c r="R19" s="51">
        <v>20.2</v>
      </c>
      <c r="S19" s="51">
        <v>20.2</v>
      </c>
      <c r="T19" s="51">
        <v>26.3</v>
      </c>
      <c r="U19" s="51">
        <v>26.3</v>
      </c>
      <c r="V19" s="51">
        <v>26.3</v>
      </c>
      <c r="W19" s="51">
        <v>26.3</v>
      </c>
      <c r="X19" s="51">
        <v>26.3</v>
      </c>
      <c r="Y19" s="51">
        <v>26.3</v>
      </c>
      <c r="Z19" s="51" t="s">
        <v>234</v>
      </c>
      <c r="AA19" s="51">
        <v>26.3</v>
      </c>
      <c r="AB19" s="51">
        <v>26.3</v>
      </c>
      <c r="AC19" s="51">
        <v>26.3</v>
      </c>
      <c r="AD19" s="51">
        <v>26.3</v>
      </c>
      <c r="AE19" s="51">
        <v>26.3</v>
      </c>
      <c r="AF19" s="51">
        <v>26.3</v>
      </c>
      <c r="AG19" s="59">
        <v>30</v>
      </c>
      <c r="AH19" s="55">
        <f t="shared" si="2"/>
        <v>26.3</v>
      </c>
      <c r="AI19" s="56">
        <f t="shared" si="3"/>
        <v>15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20.2</v>
      </c>
      <c r="C20" s="51">
        <v>20.2</v>
      </c>
      <c r="D20" s="51">
        <v>20.2</v>
      </c>
      <c r="E20" s="51">
        <v>20.2</v>
      </c>
      <c r="F20" s="51">
        <v>20.2</v>
      </c>
      <c r="G20" s="51">
        <v>20.2</v>
      </c>
      <c r="H20" s="51">
        <v>20.2</v>
      </c>
      <c r="I20" s="51"/>
      <c r="J20" s="51">
        <v>20.2</v>
      </c>
      <c r="K20" s="51">
        <v>20.2</v>
      </c>
      <c r="L20" s="51">
        <v>20.2</v>
      </c>
      <c r="M20" s="51">
        <v>20.2</v>
      </c>
      <c r="N20" s="51">
        <v>20.2</v>
      </c>
      <c r="O20" s="51">
        <v>20.2</v>
      </c>
      <c r="P20" s="51">
        <v>20.2</v>
      </c>
      <c r="Q20" s="51">
        <v>20.2</v>
      </c>
      <c r="R20" s="51">
        <v>20.2</v>
      </c>
      <c r="S20" s="51">
        <v>20.2</v>
      </c>
      <c r="T20" s="51">
        <v>20.2</v>
      </c>
      <c r="U20" s="51">
        <v>20.2</v>
      </c>
      <c r="V20" s="51">
        <v>20.2</v>
      </c>
      <c r="W20" s="51">
        <v>20.2</v>
      </c>
      <c r="X20" s="51">
        <v>20.2</v>
      </c>
      <c r="Y20" s="51">
        <v>20.2</v>
      </c>
      <c r="Z20" s="51" t="s">
        <v>235</v>
      </c>
      <c r="AA20" s="51">
        <v>20.2</v>
      </c>
      <c r="AB20" s="51">
        <v>20.2</v>
      </c>
      <c r="AC20" s="51">
        <v>20.2</v>
      </c>
      <c r="AD20" s="51">
        <v>20.2</v>
      </c>
      <c r="AE20" s="51">
        <v>20.2</v>
      </c>
      <c r="AF20" s="51">
        <v>20.2</v>
      </c>
      <c r="AG20" s="59">
        <v>27</v>
      </c>
      <c r="AH20" s="55">
        <f t="shared" si="2"/>
        <v>20.2</v>
      </c>
      <c r="AI20" s="56">
        <f t="shared" si="3"/>
        <v>20.2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 t="s">
        <v>224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 t="s">
        <v>238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59">
        <v>25</v>
      </c>
      <c r="AH21" s="55">
        <f t="shared" si="2"/>
        <v>11</v>
      </c>
      <c r="AI21" s="56">
        <f t="shared" si="3"/>
        <v>11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 t="s">
        <v>225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 t="s">
        <v>239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 t="s">
        <v>222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0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 t="s">
        <v>240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 t="s">
        <v>226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/>
      <c r="AA24" s="51">
        <v>0</v>
      </c>
      <c r="AB24" s="51">
        <v>22</v>
      </c>
      <c r="AC24" s="51">
        <v>22</v>
      </c>
      <c r="AD24" s="51">
        <v>22</v>
      </c>
      <c r="AE24" s="51">
        <v>22</v>
      </c>
      <c r="AF24" s="51">
        <v>18</v>
      </c>
      <c r="AG24" s="59">
        <v>25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 t="s">
        <v>227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/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8</v>
      </c>
      <c r="D26" s="51">
        <v>8</v>
      </c>
      <c r="E26" s="51">
        <v>8</v>
      </c>
      <c r="F26" s="51">
        <v>10</v>
      </c>
      <c r="G26" s="51">
        <v>10</v>
      </c>
      <c r="H26" s="51">
        <v>5</v>
      </c>
      <c r="I26" s="51" t="s">
        <v>228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/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 t="s">
        <v>229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/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2</v>
      </c>
      <c r="C28" s="51">
        <v>2</v>
      </c>
      <c r="D28" s="51">
        <v>2</v>
      </c>
      <c r="E28" s="51">
        <v>2</v>
      </c>
      <c r="F28" s="51">
        <v>2</v>
      </c>
      <c r="G28" s="51">
        <v>2</v>
      </c>
      <c r="H28" s="51">
        <v>2</v>
      </c>
      <c r="I28" s="51"/>
      <c r="J28" s="51">
        <v>2</v>
      </c>
      <c r="K28" s="51">
        <v>2</v>
      </c>
      <c r="L28" s="51">
        <v>2</v>
      </c>
      <c r="M28" s="51">
        <v>2</v>
      </c>
      <c r="N28" s="51">
        <v>2</v>
      </c>
      <c r="O28" s="51">
        <v>2</v>
      </c>
      <c r="P28" s="51">
        <v>2</v>
      </c>
      <c r="Q28" s="51">
        <v>2</v>
      </c>
      <c r="R28" s="51">
        <v>2</v>
      </c>
      <c r="S28" s="51">
        <v>2</v>
      </c>
      <c r="T28" s="51">
        <v>12</v>
      </c>
      <c r="U28" s="51">
        <v>12</v>
      </c>
      <c r="V28" s="51">
        <v>12</v>
      </c>
      <c r="W28" s="51">
        <v>12</v>
      </c>
      <c r="X28" s="51">
        <v>12</v>
      </c>
      <c r="Y28" s="51">
        <v>12</v>
      </c>
      <c r="Z28" s="51"/>
      <c r="AA28" s="51">
        <v>0</v>
      </c>
      <c r="AB28" s="51">
        <v>12</v>
      </c>
      <c r="AC28" s="51">
        <v>12</v>
      </c>
      <c r="AD28" s="51">
        <v>12</v>
      </c>
      <c r="AE28" s="51">
        <v>12</v>
      </c>
      <c r="AF28" s="51">
        <v>12</v>
      </c>
      <c r="AG28" s="59">
        <v>22.2</v>
      </c>
      <c r="AH28" s="55">
        <f t="shared" si="2"/>
        <v>12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3</v>
      </c>
      <c r="C29" s="51">
        <v>3</v>
      </c>
      <c r="D29" s="51">
        <v>3</v>
      </c>
      <c r="E29" s="51">
        <v>3</v>
      </c>
      <c r="F29" s="51">
        <v>3</v>
      </c>
      <c r="G29" s="51">
        <v>3</v>
      </c>
      <c r="H29" s="51">
        <v>3</v>
      </c>
      <c r="I29" s="51"/>
      <c r="J29" s="51">
        <v>3</v>
      </c>
      <c r="K29" s="51">
        <v>3</v>
      </c>
      <c r="L29" s="51">
        <v>3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/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59">
        <v>22.1</v>
      </c>
      <c r="AH29" s="55">
        <f t="shared" si="2"/>
        <v>6</v>
      </c>
      <c r="AI29" s="56">
        <f t="shared" si="3"/>
        <v>3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/>
      <c r="J30" s="51">
        <v>0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/>
      <c r="AA30" s="51">
        <v>0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/>
      <c r="J31" s="51">
        <v>12</v>
      </c>
      <c r="K31" s="51">
        <v>12</v>
      </c>
      <c r="L31" s="51">
        <v>12</v>
      </c>
      <c r="M31" s="51">
        <v>12</v>
      </c>
      <c r="N31" s="51">
        <v>12</v>
      </c>
      <c r="O31" s="51">
        <v>12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/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12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10</v>
      </c>
      <c r="C32" s="51">
        <v>10</v>
      </c>
      <c r="D32" s="51">
        <v>10</v>
      </c>
      <c r="E32" s="51">
        <v>10</v>
      </c>
      <c r="F32" s="51">
        <v>10</v>
      </c>
      <c r="G32" s="51">
        <v>10</v>
      </c>
      <c r="H32" s="51">
        <v>10</v>
      </c>
      <c r="I32" s="51"/>
      <c r="J32" s="51">
        <v>10</v>
      </c>
      <c r="K32" s="51">
        <v>10</v>
      </c>
      <c r="L32" s="51">
        <v>10</v>
      </c>
      <c r="M32" s="51">
        <v>10</v>
      </c>
      <c r="N32" s="51">
        <v>10</v>
      </c>
      <c r="O32" s="51">
        <v>10</v>
      </c>
      <c r="P32" s="51">
        <v>10</v>
      </c>
      <c r="Q32" s="51">
        <v>10</v>
      </c>
      <c r="R32" s="51">
        <v>10</v>
      </c>
      <c r="S32" s="51">
        <v>10</v>
      </c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1">
        <v>10</v>
      </c>
      <c r="Z32" s="51"/>
      <c r="AA32" s="51">
        <v>10</v>
      </c>
      <c r="AB32" s="51">
        <v>10</v>
      </c>
      <c r="AC32" s="51">
        <v>10</v>
      </c>
      <c r="AD32" s="51">
        <v>10</v>
      </c>
      <c r="AE32" s="51">
        <v>10</v>
      </c>
      <c r="AF32" s="51">
        <v>10</v>
      </c>
      <c r="AG32" s="64">
        <v>22</v>
      </c>
      <c r="AH32" s="55">
        <f t="shared" si="2"/>
        <v>10</v>
      </c>
      <c r="AI32" s="56">
        <f t="shared" si="3"/>
        <v>10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/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/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10</v>
      </c>
      <c r="G34" s="51">
        <v>10</v>
      </c>
      <c r="H34" s="51">
        <v>10</v>
      </c>
      <c r="I34" s="51"/>
      <c r="J34" s="51">
        <v>3</v>
      </c>
      <c r="K34" s="51">
        <v>3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5</v>
      </c>
      <c r="R34" s="51">
        <v>5</v>
      </c>
      <c r="S34" s="51">
        <v>5</v>
      </c>
      <c r="T34" s="51">
        <v>5</v>
      </c>
      <c r="U34" s="51">
        <v>5</v>
      </c>
      <c r="V34" s="51">
        <v>5</v>
      </c>
      <c r="W34" s="51">
        <v>5</v>
      </c>
      <c r="X34" s="51">
        <v>5</v>
      </c>
      <c r="Y34" s="51">
        <v>5</v>
      </c>
      <c r="Z34" s="51"/>
      <c r="AA34" s="51">
        <v>0</v>
      </c>
      <c r="AB34" s="51">
        <v>0</v>
      </c>
      <c r="AC34" s="51">
        <v>0</v>
      </c>
      <c r="AD34" s="51">
        <v>0</v>
      </c>
      <c r="AE34" s="51">
        <v>10</v>
      </c>
      <c r="AF34" s="51">
        <v>10</v>
      </c>
      <c r="AG34" s="64">
        <v>20</v>
      </c>
      <c r="AH34" s="55">
        <f t="shared" si="2"/>
        <v>10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8</v>
      </c>
      <c r="C35" s="51">
        <v>8</v>
      </c>
      <c r="D35" s="51">
        <v>8</v>
      </c>
      <c r="E35" s="51">
        <v>8</v>
      </c>
      <c r="F35" s="51">
        <v>8</v>
      </c>
      <c r="G35" s="51">
        <v>8</v>
      </c>
      <c r="H35" s="51">
        <v>8</v>
      </c>
      <c r="I35" s="51"/>
      <c r="J35" s="51">
        <v>8</v>
      </c>
      <c r="K35" s="51">
        <v>8</v>
      </c>
      <c r="L35" s="51">
        <v>8</v>
      </c>
      <c r="M35" s="51">
        <v>8</v>
      </c>
      <c r="N35" s="51">
        <v>8</v>
      </c>
      <c r="O35" s="51">
        <v>8</v>
      </c>
      <c r="P35" s="51">
        <v>8</v>
      </c>
      <c r="Q35" s="51">
        <v>8</v>
      </c>
      <c r="R35" s="51">
        <v>8</v>
      </c>
      <c r="S35" s="51">
        <v>8</v>
      </c>
      <c r="T35" s="51">
        <v>8</v>
      </c>
      <c r="U35" s="51">
        <v>8</v>
      </c>
      <c r="V35" s="51">
        <v>8</v>
      </c>
      <c r="W35" s="51">
        <v>8</v>
      </c>
      <c r="X35" s="51">
        <v>8</v>
      </c>
      <c r="Y35" s="51">
        <v>8</v>
      </c>
      <c r="Z35" s="51"/>
      <c r="AA35" s="51">
        <v>8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8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301</v>
      </c>
      <c r="C36" s="66">
        <v>301</v>
      </c>
      <c r="D36" s="66">
        <v>301</v>
      </c>
      <c r="E36" s="66">
        <v>301</v>
      </c>
      <c r="F36" s="66">
        <v>301</v>
      </c>
      <c r="G36" s="66">
        <v>301</v>
      </c>
      <c r="H36" s="66">
        <v>301</v>
      </c>
      <c r="I36" s="66"/>
      <c r="J36" s="66">
        <v>301</v>
      </c>
      <c r="K36" s="66">
        <v>301</v>
      </c>
      <c r="L36" s="66">
        <v>301</v>
      </c>
      <c r="M36" s="66">
        <v>301</v>
      </c>
      <c r="N36" s="66">
        <v>301</v>
      </c>
      <c r="O36" s="66">
        <v>301</v>
      </c>
      <c r="P36" s="66">
        <v>301</v>
      </c>
      <c r="Q36" s="66">
        <v>301</v>
      </c>
      <c r="R36" s="66">
        <v>301</v>
      </c>
      <c r="S36" s="66">
        <v>301</v>
      </c>
      <c r="T36" s="66">
        <v>301</v>
      </c>
      <c r="U36" s="66">
        <v>301</v>
      </c>
      <c r="V36" s="66">
        <v>301</v>
      </c>
      <c r="W36" s="66">
        <v>301</v>
      </c>
      <c r="X36" s="66">
        <v>300</v>
      </c>
      <c r="Y36" s="66">
        <v>300</v>
      </c>
      <c r="Z36" s="66"/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301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173.89999999999998</v>
      </c>
      <c r="C37" s="66">
        <f>72.7+101.2</f>
        <v>173.9</v>
      </c>
      <c r="D37" s="66">
        <f>100.9+39.4</f>
        <v>140.30000000000001</v>
      </c>
      <c r="E37" s="66">
        <f>48.1+101.2</f>
        <v>149.30000000000001</v>
      </c>
      <c r="F37" s="66">
        <f>52.5+101.2</f>
        <v>153.69999999999999</v>
      </c>
      <c r="G37" s="66">
        <f>56.3+101.1</f>
        <v>157.39999999999998</v>
      </c>
      <c r="H37" s="66">
        <f>54.9+100.9</f>
        <v>155.80000000000001</v>
      </c>
      <c r="I37" s="66"/>
      <c r="J37" s="66">
        <v>155.80000000000001</v>
      </c>
      <c r="K37" s="66">
        <f>100.8+72.5</f>
        <v>173.3</v>
      </c>
      <c r="L37" s="66">
        <f>100.8+72.5</f>
        <v>173.3</v>
      </c>
      <c r="M37" s="66">
        <f>95.1+72</f>
        <v>167.1</v>
      </c>
      <c r="N37" s="66">
        <f>101+71.5</f>
        <v>172.5</v>
      </c>
      <c r="O37" s="66">
        <v>124.8</v>
      </c>
      <c r="P37" s="66">
        <f>98.4+72.8</f>
        <v>171.2</v>
      </c>
      <c r="Q37" s="66">
        <f>88+67.2</f>
        <v>155.19999999999999</v>
      </c>
      <c r="R37" s="66">
        <f>101.4+70.8</f>
        <v>172.2</v>
      </c>
      <c r="S37" s="66">
        <f>101.4+70.8</f>
        <v>172.2</v>
      </c>
      <c r="T37" s="66">
        <f>101.4+70.8</f>
        <v>172.2</v>
      </c>
      <c r="U37" s="66">
        <f>72.6+101.6</f>
        <v>174.2</v>
      </c>
      <c r="V37" s="66">
        <f>72.6+101.6</f>
        <v>174.2</v>
      </c>
      <c r="W37" s="68">
        <f>72.4+97.7</f>
        <v>170.10000000000002</v>
      </c>
      <c r="X37" s="68">
        <f>72.4+97.7</f>
        <v>170.10000000000002</v>
      </c>
      <c r="Y37" s="68">
        <f>72.4+97.7</f>
        <v>170.10000000000002</v>
      </c>
      <c r="Z37" s="68"/>
      <c r="AA37" s="68">
        <v>170</v>
      </c>
      <c r="AB37" s="68">
        <f>72.4+97.7</f>
        <v>170.10000000000002</v>
      </c>
      <c r="AC37" s="68">
        <f>72.2+100.5</f>
        <v>172.7</v>
      </c>
      <c r="AD37" s="68">
        <f>101+72.5</f>
        <v>173.5</v>
      </c>
      <c r="AE37" s="68">
        <f>72.8+102</f>
        <v>174.8</v>
      </c>
      <c r="AF37" s="68">
        <f>72.8+102.4</f>
        <v>175.2</v>
      </c>
      <c r="AG37" s="64">
        <v>240</v>
      </c>
      <c r="AH37" s="55">
        <f t="shared" si="2"/>
        <v>175.2</v>
      </c>
      <c r="AI37" s="56">
        <f t="shared" si="3"/>
        <v>124.8</v>
      </c>
      <c r="AK37" s="57"/>
    </row>
    <row r="38" spans="1:88" ht="15.75" thickBot="1" x14ac:dyDescent="0.3">
      <c r="A38" s="69" t="s">
        <v>46</v>
      </c>
      <c r="B38" s="70">
        <f t="shared" ref="B38:L38" si="4">SUM(B11:B36)</f>
        <v>1274.3000000000002</v>
      </c>
      <c r="C38" s="70">
        <f t="shared" si="4"/>
        <v>1268.3000000000002</v>
      </c>
      <c r="D38" s="70">
        <f t="shared" si="4"/>
        <v>1243.3000000000002</v>
      </c>
      <c r="E38" s="70">
        <f t="shared" si="4"/>
        <v>1157.3000000000002</v>
      </c>
      <c r="F38" s="70">
        <f t="shared" si="4"/>
        <v>1163.3000000000002</v>
      </c>
      <c r="G38" s="70">
        <f t="shared" si="4"/>
        <v>1249.3000000000002</v>
      </c>
      <c r="H38" s="70">
        <f t="shared" si="4"/>
        <v>1218.5</v>
      </c>
      <c r="I38" s="70">
        <f t="shared" si="4"/>
        <v>0</v>
      </c>
      <c r="J38" s="70">
        <f t="shared" si="4"/>
        <v>1205.3</v>
      </c>
      <c r="K38" s="70">
        <f t="shared" si="4"/>
        <v>1223.8</v>
      </c>
      <c r="L38" s="70">
        <f t="shared" si="4"/>
        <v>1230.8</v>
      </c>
      <c r="M38" s="70">
        <f t="shared" ref="M38:S38" si="5">SUM(M11:M36)</f>
        <v>1246.8</v>
      </c>
      <c r="N38" s="70">
        <f t="shared" si="5"/>
        <v>1230.1999999999998</v>
      </c>
      <c r="O38" s="70">
        <f t="shared" si="5"/>
        <v>1183.1999999999998</v>
      </c>
      <c r="P38" s="70">
        <f t="shared" si="5"/>
        <v>1227.1999999999998</v>
      </c>
      <c r="Q38" s="70">
        <f t="shared" si="5"/>
        <v>1220.9000000000001</v>
      </c>
      <c r="R38" s="70">
        <f t="shared" si="5"/>
        <v>1220.9000000000001</v>
      </c>
      <c r="S38" s="70">
        <f t="shared" si="5"/>
        <v>1220.9000000000001</v>
      </c>
      <c r="T38" s="70">
        <f t="shared" ref="T38:AF38" si="6">SUM(T11:T36)</f>
        <v>1269.5</v>
      </c>
      <c r="U38" s="70">
        <f t="shared" si="6"/>
        <v>1269.5</v>
      </c>
      <c r="V38" s="70">
        <f t="shared" si="6"/>
        <v>1264.5</v>
      </c>
      <c r="W38" s="70">
        <f t="shared" si="6"/>
        <v>1264.5</v>
      </c>
      <c r="X38" s="70">
        <f t="shared" si="6"/>
        <v>1168.9000000000001</v>
      </c>
      <c r="Y38" s="70">
        <f t="shared" si="6"/>
        <v>1268.6999999999998</v>
      </c>
      <c r="Z38" s="70">
        <f t="shared" si="6"/>
        <v>0</v>
      </c>
      <c r="AA38" s="70">
        <f t="shared" si="6"/>
        <v>1099.9000000000001</v>
      </c>
      <c r="AB38" s="70">
        <f t="shared" si="6"/>
        <v>1277.6999999999998</v>
      </c>
      <c r="AC38" s="70">
        <f t="shared" si="6"/>
        <v>1277.6999999999998</v>
      </c>
      <c r="AD38" s="70">
        <f t="shared" si="6"/>
        <v>1277.6999999999998</v>
      </c>
      <c r="AE38" s="70">
        <f t="shared" si="6"/>
        <v>1287.6999999999998</v>
      </c>
      <c r="AF38" s="70">
        <f t="shared" si="6"/>
        <v>1283.6999999999998</v>
      </c>
      <c r="AG38" s="64">
        <f>SUM(AG11:AG37)</f>
        <v>1492.8299999999997</v>
      </c>
      <c r="AH38" s="55">
        <f t="shared" si="2"/>
        <v>1287.6999999999998</v>
      </c>
      <c r="AI38" s="56">
        <f t="shared" si="3"/>
        <v>0</v>
      </c>
      <c r="AK38" s="57"/>
    </row>
    <row r="39" spans="1:88" x14ac:dyDescent="0.25">
      <c r="A39" s="58" t="s">
        <v>47</v>
      </c>
      <c r="B39" s="51">
        <v>142.1</v>
      </c>
      <c r="C39" s="51">
        <v>142.1</v>
      </c>
      <c r="D39" s="51">
        <v>143.19999999999999</v>
      </c>
      <c r="E39" s="51">
        <v>141.1</v>
      </c>
      <c r="F39" s="51">
        <v>143</v>
      </c>
      <c r="G39" s="51">
        <v>140.30000000000001</v>
      </c>
      <c r="H39" s="51">
        <v>140.80000000000001</v>
      </c>
      <c r="I39" s="51"/>
      <c r="J39" s="51">
        <v>0</v>
      </c>
      <c r="K39" s="51">
        <v>143</v>
      </c>
      <c r="L39" s="51">
        <v>143</v>
      </c>
      <c r="M39" s="51">
        <v>141.6</v>
      </c>
      <c r="N39" s="51">
        <v>141.80000000000001</v>
      </c>
      <c r="O39" s="51">
        <v>141.30000000000001</v>
      </c>
      <c r="P39" s="51">
        <v>141.30000000000001</v>
      </c>
      <c r="Q39" s="51">
        <v>142.30000000000001</v>
      </c>
      <c r="R39" s="51">
        <v>143.6</v>
      </c>
      <c r="S39" s="51">
        <v>143.6</v>
      </c>
      <c r="T39" s="51">
        <v>143.80000000000001</v>
      </c>
      <c r="U39" s="51">
        <v>143.80000000000001</v>
      </c>
      <c r="V39" s="51">
        <v>143.80000000000001</v>
      </c>
      <c r="W39" s="51">
        <v>143.80000000000001</v>
      </c>
      <c r="X39" s="51">
        <v>143.80000000000001</v>
      </c>
      <c r="Y39" s="51">
        <v>143.80000000000001</v>
      </c>
      <c r="Z39" s="51"/>
      <c r="AA39" s="51">
        <v>96</v>
      </c>
      <c r="AB39" s="51">
        <v>143.80000000000001</v>
      </c>
      <c r="AC39" s="51">
        <v>143.80000000000001</v>
      </c>
      <c r="AD39" s="51">
        <v>143.80000000000001</v>
      </c>
      <c r="AE39" s="51">
        <v>143.80000000000001</v>
      </c>
      <c r="AF39" s="51">
        <v>143.80000000000001</v>
      </c>
      <c r="AG39" s="60">
        <v>144</v>
      </c>
      <c r="AH39" s="55">
        <f t="shared" si="2"/>
        <v>143.80000000000001</v>
      </c>
      <c r="AI39" s="56">
        <f t="shared" si="3"/>
        <v>0</v>
      </c>
      <c r="AK39" s="57"/>
    </row>
    <row r="40" spans="1:88" x14ac:dyDescent="0.25">
      <c r="A40" s="63" t="s">
        <v>48</v>
      </c>
      <c r="B40" s="49">
        <v>72.400000000000006</v>
      </c>
      <c r="C40" s="49">
        <v>72.400000000000006</v>
      </c>
      <c r="D40" s="49">
        <v>70.7</v>
      </c>
      <c r="E40" s="49">
        <v>70.7</v>
      </c>
      <c r="F40" s="49">
        <v>71.2</v>
      </c>
      <c r="G40" s="49">
        <v>71.2</v>
      </c>
      <c r="H40" s="49">
        <v>71.2</v>
      </c>
      <c r="I40" s="49"/>
      <c r="J40" s="49">
        <v>71.2</v>
      </c>
      <c r="K40" s="49">
        <v>71.2</v>
      </c>
      <c r="L40" s="49">
        <v>59.2</v>
      </c>
      <c r="M40" s="51">
        <v>52.5</v>
      </c>
      <c r="N40" s="51">
        <v>51.2</v>
      </c>
      <c r="O40" s="51">
        <v>51.7</v>
      </c>
      <c r="P40" s="51">
        <v>54.9</v>
      </c>
      <c r="Q40" s="51">
        <v>49.3</v>
      </c>
      <c r="R40" s="51">
        <v>52.9</v>
      </c>
      <c r="S40" s="51">
        <v>70</v>
      </c>
      <c r="T40" s="49">
        <v>69.099999999999994</v>
      </c>
      <c r="U40" s="49">
        <v>69.099999999999994</v>
      </c>
      <c r="V40" s="49">
        <v>69.099999999999994</v>
      </c>
      <c r="W40" s="49">
        <v>69.099999999999994</v>
      </c>
      <c r="X40" s="49">
        <v>69.099999999999994</v>
      </c>
      <c r="Y40" s="49">
        <v>69.099999999999994</v>
      </c>
      <c r="Z40" s="49"/>
      <c r="AA40" s="49">
        <v>0</v>
      </c>
      <c r="AB40" s="49">
        <v>35.6</v>
      </c>
      <c r="AC40" s="49">
        <v>35.6</v>
      </c>
      <c r="AD40" s="49">
        <v>70.599999999999994</v>
      </c>
      <c r="AE40" s="49">
        <v>71.400000000000006</v>
      </c>
      <c r="AF40" s="49">
        <v>71.400000000000006</v>
      </c>
      <c r="AG40" s="64">
        <v>70</v>
      </c>
      <c r="AH40" s="55">
        <f t="shared" si="2"/>
        <v>72.400000000000006</v>
      </c>
      <c r="AI40" s="56">
        <f t="shared" si="3"/>
        <v>0</v>
      </c>
      <c r="AK40" s="57"/>
    </row>
    <row r="41" spans="1:88" x14ac:dyDescent="0.25">
      <c r="A41" s="63" t="s">
        <v>49</v>
      </c>
      <c r="B41" s="49">
        <v>60.7</v>
      </c>
      <c r="C41" s="49">
        <v>60.7</v>
      </c>
      <c r="D41" s="49">
        <v>60.7</v>
      </c>
      <c r="E41" s="49">
        <v>60.7</v>
      </c>
      <c r="F41" s="49">
        <v>60.7</v>
      </c>
      <c r="G41" s="49">
        <v>60.7</v>
      </c>
      <c r="H41" s="49">
        <v>60.7</v>
      </c>
      <c r="I41" s="49"/>
      <c r="J41" s="49">
        <v>61.2</v>
      </c>
      <c r="K41" s="49">
        <v>61.2</v>
      </c>
      <c r="L41" s="49">
        <v>46.1</v>
      </c>
      <c r="M41" s="51">
        <v>46</v>
      </c>
      <c r="N41" s="51">
        <v>46.5</v>
      </c>
      <c r="O41" s="51">
        <v>46.7</v>
      </c>
      <c r="P41" s="51">
        <v>61.6</v>
      </c>
      <c r="Q41" s="51">
        <v>61.3</v>
      </c>
      <c r="R41" s="51">
        <v>61.2</v>
      </c>
      <c r="S41" s="51">
        <v>61.2</v>
      </c>
      <c r="T41" s="49">
        <v>61.6</v>
      </c>
      <c r="U41" s="49">
        <v>61.6</v>
      </c>
      <c r="V41" s="49">
        <v>61.6</v>
      </c>
      <c r="W41" s="49">
        <v>61.6</v>
      </c>
      <c r="X41" s="49">
        <v>61.6</v>
      </c>
      <c r="Y41" s="49">
        <v>61.6</v>
      </c>
      <c r="Z41" s="49"/>
      <c r="AA41" s="49">
        <v>63</v>
      </c>
      <c r="AB41" s="49">
        <v>61.6</v>
      </c>
      <c r="AC41" s="49">
        <v>61.5</v>
      </c>
      <c r="AD41" s="49">
        <v>61.5</v>
      </c>
      <c r="AE41" s="49">
        <v>61.5</v>
      </c>
      <c r="AF41" s="49">
        <v>61.5</v>
      </c>
      <c r="AG41" s="64">
        <v>69</v>
      </c>
      <c r="AH41" s="55">
        <f t="shared" si="2"/>
        <v>63</v>
      </c>
      <c r="AI41" s="56">
        <f t="shared" si="3"/>
        <v>46</v>
      </c>
      <c r="AK41" s="57"/>
    </row>
    <row r="42" spans="1:88" x14ac:dyDescent="0.25">
      <c r="A42" s="63" t="s">
        <v>50</v>
      </c>
      <c r="B42" s="66">
        <v>61.4</v>
      </c>
      <c r="C42" s="66">
        <v>60.9</v>
      </c>
      <c r="D42" s="66">
        <v>60.9</v>
      </c>
      <c r="E42" s="66">
        <v>60.9</v>
      </c>
      <c r="F42" s="66">
        <v>60.9</v>
      </c>
      <c r="G42" s="66">
        <v>60.9</v>
      </c>
      <c r="H42" s="66">
        <v>60.9</v>
      </c>
      <c r="I42" s="66"/>
      <c r="J42" s="66">
        <v>61.2</v>
      </c>
      <c r="K42" s="66">
        <v>60.9</v>
      </c>
      <c r="L42" s="66">
        <v>60.9</v>
      </c>
      <c r="M42" s="51">
        <v>60.9</v>
      </c>
      <c r="N42" s="51">
        <v>60.9</v>
      </c>
      <c r="O42" s="51">
        <v>60.9</v>
      </c>
      <c r="P42" s="51">
        <v>60.9</v>
      </c>
      <c r="Q42" s="51">
        <v>60.9</v>
      </c>
      <c r="R42" s="51">
        <v>60.4</v>
      </c>
      <c r="S42" s="51">
        <v>60.4</v>
      </c>
      <c r="T42" s="51">
        <v>60.4</v>
      </c>
      <c r="U42" s="51">
        <v>60.4</v>
      </c>
      <c r="V42" s="51">
        <v>60.4</v>
      </c>
      <c r="W42" s="51">
        <v>60.4</v>
      </c>
      <c r="X42" s="51">
        <v>60.4</v>
      </c>
      <c r="Y42" s="51">
        <v>60.4</v>
      </c>
      <c r="Z42" s="49"/>
      <c r="AA42" s="49">
        <v>60.4</v>
      </c>
      <c r="AB42" s="51">
        <v>60.4</v>
      </c>
      <c r="AC42" s="51">
        <v>60.4</v>
      </c>
      <c r="AD42" s="51">
        <v>60.4</v>
      </c>
      <c r="AE42" s="51">
        <v>60.4</v>
      </c>
      <c r="AF42" s="51">
        <v>60.4</v>
      </c>
      <c r="AG42" s="64">
        <v>60</v>
      </c>
      <c r="AH42" s="55">
        <f t="shared" si="2"/>
        <v>61.4</v>
      </c>
      <c r="AI42" s="56">
        <f t="shared" si="3"/>
        <v>60.4</v>
      </c>
      <c r="AK42" s="57"/>
    </row>
    <row r="43" spans="1:88" x14ac:dyDescent="0.25">
      <c r="A43" s="63" t="s">
        <v>51</v>
      </c>
      <c r="B43" s="66">
        <v>29.4</v>
      </c>
      <c r="C43" s="66">
        <v>29.4</v>
      </c>
      <c r="D43" s="66">
        <v>29.4</v>
      </c>
      <c r="E43" s="66">
        <v>29.4</v>
      </c>
      <c r="F43" s="66">
        <v>29.4</v>
      </c>
      <c r="G43" s="66">
        <v>29.4</v>
      </c>
      <c r="H43" s="66">
        <v>29.4</v>
      </c>
      <c r="I43" s="66"/>
      <c r="J43" s="66">
        <v>29.4</v>
      </c>
      <c r="K43" s="66">
        <v>29.4</v>
      </c>
      <c r="L43" s="66">
        <v>29.4</v>
      </c>
      <c r="M43" s="51">
        <v>29</v>
      </c>
      <c r="N43" s="51">
        <v>30</v>
      </c>
      <c r="O43" s="51">
        <v>30</v>
      </c>
      <c r="P43" s="51">
        <v>30</v>
      </c>
      <c r="Q43" s="51">
        <v>30</v>
      </c>
      <c r="R43" s="51">
        <v>30</v>
      </c>
      <c r="S43" s="51">
        <v>30</v>
      </c>
      <c r="T43" s="51">
        <v>30</v>
      </c>
      <c r="U43" s="51">
        <v>30</v>
      </c>
      <c r="V43" s="51">
        <v>30</v>
      </c>
      <c r="W43" s="51">
        <v>30</v>
      </c>
      <c r="X43" s="51">
        <v>30</v>
      </c>
      <c r="Y43" s="51">
        <v>30</v>
      </c>
      <c r="Z43" s="49"/>
      <c r="AA43" s="49">
        <v>30</v>
      </c>
      <c r="AB43" s="51">
        <v>30</v>
      </c>
      <c r="AC43" s="51">
        <v>30</v>
      </c>
      <c r="AD43" s="51">
        <v>30</v>
      </c>
      <c r="AE43" s="51">
        <v>30</v>
      </c>
      <c r="AF43" s="51">
        <v>30</v>
      </c>
      <c r="AG43" s="64">
        <v>30</v>
      </c>
      <c r="AH43" s="55">
        <f t="shared" si="2"/>
        <v>30</v>
      </c>
      <c r="AI43" s="56">
        <f t="shared" si="3"/>
        <v>29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66"/>
      <c r="J44" s="66">
        <v>8</v>
      </c>
      <c r="K44" s="49">
        <v>8</v>
      </c>
      <c r="L44" s="49">
        <v>8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/>
      <c r="AA44" s="51">
        <v>8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16.899999999999999</v>
      </c>
      <c r="C45" s="49">
        <v>16.899999999999999</v>
      </c>
      <c r="D45" s="49">
        <v>16.899999999999999</v>
      </c>
      <c r="E45" s="49">
        <v>16.899999999999999</v>
      </c>
      <c r="F45" s="49">
        <v>16.899999999999999</v>
      </c>
      <c r="G45" s="49">
        <v>16.899999999999999</v>
      </c>
      <c r="H45" s="49">
        <v>16.899999999999999</v>
      </c>
      <c r="I45" s="49"/>
      <c r="J45" s="49">
        <v>16.899999999999999</v>
      </c>
      <c r="K45" s="49">
        <v>16.899999999999999</v>
      </c>
      <c r="L45" s="49">
        <v>16.899999999999999</v>
      </c>
      <c r="M45" s="51">
        <v>16.5</v>
      </c>
      <c r="N45" s="51">
        <v>16.100000000000001</v>
      </c>
      <c r="O45" s="51">
        <v>16.100000000000001</v>
      </c>
      <c r="P45" s="51">
        <v>16.100000000000001</v>
      </c>
      <c r="Q45" s="51">
        <v>13.4</v>
      </c>
      <c r="R45" s="51">
        <v>16.100000000000001</v>
      </c>
      <c r="S45" s="51">
        <v>16.100000000000001</v>
      </c>
      <c r="T45" s="51">
        <v>16.100000000000001</v>
      </c>
      <c r="U45" s="51">
        <v>16.100000000000001</v>
      </c>
      <c r="V45" s="51">
        <v>16.100000000000001</v>
      </c>
      <c r="W45" s="51">
        <v>17.2</v>
      </c>
      <c r="X45" s="51">
        <v>17.2</v>
      </c>
      <c r="Y45" s="51">
        <v>17.2</v>
      </c>
      <c r="Z45" s="51"/>
      <c r="AA45" s="51">
        <v>17.2</v>
      </c>
      <c r="AB45" s="51">
        <v>17.2</v>
      </c>
      <c r="AC45" s="51">
        <v>17.2</v>
      </c>
      <c r="AD45" s="51">
        <v>17.2</v>
      </c>
      <c r="AE45" s="51">
        <v>17.2</v>
      </c>
      <c r="AF45" s="51">
        <v>17.2</v>
      </c>
      <c r="AG45" s="64">
        <v>24</v>
      </c>
      <c r="AH45" s="55">
        <f t="shared" si="2"/>
        <v>17.2</v>
      </c>
      <c r="AI45" s="56">
        <f t="shared" si="3"/>
        <v>13.4</v>
      </c>
      <c r="AK45" s="57"/>
    </row>
    <row r="46" spans="1:88" x14ac:dyDescent="0.25">
      <c r="A46" s="63" t="s">
        <v>54</v>
      </c>
      <c r="B46" s="49">
        <v>0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/>
      <c r="J46" s="49">
        <v>0</v>
      </c>
      <c r="K46" s="49">
        <v>0</v>
      </c>
      <c r="L46" s="49">
        <v>0</v>
      </c>
      <c r="M46" s="51">
        <v>2.4</v>
      </c>
      <c r="N46" s="51">
        <v>2.4</v>
      </c>
      <c r="O46" s="51">
        <v>2.4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/>
      <c r="AA46" s="51">
        <v>0</v>
      </c>
      <c r="AB46" s="51">
        <v>0</v>
      </c>
      <c r="AC46" s="51">
        <v>0</v>
      </c>
      <c r="AD46" s="51">
        <v>2.5</v>
      </c>
      <c r="AE46" s="51">
        <v>2.5</v>
      </c>
      <c r="AF46" s="51">
        <v>2.5</v>
      </c>
      <c r="AG46" s="64">
        <v>15</v>
      </c>
      <c r="AH46" s="55">
        <f t="shared" si="2"/>
        <v>2.5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11.6</v>
      </c>
      <c r="C47" s="49">
        <v>11.6</v>
      </c>
      <c r="D47" s="49">
        <v>11.6</v>
      </c>
      <c r="E47" s="49">
        <v>11.6</v>
      </c>
      <c r="F47" s="49">
        <v>11.6</v>
      </c>
      <c r="G47" s="49">
        <v>11.6</v>
      </c>
      <c r="H47" s="49">
        <v>11.6</v>
      </c>
      <c r="I47" s="49"/>
      <c r="J47" s="49">
        <v>12</v>
      </c>
      <c r="K47" s="49">
        <v>12</v>
      </c>
      <c r="L47" s="49">
        <v>12</v>
      </c>
      <c r="M47" s="49">
        <v>12</v>
      </c>
      <c r="N47" s="51">
        <v>10.5</v>
      </c>
      <c r="O47" s="51">
        <v>11.6</v>
      </c>
      <c r="P47" s="51">
        <v>11.6</v>
      </c>
      <c r="Q47" s="51">
        <v>11.6</v>
      </c>
      <c r="R47" s="51">
        <v>11.6</v>
      </c>
      <c r="S47" s="51">
        <v>11.6</v>
      </c>
      <c r="T47" s="51">
        <v>11.6</v>
      </c>
      <c r="U47" s="51">
        <v>11.6</v>
      </c>
      <c r="V47" s="51">
        <v>11.6</v>
      </c>
      <c r="W47" s="51">
        <v>11.6</v>
      </c>
      <c r="X47" s="51">
        <v>11.6</v>
      </c>
      <c r="Y47" s="51">
        <v>11.6</v>
      </c>
      <c r="Z47" s="51"/>
      <c r="AA47" s="51">
        <v>11.6</v>
      </c>
      <c r="AB47" s="51">
        <v>11.6</v>
      </c>
      <c r="AC47" s="51">
        <v>11.6</v>
      </c>
      <c r="AD47" s="51">
        <v>11.6</v>
      </c>
      <c r="AE47" s="51">
        <v>11.6</v>
      </c>
      <c r="AF47" s="51">
        <v>11.6</v>
      </c>
      <c r="AG47" s="64">
        <v>14.1</v>
      </c>
      <c r="AH47" s="55">
        <f t="shared" si="2"/>
        <v>12</v>
      </c>
      <c r="AI47" s="56">
        <f t="shared" si="3"/>
        <v>10.5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12.4</v>
      </c>
      <c r="C48" s="49">
        <v>13.6</v>
      </c>
      <c r="D48" s="49">
        <v>13.6</v>
      </c>
      <c r="E48" s="49">
        <v>13.6</v>
      </c>
      <c r="F48" s="49">
        <v>13.6</v>
      </c>
      <c r="G48" s="49">
        <v>13.6</v>
      </c>
      <c r="H48" s="49">
        <v>13.6</v>
      </c>
      <c r="I48" s="49"/>
      <c r="J48" s="49">
        <v>0</v>
      </c>
      <c r="K48" s="49">
        <v>5.8</v>
      </c>
      <c r="L48" s="49">
        <v>5.8</v>
      </c>
      <c r="M48" s="49">
        <v>5.8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/>
      <c r="AA48" s="51">
        <v>0</v>
      </c>
      <c r="AB48" s="51">
        <v>0</v>
      </c>
      <c r="AC48" s="51">
        <v>0</v>
      </c>
      <c r="AD48" s="51">
        <v>7</v>
      </c>
      <c r="AE48" s="51">
        <v>7</v>
      </c>
      <c r="AF48" s="51">
        <v>7</v>
      </c>
      <c r="AG48" s="64">
        <v>14</v>
      </c>
      <c r="AH48" s="55">
        <f t="shared" si="2"/>
        <v>13.6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9.4</v>
      </c>
      <c r="C49" s="49">
        <v>9.4</v>
      </c>
      <c r="D49" s="49">
        <v>9.4</v>
      </c>
      <c r="E49" s="49">
        <v>9.4</v>
      </c>
      <c r="F49" s="49">
        <v>9.4</v>
      </c>
      <c r="G49" s="49">
        <v>9.4</v>
      </c>
      <c r="H49" s="49">
        <v>9.4</v>
      </c>
      <c r="I49" s="49"/>
      <c r="J49" s="49">
        <v>9.4</v>
      </c>
      <c r="K49" s="49">
        <v>9.4</v>
      </c>
      <c r="L49" s="49">
        <v>9.4</v>
      </c>
      <c r="M49" s="49">
        <v>9.4</v>
      </c>
      <c r="N49" s="51">
        <v>9.4</v>
      </c>
      <c r="O49" s="51">
        <v>9.4</v>
      </c>
      <c r="P49" s="51">
        <v>9.4</v>
      </c>
      <c r="Q49" s="51">
        <v>9.4</v>
      </c>
      <c r="R49" s="51">
        <v>9.4</v>
      </c>
      <c r="S49" s="51">
        <v>9.4</v>
      </c>
      <c r="T49" s="51">
        <v>9.4</v>
      </c>
      <c r="U49" s="51">
        <v>9.4</v>
      </c>
      <c r="V49" s="51">
        <v>9.4</v>
      </c>
      <c r="W49" s="51">
        <v>9.4</v>
      </c>
      <c r="X49" s="51">
        <v>9.4</v>
      </c>
      <c r="Y49" s="51">
        <v>9.4</v>
      </c>
      <c r="Z49" s="51"/>
      <c r="AA49" s="51">
        <v>9.4</v>
      </c>
      <c r="AB49" s="51">
        <v>9.4</v>
      </c>
      <c r="AC49" s="51">
        <v>9.4</v>
      </c>
      <c r="AD49" s="51">
        <v>9.4</v>
      </c>
      <c r="AE49" s="51">
        <v>9.4</v>
      </c>
      <c r="AF49" s="51">
        <v>9.4</v>
      </c>
      <c r="AG49" s="64">
        <v>10.050000000000001</v>
      </c>
      <c r="AH49" s="55">
        <f t="shared" si="2"/>
        <v>9.4</v>
      </c>
      <c r="AI49" s="56">
        <f t="shared" si="3"/>
        <v>9.4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/>
      <c r="J50" s="49">
        <v>6</v>
      </c>
      <c r="K50" s="49">
        <v>6</v>
      </c>
      <c r="L50" s="49">
        <v>6</v>
      </c>
      <c r="M50" s="49">
        <v>6</v>
      </c>
      <c r="N50" s="51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/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51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425.83999999999992</v>
      </c>
      <c r="C52" s="70">
        <f t="shared" ref="C52:AF52" si="8">SUM(C39:C51)</f>
        <v>426.53999999999996</v>
      </c>
      <c r="D52" s="70">
        <f t="shared" si="8"/>
        <v>425.93999999999994</v>
      </c>
      <c r="E52" s="70">
        <f t="shared" si="8"/>
        <v>423.84</v>
      </c>
      <c r="F52" s="70">
        <f t="shared" si="8"/>
        <v>426.23999999999995</v>
      </c>
      <c r="G52" s="70">
        <f t="shared" si="8"/>
        <v>423.53999999999996</v>
      </c>
      <c r="H52" s="70">
        <f t="shared" si="8"/>
        <v>424.03999999999996</v>
      </c>
      <c r="I52" s="70">
        <f t="shared" si="8"/>
        <v>3.54</v>
      </c>
      <c r="J52" s="70">
        <f t="shared" si="8"/>
        <v>278.84000000000003</v>
      </c>
      <c r="K52" s="70">
        <f t="shared" si="8"/>
        <v>427.33999999999992</v>
      </c>
      <c r="L52" s="70">
        <f t="shared" si="8"/>
        <v>400.23999999999995</v>
      </c>
      <c r="M52" s="70">
        <f t="shared" si="8"/>
        <v>393.64</v>
      </c>
      <c r="N52" s="70">
        <f t="shared" si="8"/>
        <v>386.34</v>
      </c>
      <c r="O52" s="70">
        <f t="shared" si="8"/>
        <v>387.64</v>
      </c>
      <c r="P52" s="70">
        <f t="shared" si="8"/>
        <v>403.34000000000003</v>
      </c>
      <c r="Q52" s="70">
        <f t="shared" si="8"/>
        <v>395.74</v>
      </c>
      <c r="R52" s="70">
        <f t="shared" si="8"/>
        <v>402.74</v>
      </c>
      <c r="S52" s="70">
        <f t="shared" si="8"/>
        <v>419.84000000000003</v>
      </c>
      <c r="T52" s="70">
        <f t="shared" si="8"/>
        <v>419.54</v>
      </c>
      <c r="U52" s="70">
        <f t="shared" si="8"/>
        <v>419.54</v>
      </c>
      <c r="V52" s="70">
        <f t="shared" si="8"/>
        <v>419.54</v>
      </c>
      <c r="W52" s="70">
        <f t="shared" si="8"/>
        <v>420.64</v>
      </c>
      <c r="X52" s="70">
        <f t="shared" si="8"/>
        <v>420.64</v>
      </c>
      <c r="Y52" s="70">
        <f t="shared" si="8"/>
        <v>420.64</v>
      </c>
      <c r="Z52" s="70">
        <f t="shared" si="8"/>
        <v>3.54</v>
      </c>
      <c r="AA52" s="70">
        <f t="shared" si="8"/>
        <v>305.14</v>
      </c>
      <c r="AB52" s="70">
        <f t="shared" si="8"/>
        <v>379.14</v>
      </c>
      <c r="AC52" s="70">
        <f t="shared" si="8"/>
        <v>379.04</v>
      </c>
      <c r="AD52" s="70">
        <f t="shared" si="8"/>
        <v>423.53999999999996</v>
      </c>
      <c r="AE52" s="70">
        <f t="shared" si="8"/>
        <v>424.34000000000003</v>
      </c>
      <c r="AF52" s="70">
        <f t="shared" si="8"/>
        <v>424.34000000000003</v>
      </c>
      <c r="AG52" s="74">
        <f>SUM(AG39:AG51)</f>
        <v>489.91</v>
      </c>
      <c r="AH52" s="55">
        <f t="shared" si="2"/>
        <v>427.33999999999992</v>
      </c>
      <c r="AI52" s="56">
        <f t="shared" si="3"/>
        <v>3.54</v>
      </c>
      <c r="AK52" s="57"/>
    </row>
    <row r="53" spans="1:37" x14ac:dyDescent="0.25">
      <c r="A53" s="58" t="s">
        <v>61</v>
      </c>
      <c r="B53" s="51">
        <v>24.6</v>
      </c>
      <c r="C53" s="51">
        <v>13.2</v>
      </c>
      <c r="D53" s="51">
        <v>14.7</v>
      </c>
      <c r="E53" s="51">
        <v>10</v>
      </c>
      <c r="F53" s="51">
        <v>0</v>
      </c>
      <c r="G53" s="51">
        <v>0</v>
      </c>
      <c r="H53" s="51">
        <v>10.8</v>
      </c>
      <c r="I53" s="51"/>
      <c r="J53" s="51">
        <v>14</v>
      </c>
      <c r="K53" s="51">
        <v>0</v>
      </c>
      <c r="L53" s="51">
        <v>29.3</v>
      </c>
      <c r="M53" s="51">
        <v>14</v>
      </c>
      <c r="N53" s="51">
        <v>14</v>
      </c>
      <c r="O53" s="51">
        <v>60</v>
      </c>
      <c r="P53" s="51">
        <v>33.6</v>
      </c>
      <c r="Q53" s="51">
        <v>39.5</v>
      </c>
      <c r="R53" s="51">
        <v>50.2</v>
      </c>
      <c r="S53" s="51">
        <v>50</v>
      </c>
      <c r="T53" s="51">
        <v>10</v>
      </c>
      <c r="U53" s="51">
        <v>20</v>
      </c>
      <c r="V53" s="51">
        <v>0</v>
      </c>
      <c r="W53" s="51">
        <v>0</v>
      </c>
      <c r="X53" s="51">
        <v>29</v>
      </c>
      <c r="Y53" s="51">
        <v>10</v>
      </c>
      <c r="Z53" s="51"/>
      <c r="AA53" s="51">
        <v>60</v>
      </c>
      <c r="AB53" s="51">
        <v>40</v>
      </c>
      <c r="AC53" s="51">
        <v>55</v>
      </c>
      <c r="AD53" s="51">
        <v>45.5</v>
      </c>
      <c r="AE53" s="51">
        <v>14</v>
      </c>
      <c r="AF53" s="51">
        <v>14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16.2</v>
      </c>
      <c r="C54" s="49">
        <v>7.7</v>
      </c>
      <c r="D54" s="49">
        <v>7.4</v>
      </c>
      <c r="E54" s="49">
        <v>6.6</v>
      </c>
      <c r="F54" s="49">
        <v>0</v>
      </c>
      <c r="G54" s="49">
        <v>0</v>
      </c>
      <c r="H54" s="49">
        <v>8.5</v>
      </c>
      <c r="I54" s="49"/>
      <c r="J54" s="49">
        <v>7</v>
      </c>
      <c r="K54" s="49">
        <v>10.5</v>
      </c>
      <c r="L54" s="49">
        <v>12.5</v>
      </c>
      <c r="M54" s="49">
        <v>7.9</v>
      </c>
      <c r="N54" s="49">
        <v>6.9</v>
      </c>
      <c r="O54" s="49">
        <v>14.5</v>
      </c>
      <c r="P54" s="49">
        <v>19.2</v>
      </c>
      <c r="Q54" s="49">
        <v>18.899999999999999</v>
      </c>
      <c r="R54" s="49">
        <v>25.6</v>
      </c>
      <c r="S54" s="49">
        <v>24</v>
      </c>
      <c r="T54" s="49">
        <v>9.8000000000000007</v>
      </c>
      <c r="U54" s="49">
        <v>11</v>
      </c>
      <c r="V54" s="49">
        <v>5.9</v>
      </c>
      <c r="W54" s="49">
        <v>0</v>
      </c>
      <c r="X54" s="49">
        <v>15</v>
      </c>
      <c r="Y54" s="49">
        <v>5</v>
      </c>
      <c r="Z54" s="49"/>
      <c r="AA54" s="49">
        <v>30</v>
      </c>
      <c r="AB54" s="49">
        <v>19.399999999999999</v>
      </c>
      <c r="AC54" s="49">
        <v>23.1</v>
      </c>
      <c r="AD54" s="49">
        <v>31</v>
      </c>
      <c r="AE54" s="49">
        <v>13.8</v>
      </c>
      <c r="AF54" s="49">
        <v>6</v>
      </c>
      <c r="AG54" s="64">
        <v>32</v>
      </c>
      <c r="AH54" s="55">
        <f t="shared" si="2"/>
        <v>31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5.9</v>
      </c>
      <c r="C55" s="75">
        <v>2.8</v>
      </c>
      <c r="D55" s="75">
        <v>2.7</v>
      </c>
      <c r="E55" s="75">
        <v>2.4</v>
      </c>
      <c r="F55" s="75">
        <v>0</v>
      </c>
      <c r="G55" s="75">
        <v>0</v>
      </c>
      <c r="H55" s="75">
        <v>3.1</v>
      </c>
      <c r="I55" s="75"/>
      <c r="J55" s="75">
        <v>4</v>
      </c>
      <c r="K55" s="75">
        <v>3.8</v>
      </c>
      <c r="L55" s="75">
        <v>4.5999999999999996</v>
      </c>
      <c r="M55" s="75">
        <v>2.9</v>
      </c>
      <c r="N55" s="75">
        <v>2.5</v>
      </c>
      <c r="O55" s="75">
        <v>5.5</v>
      </c>
      <c r="P55" s="75">
        <v>7</v>
      </c>
      <c r="Q55" s="75">
        <v>6.9</v>
      </c>
      <c r="R55" s="75">
        <v>9.4</v>
      </c>
      <c r="S55" s="75">
        <v>9</v>
      </c>
      <c r="T55" s="75">
        <v>6.3</v>
      </c>
      <c r="U55" s="75">
        <v>4.0999999999999996</v>
      </c>
      <c r="V55" s="75">
        <v>2.1</v>
      </c>
      <c r="W55" s="75">
        <v>0</v>
      </c>
      <c r="X55" s="75">
        <v>6</v>
      </c>
      <c r="Y55" s="75">
        <v>2</v>
      </c>
      <c r="Z55" s="75"/>
      <c r="AA55" s="75">
        <v>11</v>
      </c>
      <c r="AB55" s="75">
        <v>7.8</v>
      </c>
      <c r="AC55" s="75">
        <v>8.4</v>
      </c>
      <c r="AD55" s="75">
        <v>11.3</v>
      </c>
      <c r="AE55" s="75">
        <v>5</v>
      </c>
      <c r="AF55" s="75">
        <v>2.1</v>
      </c>
      <c r="AG55" s="76">
        <v>14</v>
      </c>
      <c r="AH55" s="55">
        <f t="shared" si="2"/>
        <v>11.3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46.699999999999996</v>
      </c>
      <c r="C56" s="70">
        <f t="shared" si="9"/>
        <v>23.7</v>
      </c>
      <c r="D56" s="70">
        <f t="shared" si="9"/>
        <v>24.8</v>
      </c>
      <c r="E56" s="70">
        <f t="shared" si="9"/>
        <v>19</v>
      </c>
      <c r="F56" s="70">
        <f t="shared" si="9"/>
        <v>0</v>
      </c>
      <c r="G56" s="70">
        <f t="shared" si="9"/>
        <v>0</v>
      </c>
      <c r="H56" s="70">
        <f t="shared" si="9"/>
        <v>22.400000000000002</v>
      </c>
      <c r="I56" s="70">
        <f t="shared" si="9"/>
        <v>0</v>
      </c>
      <c r="J56" s="70">
        <f t="shared" si="9"/>
        <v>25</v>
      </c>
      <c r="K56" s="70">
        <f t="shared" si="9"/>
        <v>14.3</v>
      </c>
      <c r="L56" s="70">
        <f t="shared" si="9"/>
        <v>46.4</v>
      </c>
      <c r="M56" s="70">
        <f t="shared" si="9"/>
        <v>24.799999999999997</v>
      </c>
      <c r="N56" s="70">
        <f t="shared" si="9"/>
        <v>23.4</v>
      </c>
      <c r="O56" s="70">
        <f t="shared" si="9"/>
        <v>80</v>
      </c>
      <c r="P56" s="70">
        <f t="shared" si="9"/>
        <v>59.8</v>
      </c>
      <c r="Q56" s="70">
        <f t="shared" si="9"/>
        <v>65.3</v>
      </c>
      <c r="R56" s="70">
        <f t="shared" si="9"/>
        <v>85.200000000000017</v>
      </c>
      <c r="S56" s="70">
        <f t="shared" si="9"/>
        <v>83</v>
      </c>
      <c r="T56" s="70">
        <f t="shared" si="9"/>
        <v>26.1</v>
      </c>
      <c r="U56" s="70">
        <v>39</v>
      </c>
      <c r="V56" s="70">
        <f t="shared" si="9"/>
        <v>8</v>
      </c>
      <c r="W56" s="70">
        <f t="shared" si="9"/>
        <v>0</v>
      </c>
      <c r="X56" s="70">
        <f t="shared" si="9"/>
        <v>50</v>
      </c>
      <c r="Y56" s="70">
        <f t="shared" si="9"/>
        <v>17</v>
      </c>
      <c r="Z56" s="70">
        <f t="shared" si="9"/>
        <v>0</v>
      </c>
      <c r="AA56" s="70">
        <f t="shared" si="9"/>
        <v>101</v>
      </c>
      <c r="AB56" s="70">
        <f t="shared" si="9"/>
        <v>67.2</v>
      </c>
      <c r="AC56" s="70">
        <f t="shared" si="9"/>
        <v>86.5</v>
      </c>
      <c r="AD56" s="70">
        <f t="shared" si="9"/>
        <v>87.8</v>
      </c>
      <c r="AE56" s="70">
        <f t="shared" si="9"/>
        <v>32.799999999999997</v>
      </c>
      <c r="AF56" s="70">
        <f t="shared" si="9"/>
        <v>22.1</v>
      </c>
      <c r="AG56" s="74">
        <f>SUM(AG53:AG55)</f>
        <v>106</v>
      </c>
      <c r="AH56" s="55">
        <f t="shared" si="2"/>
        <v>101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44</v>
      </c>
      <c r="C57" s="51">
        <v>38.5</v>
      </c>
      <c r="D57" s="51">
        <v>48.3</v>
      </c>
      <c r="E57" s="51">
        <v>39.6</v>
      </c>
      <c r="F57" s="51">
        <v>39.200000000000003</v>
      </c>
      <c r="G57" s="51">
        <v>38.700000000000003</v>
      </c>
      <c r="H57" s="51">
        <v>33.6</v>
      </c>
      <c r="I57" s="51"/>
      <c r="J57" s="51">
        <v>61</v>
      </c>
      <c r="K57" s="51">
        <v>64.400000000000006</v>
      </c>
      <c r="L57" s="51">
        <v>50</v>
      </c>
      <c r="M57" s="51">
        <v>54.4</v>
      </c>
      <c r="N57" s="51">
        <v>61.6</v>
      </c>
      <c r="O57" s="51">
        <v>56.8</v>
      </c>
      <c r="P57" s="51">
        <v>70.8</v>
      </c>
      <c r="Q57" s="51">
        <v>62.5</v>
      </c>
      <c r="R57" s="51">
        <v>70.900000000000006</v>
      </c>
      <c r="S57" s="51">
        <v>77</v>
      </c>
      <c r="T57" s="51">
        <v>41</v>
      </c>
      <c r="U57" s="51">
        <v>41</v>
      </c>
      <c r="V57" s="51">
        <v>36</v>
      </c>
      <c r="W57" s="51">
        <v>33.700000000000003</v>
      </c>
      <c r="X57" s="51">
        <v>33</v>
      </c>
      <c r="Y57" s="51">
        <v>33</v>
      </c>
      <c r="Z57" s="51"/>
      <c r="AA57" s="51">
        <v>60</v>
      </c>
      <c r="AB57" s="51">
        <v>70.400000000000006</v>
      </c>
      <c r="AC57" s="51">
        <v>77</v>
      </c>
      <c r="AD57" s="51">
        <v>74</v>
      </c>
      <c r="AE57" s="51">
        <v>73.7</v>
      </c>
      <c r="AF57" s="51">
        <v>46</v>
      </c>
      <c r="AG57" s="60"/>
      <c r="AH57" s="55">
        <f t="shared" si="2"/>
        <v>77</v>
      </c>
      <c r="AI57" s="56">
        <f t="shared" si="3"/>
        <v>33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/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/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-369</v>
      </c>
      <c r="C59" s="49">
        <v>-368</v>
      </c>
      <c r="D59" s="49">
        <v>-324.2</v>
      </c>
      <c r="E59" s="49">
        <v>-285</v>
      </c>
      <c r="F59" s="49">
        <v>-291</v>
      </c>
      <c r="G59" s="49">
        <v>-361</v>
      </c>
      <c r="H59" s="49">
        <v>-390</v>
      </c>
      <c r="I59" s="49"/>
      <c r="J59" s="49">
        <v>-350</v>
      </c>
      <c r="K59" s="49">
        <v>-375</v>
      </c>
      <c r="L59" s="49">
        <v>-291</v>
      </c>
      <c r="M59" s="49">
        <v>-289.60000000000002</v>
      </c>
      <c r="N59" s="49">
        <v>-315</v>
      </c>
      <c r="O59" s="49">
        <v>-257.60000000000002</v>
      </c>
      <c r="P59" s="49">
        <v>-278.89999999999998</v>
      </c>
      <c r="Q59" s="49">
        <v>-293.3</v>
      </c>
      <c r="R59" s="49">
        <v>-301.60000000000002</v>
      </c>
      <c r="S59" s="49">
        <v>-355</v>
      </c>
      <c r="T59" s="49">
        <v>-301</v>
      </c>
      <c r="U59" s="49">
        <v>-278</v>
      </c>
      <c r="V59" s="49">
        <v>-343</v>
      </c>
      <c r="W59" s="49">
        <v>-302.89999999999998</v>
      </c>
      <c r="X59" s="49">
        <v>-250</v>
      </c>
      <c r="Y59" s="49">
        <v>-266</v>
      </c>
      <c r="Z59" s="49"/>
      <c r="AA59" s="49">
        <v>-249.7</v>
      </c>
      <c r="AB59" s="49">
        <v>-224</v>
      </c>
      <c r="AC59" s="49">
        <v>-265</v>
      </c>
      <c r="AD59" s="49">
        <v>-315</v>
      </c>
      <c r="AE59" s="49">
        <v>-328</v>
      </c>
      <c r="AF59" s="49">
        <v>-363.2</v>
      </c>
      <c r="AG59" s="77"/>
      <c r="AH59" s="55">
        <f t="shared" si="2"/>
        <v>-224</v>
      </c>
      <c r="AI59" s="56">
        <f t="shared" si="3"/>
        <v>-390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/>
      <c r="J60" s="78">
        <v>10</v>
      </c>
      <c r="K60" s="78">
        <v>10</v>
      </c>
      <c r="L60" s="78">
        <v>10</v>
      </c>
      <c r="M60" s="78">
        <v>25</v>
      </c>
      <c r="N60" s="78">
        <v>30</v>
      </c>
      <c r="O60" s="78">
        <v>32</v>
      </c>
      <c r="P60" s="78">
        <v>32</v>
      </c>
      <c r="Q60" s="78">
        <v>28</v>
      </c>
      <c r="R60" s="78">
        <v>35</v>
      </c>
      <c r="S60" s="78">
        <v>30</v>
      </c>
      <c r="T60" s="78">
        <v>25</v>
      </c>
      <c r="U60" s="78">
        <v>26</v>
      </c>
      <c r="V60" s="78">
        <v>19.8</v>
      </c>
      <c r="W60" s="78">
        <v>0</v>
      </c>
      <c r="X60" s="78">
        <v>0</v>
      </c>
      <c r="Y60" s="78">
        <v>0</v>
      </c>
      <c r="Z60" s="78"/>
      <c r="AA60" s="78">
        <v>19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35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/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/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/>
      <c r="J62" s="79">
        <v>5</v>
      </c>
      <c r="K62" s="79">
        <v>5</v>
      </c>
      <c r="L62" s="79">
        <v>5</v>
      </c>
      <c r="M62" s="79">
        <v>10</v>
      </c>
      <c r="N62" s="79">
        <v>10</v>
      </c>
      <c r="O62" s="79">
        <v>10</v>
      </c>
      <c r="P62" s="79">
        <v>10</v>
      </c>
      <c r="Q62" s="79">
        <v>10</v>
      </c>
      <c r="R62" s="79">
        <v>10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/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0</v>
      </c>
      <c r="AG62" s="77"/>
      <c r="AH62" s="55">
        <f t="shared" si="2"/>
        <v>10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/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/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/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/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/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/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/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/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/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/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49</v>
      </c>
      <c r="C68" s="70">
        <f t="shared" ref="C68:AF68" si="10">SUMIF(C57:C67,"&gt;0")</f>
        <v>43.5</v>
      </c>
      <c r="D68" s="70">
        <f t="shared" si="10"/>
        <v>53.3</v>
      </c>
      <c r="E68" s="70">
        <f t="shared" si="10"/>
        <v>44.6</v>
      </c>
      <c r="F68" s="70">
        <f t="shared" si="10"/>
        <v>44.2</v>
      </c>
      <c r="G68" s="70">
        <f t="shared" si="10"/>
        <v>43.7</v>
      </c>
      <c r="H68" s="70">
        <f t="shared" si="10"/>
        <v>38.6</v>
      </c>
      <c r="I68" s="70">
        <f t="shared" si="10"/>
        <v>0</v>
      </c>
      <c r="J68" s="70">
        <f t="shared" si="10"/>
        <v>76</v>
      </c>
      <c r="K68" s="70">
        <f t="shared" si="10"/>
        <v>79.400000000000006</v>
      </c>
      <c r="L68" s="70">
        <f t="shared" si="10"/>
        <v>65</v>
      </c>
      <c r="M68" s="70">
        <f t="shared" si="10"/>
        <v>89.4</v>
      </c>
      <c r="N68" s="70">
        <f t="shared" si="10"/>
        <v>101.6</v>
      </c>
      <c r="O68" s="70">
        <f t="shared" si="10"/>
        <v>98.8</v>
      </c>
      <c r="P68" s="70">
        <f t="shared" si="10"/>
        <v>112.8</v>
      </c>
      <c r="Q68" s="70">
        <f t="shared" si="10"/>
        <v>100.5</v>
      </c>
      <c r="R68" s="70">
        <f t="shared" si="10"/>
        <v>115.9</v>
      </c>
      <c r="S68" s="70">
        <f t="shared" si="10"/>
        <v>112</v>
      </c>
      <c r="T68" s="70">
        <f t="shared" si="10"/>
        <v>71</v>
      </c>
      <c r="U68" s="70">
        <f t="shared" si="10"/>
        <v>72</v>
      </c>
      <c r="V68" s="70">
        <f t="shared" si="10"/>
        <v>60.8</v>
      </c>
      <c r="W68" s="70">
        <f t="shared" si="10"/>
        <v>38.700000000000003</v>
      </c>
      <c r="X68" s="70">
        <f t="shared" si="10"/>
        <v>38</v>
      </c>
      <c r="Y68" s="70">
        <f t="shared" si="10"/>
        <v>38</v>
      </c>
      <c r="Z68" s="70">
        <f t="shared" si="10"/>
        <v>0</v>
      </c>
      <c r="AA68" s="70">
        <f t="shared" si="10"/>
        <v>84</v>
      </c>
      <c r="AB68" s="70">
        <f t="shared" si="10"/>
        <v>75.400000000000006</v>
      </c>
      <c r="AC68" s="70">
        <f t="shared" si="10"/>
        <v>82</v>
      </c>
      <c r="AD68" s="70">
        <f t="shared" si="10"/>
        <v>79</v>
      </c>
      <c r="AE68" s="70">
        <f t="shared" si="10"/>
        <v>78.7</v>
      </c>
      <c r="AF68" s="70">
        <f t="shared" si="10"/>
        <v>46</v>
      </c>
      <c r="AG68" s="74">
        <f>SUM(AG57:AG67)</f>
        <v>0</v>
      </c>
      <c r="AH68" s="55">
        <f t="shared" si="2"/>
        <v>115.9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1749.14</v>
      </c>
      <c r="C73" s="84">
        <f t="shared" ref="C73:AF73" si="11">C38+C52+C68+C72</f>
        <v>1738.3400000000001</v>
      </c>
      <c r="D73" s="84">
        <f t="shared" si="11"/>
        <v>1722.5400000000002</v>
      </c>
      <c r="E73" s="84">
        <f t="shared" si="11"/>
        <v>1625.74</v>
      </c>
      <c r="F73" s="84">
        <f t="shared" si="11"/>
        <v>1633.7400000000002</v>
      </c>
      <c r="G73" s="84">
        <f t="shared" si="11"/>
        <v>1716.5400000000002</v>
      </c>
      <c r="H73" s="84">
        <f t="shared" si="11"/>
        <v>1681.1399999999999</v>
      </c>
      <c r="I73" s="84">
        <f t="shared" si="11"/>
        <v>3.54</v>
      </c>
      <c r="J73" s="84">
        <f t="shared" si="11"/>
        <v>1560.1399999999999</v>
      </c>
      <c r="K73" s="84">
        <f t="shared" si="11"/>
        <v>1730.54</v>
      </c>
      <c r="L73" s="84">
        <f t="shared" si="11"/>
        <v>1696.04</v>
      </c>
      <c r="M73" s="84">
        <f t="shared" si="11"/>
        <v>1729.8400000000001</v>
      </c>
      <c r="N73" s="84">
        <f t="shared" si="11"/>
        <v>1718.1399999999996</v>
      </c>
      <c r="O73" s="84">
        <f t="shared" si="11"/>
        <v>1669.6399999999996</v>
      </c>
      <c r="P73" s="84">
        <f t="shared" si="11"/>
        <v>1743.34</v>
      </c>
      <c r="Q73" s="84">
        <f t="shared" si="11"/>
        <v>1717.14</v>
      </c>
      <c r="R73" s="84">
        <f t="shared" si="11"/>
        <v>1739.5400000000002</v>
      </c>
      <c r="S73" s="84">
        <f t="shared" si="11"/>
        <v>1752.7400000000002</v>
      </c>
      <c r="T73" s="84">
        <f t="shared" si="11"/>
        <v>1760.04</v>
      </c>
      <c r="U73" s="84">
        <f t="shared" si="11"/>
        <v>1761.04</v>
      </c>
      <c r="V73" s="84">
        <f t="shared" si="11"/>
        <v>1744.84</v>
      </c>
      <c r="W73" s="84">
        <f t="shared" si="11"/>
        <v>1723.84</v>
      </c>
      <c r="X73" s="84">
        <f t="shared" si="11"/>
        <v>1627.54</v>
      </c>
      <c r="Y73" s="84">
        <f t="shared" si="11"/>
        <v>1727.3399999999997</v>
      </c>
      <c r="Z73" s="84">
        <f t="shared" si="11"/>
        <v>3.54</v>
      </c>
      <c r="AA73" s="84">
        <f t="shared" si="11"/>
        <v>1489.04</v>
      </c>
      <c r="AB73" s="84">
        <f t="shared" si="11"/>
        <v>1732.2399999999998</v>
      </c>
      <c r="AC73" s="84">
        <f t="shared" si="11"/>
        <v>1738.7399999999998</v>
      </c>
      <c r="AD73" s="84">
        <f t="shared" si="11"/>
        <v>1780.2399999999998</v>
      </c>
      <c r="AE73" s="84">
        <f t="shared" si="11"/>
        <v>1790.74</v>
      </c>
      <c r="AF73" s="84">
        <f t="shared" si="11"/>
        <v>1754.04</v>
      </c>
      <c r="AG73" s="84">
        <f t="shared" ref="AG73" si="12">AG68+AG56+AG52+AG38+AG72</f>
        <v>2144.14</v>
      </c>
      <c r="AH73" s="55">
        <f t="shared" si="2"/>
        <v>1790.74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>
        <v>15</v>
      </c>
      <c r="O74" s="86">
        <v>20</v>
      </c>
      <c r="P74" s="86">
        <v>25</v>
      </c>
      <c r="Q74" s="86">
        <v>30</v>
      </c>
      <c r="R74" s="86">
        <v>30</v>
      </c>
      <c r="S74" s="86"/>
      <c r="T74" s="86"/>
      <c r="U74" s="86"/>
      <c r="V74" s="86"/>
      <c r="W74" s="86"/>
      <c r="X74" s="86"/>
      <c r="Y74" s="86"/>
      <c r="Z74" s="86"/>
      <c r="AA74" s="86">
        <v>160</v>
      </c>
      <c r="AB74" s="86"/>
      <c r="AC74" s="86"/>
      <c r="AD74" s="86"/>
      <c r="AE74" s="86"/>
      <c r="AF74" s="86"/>
      <c r="AG74" s="74"/>
      <c r="AH74" s="55">
        <f t="shared" si="2"/>
        <v>160</v>
      </c>
      <c r="AI74" s="56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1749.14</v>
      </c>
      <c r="C75" s="84">
        <f t="shared" ref="C75:AF75" si="13">C73+C74</f>
        <v>1738.3400000000001</v>
      </c>
      <c r="D75" s="84">
        <f t="shared" si="13"/>
        <v>1722.5400000000002</v>
      </c>
      <c r="E75" s="84">
        <f t="shared" si="13"/>
        <v>1625.74</v>
      </c>
      <c r="F75" s="84">
        <f t="shared" si="13"/>
        <v>1633.7400000000002</v>
      </c>
      <c r="G75" s="84">
        <f t="shared" si="13"/>
        <v>1716.5400000000002</v>
      </c>
      <c r="H75" s="84">
        <f t="shared" si="13"/>
        <v>1681.1399999999999</v>
      </c>
      <c r="I75" s="84">
        <f t="shared" si="13"/>
        <v>3.54</v>
      </c>
      <c r="J75" s="84">
        <f t="shared" si="13"/>
        <v>1560.1399999999999</v>
      </c>
      <c r="K75" s="84">
        <f t="shared" si="13"/>
        <v>1730.54</v>
      </c>
      <c r="L75" s="84">
        <f t="shared" si="13"/>
        <v>1696.04</v>
      </c>
      <c r="M75" s="84">
        <f t="shared" si="13"/>
        <v>1729.8400000000001</v>
      </c>
      <c r="N75" s="84">
        <f t="shared" si="13"/>
        <v>1733.1399999999996</v>
      </c>
      <c r="O75" s="84">
        <f t="shared" si="13"/>
        <v>1689.6399999999996</v>
      </c>
      <c r="P75" s="84">
        <f t="shared" si="13"/>
        <v>1768.34</v>
      </c>
      <c r="Q75" s="84">
        <f t="shared" si="13"/>
        <v>1747.14</v>
      </c>
      <c r="R75" s="84">
        <f t="shared" si="13"/>
        <v>1769.5400000000002</v>
      </c>
      <c r="S75" s="84">
        <f t="shared" si="13"/>
        <v>1752.7400000000002</v>
      </c>
      <c r="T75" s="84">
        <f t="shared" si="13"/>
        <v>1760.04</v>
      </c>
      <c r="U75" s="84">
        <f t="shared" si="13"/>
        <v>1761.04</v>
      </c>
      <c r="V75" s="84">
        <f t="shared" si="13"/>
        <v>1744.84</v>
      </c>
      <c r="W75" s="84">
        <f t="shared" si="13"/>
        <v>1723.84</v>
      </c>
      <c r="X75" s="84">
        <f t="shared" si="13"/>
        <v>1627.54</v>
      </c>
      <c r="Y75" s="84">
        <f t="shared" si="13"/>
        <v>1727.3399999999997</v>
      </c>
      <c r="Z75" s="84">
        <f t="shared" si="13"/>
        <v>3.54</v>
      </c>
      <c r="AA75" s="84">
        <f t="shared" si="13"/>
        <v>1649.04</v>
      </c>
      <c r="AB75" s="84">
        <f t="shared" si="13"/>
        <v>1732.2399999999998</v>
      </c>
      <c r="AC75" s="84">
        <f t="shared" si="13"/>
        <v>1738.7399999999998</v>
      </c>
      <c r="AD75" s="84">
        <f t="shared" si="13"/>
        <v>1780.2399999999998</v>
      </c>
      <c r="AE75" s="84">
        <f t="shared" si="13"/>
        <v>1790.74</v>
      </c>
      <c r="AF75" s="84">
        <f t="shared" si="13"/>
        <v>1754.04</v>
      </c>
      <c r="AG75" s="74">
        <f>AG72+AG68+AG56+AG52+AG38+AG74</f>
        <v>2144.14</v>
      </c>
      <c r="AH75" s="55">
        <f t="shared" si="2"/>
        <v>1790.74</v>
      </c>
      <c r="AI75" s="56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369</v>
      </c>
      <c r="C79" s="78">
        <f t="shared" ref="C79:AF79" si="19">IF(C59&lt;0,C59*-1,0)</f>
        <v>368</v>
      </c>
      <c r="D79" s="78">
        <f t="shared" si="19"/>
        <v>324.2</v>
      </c>
      <c r="E79" s="78">
        <f t="shared" si="19"/>
        <v>285</v>
      </c>
      <c r="F79" s="78">
        <f t="shared" si="19"/>
        <v>291</v>
      </c>
      <c r="G79" s="78">
        <f t="shared" si="19"/>
        <v>361</v>
      </c>
      <c r="H79" s="78">
        <f t="shared" si="19"/>
        <v>390</v>
      </c>
      <c r="I79" s="78">
        <f t="shared" si="19"/>
        <v>0</v>
      </c>
      <c r="J79" s="78">
        <f t="shared" si="19"/>
        <v>350</v>
      </c>
      <c r="K79" s="78">
        <f t="shared" si="19"/>
        <v>375</v>
      </c>
      <c r="L79" s="78">
        <f t="shared" si="19"/>
        <v>291</v>
      </c>
      <c r="M79" s="78">
        <f t="shared" si="19"/>
        <v>289.60000000000002</v>
      </c>
      <c r="N79" s="78">
        <f t="shared" si="19"/>
        <v>315</v>
      </c>
      <c r="O79" s="78">
        <f t="shared" si="19"/>
        <v>257.60000000000002</v>
      </c>
      <c r="P79" s="78">
        <f t="shared" si="19"/>
        <v>278.89999999999998</v>
      </c>
      <c r="Q79" s="78">
        <f t="shared" si="19"/>
        <v>293.3</v>
      </c>
      <c r="R79" s="78">
        <f t="shared" si="19"/>
        <v>301.60000000000002</v>
      </c>
      <c r="S79" s="78">
        <f t="shared" si="19"/>
        <v>355</v>
      </c>
      <c r="T79" s="78">
        <f t="shared" si="19"/>
        <v>301</v>
      </c>
      <c r="U79" s="78">
        <f t="shared" si="19"/>
        <v>278</v>
      </c>
      <c r="V79" s="78">
        <f t="shared" si="19"/>
        <v>343</v>
      </c>
      <c r="W79" s="78">
        <f t="shared" si="19"/>
        <v>302.89999999999998</v>
      </c>
      <c r="X79" s="78">
        <f t="shared" si="19"/>
        <v>250</v>
      </c>
      <c r="Y79" s="78">
        <f t="shared" si="19"/>
        <v>266</v>
      </c>
      <c r="Z79" s="78">
        <f t="shared" si="19"/>
        <v>0</v>
      </c>
      <c r="AA79" s="78">
        <f t="shared" si="19"/>
        <v>249.7</v>
      </c>
      <c r="AB79" s="78">
        <f t="shared" si="19"/>
        <v>224</v>
      </c>
      <c r="AC79" s="78">
        <f t="shared" si="19"/>
        <v>265</v>
      </c>
      <c r="AD79" s="78">
        <f t="shared" si="19"/>
        <v>315</v>
      </c>
      <c r="AE79" s="78">
        <f t="shared" si="19"/>
        <v>328</v>
      </c>
      <c r="AF79" s="78">
        <f t="shared" si="19"/>
        <v>363.2</v>
      </c>
      <c r="AG79" s="87"/>
      <c r="AH79" s="55">
        <f t="shared" si="15"/>
        <v>390</v>
      </c>
      <c r="AI79" s="56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369</v>
      </c>
      <c r="C82" s="70">
        <f t="shared" ref="C82:AG82" si="21">SUM(C76:C81)</f>
        <v>368</v>
      </c>
      <c r="D82" s="70">
        <f t="shared" si="21"/>
        <v>324.2</v>
      </c>
      <c r="E82" s="70">
        <f t="shared" si="21"/>
        <v>285</v>
      </c>
      <c r="F82" s="70">
        <f t="shared" si="21"/>
        <v>291</v>
      </c>
      <c r="G82" s="70">
        <f t="shared" si="21"/>
        <v>361</v>
      </c>
      <c r="H82" s="70">
        <f t="shared" si="21"/>
        <v>390</v>
      </c>
      <c r="I82" s="70">
        <f t="shared" si="21"/>
        <v>0</v>
      </c>
      <c r="J82" s="70">
        <f t="shared" si="21"/>
        <v>350</v>
      </c>
      <c r="K82" s="70">
        <f t="shared" si="21"/>
        <v>375</v>
      </c>
      <c r="L82" s="70">
        <f t="shared" si="21"/>
        <v>291</v>
      </c>
      <c r="M82" s="70">
        <f t="shared" si="21"/>
        <v>289.60000000000002</v>
      </c>
      <c r="N82" s="70">
        <f t="shared" si="21"/>
        <v>315</v>
      </c>
      <c r="O82" s="70">
        <f t="shared" si="21"/>
        <v>257.60000000000002</v>
      </c>
      <c r="P82" s="70">
        <f t="shared" si="21"/>
        <v>278.89999999999998</v>
      </c>
      <c r="Q82" s="70">
        <f t="shared" si="21"/>
        <v>293.3</v>
      </c>
      <c r="R82" s="70">
        <f t="shared" si="21"/>
        <v>301.60000000000002</v>
      </c>
      <c r="S82" s="70">
        <f t="shared" si="21"/>
        <v>355</v>
      </c>
      <c r="T82" s="70">
        <f t="shared" si="21"/>
        <v>301</v>
      </c>
      <c r="U82" s="70">
        <f t="shared" si="21"/>
        <v>278</v>
      </c>
      <c r="V82" s="70">
        <f t="shared" si="21"/>
        <v>343</v>
      </c>
      <c r="W82" s="70">
        <f t="shared" si="21"/>
        <v>302.89999999999998</v>
      </c>
      <c r="X82" s="70">
        <f t="shared" si="21"/>
        <v>250</v>
      </c>
      <c r="Y82" s="70">
        <f t="shared" si="21"/>
        <v>266</v>
      </c>
      <c r="Z82" s="70">
        <f t="shared" si="21"/>
        <v>0</v>
      </c>
      <c r="AA82" s="70">
        <f t="shared" si="21"/>
        <v>249.7</v>
      </c>
      <c r="AB82" s="70">
        <f t="shared" si="21"/>
        <v>224</v>
      </c>
      <c r="AC82" s="70">
        <f t="shared" si="21"/>
        <v>265</v>
      </c>
      <c r="AD82" s="70">
        <f t="shared" si="21"/>
        <v>315</v>
      </c>
      <c r="AE82" s="70">
        <f t="shared" si="21"/>
        <v>328</v>
      </c>
      <c r="AF82" s="70">
        <f t="shared" si="21"/>
        <v>363.2</v>
      </c>
      <c r="AG82" s="74">
        <f t="shared" si="21"/>
        <v>0</v>
      </c>
      <c r="AH82" s="55">
        <f t="shared" si="15"/>
        <v>390</v>
      </c>
      <c r="AI82" s="56">
        <f t="shared" si="16"/>
        <v>0</v>
      </c>
      <c r="AK82" s="57"/>
    </row>
    <row r="83" spans="1:88" s="1" customFormat="1" ht="15.75" thickBot="1" x14ac:dyDescent="0.3">
      <c r="A83" s="69" t="s">
        <v>88</v>
      </c>
      <c r="B83" s="70">
        <f>B68-B82</f>
        <v>-320</v>
      </c>
      <c r="C83" s="70">
        <f t="shared" ref="C83:AF83" si="22">C68-C82</f>
        <v>-324.5</v>
      </c>
      <c r="D83" s="70">
        <f t="shared" si="22"/>
        <v>-270.89999999999998</v>
      </c>
      <c r="E83" s="70">
        <f t="shared" si="22"/>
        <v>-240.4</v>
      </c>
      <c r="F83" s="70">
        <f t="shared" si="22"/>
        <v>-246.8</v>
      </c>
      <c r="G83" s="70">
        <f t="shared" si="22"/>
        <v>-317.3</v>
      </c>
      <c r="H83" s="70">
        <f t="shared" si="22"/>
        <v>-351.4</v>
      </c>
      <c r="I83" s="70">
        <f t="shared" si="22"/>
        <v>0</v>
      </c>
      <c r="J83" s="70">
        <f t="shared" si="22"/>
        <v>-274</v>
      </c>
      <c r="K83" s="70">
        <f t="shared" si="22"/>
        <v>-295.60000000000002</v>
      </c>
      <c r="L83" s="70">
        <f t="shared" si="22"/>
        <v>-226</v>
      </c>
      <c r="M83" s="70">
        <f t="shared" si="22"/>
        <v>-200.20000000000002</v>
      </c>
      <c r="N83" s="70">
        <f t="shared" si="22"/>
        <v>-213.4</v>
      </c>
      <c r="O83" s="70">
        <f t="shared" si="22"/>
        <v>-158.80000000000001</v>
      </c>
      <c r="P83" s="70">
        <f t="shared" si="22"/>
        <v>-166.09999999999997</v>
      </c>
      <c r="Q83" s="70">
        <f t="shared" si="22"/>
        <v>-192.8</v>
      </c>
      <c r="R83" s="70">
        <f t="shared" si="22"/>
        <v>-185.70000000000002</v>
      </c>
      <c r="S83" s="70">
        <f t="shared" si="22"/>
        <v>-243</v>
      </c>
      <c r="T83" s="70">
        <f t="shared" si="22"/>
        <v>-230</v>
      </c>
      <c r="U83" s="70">
        <f t="shared" si="22"/>
        <v>-206</v>
      </c>
      <c r="V83" s="70">
        <f t="shared" si="22"/>
        <v>-282.2</v>
      </c>
      <c r="W83" s="70">
        <f t="shared" si="22"/>
        <v>-264.2</v>
      </c>
      <c r="X83" s="70">
        <f t="shared" si="22"/>
        <v>-212</v>
      </c>
      <c r="Y83" s="70">
        <f t="shared" si="22"/>
        <v>-228</v>
      </c>
      <c r="Z83" s="70">
        <f t="shared" si="22"/>
        <v>0</v>
      </c>
      <c r="AA83" s="70">
        <f t="shared" si="22"/>
        <v>-165.7</v>
      </c>
      <c r="AB83" s="70">
        <f t="shared" si="22"/>
        <v>-148.6</v>
      </c>
      <c r="AC83" s="70">
        <f t="shared" si="22"/>
        <v>-183</v>
      </c>
      <c r="AD83" s="70">
        <f t="shared" si="22"/>
        <v>-236</v>
      </c>
      <c r="AE83" s="70">
        <f t="shared" si="22"/>
        <v>-249.3</v>
      </c>
      <c r="AF83" s="70">
        <f t="shared" si="22"/>
        <v>-317.2</v>
      </c>
      <c r="AG83" s="74">
        <f t="shared" ref="AG83" si="23">SUM(AG70:AG82)</f>
        <v>4360.08</v>
      </c>
      <c r="AH83" s="55">
        <f t="shared" si="15"/>
        <v>0</v>
      </c>
      <c r="AI83" s="56">
        <f t="shared" si="16"/>
        <v>-351.4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49.997999999999998</v>
      </c>
      <c r="C84" s="90">
        <v>49.921999999999997</v>
      </c>
      <c r="D84" s="90">
        <v>50.009</v>
      </c>
      <c r="E84" s="90">
        <v>50.05</v>
      </c>
      <c r="F84" s="90">
        <v>50.011000000000003</v>
      </c>
      <c r="G84" s="90">
        <v>50</v>
      </c>
      <c r="H84" s="90">
        <v>50.037999999999997</v>
      </c>
      <c r="I84" s="90"/>
      <c r="J84" s="90">
        <v>50.04</v>
      </c>
      <c r="K84" s="90">
        <v>50.04</v>
      </c>
      <c r="L84" s="90">
        <v>50.033000000000001</v>
      </c>
      <c r="M84" s="90">
        <v>49.991</v>
      </c>
      <c r="N84" s="90">
        <v>50.02</v>
      </c>
      <c r="O84" s="90">
        <v>50.040999999999997</v>
      </c>
      <c r="P84" s="90">
        <v>50.037999999999997</v>
      </c>
      <c r="Q84" s="90">
        <v>50.036999999999999</v>
      </c>
      <c r="R84" s="90">
        <v>49.816000000000003</v>
      </c>
      <c r="S84" s="90">
        <v>50.042999999999999</v>
      </c>
      <c r="T84" s="90">
        <v>50.030999999999999</v>
      </c>
      <c r="U84" s="90">
        <v>50.073</v>
      </c>
      <c r="V84" s="90">
        <v>49.996000000000002</v>
      </c>
      <c r="W84" s="90">
        <v>49.985999999999997</v>
      </c>
      <c r="X84" s="90">
        <v>49.893999999999998</v>
      </c>
      <c r="Y84" s="90">
        <v>49.893999999999998</v>
      </c>
      <c r="Z84" s="90"/>
      <c r="AA84" s="90">
        <v>49.95</v>
      </c>
      <c r="AB84" s="90">
        <v>49.89</v>
      </c>
      <c r="AC84" s="90">
        <v>49.99</v>
      </c>
      <c r="AD84" s="90">
        <v>49.94</v>
      </c>
      <c r="AE84" s="90">
        <v>49.9</v>
      </c>
      <c r="AF84" s="90">
        <v>50</v>
      </c>
      <c r="AG84" s="91"/>
      <c r="AH84" s="55">
        <f t="shared" si="15"/>
        <v>50.073</v>
      </c>
      <c r="AI84" s="56">
        <f t="shared" si="16"/>
        <v>49.816000000000003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121.9</v>
      </c>
      <c r="C85" s="49">
        <v>122.4</v>
      </c>
      <c r="D85" s="49">
        <v>122</v>
      </c>
      <c r="E85" s="49">
        <v>123.2</v>
      </c>
      <c r="F85" s="49">
        <v>120.7</v>
      </c>
      <c r="G85" s="49">
        <v>123.4</v>
      </c>
      <c r="H85" s="49">
        <v>124.2</v>
      </c>
      <c r="I85" s="49"/>
      <c r="J85" s="49">
        <v>122.8</v>
      </c>
      <c r="K85" s="49">
        <v>122.8</v>
      </c>
      <c r="L85" s="49">
        <v>121.5</v>
      </c>
      <c r="M85" s="49">
        <v>122.5</v>
      </c>
      <c r="N85" s="49">
        <v>121</v>
      </c>
      <c r="O85" s="49">
        <v>119.5</v>
      </c>
      <c r="P85" s="49">
        <v>120.1</v>
      </c>
      <c r="Q85" s="49">
        <v>120.5</v>
      </c>
      <c r="R85" s="49">
        <v>120</v>
      </c>
      <c r="S85" s="49">
        <v>120</v>
      </c>
      <c r="T85" s="49">
        <v>119</v>
      </c>
      <c r="U85" s="49">
        <v>120</v>
      </c>
      <c r="V85" s="49">
        <v>121</v>
      </c>
      <c r="W85" s="49">
        <v>121.1</v>
      </c>
      <c r="X85" s="49">
        <v>121.1</v>
      </c>
      <c r="Y85" s="49">
        <v>121.1</v>
      </c>
      <c r="Z85" s="49"/>
      <c r="AA85" s="49">
        <v>121</v>
      </c>
      <c r="AB85" s="49">
        <v>125.2</v>
      </c>
      <c r="AC85" s="49">
        <v>124.8</v>
      </c>
      <c r="AD85" s="49">
        <v>124.9</v>
      </c>
      <c r="AE85" s="49">
        <v>124.7</v>
      </c>
      <c r="AF85" s="49">
        <v>122.9</v>
      </c>
      <c r="AG85" s="93"/>
      <c r="AH85" s="55">
        <f t="shared" si="15"/>
        <v>125.2</v>
      </c>
      <c r="AI85" s="56">
        <f t="shared" si="16"/>
        <v>119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127.7</v>
      </c>
      <c r="C86" s="49">
        <v>127.8</v>
      </c>
      <c r="D86" s="49">
        <v>127.6</v>
      </c>
      <c r="E86" s="49">
        <v>128.30000000000001</v>
      </c>
      <c r="F86" s="49">
        <v>126.5</v>
      </c>
      <c r="G86" s="49">
        <v>128</v>
      </c>
      <c r="H86" s="49">
        <v>128.4</v>
      </c>
      <c r="I86" s="49"/>
      <c r="J86" s="49">
        <v>127.2</v>
      </c>
      <c r="K86" s="49">
        <v>127.2</v>
      </c>
      <c r="L86" s="49">
        <v>126.4</v>
      </c>
      <c r="M86" s="49">
        <v>126.2</v>
      </c>
      <c r="N86" s="49">
        <v>125.8</v>
      </c>
      <c r="O86" s="49">
        <v>124.5</v>
      </c>
      <c r="P86" s="49">
        <v>124.6</v>
      </c>
      <c r="Q86" s="49">
        <v>125.4</v>
      </c>
      <c r="R86" s="49">
        <v>124.9</v>
      </c>
      <c r="S86" s="49">
        <v>124.9</v>
      </c>
      <c r="T86" s="49">
        <v>124</v>
      </c>
      <c r="U86" s="49">
        <v>124</v>
      </c>
      <c r="V86" s="49">
        <v>126</v>
      </c>
      <c r="W86" s="49">
        <v>125.8</v>
      </c>
      <c r="X86" s="49">
        <v>125.8</v>
      </c>
      <c r="Y86" s="49">
        <v>125.8</v>
      </c>
      <c r="Z86" s="49"/>
      <c r="AA86" s="49">
        <v>126</v>
      </c>
      <c r="AB86" s="49">
        <v>129.4</v>
      </c>
      <c r="AC86" s="49">
        <v>129.30000000000001</v>
      </c>
      <c r="AD86" s="49">
        <v>129.4</v>
      </c>
      <c r="AE86" s="49">
        <v>129.30000000000001</v>
      </c>
      <c r="AF86" s="49">
        <v>128.30000000000001</v>
      </c>
      <c r="AG86" s="93"/>
      <c r="AH86" s="55">
        <f t="shared" si="15"/>
        <v>129.4</v>
      </c>
      <c r="AI86" s="56">
        <f t="shared" si="16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123.6</v>
      </c>
      <c r="C87" s="49">
        <v>126.3</v>
      </c>
      <c r="D87" s="49">
        <v>125.2</v>
      </c>
      <c r="E87" s="49">
        <v>126.1</v>
      </c>
      <c r="F87" s="49">
        <v>125.3</v>
      </c>
      <c r="G87" s="49">
        <v>128.30000000000001</v>
      </c>
      <c r="H87" s="49">
        <v>129.80000000000001</v>
      </c>
      <c r="I87" s="49"/>
      <c r="J87" s="49">
        <v>128</v>
      </c>
      <c r="K87" s="49">
        <v>128</v>
      </c>
      <c r="L87" s="49">
        <v>125.3</v>
      </c>
      <c r="M87" s="49">
        <v>127.7</v>
      </c>
      <c r="N87" s="49">
        <v>122.2</v>
      </c>
      <c r="O87" s="49">
        <v>122.3</v>
      </c>
      <c r="P87" s="49">
        <v>126.1</v>
      </c>
      <c r="Q87" s="49">
        <v>126</v>
      </c>
      <c r="R87" s="49">
        <v>126.8</v>
      </c>
      <c r="S87" s="49">
        <v>126.8</v>
      </c>
      <c r="T87" s="49">
        <v>130</v>
      </c>
      <c r="U87" s="49">
        <v>130</v>
      </c>
      <c r="V87" s="49">
        <v>128</v>
      </c>
      <c r="W87" s="49">
        <v>127.6</v>
      </c>
      <c r="X87" s="49">
        <v>127.6</v>
      </c>
      <c r="Y87" s="49">
        <v>127.6</v>
      </c>
      <c r="Z87" s="49"/>
      <c r="AA87" s="49">
        <v>127.6</v>
      </c>
      <c r="AB87" s="49">
        <v>125</v>
      </c>
      <c r="AC87" s="49">
        <v>125.1</v>
      </c>
      <c r="AD87" s="49">
        <v>125</v>
      </c>
      <c r="AE87" s="49">
        <v>124.1</v>
      </c>
      <c r="AF87" s="49">
        <v>125.6</v>
      </c>
      <c r="AG87" s="93"/>
      <c r="AH87" s="55">
        <f t="shared" si="15"/>
        <v>130</v>
      </c>
      <c r="AI87" s="56">
        <f t="shared" si="16"/>
        <v>122.2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5"/>
        <v>0</v>
      </c>
      <c r="AI88" s="56">
        <f t="shared" si="16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131.30000000000001</v>
      </c>
      <c r="C89" s="95">
        <v>130.6</v>
      </c>
      <c r="D89" s="95">
        <v>134.6</v>
      </c>
      <c r="E89" s="95">
        <v>129.9</v>
      </c>
      <c r="F89" s="95">
        <v>128.4</v>
      </c>
      <c r="G89" s="95">
        <v>133.1</v>
      </c>
      <c r="H89" s="95">
        <v>130.9</v>
      </c>
      <c r="I89" s="95"/>
      <c r="J89" s="95">
        <v>133.5</v>
      </c>
      <c r="K89" s="95">
        <v>133.5</v>
      </c>
      <c r="L89" s="95">
        <v>134.1</v>
      </c>
      <c r="M89" s="95">
        <v>133.6</v>
      </c>
      <c r="N89" s="95">
        <v>133.30000000000001</v>
      </c>
      <c r="O89" s="95">
        <v>132.69999999999999</v>
      </c>
      <c r="P89" s="95">
        <v>136.80000000000001</v>
      </c>
      <c r="Q89" s="95">
        <v>135.30000000000001</v>
      </c>
      <c r="R89" s="95">
        <v>134.80000000000001</v>
      </c>
      <c r="S89" s="95">
        <v>134.80000000000001</v>
      </c>
      <c r="T89" s="95">
        <v>130</v>
      </c>
      <c r="U89" s="95">
        <v>130</v>
      </c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6"/>
      <c r="AH89" s="55">
        <f t="shared" si="15"/>
        <v>136.80000000000001</v>
      </c>
      <c r="AI89" s="56">
        <f t="shared" si="16"/>
        <v>128.4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/>
      <c r="C90" s="49"/>
      <c r="D90" s="49"/>
      <c r="E90" s="49">
        <v>117</v>
      </c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93"/>
      <c r="AH90" s="55">
        <f t="shared" si="15"/>
        <v>117</v>
      </c>
      <c r="AI90" s="56">
        <f t="shared" si="16"/>
        <v>117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64.599999999999994</v>
      </c>
      <c r="C91" s="97">
        <v>64.7</v>
      </c>
      <c r="D91" s="97">
        <v>64.8</v>
      </c>
      <c r="E91" s="97">
        <v>64.8</v>
      </c>
      <c r="F91" s="97">
        <v>64.099999999999994</v>
      </c>
      <c r="G91" s="97">
        <v>64.7</v>
      </c>
      <c r="H91" s="97">
        <v>64.8</v>
      </c>
      <c r="I91" s="97"/>
      <c r="J91" s="97">
        <v>64.7</v>
      </c>
      <c r="K91" s="97">
        <v>64.7</v>
      </c>
      <c r="L91" s="97">
        <v>64.099999999999994</v>
      </c>
      <c r="M91" s="97">
        <v>63.8</v>
      </c>
      <c r="N91" s="97">
        <v>63.3</v>
      </c>
      <c r="O91" s="97">
        <v>62.7</v>
      </c>
      <c r="P91" s="97">
        <v>62.7</v>
      </c>
      <c r="Q91" s="97">
        <v>63.1</v>
      </c>
      <c r="R91" s="97">
        <v>63</v>
      </c>
      <c r="S91" s="97">
        <v>63</v>
      </c>
      <c r="T91" s="97">
        <v>62.2</v>
      </c>
      <c r="U91" s="97">
        <v>63.1</v>
      </c>
      <c r="V91" s="97">
        <v>63.3</v>
      </c>
      <c r="W91" s="97">
        <v>63.5</v>
      </c>
      <c r="X91" s="97">
        <v>64.8</v>
      </c>
      <c r="Y91" s="97">
        <v>64.8</v>
      </c>
      <c r="Z91" s="97"/>
      <c r="AA91" s="97">
        <v>65</v>
      </c>
      <c r="AB91" s="97">
        <v>65.5</v>
      </c>
      <c r="AC91" s="97">
        <v>65.5</v>
      </c>
      <c r="AD91" s="97">
        <v>65.7</v>
      </c>
      <c r="AE91" s="97">
        <v>65.599999999999994</v>
      </c>
      <c r="AF91" s="97">
        <v>65.099999999999994</v>
      </c>
      <c r="AG91" s="98"/>
      <c r="AH91" s="55">
        <f t="shared" si="15"/>
        <v>65.7</v>
      </c>
      <c r="AI91" s="56">
        <f t="shared" si="16"/>
        <v>62.2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SUM(B15,B18,B21:B22,B42,B44:B45,B47,B49,B94:B97,B103,B109,B115,B124,B126,B138,B145,B148:B149,B156,B158,B160,B164:B166,B168:B170,B175,B181:B182,B184:B186,B194,B199)</f>
        <v>116.64</v>
      </c>
      <c r="C93" s="103">
        <f t="shared" si="24"/>
        <v>100.43999999999998</v>
      </c>
      <c r="D93" s="103">
        <f t="shared" si="24"/>
        <v>84.24</v>
      </c>
      <c r="E93" s="103">
        <f t="shared" si="24"/>
        <v>98.939999999999984</v>
      </c>
      <c r="F93" s="103">
        <f t="shared" si="24"/>
        <v>92.54</v>
      </c>
      <c r="G93" s="103">
        <f t="shared" si="24"/>
        <v>98.54</v>
      </c>
      <c r="H93" s="103">
        <f t="shared" si="24"/>
        <v>130.63999999999999</v>
      </c>
      <c r="I93" s="103">
        <f t="shared" si="24"/>
        <v>34.840000000000003</v>
      </c>
      <c r="J93" s="103">
        <f t="shared" si="24"/>
        <v>209.94</v>
      </c>
      <c r="K93" s="103">
        <f t="shared" si="24"/>
        <v>210.64</v>
      </c>
      <c r="L93" s="103">
        <f t="shared" si="24"/>
        <v>263.14</v>
      </c>
      <c r="M93" s="103">
        <f t="shared" si="24"/>
        <v>348.24</v>
      </c>
      <c r="N93" s="103">
        <f t="shared" si="24"/>
        <v>339.24</v>
      </c>
      <c r="O93" s="103">
        <f t="shared" si="24"/>
        <v>356.04</v>
      </c>
      <c r="P93" s="103">
        <f t="shared" si="24"/>
        <v>360.14000000000004</v>
      </c>
      <c r="Q93" s="103">
        <f t="shared" si="24"/>
        <v>356.14000000000004</v>
      </c>
      <c r="R93" s="103">
        <f t="shared" si="24"/>
        <v>354.54</v>
      </c>
      <c r="S93" s="103">
        <f t="shared" si="24"/>
        <v>346.14</v>
      </c>
      <c r="T93" s="103">
        <f t="shared" si="24"/>
        <v>337.14</v>
      </c>
      <c r="U93" s="103">
        <f t="shared" si="24"/>
        <v>241.63999999999996</v>
      </c>
      <c r="V93" s="103">
        <f t="shared" si="24"/>
        <v>339.53999999999996</v>
      </c>
      <c r="W93" s="103">
        <f t="shared" si="24"/>
        <v>338.54</v>
      </c>
      <c r="X93" s="103">
        <f t="shared" si="24"/>
        <v>220.43999999999997</v>
      </c>
      <c r="Y93" s="103">
        <f t="shared" si="24"/>
        <v>266.34000000000003</v>
      </c>
      <c r="Z93" s="103">
        <f t="shared" si="24"/>
        <v>34.840000000000003</v>
      </c>
      <c r="AA93" s="103">
        <f t="shared" si="24"/>
        <v>220.43999999999997</v>
      </c>
      <c r="AB93" s="103">
        <f t="shared" si="24"/>
        <v>218.83999999999997</v>
      </c>
      <c r="AC93" s="103">
        <f t="shared" si="24"/>
        <v>206.03999999999996</v>
      </c>
      <c r="AD93" s="103">
        <f t="shared" si="24"/>
        <v>174.63999999999996</v>
      </c>
      <c r="AE93" s="103">
        <f t="shared" si="24"/>
        <v>174.64</v>
      </c>
      <c r="AF93" s="103">
        <f t="shared" si="24"/>
        <v>109.83999999999999</v>
      </c>
      <c r="AG93" s="104"/>
      <c r="AH93" s="55">
        <f>MAX(C93:AF93)</f>
        <v>360.14000000000004</v>
      </c>
      <c r="AI93" s="56">
        <f>MIN(C93:AF93)</f>
        <v>34.840000000000003</v>
      </c>
    </row>
    <row r="94" spans="1:88" x14ac:dyDescent="0.25">
      <c r="A94" s="105" t="s">
        <v>98</v>
      </c>
      <c r="B94" s="106">
        <v>8.5</v>
      </c>
      <c r="C94" s="106">
        <v>13.4</v>
      </c>
      <c r="D94" s="106">
        <v>17.2</v>
      </c>
      <c r="E94" s="106">
        <v>14.2</v>
      </c>
      <c r="F94" s="106">
        <v>16.899999999999999</v>
      </c>
      <c r="G94" s="106">
        <v>17.100000000000001</v>
      </c>
      <c r="H94" s="106">
        <v>13.8</v>
      </c>
      <c r="I94" s="106"/>
      <c r="J94" s="106">
        <v>29.8</v>
      </c>
      <c r="K94" s="106">
        <v>30.8</v>
      </c>
      <c r="L94" s="106">
        <v>9.6999999999999993</v>
      </c>
      <c r="M94" s="106">
        <v>16.5</v>
      </c>
      <c r="N94" s="106">
        <v>36</v>
      </c>
      <c r="O94" s="106">
        <v>26.1</v>
      </c>
      <c r="P94" s="106">
        <v>25.9</v>
      </c>
      <c r="Q94" s="106">
        <v>32</v>
      </c>
      <c r="R94" s="106">
        <v>23.7</v>
      </c>
      <c r="S94" s="106">
        <v>29</v>
      </c>
      <c r="T94" s="106">
        <v>29</v>
      </c>
      <c r="U94" s="106">
        <v>27</v>
      </c>
      <c r="V94" s="106">
        <v>37</v>
      </c>
      <c r="W94" s="106">
        <v>26.3</v>
      </c>
      <c r="X94" s="106">
        <v>31</v>
      </c>
      <c r="Y94" s="106">
        <v>31</v>
      </c>
      <c r="Z94" s="106"/>
      <c r="AA94" s="106">
        <v>31</v>
      </c>
      <c r="AB94" s="106">
        <v>14.1</v>
      </c>
      <c r="AC94" s="106">
        <v>10.4</v>
      </c>
      <c r="AD94" s="106">
        <v>17.5</v>
      </c>
      <c r="AE94" s="106">
        <v>22.1</v>
      </c>
      <c r="AF94" s="106">
        <v>22.7</v>
      </c>
      <c r="AG94" s="107">
        <v>75</v>
      </c>
      <c r="AH94" s="55">
        <f t="shared" ref="AH94:AH100" si="25">IF(ABS(MAX(C94:AF94))&gt;ABS(MIN(C94:AF94)),MAX(C94:AF94),MIN(C94:AF94))</f>
        <v>37</v>
      </c>
      <c r="AI94" s="108">
        <f t="shared" ref="AI94:AI100" si="26">INDEX($C$9:$AF$9,1,MATCH(AH94,C94:AF94,0))</f>
        <v>0.70833333333333304</v>
      </c>
    </row>
    <row r="95" spans="1:88" x14ac:dyDescent="0.25">
      <c r="A95" s="109" t="s">
        <v>99</v>
      </c>
      <c r="B95" s="110">
        <f>-65-74</f>
        <v>-139</v>
      </c>
      <c r="C95" s="110">
        <f>-72-79</f>
        <v>-151</v>
      </c>
      <c r="D95" s="110">
        <v>-166.1</v>
      </c>
      <c r="E95" s="110">
        <f>-73.1-78.9</f>
        <v>-152</v>
      </c>
      <c r="F95" s="110">
        <f>-75.2-80.3</f>
        <v>-155.5</v>
      </c>
      <c r="G95" s="110">
        <f>-75.2-76</f>
        <v>-151.19999999999999</v>
      </c>
      <c r="H95" s="110">
        <f>-60.5-64.1</f>
        <v>-124.6</v>
      </c>
      <c r="I95" s="110"/>
      <c r="J95" s="110">
        <f>-49-69</f>
        <v>-118</v>
      </c>
      <c r="K95" s="110">
        <f>-49-69</f>
        <v>-118</v>
      </c>
      <c r="L95" s="110">
        <f>-44.3-47.8</f>
        <v>-92.1</v>
      </c>
      <c r="M95" s="110"/>
      <c r="N95" s="110"/>
      <c r="O95" s="110"/>
      <c r="P95" s="110"/>
      <c r="Q95" s="110"/>
      <c r="R95" s="110"/>
      <c r="S95" s="110"/>
      <c r="T95" s="110"/>
      <c r="U95" s="110">
        <v>-93</v>
      </c>
      <c r="V95" s="110"/>
      <c r="W95" s="110"/>
      <c r="X95" s="110">
        <v>-82</v>
      </c>
      <c r="Y95" s="110">
        <v>-82</v>
      </c>
      <c r="Z95" s="110"/>
      <c r="AA95" s="110">
        <v>-82</v>
      </c>
      <c r="AB95" s="110">
        <v>-122</v>
      </c>
      <c r="AC95" s="110">
        <f>-75.5-48.7</f>
        <v>-124.2</v>
      </c>
      <c r="AD95" s="110">
        <f>-88-56.4</f>
        <v>-144.4</v>
      </c>
      <c r="AE95" s="110">
        <f>-70.3-57.7</f>
        <v>-128</v>
      </c>
      <c r="AF95" s="110">
        <f>-73.9-72.3</f>
        <v>-146.19999999999999</v>
      </c>
      <c r="AG95" s="107">
        <v>240</v>
      </c>
      <c r="AH95" s="55">
        <f t="shared" si="25"/>
        <v>-166.1</v>
      </c>
      <c r="AI95" s="108">
        <f t="shared" si="26"/>
        <v>8.3333333333333301E-2</v>
      </c>
    </row>
    <row r="96" spans="1:88" x14ac:dyDescent="0.25">
      <c r="A96" s="109" t="s">
        <v>100</v>
      </c>
      <c r="B96" s="110">
        <v>9.1999999999999993</v>
      </c>
      <c r="C96" s="110">
        <v>0.6</v>
      </c>
      <c r="D96" s="110">
        <v>-4.3</v>
      </c>
      <c r="E96" s="110">
        <v>-0.7</v>
      </c>
      <c r="F96" s="110">
        <v>-6.3</v>
      </c>
      <c r="G96" s="110">
        <v>-4.8</v>
      </c>
      <c r="H96" s="110">
        <v>4</v>
      </c>
      <c r="I96" s="110"/>
      <c r="J96" s="110">
        <v>6.6</v>
      </c>
      <c r="K96" s="110">
        <v>6.6</v>
      </c>
      <c r="L96" s="110">
        <v>28.7</v>
      </c>
      <c r="M96" s="110">
        <v>18.100000000000001</v>
      </c>
      <c r="N96" s="110">
        <v>12.3</v>
      </c>
      <c r="O96" s="110">
        <v>28.1</v>
      </c>
      <c r="P96" s="110">
        <v>29.1</v>
      </c>
      <c r="Q96" s="110">
        <v>31.5</v>
      </c>
      <c r="R96" s="110">
        <v>36.4</v>
      </c>
      <c r="S96" s="110">
        <v>25</v>
      </c>
      <c r="T96" s="110">
        <v>3</v>
      </c>
      <c r="U96" s="110">
        <v>4.5</v>
      </c>
      <c r="V96" s="110">
        <v>10</v>
      </c>
      <c r="W96" s="110">
        <v>8.5</v>
      </c>
      <c r="X96" s="110">
        <v>30</v>
      </c>
      <c r="Y96" s="110">
        <v>30</v>
      </c>
      <c r="Z96" s="110"/>
      <c r="AA96" s="110">
        <v>30</v>
      </c>
      <c r="AB96" s="110">
        <v>33.5</v>
      </c>
      <c r="AC96" s="110">
        <v>36.4</v>
      </c>
      <c r="AD96" s="110">
        <v>27.1</v>
      </c>
      <c r="AE96" s="110">
        <v>8.1999999999999993</v>
      </c>
      <c r="AF96" s="110">
        <v>-4</v>
      </c>
      <c r="AG96" s="107">
        <v>60</v>
      </c>
      <c r="AH96" s="55">
        <f t="shared" si="25"/>
        <v>36.4</v>
      </c>
      <c r="AI96" s="108">
        <f t="shared" si="26"/>
        <v>0.54166666666666696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/>
      <c r="J97" s="112">
        <v>45.4</v>
      </c>
      <c r="K97" s="112">
        <v>45.4</v>
      </c>
      <c r="L97" s="112">
        <v>71</v>
      </c>
      <c r="M97" s="112">
        <v>68.2</v>
      </c>
      <c r="N97" s="112">
        <v>47.4</v>
      </c>
      <c r="O97" s="112">
        <v>57.2</v>
      </c>
      <c r="P97" s="112">
        <v>60.5</v>
      </c>
      <c r="Q97" s="112">
        <v>50.7</v>
      </c>
      <c r="R97" s="112">
        <v>50.3</v>
      </c>
      <c r="S97" s="112">
        <v>48</v>
      </c>
      <c r="T97" s="112">
        <v>61</v>
      </c>
      <c r="U97" s="112">
        <v>59</v>
      </c>
      <c r="V97" s="112">
        <v>48.4</v>
      </c>
      <c r="W97" s="112">
        <v>58.5</v>
      </c>
      <c r="X97" s="112">
        <v>42</v>
      </c>
      <c r="Y97" s="112">
        <v>42</v>
      </c>
      <c r="Z97" s="112"/>
      <c r="AA97" s="112">
        <v>42</v>
      </c>
      <c r="AB97" s="112">
        <v>55.9</v>
      </c>
      <c r="AC97" s="112">
        <v>46.1</v>
      </c>
      <c r="AD97" s="112">
        <v>37.1</v>
      </c>
      <c r="AE97" s="112">
        <v>35</v>
      </c>
      <c r="AF97" s="112">
        <v>0</v>
      </c>
      <c r="AG97" s="113">
        <v>120</v>
      </c>
      <c r="AH97" s="55">
        <f t="shared" si="25"/>
        <v>71</v>
      </c>
      <c r="AI97" s="108">
        <f t="shared" si="26"/>
        <v>0.3125</v>
      </c>
    </row>
    <row r="98" spans="1:37" x14ac:dyDescent="0.25">
      <c r="A98" s="111" t="s">
        <v>102</v>
      </c>
      <c r="B98" s="112">
        <v>40.299999999999997</v>
      </c>
      <c r="C98" s="112">
        <v>32.700000000000003</v>
      </c>
      <c r="D98" s="112">
        <v>27.9</v>
      </c>
      <c r="E98" s="112">
        <v>24</v>
      </c>
      <c r="F98" s="112">
        <v>37.799999999999997</v>
      </c>
      <c r="G98" s="112">
        <v>39</v>
      </c>
      <c r="H98" s="112">
        <v>43.9</v>
      </c>
      <c r="I98" s="112"/>
      <c r="J98" s="112">
        <v>53</v>
      </c>
      <c r="K98" s="112">
        <v>53</v>
      </c>
      <c r="L98" s="112">
        <v>67</v>
      </c>
      <c r="M98" s="112">
        <v>65.3</v>
      </c>
      <c r="N98" s="112">
        <v>57</v>
      </c>
      <c r="O98" s="112">
        <v>68.599999999999994</v>
      </c>
      <c r="P98" s="112">
        <v>73.099999999999994</v>
      </c>
      <c r="Q98" s="112">
        <v>66.2</v>
      </c>
      <c r="R98" s="112">
        <v>62.3</v>
      </c>
      <c r="S98" s="112">
        <v>58</v>
      </c>
      <c r="T98" s="112">
        <v>65</v>
      </c>
      <c r="U98" s="112">
        <v>62</v>
      </c>
      <c r="V98" s="112">
        <v>51</v>
      </c>
      <c r="W98" s="112">
        <v>62.1</v>
      </c>
      <c r="X98" s="112">
        <v>48</v>
      </c>
      <c r="Y98" s="112">
        <v>48</v>
      </c>
      <c r="Z98" s="112"/>
      <c r="AA98" s="112">
        <v>48</v>
      </c>
      <c r="AB98" s="112">
        <v>68</v>
      </c>
      <c r="AC98" s="112">
        <v>46.9</v>
      </c>
      <c r="AD98" s="112">
        <v>40.5</v>
      </c>
      <c r="AE98" s="112">
        <v>45</v>
      </c>
      <c r="AF98" s="112">
        <v>41.4</v>
      </c>
      <c r="AG98" s="113"/>
      <c r="AH98" s="55">
        <f t="shared" si="25"/>
        <v>73.099999999999994</v>
      </c>
      <c r="AI98" s="108">
        <f t="shared" si="26"/>
        <v>0.45833333333333298</v>
      </c>
    </row>
    <row r="99" spans="1:37" x14ac:dyDescent="0.25">
      <c r="A99" s="111" t="s">
        <v>253</v>
      </c>
      <c r="B99" s="112">
        <v>69.7</v>
      </c>
      <c r="C99" s="112">
        <v>54.5</v>
      </c>
      <c r="D99" s="112">
        <v>45.9</v>
      </c>
      <c r="E99" s="112">
        <v>53.5</v>
      </c>
      <c r="F99" s="112">
        <v>47</v>
      </c>
      <c r="G99" s="112">
        <v>44.5</v>
      </c>
      <c r="H99" s="112">
        <v>47.3</v>
      </c>
      <c r="I99" s="112"/>
      <c r="J99" s="112">
        <v>24.7</v>
      </c>
      <c r="K99" s="112">
        <v>24.7</v>
      </c>
      <c r="L99" s="112">
        <v>64</v>
      </c>
      <c r="M99" s="112">
        <v>67.400000000000006</v>
      </c>
      <c r="N99" s="112">
        <v>22.7</v>
      </c>
      <c r="O99" s="112">
        <v>46.7</v>
      </c>
      <c r="P99" s="112">
        <v>48.6</v>
      </c>
      <c r="Q99" s="112">
        <v>39.200000000000003</v>
      </c>
      <c r="R99" s="112">
        <v>65.599999999999994</v>
      </c>
      <c r="S99" s="112">
        <v>5.4</v>
      </c>
      <c r="T99" s="112">
        <v>-5</v>
      </c>
      <c r="U99" s="112">
        <v>5</v>
      </c>
      <c r="V99" s="112">
        <v>-6.3</v>
      </c>
      <c r="W99" s="112">
        <v>32.9</v>
      </c>
      <c r="X99" s="112">
        <v>30</v>
      </c>
      <c r="Y99" s="112">
        <v>30</v>
      </c>
      <c r="Z99" s="112"/>
      <c r="AA99" s="112">
        <v>30</v>
      </c>
      <c r="AB99" s="112">
        <v>46.1</v>
      </c>
      <c r="AC99" s="112">
        <v>41.2</v>
      </c>
      <c r="AD99" s="112">
        <v>53.6</v>
      </c>
      <c r="AE99" s="112">
        <v>37.6</v>
      </c>
      <c r="AF99" s="112">
        <v>30.4</v>
      </c>
      <c r="AG99" s="114"/>
      <c r="AH99" s="55">
        <f t="shared" si="25"/>
        <v>67.400000000000006</v>
      </c>
      <c r="AI99" s="108">
        <f t="shared" si="26"/>
        <v>0.33333333333333331</v>
      </c>
    </row>
    <row r="100" spans="1:37" ht="15.75" thickBot="1" x14ac:dyDescent="0.3">
      <c r="A100" s="115" t="s">
        <v>104</v>
      </c>
      <c r="B100" s="95">
        <v>33</v>
      </c>
      <c r="C100" s="95">
        <v>32</v>
      </c>
      <c r="D100" s="95">
        <v>29</v>
      </c>
      <c r="E100" s="95">
        <v>49.2</v>
      </c>
      <c r="F100" s="95">
        <v>34.299999999999997</v>
      </c>
      <c r="G100" s="95">
        <v>37.6</v>
      </c>
      <c r="H100" s="95">
        <v>12</v>
      </c>
      <c r="I100" s="95"/>
      <c r="J100" s="95">
        <v>20</v>
      </c>
      <c r="K100" s="95">
        <v>20</v>
      </c>
      <c r="L100" s="95">
        <v>21</v>
      </c>
      <c r="M100" s="95">
        <v>22.1</v>
      </c>
      <c r="N100" s="95">
        <v>21.2</v>
      </c>
      <c r="O100" s="95">
        <v>45.2</v>
      </c>
      <c r="P100" s="95">
        <v>25.9</v>
      </c>
      <c r="Q100" s="95">
        <v>23</v>
      </c>
      <c r="R100" s="95">
        <v>19.899999999999999</v>
      </c>
      <c r="S100" s="95">
        <v>20</v>
      </c>
      <c r="T100" s="95">
        <v>13</v>
      </c>
      <c r="U100" s="95">
        <v>33</v>
      </c>
      <c r="V100" s="95">
        <v>18</v>
      </c>
      <c r="W100" s="95">
        <v>26.2</v>
      </c>
      <c r="X100" s="95">
        <v>27</v>
      </c>
      <c r="Y100" s="95">
        <v>27</v>
      </c>
      <c r="Z100" s="95"/>
      <c r="AA100" s="95">
        <v>27</v>
      </c>
      <c r="AB100" s="95">
        <v>46.8</v>
      </c>
      <c r="AC100" s="95">
        <v>41</v>
      </c>
      <c r="AD100" s="95">
        <v>48.4</v>
      </c>
      <c r="AE100" s="95">
        <v>37.299999999999997</v>
      </c>
      <c r="AF100" s="95">
        <v>33.299999999999997</v>
      </c>
      <c r="AG100" s="114"/>
      <c r="AH100" s="55">
        <f t="shared" si="25"/>
        <v>49.2</v>
      </c>
      <c r="AI100" s="108">
        <f t="shared" si="26"/>
        <v>0.125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7">AF102</f>
        <v>9.9</v>
      </c>
      <c r="C102" s="54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130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3"/>
        <v>0.04</v>
      </c>
      <c r="C190" s="54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3"/>
        <v>2.3E-2</v>
      </c>
      <c r="C191" s="54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1733.1399999999996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22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2079/02/22)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2079/02/22)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3">B75</f>
        <v>1749.14</v>
      </c>
      <c r="U214" s="161">
        <f t="shared" si="63"/>
        <v>1738.3400000000001</v>
      </c>
      <c r="V214" s="161">
        <f t="shared" si="63"/>
        <v>1722.5400000000002</v>
      </c>
      <c r="W214" s="161">
        <f t="shared" si="63"/>
        <v>1625.74</v>
      </c>
      <c r="X214" s="161">
        <f t="shared" si="63"/>
        <v>1633.7400000000002</v>
      </c>
      <c r="Y214" s="161">
        <f t="shared" si="63"/>
        <v>1716.5400000000002</v>
      </c>
      <c r="Z214" s="161">
        <f t="shared" si="63"/>
        <v>1681.1399999999999</v>
      </c>
      <c r="AA214" s="161">
        <f t="shared" si="63"/>
        <v>3.54</v>
      </c>
      <c r="AB214" s="161">
        <f t="shared" si="63"/>
        <v>1560.1399999999999</v>
      </c>
      <c r="AC214" s="161">
        <f t="shared" si="63"/>
        <v>1730.54</v>
      </c>
      <c r="AD214" s="161">
        <f t="shared" si="63"/>
        <v>1696.04</v>
      </c>
      <c r="AE214" s="161">
        <f t="shared" si="63"/>
        <v>1729.8400000000001</v>
      </c>
      <c r="AF214" s="161">
        <f t="shared" si="63"/>
        <v>1733.1399999999996</v>
      </c>
      <c r="AG214" s="161">
        <f t="shared" si="63"/>
        <v>1689.6399999999996</v>
      </c>
      <c r="AH214" s="161">
        <f t="shared" si="63"/>
        <v>1768.34</v>
      </c>
      <c r="AI214" s="161">
        <f t="shared" si="63"/>
        <v>1747.14</v>
      </c>
      <c r="AJ214" s="161">
        <f t="shared" si="63"/>
        <v>1769.5400000000002</v>
      </c>
      <c r="AK214" s="161">
        <f t="shared" si="63"/>
        <v>1752.7400000000002</v>
      </c>
      <c r="AL214" s="161">
        <f t="shared" si="63"/>
        <v>1760.04</v>
      </c>
      <c r="AM214" s="161">
        <f t="shared" si="63"/>
        <v>1761.04</v>
      </c>
      <c r="AN214" s="161">
        <f t="shared" si="63"/>
        <v>1744.84</v>
      </c>
      <c r="AO214" s="161">
        <f t="shared" si="63"/>
        <v>1723.84</v>
      </c>
      <c r="AP214" s="161">
        <f t="shared" si="63"/>
        <v>1627.54</v>
      </c>
      <c r="AQ214" s="161">
        <f t="shared" si="63"/>
        <v>1727.3399999999997</v>
      </c>
      <c r="AR214" s="161">
        <f t="shared" si="63"/>
        <v>3.54</v>
      </c>
      <c r="AS214" s="161">
        <f t="shared" si="63"/>
        <v>1649.04</v>
      </c>
      <c r="AT214" s="161">
        <f t="shared" si="63"/>
        <v>1732.2399999999998</v>
      </c>
      <c r="AU214" s="161">
        <f t="shared" si="63"/>
        <v>1738.7399999999998</v>
      </c>
      <c r="AV214" s="161">
        <f t="shared" si="63"/>
        <v>1780.2399999999998</v>
      </c>
      <c r="AW214" s="161">
        <f t="shared" si="63"/>
        <v>1790.74</v>
      </c>
      <c r="AX214" s="161">
        <f t="shared" si="63"/>
        <v>1754.04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7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T11:AA11 C94:AF100">
    <cfRule type="expression" dxfId="2507" priority="343">
      <formula>B$9&gt;=20/24</formula>
    </cfRule>
    <cfRule type="expression" dxfId="2506" priority="344">
      <formula>AND(B$9&gt;=14/24,B$9&lt;20/24)</formula>
    </cfRule>
    <cfRule type="expression" dxfId="2505" priority="345">
      <formula>AND(B$9&gt;=8/24,B$9&lt;14/24)</formula>
    </cfRule>
    <cfRule type="expression" dxfId="2504" priority="346">
      <formula>B$9&lt;8/24</formula>
    </cfRule>
  </conditionalFormatting>
  <conditionalFormatting sqref="AL4:AL6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W37:AA37">
    <cfRule type="expression" dxfId="2503" priority="338">
      <formula>W$9&gt;=20/24</formula>
    </cfRule>
    <cfRule type="expression" dxfId="2502" priority="339">
      <formula>AND(W$9&gt;=14/24,W$9&lt;20/24)</formula>
    </cfRule>
    <cfRule type="expression" dxfId="2501" priority="340">
      <formula>AND(W$9&gt;=8/24,W$9&lt;14/24)</formula>
    </cfRule>
    <cfRule type="expression" dxfId="2500" priority="341">
      <formula>W$9&lt;8/24</formula>
    </cfRule>
  </conditionalFormatting>
  <conditionalFormatting sqref="AG51 J11 I16:J16 B12:H16 Z11:AA16 W37:AA37 T11:Y12 N16:Y16">
    <cfRule type="expression" dxfId="2499" priority="337">
      <formula>B11&gt;$AG11</formula>
    </cfRule>
  </conditionalFormatting>
  <conditionalFormatting sqref="A101:A157 A84:A97 A11:A14 A45:A72 A80:A82 A74:A78 A35:A43 A170:A200 A16:A32">
    <cfRule type="expression" dxfId="2498" priority="336">
      <formula>$AH11=0</formula>
    </cfRule>
  </conditionalFormatting>
  <conditionalFormatting sqref="A98">
    <cfRule type="expression" dxfId="2497" priority="335">
      <formula>$AH98=0</formula>
    </cfRule>
  </conditionalFormatting>
  <conditionalFormatting sqref="AL3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496" priority="333">
      <formula>$AH34=0</formula>
    </cfRule>
  </conditionalFormatting>
  <conditionalFormatting sqref="A83">
    <cfRule type="expression" dxfId="2495" priority="332">
      <formula>$AH83=0</formula>
    </cfRule>
  </conditionalFormatting>
  <conditionalFormatting sqref="A15">
    <cfRule type="expression" dxfId="2494" priority="331">
      <formula>$AH15=0</formula>
    </cfRule>
  </conditionalFormatting>
  <conditionalFormatting sqref="A164:A169">
    <cfRule type="expression" dxfId="2493" priority="330">
      <formula>$AH164=0</formula>
    </cfRule>
  </conditionalFormatting>
  <conditionalFormatting sqref="A158:A163">
    <cfRule type="expression" dxfId="2492" priority="329">
      <formula>$AH158=0</formula>
    </cfRule>
  </conditionalFormatting>
  <conditionalFormatting sqref="A44">
    <cfRule type="expression" dxfId="2491" priority="328">
      <formula>$AH44=0</formula>
    </cfRule>
  </conditionalFormatting>
  <conditionalFormatting sqref="A79">
    <cfRule type="expression" dxfId="2490" priority="327">
      <formula>$AH79=0</formula>
    </cfRule>
  </conditionalFormatting>
  <conditionalFormatting sqref="A73">
    <cfRule type="expression" dxfId="2489" priority="326">
      <formula>$AH73=0</formula>
    </cfRule>
  </conditionalFormatting>
  <conditionalFormatting sqref="AL34:AL35 AL7:AL31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488" priority="322">
      <formula>C$9&gt;=20/24</formula>
    </cfRule>
    <cfRule type="expression" dxfId="2487" priority="323">
      <formula>AND(C$9&gt;=14/24,C$9&lt;20/24)</formula>
    </cfRule>
    <cfRule type="expression" dxfId="2486" priority="324">
      <formula>AND(C$9&gt;=8/24,C$9&lt;14/24)</formula>
    </cfRule>
    <cfRule type="expression" dxfId="2485" priority="325">
      <formula>C$9&lt;8/24</formula>
    </cfRule>
  </conditionalFormatting>
  <conditionalFormatting sqref="AL33">
    <cfRule type="iconSet" priority="32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484" priority="350">
      <formula>C$9&gt;=20/24</formula>
    </cfRule>
    <cfRule type="expression" dxfId="2483" priority="351">
      <formula>AND(C$9&gt;=14/24,C$9&lt;20/24)</formula>
    </cfRule>
    <cfRule type="expression" dxfId="2482" priority="352">
      <formula>AND(C$9&gt;=8/24,C$9&lt;14/24)</formula>
    </cfRule>
    <cfRule type="expression" dxfId="2481" priority="353">
      <formula>C$9&lt;8/24</formula>
    </cfRule>
  </conditionalFormatting>
  <conditionalFormatting sqref="A201">
    <cfRule type="expression" dxfId="2480" priority="354">
      <formula>$AH201=0</formula>
    </cfRule>
  </conditionalFormatting>
  <conditionalFormatting sqref="AG213">
    <cfRule type="expression" dxfId="2479" priority="355">
      <formula>B$9&gt;=20/24</formula>
    </cfRule>
    <cfRule type="expression" dxfId="2478" priority="356">
      <formula>AND(B$9&gt;=14/24,B$9&lt;20/24)</formula>
    </cfRule>
    <cfRule type="expression" dxfId="2477" priority="357">
      <formula>AND(B$9&gt;=8/24,B$9&lt;14/24)</formula>
    </cfRule>
    <cfRule type="expression" dxfId="2476" priority="358">
      <formula>B$9&lt;8/24</formula>
    </cfRule>
  </conditionalFormatting>
  <conditionalFormatting sqref="S8">
    <cfRule type="expression" dxfId="2475" priority="317">
      <formula>U$9&gt;=20/24</formula>
    </cfRule>
    <cfRule type="expression" dxfId="2474" priority="318">
      <formula>AND(U$9&gt;=14/24,U$9&lt;20/24)</formula>
    </cfRule>
    <cfRule type="expression" dxfId="2473" priority="319">
      <formula>AND(U$9&gt;=8/24,U$9&lt;14/24)</formula>
    </cfRule>
    <cfRule type="expression" dxfId="2472" priority="320">
      <formula>U$9&lt;8/24</formula>
    </cfRule>
  </conditionalFormatting>
  <conditionalFormatting sqref="AB8">
    <cfRule type="expression" dxfId="2471" priority="313">
      <formula>AD$9&gt;=20/24</formula>
    </cfRule>
    <cfRule type="expression" dxfId="2470" priority="314">
      <formula>AND(AD$9&gt;=14/24,AD$9&lt;20/24)</formula>
    </cfRule>
    <cfRule type="expression" dxfId="2469" priority="315">
      <formula>AND(AD$9&gt;=8/24,AD$9&lt;14/24)</formula>
    </cfRule>
    <cfRule type="expression" dxfId="2468" priority="316">
      <formula>AD$9&lt;8/24</formula>
    </cfRule>
  </conditionalFormatting>
  <conditionalFormatting sqref="AH213:AX213">
    <cfRule type="expression" dxfId="2467" priority="359">
      <formula>AG$9&gt;=20/24</formula>
    </cfRule>
    <cfRule type="expression" dxfId="2466" priority="360">
      <formula>AND(AG$9&gt;=14/24,AG$9&lt;20/24)</formula>
    </cfRule>
    <cfRule type="expression" dxfId="2465" priority="361">
      <formula>AND(AG$9&gt;=8/24,AG$9&lt;14/24)</formula>
    </cfRule>
    <cfRule type="expression" dxfId="2464" priority="362">
      <formula>AG$9&lt;8/24</formula>
    </cfRule>
  </conditionalFormatting>
  <conditionalFormatting sqref="T213">
    <cfRule type="expression" dxfId="2463" priority="363">
      <formula>AX$9&gt;=20/24</formula>
    </cfRule>
    <cfRule type="expression" dxfId="2462" priority="364">
      <formula>AND(AX$9&gt;=14/24,AX$9&lt;20/24)</formula>
    </cfRule>
    <cfRule type="expression" dxfId="2461" priority="365">
      <formula>AND(AX$9&gt;=8/24,AX$9&lt;14/24)</formula>
    </cfRule>
    <cfRule type="expression" dxfId="2460" priority="366">
      <formula>AX$9&lt;8/24</formula>
    </cfRule>
  </conditionalFormatting>
  <conditionalFormatting sqref="A99:A100">
    <cfRule type="expression" dxfId="2459" priority="312">
      <formula>$AH99=0</formula>
    </cfRule>
  </conditionalFormatting>
  <conditionalFormatting sqref="Z36:AA36 C57:AA57 E11:I11 F40:J41 T40:AA41 AC57:AF57">
    <cfRule type="expression" dxfId="2458" priority="308">
      <formula>C$9&gt;=20/24</formula>
    </cfRule>
    <cfRule type="expression" dxfId="2457" priority="309">
      <formula>AND(C$9&gt;=14/24,C$9&lt;20/24)</formula>
    </cfRule>
    <cfRule type="expression" dxfId="2456" priority="310">
      <formula>AND(C$9&gt;=8/24,C$9&lt;14/24)</formula>
    </cfRule>
    <cfRule type="expression" dxfId="2455" priority="311">
      <formula>C$9&lt;8/24</formula>
    </cfRule>
  </conditionalFormatting>
  <conditionalFormatting sqref="E39:J39 T39:AA39">
    <cfRule type="expression" dxfId="2454" priority="304">
      <formula>E$9&gt;=20/24</formula>
    </cfRule>
    <cfRule type="expression" dxfId="2453" priority="305">
      <formula>AND(E$9&gt;=14/24,E$9&lt;20/24)</formula>
    </cfRule>
    <cfRule type="expression" dxfId="2452" priority="306">
      <formula>AND(E$9&gt;=8/24,E$9&lt;14/24)</formula>
    </cfRule>
    <cfRule type="expression" dxfId="2451" priority="307">
      <formula>E$9&lt;8/24</formula>
    </cfRule>
  </conditionalFormatting>
  <conditionalFormatting sqref="E39:J39 Z36:AA36 E11:I11 F40:J41 T39:AA41">
    <cfRule type="expression" dxfId="2450" priority="303">
      <formula>E11&gt;$AG11</formula>
    </cfRule>
  </conditionalFormatting>
  <conditionalFormatting sqref="I36 C81:AF81 C58:AA59 C69:AF72 I12:J14 Z28:AA31 M37:R37 E60:I62 I63 Z18:AA22 Z24:AA26 Q60:W60 J60:P63 P36:R36 W61:W67 S36:V37 Q61:V63 I67:V67 N16:AA16 M21:Y21 N26:Y26 N12:AA14 C53:AF56 X60:AA67 W36:Y36 AC58:AF67 C85:AF91">
    <cfRule type="expression" dxfId="2449" priority="299">
      <formula>C$9&gt;=20/24</formula>
    </cfRule>
    <cfRule type="expression" dxfId="2448" priority="300">
      <formula>AND(C$9&gt;=14/24,C$9&lt;20/24)</formula>
    </cfRule>
    <cfRule type="expression" dxfId="2447" priority="301">
      <formula>AND(C$9&gt;=8/24,C$9&lt;14/24)</formula>
    </cfRule>
    <cfRule type="expression" dxfId="2446" priority="302">
      <formula>C$9&lt;8/24</formula>
    </cfRule>
  </conditionalFormatting>
  <conditionalFormatting sqref="Z32:AA32">
    <cfRule type="expression" dxfId="2445" priority="295">
      <formula>Z$9&gt;=20/24</formula>
    </cfRule>
    <cfRule type="expression" dxfId="2444" priority="296">
      <formula>AND(Z$9&gt;=14/24,Z$9&lt;20/24)</formula>
    </cfRule>
    <cfRule type="expression" dxfId="2443" priority="297">
      <formula>AND(Z$9&gt;=8/24,Z$9&lt;14/24)</formula>
    </cfRule>
    <cfRule type="expression" dxfId="2442" priority="298">
      <formula>Z$9&lt;8/24</formula>
    </cfRule>
  </conditionalFormatting>
  <conditionalFormatting sqref="Z35:AA35">
    <cfRule type="expression" dxfId="2441" priority="291">
      <formula>Z$9&gt;=20/24</formula>
    </cfRule>
    <cfRule type="expression" dxfId="2440" priority="292">
      <formula>AND(Z$9&gt;=14/24,Z$9&lt;20/24)</formula>
    </cfRule>
    <cfRule type="expression" dxfId="2439" priority="293">
      <formula>AND(Z$9&gt;=8/24,Z$9&lt;14/24)</formula>
    </cfRule>
    <cfRule type="expression" dxfId="2438" priority="294">
      <formula>Z$9&lt;8/24</formula>
    </cfRule>
  </conditionalFormatting>
  <conditionalFormatting sqref="I36 I12:J15 Z34:AA35 C51:AF51 C37:J37 I42:J44 M37:R37 Z18:AA22 Z24:AA32 P36:R36 N12:S15 S36:V37 T13:Y15 M21:Y21 N26:Y26 C53:AF56 W36:Y36">
    <cfRule type="expression" dxfId="2437" priority="290">
      <formula>C12&gt;$AG12</formula>
    </cfRule>
  </conditionalFormatting>
  <conditionalFormatting sqref="Z34:AA34">
    <cfRule type="expression" dxfId="2436" priority="286">
      <formula>Z$9&gt;=20/24</formula>
    </cfRule>
    <cfRule type="expression" dxfId="2435" priority="287">
      <formula>AND(Z$9&gt;=14/24,Z$9&lt;20/24)</formula>
    </cfRule>
    <cfRule type="expression" dxfId="2434" priority="288">
      <formula>AND(Z$9&gt;=8/24,Z$9&lt;14/24)</formula>
    </cfRule>
    <cfRule type="expression" dxfId="2433" priority="289">
      <formula>Z$9&lt;8/24</formula>
    </cfRule>
  </conditionalFormatting>
  <conditionalFormatting sqref="I15:J15 N15:AA15">
    <cfRule type="expression" dxfId="2432" priority="282">
      <formula>I$9&gt;=20/24</formula>
    </cfRule>
    <cfRule type="expression" dxfId="2431" priority="283">
      <formula>AND(I$9&gt;=14/24,I$9&lt;20/24)</formula>
    </cfRule>
    <cfRule type="expression" dxfId="2430" priority="284">
      <formula>AND(I$9&gt;=8/24,I$9&lt;14/24)</formula>
    </cfRule>
    <cfRule type="expression" dxfId="2429" priority="285">
      <formula>I$9&lt;8/24</formula>
    </cfRule>
  </conditionalFormatting>
  <conditionalFormatting sqref="Z33:AA33">
    <cfRule type="expression" dxfId="2428" priority="278">
      <formula>Z$9&gt;=20/24</formula>
    </cfRule>
    <cfRule type="expression" dxfId="2427" priority="279">
      <formula>AND(Z$9&gt;=14/24,Z$9&lt;20/24)</formula>
    </cfRule>
    <cfRule type="expression" dxfId="2426" priority="280">
      <formula>AND(Z$9&gt;=8/24,Z$9&lt;14/24)</formula>
    </cfRule>
    <cfRule type="expression" dxfId="2425" priority="281">
      <formula>Z$9&lt;8/24</formula>
    </cfRule>
  </conditionalFormatting>
  <conditionalFormatting sqref="Z33:AA33">
    <cfRule type="expression" dxfId="2424" priority="277">
      <formula>Z33&gt;$AG33</formula>
    </cfRule>
  </conditionalFormatting>
  <conditionalFormatting sqref="Z42:AA43">
    <cfRule type="expression" dxfId="2423" priority="269">
      <formula>Z$9&gt;=20/24</formula>
    </cfRule>
    <cfRule type="expression" dxfId="2422" priority="270">
      <formula>AND(Z$9&gt;=14/24,Z$9&lt;20/24)</formula>
    </cfRule>
    <cfRule type="expression" dxfId="2421" priority="271">
      <formula>AND(Z$9&gt;=8/24,Z$9&lt;14/24)</formula>
    </cfRule>
    <cfRule type="expression" dxfId="2420" priority="272">
      <formula>Z$9&lt;8/24</formula>
    </cfRule>
  </conditionalFormatting>
  <conditionalFormatting sqref="Z42:AA43">
    <cfRule type="expression" dxfId="2419" priority="268">
      <formula>Z42&gt;$AG42</formula>
    </cfRule>
  </conditionalFormatting>
  <conditionalFormatting sqref="M39:R42 Z44:AA50 N47:N50 M43:N46 O43:R50 S39:S50 T42:Y50">
    <cfRule type="expression" dxfId="2418" priority="264">
      <formula>M$9&gt;=20/24</formula>
    </cfRule>
    <cfRule type="expression" dxfId="2417" priority="265">
      <formula>AND(M$9&gt;=14/24,M$9&lt;20/24)</formula>
    </cfRule>
    <cfRule type="expression" dxfId="2416" priority="266">
      <formula>AND(M$9&gt;=8/24,M$9&lt;14/24)</formula>
    </cfRule>
    <cfRule type="expression" dxfId="2415" priority="267">
      <formula>M$9&lt;8/24</formula>
    </cfRule>
  </conditionalFormatting>
  <conditionalFormatting sqref="M39:R42 Z44:AA50 N47:N50 M43:N46 O43:R50 S39:S50 T42:Y50">
    <cfRule type="expression" dxfId="2414" priority="263">
      <formula>M39&gt;$AG39</formula>
    </cfRule>
  </conditionalFormatting>
  <conditionalFormatting sqref="Z27:AA27">
    <cfRule type="expression" dxfId="2413" priority="259">
      <formula>Z$9&gt;=20/24</formula>
    </cfRule>
    <cfRule type="expression" dxfId="2412" priority="260">
      <formula>AND(Z$9&gt;=14/24,Z$9&lt;20/24)</formula>
    </cfRule>
    <cfRule type="expression" dxfId="2411" priority="261">
      <formula>AND(Z$9&gt;=8/24,Z$9&lt;14/24)</formula>
    </cfRule>
    <cfRule type="expression" dxfId="2410" priority="262">
      <formula>Z$9&lt;8/24</formula>
    </cfRule>
  </conditionalFormatting>
  <conditionalFormatting sqref="I16:J26 I27:I31 P23:AA23 N17:AA17">
    <cfRule type="expression" dxfId="2409" priority="255">
      <formula>I$9&gt;=20/24</formula>
    </cfRule>
    <cfRule type="expression" dxfId="2408" priority="256">
      <formula>AND(I$9&gt;=14/24,I$9&lt;20/24)</formula>
    </cfRule>
    <cfRule type="expression" dxfId="2407" priority="257">
      <formula>AND(I$9&gt;=8/24,I$9&lt;14/24)</formula>
    </cfRule>
    <cfRule type="expression" dxfId="2406" priority="258">
      <formula>I$9&lt;8/24</formula>
    </cfRule>
  </conditionalFormatting>
  <conditionalFormatting sqref="I32">
    <cfRule type="expression" dxfId="2405" priority="251">
      <formula>I$9&gt;=20/24</formula>
    </cfRule>
    <cfRule type="expression" dxfId="2404" priority="252">
      <formula>AND(I$9&gt;=14/24,I$9&lt;20/24)</formula>
    </cfRule>
    <cfRule type="expression" dxfId="2403" priority="253">
      <formula>AND(I$9&gt;=8/24,I$9&lt;14/24)</formula>
    </cfRule>
    <cfRule type="expression" dxfId="2402" priority="254">
      <formula>I$9&lt;8/24</formula>
    </cfRule>
  </conditionalFormatting>
  <conditionalFormatting sqref="I35">
    <cfRule type="expression" dxfId="2401" priority="247">
      <formula>I$9&gt;=20/24</formula>
    </cfRule>
    <cfRule type="expression" dxfId="2400" priority="248">
      <formula>AND(I$9&gt;=14/24,I$9&lt;20/24)</formula>
    </cfRule>
    <cfRule type="expression" dxfId="2399" priority="249">
      <formula>AND(I$9&gt;=8/24,I$9&lt;14/24)</formula>
    </cfRule>
    <cfRule type="expression" dxfId="2398" priority="250">
      <formula>I$9&lt;8/24</formula>
    </cfRule>
  </conditionalFormatting>
  <conditionalFormatting sqref="I34:I35 I17:J26 I27:I32 P23:AA23 N17:AA17">
    <cfRule type="expression" dxfId="2397" priority="246">
      <formula>I17&gt;$AG17</formula>
    </cfRule>
  </conditionalFormatting>
  <conditionalFormatting sqref="I34">
    <cfRule type="expression" dxfId="2396" priority="242">
      <formula>I$9&gt;=20/24</formula>
    </cfRule>
    <cfRule type="expression" dxfId="2395" priority="243">
      <formula>AND(I$9&gt;=14/24,I$9&lt;20/24)</formula>
    </cfRule>
    <cfRule type="expression" dxfId="2394" priority="244">
      <formula>AND(I$9&gt;=8/24,I$9&lt;14/24)</formula>
    </cfRule>
    <cfRule type="expression" dxfId="2393" priority="245">
      <formula>I$9&lt;8/24</formula>
    </cfRule>
  </conditionalFormatting>
  <conditionalFormatting sqref="I33">
    <cfRule type="expression" dxfId="2392" priority="234">
      <formula>I$9&gt;=20/24</formula>
    </cfRule>
    <cfRule type="expression" dxfId="2391" priority="235">
      <formula>AND(I$9&gt;=14/24,I$9&lt;20/24)</formula>
    </cfRule>
    <cfRule type="expression" dxfId="2390" priority="236">
      <formula>AND(I$9&gt;=8/24,I$9&lt;14/24)</formula>
    </cfRule>
    <cfRule type="expression" dxfId="2389" priority="237">
      <formula>I$9&lt;8/24</formula>
    </cfRule>
  </conditionalFormatting>
  <conditionalFormatting sqref="I33">
    <cfRule type="expression" dxfId="2388" priority="233">
      <formula>I33&gt;$AG33</formula>
    </cfRule>
  </conditionalFormatting>
  <conditionalFormatting sqref="I64:V66">
    <cfRule type="expression" dxfId="2387" priority="220">
      <formula>I$9&gt;=20/24</formula>
    </cfRule>
    <cfRule type="expression" dxfId="2386" priority="221">
      <formula>AND(I$9&gt;=14/24,I$9&lt;20/24)</formula>
    </cfRule>
    <cfRule type="expression" dxfId="2385" priority="222">
      <formula>AND(I$9&gt;=8/24,I$9&lt;14/24)</formula>
    </cfRule>
    <cfRule type="expression" dxfId="2384" priority="223">
      <formula>I$9&lt;8/24</formula>
    </cfRule>
  </conditionalFormatting>
  <conditionalFormatting sqref="I45:J50">
    <cfRule type="expression" dxfId="2383" priority="215">
      <formula>I$9&gt;=20/24</formula>
    </cfRule>
    <cfRule type="expression" dxfId="2382" priority="216">
      <formula>AND(I$9&gt;=14/24,I$9&lt;20/24)</formula>
    </cfRule>
    <cfRule type="expression" dxfId="2381" priority="217">
      <formula>AND(I$9&gt;=8/24,I$9&lt;14/24)</formula>
    </cfRule>
    <cfRule type="expression" dxfId="2380" priority="218">
      <formula>I$9&lt;8/24</formula>
    </cfRule>
  </conditionalFormatting>
  <conditionalFormatting sqref="I45:J50">
    <cfRule type="expression" dxfId="2379" priority="214">
      <formula>I45&gt;$AG45</formula>
    </cfRule>
  </conditionalFormatting>
  <conditionalFormatting sqref="B94:B100 B74:AF74 B82:AF82 B11:D11">
    <cfRule type="expression" dxfId="2378" priority="201">
      <formula>B$9&gt;=20/24</formula>
    </cfRule>
    <cfRule type="expression" dxfId="2377" priority="202">
      <formula>AND(B$9&gt;=14/24,B$9&lt;20/24)</formula>
    </cfRule>
    <cfRule type="expression" dxfId="2376" priority="203">
      <formula>AND(B$9&gt;=8/24,B$9&lt;14/24)</formula>
    </cfRule>
    <cfRule type="expression" dxfId="2375" priority="204">
      <formula>B$9&lt;8/24</formula>
    </cfRule>
  </conditionalFormatting>
  <conditionalFormatting sqref="B37">
    <cfRule type="expression" dxfId="2374" priority="197">
      <formula>B$9&gt;=20/24</formula>
    </cfRule>
    <cfRule type="expression" dxfId="2373" priority="198">
      <formula>AND(B$9&gt;=14/24,B$9&lt;20/24)</formula>
    </cfRule>
    <cfRule type="expression" dxfId="2372" priority="199">
      <formula>AND(B$9&gt;=8/24,B$9&lt;14/24)</formula>
    </cfRule>
    <cfRule type="expression" dxfId="2371" priority="200">
      <formula>B$9&lt;8/24</formula>
    </cfRule>
  </conditionalFormatting>
  <conditionalFormatting sqref="B37 B11:D11">
    <cfRule type="expression" dxfId="2370" priority="196">
      <formula>B11&gt;$AG11</formula>
    </cfRule>
  </conditionalFormatting>
  <conditionalFormatting sqref="B84">
    <cfRule type="expression" dxfId="2369" priority="192">
      <formula>B$9&gt;=20/24</formula>
    </cfRule>
    <cfRule type="expression" dxfId="2368" priority="193">
      <formula>AND(B$9&gt;=14/24,B$9&lt;20/24)</formula>
    </cfRule>
    <cfRule type="expression" dxfId="2367" priority="194">
      <formula>AND(B$9&gt;=8/24,B$9&lt;14/24)</formula>
    </cfRule>
    <cfRule type="expression" dxfId="2366" priority="195">
      <formula>B$9&lt;8/24</formula>
    </cfRule>
  </conditionalFormatting>
  <conditionalFormatting sqref="B57 B40:E41 B36:H36">
    <cfRule type="expression" dxfId="2365" priority="188">
      <formula>B$9&gt;=20/24</formula>
    </cfRule>
    <cfRule type="expression" dxfId="2364" priority="189">
      <formula>AND(B$9&gt;=14/24,B$9&lt;20/24)</formula>
    </cfRule>
    <cfRule type="expression" dxfId="2363" priority="190">
      <formula>AND(B$9&gt;=8/24,B$9&lt;14/24)</formula>
    </cfRule>
    <cfRule type="expression" dxfId="2362" priority="191">
      <formula>B$9&lt;8/24</formula>
    </cfRule>
  </conditionalFormatting>
  <conditionalFormatting sqref="B39:D39">
    <cfRule type="expression" dxfId="2361" priority="184">
      <formula>B$9&gt;=20/24</formula>
    </cfRule>
    <cfRule type="expression" dxfId="2360" priority="185">
      <formula>AND(B$9&gt;=14/24,B$9&lt;20/24)</formula>
    </cfRule>
    <cfRule type="expression" dxfId="2359" priority="186">
      <formula>AND(B$9&gt;=8/24,B$9&lt;14/24)</formula>
    </cfRule>
    <cfRule type="expression" dxfId="2358" priority="187">
      <formula>B$9&lt;8/24</formula>
    </cfRule>
  </conditionalFormatting>
  <conditionalFormatting sqref="B39:D41 E40:E41 B36:H36">
    <cfRule type="expression" dxfId="2357" priority="183">
      <formula>B36&gt;$AG36</formula>
    </cfRule>
  </conditionalFormatting>
  <conditionalFormatting sqref="B85:B91 B53:B56 B58:B67 B69:B73 B75:AF75 C73:AF73 B81 B83:AF83 C60:D67 B12:H14 B28:H31 B18:H22 B24:H26 B16:H16 E63:H67">
    <cfRule type="expression" dxfId="2356" priority="179">
      <formula>B$9&gt;=20/24</formula>
    </cfRule>
    <cfRule type="expression" dxfId="2355" priority="180">
      <formula>AND(B$9&gt;=14/24,B$9&lt;20/24)</formula>
    </cfRule>
    <cfRule type="expression" dxfId="2354" priority="181">
      <formula>AND(B$9&gt;=8/24,B$9&lt;14/24)</formula>
    </cfRule>
    <cfRule type="expression" dxfId="2353" priority="182">
      <formula>B$9&lt;8/24</formula>
    </cfRule>
  </conditionalFormatting>
  <conditionalFormatting sqref="B32:H32">
    <cfRule type="expression" dxfId="2352" priority="175">
      <formula>B$9&gt;=20/24</formula>
    </cfRule>
    <cfRule type="expression" dxfId="2351" priority="176">
      <formula>AND(B$9&gt;=14/24,B$9&lt;20/24)</formula>
    </cfRule>
    <cfRule type="expression" dxfId="2350" priority="177">
      <formula>AND(B$9&gt;=8/24,B$9&lt;14/24)</formula>
    </cfRule>
    <cfRule type="expression" dxfId="2349" priority="178">
      <formula>B$9&lt;8/24</formula>
    </cfRule>
  </conditionalFormatting>
  <conditionalFormatting sqref="B35:H35">
    <cfRule type="expression" dxfId="2348" priority="171">
      <formula>B$9&gt;=20/24</formula>
    </cfRule>
    <cfRule type="expression" dxfId="2347" priority="172">
      <formula>AND(B$9&gt;=14/24,B$9&lt;20/24)</formula>
    </cfRule>
    <cfRule type="expression" dxfId="2346" priority="173">
      <formula>AND(B$9&gt;=8/24,B$9&lt;14/24)</formula>
    </cfRule>
    <cfRule type="expression" dxfId="2345" priority="174">
      <formula>B$9&lt;8/24</formula>
    </cfRule>
  </conditionalFormatting>
  <conditionalFormatting sqref="B51:B56 C52:AF52 B38:AF38 B34:H35 B18:H22 B24:H32 B42:H43">
    <cfRule type="expression" dxfId="2344" priority="170">
      <formula>B18&gt;$AG18</formula>
    </cfRule>
  </conditionalFormatting>
  <conditionalFormatting sqref="B34:H34">
    <cfRule type="expression" dxfId="2343" priority="166">
      <formula>B$9&gt;=20/24</formula>
    </cfRule>
    <cfRule type="expression" dxfId="2342" priority="167">
      <formula>AND(B$9&gt;=14/24,B$9&lt;20/24)</formula>
    </cfRule>
    <cfRule type="expression" dxfId="2341" priority="168">
      <formula>AND(B$9&gt;=8/24,B$9&lt;14/24)</formula>
    </cfRule>
    <cfRule type="expression" dxfId="2340" priority="169">
      <formula>B$9&lt;8/24</formula>
    </cfRule>
  </conditionalFormatting>
  <conditionalFormatting sqref="B15:H15">
    <cfRule type="expression" dxfId="2339" priority="162">
      <formula>B$9&gt;=20/24</formula>
    </cfRule>
    <cfRule type="expression" dxfId="2338" priority="163">
      <formula>AND(B$9&gt;=14/24,B$9&lt;20/24)</formula>
    </cfRule>
    <cfRule type="expression" dxfId="2337" priority="164">
      <formula>AND(B$9&gt;=8/24,B$9&lt;14/24)</formula>
    </cfRule>
    <cfRule type="expression" dxfId="2336" priority="165">
      <formula>B$9&lt;8/24</formula>
    </cfRule>
  </conditionalFormatting>
  <conditionalFormatting sqref="B33:H33">
    <cfRule type="expression" dxfId="2335" priority="158">
      <formula>B$9&gt;=20/24</formula>
    </cfRule>
    <cfRule type="expression" dxfId="2334" priority="159">
      <formula>AND(B$9&gt;=14/24,B$9&lt;20/24)</formula>
    </cfRule>
    <cfRule type="expression" dxfId="2333" priority="160">
      <formula>AND(B$9&gt;=8/24,B$9&lt;14/24)</formula>
    </cfRule>
    <cfRule type="expression" dxfId="2332" priority="161">
      <formula>B$9&lt;8/24</formula>
    </cfRule>
  </conditionalFormatting>
  <conditionalFormatting sqref="B33:H33">
    <cfRule type="expression" dxfId="2331" priority="157">
      <formula>B33&gt;$AG33</formula>
    </cfRule>
  </conditionalFormatting>
  <conditionalFormatting sqref="B44:H50">
    <cfRule type="expression" dxfId="2330" priority="153">
      <formula>B$9&gt;=20/24</formula>
    </cfRule>
    <cfRule type="expression" dxfId="2329" priority="154">
      <formula>AND(B$9&gt;=14/24,B$9&lt;20/24)</formula>
    </cfRule>
    <cfRule type="expression" dxfId="2328" priority="155">
      <formula>AND(B$9&gt;=8/24,B$9&lt;14/24)</formula>
    </cfRule>
    <cfRule type="expression" dxfId="2327" priority="156">
      <formula>B$9&lt;8/24</formula>
    </cfRule>
  </conditionalFormatting>
  <conditionalFormatting sqref="B44:H50">
    <cfRule type="expression" dxfId="2326" priority="152">
      <formula>B44&gt;$AG44</formula>
    </cfRule>
  </conditionalFormatting>
  <conditionalFormatting sqref="B27:H27">
    <cfRule type="expression" dxfId="2325" priority="148">
      <formula>B$9&gt;=20/24</formula>
    </cfRule>
    <cfRule type="expression" dxfId="2324" priority="149">
      <formula>AND(B$9&gt;=14/24,B$9&lt;20/24)</formula>
    </cfRule>
    <cfRule type="expression" dxfId="2323" priority="150">
      <formula>AND(B$9&gt;=8/24,B$9&lt;14/24)</formula>
    </cfRule>
    <cfRule type="expression" dxfId="2322" priority="151">
      <formula>B$9&lt;8/24</formula>
    </cfRule>
  </conditionalFormatting>
  <conditionalFormatting sqref="B17:H17 B23:H23">
    <cfRule type="expression" dxfId="2321" priority="144">
      <formula>B$9&gt;=20/24</formula>
    </cfRule>
    <cfRule type="expression" dxfId="2320" priority="145">
      <formula>AND(B$9&gt;=14/24,B$9&lt;20/24)</formula>
    </cfRule>
    <cfRule type="expression" dxfId="2319" priority="146">
      <formula>AND(B$9&gt;=8/24,B$9&lt;14/24)</formula>
    </cfRule>
    <cfRule type="expression" dxfId="2318" priority="147">
      <formula>B$9&lt;8/24</formula>
    </cfRule>
  </conditionalFormatting>
  <conditionalFormatting sqref="B17:H17 B23:H23">
    <cfRule type="expression" dxfId="2317" priority="143">
      <formula>B17&gt;$AG17</formula>
    </cfRule>
  </conditionalFormatting>
  <conditionalFormatting sqref="A33">
    <cfRule type="expression" dxfId="2316" priority="142">
      <formula>$AH33=0</formula>
    </cfRule>
  </conditionalFormatting>
  <conditionalFormatting sqref="B68:AF68">
    <cfRule type="expression" dxfId="2315" priority="138">
      <formula>B$9&gt;=20/24</formula>
    </cfRule>
    <cfRule type="expression" dxfId="2314" priority="139">
      <formula>AND(B$9&gt;=14/24,B$9&lt;20/24)</formula>
    </cfRule>
    <cfRule type="expression" dxfId="2313" priority="140">
      <formula>AND(B$9&gt;=8/24,B$9&lt;14/24)</formula>
    </cfRule>
    <cfRule type="expression" dxfId="2312" priority="141">
      <formula>B$9&lt;8/24</formula>
    </cfRule>
  </conditionalFormatting>
  <conditionalFormatting sqref="B76:AF80">
    <cfRule type="expression" dxfId="2311" priority="134">
      <formula>B$9&gt;=20/24</formula>
    </cfRule>
    <cfRule type="expression" dxfId="2310" priority="135">
      <formula>AND(B$9&gt;=14/24,B$9&lt;20/24)</formula>
    </cfRule>
    <cfRule type="expression" dxfId="2309" priority="136">
      <formula>AND(B$9&gt;=8/24,B$9&lt;14/24)</formula>
    </cfRule>
    <cfRule type="expression" dxfId="2308" priority="137">
      <formula>B$9&lt;8/24</formula>
    </cfRule>
  </conditionalFormatting>
  <conditionalFormatting sqref="K12:M16">
    <cfRule type="expression" dxfId="2307" priority="133">
      <formula>K12&gt;$AG12</formula>
    </cfRule>
  </conditionalFormatting>
  <conditionalFormatting sqref="K11:S11">
    <cfRule type="expression" dxfId="2306" priority="129">
      <formula>K$9&gt;=20/24</formula>
    </cfRule>
    <cfRule type="expression" dxfId="2305" priority="130">
      <formula>AND(K$9&gt;=14/24,K$9&lt;20/24)</formula>
    </cfRule>
    <cfRule type="expression" dxfId="2304" priority="131">
      <formula>AND(K$9&gt;=8/24,K$9&lt;14/24)</formula>
    </cfRule>
    <cfRule type="expression" dxfId="2303" priority="132">
      <formula>K$9&lt;8/24</formula>
    </cfRule>
  </conditionalFormatting>
  <conditionalFormatting sqref="K11:S11">
    <cfRule type="expression" dxfId="2302" priority="128">
      <formula>K11&gt;$AG11</formula>
    </cfRule>
  </conditionalFormatting>
  <conditionalFormatting sqref="K37:L37">
    <cfRule type="expression" dxfId="2301" priority="127">
      <formula>K37&gt;$AG37</formula>
    </cfRule>
  </conditionalFormatting>
  <conditionalFormatting sqref="J36:O36">
    <cfRule type="expression" dxfId="2300" priority="123">
      <formula>J$9&gt;=20/24</formula>
    </cfRule>
    <cfRule type="expression" dxfId="2299" priority="124">
      <formula>AND(J$9&gt;=14/24,J$9&lt;20/24)</formula>
    </cfRule>
    <cfRule type="expression" dxfId="2298" priority="125">
      <formula>AND(J$9&gt;=8/24,J$9&lt;14/24)</formula>
    </cfRule>
    <cfRule type="expression" dxfId="2297" priority="126">
      <formula>J$9&lt;8/24</formula>
    </cfRule>
  </conditionalFormatting>
  <conditionalFormatting sqref="J36:O36">
    <cfRule type="expression" dxfId="2296" priority="122">
      <formula>J36&gt;$AG36</formula>
    </cfRule>
  </conditionalFormatting>
  <conditionalFormatting sqref="K18:L22 K12:M14 K16:M16 K24:M26 M18:Y20 M22:Y22 N24:Y25 J28:Y31">
    <cfRule type="expression" dxfId="2295" priority="118">
      <formula>J$9&gt;=20/24</formula>
    </cfRule>
    <cfRule type="expression" dxfId="2294" priority="119">
      <formula>AND(J$9&gt;=14/24,J$9&lt;20/24)</formula>
    </cfRule>
    <cfRule type="expression" dxfId="2293" priority="120">
      <formula>AND(J$9&gt;=8/24,J$9&lt;14/24)</formula>
    </cfRule>
    <cfRule type="expression" dxfId="2292" priority="121">
      <formula>J$9&lt;8/24</formula>
    </cfRule>
  </conditionalFormatting>
  <conditionalFormatting sqref="J32:Y32">
    <cfRule type="expression" dxfId="2291" priority="114">
      <formula>J$9&gt;=20/24</formula>
    </cfRule>
    <cfRule type="expression" dxfId="2290" priority="115">
      <formula>AND(J$9&gt;=14/24,J$9&lt;20/24)</formula>
    </cfRule>
    <cfRule type="expression" dxfId="2289" priority="116">
      <formula>AND(J$9&gt;=8/24,J$9&lt;14/24)</formula>
    </cfRule>
    <cfRule type="expression" dxfId="2288" priority="117">
      <formula>J$9&lt;8/24</formula>
    </cfRule>
  </conditionalFormatting>
  <conditionalFormatting sqref="J35:Y35">
    <cfRule type="expression" dxfId="2287" priority="110">
      <formula>J$9&gt;=20/24</formula>
    </cfRule>
    <cfRule type="expression" dxfId="2286" priority="111">
      <formula>AND(J$9&gt;=14/24,J$9&lt;20/24)</formula>
    </cfRule>
    <cfRule type="expression" dxfId="2285" priority="112">
      <formula>AND(J$9&gt;=8/24,J$9&lt;14/24)</formula>
    </cfRule>
    <cfRule type="expression" dxfId="2284" priority="113">
      <formula>J$9&lt;8/24</formula>
    </cfRule>
  </conditionalFormatting>
  <conditionalFormatting sqref="J27:J32 K18:L22 K24:M32 K31:O31 M18:Y20 M22:Y22 N24:Y25 N27:Y32 J34:Y35">
    <cfRule type="expression" dxfId="2283" priority="109">
      <formula>J18&gt;$AG18</formula>
    </cfRule>
  </conditionalFormatting>
  <conditionalFormatting sqref="J34:Y34">
    <cfRule type="expression" dxfId="2282" priority="105">
      <formula>J$9&gt;=20/24</formula>
    </cfRule>
    <cfRule type="expression" dxfId="2281" priority="106">
      <formula>AND(J$9&gt;=14/24,J$9&lt;20/24)</formula>
    </cfRule>
    <cfRule type="expression" dxfId="2280" priority="107">
      <formula>AND(J$9&gt;=8/24,J$9&lt;14/24)</formula>
    </cfRule>
    <cfRule type="expression" dxfId="2279" priority="108">
      <formula>J$9&lt;8/24</formula>
    </cfRule>
  </conditionalFormatting>
  <conditionalFormatting sqref="K15:M15">
    <cfRule type="expression" dxfId="2278" priority="101">
      <formula>K$9&gt;=20/24</formula>
    </cfRule>
    <cfRule type="expression" dxfId="2277" priority="102">
      <formula>AND(K$9&gt;=14/24,K$9&lt;20/24)</formula>
    </cfRule>
    <cfRule type="expression" dxfId="2276" priority="103">
      <formula>AND(K$9&gt;=8/24,K$9&lt;14/24)</formula>
    </cfRule>
    <cfRule type="expression" dxfId="2275" priority="104">
      <formula>K$9&lt;8/24</formula>
    </cfRule>
  </conditionalFormatting>
  <conditionalFormatting sqref="J33:Y33">
    <cfRule type="expression" dxfId="2274" priority="97">
      <formula>J$9&gt;=20/24</formula>
    </cfRule>
    <cfRule type="expression" dxfId="2273" priority="98">
      <formula>AND(J$9&gt;=14/24,J$9&lt;20/24)</formula>
    </cfRule>
    <cfRule type="expression" dxfId="2272" priority="99">
      <formula>AND(J$9&gt;=8/24,J$9&lt;14/24)</formula>
    </cfRule>
    <cfRule type="expression" dxfId="2271" priority="100">
      <formula>J$9&lt;8/24</formula>
    </cfRule>
  </conditionalFormatting>
  <conditionalFormatting sqref="J33:Y33">
    <cfRule type="expression" dxfId="2270" priority="96">
      <formula>J33&gt;$AG33</formula>
    </cfRule>
  </conditionalFormatting>
  <conditionalFormatting sqref="J27:Y27">
    <cfRule type="expression" dxfId="2269" priority="92">
      <formula>J$9&gt;=20/24</formula>
    </cfRule>
    <cfRule type="expression" dxfId="2268" priority="93">
      <formula>AND(J$9&gt;=14/24,J$9&lt;20/24)</formula>
    </cfRule>
    <cfRule type="expression" dxfId="2267" priority="94">
      <formula>AND(J$9&gt;=8/24,J$9&lt;14/24)</formula>
    </cfRule>
    <cfRule type="expression" dxfId="2266" priority="95">
      <formula>J$9&lt;8/24</formula>
    </cfRule>
  </conditionalFormatting>
  <conditionalFormatting sqref="K17:M17 K23:O23">
    <cfRule type="expression" dxfId="2265" priority="88">
      <formula>K$9&gt;=20/24</formula>
    </cfRule>
    <cfRule type="expression" dxfId="2264" priority="89">
      <formula>AND(K$9&gt;=14/24,K$9&lt;20/24)</formula>
    </cfRule>
    <cfRule type="expression" dxfId="2263" priority="90">
      <formula>AND(K$9&gt;=8/24,K$9&lt;14/24)</formula>
    </cfRule>
    <cfRule type="expression" dxfId="2262" priority="91">
      <formula>K$9&lt;8/24</formula>
    </cfRule>
  </conditionalFormatting>
  <conditionalFormatting sqref="K17:M17 K23:O23">
    <cfRule type="expression" dxfId="2261" priority="87">
      <formula>K17&gt;$AG17</formula>
    </cfRule>
  </conditionalFormatting>
  <conditionalFormatting sqref="K40:L41">
    <cfRule type="expression" dxfId="2260" priority="83">
      <formula>K$9&gt;=20/24</formula>
    </cfRule>
    <cfRule type="expression" dxfId="2259" priority="84">
      <formula>AND(K$9&gt;=14/24,K$9&lt;20/24)</formula>
    </cfRule>
    <cfRule type="expression" dxfId="2258" priority="85">
      <formula>AND(K$9&gt;=8/24,K$9&lt;14/24)</formula>
    </cfRule>
    <cfRule type="expression" dxfId="2257" priority="86">
      <formula>K$9&lt;8/24</formula>
    </cfRule>
  </conditionalFormatting>
  <conditionalFormatting sqref="K39:L39">
    <cfRule type="expression" dxfId="2256" priority="79">
      <formula>K$9&gt;=20/24</formula>
    </cfRule>
    <cfRule type="expression" dxfId="2255" priority="80">
      <formula>AND(K$9&gt;=14/24,K$9&lt;20/24)</formula>
    </cfRule>
    <cfRule type="expression" dxfId="2254" priority="81">
      <formula>AND(K$9&gt;=8/24,K$9&lt;14/24)</formula>
    </cfRule>
    <cfRule type="expression" dxfId="2253" priority="82">
      <formula>K$9&lt;8/24</formula>
    </cfRule>
  </conditionalFormatting>
  <conditionalFormatting sqref="K39:L41">
    <cfRule type="expression" dxfId="2252" priority="78">
      <formula>K39&gt;$AG39</formula>
    </cfRule>
  </conditionalFormatting>
  <conditionalFormatting sqref="K42:L43">
    <cfRule type="expression" dxfId="2251" priority="77">
      <formula>K42&gt;$AG42</formula>
    </cfRule>
  </conditionalFormatting>
  <conditionalFormatting sqref="K44:L50 M47:M50">
    <cfRule type="expression" dxfId="2250" priority="73">
      <formula>K$9&gt;=20/24</formula>
    </cfRule>
    <cfRule type="expression" dxfId="2249" priority="74">
      <formula>AND(K$9&gt;=14/24,K$9&lt;20/24)</formula>
    </cfRule>
    <cfRule type="expression" dxfId="2248" priority="75">
      <formula>AND(K$9&gt;=8/24,K$9&lt;14/24)</formula>
    </cfRule>
    <cfRule type="expression" dxfId="2247" priority="76">
      <formula>K$9&lt;8/24</formula>
    </cfRule>
  </conditionalFormatting>
  <conditionalFormatting sqref="K44:L50 M47:M50">
    <cfRule type="expression" dxfId="2246" priority="72">
      <formula>K44&gt;$AG44</formula>
    </cfRule>
  </conditionalFormatting>
  <conditionalFormatting sqref="AB11:AF11">
    <cfRule type="expression" dxfId="2245" priority="68">
      <formula>AB$9&gt;=20/24</formula>
    </cfRule>
    <cfRule type="expression" dxfId="2244" priority="69">
      <formula>AND(AB$9&gt;=14/24,AB$9&lt;20/24)</formula>
    </cfRule>
    <cfRule type="expression" dxfId="2243" priority="70">
      <formula>AND(AB$9&gt;=8/24,AB$9&lt;14/24)</formula>
    </cfRule>
    <cfRule type="expression" dxfId="2242" priority="71">
      <formula>AB$9&lt;8/24</formula>
    </cfRule>
  </conditionalFormatting>
  <conditionalFormatting sqref="AB37:AF37">
    <cfRule type="expression" dxfId="2241" priority="64">
      <formula>AB$9&gt;=20/24</formula>
    </cfRule>
    <cfRule type="expression" dxfId="2240" priority="65">
      <formula>AND(AB$9&gt;=14/24,AB$9&lt;20/24)</formula>
    </cfRule>
    <cfRule type="expression" dxfId="2239" priority="66">
      <formula>AND(AB$9&gt;=8/24,AB$9&lt;14/24)</formula>
    </cfRule>
    <cfRule type="expression" dxfId="2238" priority="67">
      <formula>AB$9&lt;8/24</formula>
    </cfRule>
  </conditionalFormatting>
  <conditionalFormatting sqref="AB37:AF37 AB11:AF12 AB16:AF16">
    <cfRule type="expression" dxfId="2237" priority="63">
      <formula>AB11&gt;$AG11</formula>
    </cfRule>
  </conditionalFormatting>
  <conditionalFormatting sqref="AB16:AF16 AB21:AF21 AB26:AF26 AB12:AF14 AB36:AF36">
    <cfRule type="expression" dxfId="2236" priority="59">
      <formula>AB$9&gt;=20/24</formula>
    </cfRule>
    <cfRule type="expression" dxfId="2235" priority="60">
      <formula>AND(AB$9&gt;=14/24,AB$9&lt;20/24)</formula>
    </cfRule>
    <cfRule type="expression" dxfId="2234" priority="61">
      <formula>AND(AB$9&gt;=8/24,AB$9&lt;14/24)</formula>
    </cfRule>
    <cfRule type="expression" dxfId="2233" priority="62">
      <formula>AB$9&lt;8/24</formula>
    </cfRule>
  </conditionalFormatting>
  <conditionalFormatting sqref="AB13:AF15 AB21:AF21 AB26:AF26 AB36:AF36">
    <cfRule type="expression" dxfId="2232" priority="58">
      <formula>AB13&gt;$AG13</formula>
    </cfRule>
  </conditionalFormatting>
  <conditionalFormatting sqref="AB15:AF15">
    <cfRule type="expression" dxfId="2231" priority="54">
      <formula>AB$9&gt;=20/24</formula>
    </cfRule>
    <cfRule type="expression" dxfId="2230" priority="55">
      <formula>AND(AB$9&gt;=14/24,AB$9&lt;20/24)</formula>
    </cfRule>
    <cfRule type="expression" dxfId="2229" priority="56">
      <formula>AND(AB$9&gt;=8/24,AB$9&lt;14/24)</formula>
    </cfRule>
    <cfRule type="expression" dxfId="2228" priority="57">
      <formula>AB$9&lt;8/24</formula>
    </cfRule>
  </conditionalFormatting>
  <conditionalFormatting sqref="AB23:AF23 AB17:AF17">
    <cfRule type="expression" dxfId="2227" priority="50">
      <formula>AB$9&gt;=20/24</formula>
    </cfRule>
    <cfRule type="expression" dxfId="2226" priority="51">
      <formula>AND(AB$9&gt;=14/24,AB$9&lt;20/24)</formula>
    </cfRule>
    <cfRule type="expression" dxfId="2225" priority="52">
      <formula>AND(AB$9&gt;=8/24,AB$9&lt;14/24)</formula>
    </cfRule>
    <cfRule type="expression" dxfId="2224" priority="53">
      <formula>AB$9&lt;8/24</formula>
    </cfRule>
  </conditionalFormatting>
  <conditionalFormatting sqref="AB23:AF23 AB17:AF17">
    <cfRule type="expression" dxfId="2223" priority="49">
      <formula>AB17&gt;$AG17</formula>
    </cfRule>
  </conditionalFormatting>
  <conditionalFormatting sqref="AB18:AF20 AB22:AF22 AB28:AF31 AB24:AF25">
    <cfRule type="expression" dxfId="2222" priority="45">
      <formula>AB$9&gt;=20/24</formula>
    </cfRule>
    <cfRule type="expression" dxfId="2221" priority="46">
      <formula>AND(AB$9&gt;=14/24,AB$9&lt;20/24)</formula>
    </cfRule>
    <cfRule type="expression" dxfId="2220" priority="47">
      <formula>AND(AB$9&gt;=8/24,AB$9&lt;14/24)</formula>
    </cfRule>
    <cfRule type="expression" dxfId="2219" priority="48">
      <formula>AB$9&lt;8/24</formula>
    </cfRule>
  </conditionalFormatting>
  <conditionalFormatting sqref="AB32:AF32">
    <cfRule type="expression" dxfId="2218" priority="41">
      <formula>AB$9&gt;=20/24</formula>
    </cfRule>
    <cfRule type="expression" dxfId="2217" priority="42">
      <formula>AND(AB$9&gt;=14/24,AB$9&lt;20/24)</formula>
    </cfRule>
    <cfRule type="expression" dxfId="2216" priority="43">
      <formula>AND(AB$9&gt;=8/24,AB$9&lt;14/24)</formula>
    </cfRule>
    <cfRule type="expression" dxfId="2215" priority="44">
      <formula>AB$9&lt;8/24</formula>
    </cfRule>
  </conditionalFormatting>
  <conditionalFormatting sqref="AB35:AF35">
    <cfRule type="expression" dxfId="2214" priority="37">
      <formula>AB$9&gt;=20/24</formula>
    </cfRule>
    <cfRule type="expression" dxfId="2213" priority="38">
      <formula>AND(AB$9&gt;=14/24,AB$9&lt;20/24)</formula>
    </cfRule>
    <cfRule type="expression" dxfId="2212" priority="39">
      <formula>AND(AB$9&gt;=8/24,AB$9&lt;14/24)</formula>
    </cfRule>
    <cfRule type="expression" dxfId="2211" priority="40">
      <formula>AB$9&lt;8/24</formula>
    </cfRule>
  </conditionalFormatting>
  <conditionalFormatting sqref="AB18:AF20 AB22:AF22 AB27:AF32 AB24:AF25 AB34:AF35">
    <cfRule type="expression" dxfId="2210" priority="36">
      <formula>AB18&gt;$AG18</formula>
    </cfRule>
  </conditionalFormatting>
  <conditionalFormatting sqref="AB34:AF34">
    <cfRule type="expression" dxfId="2209" priority="32">
      <formula>AB$9&gt;=20/24</formula>
    </cfRule>
    <cfRule type="expression" dxfId="2208" priority="33">
      <formula>AND(AB$9&gt;=14/24,AB$9&lt;20/24)</formula>
    </cfRule>
    <cfRule type="expression" dxfId="2207" priority="34">
      <formula>AND(AB$9&gt;=8/24,AB$9&lt;14/24)</formula>
    </cfRule>
    <cfRule type="expression" dxfId="2206" priority="35">
      <formula>AB$9&lt;8/24</formula>
    </cfRule>
  </conditionalFormatting>
  <conditionalFormatting sqref="AB33:AF33">
    <cfRule type="expression" dxfId="2205" priority="28">
      <formula>AB$9&gt;=20/24</formula>
    </cfRule>
    <cfRule type="expression" dxfId="2204" priority="29">
      <formula>AND(AB$9&gt;=14/24,AB$9&lt;20/24)</formula>
    </cfRule>
    <cfRule type="expression" dxfId="2203" priority="30">
      <formula>AND(AB$9&gt;=8/24,AB$9&lt;14/24)</formula>
    </cfRule>
    <cfRule type="expression" dxfId="2202" priority="31">
      <formula>AB$9&lt;8/24</formula>
    </cfRule>
  </conditionalFormatting>
  <conditionalFormatting sqref="AB33:AF33">
    <cfRule type="expression" dxfId="2201" priority="27">
      <formula>AB33&gt;$AG33</formula>
    </cfRule>
  </conditionalFormatting>
  <conditionalFormatting sqref="AB27:AF27">
    <cfRule type="expression" dxfId="2200" priority="23">
      <formula>AB$9&gt;=20/24</formula>
    </cfRule>
    <cfRule type="expression" dxfId="2199" priority="24">
      <formula>AND(AB$9&gt;=14/24,AB$9&lt;20/24)</formula>
    </cfRule>
    <cfRule type="expression" dxfId="2198" priority="25">
      <formula>AND(AB$9&gt;=8/24,AB$9&lt;14/24)</formula>
    </cfRule>
    <cfRule type="expression" dxfId="2197" priority="26">
      <formula>AB$9&lt;8/24</formula>
    </cfRule>
  </conditionalFormatting>
  <conditionalFormatting sqref="AB40:AF41">
    <cfRule type="expression" dxfId="2196" priority="19">
      <formula>AB$9&gt;=20/24</formula>
    </cfRule>
    <cfRule type="expression" dxfId="2195" priority="20">
      <formula>AND(AB$9&gt;=14/24,AB$9&lt;20/24)</formula>
    </cfRule>
    <cfRule type="expression" dxfId="2194" priority="21">
      <formula>AND(AB$9&gt;=8/24,AB$9&lt;14/24)</formula>
    </cfRule>
    <cfRule type="expression" dxfId="2193" priority="22">
      <formula>AB$9&lt;8/24</formula>
    </cfRule>
  </conditionalFormatting>
  <conditionalFormatting sqref="AB39:AF39">
    <cfRule type="expression" dxfId="2192" priority="15">
      <formula>AB$9&gt;=20/24</formula>
    </cfRule>
    <cfRule type="expression" dxfId="2191" priority="16">
      <formula>AND(AB$9&gt;=14/24,AB$9&lt;20/24)</formula>
    </cfRule>
    <cfRule type="expression" dxfId="2190" priority="17">
      <formula>AND(AB$9&gt;=8/24,AB$9&lt;14/24)</formula>
    </cfRule>
    <cfRule type="expression" dxfId="2189" priority="18">
      <formula>AB$9&lt;8/24</formula>
    </cfRule>
  </conditionalFormatting>
  <conditionalFormatting sqref="AB39:AF41">
    <cfRule type="expression" dxfId="2188" priority="14">
      <formula>AB39&gt;$AG39</formula>
    </cfRule>
  </conditionalFormatting>
  <conditionalFormatting sqref="AB42:AF50">
    <cfRule type="expression" dxfId="2187" priority="10">
      <formula>AB$9&gt;=20/24</formula>
    </cfRule>
    <cfRule type="expression" dxfId="2186" priority="11">
      <formula>AND(AB$9&gt;=14/24,AB$9&lt;20/24)</formula>
    </cfRule>
    <cfRule type="expression" dxfId="2185" priority="12">
      <formula>AND(AB$9&gt;=8/24,AB$9&lt;14/24)</formula>
    </cfRule>
    <cfRule type="expression" dxfId="2184" priority="13">
      <formula>AB$9&lt;8/24</formula>
    </cfRule>
  </conditionalFormatting>
  <conditionalFormatting sqref="AB42:AF50">
    <cfRule type="expression" dxfId="2183" priority="9">
      <formula>AB42&gt;$AG42</formula>
    </cfRule>
  </conditionalFormatting>
  <conditionalFormatting sqref="AB57">
    <cfRule type="expression" dxfId="2182" priority="5">
      <formula>AB$9&gt;=20/24</formula>
    </cfRule>
    <cfRule type="expression" dxfId="2181" priority="6">
      <formula>AND(AB$9&gt;=14/24,AB$9&lt;20/24)</formula>
    </cfRule>
    <cfRule type="expression" dxfId="2180" priority="7">
      <formula>AND(AB$9&gt;=8/24,AB$9&lt;14/24)</formula>
    </cfRule>
    <cfRule type="expression" dxfId="2179" priority="8">
      <formula>AB$9&lt;8/24</formula>
    </cfRule>
  </conditionalFormatting>
  <conditionalFormatting sqref="AB58:AB67">
    <cfRule type="expression" dxfId="2178" priority="1">
      <formula>AB$9&gt;=20/24</formula>
    </cfRule>
    <cfRule type="expression" dxfId="2177" priority="2">
      <formula>AND(AB$9&gt;=14/24,AB$9&lt;20/24)</formula>
    </cfRule>
    <cfRule type="expression" dxfId="2176" priority="3">
      <formula>AND(AB$9&gt;=8/24,AB$9&lt;14/24)</formula>
    </cfRule>
    <cfRule type="expression" dxfId="2175" priority="4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86" activePane="bottomRight" state="frozen"/>
      <selection activeCell="AF88" sqref="AF88"/>
      <selection pane="topRight" activeCell="AF88" sqref="AF88"/>
      <selection pane="bottomLeft" activeCell="AF88" sqref="AF88"/>
      <selection pane="bottomRight" activeCell="F53" sqref="F5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2079/02/23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77</v>
      </c>
      <c r="C5" s="32">
        <f t="shared" si="0"/>
        <v>71.7</v>
      </c>
      <c r="D5" s="32">
        <f t="shared" si="0"/>
        <v>93.4</v>
      </c>
      <c r="E5" s="32">
        <f t="shared" si="0"/>
        <v>72</v>
      </c>
      <c r="F5" s="32">
        <f t="shared" si="0"/>
        <v>88</v>
      </c>
      <c r="G5" s="32">
        <f t="shared" si="0"/>
        <v>86.6</v>
      </c>
      <c r="H5" s="32">
        <f t="shared" si="0"/>
        <v>59.1</v>
      </c>
      <c r="I5" s="32">
        <f t="shared" si="0"/>
        <v>89.1</v>
      </c>
      <c r="J5" s="32">
        <f t="shared" si="0"/>
        <v>87.3</v>
      </c>
      <c r="K5" s="32">
        <f t="shared" si="0"/>
        <v>83.3</v>
      </c>
      <c r="L5" s="32">
        <f t="shared" si="0"/>
        <v>92</v>
      </c>
      <c r="M5" s="32">
        <f t="shared" si="0"/>
        <v>67</v>
      </c>
      <c r="N5" s="32">
        <f t="shared" si="0"/>
        <v>63.7</v>
      </c>
      <c r="O5" s="32">
        <f t="shared" si="0"/>
        <v>77.599999999999994</v>
      </c>
      <c r="P5" s="32">
        <f t="shared" si="0"/>
        <v>68.7</v>
      </c>
      <c r="Q5" s="32">
        <f t="shared" si="0"/>
        <v>74.599999999999994</v>
      </c>
      <c r="R5" s="32">
        <f t="shared" si="0"/>
        <v>76.8</v>
      </c>
      <c r="S5" s="32">
        <f t="shared" si="0"/>
        <v>78.2</v>
      </c>
      <c r="T5" s="32">
        <f t="shared" si="0"/>
        <v>72.5</v>
      </c>
      <c r="U5" s="32">
        <f t="shared" si="0"/>
        <v>66</v>
      </c>
      <c r="V5" s="32">
        <f t="shared" si="0"/>
        <v>77.099999999999994</v>
      </c>
      <c r="W5" s="32">
        <f t="shared" si="0"/>
        <v>77.099999999999994</v>
      </c>
      <c r="X5" s="32">
        <f t="shared" si="0"/>
        <v>67</v>
      </c>
      <c r="Y5" s="32">
        <f t="shared" si="0"/>
        <v>66.7</v>
      </c>
      <c r="Z5" s="32">
        <f t="shared" si="0"/>
        <v>55.4</v>
      </c>
      <c r="AA5" s="32">
        <f t="shared" si="0"/>
        <v>76.400000000000006</v>
      </c>
      <c r="AB5" s="32">
        <f t="shared" si="0"/>
        <v>79.8</v>
      </c>
      <c r="AC5" s="32">
        <f t="shared" si="0"/>
        <v>75.8</v>
      </c>
      <c r="AD5" s="32">
        <f t="shared" si="0"/>
        <v>79.7</v>
      </c>
      <c r="AE5" s="32">
        <f t="shared" si="0"/>
        <v>70.7</v>
      </c>
      <c r="AF5" s="32">
        <f>B68</f>
        <v>46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1787MW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Load=1694</v>
      </c>
      <c r="B7" s="37">
        <f>B75</f>
        <v>1745.04</v>
      </c>
      <c r="C7" s="37">
        <f t="shared" ref="C7:AF7" si="1">C75</f>
        <v>1777.64</v>
      </c>
      <c r="D7" s="37">
        <f t="shared" si="1"/>
        <v>1772.3400000000001</v>
      </c>
      <c r="E7" s="37">
        <f t="shared" si="1"/>
        <v>1714.8400000000001</v>
      </c>
      <c r="F7" s="37">
        <f t="shared" si="1"/>
        <v>1694.8400000000001</v>
      </c>
      <c r="G7" s="37">
        <f t="shared" si="1"/>
        <v>1709.54</v>
      </c>
      <c r="H7" s="37">
        <f t="shared" si="1"/>
        <v>1707.9399999999998</v>
      </c>
      <c r="I7" s="37">
        <f t="shared" si="1"/>
        <v>1704.6399999999999</v>
      </c>
      <c r="J7" s="37">
        <f t="shared" si="1"/>
        <v>1702.8399999999997</v>
      </c>
      <c r="K7" s="37">
        <f t="shared" si="1"/>
        <v>1701.1399999999999</v>
      </c>
      <c r="L7" s="37">
        <f t="shared" si="1"/>
        <v>1751.7399999999998</v>
      </c>
      <c r="M7" s="37">
        <f t="shared" si="1"/>
        <v>1730.7399999999998</v>
      </c>
      <c r="N7" s="37">
        <f t="shared" si="1"/>
        <v>1786.6399999999999</v>
      </c>
      <c r="O7" s="37">
        <f t="shared" si="1"/>
        <v>1713.24</v>
      </c>
      <c r="P7" s="37">
        <f t="shared" si="1"/>
        <v>1798.9399999999998</v>
      </c>
      <c r="Q7" s="37">
        <f t="shared" si="1"/>
        <v>1693.74</v>
      </c>
      <c r="R7" s="37">
        <f t="shared" si="1"/>
        <v>1734.4399999999998</v>
      </c>
      <c r="S7" s="37">
        <f t="shared" si="1"/>
        <v>1771.34</v>
      </c>
      <c r="T7" s="37">
        <f t="shared" si="1"/>
        <v>1783.74</v>
      </c>
      <c r="U7" s="37">
        <f t="shared" si="1"/>
        <v>1778.34</v>
      </c>
      <c r="V7" s="37">
        <f t="shared" si="1"/>
        <v>1758.94</v>
      </c>
      <c r="W7" s="37">
        <f t="shared" si="1"/>
        <v>1766.04</v>
      </c>
      <c r="X7" s="37">
        <f t="shared" si="1"/>
        <v>1766.04</v>
      </c>
      <c r="Y7" s="37">
        <f t="shared" si="1"/>
        <v>1755.94</v>
      </c>
      <c r="Z7" s="37">
        <f t="shared" si="1"/>
        <v>1747.64</v>
      </c>
      <c r="AA7" s="37">
        <f t="shared" si="1"/>
        <v>1765.8400000000001</v>
      </c>
      <c r="AB7" s="37">
        <f t="shared" si="1"/>
        <v>1796.74</v>
      </c>
      <c r="AC7" s="37">
        <f t="shared" si="1"/>
        <v>1801.04</v>
      </c>
      <c r="AD7" s="37">
        <f t="shared" si="1"/>
        <v>1797.74</v>
      </c>
      <c r="AE7" s="37">
        <f t="shared" si="1"/>
        <v>1795.0400000000002</v>
      </c>
      <c r="AF7" s="37">
        <f t="shared" si="1"/>
        <v>1762.5400000000002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51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1">
        <v>456</v>
      </c>
      <c r="L11" s="52">
        <v>400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1">
        <v>456</v>
      </c>
      <c r="Y11" s="51">
        <v>456</v>
      </c>
      <c r="Z11" s="51">
        <v>456</v>
      </c>
      <c r="AA11" s="51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400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54.2</v>
      </c>
      <c r="C13" s="51">
        <v>54.2</v>
      </c>
      <c r="D13" s="51">
        <v>54.2</v>
      </c>
      <c r="E13" s="51">
        <v>54.2</v>
      </c>
      <c r="F13" s="51">
        <v>54.2</v>
      </c>
      <c r="G13" s="51">
        <v>54.3</v>
      </c>
      <c r="H13" s="51">
        <v>54.3</v>
      </c>
      <c r="I13" s="51">
        <v>54.3</v>
      </c>
      <c r="J13" s="51">
        <v>54.3</v>
      </c>
      <c r="K13" s="51">
        <v>54.3</v>
      </c>
      <c r="L13" s="51">
        <v>54.3</v>
      </c>
      <c r="M13" s="51">
        <v>54.3</v>
      </c>
      <c r="N13" s="51">
        <v>54.3</v>
      </c>
      <c r="O13" s="51">
        <v>54.3</v>
      </c>
      <c r="P13" s="51">
        <v>54.3</v>
      </c>
      <c r="Q13" s="51">
        <v>54.3</v>
      </c>
      <c r="R13" s="51">
        <v>54.3</v>
      </c>
      <c r="S13" s="51">
        <v>54.3</v>
      </c>
      <c r="T13" s="51">
        <v>54.3</v>
      </c>
      <c r="U13" s="51">
        <v>54.3</v>
      </c>
      <c r="V13" s="51">
        <v>54.3</v>
      </c>
      <c r="W13" s="51">
        <v>54.3</v>
      </c>
      <c r="X13" s="51">
        <v>54.3</v>
      </c>
      <c r="Y13" s="51">
        <v>54.3</v>
      </c>
      <c r="Z13" s="51">
        <v>54.3</v>
      </c>
      <c r="AA13" s="51">
        <v>54.3</v>
      </c>
      <c r="AB13" s="51">
        <v>54.3</v>
      </c>
      <c r="AC13" s="51">
        <v>54.3</v>
      </c>
      <c r="AD13" s="51">
        <v>54.3</v>
      </c>
      <c r="AE13" s="51">
        <v>54.3</v>
      </c>
      <c r="AF13" s="51">
        <v>54.3</v>
      </c>
      <c r="AG13" s="59">
        <v>52.4</v>
      </c>
      <c r="AH13" s="55">
        <f t="shared" si="2"/>
        <v>54.3</v>
      </c>
      <c r="AI13" s="56">
        <f t="shared" si="3"/>
        <v>54.2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50.6</v>
      </c>
      <c r="C14" s="51">
        <v>50.6</v>
      </c>
      <c r="D14" s="51">
        <v>50.6</v>
      </c>
      <c r="E14" s="51">
        <v>50.6</v>
      </c>
      <c r="F14" s="51">
        <v>50.6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50.6</v>
      </c>
      <c r="O14" s="51">
        <v>50.6</v>
      </c>
      <c r="P14" s="51">
        <v>50.6</v>
      </c>
      <c r="Q14" s="51">
        <v>50.6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50.5</v>
      </c>
      <c r="AC14" s="51">
        <v>50.3</v>
      </c>
      <c r="AD14" s="51">
        <v>50.4</v>
      </c>
      <c r="AE14" s="51">
        <v>50.4</v>
      </c>
      <c r="AF14" s="51">
        <v>50.4</v>
      </c>
      <c r="AG14" s="59">
        <v>50</v>
      </c>
      <c r="AH14" s="55">
        <f t="shared" si="2"/>
        <v>50.6</v>
      </c>
      <c r="AI14" s="56">
        <f t="shared" si="3"/>
        <v>50.3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45.9</v>
      </c>
      <c r="C15" s="51">
        <v>45.9</v>
      </c>
      <c r="D15" s="51">
        <v>45.9</v>
      </c>
      <c r="E15" s="51">
        <v>45.9</v>
      </c>
      <c r="F15" s="51">
        <v>45.9</v>
      </c>
      <c r="G15" s="51">
        <v>45.9</v>
      </c>
      <c r="H15" s="51">
        <v>45.9</v>
      </c>
      <c r="I15" s="51">
        <v>45.9</v>
      </c>
      <c r="J15" s="51">
        <v>45.9</v>
      </c>
      <c r="K15" s="51">
        <v>45.9</v>
      </c>
      <c r="L15" s="51">
        <v>45.9</v>
      </c>
      <c r="M15" s="51">
        <v>45.9</v>
      </c>
      <c r="N15" s="51">
        <v>45.9</v>
      </c>
      <c r="O15" s="51">
        <v>45.9</v>
      </c>
      <c r="P15" s="51">
        <v>45.9</v>
      </c>
      <c r="Q15" s="51">
        <v>45.9</v>
      </c>
      <c r="R15" s="51">
        <v>45.9</v>
      </c>
      <c r="S15" s="51">
        <v>45.9</v>
      </c>
      <c r="T15" s="51">
        <v>45.9</v>
      </c>
      <c r="U15" s="51">
        <v>45.9</v>
      </c>
      <c r="V15" s="51">
        <v>45.9</v>
      </c>
      <c r="W15" s="51">
        <v>45.9</v>
      </c>
      <c r="X15" s="51">
        <v>45.9</v>
      </c>
      <c r="Y15" s="51">
        <v>45.9</v>
      </c>
      <c r="Z15" s="51">
        <v>45.9</v>
      </c>
      <c r="AA15" s="51">
        <v>45.9</v>
      </c>
      <c r="AB15" s="51">
        <v>45.9</v>
      </c>
      <c r="AC15" s="51">
        <v>45.9</v>
      </c>
      <c r="AD15" s="51">
        <v>45.9</v>
      </c>
      <c r="AE15" s="51">
        <v>45.9</v>
      </c>
      <c r="AF15" s="51">
        <v>45.9</v>
      </c>
      <c r="AG15" s="60">
        <v>45</v>
      </c>
      <c r="AH15" s="55">
        <f t="shared" si="2"/>
        <v>45.9</v>
      </c>
      <c r="AI15" s="56">
        <f t="shared" si="3"/>
        <v>45.9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40</v>
      </c>
      <c r="D16" s="51">
        <v>40</v>
      </c>
      <c r="E16" s="51">
        <v>40</v>
      </c>
      <c r="F16" s="51">
        <v>40</v>
      </c>
      <c r="G16" s="51">
        <v>40</v>
      </c>
      <c r="H16" s="51">
        <v>40</v>
      </c>
      <c r="I16" s="51">
        <v>40</v>
      </c>
      <c r="J16" s="51">
        <v>40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38</v>
      </c>
      <c r="X16" s="51">
        <v>38</v>
      </c>
      <c r="Y16" s="51">
        <v>38</v>
      </c>
      <c r="Z16" s="51">
        <v>38</v>
      </c>
      <c r="AA16" s="51">
        <v>40</v>
      </c>
      <c r="AB16" s="51">
        <v>40</v>
      </c>
      <c r="AC16" s="51">
        <v>40</v>
      </c>
      <c r="AD16" s="51">
        <v>40</v>
      </c>
      <c r="AE16" s="51">
        <v>35</v>
      </c>
      <c r="AF16" s="51">
        <v>35</v>
      </c>
      <c r="AG16" s="59">
        <v>45</v>
      </c>
      <c r="AH16" s="55">
        <f t="shared" si="2"/>
        <v>40</v>
      </c>
      <c r="AI16" s="56">
        <f t="shared" si="3"/>
        <v>35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26.3</v>
      </c>
      <c r="C19" s="51">
        <v>26.3</v>
      </c>
      <c r="D19" s="51">
        <v>26.3</v>
      </c>
      <c r="E19" s="51">
        <v>26.2</v>
      </c>
      <c r="F19" s="51">
        <v>26.2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26.3</v>
      </c>
      <c r="AI19" s="56">
        <f t="shared" si="3"/>
        <v>26.2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20.2</v>
      </c>
      <c r="C20" s="51">
        <v>20.2</v>
      </c>
      <c r="D20" s="51">
        <v>20.2</v>
      </c>
      <c r="E20" s="51">
        <v>20.2</v>
      </c>
      <c r="F20" s="51">
        <v>20.2</v>
      </c>
      <c r="G20" s="51">
        <v>20.2</v>
      </c>
      <c r="H20" s="51">
        <v>20.2</v>
      </c>
      <c r="I20" s="51">
        <v>20.2</v>
      </c>
      <c r="J20" s="51">
        <v>20.2</v>
      </c>
      <c r="K20" s="51">
        <v>20.2</v>
      </c>
      <c r="L20" s="51">
        <v>20.2</v>
      </c>
      <c r="M20" s="51">
        <v>20.2</v>
      </c>
      <c r="N20" s="51">
        <v>23.3</v>
      </c>
      <c r="O20" s="51">
        <v>23.3</v>
      </c>
      <c r="P20" s="51">
        <v>23.3</v>
      </c>
      <c r="Q20" s="51">
        <v>0</v>
      </c>
      <c r="R20" s="51">
        <v>0</v>
      </c>
      <c r="S20" s="51">
        <v>0</v>
      </c>
      <c r="T20" s="51">
        <v>11</v>
      </c>
      <c r="U20" s="51">
        <v>11.3</v>
      </c>
      <c r="V20" s="51">
        <v>11.3</v>
      </c>
      <c r="W20" s="51">
        <v>11.3</v>
      </c>
      <c r="X20" s="51">
        <v>11.3</v>
      </c>
      <c r="Y20" s="51">
        <v>11.3</v>
      </c>
      <c r="Z20" s="51">
        <v>11.3</v>
      </c>
      <c r="AA20" s="51">
        <v>11.3</v>
      </c>
      <c r="AB20" s="51">
        <v>20.2</v>
      </c>
      <c r="AC20" s="51">
        <v>20.2</v>
      </c>
      <c r="AD20" s="51">
        <v>20.2</v>
      </c>
      <c r="AE20" s="51">
        <v>20.2</v>
      </c>
      <c r="AF20" s="51">
        <v>20.2</v>
      </c>
      <c r="AG20" s="59">
        <v>27</v>
      </c>
      <c r="AH20" s="55">
        <f t="shared" si="2"/>
        <v>23.3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>
        <v>11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59">
        <v>25</v>
      </c>
      <c r="AH21" s="55">
        <f t="shared" si="2"/>
        <v>11</v>
      </c>
      <c r="AI21" s="56">
        <f t="shared" si="3"/>
        <v>11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10.5</v>
      </c>
      <c r="C26" s="51">
        <v>10.5</v>
      </c>
      <c r="D26" s="51">
        <v>10.5</v>
      </c>
      <c r="E26" s="51">
        <v>10.5</v>
      </c>
      <c r="F26" s="51">
        <v>10.5</v>
      </c>
      <c r="G26" s="51">
        <v>10.5</v>
      </c>
      <c r="H26" s="51">
        <v>10.5</v>
      </c>
      <c r="I26" s="51">
        <v>10.5</v>
      </c>
      <c r="J26" s="51">
        <v>10.5</v>
      </c>
      <c r="K26" s="51">
        <v>10.5</v>
      </c>
      <c r="L26" s="51">
        <v>4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8</v>
      </c>
      <c r="X26" s="51">
        <v>8</v>
      </c>
      <c r="Y26" s="51">
        <v>8</v>
      </c>
      <c r="Z26" s="51">
        <v>8</v>
      </c>
      <c r="AA26" s="51">
        <v>10.5</v>
      </c>
      <c r="AB26" s="51">
        <v>10.5</v>
      </c>
      <c r="AC26" s="51">
        <v>10.5</v>
      </c>
      <c r="AD26" s="51">
        <v>10.5</v>
      </c>
      <c r="AE26" s="51">
        <v>10.5</v>
      </c>
      <c r="AF26" s="51">
        <v>5</v>
      </c>
      <c r="AG26" s="59">
        <v>20</v>
      </c>
      <c r="AH26" s="55">
        <f t="shared" si="2"/>
        <v>10.5</v>
      </c>
      <c r="AI26" s="56">
        <f t="shared" si="3"/>
        <v>4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12</v>
      </c>
      <c r="C28" s="51">
        <v>12</v>
      </c>
      <c r="D28" s="51">
        <v>12</v>
      </c>
      <c r="E28" s="51">
        <v>12</v>
      </c>
      <c r="F28" s="51">
        <v>12</v>
      </c>
      <c r="G28" s="51">
        <v>12</v>
      </c>
      <c r="H28" s="51">
        <v>12</v>
      </c>
      <c r="I28" s="51">
        <v>12</v>
      </c>
      <c r="J28" s="51">
        <v>12</v>
      </c>
      <c r="K28" s="51">
        <v>12</v>
      </c>
      <c r="L28" s="51">
        <v>12</v>
      </c>
      <c r="M28" s="51">
        <v>12</v>
      </c>
      <c r="N28" s="51">
        <v>12</v>
      </c>
      <c r="O28" s="51">
        <v>12</v>
      </c>
      <c r="P28" s="51">
        <v>12</v>
      </c>
      <c r="Q28" s="51">
        <v>12</v>
      </c>
      <c r="R28" s="51">
        <v>12</v>
      </c>
      <c r="S28" s="51">
        <v>12</v>
      </c>
      <c r="T28" s="51">
        <v>12</v>
      </c>
      <c r="U28" s="51">
        <v>12</v>
      </c>
      <c r="V28" s="51">
        <v>12</v>
      </c>
      <c r="W28" s="51">
        <v>12</v>
      </c>
      <c r="X28" s="51">
        <v>12</v>
      </c>
      <c r="Y28" s="51">
        <v>12</v>
      </c>
      <c r="Z28" s="51">
        <v>12</v>
      </c>
      <c r="AA28" s="51">
        <v>12</v>
      </c>
      <c r="AB28" s="51">
        <v>12</v>
      </c>
      <c r="AC28" s="51">
        <v>12</v>
      </c>
      <c r="AD28" s="51">
        <v>12</v>
      </c>
      <c r="AE28" s="51">
        <v>12</v>
      </c>
      <c r="AF28" s="51">
        <v>12</v>
      </c>
      <c r="AG28" s="59">
        <v>22.2</v>
      </c>
      <c r="AH28" s="55">
        <f t="shared" si="2"/>
        <v>12</v>
      </c>
      <c r="AI28" s="56">
        <f t="shared" si="3"/>
        <v>12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59">
        <v>22.1</v>
      </c>
      <c r="AH29" s="55">
        <f t="shared" si="2"/>
        <v>6</v>
      </c>
      <c r="AI29" s="56">
        <f t="shared" si="3"/>
        <v>6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4</v>
      </c>
      <c r="K30" s="51">
        <v>4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10</v>
      </c>
      <c r="C32" s="51">
        <v>10</v>
      </c>
      <c r="D32" s="51">
        <v>10</v>
      </c>
      <c r="E32" s="51">
        <v>10</v>
      </c>
      <c r="F32" s="51">
        <v>10</v>
      </c>
      <c r="G32" s="51">
        <v>10</v>
      </c>
      <c r="H32" s="51">
        <v>10</v>
      </c>
      <c r="I32" s="51">
        <v>10</v>
      </c>
      <c r="J32" s="51">
        <v>10</v>
      </c>
      <c r="K32" s="51">
        <v>10</v>
      </c>
      <c r="L32" s="51">
        <v>10</v>
      </c>
      <c r="M32" s="51">
        <v>10</v>
      </c>
      <c r="N32" s="51">
        <v>10</v>
      </c>
      <c r="O32" s="51">
        <v>10</v>
      </c>
      <c r="P32" s="51">
        <v>10</v>
      </c>
      <c r="Q32" s="51">
        <v>10</v>
      </c>
      <c r="R32" s="51">
        <v>10</v>
      </c>
      <c r="S32" s="51">
        <v>10</v>
      </c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1">
        <v>10</v>
      </c>
      <c r="Z32" s="51">
        <v>10</v>
      </c>
      <c r="AA32" s="51">
        <v>10</v>
      </c>
      <c r="AB32" s="51">
        <v>10</v>
      </c>
      <c r="AC32" s="51">
        <v>10</v>
      </c>
      <c r="AD32" s="51">
        <v>10</v>
      </c>
      <c r="AE32" s="51">
        <v>10</v>
      </c>
      <c r="AF32" s="51">
        <v>10</v>
      </c>
      <c r="AG32" s="64">
        <v>22</v>
      </c>
      <c r="AH32" s="55">
        <f t="shared" si="2"/>
        <v>10</v>
      </c>
      <c r="AI32" s="56">
        <f t="shared" si="3"/>
        <v>10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10</v>
      </c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1">
        <v>10</v>
      </c>
      <c r="S34" s="51">
        <v>10</v>
      </c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1"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64">
        <v>20</v>
      </c>
      <c r="AH34" s="55">
        <f t="shared" si="2"/>
        <v>10</v>
      </c>
      <c r="AI34" s="56">
        <f t="shared" si="3"/>
        <v>10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290</v>
      </c>
      <c r="K36" s="66">
        <v>290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290</v>
      </c>
      <c r="AK36" s="57"/>
    </row>
    <row r="37" spans="1:88" ht="15.75" thickBot="1" x14ac:dyDescent="0.3">
      <c r="A37" s="67" t="s">
        <v>45</v>
      </c>
      <c r="B37" s="68">
        <v>175.2</v>
      </c>
      <c r="C37" s="68">
        <v>175.2</v>
      </c>
      <c r="D37" s="68">
        <f>73.2+102</f>
        <v>175.2</v>
      </c>
      <c r="E37" s="66">
        <f>102.6+72.9</f>
        <v>175.5</v>
      </c>
      <c r="F37" s="66">
        <f>102.3+73.6</f>
        <v>175.89999999999998</v>
      </c>
      <c r="G37" s="66">
        <f>101.9+73.1</f>
        <v>175</v>
      </c>
      <c r="H37" s="66">
        <f>101.4+73</f>
        <v>174.4</v>
      </c>
      <c r="I37" s="66">
        <f>101.2+73</f>
        <v>174.2</v>
      </c>
      <c r="J37" s="66">
        <f>86+72.9</f>
        <v>158.9</v>
      </c>
      <c r="K37" s="66">
        <f>89.8+72.3</f>
        <v>162.1</v>
      </c>
      <c r="L37" s="66">
        <f>100+72</f>
        <v>172</v>
      </c>
      <c r="M37" s="66">
        <f>70.4+99.7</f>
        <v>170.10000000000002</v>
      </c>
      <c r="N37" s="66">
        <f>71.8+99.8</f>
        <v>171.6</v>
      </c>
      <c r="O37" s="66">
        <f>71.7+100.2</f>
        <v>171.9</v>
      </c>
      <c r="P37" s="66">
        <f>68.5+100</f>
        <v>168.5</v>
      </c>
      <c r="Q37" s="66">
        <f>71+99.5</f>
        <v>170.5</v>
      </c>
      <c r="R37" s="66">
        <f>69.9+100.6</f>
        <v>170.5</v>
      </c>
      <c r="S37" s="66">
        <f>69.9+100.6</f>
        <v>170.5</v>
      </c>
      <c r="T37" s="66">
        <f>100.8+70.9</f>
        <v>171.7</v>
      </c>
      <c r="U37" s="68">
        <f>69.7+100.7</f>
        <v>170.4</v>
      </c>
      <c r="V37" s="68">
        <f>70.2+100.3</f>
        <v>170.5</v>
      </c>
      <c r="W37" s="68">
        <f>68.7+99.6</f>
        <v>168.3</v>
      </c>
      <c r="X37" s="68">
        <f>70+99.4</f>
        <v>169.4</v>
      </c>
      <c r="Y37" s="68">
        <f>70+99.4</f>
        <v>169.4</v>
      </c>
      <c r="Z37" s="68">
        <f>69.1+98.1</f>
        <v>167.2</v>
      </c>
      <c r="AA37" s="68">
        <f>68.4+97.9</f>
        <v>166.3</v>
      </c>
      <c r="AB37" s="68">
        <f>98.9+69.1</f>
        <v>168</v>
      </c>
      <c r="AC37" s="68">
        <f>99.2+69.6</f>
        <v>168.8</v>
      </c>
      <c r="AD37" s="68">
        <f>99.9+69.3</f>
        <v>169.2</v>
      </c>
      <c r="AE37" s="68">
        <f>100.8+70</f>
        <v>170.8</v>
      </c>
      <c r="AF37" s="68">
        <f>101.5+69</f>
        <v>170.5</v>
      </c>
      <c r="AG37" s="64">
        <v>240</v>
      </c>
      <c r="AH37" s="55">
        <f t="shared" si="2"/>
        <v>175.89999999999998</v>
      </c>
      <c r="AI37" s="56">
        <f t="shared" si="3"/>
        <v>158.9</v>
      </c>
      <c r="AK37" s="57"/>
    </row>
    <row r="38" spans="1:88" ht="15.75" thickBot="1" x14ac:dyDescent="0.3">
      <c r="A38" s="69" t="s">
        <v>46</v>
      </c>
      <c r="B38" s="70">
        <v>1273.6999999999998</v>
      </c>
      <c r="C38" s="70">
        <f t="shared" ref="C38:L38" si="4">SUM(C11:C36)</f>
        <v>1276.2</v>
      </c>
      <c r="D38" s="70">
        <f t="shared" si="4"/>
        <v>1276.2</v>
      </c>
      <c r="E38" s="70">
        <f t="shared" si="4"/>
        <v>1276.1000000000001</v>
      </c>
      <c r="F38" s="70">
        <f t="shared" si="4"/>
        <v>1276.1000000000001</v>
      </c>
      <c r="G38" s="70">
        <f t="shared" si="4"/>
        <v>1276.0999999999999</v>
      </c>
      <c r="H38" s="70">
        <f t="shared" si="4"/>
        <v>1276.0999999999999</v>
      </c>
      <c r="I38" s="70">
        <f t="shared" si="4"/>
        <v>1276.0999999999999</v>
      </c>
      <c r="J38" s="70">
        <f t="shared" si="4"/>
        <v>1270.0999999999999</v>
      </c>
      <c r="K38" s="70">
        <f t="shared" si="4"/>
        <v>1270.0999999999999</v>
      </c>
      <c r="L38" s="70">
        <f t="shared" si="4"/>
        <v>1225.5999999999999</v>
      </c>
      <c r="M38" s="70">
        <f t="shared" ref="M38:S38" si="5">SUM(M11:M36)</f>
        <v>1287.5999999999999</v>
      </c>
      <c r="N38" s="70">
        <f t="shared" si="5"/>
        <v>1290.8</v>
      </c>
      <c r="O38" s="70">
        <f t="shared" si="5"/>
        <v>1290.8</v>
      </c>
      <c r="P38" s="70">
        <f t="shared" si="5"/>
        <v>1290.8</v>
      </c>
      <c r="Q38" s="70">
        <f t="shared" si="5"/>
        <v>1267.5</v>
      </c>
      <c r="R38" s="70">
        <f t="shared" si="5"/>
        <v>1267.5</v>
      </c>
      <c r="S38" s="70">
        <f t="shared" si="5"/>
        <v>1267.5</v>
      </c>
      <c r="T38" s="70">
        <f t="shared" ref="T38:AF38" si="6">SUM(T11:T36)</f>
        <v>1278.5</v>
      </c>
      <c r="U38" s="70">
        <f t="shared" si="6"/>
        <v>1278.8</v>
      </c>
      <c r="V38" s="70">
        <f t="shared" si="6"/>
        <v>1253.8</v>
      </c>
      <c r="W38" s="70">
        <f t="shared" si="6"/>
        <v>1249.8</v>
      </c>
      <c r="X38" s="70">
        <f t="shared" si="6"/>
        <v>1249.8</v>
      </c>
      <c r="Y38" s="70">
        <f t="shared" si="6"/>
        <v>1249.8</v>
      </c>
      <c r="Z38" s="70">
        <f t="shared" si="6"/>
        <v>1249.8</v>
      </c>
      <c r="AA38" s="70">
        <f t="shared" si="6"/>
        <v>1279.3</v>
      </c>
      <c r="AB38" s="70">
        <f t="shared" si="6"/>
        <v>1288.0999999999999</v>
      </c>
      <c r="AC38" s="70">
        <f t="shared" si="6"/>
        <v>1287.9000000000001</v>
      </c>
      <c r="AD38" s="70">
        <f t="shared" si="6"/>
        <v>1288</v>
      </c>
      <c r="AE38" s="70">
        <f t="shared" si="6"/>
        <v>1283</v>
      </c>
      <c r="AF38" s="70">
        <f t="shared" si="6"/>
        <v>1277.5</v>
      </c>
      <c r="AG38" s="64">
        <f>SUM(AG11:AG37)</f>
        <v>1492.8299999999997</v>
      </c>
      <c r="AH38" s="55">
        <f t="shared" si="2"/>
        <v>1290.8</v>
      </c>
      <c r="AI38" s="56">
        <f t="shared" si="3"/>
        <v>1225.5999999999999</v>
      </c>
      <c r="AK38" s="57"/>
    </row>
    <row r="39" spans="1:88" x14ac:dyDescent="0.25">
      <c r="A39" s="58" t="s">
        <v>47</v>
      </c>
      <c r="B39" s="51">
        <v>143.80000000000001</v>
      </c>
      <c r="C39" s="51">
        <v>143.80000000000001</v>
      </c>
      <c r="D39" s="51">
        <v>143.80000000000001</v>
      </c>
      <c r="E39" s="51">
        <v>72</v>
      </c>
      <c r="F39" s="51">
        <v>72</v>
      </c>
      <c r="G39" s="51">
        <v>72</v>
      </c>
      <c r="H39" s="51">
        <v>72</v>
      </c>
      <c r="I39" s="51">
        <v>96</v>
      </c>
      <c r="J39" s="51">
        <v>96</v>
      </c>
      <c r="K39" s="51">
        <v>96</v>
      </c>
      <c r="L39" s="51">
        <v>96</v>
      </c>
      <c r="M39" s="51">
        <v>96</v>
      </c>
      <c r="N39" s="51">
        <v>144</v>
      </c>
      <c r="O39" s="51">
        <v>144</v>
      </c>
      <c r="P39" s="51">
        <v>144</v>
      </c>
      <c r="Q39" s="51">
        <v>142.1</v>
      </c>
      <c r="R39" s="51">
        <v>142.1</v>
      </c>
      <c r="S39" s="51">
        <v>142.1</v>
      </c>
      <c r="T39" s="51">
        <v>142.1</v>
      </c>
      <c r="U39" s="51">
        <v>142.1</v>
      </c>
      <c r="V39" s="51">
        <v>144</v>
      </c>
      <c r="W39" s="51">
        <v>144</v>
      </c>
      <c r="X39" s="51">
        <v>144</v>
      </c>
      <c r="Y39" s="51">
        <v>144</v>
      </c>
      <c r="Z39" s="51">
        <v>144</v>
      </c>
      <c r="AA39" s="51">
        <v>144</v>
      </c>
      <c r="AB39" s="51">
        <v>143.9</v>
      </c>
      <c r="AC39" s="51">
        <v>144</v>
      </c>
      <c r="AD39" s="51">
        <v>144</v>
      </c>
      <c r="AE39" s="51">
        <v>143.69999999999999</v>
      </c>
      <c r="AF39" s="51">
        <v>143.69999999999999</v>
      </c>
      <c r="AG39" s="60">
        <v>144</v>
      </c>
      <c r="AH39" s="55">
        <f t="shared" si="2"/>
        <v>144</v>
      </c>
      <c r="AI39" s="56">
        <f t="shared" si="3"/>
        <v>72</v>
      </c>
      <c r="AK39" s="57"/>
    </row>
    <row r="40" spans="1:88" x14ac:dyDescent="0.25">
      <c r="A40" s="63" t="s">
        <v>48</v>
      </c>
      <c r="B40" s="49">
        <v>71.400000000000006</v>
      </c>
      <c r="C40" s="49">
        <v>71.400000000000006</v>
      </c>
      <c r="D40" s="49">
        <v>71.400000000000006</v>
      </c>
      <c r="E40" s="49">
        <v>71</v>
      </c>
      <c r="F40" s="49">
        <v>71</v>
      </c>
      <c r="G40" s="49">
        <v>71.099999999999994</v>
      </c>
      <c r="H40" s="49">
        <v>71.3</v>
      </c>
      <c r="I40" s="49">
        <v>71.3</v>
      </c>
      <c r="J40" s="49">
        <v>72.099999999999994</v>
      </c>
      <c r="K40" s="49">
        <v>72.400000000000006</v>
      </c>
      <c r="L40" s="49">
        <v>71</v>
      </c>
      <c r="M40" s="51">
        <v>70.900000000000006</v>
      </c>
      <c r="N40" s="51">
        <v>70.599999999999994</v>
      </c>
      <c r="O40" s="51">
        <v>0</v>
      </c>
      <c r="P40" s="51">
        <v>71.3</v>
      </c>
      <c r="Q40" s="51">
        <v>0</v>
      </c>
      <c r="R40" s="51">
        <v>34.799999999999997</v>
      </c>
      <c r="S40" s="51">
        <v>69.2</v>
      </c>
      <c r="T40" s="51">
        <v>69.2</v>
      </c>
      <c r="U40" s="51">
        <v>69.2</v>
      </c>
      <c r="V40" s="51">
        <v>69.2</v>
      </c>
      <c r="W40" s="51">
        <v>69.2</v>
      </c>
      <c r="X40" s="51">
        <v>69.2</v>
      </c>
      <c r="Y40" s="51">
        <v>69.2</v>
      </c>
      <c r="Z40" s="51">
        <v>69.2</v>
      </c>
      <c r="AA40" s="51">
        <v>69.2</v>
      </c>
      <c r="AB40" s="49">
        <v>71.099999999999994</v>
      </c>
      <c r="AC40" s="49">
        <v>71.5</v>
      </c>
      <c r="AD40" s="49">
        <v>72.099999999999994</v>
      </c>
      <c r="AE40" s="49">
        <v>71.3</v>
      </c>
      <c r="AF40" s="49">
        <v>71.3</v>
      </c>
      <c r="AG40" s="64">
        <v>70</v>
      </c>
      <c r="AH40" s="55">
        <f t="shared" si="2"/>
        <v>72.400000000000006</v>
      </c>
      <c r="AI40" s="56">
        <f t="shared" si="3"/>
        <v>0</v>
      </c>
      <c r="AK40" s="57"/>
    </row>
    <row r="41" spans="1:88" x14ac:dyDescent="0.25">
      <c r="A41" s="63" t="s">
        <v>49</v>
      </c>
      <c r="B41" s="49">
        <v>61.5</v>
      </c>
      <c r="C41" s="49">
        <v>61.5</v>
      </c>
      <c r="D41" s="49">
        <v>61.5</v>
      </c>
      <c r="E41" s="49">
        <v>60</v>
      </c>
      <c r="F41" s="49">
        <v>61.1</v>
      </c>
      <c r="G41" s="49">
        <v>61.1</v>
      </c>
      <c r="H41" s="49">
        <v>61.3</v>
      </c>
      <c r="I41" s="49">
        <v>61.3</v>
      </c>
      <c r="J41" s="49">
        <v>61.2</v>
      </c>
      <c r="K41" s="49">
        <v>61</v>
      </c>
      <c r="L41" s="49">
        <v>41</v>
      </c>
      <c r="M41" s="51">
        <v>61.2</v>
      </c>
      <c r="N41" s="51">
        <v>61.8</v>
      </c>
      <c r="O41" s="51">
        <v>61.7</v>
      </c>
      <c r="P41" s="51">
        <v>61.7</v>
      </c>
      <c r="Q41" s="51">
        <v>61.9</v>
      </c>
      <c r="R41" s="51">
        <v>61.9</v>
      </c>
      <c r="S41" s="51">
        <v>62.2</v>
      </c>
      <c r="T41" s="51">
        <v>62.2</v>
      </c>
      <c r="U41" s="51">
        <v>62.2</v>
      </c>
      <c r="V41" s="51">
        <v>63.4</v>
      </c>
      <c r="W41" s="51">
        <v>63.4</v>
      </c>
      <c r="X41" s="51">
        <v>63.4</v>
      </c>
      <c r="Y41" s="51">
        <v>63.4</v>
      </c>
      <c r="Z41" s="51">
        <v>63.4</v>
      </c>
      <c r="AA41" s="51">
        <v>63.4</v>
      </c>
      <c r="AB41" s="49">
        <v>62.1</v>
      </c>
      <c r="AC41" s="49">
        <v>62.7</v>
      </c>
      <c r="AD41" s="49">
        <v>62.8</v>
      </c>
      <c r="AE41" s="49">
        <v>62.3</v>
      </c>
      <c r="AF41" s="49">
        <v>62.3</v>
      </c>
      <c r="AG41" s="64">
        <v>69</v>
      </c>
      <c r="AH41" s="55">
        <f t="shared" si="2"/>
        <v>63.4</v>
      </c>
      <c r="AI41" s="56">
        <f t="shared" si="3"/>
        <v>41</v>
      </c>
      <c r="AK41" s="57"/>
    </row>
    <row r="42" spans="1:88" x14ac:dyDescent="0.25">
      <c r="A42" s="63" t="s">
        <v>50</v>
      </c>
      <c r="B42" s="66">
        <v>60.4</v>
      </c>
      <c r="C42" s="66">
        <v>60.4</v>
      </c>
      <c r="D42" s="66">
        <v>60.4</v>
      </c>
      <c r="E42" s="66">
        <v>60.4</v>
      </c>
      <c r="F42" s="66">
        <v>60.4</v>
      </c>
      <c r="G42" s="66">
        <v>60.2</v>
      </c>
      <c r="H42" s="66">
        <v>60.2</v>
      </c>
      <c r="I42" s="66">
        <v>60.4</v>
      </c>
      <c r="J42" s="66">
        <v>60.4</v>
      </c>
      <c r="K42" s="66">
        <v>60.4</v>
      </c>
      <c r="L42" s="66">
        <v>60.9</v>
      </c>
      <c r="M42" s="51">
        <v>60.9</v>
      </c>
      <c r="N42" s="51">
        <v>60.9</v>
      </c>
      <c r="O42" s="51">
        <v>60.9</v>
      </c>
      <c r="P42" s="51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51">
        <v>60.9</v>
      </c>
      <c r="AB42" s="66">
        <v>60.2</v>
      </c>
      <c r="AC42" s="66">
        <v>60.2</v>
      </c>
      <c r="AD42" s="66">
        <v>60.2</v>
      </c>
      <c r="AE42" s="66">
        <v>60.2</v>
      </c>
      <c r="AF42" s="66">
        <v>60.2</v>
      </c>
      <c r="AG42" s="64">
        <v>60</v>
      </c>
      <c r="AH42" s="55">
        <f t="shared" si="2"/>
        <v>60.9</v>
      </c>
      <c r="AI42" s="56">
        <f t="shared" si="3"/>
        <v>60.2</v>
      </c>
      <c r="AK42" s="57"/>
    </row>
    <row r="43" spans="1:88" x14ac:dyDescent="0.25">
      <c r="A43" s="63" t="s">
        <v>51</v>
      </c>
      <c r="B43" s="66">
        <v>30</v>
      </c>
      <c r="C43" s="66">
        <v>30</v>
      </c>
      <c r="D43" s="66">
        <v>30</v>
      </c>
      <c r="E43" s="66">
        <v>28.7</v>
      </c>
      <c r="F43" s="66">
        <v>28.5</v>
      </c>
      <c r="G43" s="66">
        <v>26.7</v>
      </c>
      <c r="H43" s="66">
        <v>26.5</v>
      </c>
      <c r="I43" s="66">
        <v>26.5</v>
      </c>
      <c r="J43" s="66">
        <v>0</v>
      </c>
      <c r="K43" s="66">
        <v>0</v>
      </c>
      <c r="L43" s="66">
        <v>0</v>
      </c>
      <c r="M43" s="51">
        <v>0</v>
      </c>
      <c r="N43" s="51">
        <v>30</v>
      </c>
      <c r="O43" s="51">
        <v>29.9</v>
      </c>
      <c r="P43" s="51">
        <v>30</v>
      </c>
      <c r="Q43" s="51">
        <v>30</v>
      </c>
      <c r="R43" s="51">
        <v>30</v>
      </c>
      <c r="S43" s="51">
        <v>30</v>
      </c>
      <c r="T43" s="51">
        <v>30</v>
      </c>
      <c r="U43" s="51">
        <v>30</v>
      </c>
      <c r="V43" s="51">
        <v>30</v>
      </c>
      <c r="W43" s="51">
        <v>30</v>
      </c>
      <c r="X43" s="51">
        <v>30</v>
      </c>
      <c r="Y43" s="51">
        <v>30</v>
      </c>
      <c r="Z43" s="51">
        <v>30</v>
      </c>
      <c r="AA43" s="51">
        <v>30</v>
      </c>
      <c r="AB43" s="66">
        <v>30</v>
      </c>
      <c r="AC43" s="66">
        <v>30</v>
      </c>
      <c r="AD43" s="66">
        <v>30</v>
      </c>
      <c r="AE43" s="66">
        <v>30</v>
      </c>
      <c r="AF43" s="66">
        <v>0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17.2</v>
      </c>
      <c r="C45" s="49">
        <v>17.2</v>
      </c>
      <c r="D45" s="49">
        <v>17.2</v>
      </c>
      <c r="E45" s="49">
        <v>14.7</v>
      </c>
      <c r="F45" s="49">
        <v>14.7</v>
      </c>
      <c r="G45" s="49">
        <v>14.7</v>
      </c>
      <c r="H45" s="49">
        <v>14.7</v>
      </c>
      <c r="I45" s="49">
        <v>14.7</v>
      </c>
      <c r="J45" s="49">
        <v>14.7</v>
      </c>
      <c r="K45" s="49">
        <v>14.7</v>
      </c>
      <c r="L45" s="49">
        <v>14.7</v>
      </c>
      <c r="M45" s="49">
        <v>14.7</v>
      </c>
      <c r="N45" s="49">
        <v>14.7</v>
      </c>
      <c r="O45" s="49">
        <v>14.8</v>
      </c>
      <c r="P45" s="49">
        <v>14.9</v>
      </c>
      <c r="Q45" s="49">
        <v>14.9</v>
      </c>
      <c r="R45" s="49">
        <v>14.9</v>
      </c>
      <c r="S45" s="49">
        <v>14.9</v>
      </c>
      <c r="T45" s="49">
        <v>14.9</v>
      </c>
      <c r="U45" s="49">
        <v>14.9</v>
      </c>
      <c r="V45" s="49">
        <v>15.6</v>
      </c>
      <c r="W45" s="49">
        <v>15.6</v>
      </c>
      <c r="X45" s="49">
        <v>15.6</v>
      </c>
      <c r="Y45" s="49">
        <v>15.6</v>
      </c>
      <c r="Z45" s="49">
        <v>15.6</v>
      </c>
      <c r="AA45" s="49">
        <v>15.6</v>
      </c>
      <c r="AB45" s="49">
        <v>16.899999999999999</v>
      </c>
      <c r="AC45" s="49">
        <v>16.899999999999999</v>
      </c>
      <c r="AD45" s="49">
        <v>16.8</v>
      </c>
      <c r="AE45" s="49">
        <v>16.8</v>
      </c>
      <c r="AF45" s="49">
        <v>16.8</v>
      </c>
      <c r="AG45" s="64">
        <v>24</v>
      </c>
      <c r="AH45" s="55">
        <f t="shared" si="2"/>
        <v>17.2</v>
      </c>
      <c r="AI45" s="56">
        <f t="shared" si="3"/>
        <v>14.7</v>
      </c>
      <c r="AK45" s="57"/>
    </row>
    <row r="46" spans="1:88" x14ac:dyDescent="0.25">
      <c r="A46" s="63" t="s">
        <v>54</v>
      </c>
      <c r="B46" s="49">
        <v>2.5</v>
      </c>
      <c r="C46" s="49">
        <v>2.5</v>
      </c>
      <c r="D46" s="49">
        <v>2.5</v>
      </c>
      <c r="E46" s="49">
        <v>2.5</v>
      </c>
      <c r="F46" s="49">
        <v>2.5</v>
      </c>
      <c r="G46" s="49">
        <v>2.5</v>
      </c>
      <c r="H46" s="49">
        <v>2.5</v>
      </c>
      <c r="I46" s="49">
        <v>2.5</v>
      </c>
      <c r="J46" s="49">
        <v>2.5</v>
      </c>
      <c r="K46" s="49">
        <v>2.5</v>
      </c>
      <c r="L46" s="49">
        <v>2.5</v>
      </c>
      <c r="M46" s="49">
        <v>2.5</v>
      </c>
      <c r="N46" s="49">
        <v>2.5</v>
      </c>
      <c r="O46" s="49">
        <v>2.5</v>
      </c>
      <c r="P46" s="49">
        <v>2.5</v>
      </c>
      <c r="Q46" s="49">
        <v>2.5</v>
      </c>
      <c r="R46" s="49">
        <v>2.5</v>
      </c>
      <c r="S46" s="49">
        <v>2.5</v>
      </c>
      <c r="T46" s="49">
        <v>2.5</v>
      </c>
      <c r="U46" s="49">
        <v>2.5</v>
      </c>
      <c r="V46" s="49">
        <v>2.5</v>
      </c>
      <c r="W46" s="49">
        <v>2.5</v>
      </c>
      <c r="X46" s="49">
        <v>2.5</v>
      </c>
      <c r="Y46" s="49">
        <v>2.5</v>
      </c>
      <c r="Z46" s="49">
        <v>2.5</v>
      </c>
      <c r="AA46" s="49">
        <v>2.5</v>
      </c>
      <c r="AB46" s="49">
        <v>2.5</v>
      </c>
      <c r="AC46" s="49">
        <v>2.5</v>
      </c>
      <c r="AD46" s="49">
        <v>2.5</v>
      </c>
      <c r="AE46" s="49">
        <v>2.5</v>
      </c>
      <c r="AF46" s="49">
        <v>2.5</v>
      </c>
      <c r="AG46" s="64">
        <v>15</v>
      </c>
      <c r="AH46" s="55">
        <f t="shared" si="2"/>
        <v>2.5</v>
      </c>
      <c r="AI46" s="56">
        <f t="shared" si="3"/>
        <v>2.5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11.6</v>
      </c>
      <c r="C47" s="49">
        <v>11.6</v>
      </c>
      <c r="D47" s="49">
        <v>11.6</v>
      </c>
      <c r="E47" s="49">
        <v>9.9</v>
      </c>
      <c r="F47" s="49">
        <v>10.5</v>
      </c>
      <c r="G47" s="49">
        <v>11.1</v>
      </c>
      <c r="H47" s="49">
        <v>10.7</v>
      </c>
      <c r="I47" s="49">
        <v>10.7</v>
      </c>
      <c r="J47" s="49">
        <v>10.7</v>
      </c>
      <c r="K47" s="49">
        <v>10.7</v>
      </c>
      <c r="L47" s="49">
        <v>10.7</v>
      </c>
      <c r="M47" s="49">
        <v>10.7</v>
      </c>
      <c r="N47" s="49">
        <v>10</v>
      </c>
      <c r="O47" s="49">
        <v>10.7</v>
      </c>
      <c r="P47" s="49">
        <v>10.9</v>
      </c>
      <c r="Q47" s="49">
        <v>10.9</v>
      </c>
      <c r="R47" s="49">
        <v>10.9</v>
      </c>
      <c r="S47" s="49">
        <v>10.9</v>
      </c>
      <c r="T47" s="49">
        <v>10.9</v>
      </c>
      <c r="U47" s="49">
        <v>10.9</v>
      </c>
      <c r="V47" s="49">
        <v>12.7</v>
      </c>
      <c r="W47" s="49">
        <v>12.7</v>
      </c>
      <c r="X47" s="49">
        <v>12.7</v>
      </c>
      <c r="Y47" s="49">
        <v>12.7</v>
      </c>
      <c r="Z47" s="49">
        <v>12.7</v>
      </c>
      <c r="AA47" s="49">
        <v>12.7</v>
      </c>
      <c r="AB47" s="49">
        <v>12.7</v>
      </c>
      <c r="AC47" s="49">
        <v>12.7</v>
      </c>
      <c r="AD47" s="49">
        <v>12.7</v>
      </c>
      <c r="AE47" s="49">
        <v>12.7</v>
      </c>
      <c r="AF47" s="49">
        <v>12.7</v>
      </c>
      <c r="AG47" s="64">
        <v>14.1</v>
      </c>
      <c r="AH47" s="55">
        <f t="shared" si="2"/>
        <v>12.7</v>
      </c>
      <c r="AI47" s="56">
        <f t="shared" si="3"/>
        <v>9.9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7.1</v>
      </c>
      <c r="C48" s="49">
        <v>7.1</v>
      </c>
      <c r="D48" s="49">
        <v>7.1</v>
      </c>
      <c r="E48" s="49">
        <v>7.1</v>
      </c>
      <c r="F48" s="49">
        <v>7</v>
      </c>
      <c r="G48" s="49">
        <v>7</v>
      </c>
      <c r="H48" s="49">
        <v>7</v>
      </c>
      <c r="I48" s="49">
        <v>7</v>
      </c>
      <c r="J48" s="49">
        <v>7</v>
      </c>
      <c r="K48" s="49">
        <v>7</v>
      </c>
      <c r="L48" s="49">
        <v>7</v>
      </c>
      <c r="M48" s="49">
        <v>7</v>
      </c>
      <c r="N48" s="49">
        <v>7.1</v>
      </c>
      <c r="O48" s="49">
        <v>7</v>
      </c>
      <c r="P48" s="49">
        <v>7.1</v>
      </c>
      <c r="Q48" s="49">
        <v>7.1</v>
      </c>
      <c r="R48" s="49">
        <v>7.1</v>
      </c>
      <c r="S48" s="49">
        <v>7.1</v>
      </c>
      <c r="T48" s="49">
        <v>7.1</v>
      </c>
      <c r="U48" s="49">
        <v>7.1</v>
      </c>
      <c r="V48" s="49">
        <v>13.6</v>
      </c>
      <c r="W48" s="49">
        <v>13.6</v>
      </c>
      <c r="X48" s="49">
        <v>13.6</v>
      </c>
      <c r="Y48" s="49">
        <v>13.6</v>
      </c>
      <c r="Z48" s="49">
        <v>13.6</v>
      </c>
      <c r="AA48" s="49">
        <v>13.6</v>
      </c>
      <c r="AB48" s="49">
        <v>13.6</v>
      </c>
      <c r="AC48" s="49">
        <v>13.6</v>
      </c>
      <c r="AD48" s="49">
        <v>13.6</v>
      </c>
      <c r="AE48" s="49">
        <v>13.6</v>
      </c>
      <c r="AF48" s="49">
        <v>13.6</v>
      </c>
      <c r="AG48" s="64">
        <v>14</v>
      </c>
      <c r="AH48" s="55">
        <f t="shared" si="2"/>
        <v>13.6</v>
      </c>
      <c r="AI48" s="56">
        <f t="shared" si="3"/>
        <v>7</v>
      </c>
      <c r="AK48" s="57"/>
    </row>
    <row r="49" spans="1:37" x14ac:dyDescent="0.25">
      <c r="A49" s="63" t="s">
        <v>57</v>
      </c>
      <c r="B49" s="49">
        <v>9.4</v>
      </c>
      <c r="C49" s="49">
        <v>9.4</v>
      </c>
      <c r="D49" s="49">
        <v>9.4</v>
      </c>
      <c r="E49" s="49">
        <v>9.5</v>
      </c>
      <c r="F49" s="49">
        <v>9.5</v>
      </c>
      <c r="G49" s="49">
        <v>9.5</v>
      </c>
      <c r="H49" s="49">
        <v>9.5</v>
      </c>
      <c r="I49" s="49">
        <v>9.5</v>
      </c>
      <c r="J49" s="49">
        <v>9.5</v>
      </c>
      <c r="K49" s="49">
        <v>9.5</v>
      </c>
      <c r="L49" s="49">
        <v>9.5</v>
      </c>
      <c r="M49" s="49">
        <v>9.5</v>
      </c>
      <c r="N49" s="49">
        <v>9.5</v>
      </c>
      <c r="O49" s="49">
        <v>9.5</v>
      </c>
      <c r="P49" s="49">
        <v>9.5</v>
      </c>
      <c r="Q49" s="49">
        <v>9.5</v>
      </c>
      <c r="R49" s="49">
        <v>9.5</v>
      </c>
      <c r="S49" s="49">
        <v>9.5</v>
      </c>
      <c r="T49" s="49">
        <v>9.5</v>
      </c>
      <c r="U49" s="49">
        <v>9.5</v>
      </c>
      <c r="V49" s="49">
        <v>9.5</v>
      </c>
      <c r="W49" s="49">
        <v>9.5</v>
      </c>
      <c r="X49" s="49">
        <v>9.5</v>
      </c>
      <c r="Y49" s="49">
        <v>9.5</v>
      </c>
      <c r="Z49" s="49">
        <v>9.5</v>
      </c>
      <c r="AA49" s="49">
        <v>9.5</v>
      </c>
      <c r="AB49" s="49">
        <v>9.5</v>
      </c>
      <c r="AC49" s="49">
        <v>9.5</v>
      </c>
      <c r="AD49" s="49">
        <v>9.5</v>
      </c>
      <c r="AE49" s="49">
        <v>9.5</v>
      </c>
      <c r="AF49" s="49">
        <v>9.5</v>
      </c>
      <c r="AG49" s="64">
        <v>10.050000000000001</v>
      </c>
      <c r="AH49" s="55">
        <f t="shared" si="2"/>
        <v>9.5</v>
      </c>
      <c r="AI49" s="56">
        <f t="shared" si="3"/>
        <v>9.4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49">
        <v>6.2</v>
      </c>
      <c r="N50" s="49">
        <v>6.2</v>
      </c>
      <c r="O50" s="49">
        <v>6.2</v>
      </c>
      <c r="P50" s="49">
        <v>6.2</v>
      </c>
      <c r="Q50" s="49">
        <v>6.2</v>
      </c>
      <c r="R50" s="49">
        <v>6.2</v>
      </c>
      <c r="S50" s="49">
        <v>6.2</v>
      </c>
      <c r="T50" s="49">
        <v>6.2</v>
      </c>
      <c r="U50" s="49">
        <v>6.2</v>
      </c>
      <c r="V50" s="49">
        <v>6.2</v>
      </c>
      <c r="W50" s="49">
        <v>6.2</v>
      </c>
      <c r="X50" s="49">
        <v>6.2</v>
      </c>
      <c r="Y50" s="49">
        <v>6.2</v>
      </c>
      <c r="Z50" s="49">
        <v>6.2</v>
      </c>
      <c r="AA50" s="49">
        <v>6.2</v>
      </c>
      <c r="AB50" s="49">
        <v>6.2</v>
      </c>
      <c r="AC50" s="49">
        <v>6.2</v>
      </c>
      <c r="AD50" s="49">
        <v>6.2</v>
      </c>
      <c r="AE50" s="49">
        <v>6.2</v>
      </c>
      <c r="AF50" s="49">
        <v>6.2</v>
      </c>
      <c r="AG50" s="64">
        <v>6.2</v>
      </c>
      <c r="AH50" s="55">
        <f t="shared" si="2"/>
        <v>6.2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v>425.34000000000003</v>
      </c>
      <c r="C52" s="70">
        <f t="shared" ref="C52:AF52" si="8">SUM(C39:C51)</f>
        <v>424.44000000000005</v>
      </c>
      <c r="D52" s="70">
        <f t="shared" si="8"/>
        <v>424.44000000000005</v>
      </c>
      <c r="E52" s="70">
        <f t="shared" si="8"/>
        <v>345.34</v>
      </c>
      <c r="F52" s="70">
        <f t="shared" si="8"/>
        <v>346.74</v>
      </c>
      <c r="G52" s="70">
        <f t="shared" si="8"/>
        <v>345.44</v>
      </c>
      <c r="H52" s="70">
        <f t="shared" si="8"/>
        <v>345.24</v>
      </c>
      <c r="I52" s="70">
        <f t="shared" si="8"/>
        <v>369.44</v>
      </c>
      <c r="J52" s="70">
        <f t="shared" si="8"/>
        <v>343.64</v>
      </c>
      <c r="K52" s="70">
        <f t="shared" si="8"/>
        <v>343.74</v>
      </c>
      <c r="L52" s="70">
        <f t="shared" si="8"/>
        <v>322.83999999999997</v>
      </c>
      <c r="M52" s="70">
        <f t="shared" si="8"/>
        <v>351.14</v>
      </c>
      <c r="N52" s="70">
        <f t="shared" si="8"/>
        <v>428.84</v>
      </c>
      <c r="O52" s="70">
        <f t="shared" si="8"/>
        <v>358.73999999999995</v>
      </c>
      <c r="P52" s="70">
        <f t="shared" si="8"/>
        <v>430.53999999999996</v>
      </c>
      <c r="Q52" s="70">
        <f t="shared" si="8"/>
        <v>357.53999999999996</v>
      </c>
      <c r="R52" s="70">
        <f t="shared" si="8"/>
        <v>392.34</v>
      </c>
      <c r="S52" s="70">
        <f t="shared" si="8"/>
        <v>427.03999999999996</v>
      </c>
      <c r="T52" s="70">
        <f t="shared" si="8"/>
        <v>427.03999999999996</v>
      </c>
      <c r="U52" s="70">
        <f t="shared" si="8"/>
        <v>427.03999999999996</v>
      </c>
      <c r="V52" s="70">
        <f t="shared" si="8"/>
        <v>439.14</v>
      </c>
      <c r="W52" s="70">
        <f t="shared" si="8"/>
        <v>439.14</v>
      </c>
      <c r="X52" s="70">
        <f t="shared" si="8"/>
        <v>439.14</v>
      </c>
      <c r="Y52" s="70">
        <f t="shared" si="8"/>
        <v>439.14</v>
      </c>
      <c r="Z52" s="70">
        <f t="shared" si="8"/>
        <v>431.14</v>
      </c>
      <c r="AA52" s="70">
        <f t="shared" si="8"/>
        <v>431.14</v>
      </c>
      <c r="AB52" s="70">
        <f t="shared" si="8"/>
        <v>432.24</v>
      </c>
      <c r="AC52" s="70">
        <f t="shared" si="8"/>
        <v>433.34</v>
      </c>
      <c r="AD52" s="70">
        <f t="shared" si="8"/>
        <v>433.94</v>
      </c>
      <c r="AE52" s="70">
        <f t="shared" si="8"/>
        <v>432.34000000000003</v>
      </c>
      <c r="AF52" s="70">
        <f t="shared" si="8"/>
        <v>402.34000000000003</v>
      </c>
      <c r="AG52" s="74">
        <f>SUM(AG39:AG51)</f>
        <v>489.91</v>
      </c>
      <c r="AH52" s="55">
        <f t="shared" si="2"/>
        <v>439.14</v>
      </c>
      <c r="AI52" s="56">
        <f t="shared" si="3"/>
        <v>322.83999999999997</v>
      </c>
      <c r="AK52" s="57"/>
    </row>
    <row r="53" spans="1:37" x14ac:dyDescent="0.25">
      <c r="A53" s="58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10</v>
      </c>
      <c r="J53" s="51">
        <v>30</v>
      </c>
      <c r="K53" s="51">
        <v>25</v>
      </c>
      <c r="L53" s="51">
        <v>9.6999999999999993</v>
      </c>
      <c r="M53" s="51">
        <v>9.6</v>
      </c>
      <c r="N53" s="51">
        <v>10</v>
      </c>
      <c r="O53" s="51">
        <v>30.6</v>
      </c>
      <c r="P53" s="51">
        <v>30.9</v>
      </c>
      <c r="Q53" s="51">
        <v>59.3</v>
      </c>
      <c r="R53" s="51">
        <v>59.7</v>
      </c>
      <c r="S53" s="51">
        <v>29.4</v>
      </c>
      <c r="T53" s="51">
        <v>29.8</v>
      </c>
      <c r="U53" s="51">
        <v>24.4</v>
      </c>
      <c r="V53" s="51">
        <v>30</v>
      </c>
      <c r="W53" s="51">
        <v>14</v>
      </c>
      <c r="X53" s="51">
        <v>36.200000000000003</v>
      </c>
      <c r="Y53" s="51">
        <v>13</v>
      </c>
      <c r="Z53" s="51">
        <v>13.7</v>
      </c>
      <c r="AA53" s="51">
        <v>60.3</v>
      </c>
      <c r="AB53" s="51">
        <v>44</v>
      </c>
      <c r="AC53" s="51">
        <v>59.8</v>
      </c>
      <c r="AD53" s="51">
        <v>60</v>
      </c>
      <c r="AE53" s="51">
        <v>30</v>
      </c>
      <c r="AF53" s="51">
        <v>14</v>
      </c>
      <c r="AG53" s="60">
        <v>60</v>
      </c>
      <c r="AH53" s="55">
        <f t="shared" si="2"/>
        <v>60.3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4.8</v>
      </c>
      <c r="J54" s="49">
        <v>5.8</v>
      </c>
      <c r="K54" s="49">
        <v>16.100000000000001</v>
      </c>
      <c r="L54" s="49">
        <v>7.9</v>
      </c>
      <c r="M54" s="49">
        <v>5</v>
      </c>
      <c r="N54" s="49">
        <v>5</v>
      </c>
      <c r="O54" s="49">
        <v>7.4</v>
      </c>
      <c r="P54" s="49">
        <v>17.899999999999999</v>
      </c>
      <c r="Q54" s="49">
        <v>30.9</v>
      </c>
      <c r="R54" s="49">
        <v>31.5</v>
      </c>
      <c r="S54" s="49">
        <v>24</v>
      </c>
      <c r="T54" s="49">
        <v>11.8</v>
      </c>
      <c r="U54" s="49">
        <v>14</v>
      </c>
      <c r="V54" s="49">
        <v>15</v>
      </c>
      <c r="W54" s="49">
        <v>6</v>
      </c>
      <c r="X54" s="49">
        <v>26</v>
      </c>
      <c r="Y54" s="49">
        <v>4.8</v>
      </c>
      <c r="Z54" s="49">
        <v>7</v>
      </c>
      <c r="AA54" s="49">
        <v>27.4</v>
      </c>
      <c r="AB54" s="49">
        <v>31.9</v>
      </c>
      <c r="AC54" s="49">
        <v>32.4</v>
      </c>
      <c r="AD54" s="49">
        <v>32.4</v>
      </c>
      <c r="AE54" s="49">
        <v>16</v>
      </c>
      <c r="AF54" s="49">
        <v>7</v>
      </c>
      <c r="AG54" s="64">
        <v>32</v>
      </c>
      <c r="AH54" s="55">
        <f t="shared" si="2"/>
        <v>32.4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1.8</v>
      </c>
      <c r="J55" s="75">
        <v>2.1</v>
      </c>
      <c r="K55" s="75">
        <v>5.9</v>
      </c>
      <c r="L55" s="75">
        <v>2.9</v>
      </c>
      <c r="M55" s="75">
        <v>1.8</v>
      </c>
      <c r="N55" s="75">
        <v>1.8</v>
      </c>
      <c r="O55" s="75">
        <v>2.7</v>
      </c>
      <c r="P55" s="75">
        <v>6.5</v>
      </c>
      <c r="Q55" s="75">
        <v>11.3</v>
      </c>
      <c r="R55" s="75">
        <v>11.5</v>
      </c>
      <c r="S55" s="75">
        <v>8.8000000000000007</v>
      </c>
      <c r="T55" s="75">
        <v>4.3</v>
      </c>
      <c r="U55" s="75">
        <v>5.0999999999999996</v>
      </c>
      <c r="V55" s="75">
        <v>5.6</v>
      </c>
      <c r="W55" s="75">
        <v>2.2000000000000002</v>
      </c>
      <c r="X55" s="75">
        <v>9.5</v>
      </c>
      <c r="Y55" s="75">
        <v>2</v>
      </c>
      <c r="Z55" s="75">
        <v>2.6</v>
      </c>
      <c r="AA55" s="75">
        <v>10.199999999999999</v>
      </c>
      <c r="AB55" s="75">
        <v>11.7</v>
      </c>
      <c r="AC55" s="75">
        <v>11.8</v>
      </c>
      <c r="AD55" s="75">
        <v>11.8</v>
      </c>
      <c r="AE55" s="75">
        <v>5.9</v>
      </c>
      <c r="AF55" s="75">
        <v>4</v>
      </c>
      <c r="AG55" s="76">
        <v>14</v>
      </c>
      <c r="AH55" s="55">
        <f t="shared" si="2"/>
        <v>11.8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v>22.1</v>
      </c>
      <c r="C56" s="70">
        <f t="shared" ref="C56:AF56" si="9">SUM(C53:C55)</f>
        <v>0</v>
      </c>
      <c r="D56" s="70">
        <f t="shared" si="9"/>
        <v>0</v>
      </c>
      <c r="E56" s="70">
        <f t="shared" si="9"/>
        <v>0</v>
      </c>
      <c r="F56" s="70">
        <f t="shared" si="9"/>
        <v>0</v>
      </c>
      <c r="G56" s="70">
        <f t="shared" si="9"/>
        <v>0</v>
      </c>
      <c r="H56" s="70">
        <f t="shared" si="9"/>
        <v>0</v>
      </c>
      <c r="I56" s="70">
        <f t="shared" si="9"/>
        <v>16.600000000000001</v>
      </c>
      <c r="J56" s="70">
        <f t="shared" si="9"/>
        <v>37.9</v>
      </c>
      <c r="K56" s="70">
        <f t="shared" si="9"/>
        <v>47</v>
      </c>
      <c r="L56" s="70">
        <f t="shared" si="9"/>
        <v>20.5</v>
      </c>
      <c r="M56" s="70">
        <f t="shared" si="9"/>
        <v>16.399999999999999</v>
      </c>
      <c r="N56" s="70">
        <f t="shared" si="9"/>
        <v>16.8</v>
      </c>
      <c r="O56" s="70">
        <f t="shared" si="9"/>
        <v>40.700000000000003</v>
      </c>
      <c r="P56" s="70">
        <f t="shared" si="9"/>
        <v>55.3</v>
      </c>
      <c r="Q56" s="70">
        <f t="shared" si="9"/>
        <v>101.49999999999999</v>
      </c>
      <c r="R56" s="70">
        <f t="shared" si="9"/>
        <v>102.7</v>
      </c>
      <c r="S56" s="70">
        <f t="shared" si="9"/>
        <v>62.2</v>
      </c>
      <c r="T56" s="70">
        <f t="shared" si="9"/>
        <v>45.9</v>
      </c>
      <c r="U56" s="70">
        <f t="shared" si="9"/>
        <v>43.5</v>
      </c>
      <c r="V56" s="70">
        <f t="shared" si="9"/>
        <v>50.6</v>
      </c>
      <c r="W56" s="70">
        <f t="shared" si="9"/>
        <v>22.2</v>
      </c>
      <c r="X56" s="70">
        <f t="shared" si="9"/>
        <v>71.7</v>
      </c>
      <c r="Y56" s="70">
        <f t="shared" si="9"/>
        <v>19.8</v>
      </c>
      <c r="Z56" s="70">
        <f t="shared" si="9"/>
        <v>23.3</v>
      </c>
      <c r="AA56" s="70">
        <f t="shared" si="9"/>
        <v>97.899999999999991</v>
      </c>
      <c r="AB56" s="70">
        <f t="shared" si="9"/>
        <v>87.600000000000009</v>
      </c>
      <c r="AC56" s="70">
        <f t="shared" si="9"/>
        <v>103.99999999999999</v>
      </c>
      <c r="AD56" s="70">
        <f t="shared" si="9"/>
        <v>104.2</v>
      </c>
      <c r="AE56" s="70">
        <f t="shared" si="9"/>
        <v>51.9</v>
      </c>
      <c r="AF56" s="70">
        <f t="shared" si="9"/>
        <v>25</v>
      </c>
      <c r="AG56" s="74">
        <f>SUM(AG53:AG55)</f>
        <v>106</v>
      </c>
      <c r="AH56" s="55">
        <f t="shared" si="2"/>
        <v>104.2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73</v>
      </c>
      <c r="C57" s="51">
        <v>73</v>
      </c>
      <c r="D57" s="51">
        <v>67.7</v>
      </c>
      <c r="E57" s="51">
        <v>70.400000000000006</v>
      </c>
      <c r="F57" s="51">
        <v>68</v>
      </c>
      <c r="G57" s="51">
        <v>69</v>
      </c>
      <c r="H57" s="51">
        <v>67.599999999999994</v>
      </c>
      <c r="I57" s="51">
        <v>55.1</v>
      </c>
      <c r="J57" s="51">
        <v>70.099999999999994</v>
      </c>
      <c r="K57" s="51">
        <v>68.3</v>
      </c>
      <c r="L57" s="51">
        <v>64.3</v>
      </c>
      <c r="M57" s="51">
        <v>73</v>
      </c>
      <c r="N57" s="51">
        <v>63</v>
      </c>
      <c r="O57" s="51">
        <v>59.7</v>
      </c>
      <c r="P57" s="51">
        <v>72.599999999999994</v>
      </c>
      <c r="Q57" s="51">
        <v>63.7</v>
      </c>
      <c r="R57" s="51">
        <v>69.599999999999994</v>
      </c>
      <c r="S57" s="51">
        <v>71.8</v>
      </c>
      <c r="T57" s="51">
        <v>73.2</v>
      </c>
      <c r="U57" s="51">
        <v>67.5</v>
      </c>
      <c r="V57" s="51">
        <v>61</v>
      </c>
      <c r="W57" s="51">
        <v>72.099999999999994</v>
      </c>
      <c r="X57" s="51">
        <v>72.099999999999994</v>
      </c>
      <c r="Y57" s="51">
        <v>62</v>
      </c>
      <c r="Z57" s="51">
        <v>61.7</v>
      </c>
      <c r="AA57" s="51">
        <v>50.4</v>
      </c>
      <c r="AB57" s="51">
        <v>71.400000000000006</v>
      </c>
      <c r="AC57" s="51">
        <v>74.8</v>
      </c>
      <c r="AD57" s="51">
        <v>70.8</v>
      </c>
      <c r="AE57" s="51">
        <v>74.7</v>
      </c>
      <c r="AF57" s="51">
        <v>65.7</v>
      </c>
      <c r="AG57" s="60"/>
      <c r="AH57" s="55">
        <f t="shared" si="2"/>
        <v>74.8</v>
      </c>
      <c r="AI57" s="56">
        <f t="shared" si="3"/>
        <v>50.4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-365</v>
      </c>
      <c r="C59" s="49">
        <v>-369</v>
      </c>
      <c r="D59" s="49">
        <v>-372</v>
      </c>
      <c r="E59" s="49">
        <v>-366</v>
      </c>
      <c r="F59" s="49">
        <v>-372</v>
      </c>
      <c r="G59" s="49">
        <v>-368.5</v>
      </c>
      <c r="H59" s="49">
        <v>-367</v>
      </c>
      <c r="I59" s="49">
        <v>-400</v>
      </c>
      <c r="J59" s="49">
        <v>-320</v>
      </c>
      <c r="K59" s="49">
        <v>-308</v>
      </c>
      <c r="L59" s="49">
        <v>-338</v>
      </c>
      <c r="M59" s="49">
        <v>-291.60000000000002</v>
      </c>
      <c r="N59" s="49">
        <v>-300.39999999999998</v>
      </c>
      <c r="O59" s="49">
        <v>-251.1</v>
      </c>
      <c r="P59" s="49">
        <v>-279</v>
      </c>
      <c r="Q59" s="49">
        <v>-206.1</v>
      </c>
      <c r="R59" s="49">
        <v>-303.39999999999998</v>
      </c>
      <c r="S59" s="49">
        <v>-288</v>
      </c>
      <c r="T59" s="49">
        <v>-275</v>
      </c>
      <c r="U59" s="49">
        <v>-294</v>
      </c>
      <c r="V59" s="49">
        <v>-278</v>
      </c>
      <c r="W59" s="49">
        <v>-213</v>
      </c>
      <c r="X59" s="49">
        <v>-317</v>
      </c>
      <c r="Y59" s="49">
        <v>-276</v>
      </c>
      <c r="Z59" s="49">
        <v>-263</v>
      </c>
      <c r="AA59" s="49">
        <v>-233</v>
      </c>
      <c r="AB59" s="49">
        <v>-240.8</v>
      </c>
      <c r="AC59" s="49">
        <v>-253.6</v>
      </c>
      <c r="AD59" s="49">
        <v>-313.10000000000002</v>
      </c>
      <c r="AE59" s="49">
        <v>-324.39999999999998</v>
      </c>
      <c r="AF59" s="49">
        <v>-342.5</v>
      </c>
      <c r="AG59" s="77"/>
      <c r="AH59" s="55">
        <f t="shared" si="2"/>
        <v>-206.1</v>
      </c>
      <c r="AI59" s="56">
        <f t="shared" si="3"/>
        <v>-400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15</v>
      </c>
      <c r="F60" s="78">
        <v>0</v>
      </c>
      <c r="G60" s="78">
        <v>15</v>
      </c>
      <c r="H60" s="78">
        <v>15</v>
      </c>
      <c r="I60" s="78">
        <v>0</v>
      </c>
      <c r="J60" s="78">
        <v>15</v>
      </c>
      <c r="K60" s="78">
        <v>15</v>
      </c>
      <c r="L60" s="78">
        <v>15</v>
      </c>
      <c r="M60" s="78">
        <v>15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15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4</v>
      </c>
      <c r="C62" s="79">
        <v>4</v>
      </c>
      <c r="D62" s="79">
        <v>4</v>
      </c>
      <c r="E62" s="79">
        <v>8</v>
      </c>
      <c r="F62" s="79">
        <v>4</v>
      </c>
      <c r="G62" s="79">
        <v>4</v>
      </c>
      <c r="H62" s="79">
        <v>4</v>
      </c>
      <c r="I62" s="79">
        <v>4</v>
      </c>
      <c r="J62" s="79">
        <v>4</v>
      </c>
      <c r="K62" s="79">
        <v>4</v>
      </c>
      <c r="L62" s="79">
        <v>4</v>
      </c>
      <c r="M62" s="79">
        <v>4</v>
      </c>
      <c r="N62" s="79">
        <v>4</v>
      </c>
      <c r="O62" s="79">
        <v>4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8</v>
      </c>
      <c r="AI62" s="56">
        <f t="shared" si="3"/>
        <v>4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v>46</v>
      </c>
      <c r="C68" s="70">
        <f t="shared" ref="C68:AF68" si="10">SUMIF(C57:C67,"&gt;0")</f>
        <v>77</v>
      </c>
      <c r="D68" s="70">
        <f t="shared" si="10"/>
        <v>71.7</v>
      </c>
      <c r="E68" s="70">
        <f t="shared" si="10"/>
        <v>93.4</v>
      </c>
      <c r="F68" s="70">
        <f t="shared" si="10"/>
        <v>72</v>
      </c>
      <c r="G68" s="70">
        <f t="shared" si="10"/>
        <v>88</v>
      </c>
      <c r="H68" s="70">
        <f t="shared" si="10"/>
        <v>86.6</v>
      </c>
      <c r="I68" s="70">
        <f t="shared" si="10"/>
        <v>59.1</v>
      </c>
      <c r="J68" s="70">
        <f t="shared" si="10"/>
        <v>89.1</v>
      </c>
      <c r="K68" s="70">
        <f t="shared" si="10"/>
        <v>87.3</v>
      </c>
      <c r="L68" s="70">
        <f t="shared" si="10"/>
        <v>83.3</v>
      </c>
      <c r="M68" s="70">
        <f t="shared" si="10"/>
        <v>92</v>
      </c>
      <c r="N68" s="70">
        <f t="shared" si="10"/>
        <v>67</v>
      </c>
      <c r="O68" s="70">
        <f t="shared" si="10"/>
        <v>63.7</v>
      </c>
      <c r="P68" s="70">
        <f t="shared" si="10"/>
        <v>77.599999999999994</v>
      </c>
      <c r="Q68" s="70">
        <f t="shared" si="10"/>
        <v>68.7</v>
      </c>
      <c r="R68" s="70">
        <f t="shared" si="10"/>
        <v>74.599999999999994</v>
      </c>
      <c r="S68" s="70">
        <f t="shared" si="10"/>
        <v>76.8</v>
      </c>
      <c r="T68" s="70">
        <f t="shared" si="10"/>
        <v>78.2</v>
      </c>
      <c r="U68" s="70">
        <f t="shared" si="10"/>
        <v>72.5</v>
      </c>
      <c r="V68" s="70">
        <f t="shared" si="10"/>
        <v>66</v>
      </c>
      <c r="W68" s="70">
        <f t="shared" si="10"/>
        <v>77.099999999999994</v>
      </c>
      <c r="X68" s="70">
        <f t="shared" si="10"/>
        <v>77.099999999999994</v>
      </c>
      <c r="Y68" s="70">
        <f t="shared" si="10"/>
        <v>67</v>
      </c>
      <c r="Z68" s="70">
        <f t="shared" si="10"/>
        <v>66.7</v>
      </c>
      <c r="AA68" s="70">
        <f t="shared" si="10"/>
        <v>55.4</v>
      </c>
      <c r="AB68" s="70">
        <f t="shared" si="10"/>
        <v>76.400000000000006</v>
      </c>
      <c r="AC68" s="70">
        <f t="shared" si="10"/>
        <v>79.8</v>
      </c>
      <c r="AD68" s="70">
        <f t="shared" si="10"/>
        <v>75.8</v>
      </c>
      <c r="AE68" s="70">
        <f t="shared" si="10"/>
        <v>79.7</v>
      </c>
      <c r="AF68" s="70">
        <f t="shared" si="10"/>
        <v>70.7</v>
      </c>
      <c r="AG68" s="74">
        <f>SUM(AG57:AG67)</f>
        <v>0</v>
      </c>
      <c r="AH68" s="55">
        <f t="shared" si="2"/>
        <v>93.4</v>
      </c>
      <c r="AI68" s="56">
        <f t="shared" si="3"/>
        <v>46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v>1745.04</v>
      </c>
      <c r="C73" s="84">
        <f t="shared" ref="C73:AF73" si="11">C38+C52+C68+C72</f>
        <v>1777.64</v>
      </c>
      <c r="D73" s="84">
        <f t="shared" si="11"/>
        <v>1772.3400000000001</v>
      </c>
      <c r="E73" s="84">
        <f t="shared" si="11"/>
        <v>1714.8400000000001</v>
      </c>
      <c r="F73" s="84">
        <f t="shared" si="11"/>
        <v>1694.8400000000001</v>
      </c>
      <c r="G73" s="84">
        <f t="shared" si="11"/>
        <v>1709.54</v>
      </c>
      <c r="H73" s="84">
        <f t="shared" si="11"/>
        <v>1707.9399999999998</v>
      </c>
      <c r="I73" s="84">
        <f t="shared" si="11"/>
        <v>1704.6399999999999</v>
      </c>
      <c r="J73" s="84">
        <f t="shared" si="11"/>
        <v>1702.8399999999997</v>
      </c>
      <c r="K73" s="84">
        <f t="shared" si="11"/>
        <v>1701.1399999999999</v>
      </c>
      <c r="L73" s="84">
        <f t="shared" si="11"/>
        <v>1631.7399999999998</v>
      </c>
      <c r="M73" s="84">
        <f t="shared" si="11"/>
        <v>1730.7399999999998</v>
      </c>
      <c r="N73" s="84">
        <f t="shared" si="11"/>
        <v>1786.6399999999999</v>
      </c>
      <c r="O73" s="84">
        <f t="shared" si="11"/>
        <v>1713.24</v>
      </c>
      <c r="P73" s="84">
        <f t="shared" si="11"/>
        <v>1798.9399999999998</v>
      </c>
      <c r="Q73" s="84">
        <f t="shared" si="11"/>
        <v>1693.74</v>
      </c>
      <c r="R73" s="84">
        <f t="shared" si="11"/>
        <v>1734.4399999999998</v>
      </c>
      <c r="S73" s="84">
        <f t="shared" si="11"/>
        <v>1771.34</v>
      </c>
      <c r="T73" s="84">
        <f t="shared" si="11"/>
        <v>1783.74</v>
      </c>
      <c r="U73" s="84">
        <f t="shared" si="11"/>
        <v>1778.34</v>
      </c>
      <c r="V73" s="84">
        <f t="shared" si="11"/>
        <v>1758.94</v>
      </c>
      <c r="W73" s="84">
        <f t="shared" si="11"/>
        <v>1766.04</v>
      </c>
      <c r="X73" s="84">
        <f t="shared" si="11"/>
        <v>1766.04</v>
      </c>
      <c r="Y73" s="84">
        <f t="shared" si="11"/>
        <v>1755.94</v>
      </c>
      <c r="Z73" s="84">
        <f t="shared" si="11"/>
        <v>1747.64</v>
      </c>
      <c r="AA73" s="84">
        <f t="shared" si="11"/>
        <v>1765.8400000000001</v>
      </c>
      <c r="AB73" s="84">
        <f t="shared" si="11"/>
        <v>1796.74</v>
      </c>
      <c r="AC73" s="84">
        <f t="shared" si="11"/>
        <v>1801.04</v>
      </c>
      <c r="AD73" s="84">
        <f t="shared" si="11"/>
        <v>1797.74</v>
      </c>
      <c r="AE73" s="84">
        <f t="shared" si="11"/>
        <v>1795.0400000000002</v>
      </c>
      <c r="AF73" s="84">
        <f t="shared" si="11"/>
        <v>1750.5400000000002</v>
      </c>
      <c r="AG73" s="84">
        <f t="shared" ref="AG73" si="12">AG68+AG56+AG52+AG38+AG72</f>
        <v>2144.14</v>
      </c>
      <c r="AH73" s="55">
        <f t="shared" si="2"/>
        <v>1801.04</v>
      </c>
      <c r="AI73" s="56">
        <f t="shared" si="3"/>
        <v>1631.7399999999998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>
        <v>120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>
        <v>12</v>
      </c>
      <c r="AG74" s="74"/>
      <c r="AH74" s="55">
        <f t="shared" si="2"/>
        <v>120</v>
      </c>
      <c r="AI74" s="56">
        <f t="shared" si="3"/>
        <v>12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v>1745.04</v>
      </c>
      <c r="C75" s="84">
        <f t="shared" ref="C75:AF75" si="13">C73+C74</f>
        <v>1777.64</v>
      </c>
      <c r="D75" s="84">
        <f t="shared" si="13"/>
        <v>1772.3400000000001</v>
      </c>
      <c r="E75" s="84">
        <f t="shared" si="13"/>
        <v>1714.8400000000001</v>
      </c>
      <c r="F75" s="84">
        <f t="shared" si="13"/>
        <v>1694.8400000000001</v>
      </c>
      <c r="G75" s="84">
        <f t="shared" si="13"/>
        <v>1709.54</v>
      </c>
      <c r="H75" s="84">
        <f t="shared" si="13"/>
        <v>1707.9399999999998</v>
      </c>
      <c r="I75" s="84">
        <f t="shared" si="13"/>
        <v>1704.6399999999999</v>
      </c>
      <c r="J75" s="84">
        <f t="shared" si="13"/>
        <v>1702.8399999999997</v>
      </c>
      <c r="K75" s="84">
        <f t="shared" si="13"/>
        <v>1701.1399999999999</v>
      </c>
      <c r="L75" s="84">
        <f t="shared" si="13"/>
        <v>1751.7399999999998</v>
      </c>
      <c r="M75" s="84">
        <f t="shared" si="13"/>
        <v>1730.7399999999998</v>
      </c>
      <c r="N75" s="84">
        <f t="shared" si="13"/>
        <v>1786.6399999999999</v>
      </c>
      <c r="O75" s="84">
        <f t="shared" si="13"/>
        <v>1713.24</v>
      </c>
      <c r="P75" s="84">
        <f t="shared" si="13"/>
        <v>1798.9399999999998</v>
      </c>
      <c r="Q75" s="84">
        <f t="shared" si="13"/>
        <v>1693.74</v>
      </c>
      <c r="R75" s="84">
        <f t="shared" si="13"/>
        <v>1734.4399999999998</v>
      </c>
      <c r="S75" s="84">
        <f t="shared" si="13"/>
        <v>1771.34</v>
      </c>
      <c r="T75" s="84">
        <f t="shared" si="13"/>
        <v>1783.74</v>
      </c>
      <c r="U75" s="84">
        <f t="shared" si="13"/>
        <v>1778.34</v>
      </c>
      <c r="V75" s="84">
        <f t="shared" si="13"/>
        <v>1758.94</v>
      </c>
      <c r="W75" s="84">
        <f t="shared" si="13"/>
        <v>1766.04</v>
      </c>
      <c r="X75" s="84">
        <f t="shared" si="13"/>
        <v>1766.04</v>
      </c>
      <c r="Y75" s="84">
        <f t="shared" si="13"/>
        <v>1755.94</v>
      </c>
      <c r="Z75" s="84">
        <f t="shared" si="13"/>
        <v>1747.64</v>
      </c>
      <c r="AA75" s="84">
        <f t="shared" si="13"/>
        <v>1765.8400000000001</v>
      </c>
      <c r="AB75" s="84">
        <f t="shared" si="13"/>
        <v>1796.74</v>
      </c>
      <c r="AC75" s="84">
        <f t="shared" si="13"/>
        <v>1801.04</v>
      </c>
      <c r="AD75" s="84">
        <f t="shared" si="13"/>
        <v>1797.74</v>
      </c>
      <c r="AE75" s="84">
        <f t="shared" si="13"/>
        <v>1795.0400000000002</v>
      </c>
      <c r="AF75" s="84">
        <f t="shared" si="13"/>
        <v>1762.5400000000002</v>
      </c>
      <c r="AG75" s="74">
        <f>AG72+AG68+AG56+AG52+AG38+AG74</f>
        <v>2144.14</v>
      </c>
      <c r="AH75" s="55">
        <f t="shared" si="2"/>
        <v>1801.04</v>
      </c>
      <c r="AI75" s="56">
        <f t="shared" si="3"/>
        <v>1693.74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v>363.2</v>
      </c>
      <c r="C79" s="78">
        <f t="shared" ref="C79:AF79" si="19">IF(C59&lt;0,C59*-1,0)</f>
        <v>369</v>
      </c>
      <c r="D79" s="78">
        <f t="shared" si="19"/>
        <v>372</v>
      </c>
      <c r="E79" s="78">
        <f t="shared" si="19"/>
        <v>366</v>
      </c>
      <c r="F79" s="78">
        <f t="shared" si="19"/>
        <v>372</v>
      </c>
      <c r="G79" s="78">
        <f t="shared" si="19"/>
        <v>368.5</v>
      </c>
      <c r="H79" s="78">
        <f t="shared" si="19"/>
        <v>367</v>
      </c>
      <c r="I79" s="78">
        <f t="shared" si="19"/>
        <v>400</v>
      </c>
      <c r="J79" s="78">
        <f t="shared" si="19"/>
        <v>320</v>
      </c>
      <c r="K79" s="78">
        <f t="shared" si="19"/>
        <v>308</v>
      </c>
      <c r="L79" s="78">
        <f t="shared" si="19"/>
        <v>338</v>
      </c>
      <c r="M79" s="78">
        <f t="shared" si="19"/>
        <v>291.60000000000002</v>
      </c>
      <c r="N79" s="78">
        <f t="shared" si="19"/>
        <v>300.39999999999998</v>
      </c>
      <c r="O79" s="78">
        <f t="shared" si="19"/>
        <v>251.1</v>
      </c>
      <c r="P79" s="78">
        <f t="shared" si="19"/>
        <v>279</v>
      </c>
      <c r="Q79" s="78">
        <f t="shared" si="19"/>
        <v>206.1</v>
      </c>
      <c r="R79" s="78">
        <f t="shared" si="19"/>
        <v>303.39999999999998</v>
      </c>
      <c r="S79" s="78">
        <f t="shared" si="19"/>
        <v>288</v>
      </c>
      <c r="T79" s="78">
        <f t="shared" si="19"/>
        <v>275</v>
      </c>
      <c r="U79" s="78">
        <f t="shared" si="19"/>
        <v>294</v>
      </c>
      <c r="V79" s="78">
        <f t="shared" si="19"/>
        <v>278</v>
      </c>
      <c r="W79" s="78">
        <f t="shared" si="19"/>
        <v>213</v>
      </c>
      <c r="X79" s="78">
        <f t="shared" si="19"/>
        <v>317</v>
      </c>
      <c r="Y79" s="78">
        <f t="shared" si="19"/>
        <v>276</v>
      </c>
      <c r="Z79" s="78">
        <f t="shared" si="19"/>
        <v>263</v>
      </c>
      <c r="AA79" s="78">
        <f t="shared" si="19"/>
        <v>233</v>
      </c>
      <c r="AB79" s="78">
        <f t="shared" si="19"/>
        <v>240.8</v>
      </c>
      <c r="AC79" s="78">
        <f t="shared" si="19"/>
        <v>253.6</v>
      </c>
      <c r="AD79" s="78">
        <f t="shared" si="19"/>
        <v>313.10000000000002</v>
      </c>
      <c r="AE79" s="78">
        <f t="shared" si="19"/>
        <v>324.39999999999998</v>
      </c>
      <c r="AF79" s="78">
        <f t="shared" si="19"/>
        <v>342.5</v>
      </c>
      <c r="AG79" s="87"/>
      <c r="AH79" s="55">
        <f t="shared" si="15"/>
        <v>400</v>
      </c>
      <c r="AI79" s="56">
        <f t="shared" si="16"/>
        <v>206.1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v>363.2</v>
      </c>
      <c r="C82" s="70">
        <f t="shared" ref="C82:AG82" si="21">SUM(C76:C81)</f>
        <v>369</v>
      </c>
      <c r="D82" s="70">
        <f t="shared" si="21"/>
        <v>372</v>
      </c>
      <c r="E82" s="70">
        <f t="shared" si="21"/>
        <v>366</v>
      </c>
      <c r="F82" s="70">
        <f t="shared" si="21"/>
        <v>372</v>
      </c>
      <c r="G82" s="70">
        <f t="shared" si="21"/>
        <v>368.5</v>
      </c>
      <c r="H82" s="70">
        <f t="shared" si="21"/>
        <v>367</v>
      </c>
      <c r="I82" s="70">
        <f t="shared" si="21"/>
        <v>400</v>
      </c>
      <c r="J82" s="70">
        <f t="shared" si="21"/>
        <v>320</v>
      </c>
      <c r="K82" s="70">
        <f t="shared" si="21"/>
        <v>308</v>
      </c>
      <c r="L82" s="70">
        <f t="shared" si="21"/>
        <v>338</v>
      </c>
      <c r="M82" s="70">
        <f t="shared" si="21"/>
        <v>291.60000000000002</v>
      </c>
      <c r="N82" s="70">
        <f t="shared" si="21"/>
        <v>300.39999999999998</v>
      </c>
      <c r="O82" s="70">
        <f t="shared" si="21"/>
        <v>251.1</v>
      </c>
      <c r="P82" s="70">
        <f t="shared" si="21"/>
        <v>279</v>
      </c>
      <c r="Q82" s="70">
        <f t="shared" si="21"/>
        <v>206.1</v>
      </c>
      <c r="R82" s="70">
        <f t="shared" si="21"/>
        <v>303.39999999999998</v>
      </c>
      <c r="S82" s="70">
        <f t="shared" si="21"/>
        <v>288</v>
      </c>
      <c r="T82" s="70">
        <f t="shared" si="21"/>
        <v>275</v>
      </c>
      <c r="U82" s="70">
        <f t="shared" si="21"/>
        <v>294</v>
      </c>
      <c r="V82" s="70">
        <f t="shared" si="21"/>
        <v>278</v>
      </c>
      <c r="W82" s="70">
        <f t="shared" si="21"/>
        <v>213</v>
      </c>
      <c r="X82" s="70">
        <f t="shared" si="21"/>
        <v>317</v>
      </c>
      <c r="Y82" s="70">
        <f t="shared" si="21"/>
        <v>276</v>
      </c>
      <c r="Z82" s="70">
        <f t="shared" si="21"/>
        <v>263</v>
      </c>
      <c r="AA82" s="70">
        <f t="shared" si="21"/>
        <v>233</v>
      </c>
      <c r="AB82" s="70">
        <f t="shared" si="21"/>
        <v>240.8</v>
      </c>
      <c r="AC82" s="70">
        <f t="shared" si="21"/>
        <v>253.6</v>
      </c>
      <c r="AD82" s="70">
        <f t="shared" si="21"/>
        <v>313.10000000000002</v>
      </c>
      <c r="AE82" s="70">
        <f t="shared" si="21"/>
        <v>324.39999999999998</v>
      </c>
      <c r="AF82" s="70">
        <f t="shared" si="21"/>
        <v>342.5</v>
      </c>
      <c r="AG82" s="74">
        <f t="shared" si="21"/>
        <v>0</v>
      </c>
      <c r="AH82" s="55">
        <f t="shared" si="15"/>
        <v>400</v>
      </c>
      <c r="AI82" s="56">
        <f t="shared" si="16"/>
        <v>206.1</v>
      </c>
      <c r="AK82" s="57"/>
    </row>
    <row r="83" spans="1:88" s="1" customFormat="1" ht="15.75" thickBot="1" x14ac:dyDescent="0.3">
      <c r="A83" s="69" t="s">
        <v>88</v>
      </c>
      <c r="B83" s="70">
        <v>-317.2</v>
      </c>
      <c r="C83" s="70">
        <f t="shared" ref="C83:AF83" si="22">C68-C82</f>
        <v>-292</v>
      </c>
      <c r="D83" s="70">
        <f t="shared" si="22"/>
        <v>-300.3</v>
      </c>
      <c r="E83" s="70">
        <f t="shared" si="22"/>
        <v>-272.60000000000002</v>
      </c>
      <c r="F83" s="70">
        <f t="shared" si="22"/>
        <v>-300</v>
      </c>
      <c r="G83" s="70">
        <f t="shared" si="22"/>
        <v>-280.5</v>
      </c>
      <c r="H83" s="70">
        <f t="shared" si="22"/>
        <v>-280.39999999999998</v>
      </c>
      <c r="I83" s="70">
        <f t="shared" si="22"/>
        <v>-340.9</v>
      </c>
      <c r="J83" s="70">
        <f t="shared" si="22"/>
        <v>-230.9</v>
      </c>
      <c r="K83" s="70">
        <f t="shared" si="22"/>
        <v>-220.7</v>
      </c>
      <c r="L83" s="70">
        <f t="shared" si="22"/>
        <v>-254.7</v>
      </c>
      <c r="M83" s="70">
        <f t="shared" si="22"/>
        <v>-199.60000000000002</v>
      </c>
      <c r="N83" s="70">
        <f t="shared" si="22"/>
        <v>-233.39999999999998</v>
      </c>
      <c r="O83" s="70">
        <f t="shared" si="22"/>
        <v>-187.39999999999998</v>
      </c>
      <c r="P83" s="70">
        <f t="shared" si="22"/>
        <v>-201.4</v>
      </c>
      <c r="Q83" s="70">
        <f t="shared" si="22"/>
        <v>-137.39999999999998</v>
      </c>
      <c r="R83" s="70">
        <f t="shared" si="22"/>
        <v>-228.79999999999998</v>
      </c>
      <c r="S83" s="70">
        <f t="shared" si="22"/>
        <v>-211.2</v>
      </c>
      <c r="T83" s="70">
        <f t="shared" si="22"/>
        <v>-196.8</v>
      </c>
      <c r="U83" s="70">
        <f t="shared" si="22"/>
        <v>-221.5</v>
      </c>
      <c r="V83" s="70">
        <f t="shared" si="22"/>
        <v>-212</v>
      </c>
      <c r="W83" s="70">
        <f t="shared" si="22"/>
        <v>-135.9</v>
      </c>
      <c r="X83" s="70">
        <f t="shared" si="22"/>
        <v>-239.9</v>
      </c>
      <c r="Y83" s="70">
        <f t="shared" si="22"/>
        <v>-209</v>
      </c>
      <c r="Z83" s="70">
        <f t="shared" si="22"/>
        <v>-196.3</v>
      </c>
      <c r="AA83" s="70">
        <f t="shared" si="22"/>
        <v>-177.6</v>
      </c>
      <c r="AB83" s="70">
        <f t="shared" si="22"/>
        <v>-164.4</v>
      </c>
      <c r="AC83" s="70">
        <f t="shared" si="22"/>
        <v>-173.8</v>
      </c>
      <c r="AD83" s="70">
        <f t="shared" si="22"/>
        <v>-237.3</v>
      </c>
      <c r="AE83" s="70">
        <f t="shared" si="22"/>
        <v>-244.7</v>
      </c>
      <c r="AF83" s="70">
        <f t="shared" si="22"/>
        <v>-271.8</v>
      </c>
      <c r="AG83" s="74">
        <f t="shared" ref="AG83" si="23">SUM(AG70:AG82)</f>
        <v>4360.08</v>
      </c>
      <c r="AH83" s="55">
        <f t="shared" si="15"/>
        <v>-135.9</v>
      </c>
      <c r="AI83" s="56">
        <f t="shared" si="16"/>
        <v>-340.9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49.91</v>
      </c>
      <c r="C84" s="90">
        <v>49.97</v>
      </c>
      <c r="D84" s="90">
        <v>50.07</v>
      </c>
      <c r="E84" s="90">
        <v>49.988999999999997</v>
      </c>
      <c r="F84" s="90">
        <v>50.006999999999998</v>
      </c>
      <c r="G84" s="90">
        <v>50.012999999999998</v>
      </c>
      <c r="H84" s="90">
        <v>49.95</v>
      </c>
      <c r="I84" s="90">
        <v>49.993000000000002</v>
      </c>
      <c r="J84" s="90">
        <v>49.752000000000002</v>
      </c>
      <c r="K84" s="90">
        <v>49.912999999999997</v>
      </c>
      <c r="L84" s="90">
        <v>49.988</v>
      </c>
      <c r="M84" s="90">
        <v>50.091000000000001</v>
      </c>
      <c r="N84" s="90">
        <v>50.045999999999999</v>
      </c>
      <c r="O84" s="90">
        <v>50.015999999999998</v>
      </c>
      <c r="P84" s="90">
        <v>50.012</v>
      </c>
      <c r="Q84" s="90">
        <v>49.96</v>
      </c>
      <c r="R84" s="90">
        <v>50.037999999999997</v>
      </c>
      <c r="S84" s="90">
        <v>49.923999999999999</v>
      </c>
      <c r="T84" s="90">
        <v>49.945999999999998</v>
      </c>
      <c r="U84" s="90">
        <v>49.963000000000001</v>
      </c>
      <c r="V84" s="90">
        <v>50.055</v>
      </c>
      <c r="W84" s="90">
        <v>50.009</v>
      </c>
      <c r="X84" s="90">
        <v>50.045999999999999</v>
      </c>
      <c r="Y84" s="90">
        <v>50.01</v>
      </c>
      <c r="Z84" s="90">
        <v>50.045999999999999</v>
      </c>
      <c r="AA84" s="90">
        <v>50.005000000000003</v>
      </c>
      <c r="AB84" s="90">
        <v>50.045999999999999</v>
      </c>
      <c r="AC84" s="90">
        <v>50.024000000000001</v>
      </c>
      <c r="AD84" s="90">
        <v>49.911000000000001</v>
      </c>
      <c r="AE84" s="90">
        <v>49.970999999999997</v>
      </c>
      <c r="AF84" s="90">
        <v>50.012</v>
      </c>
      <c r="AG84" s="91"/>
      <c r="AH84" s="55">
        <f t="shared" si="15"/>
        <v>50.091000000000001</v>
      </c>
      <c r="AI84" s="56">
        <f t="shared" si="16"/>
        <v>49.752000000000002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121.7</v>
      </c>
      <c r="C85" s="49">
        <v>121.9</v>
      </c>
      <c r="D85" s="49">
        <v>122</v>
      </c>
      <c r="E85" s="49">
        <v>123.5</v>
      </c>
      <c r="F85" s="49">
        <v>122.5</v>
      </c>
      <c r="G85" s="49">
        <v>124.6</v>
      </c>
      <c r="H85" s="49">
        <v>124.2</v>
      </c>
      <c r="I85" s="49">
        <v>124.2</v>
      </c>
      <c r="J85" s="49">
        <v>124.4</v>
      </c>
      <c r="K85" s="49">
        <v>124.1</v>
      </c>
      <c r="L85" s="49">
        <v>126.6</v>
      </c>
      <c r="M85" s="49">
        <v>121.4</v>
      </c>
      <c r="N85" s="49">
        <v>121.3</v>
      </c>
      <c r="O85" s="49">
        <v>121.4</v>
      </c>
      <c r="P85" s="49">
        <v>120.8</v>
      </c>
      <c r="Q85" s="49">
        <v>120.5</v>
      </c>
      <c r="R85" s="49">
        <v>124.2</v>
      </c>
      <c r="S85" s="49">
        <v>120.8</v>
      </c>
      <c r="T85" s="49">
        <v>120.3</v>
      </c>
      <c r="U85" s="49">
        <v>121.5</v>
      </c>
      <c r="V85" s="49">
        <v>122.2</v>
      </c>
      <c r="W85" s="49">
        <v>121.3</v>
      </c>
      <c r="X85" s="49">
        <v>123.4</v>
      </c>
      <c r="Y85" s="49">
        <v>123.4</v>
      </c>
      <c r="Z85" s="49">
        <v>124</v>
      </c>
      <c r="AA85" s="49">
        <v>124</v>
      </c>
      <c r="AB85" s="49">
        <v>124.2</v>
      </c>
      <c r="AC85" s="49">
        <v>124.2</v>
      </c>
      <c r="AD85" s="49">
        <v>124.5</v>
      </c>
      <c r="AE85" s="49">
        <v>124.5</v>
      </c>
      <c r="AF85" s="49">
        <v>124</v>
      </c>
      <c r="AG85" s="93"/>
      <c r="AH85" s="55">
        <f t="shared" si="15"/>
        <v>126.6</v>
      </c>
      <c r="AI85" s="56">
        <f t="shared" si="16"/>
        <v>120.3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128.19999999999999</v>
      </c>
      <c r="C86" s="49">
        <v>127.7</v>
      </c>
      <c r="D86" s="49">
        <v>128</v>
      </c>
      <c r="E86" s="49">
        <v>129.19999999999999</v>
      </c>
      <c r="F86" s="49">
        <v>128.6</v>
      </c>
      <c r="G86" s="49">
        <v>129.6</v>
      </c>
      <c r="H86" s="49">
        <v>128.6</v>
      </c>
      <c r="I86" s="49">
        <v>128.30000000000001</v>
      </c>
      <c r="J86" s="49">
        <v>128.6</v>
      </c>
      <c r="K86" s="49">
        <v>128</v>
      </c>
      <c r="L86" s="49">
        <v>129</v>
      </c>
      <c r="M86" s="49">
        <v>125.7</v>
      </c>
      <c r="N86" s="49">
        <v>125.6</v>
      </c>
      <c r="O86" s="49">
        <v>124.9</v>
      </c>
      <c r="P86" s="49">
        <v>125.3</v>
      </c>
      <c r="Q86" s="49">
        <v>124.5</v>
      </c>
      <c r="R86" s="49">
        <v>127.7</v>
      </c>
      <c r="S86" s="49">
        <v>125.2</v>
      </c>
      <c r="T86" s="49">
        <v>124.7</v>
      </c>
      <c r="U86" s="49">
        <v>63.2</v>
      </c>
      <c r="V86" s="49">
        <v>126.4</v>
      </c>
      <c r="W86" s="49">
        <v>126.5</v>
      </c>
      <c r="X86" s="49">
        <v>127.7</v>
      </c>
      <c r="Y86" s="49">
        <v>127.7</v>
      </c>
      <c r="Z86" s="49">
        <v>128</v>
      </c>
      <c r="AA86" s="49">
        <v>127.3</v>
      </c>
      <c r="AB86" s="49">
        <v>128.4</v>
      </c>
      <c r="AC86" s="49">
        <v>128.6</v>
      </c>
      <c r="AD86" s="49">
        <v>128.69999999999999</v>
      </c>
      <c r="AE86" s="49">
        <v>129.19999999999999</v>
      </c>
      <c r="AF86" s="49">
        <v>129</v>
      </c>
      <c r="AG86" s="93"/>
      <c r="AH86" s="55">
        <f t="shared" si="15"/>
        <v>129.6</v>
      </c>
      <c r="AI86" s="56">
        <f t="shared" si="16"/>
        <v>63.2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125.6</v>
      </c>
      <c r="C87" s="49">
        <v>125.3</v>
      </c>
      <c r="D87" s="49">
        <v>125.6</v>
      </c>
      <c r="E87" s="49">
        <v>125.7</v>
      </c>
      <c r="F87" s="49">
        <v>127.8</v>
      </c>
      <c r="G87" s="49">
        <v>127.9</v>
      </c>
      <c r="H87" s="49">
        <v>126.8</v>
      </c>
      <c r="I87" s="49">
        <v>127.1</v>
      </c>
      <c r="J87" s="49">
        <v>127.8</v>
      </c>
      <c r="K87" s="49">
        <v>125.4</v>
      </c>
      <c r="L87" s="49">
        <v>125.4</v>
      </c>
      <c r="M87" s="49">
        <v>125.2</v>
      </c>
      <c r="N87" s="49">
        <v>121</v>
      </c>
      <c r="O87" s="49">
        <v>121.4</v>
      </c>
      <c r="P87" s="49">
        <v>118.3</v>
      </c>
      <c r="Q87" s="49">
        <v>123.6</v>
      </c>
      <c r="R87" s="49">
        <v>118.8</v>
      </c>
      <c r="S87" s="49">
        <v>120.1</v>
      </c>
      <c r="T87" s="49">
        <v>121.1</v>
      </c>
      <c r="U87" s="49">
        <v>123.5</v>
      </c>
      <c r="V87" s="49">
        <v>125.7</v>
      </c>
      <c r="W87" s="49">
        <v>125.6</v>
      </c>
      <c r="X87" s="49">
        <v>128.69999999999999</v>
      </c>
      <c r="Y87" s="49">
        <v>128.69999999999999</v>
      </c>
      <c r="Z87" s="49">
        <v>126.3</v>
      </c>
      <c r="AA87" s="49">
        <v>125</v>
      </c>
      <c r="AB87" s="49">
        <v>125</v>
      </c>
      <c r="AC87" s="49">
        <v>122.2</v>
      </c>
      <c r="AD87" s="49">
        <v>125.1</v>
      </c>
      <c r="AE87" s="49">
        <v>124.2</v>
      </c>
      <c r="AF87" s="49">
        <v>123.9</v>
      </c>
      <c r="AG87" s="93"/>
      <c r="AH87" s="55">
        <f t="shared" si="15"/>
        <v>128.69999999999999</v>
      </c>
      <c r="AI87" s="56">
        <f t="shared" si="16"/>
        <v>118.3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5"/>
        <v>0</v>
      </c>
      <c r="AI88" s="56">
        <f t="shared" si="16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>
        <v>129.69999999999999</v>
      </c>
      <c r="R89" s="95">
        <v>134.6</v>
      </c>
      <c r="S89" s="95">
        <v>130.69999999999999</v>
      </c>
      <c r="T89" s="95">
        <v>130</v>
      </c>
      <c r="U89" s="95"/>
      <c r="V89" s="95">
        <v>130.6</v>
      </c>
      <c r="W89" s="95">
        <v>134</v>
      </c>
      <c r="X89" s="95">
        <v>134.6</v>
      </c>
      <c r="Y89" s="95">
        <v>134.6</v>
      </c>
      <c r="Z89" s="95">
        <v>135</v>
      </c>
      <c r="AA89" s="95">
        <v>134.6</v>
      </c>
      <c r="AB89" s="95">
        <v>131.1</v>
      </c>
      <c r="AC89" s="95">
        <v>132.69999999999999</v>
      </c>
      <c r="AD89" s="95">
        <v>130</v>
      </c>
      <c r="AE89" s="95">
        <v>132.9</v>
      </c>
      <c r="AF89" s="95">
        <v>131</v>
      </c>
      <c r="AG89" s="96"/>
      <c r="AH89" s="55">
        <f t="shared" si="15"/>
        <v>135</v>
      </c>
      <c r="AI89" s="56">
        <f t="shared" si="16"/>
        <v>129.69999999999999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93"/>
      <c r="AH90" s="55">
        <f t="shared" si="15"/>
        <v>0</v>
      </c>
      <c r="AI90" s="56">
        <f t="shared" si="16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</v>
      </c>
      <c r="C91" s="97">
        <v>64.7</v>
      </c>
      <c r="D91" s="97">
        <v>65</v>
      </c>
      <c r="E91" s="97">
        <v>65.7</v>
      </c>
      <c r="F91" s="97">
        <v>65.099999999999994</v>
      </c>
      <c r="G91" s="97">
        <v>66</v>
      </c>
      <c r="H91" s="97">
        <v>65.099999999999994</v>
      </c>
      <c r="I91" s="97">
        <v>65.2</v>
      </c>
      <c r="J91" s="97">
        <v>65.400000000000006</v>
      </c>
      <c r="K91" s="97">
        <v>65.099999999999994</v>
      </c>
      <c r="L91" s="97">
        <v>65</v>
      </c>
      <c r="M91" s="97">
        <v>63.6</v>
      </c>
      <c r="N91" s="97">
        <v>63.5</v>
      </c>
      <c r="O91" s="97">
        <v>63</v>
      </c>
      <c r="P91" s="97">
        <v>63.2</v>
      </c>
      <c r="Q91" s="97">
        <v>63</v>
      </c>
      <c r="R91" s="97">
        <v>64.5</v>
      </c>
      <c r="S91" s="97">
        <v>63.1</v>
      </c>
      <c r="T91" s="97">
        <v>62.8</v>
      </c>
      <c r="U91" s="97"/>
      <c r="V91" s="97">
        <v>63.5</v>
      </c>
      <c r="W91" s="97">
        <v>63.8</v>
      </c>
      <c r="X91" s="97">
        <v>64.599999999999994</v>
      </c>
      <c r="Y91" s="97">
        <v>64.599999999999994</v>
      </c>
      <c r="Z91" s="97">
        <v>65</v>
      </c>
      <c r="AA91" s="97">
        <v>64.599999999999994</v>
      </c>
      <c r="AB91" s="97">
        <v>65.2</v>
      </c>
      <c r="AC91" s="97">
        <v>65.099999999999994</v>
      </c>
      <c r="AD91" s="97">
        <v>65.2</v>
      </c>
      <c r="AE91" s="97">
        <v>65.400000000000006</v>
      </c>
      <c r="AF91" s="97">
        <v>65.2</v>
      </c>
      <c r="AG91" s="98"/>
      <c r="AH91" s="55">
        <f t="shared" si="15"/>
        <v>66</v>
      </c>
      <c r="AI91" s="56">
        <f t="shared" si="16"/>
        <v>62.8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v>117.83999999999999</v>
      </c>
      <c r="C93" s="103">
        <f t="shared" ref="C93:AF93" si="24">SUM(C15,C18,C21:C22,C42,C44:C45,C47,C49,C94:C97,C103,C109,C115,C124,C126,C138,C145,C148:C149,C156,C158,C160,C164:C166,C168:C170,C175,C181:C182,C184:C186,C194,C199)</f>
        <v>90.340000000000018</v>
      </c>
      <c r="D93" s="103">
        <f t="shared" si="24"/>
        <v>83.94</v>
      </c>
      <c r="E93" s="103">
        <f t="shared" si="24"/>
        <v>75.84</v>
      </c>
      <c r="F93" s="103">
        <f t="shared" si="24"/>
        <v>75.140000000000015</v>
      </c>
      <c r="G93" s="103">
        <f t="shared" si="24"/>
        <v>111.43999999999998</v>
      </c>
      <c r="H93" s="103">
        <f t="shared" si="24"/>
        <v>135.43999999999997</v>
      </c>
      <c r="I93" s="103">
        <f t="shared" si="24"/>
        <v>145.63999999999996</v>
      </c>
      <c r="J93" s="103">
        <f t="shared" si="24"/>
        <v>184.93999999999997</v>
      </c>
      <c r="K93" s="103">
        <f t="shared" si="24"/>
        <v>209.03999999999996</v>
      </c>
      <c r="L93" s="103">
        <f t="shared" si="24"/>
        <v>249.14</v>
      </c>
      <c r="M93" s="103">
        <f t="shared" si="24"/>
        <v>251.23999999999995</v>
      </c>
      <c r="N93" s="103">
        <f t="shared" si="24"/>
        <v>229.83999999999997</v>
      </c>
      <c r="O93" s="103">
        <f t="shared" si="24"/>
        <v>350.44000000000005</v>
      </c>
      <c r="P93" s="103">
        <f t="shared" si="24"/>
        <v>341.34000000000009</v>
      </c>
      <c r="Q93" s="103">
        <f t="shared" si="24"/>
        <v>359.44000000000005</v>
      </c>
      <c r="R93" s="103">
        <f t="shared" si="24"/>
        <v>331.04000000000008</v>
      </c>
      <c r="S93" s="103">
        <f t="shared" si="24"/>
        <v>341.44000000000005</v>
      </c>
      <c r="T93" s="103">
        <f t="shared" si="24"/>
        <v>349.14000000000004</v>
      </c>
      <c r="U93" s="103">
        <f t="shared" si="24"/>
        <v>343.34000000000003</v>
      </c>
      <c r="V93" s="103">
        <f t="shared" si="24"/>
        <v>355.04000000000008</v>
      </c>
      <c r="W93" s="103">
        <f t="shared" si="24"/>
        <v>363.74</v>
      </c>
      <c r="X93" s="103">
        <f t="shared" si="24"/>
        <v>343.14000000000004</v>
      </c>
      <c r="Y93" s="103">
        <f t="shared" si="24"/>
        <v>324.44000000000005</v>
      </c>
      <c r="Z93" s="103">
        <f t="shared" si="24"/>
        <v>342.54</v>
      </c>
      <c r="AA93" s="103">
        <f t="shared" si="24"/>
        <v>377.24</v>
      </c>
      <c r="AB93" s="103">
        <f t="shared" si="24"/>
        <v>359.74000000000007</v>
      </c>
      <c r="AC93" s="103">
        <f t="shared" si="24"/>
        <v>354.74</v>
      </c>
      <c r="AD93" s="103">
        <f t="shared" si="24"/>
        <v>332.44000000000005</v>
      </c>
      <c r="AE93" s="103">
        <f t="shared" si="24"/>
        <v>276.44000000000005</v>
      </c>
      <c r="AF93" s="103">
        <f t="shared" si="24"/>
        <v>259.04000000000008</v>
      </c>
      <c r="AG93" s="104"/>
      <c r="AH93" s="55">
        <f>MAX(C93:AF93)</f>
        <v>377.24</v>
      </c>
      <c r="AI93" s="56">
        <f>MIN(C93:AF93)</f>
        <v>75.140000000000015</v>
      </c>
    </row>
    <row r="94" spans="1:88" x14ac:dyDescent="0.25">
      <c r="A94" s="105" t="s">
        <v>98</v>
      </c>
      <c r="B94" s="106">
        <v>26.6</v>
      </c>
      <c r="C94" s="106">
        <v>21</v>
      </c>
      <c r="D94" s="106">
        <v>20.6</v>
      </c>
      <c r="E94" s="106">
        <v>12.2</v>
      </c>
      <c r="F94" s="106">
        <v>12.3</v>
      </c>
      <c r="G94" s="106">
        <v>18.2</v>
      </c>
      <c r="H94" s="106">
        <v>19.7</v>
      </c>
      <c r="I94" s="106">
        <v>22.5</v>
      </c>
      <c r="J94" s="106">
        <v>20</v>
      </c>
      <c r="K94" s="106">
        <v>22.2</v>
      </c>
      <c r="L94" s="106">
        <v>12.1</v>
      </c>
      <c r="M94" s="106">
        <v>19.7</v>
      </c>
      <c r="N94" s="106">
        <v>30.2</v>
      </c>
      <c r="O94" s="106">
        <v>14.7</v>
      </c>
      <c r="P94" s="106">
        <v>23.3</v>
      </c>
      <c r="Q94" s="106">
        <v>3.1</v>
      </c>
      <c r="R94" s="106">
        <v>16.5</v>
      </c>
      <c r="S94" s="106">
        <v>28.7</v>
      </c>
      <c r="T94" s="106">
        <v>26</v>
      </c>
      <c r="U94" s="106">
        <v>29.4</v>
      </c>
      <c r="V94" s="106">
        <v>29.8</v>
      </c>
      <c r="W94" s="106">
        <v>27.3</v>
      </c>
      <c r="X94" s="106">
        <v>30.8</v>
      </c>
      <c r="Y94" s="106">
        <v>32</v>
      </c>
      <c r="Z94" s="106">
        <v>36</v>
      </c>
      <c r="AA94" s="106">
        <v>23.6</v>
      </c>
      <c r="AB94" s="106">
        <v>19.8</v>
      </c>
      <c r="AC94" s="106">
        <v>18.100000000000001</v>
      </c>
      <c r="AD94" s="106">
        <v>17.7</v>
      </c>
      <c r="AE94" s="106">
        <v>21.8</v>
      </c>
      <c r="AF94" s="106">
        <v>18.5</v>
      </c>
      <c r="AG94" s="107">
        <v>75</v>
      </c>
      <c r="AH94" s="55">
        <f t="shared" ref="AH94:AH100" si="25">IF(ABS(MAX(C94:AF94))&gt;ABS(MIN(C94:AF94)),MAX(C94:AF94),MIN(C94:AF94))</f>
        <v>36</v>
      </c>
      <c r="AI94" s="108">
        <f t="shared" ref="AI94:AI100" si="26">INDEX($C$9:$AF$9,1,MATCH(AH94,C94:AF94,0))</f>
        <v>0.79166666666666663</v>
      </c>
    </row>
    <row r="95" spans="1:88" x14ac:dyDescent="0.25">
      <c r="A95" s="109" t="s">
        <v>99</v>
      </c>
      <c r="B95" s="110">
        <f>-78.3-78</f>
        <v>-156.30000000000001</v>
      </c>
      <c r="C95" s="110">
        <f>-72.3-77.4</f>
        <v>-149.69999999999999</v>
      </c>
      <c r="D95" s="110">
        <f>-75.9-81.1</f>
        <v>-157</v>
      </c>
      <c r="E95" s="110">
        <v>-155</v>
      </c>
      <c r="F95" s="110">
        <v>-155</v>
      </c>
      <c r="G95" s="110">
        <v>-130</v>
      </c>
      <c r="H95" s="110">
        <v>-110</v>
      </c>
      <c r="I95" s="110">
        <v>-112</v>
      </c>
      <c r="J95" s="110">
        <v>-87</v>
      </c>
      <c r="K95" s="110">
        <v>-65</v>
      </c>
      <c r="L95" s="110">
        <v>-55</v>
      </c>
      <c r="M95" s="110">
        <f>-40.5-45.6</f>
        <v>-86.1</v>
      </c>
      <c r="N95" s="110">
        <v>-100</v>
      </c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5">
        <f t="shared" si="25"/>
        <v>-157</v>
      </c>
      <c r="AI95" s="108">
        <f t="shared" si="26"/>
        <v>8.3333333333333301E-2</v>
      </c>
    </row>
    <row r="96" spans="1:88" x14ac:dyDescent="0.25">
      <c r="A96" s="109" t="s">
        <v>100</v>
      </c>
      <c r="B96" s="110">
        <v>14.8</v>
      </c>
      <c r="C96" s="110">
        <v>-18.3</v>
      </c>
      <c r="D96" s="110">
        <v>-17</v>
      </c>
      <c r="E96" s="110">
        <v>-14.6</v>
      </c>
      <c r="F96" s="110">
        <v>-16</v>
      </c>
      <c r="G96" s="110">
        <v>-11</v>
      </c>
      <c r="H96" s="110">
        <v>-8.1</v>
      </c>
      <c r="I96" s="110">
        <v>1.1000000000000001</v>
      </c>
      <c r="J96" s="110">
        <v>17.899999999999999</v>
      </c>
      <c r="K96" s="110">
        <v>17.8</v>
      </c>
      <c r="L96" s="110">
        <v>9.3000000000000007</v>
      </c>
      <c r="M96" s="110">
        <v>5.0999999999999996</v>
      </c>
      <c r="N96" s="110">
        <v>7.3</v>
      </c>
      <c r="O96" s="110">
        <v>25</v>
      </c>
      <c r="P96" s="110">
        <v>21</v>
      </c>
      <c r="Q96" s="110">
        <v>41.3</v>
      </c>
      <c r="R96" s="110">
        <v>28.4</v>
      </c>
      <c r="S96" s="110">
        <v>22.3</v>
      </c>
      <c r="T96" s="110">
        <v>23.4</v>
      </c>
      <c r="U96" s="110">
        <v>19.600000000000001</v>
      </c>
      <c r="V96" s="110">
        <v>24.8</v>
      </c>
      <c r="W96" s="110">
        <v>14.6</v>
      </c>
      <c r="X96" s="110">
        <v>30.6</v>
      </c>
      <c r="Y96" s="110"/>
      <c r="Z96" s="110">
        <v>20</v>
      </c>
      <c r="AA96" s="110">
        <v>42.7</v>
      </c>
      <c r="AB96" s="110">
        <v>32.700000000000003</v>
      </c>
      <c r="AC96" s="110">
        <v>40.9</v>
      </c>
      <c r="AD96" s="110">
        <v>37.200000000000003</v>
      </c>
      <c r="AE96" s="110">
        <v>16.7</v>
      </c>
      <c r="AF96" s="110">
        <v>2.6</v>
      </c>
      <c r="AG96" s="107">
        <v>60</v>
      </c>
      <c r="AH96" s="55">
        <f t="shared" si="25"/>
        <v>42.7</v>
      </c>
      <c r="AI96" s="108">
        <f t="shared" si="26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48.2</v>
      </c>
      <c r="M97" s="112">
        <v>70</v>
      </c>
      <c r="N97" s="112">
        <v>50.5</v>
      </c>
      <c r="O97" s="112">
        <v>68.099999999999994</v>
      </c>
      <c r="P97" s="112">
        <v>54.1</v>
      </c>
      <c r="Q97" s="112">
        <v>72.099999999999994</v>
      </c>
      <c r="R97" s="112">
        <v>43.2</v>
      </c>
      <c r="S97" s="112">
        <v>47.5</v>
      </c>
      <c r="T97" s="112">
        <v>56.8</v>
      </c>
      <c r="U97" s="112">
        <v>51.4</v>
      </c>
      <c r="V97" s="112">
        <v>80</v>
      </c>
      <c r="W97" s="112">
        <v>101.4</v>
      </c>
      <c r="X97" s="112">
        <v>61.3</v>
      </c>
      <c r="Y97" s="112">
        <v>72</v>
      </c>
      <c r="Z97" s="112">
        <v>74.099999999999994</v>
      </c>
      <c r="AA97" s="112">
        <v>73.5</v>
      </c>
      <c r="AB97" s="112">
        <v>69.2</v>
      </c>
      <c r="AC97" s="112">
        <v>57.7</v>
      </c>
      <c r="AD97" s="112">
        <v>39.6</v>
      </c>
      <c r="AE97" s="112">
        <v>0</v>
      </c>
      <c r="AF97" s="112">
        <v>0</v>
      </c>
      <c r="AG97" s="113">
        <v>120</v>
      </c>
      <c r="AH97" s="55">
        <f t="shared" si="25"/>
        <v>101.4</v>
      </c>
      <c r="AI97" s="108">
        <f t="shared" si="26"/>
        <v>0.72916666666666663</v>
      </c>
    </row>
    <row r="98" spans="1:37" x14ac:dyDescent="0.25">
      <c r="A98" s="111" t="s">
        <v>102</v>
      </c>
      <c r="B98" s="112">
        <v>29.3</v>
      </c>
      <c r="C98" s="112">
        <v>38.5</v>
      </c>
      <c r="D98" s="112">
        <v>36</v>
      </c>
      <c r="E98" s="112">
        <v>41.2</v>
      </c>
      <c r="F98" s="112">
        <v>46</v>
      </c>
      <c r="G98" s="112">
        <v>48</v>
      </c>
      <c r="H98" s="112">
        <v>54</v>
      </c>
      <c r="I98" s="112">
        <v>48</v>
      </c>
      <c r="J98" s="112">
        <v>66</v>
      </c>
      <c r="K98" s="112">
        <v>75</v>
      </c>
      <c r="L98" s="112">
        <v>31</v>
      </c>
      <c r="M98" s="112">
        <v>67.599999999999994</v>
      </c>
      <c r="N98" s="112">
        <v>59.3</v>
      </c>
      <c r="O98" s="112">
        <v>69</v>
      </c>
      <c r="P98" s="112">
        <v>61.4</v>
      </c>
      <c r="Q98" s="112">
        <v>76.099999999999994</v>
      </c>
      <c r="R98" s="112">
        <v>46.1</v>
      </c>
      <c r="S98" s="112">
        <v>52.4</v>
      </c>
      <c r="T98" s="112">
        <v>59.4</v>
      </c>
      <c r="U98" s="112">
        <v>52.6</v>
      </c>
      <c r="V98" s="112">
        <v>62</v>
      </c>
      <c r="W98" s="112">
        <v>85.4</v>
      </c>
      <c r="X98" s="112">
        <v>51.8</v>
      </c>
      <c r="Y98" s="112">
        <v>66</v>
      </c>
      <c r="Z98" s="112">
        <v>62.4</v>
      </c>
      <c r="AA98" s="112">
        <v>61.4</v>
      </c>
      <c r="AB98" s="112">
        <v>65</v>
      </c>
      <c r="AC98" s="112">
        <v>57.9</v>
      </c>
      <c r="AD98" s="112">
        <v>45.2</v>
      </c>
      <c r="AE98" s="112">
        <v>42.7</v>
      </c>
      <c r="AF98" s="112">
        <v>38.1</v>
      </c>
      <c r="AG98" s="113"/>
      <c r="AH98" s="55">
        <f t="shared" si="25"/>
        <v>85.4</v>
      </c>
      <c r="AI98" s="108">
        <f t="shared" si="26"/>
        <v>0.72916666666666663</v>
      </c>
    </row>
    <row r="99" spans="1:37" x14ac:dyDescent="0.25">
      <c r="A99" s="111" t="s">
        <v>253</v>
      </c>
      <c r="B99" s="112">
        <v>9</v>
      </c>
      <c r="C99" s="112">
        <v>35.6</v>
      </c>
      <c r="D99" s="112">
        <v>35.4</v>
      </c>
      <c r="E99" s="112">
        <v>69</v>
      </c>
      <c r="F99" s="112">
        <v>77</v>
      </c>
      <c r="G99" s="112">
        <v>55</v>
      </c>
      <c r="H99" s="112">
        <v>56</v>
      </c>
      <c r="I99" s="112">
        <v>39</v>
      </c>
      <c r="J99" s="112">
        <v>56</v>
      </c>
      <c r="K99" s="112">
        <v>48</v>
      </c>
      <c r="L99" s="112">
        <v>42</v>
      </c>
      <c r="M99" s="112">
        <v>39.4</v>
      </c>
      <c r="N99" s="112">
        <v>2.4</v>
      </c>
      <c r="O99" s="112">
        <v>0</v>
      </c>
      <c r="P99" s="112">
        <v>25.3</v>
      </c>
      <c r="Q99" s="112">
        <v>28.5</v>
      </c>
      <c r="R99" s="112">
        <v>12.3</v>
      </c>
      <c r="S99" s="112">
        <v>9.6999999999999993</v>
      </c>
      <c r="T99" s="112">
        <v>12.1</v>
      </c>
      <c r="U99" s="112">
        <v>4.9000000000000004</v>
      </c>
      <c r="V99" s="112">
        <v>0.7</v>
      </c>
      <c r="W99" s="112">
        <v>14.5</v>
      </c>
      <c r="X99" s="112">
        <v>10.3</v>
      </c>
      <c r="Y99" s="112">
        <v>-2</v>
      </c>
      <c r="Z99" s="112">
        <v>-14.1</v>
      </c>
      <c r="AA99" s="112">
        <v>34.700000000000003</v>
      </c>
      <c r="AB99" s="112">
        <v>45.6</v>
      </c>
      <c r="AC99" s="112">
        <v>45.3</v>
      </c>
      <c r="AD99" s="112">
        <v>47.7</v>
      </c>
      <c r="AE99" s="112">
        <v>33.4</v>
      </c>
      <c r="AF99" s="112">
        <v>35.4</v>
      </c>
      <c r="AG99" s="114"/>
      <c r="AH99" s="55">
        <f t="shared" si="25"/>
        <v>77</v>
      </c>
      <c r="AI99" s="108">
        <f t="shared" si="26"/>
        <v>0.16666666666666699</v>
      </c>
    </row>
    <row r="100" spans="1:37" ht="15.75" thickBot="1" x14ac:dyDescent="0.3">
      <c r="A100" s="115" t="s">
        <v>259</v>
      </c>
      <c r="B100" s="95"/>
      <c r="C100" s="95"/>
      <c r="D100" s="95"/>
      <c r="E100" s="95">
        <v>110</v>
      </c>
      <c r="F100" s="95">
        <v>111</v>
      </c>
      <c r="G100" s="95">
        <v>117</v>
      </c>
      <c r="H100" s="95">
        <v>109.9</v>
      </c>
      <c r="I100" s="95">
        <v>108</v>
      </c>
      <c r="J100" s="95">
        <v>90.6</v>
      </c>
      <c r="K100" s="95">
        <v>85.4</v>
      </c>
      <c r="L100" s="95">
        <v>94</v>
      </c>
      <c r="M100" s="95">
        <v>88.9</v>
      </c>
      <c r="N100" s="95">
        <v>88.1</v>
      </c>
      <c r="O100" s="95">
        <v>88</v>
      </c>
      <c r="P100" s="95">
        <v>88.1</v>
      </c>
      <c r="Q100" s="95">
        <v>92.9</v>
      </c>
      <c r="R100" s="95">
        <v>93.2</v>
      </c>
      <c r="S100" s="95">
        <v>90</v>
      </c>
      <c r="T100" s="95">
        <v>77.8</v>
      </c>
      <c r="U100" s="95">
        <v>117</v>
      </c>
      <c r="V100" s="95">
        <v>97</v>
      </c>
      <c r="W100" s="95">
        <v>89</v>
      </c>
      <c r="X100" s="95">
        <v>86.7</v>
      </c>
      <c r="Y100" s="95">
        <v>88</v>
      </c>
      <c r="Z100" s="95">
        <v>79</v>
      </c>
      <c r="AA100" s="95">
        <v>82.9</v>
      </c>
      <c r="AB100" s="95">
        <v>90.2</v>
      </c>
      <c r="AC100" s="95">
        <v>85.3</v>
      </c>
      <c r="AD100" s="95">
        <v>82.6</v>
      </c>
      <c r="AE100" s="95">
        <v>90</v>
      </c>
      <c r="AF100" s="95">
        <v>92.7</v>
      </c>
      <c r="AG100" s="114"/>
      <c r="AH100" s="55">
        <f t="shared" si="25"/>
        <v>117</v>
      </c>
      <c r="AI100" s="108">
        <f t="shared" si="26"/>
        <v>0.20833333333333301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7">AF102</f>
        <v>9.9</v>
      </c>
      <c r="C102" s="54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130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3"/>
        <v>0.04</v>
      </c>
      <c r="C190" s="54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3"/>
        <v>2.3E-2</v>
      </c>
      <c r="C191" s="54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1786.6399999999999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23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2079/02/23)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2079/02/23)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3">B75</f>
        <v>1745.04</v>
      </c>
      <c r="U214" s="161">
        <f t="shared" si="63"/>
        <v>1777.64</v>
      </c>
      <c r="V214" s="161">
        <f t="shared" si="63"/>
        <v>1772.3400000000001</v>
      </c>
      <c r="W214" s="161">
        <f t="shared" si="63"/>
        <v>1714.8400000000001</v>
      </c>
      <c r="X214" s="161">
        <f t="shared" si="63"/>
        <v>1694.8400000000001</v>
      </c>
      <c r="Y214" s="161">
        <f t="shared" si="63"/>
        <v>1709.54</v>
      </c>
      <c r="Z214" s="161">
        <f t="shared" si="63"/>
        <v>1707.9399999999998</v>
      </c>
      <c r="AA214" s="161">
        <f t="shared" si="63"/>
        <v>1704.6399999999999</v>
      </c>
      <c r="AB214" s="161">
        <f t="shared" si="63"/>
        <v>1702.8399999999997</v>
      </c>
      <c r="AC214" s="161">
        <f t="shared" si="63"/>
        <v>1701.1399999999999</v>
      </c>
      <c r="AD214" s="161">
        <f t="shared" si="63"/>
        <v>1751.7399999999998</v>
      </c>
      <c r="AE214" s="161">
        <f t="shared" si="63"/>
        <v>1730.7399999999998</v>
      </c>
      <c r="AF214" s="161">
        <f t="shared" si="63"/>
        <v>1786.6399999999999</v>
      </c>
      <c r="AG214" s="161">
        <f t="shared" si="63"/>
        <v>1713.24</v>
      </c>
      <c r="AH214" s="161">
        <f t="shared" si="63"/>
        <v>1798.9399999999998</v>
      </c>
      <c r="AI214" s="161">
        <f t="shared" si="63"/>
        <v>1693.74</v>
      </c>
      <c r="AJ214" s="161">
        <f t="shared" si="63"/>
        <v>1734.4399999999998</v>
      </c>
      <c r="AK214" s="161">
        <f t="shared" si="63"/>
        <v>1771.34</v>
      </c>
      <c r="AL214" s="161">
        <f t="shared" si="63"/>
        <v>1783.74</v>
      </c>
      <c r="AM214" s="161">
        <f t="shared" si="63"/>
        <v>1778.34</v>
      </c>
      <c r="AN214" s="161">
        <f t="shared" si="63"/>
        <v>1758.94</v>
      </c>
      <c r="AO214" s="161">
        <f t="shared" si="63"/>
        <v>1766.04</v>
      </c>
      <c r="AP214" s="161">
        <f t="shared" si="63"/>
        <v>1766.04</v>
      </c>
      <c r="AQ214" s="161">
        <f t="shared" si="63"/>
        <v>1755.94</v>
      </c>
      <c r="AR214" s="161">
        <f t="shared" si="63"/>
        <v>1747.64</v>
      </c>
      <c r="AS214" s="161">
        <f t="shared" si="63"/>
        <v>1765.8400000000001</v>
      </c>
      <c r="AT214" s="161">
        <f t="shared" si="63"/>
        <v>1796.74</v>
      </c>
      <c r="AU214" s="161">
        <f t="shared" si="63"/>
        <v>1801.04</v>
      </c>
      <c r="AV214" s="161">
        <f t="shared" si="63"/>
        <v>1797.74</v>
      </c>
      <c r="AW214" s="161">
        <f t="shared" si="63"/>
        <v>1795.0400000000002</v>
      </c>
      <c r="AX214" s="161">
        <f t="shared" si="63"/>
        <v>1762.5400000000002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AB11:AF11">
    <cfRule type="expression" dxfId="2174" priority="215">
      <formula>B$9&gt;=20/24</formula>
    </cfRule>
    <cfRule type="expression" dxfId="2173" priority="216">
      <formula>AND(B$9&gt;=14/24,B$9&lt;20/24)</formula>
    </cfRule>
    <cfRule type="expression" dxfId="2172" priority="217">
      <formula>AND(B$9&gt;=8/24,B$9&lt;14/24)</formula>
    </cfRule>
    <cfRule type="expression" dxfId="2171" priority="218">
      <formula>B$9&lt;8/24</formula>
    </cfRule>
  </conditionalFormatting>
  <conditionalFormatting sqref="AL4:AL6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U37:AF37">
    <cfRule type="expression" dxfId="2170" priority="210">
      <formula>U$9&gt;=20/24</formula>
    </cfRule>
    <cfRule type="expression" dxfId="2169" priority="211">
      <formula>AND(U$9&gt;=14/24,U$9&lt;20/24)</formula>
    </cfRule>
    <cfRule type="expression" dxfId="2168" priority="212">
      <formula>AND(U$9&gt;=8/24,U$9&lt;14/24)</formula>
    </cfRule>
    <cfRule type="expression" dxfId="2167" priority="213">
      <formula>U$9&lt;8/24</formula>
    </cfRule>
  </conditionalFormatting>
  <conditionalFormatting sqref="AG51 B12:D12 B15:D16 AB11:AC15 U37:AF37 L11:AA11 E16:AC16 AD11:AF16">
    <cfRule type="expression" dxfId="2166" priority="209">
      <formula>B11&gt;$AG11</formula>
    </cfRule>
  </conditionalFormatting>
  <conditionalFormatting sqref="A101:A157 A84:A97 A11:A14 A45:A72 A80:A82 A74:A78 A35:A43 A170:A200 A16:A32">
    <cfRule type="expression" dxfId="2165" priority="208">
      <formula>$AH11=0</formula>
    </cfRule>
  </conditionalFormatting>
  <conditionalFormatting sqref="A98">
    <cfRule type="expression" dxfId="2164" priority="207">
      <formula>$AH98=0</formula>
    </cfRule>
  </conditionalFormatting>
  <conditionalFormatting sqref="AL32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163" priority="205">
      <formula>$AH34=0</formula>
    </cfRule>
  </conditionalFormatting>
  <conditionalFormatting sqref="A83">
    <cfRule type="expression" dxfId="2162" priority="204">
      <formula>$AH83=0</formula>
    </cfRule>
  </conditionalFormatting>
  <conditionalFormatting sqref="A15">
    <cfRule type="expression" dxfId="2161" priority="203">
      <formula>$AH15=0</formula>
    </cfRule>
  </conditionalFormatting>
  <conditionalFormatting sqref="A164:A169">
    <cfRule type="expression" dxfId="2160" priority="202">
      <formula>$AH164=0</formula>
    </cfRule>
  </conditionalFormatting>
  <conditionalFormatting sqref="A158:A163">
    <cfRule type="expression" dxfId="2159" priority="201">
      <formula>$AH158=0</formula>
    </cfRule>
  </conditionalFormatting>
  <conditionalFormatting sqref="A44">
    <cfRule type="expression" dxfId="2158" priority="200">
      <formula>$AH44=0</formula>
    </cfRule>
  </conditionalFormatting>
  <conditionalFormatting sqref="A79">
    <cfRule type="expression" dxfId="2157" priority="199">
      <formula>$AH79=0</formula>
    </cfRule>
  </conditionalFormatting>
  <conditionalFormatting sqref="A73">
    <cfRule type="expression" dxfId="2156" priority="198">
      <formula>$AH73=0</formula>
    </cfRule>
  </conditionalFormatting>
  <conditionalFormatting sqref="AL34:AL35 AL7:AL31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155" priority="194">
      <formula>C$9&gt;=20/24</formula>
    </cfRule>
    <cfRule type="expression" dxfId="2154" priority="195">
      <formula>AND(C$9&gt;=14/24,C$9&lt;20/24)</formula>
    </cfRule>
    <cfRule type="expression" dxfId="2153" priority="196">
      <formula>AND(C$9&gt;=8/24,C$9&lt;14/24)</formula>
    </cfRule>
    <cfRule type="expression" dxfId="2152" priority="197">
      <formula>C$9&lt;8/24</formula>
    </cfRule>
  </conditionalFormatting>
  <conditionalFormatting sqref="AL33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151" priority="222">
      <formula>C$9&gt;=20/24</formula>
    </cfRule>
    <cfRule type="expression" dxfId="2150" priority="223">
      <formula>AND(C$9&gt;=14/24,C$9&lt;20/24)</formula>
    </cfRule>
    <cfRule type="expression" dxfId="2149" priority="224">
      <formula>AND(C$9&gt;=8/24,C$9&lt;14/24)</formula>
    </cfRule>
    <cfRule type="expression" dxfId="2148" priority="225">
      <formula>C$9&lt;8/24</formula>
    </cfRule>
  </conditionalFormatting>
  <conditionalFormatting sqref="A201">
    <cfRule type="expression" dxfId="2147" priority="226">
      <formula>$AH201=0</formula>
    </cfRule>
  </conditionalFormatting>
  <conditionalFormatting sqref="AG213">
    <cfRule type="expression" dxfId="2146" priority="227">
      <formula>B$9&gt;=20/24</formula>
    </cfRule>
    <cfRule type="expression" dxfId="2145" priority="228">
      <formula>AND(B$9&gt;=14/24,B$9&lt;20/24)</formula>
    </cfRule>
    <cfRule type="expression" dxfId="2144" priority="229">
      <formula>AND(B$9&gt;=8/24,B$9&lt;14/24)</formula>
    </cfRule>
    <cfRule type="expression" dxfId="2143" priority="230">
      <formula>B$9&lt;8/24</formula>
    </cfRule>
  </conditionalFormatting>
  <conditionalFormatting sqref="S8">
    <cfRule type="expression" dxfId="2142" priority="189">
      <formula>U$9&gt;=20/24</formula>
    </cfRule>
    <cfRule type="expression" dxfId="2141" priority="190">
      <formula>AND(U$9&gt;=14/24,U$9&lt;20/24)</formula>
    </cfRule>
    <cfRule type="expression" dxfId="2140" priority="191">
      <formula>AND(U$9&gt;=8/24,U$9&lt;14/24)</formula>
    </cfRule>
    <cfRule type="expression" dxfId="2139" priority="192">
      <formula>U$9&lt;8/24</formula>
    </cfRule>
  </conditionalFormatting>
  <conditionalFormatting sqref="AB8">
    <cfRule type="expression" dxfId="2138" priority="185">
      <formula>AD$9&gt;=20/24</formula>
    </cfRule>
    <cfRule type="expression" dxfId="2137" priority="186">
      <formula>AND(AD$9&gt;=14/24,AD$9&lt;20/24)</formula>
    </cfRule>
    <cfRule type="expression" dxfId="2136" priority="187">
      <formula>AND(AD$9&gt;=8/24,AD$9&lt;14/24)</formula>
    </cfRule>
    <cfRule type="expression" dxfId="2135" priority="188">
      <formula>AD$9&lt;8/24</formula>
    </cfRule>
  </conditionalFormatting>
  <conditionalFormatting sqref="AH213:AX213">
    <cfRule type="expression" dxfId="2134" priority="231">
      <formula>AG$9&gt;=20/24</formula>
    </cfRule>
    <cfRule type="expression" dxfId="2133" priority="232">
      <formula>AND(AG$9&gt;=14/24,AG$9&lt;20/24)</formula>
    </cfRule>
    <cfRule type="expression" dxfId="2132" priority="233">
      <formula>AND(AG$9&gt;=8/24,AG$9&lt;14/24)</formula>
    </cfRule>
    <cfRule type="expression" dxfId="2131" priority="234">
      <formula>AG$9&lt;8/24</formula>
    </cfRule>
  </conditionalFormatting>
  <conditionalFormatting sqref="T213">
    <cfRule type="expression" dxfId="2130" priority="235">
      <formula>AX$9&gt;=20/24</formula>
    </cfRule>
    <cfRule type="expression" dxfId="2129" priority="236">
      <formula>AND(AX$9&gt;=14/24,AX$9&lt;20/24)</formula>
    </cfRule>
    <cfRule type="expression" dxfId="2128" priority="237">
      <formula>AND(AX$9&gt;=8/24,AX$9&lt;14/24)</formula>
    </cfRule>
    <cfRule type="expression" dxfId="2127" priority="238">
      <formula>AX$9&lt;8/24</formula>
    </cfRule>
  </conditionalFormatting>
  <conditionalFormatting sqref="A99:A100">
    <cfRule type="expression" dxfId="2126" priority="184">
      <formula>$AH99=0</formula>
    </cfRule>
  </conditionalFormatting>
  <conditionalFormatting sqref="E40:L41 E11:K11 E57:AF57 AB36:AF36 AB40:AF41">
    <cfRule type="expression" dxfId="2125" priority="180">
      <formula>E$9&gt;=20/24</formula>
    </cfRule>
    <cfRule type="expression" dxfId="2124" priority="181">
      <formula>AND(E$9&gt;=14/24,E$9&lt;20/24)</formula>
    </cfRule>
    <cfRule type="expression" dxfId="2123" priority="182">
      <formula>AND(E$9&gt;=8/24,E$9&lt;14/24)</formula>
    </cfRule>
    <cfRule type="expression" dxfId="2122" priority="183">
      <formula>E$9&lt;8/24</formula>
    </cfRule>
  </conditionalFormatting>
  <conditionalFormatting sqref="E39:L39 AB39:AF39">
    <cfRule type="expression" dxfId="2121" priority="176">
      <formula>E$9&gt;=20/24</formula>
    </cfRule>
    <cfRule type="expression" dxfId="2120" priority="177">
      <formula>AND(E$9&gt;=14/24,E$9&lt;20/24)</formula>
    </cfRule>
    <cfRule type="expression" dxfId="2119" priority="178">
      <formula>AND(E$9&gt;=8/24,E$9&lt;14/24)</formula>
    </cfRule>
    <cfRule type="expression" dxfId="2118" priority="179">
      <formula>E$9&lt;8/24</formula>
    </cfRule>
  </conditionalFormatting>
  <conditionalFormatting sqref="E39:L41 E11:K11 AB36:AF36 AB39:AF41">
    <cfRule type="expression" dxfId="2117" priority="175">
      <formula>E11&gt;$AG11</formula>
    </cfRule>
  </conditionalFormatting>
  <conditionalFormatting sqref="M11 C81:AF81 C69:AF72 AA18:AB18 C56:AF56 M37:R37 E53:AF55 B13:D14 E12:M14 E67:O67 E58:O63 E36:R36 S36:T37 C85:AF91 N11:AA14 AB19:AB20 U36:AA36 AB12:AF14 AB16:AF16 AC18:AF20 P58:AF67">
    <cfRule type="expression" dxfId="2116" priority="171">
      <formula>B$9&gt;=20/24</formula>
    </cfRule>
    <cfRule type="expression" dxfId="2115" priority="172">
      <formula>AND(B$9&gt;=14/24,B$9&lt;20/24)</formula>
    </cfRule>
    <cfRule type="expression" dxfId="2114" priority="173">
      <formula>AND(B$9&gt;=8/24,B$9&lt;14/24)</formula>
    </cfRule>
    <cfRule type="expression" dxfId="2113" priority="174">
      <formula>B$9&lt;8/24</formula>
    </cfRule>
  </conditionalFormatting>
  <conditionalFormatting sqref="E42:G43 M11 F44:G44 AA18:AB18 C51:AF51 C56:AF56 E53:AF55 B13:D14 H42:L44 E12:M15 E36:T37 N11:AA15 AB19:AB20 U36:AA36 AC18:AF20 AB42:AF43">
    <cfRule type="expression" dxfId="2112" priority="162">
      <formula>B11&gt;$AG11</formula>
    </cfRule>
  </conditionalFormatting>
  <conditionalFormatting sqref="E15:AF15">
    <cfRule type="expression" dxfId="2111" priority="154">
      <formula>E$9&gt;=20/24</formula>
    </cfRule>
    <cfRule type="expression" dxfId="2110" priority="155">
      <formula>AND(E$9&gt;=14/24,E$9&lt;20/24)</formula>
    </cfRule>
    <cfRule type="expression" dxfId="2109" priority="156">
      <formula>AND(E$9&gt;=8/24,E$9&lt;14/24)</formula>
    </cfRule>
    <cfRule type="expression" dxfId="2108" priority="157">
      <formula>E$9&lt;8/24</formula>
    </cfRule>
  </conditionalFormatting>
  <conditionalFormatting sqref="M39:AA43">
    <cfRule type="expression" dxfId="2107" priority="136">
      <formula>M$9&gt;=20/24</formula>
    </cfRule>
    <cfRule type="expression" dxfId="2106" priority="137">
      <formula>AND(M$9&gt;=14/24,M$9&lt;20/24)</formula>
    </cfRule>
    <cfRule type="expression" dxfId="2105" priority="138">
      <formula>AND(M$9&gt;=8/24,M$9&lt;14/24)</formula>
    </cfRule>
    <cfRule type="expression" dxfId="2104" priority="139">
      <formula>M$9&lt;8/24</formula>
    </cfRule>
  </conditionalFormatting>
  <conditionalFormatting sqref="M39:AA43">
    <cfRule type="expression" dxfId="2103" priority="135">
      <formula>M39&gt;$AG39</formula>
    </cfRule>
  </conditionalFormatting>
  <conditionalFormatting sqref="L30 E16:L29 E31:L31 AA16:AA17 AA19:AA31 M16:Z31 AB17:AF17 AB21:AF31">
    <cfRule type="expression" dxfId="2102" priority="127">
      <formula>E$9&gt;=20/24</formula>
    </cfRule>
    <cfRule type="expression" dxfId="2101" priority="128">
      <formula>AND(E$9&gt;=14/24,E$9&lt;20/24)</formula>
    </cfRule>
    <cfRule type="expression" dxfId="2100" priority="129">
      <formula>AND(E$9&gt;=8/24,E$9&lt;14/24)</formula>
    </cfRule>
    <cfRule type="expression" dxfId="2099" priority="130">
      <formula>E$9&lt;8/24</formula>
    </cfRule>
  </conditionalFormatting>
  <conditionalFormatting sqref="E32:AF32">
    <cfRule type="expression" dxfId="2098" priority="123">
      <formula>E$9&gt;=20/24</formula>
    </cfRule>
    <cfRule type="expression" dxfId="2097" priority="124">
      <formula>AND(E$9&gt;=14/24,E$9&lt;20/24)</formula>
    </cfRule>
    <cfRule type="expression" dxfId="2096" priority="125">
      <formula>AND(E$9&gt;=8/24,E$9&lt;14/24)</formula>
    </cfRule>
    <cfRule type="expression" dxfId="2095" priority="126">
      <formula>E$9&lt;8/24</formula>
    </cfRule>
  </conditionalFormatting>
  <conditionalFormatting sqref="E35:AF35">
    <cfRule type="expression" dxfId="2094" priority="119">
      <formula>E$9&gt;=20/24</formula>
    </cfRule>
    <cfRule type="expression" dxfId="2093" priority="120">
      <formula>AND(E$9&gt;=14/24,E$9&lt;20/24)</formula>
    </cfRule>
    <cfRule type="expression" dxfId="2092" priority="121">
      <formula>AND(E$9&gt;=8/24,E$9&lt;14/24)</formula>
    </cfRule>
    <cfRule type="expression" dxfId="2091" priority="122">
      <formula>E$9&lt;8/24</formula>
    </cfRule>
  </conditionalFormatting>
  <conditionalFormatting sqref="L30 E17:L29 E31:L32 AA19:AA32 M17:Z32 AA17:AF17 E34:AF35 AB21:AF32">
    <cfRule type="expression" dxfId="2090" priority="118">
      <formula>E17&gt;$AG17</formula>
    </cfRule>
  </conditionalFormatting>
  <conditionalFormatting sqref="E34:AF34">
    <cfRule type="expression" dxfId="2089" priority="114">
      <formula>E$9&gt;=20/24</formula>
    </cfRule>
    <cfRule type="expression" dxfId="2088" priority="115">
      <formula>AND(E$9&gt;=14/24,E$9&lt;20/24)</formula>
    </cfRule>
    <cfRule type="expression" dxfId="2087" priority="116">
      <formula>AND(E$9&gt;=8/24,E$9&lt;14/24)</formula>
    </cfRule>
    <cfRule type="expression" dxfId="2086" priority="117">
      <formula>E$9&lt;8/24</formula>
    </cfRule>
  </conditionalFormatting>
  <conditionalFormatting sqref="E33:AF33">
    <cfRule type="expression" dxfId="2085" priority="106">
      <formula>E$9&gt;=20/24</formula>
    </cfRule>
    <cfRule type="expression" dxfId="2084" priority="107">
      <formula>AND(E$9&gt;=14/24,E$9&lt;20/24)</formula>
    </cfRule>
    <cfRule type="expression" dxfId="2083" priority="108">
      <formula>AND(E$9&gt;=8/24,E$9&lt;14/24)</formula>
    </cfRule>
    <cfRule type="expression" dxfId="2082" priority="109">
      <formula>E$9&lt;8/24</formula>
    </cfRule>
  </conditionalFormatting>
  <conditionalFormatting sqref="E33:AF33">
    <cfRule type="expression" dxfId="2081" priority="105">
      <formula>E33&gt;$AG33</formula>
    </cfRule>
  </conditionalFormatting>
  <conditionalFormatting sqref="E64:O66">
    <cfRule type="expression" dxfId="2080" priority="92">
      <formula>E$9&gt;=20/24</formula>
    </cfRule>
    <cfRule type="expression" dxfId="2079" priority="93">
      <formula>AND(E$9&gt;=14/24,E$9&lt;20/24)</formula>
    </cfRule>
    <cfRule type="expression" dxfId="2078" priority="94">
      <formula>AND(E$9&gt;=8/24,E$9&lt;14/24)</formula>
    </cfRule>
    <cfRule type="expression" dxfId="2077" priority="95">
      <formula>E$9&lt;8/24</formula>
    </cfRule>
  </conditionalFormatting>
  <conditionalFormatting sqref="E44:E50 B44:D44 B48:D48 F45:AF50">
    <cfRule type="expression" dxfId="2076" priority="87">
      <formula>B$9&gt;=20/24</formula>
    </cfRule>
    <cfRule type="expression" dxfId="2075" priority="88">
      <formula>AND(B$9&gt;=14/24,B$9&lt;20/24)</formula>
    </cfRule>
    <cfRule type="expression" dxfId="2074" priority="89">
      <formula>AND(B$9&gt;=8/24,B$9&lt;14/24)</formula>
    </cfRule>
    <cfRule type="expression" dxfId="2073" priority="90">
      <formula>B$9&lt;8/24</formula>
    </cfRule>
  </conditionalFormatting>
  <conditionalFormatting sqref="E44:E50 B44:D44 B48:D48 F45:AF50">
    <cfRule type="expression" dxfId="2072" priority="86">
      <formula>B44&gt;$AG44</formula>
    </cfRule>
  </conditionalFormatting>
  <conditionalFormatting sqref="B94:B100 B74:AF74 B82:AF82 B11:D11">
    <cfRule type="expression" dxfId="2071" priority="73">
      <formula>B$9&gt;=20/24</formula>
    </cfRule>
    <cfRule type="expression" dxfId="2070" priority="74">
      <formula>AND(B$9&gt;=14/24,B$9&lt;20/24)</formula>
    </cfRule>
    <cfRule type="expression" dxfId="2069" priority="75">
      <formula>AND(B$9&gt;=8/24,B$9&lt;14/24)</formula>
    </cfRule>
    <cfRule type="expression" dxfId="2068" priority="76">
      <formula>B$9&lt;8/24</formula>
    </cfRule>
  </conditionalFormatting>
  <conditionalFormatting sqref="B37:D37">
    <cfRule type="expression" dxfId="2067" priority="69">
      <formula>B$9&gt;=20/24</formula>
    </cfRule>
    <cfRule type="expression" dxfId="2066" priority="70">
      <formula>AND(B$9&gt;=14/24,B$9&lt;20/24)</formula>
    </cfRule>
    <cfRule type="expression" dxfId="2065" priority="71">
      <formula>AND(B$9&gt;=8/24,B$9&lt;14/24)</formula>
    </cfRule>
    <cfRule type="expression" dxfId="2064" priority="72">
      <formula>B$9&lt;8/24</formula>
    </cfRule>
  </conditionalFormatting>
  <conditionalFormatting sqref="B37:D37 B11:D11">
    <cfRule type="expression" dxfId="2063" priority="68">
      <formula>B11&gt;$AG11</formula>
    </cfRule>
  </conditionalFormatting>
  <conditionalFormatting sqref="B84">
    <cfRule type="expression" dxfId="2062" priority="64">
      <formula>B$9&gt;=20/24</formula>
    </cfRule>
    <cfRule type="expression" dxfId="2061" priority="65">
      <formula>AND(B$9&gt;=14/24,B$9&lt;20/24)</formula>
    </cfRule>
    <cfRule type="expression" dxfId="2060" priority="66">
      <formula>AND(B$9&gt;=8/24,B$9&lt;14/24)</formula>
    </cfRule>
    <cfRule type="expression" dxfId="2059" priority="67">
      <formula>B$9&lt;8/24</formula>
    </cfRule>
  </conditionalFormatting>
  <conditionalFormatting sqref="B36:D36 B40:D41 B57:D57">
    <cfRule type="expression" dxfId="2058" priority="60">
      <formula>B$9&gt;=20/24</formula>
    </cfRule>
    <cfRule type="expression" dxfId="2057" priority="61">
      <formula>AND(B$9&gt;=14/24,B$9&lt;20/24)</formula>
    </cfRule>
    <cfRule type="expression" dxfId="2056" priority="62">
      <formula>AND(B$9&gt;=8/24,B$9&lt;14/24)</formula>
    </cfRule>
    <cfRule type="expression" dxfId="2055" priority="63">
      <formula>B$9&lt;8/24</formula>
    </cfRule>
  </conditionalFormatting>
  <conditionalFormatting sqref="B39:D39">
    <cfRule type="expression" dxfId="2054" priority="56">
      <formula>B$9&gt;=20/24</formula>
    </cfRule>
    <cfRule type="expression" dxfId="2053" priority="57">
      <formula>AND(B$9&gt;=14/24,B$9&lt;20/24)</formula>
    </cfRule>
    <cfRule type="expression" dxfId="2052" priority="58">
      <formula>AND(B$9&gt;=8/24,B$9&lt;14/24)</formula>
    </cfRule>
    <cfRule type="expression" dxfId="2051" priority="59">
      <formula>B$9&lt;8/24</formula>
    </cfRule>
  </conditionalFormatting>
  <conditionalFormatting sqref="B36:D36 B39:D41">
    <cfRule type="expression" dxfId="2050" priority="55">
      <formula>B36&gt;$AG36</formula>
    </cfRule>
  </conditionalFormatting>
  <conditionalFormatting sqref="B85:B91 B53:B56 B69:B73 B75:AF75 C73:AF73 B81 B83:AF83 B12:D12 B16:D16 B28:D29 B18:D22 C53:D55 B58:D67 B24:D26 B31:D31 B30:K30">
    <cfRule type="expression" dxfId="2049" priority="51">
      <formula>B$9&gt;=20/24</formula>
    </cfRule>
    <cfRule type="expression" dxfId="2048" priority="52">
      <formula>AND(B$9&gt;=14/24,B$9&lt;20/24)</formula>
    </cfRule>
    <cfRule type="expression" dxfId="2047" priority="53">
      <formula>AND(B$9&gt;=8/24,B$9&lt;14/24)</formula>
    </cfRule>
    <cfRule type="expression" dxfId="2046" priority="54">
      <formula>B$9&lt;8/24</formula>
    </cfRule>
  </conditionalFormatting>
  <conditionalFormatting sqref="B32:D32">
    <cfRule type="expression" dxfId="2045" priority="47">
      <formula>B$9&gt;=20/24</formula>
    </cfRule>
    <cfRule type="expression" dxfId="2044" priority="48">
      <formula>AND(B$9&gt;=14/24,B$9&lt;20/24)</formula>
    </cfRule>
    <cfRule type="expression" dxfId="2043" priority="49">
      <formula>AND(B$9&gt;=8/24,B$9&lt;14/24)</formula>
    </cfRule>
    <cfRule type="expression" dxfId="2042" priority="50">
      <formula>B$9&lt;8/24</formula>
    </cfRule>
  </conditionalFormatting>
  <conditionalFormatting sqref="B35:D35">
    <cfRule type="expression" dxfId="2041" priority="43">
      <formula>B$9&gt;=20/24</formula>
    </cfRule>
    <cfRule type="expression" dxfId="2040" priority="44">
      <formula>AND(B$9&gt;=14/24,B$9&lt;20/24)</formula>
    </cfRule>
    <cfRule type="expression" dxfId="2039" priority="45">
      <formula>AND(B$9&gt;=8/24,B$9&lt;14/24)</formula>
    </cfRule>
    <cfRule type="expression" dxfId="2038" priority="46">
      <formula>B$9&lt;8/24</formula>
    </cfRule>
  </conditionalFormatting>
  <conditionalFormatting sqref="B51:B56 C52:AF52 B38:AF38 B18:D22 B42:D43 C53:D55 B24:D29 B34:D35 B31:D32 B30:K30">
    <cfRule type="expression" dxfId="2037" priority="42">
      <formula>B18&gt;$AG18</formula>
    </cfRule>
  </conditionalFormatting>
  <conditionalFormatting sqref="B34:D34">
    <cfRule type="expression" dxfId="2036" priority="38">
      <formula>B$9&gt;=20/24</formula>
    </cfRule>
    <cfRule type="expression" dxfId="2035" priority="39">
      <formula>AND(B$9&gt;=14/24,B$9&lt;20/24)</formula>
    </cfRule>
    <cfRule type="expression" dxfId="2034" priority="40">
      <formula>AND(B$9&gt;=8/24,B$9&lt;14/24)</formula>
    </cfRule>
    <cfRule type="expression" dxfId="2033" priority="41">
      <formula>B$9&lt;8/24</formula>
    </cfRule>
  </conditionalFormatting>
  <conditionalFormatting sqref="B15:D15">
    <cfRule type="expression" dxfId="2032" priority="34">
      <formula>B$9&gt;=20/24</formula>
    </cfRule>
    <cfRule type="expression" dxfId="2031" priority="35">
      <formula>AND(B$9&gt;=14/24,B$9&lt;20/24)</formula>
    </cfRule>
    <cfRule type="expression" dxfId="2030" priority="36">
      <formula>AND(B$9&gt;=8/24,B$9&lt;14/24)</formula>
    </cfRule>
    <cfRule type="expression" dxfId="2029" priority="37">
      <formula>B$9&lt;8/24</formula>
    </cfRule>
  </conditionalFormatting>
  <conditionalFormatting sqref="B33:D33">
    <cfRule type="expression" dxfId="2028" priority="30">
      <formula>B$9&gt;=20/24</formula>
    </cfRule>
    <cfRule type="expression" dxfId="2027" priority="31">
      <formula>AND(B$9&gt;=14/24,B$9&lt;20/24)</formula>
    </cfRule>
    <cfRule type="expression" dxfId="2026" priority="32">
      <formula>AND(B$9&gt;=8/24,B$9&lt;14/24)</formula>
    </cfRule>
    <cfRule type="expression" dxfId="2025" priority="33">
      <formula>B$9&lt;8/24</formula>
    </cfRule>
  </conditionalFormatting>
  <conditionalFormatting sqref="B33:D33">
    <cfRule type="expression" dxfId="2024" priority="29">
      <formula>B33&gt;$AG33</formula>
    </cfRule>
  </conditionalFormatting>
  <conditionalFormatting sqref="B45:D47 B49:D50">
    <cfRule type="expression" dxfId="2023" priority="25">
      <formula>B$9&gt;=20/24</formula>
    </cfRule>
    <cfRule type="expression" dxfId="2022" priority="26">
      <formula>AND(B$9&gt;=14/24,B$9&lt;20/24)</formula>
    </cfRule>
    <cfRule type="expression" dxfId="2021" priority="27">
      <formula>AND(B$9&gt;=8/24,B$9&lt;14/24)</formula>
    </cfRule>
    <cfRule type="expression" dxfId="2020" priority="28">
      <formula>B$9&lt;8/24</formula>
    </cfRule>
  </conditionalFormatting>
  <conditionalFormatting sqref="B45:D47 B49:D50">
    <cfRule type="expression" dxfId="2019" priority="24">
      <formula>B45&gt;$AG45</formula>
    </cfRule>
  </conditionalFormatting>
  <conditionalFormatting sqref="B27:D27">
    <cfRule type="expression" dxfId="2018" priority="20">
      <formula>B$9&gt;=20/24</formula>
    </cfRule>
    <cfRule type="expression" dxfId="2017" priority="21">
      <formula>AND(B$9&gt;=14/24,B$9&lt;20/24)</formula>
    </cfRule>
    <cfRule type="expression" dxfId="2016" priority="22">
      <formula>AND(B$9&gt;=8/24,B$9&lt;14/24)</formula>
    </cfRule>
    <cfRule type="expression" dxfId="2015" priority="23">
      <formula>B$9&lt;8/24</formula>
    </cfRule>
  </conditionalFormatting>
  <conditionalFormatting sqref="B17:D17 B23:D23">
    <cfRule type="expression" dxfId="2014" priority="16">
      <formula>B$9&gt;=20/24</formula>
    </cfRule>
    <cfRule type="expression" dxfId="2013" priority="17">
      <formula>AND(B$9&gt;=14/24,B$9&lt;20/24)</formula>
    </cfRule>
    <cfRule type="expression" dxfId="2012" priority="18">
      <formula>AND(B$9&gt;=8/24,B$9&lt;14/24)</formula>
    </cfRule>
    <cfRule type="expression" dxfId="2011" priority="19">
      <formula>B$9&lt;8/24</formula>
    </cfRule>
  </conditionalFormatting>
  <conditionalFormatting sqref="B17:D17 B23:D23">
    <cfRule type="expression" dxfId="2010" priority="15">
      <formula>B17&gt;$AG17</formula>
    </cfRule>
  </conditionalFormatting>
  <conditionalFormatting sqref="A33">
    <cfRule type="expression" dxfId="2009" priority="14">
      <formula>$AH33=0</formula>
    </cfRule>
  </conditionalFormatting>
  <conditionalFormatting sqref="B68:AF68">
    <cfRule type="expression" dxfId="2008" priority="10">
      <formula>B$9&gt;=20/24</formula>
    </cfRule>
    <cfRule type="expression" dxfId="2007" priority="11">
      <formula>AND(B$9&gt;=14/24,B$9&lt;20/24)</formula>
    </cfRule>
    <cfRule type="expression" dxfId="2006" priority="12">
      <formula>AND(B$9&gt;=8/24,B$9&lt;14/24)</formula>
    </cfRule>
    <cfRule type="expression" dxfId="2005" priority="13">
      <formula>B$9&lt;8/24</formula>
    </cfRule>
  </conditionalFormatting>
  <conditionalFormatting sqref="B76:AF80">
    <cfRule type="expression" dxfId="2004" priority="6">
      <formula>B$9&gt;=20/24</formula>
    </cfRule>
    <cfRule type="expression" dxfId="2003" priority="7">
      <formula>AND(B$9&gt;=14/24,B$9&lt;20/24)</formula>
    </cfRule>
    <cfRule type="expression" dxfId="2002" priority="8">
      <formula>AND(B$9&gt;=8/24,B$9&lt;14/24)</formula>
    </cfRule>
    <cfRule type="expression" dxfId="2001" priority="9">
      <formula>B$9&lt;8/24</formula>
    </cfRule>
  </conditionalFormatting>
  <conditionalFormatting sqref="M44:AF44">
    <cfRule type="expression" dxfId="2000" priority="2">
      <formula>M$9&gt;=20/24</formula>
    </cfRule>
    <cfRule type="expression" dxfId="1999" priority="3">
      <formula>AND(M$9&gt;=14/24,M$9&lt;20/24)</formula>
    </cfRule>
    <cfRule type="expression" dxfId="1998" priority="4">
      <formula>AND(M$9&gt;=8/24,M$9&lt;14/24)</formula>
    </cfRule>
    <cfRule type="expression" dxfId="1997" priority="5">
      <formula>M$9&lt;8/24</formula>
    </cfRule>
  </conditionalFormatting>
  <conditionalFormatting sqref="M44:AF44">
    <cfRule type="expression" dxfId="1996" priority="1">
      <formula>M44&gt;$AG44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30" sqref="P3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2079/02/24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70.7</v>
      </c>
      <c r="C5" s="32">
        <f t="shared" si="0"/>
        <v>36.5</v>
      </c>
      <c r="D5" s="32">
        <f t="shared" si="0"/>
        <v>57.3</v>
      </c>
      <c r="E5" s="32">
        <f t="shared" si="0"/>
        <v>64.7</v>
      </c>
      <c r="F5" s="32">
        <f t="shared" si="0"/>
        <v>65.900000000000006</v>
      </c>
      <c r="G5" s="32">
        <f t="shared" si="0"/>
        <v>62.4</v>
      </c>
      <c r="H5" s="32">
        <f t="shared" si="0"/>
        <v>60.8</v>
      </c>
      <c r="I5" s="32">
        <f t="shared" si="0"/>
        <v>57.6</v>
      </c>
      <c r="J5" s="32">
        <f t="shared" si="0"/>
        <v>59.8</v>
      </c>
      <c r="K5" s="32">
        <f t="shared" si="0"/>
        <v>51.2</v>
      </c>
      <c r="L5" s="32">
        <f t="shared" si="0"/>
        <v>52.8</v>
      </c>
      <c r="M5" s="32">
        <f t="shared" si="0"/>
        <v>51.3</v>
      </c>
      <c r="N5" s="32">
        <f t="shared" si="0"/>
        <v>71.900000000000006</v>
      </c>
      <c r="O5" s="32">
        <f t="shared" si="0"/>
        <v>66.599999999999994</v>
      </c>
      <c r="P5" s="32">
        <f t="shared" si="0"/>
        <v>53.4</v>
      </c>
      <c r="Q5" s="32">
        <f t="shared" si="0"/>
        <v>63.3</v>
      </c>
      <c r="R5" s="32">
        <f t="shared" si="0"/>
        <v>58</v>
      </c>
      <c r="S5" s="32">
        <f t="shared" si="0"/>
        <v>67.5</v>
      </c>
      <c r="T5" s="32">
        <f t="shared" si="0"/>
        <v>65.599999999999994</v>
      </c>
      <c r="U5" s="32">
        <f t="shared" si="0"/>
        <v>57</v>
      </c>
      <c r="V5" s="32">
        <f t="shared" si="0"/>
        <v>59</v>
      </c>
      <c r="W5" s="32">
        <f t="shared" si="0"/>
        <v>55.8</v>
      </c>
      <c r="X5" s="32">
        <f t="shared" si="0"/>
        <v>63.6</v>
      </c>
      <c r="Y5" s="32">
        <f t="shared" si="0"/>
        <v>64</v>
      </c>
      <c r="Z5" s="32">
        <f t="shared" si="0"/>
        <v>64.400000000000006</v>
      </c>
      <c r="AA5" s="32">
        <f t="shared" si="0"/>
        <v>77.3</v>
      </c>
      <c r="AB5" s="32">
        <f t="shared" si="0"/>
        <v>68.8</v>
      </c>
      <c r="AC5" s="32">
        <f t="shared" si="0"/>
        <v>66.8</v>
      </c>
      <c r="AD5" s="32">
        <f t="shared" si="0"/>
        <v>57</v>
      </c>
      <c r="AE5" s="32">
        <f t="shared" si="0"/>
        <v>53.6</v>
      </c>
      <c r="AF5" s="32">
        <f>B68</f>
        <v>73.41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1784MW at 5:30hr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Load=1704</v>
      </c>
      <c r="B7" s="37">
        <f>B75</f>
        <v>1792.7500000000002</v>
      </c>
      <c r="C7" s="37">
        <f t="shared" ref="C7:AF7" si="1">C75</f>
        <v>1793.14</v>
      </c>
      <c r="D7" s="37">
        <f t="shared" si="1"/>
        <v>1763.94</v>
      </c>
      <c r="E7" s="37">
        <f t="shared" si="1"/>
        <v>1776.74</v>
      </c>
      <c r="F7" s="37">
        <f t="shared" si="1"/>
        <v>1777.0400000000002</v>
      </c>
      <c r="G7" s="37">
        <f t="shared" si="1"/>
        <v>1781.4400000000003</v>
      </c>
      <c r="H7" s="37">
        <f t="shared" si="1"/>
        <v>1783.5400000000002</v>
      </c>
      <c r="I7" s="37">
        <f t="shared" si="1"/>
        <v>1782.34</v>
      </c>
      <c r="J7" s="37">
        <f t="shared" si="1"/>
        <v>1778.14</v>
      </c>
      <c r="K7" s="37">
        <f t="shared" si="1"/>
        <v>1754.94</v>
      </c>
      <c r="L7" s="37">
        <f t="shared" si="1"/>
        <v>1741.3400000000001</v>
      </c>
      <c r="M7" s="37">
        <f t="shared" si="1"/>
        <v>1780.94</v>
      </c>
      <c r="N7" s="37">
        <f t="shared" si="1"/>
        <v>1747.8400000000001</v>
      </c>
      <c r="O7" s="37">
        <f t="shared" si="1"/>
        <v>1798.4400000000003</v>
      </c>
      <c r="P7" s="37">
        <f t="shared" si="1"/>
        <v>1853.14</v>
      </c>
      <c r="Q7" s="37">
        <f t="shared" si="1"/>
        <v>1826.6400000000003</v>
      </c>
      <c r="R7" s="37">
        <f t="shared" si="1"/>
        <v>1824.14</v>
      </c>
      <c r="S7" s="37">
        <f t="shared" si="1"/>
        <v>1827.5400000000002</v>
      </c>
      <c r="T7" s="37">
        <f t="shared" si="1"/>
        <v>1784.5400000000002</v>
      </c>
      <c r="U7" s="37">
        <f t="shared" si="1"/>
        <v>1784.14</v>
      </c>
      <c r="V7" s="37">
        <f t="shared" si="1"/>
        <v>1789.14</v>
      </c>
      <c r="W7" s="37">
        <f t="shared" si="1"/>
        <v>1781.8400000000001</v>
      </c>
      <c r="X7" s="37">
        <f t="shared" si="1"/>
        <v>1778.64</v>
      </c>
      <c r="Y7" s="37">
        <f t="shared" si="1"/>
        <v>1703.6399999999999</v>
      </c>
      <c r="Z7" s="37">
        <f t="shared" si="1"/>
        <v>1787.8400000000001</v>
      </c>
      <c r="AA7" s="37">
        <f t="shared" si="1"/>
        <v>1788.2400000000002</v>
      </c>
      <c r="AB7" s="37">
        <f t="shared" si="1"/>
        <v>1806.84</v>
      </c>
      <c r="AC7" s="37">
        <f t="shared" si="1"/>
        <v>1769.64</v>
      </c>
      <c r="AD7" s="37">
        <f t="shared" si="1"/>
        <v>1781.6399999999999</v>
      </c>
      <c r="AE7" s="37">
        <f t="shared" si="1"/>
        <v>1778.7200000000003</v>
      </c>
      <c r="AF7" s="37">
        <f t="shared" si="1"/>
        <v>1775.1399999999999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1">
        <v>456</v>
      </c>
      <c r="L11" s="52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3">
        <v>456</v>
      </c>
      <c r="T11" s="53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400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400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54.3</v>
      </c>
      <c r="C13" s="51">
        <v>54.3</v>
      </c>
      <c r="D13" s="51">
        <v>54.3</v>
      </c>
      <c r="E13" s="51">
        <v>54.3</v>
      </c>
      <c r="F13" s="51">
        <v>54.2</v>
      </c>
      <c r="G13" s="51">
        <v>54.2</v>
      </c>
      <c r="H13" s="51">
        <v>54.2</v>
      </c>
      <c r="I13" s="51">
        <v>54.2</v>
      </c>
      <c r="J13" s="51">
        <v>54.2</v>
      </c>
      <c r="K13" s="51">
        <v>54.2</v>
      </c>
      <c r="L13" s="51">
        <v>54.2</v>
      </c>
      <c r="M13" s="51">
        <v>54.2</v>
      </c>
      <c r="N13" s="51">
        <v>54.2</v>
      </c>
      <c r="O13" s="51">
        <v>54.2</v>
      </c>
      <c r="P13" s="51">
        <v>54.2</v>
      </c>
      <c r="Q13" s="51">
        <v>54.2</v>
      </c>
      <c r="R13" s="51">
        <v>54.2</v>
      </c>
      <c r="S13" s="51">
        <v>54.2</v>
      </c>
      <c r="T13" s="51">
        <v>54.2</v>
      </c>
      <c r="U13" s="51">
        <v>54.2</v>
      </c>
      <c r="V13" s="51">
        <v>54.2</v>
      </c>
      <c r="W13" s="51">
        <v>54.2</v>
      </c>
      <c r="X13" s="51">
        <v>54.2</v>
      </c>
      <c r="Y13" s="51">
        <v>54.2</v>
      </c>
      <c r="Z13" s="51">
        <v>54.2</v>
      </c>
      <c r="AA13" s="51">
        <v>54.2</v>
      </c>
      <c r="AB13" s="51">
        <v>54.2</v>
      </c>
      <c r="AC13" s="51">
        <v>54.2</v>
      </c>
      <c r="AD13" s="51">
        <v>54.2</v>
      </c>
      <c r="AE13" s="51">
        <v>54.4</v>
      </c>
      <c r="AF13" s="51">
        <v>54.4</v>
      </c>
      <c r="AG13" s="59">
        <v>52.4</v>
      </c>
      <c r="AH13" s="55">
        <f t="shared" si="2"/>
        <v>54.4</v>
      </c>
      <c r="AI13" s="56">
        <f t="shared" si="3"/>
        <v>54.2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50.4</v>
      </c>
      <c r="C14" s="51">
        <v>50.4</v>
      </c>
      <c r="D14" s="51">
        <v>50.4</v>
      </c>
      <c r="E14" s="51">
        <v>50.4</v>
      </c>
      <c r="F14" s="51">
        <v>50.7</v>
      </c>
      <c r="G14" s="51">
        <v>50.7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50.3</v>
      </c>
      <c r="N14" s="51">
        <v>50.3</v>
      </c>
      <c r="O14" s="51">
        <v>50.3</v>
      </c>
      <c r="P14" s="51">
        <v>50.3</v>
      </c>
      <c r="Q14" s="51">
        <v>50.3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50.6</v>
      </c>
      <c r="AG14" s="59">
        <v>50</v>
      </c>
      <c r="AH14" s="55">
        <f t="shared" si="2"/>
        <v>50.7</v>
      </c>
      <c r="AI14" s="56">
        <f t="shared" si="3"/>
        <v>50.3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45.9</v>
      </c>
      <c r="C15" s="51">
        <v>45.9</v>
      </c>
      <c r="D15" s="51">
        <v>45.9</v>
      </c>
      <c r="E15" s="51">
        <v>45.9</v>
      </c>
      <c r="F15" s="51">
        <v>45.9</v>
      </c>
      <c r="G15" s="51">
        <v>45.9</v>
      </c>
      <c r="H15" s="51">
        <v>45.9</v>
      </c>
      <c r="I15" s="51">
        <v>45.9</v>
      </c>
      <c r="J15" s="51">
        <v>45.9</v>
      </c>
      <c r="K15" s="51">
        <v>45.9</v>
      </c>
      <c r="L15" s="51">
        <v>45.9</v>
      </c>
      <c r="M15" s="51">
        <v>45.9</v>
      </c>
      <c r="N15" s="51">
        <v>45.9</v>
      </c>
      <c r="O15" s="51">
        <v>45.9</v>
      </c>
      <c r="P15" s="51">
        <v>45.9</v>
      </c>
      <c r="Q15" s="51">
        <v>45.9</v>
      </c>
      <c r="R15" s="51">
        <v>45.8</v>
      </c>
      <c r="S15" s="51">
        <v>45.8</v>
      </c>
      <c r="T15" s="51">
        <v>45.8</v>
      </c>
      <c r="U15" s="51">
        <v>45.8</v>
      </c>
      <c r="V15" s="51">
        <v>45.8</v>
      </c>
      <c r="W15" s="51">
        <v>45.8</v>
      </c>
      <c r="X15" s="51">
        <v>45.8</v>
      </c>
      <c r="Y15" s="51">
        <v>45.8</v>
      </c>
      <c r="Z15" s="51">
        <v>45.8</v>
      </c>
      <c r="AA15" s="51">
        <v>45.8</v>
      </c>
      <c r="AB15" s="51">
        <v>45.8</v>
      </c>
      <c r="AC15" s="51">
        <v>45.8</v>
      </c>
      <c r="AD15" s="51">
        <v>45.8</v>
      </c>
      <c r="AE15" s="51">
        <v>46</v>
      </c>
      <c r="AF15" s="51">
        <v>45.8</v>
      </c>
      <c r="AG15" s="60">
        <v>45</v>
      </c>
      <c r="AH15" s="55">
        <f t="shared" si="2"/>
        <v>46</v>
      </c>
      <c r="AI15" s="56">
        <f t="shared" si="3"/>
        <v>45.8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40</v>
      </c>
      <c r="D16" s="51">
        <v>40</v>
      </c>
      <c r="E16" s="51">
        <v>37</v>
      </c>
      <c r="F16" s="51">
        <v>30</v>
      </c>
      <c r="G16" s="51">
        <v>35</v>
      </c>
      <c r="H16" s="51">
        <v>35</v>
      </c>
      <c r="I16" s="51">
        <v>35</v>
      </c>
      <c r="J16" s="51">
        <v>35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35</v>
      </c>
      <c r="U16" s="51">
        <v>40</v>
      </c>
      <c r="V16" s="51">
        <v>40</v>
      </c>
      <c r="W16" s="51">
        <v>36</v>
      </c>
      <c r="X16" s="51">
        <v>36</v>
      </c>
      <c r="Y16" s="51">
        <v>25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35</v>
      </c>
      <c r="AF16" s="51">
        <v>35</v>
      </c>
      <c r="AG16" s="59">
        <v>45</v>
      </c>
      <c r="AH16" s="55">
        <f t="shared" si="2"/>
        <v>40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26.2</v>
      </c>
      <c r="D19" s="51">
        <v>26.2</v>
      </c>
      <c r="E19" s="51">
        <v>26.2</v>
      </c>
      <c r="F19" s="51">
        <v>26.2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26.1</v>
      </c>
      <c r="S19" s="51">
        <v>24.1</v>
      </c>
      <c r="T19" s="51">
        <v>24.1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24.1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20.2</v>
      </c>
      <c r="C20" s="51">
        <v>20.2</v>
      </c>
      <c r="D20" s="51">
        <v>20.2</v>
      </c>
      <c r="E20" s="51">
        <v>20.2</v>
      </c>
      <c r="F20" s="51">
        <v>20.2</v>
      </c>
      <c r="G20" s="51">
        <v>20.2</v>
      </c>
      <c r="H20" s="51">
        <v>20.2</v>
      </c>
      <c r="I20" s="51">
        <v>20.2</v>
      </c>
      <c r="J20" s="51">
        <v>20.2</v>
      </c>
      <c r="K20" s="51">
        <v>20.2</v>
      </c>
      <c r="L20" s="51">
        <v>20.2</v>
      </c>
      <c r="M20" s="51">
        <v>20.2</v>
      </c>
      <c r="N20" s="51">
        <v>20.2</v>
      </c>
      <c r="O20" s="51">
        <v>20.2</v>
      </c>
      <c r="P20" s="51">
        <v>20.2</v>
      </c>
      <c r="Q20" s="51">
        <v>20.2</v>
      </c>
      <c r="R20" s="51">
        <v>20.2</v>
      </c>
      <c r="S20" s="51">
        <v>20.2</v>
      </c>
      <c r="T20" s="51">
        <v>20.2</v>
      </c>
      <c r="U20" s="51">
        <v>11.6</v>
      </c>
      <c r="V20" s="51">
        <v>23</v>
      </c>
      <c r="W20" s="51">
        <v>23</v>
      </c>
      <c r="X20" s="51">
        <v>23</v>
      </c>
      <c r="Y20" s="51">
        <v>23</v>
      </c>
      <c r="Z20" s="51">
        <v>23</v>
      </c>
      <c r="AA20" s="51">
        <v>23</v>
      </c>
      <c r="AB20" s="51">
        <v>23</v>
      </c>
      <c r="AC20" s="51">
        <v>23</v>
      </c>
      <c r="AD20" s="51">
        <v>23</v>
      </c>
      <c r="AE20" s="51">
        <v>23</v>
      </c>
      <c r="AF20" s="51">
        <v>23</v>
      </c>
      <c r="AG20" s="59">
        <v>27</v>
      </c>
      <c r="AH20" s="55">
        <f t="shared" si="2"/>
        <v>23</v>
      </c>
      <c r="AI20" s="56">
        <f t="shared" si="3"/>
        <v>11.6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>
        <v>11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59">
        <v>25</v>
      </c>
      <c r="AH21" s="55">
        <f t="shared" si="2"/>
        <v>11</v>
      </c>
      <c r="AI21" s="56">
        <f t="shared" si="3"/>
        <v>11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19.7</v>
      </c>
      <c r="AF24" s="51">
        <v>19.600000000000001</v>
      </c>
      <c r="AG24" s="59">
        <v>25</v>
      </c>
      <c r="AH24" s="55">
        <f t="shared" si="2"/>
        <v>22</v>
      </c>
      <c r="AI24" s="56">
        <f t="shared" si="3"/>
        <v>19.600000000000001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8</v>
      </c>
      <c r="D26" s="51">
        <v>10</v>
      </c>
      <c r="E26" s="51">
        <v>5</v>
      </c>
      <c r="F26" s="51">
        <v>5</v>
      </c>
      <c r="G26" s="51">
        <v>5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5</v>
      </c>
      <c r="U26" s="51">
        <v>10</v>
      </c>
      <c r="V26" s="51">
        <v>10</v>
      </c>
      <c r="W26" s="51">
        <v>7</v>
      </c>
      <c r="X26" s="51">
        <v>7</v>
      </c>
      <c r="Y26" s="51">
        <v>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12</v>
      </c>
      <c r="C28" s="51">
        <v>12</v>
      </c>
      <c r="D28" s="51">
        <v>12</v>
      </c>
      <c r="E28" s="51">
        <v>12</v>
      </c>
      <c r="F28" s="51">
        <v>12</v>
      </c>
      <c r="G28" s="51">
        <v>12</v>
      </c>
      <c r="H28" s="51">
        <v>12</v>
      </c>
      <c r="I28" s="51">
        <v>12</v>
      </c>
      <c r="J28" s="51">
        <v>12</v>
      </c>
      <c r="K28" s="51">
        <v>12</v>
      </c>
      <c r="L28" s="51">
        <v>12</v>
      </c>
      <c r="M28" s="51">
        <v>12</v>
      </c>
      <c r="N28" s="51">
        <v>12</v>
      </c>
      <c r="O28" s="51">
        <v>12</v>
      </c>
      <c r="P28" s="51">
        <v>12</v>
      </c>
      <c r="Q28" s="51">
        <v>12</v>
      </c>
      <c r="R28" s="51">
        <v>12</v>
      </c>
      <c r="S28" s="51">
        <v>12</v>
      </c>
      <c r="T28" s="51">
        <v>12</v>
      </c>
      <c r="U28" s="51">
        <v>12</v>
      </c>
      <c r="V28" s="51">
        <v>12</v>
      </c>
      <c r="W28" s="51">
        <v>12</v>
      </c>
      <c r="X28" s="51">
        <v>12</v>
      </c>
      <c r="Y28" s="51">
        <v>12</v>
      </c>
      <c r="Z28" s="51">
        <v>12</v>
      </c>
      <c r="AA28" s="51">
        <v>12</v>
      </c>
      <c r="AB28" s="51">
        <v>12</v>
      </c>
      <c r="AC28" s="51">
        <v>12</v>
      </c>
      <c r="AD28" s="51">
        <v>12</v>
      </c>
      <c r="AE28" s="51">
        <v>12</v>
      </c>
      <c r="AF28" s="51">
        <v>12</v>
      </c>
      <c r="AG28" s="59">
        <v>22.2</v>
      </c>
      <c r="AH28" s="55">
        <f t="shared" si="2"/>
        <v>12</v>
      </c>
      <c r="AI28" s="56">
        <f t="shared" si="3"/>
        <v>12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13</v>
      </c>
      <c r="C29" s="51">
        <v>13</v>
      </c>
      <c r="D29" s="51">
        <v>13</v>
      </c>
      <c r="E29" s="51">
        <v>13</v>
      </c>
      <c r="F29" s="51">
        <v>13</v>
      </c>
      <c r="G29" s="51">
        <v>13</v>
      </c>
      <c r="H29" s="51">
        <v>13</v>
      </c>
      <c r="I29" s="51">
        <v>13</v>
      </c>
      <c r="J29" s="51">
        <v>13</v>
      </c>
      <c r="K29" s="51">
        <v>13</v>
      </c>
      <c r="L29" s="51">
        <v>8</v>
      </c>
      <c r="M29" s="51">
        <v>8</v>
      </c>
      <c r="N29" s="51">
        <v>8</v>
      </c>
      <c r="O29" s="51">
        <v>8</v>
      </c>
      <c r="P29" s="51">
        <v>8</v>
      </c>
      <c r="Q29" s="51">
        <v>8</v>
      </c>
      <c r="R29" s="51">
        <v>8</v>
      </c>
      <c r="S29" s="51">
        <v>8</v>
      </c>
      <c r="T29" s="51">
        <v>8</v>
      </c>
      <c r="U29" s="51">
        <v>8</v>
      </c>
      <c r="V29" s="51">
        <v>8</v>
      </c>
      <c r="W29" s="51">
        <v>8</v>
      </c>
      <c r="X29" s="51">
        <v>8</v>
      </c>
      <c r="Y29" s="51">
        <v>8</v>
      </c>
      <c r="Z29" s="51">
        <v>8</v>
      </c>
      <c r="AA29" s="51">
        <v>8</v>
      </c>
      <c r="AB29" s="51">
        <v>13</v>
      </c>
      <c r="AC29" s="51">
        <v>13</v>
      </c>
      <c r="AD29" s="51">
        <v>13</v>
      </c>
      <c r="AE29" s="51">
        <v>13</v>
      </c>
      <c r="AF29" s="51">
        <v>13</v>
      </c>
      <c r="AG29" s="59">
        <v>22.1</v>
      </c>
      <c r="AH29" s="55">
        <f t="shared" si="2"/>
        <v>13</v>
      </c>
      <c r="AI29" s="56">
        <f t="shared" si="3"/>
        <v>8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11</v>
      </c>
      <c r="U32" s="51">
        <v>11</v>
      </c>
      <c r="V32" s="51">
        <v>11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11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4">
        <v>20</v>
      </c>
      <c r="AH34" s="55">
        <f t="shared" si="2"/>
        <v>9</v>
      </c>
      <c r="AI34" s="56">
        <f t="shared" si="3"/>
        <v>9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270</v>
      </c>
      <c r="L36" s="66">
        <v>270</v>
      </c>
      <c r="M36" s="66">
        <v>300</v>
      </c>
      <c r="N36" s="66">
        <v>270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270</v>
      </c>
      <c r="AK36" s="57"/>
    </row>
    <row r="37" spans="1:88" ht="15.75" thickBot="1" x14ac:dyDescent="0.3">
      <c r="A37" s="67" t="s">
        <v>45</v>
      </c>
      <c r="B37" s="68">
        <v>171.7</v>
      </c>
      <c r="C37" s="66">
        <f>172</f>
        <v>172</v>
      </c>
      <c r="D37" s="66">
        <f>173.1</f>
        <v>173.1</v>
      </c>
      <c r="E37" s="66">
        <f>171.3</f>
        <v>171.3</v>
      </c>
      <c r="F37" s="66">
        <f>102+70.8</f>
        <v>172.8</v>
      </c>
      <c r="G37" s="66">
        <f>101.8+70.9</f>
        <v>172.7</v>
      </c>
      <c r="H37" s="66">
        <f>101.5+70.9</f>
        <v>172.4</v>
      </c>
      <c r="I37" s="66">
        <f>101.2+70.4</f>
        <v>171.60000000000002</v>
      </c>
      <c r="J37" s="66">
        <f>101.2+70.5</f>
        <v>171.7</v>
      </c>
      <c r="K37" s="66">
        <f>100.8+70.5</f>
        <v>171.3</v>
      </c>
      <c r="L37" s="66">
        <v>168.9</v>
      </c>
      <c r="M37" s="66">
        <f>69.8+99.2</f>
        <v>169</v>
      </c>
      <c r="N37" s="66">
        <f>45.5+87.3</f>
        <v>132.80000000000001</v>
      </c>
      <c r="O37" s="66">
        <f>71.5+99.5</f>
        <v>171</v>
      </c>
      <c r="P37" s="66">
        <f>70.9+99.4</f>
        <v>170.3</v>
      </c>
      <c r="Q37" s="66">
        <f>70.7+100.3</f>
        <v>171</v>
      </c>
      <c r="R37" s="66">
        <f>69.9+100.7</f>
        <v>170.60000000000002</v>
      </c>
      <c r="S37" s="68">
        <f>69.2+99.5</f>
        <v>168.7</v>
      </c>
      <c r="T37" s="68">
        <f>68.6+100.1</f>
        <v>168.7</v>
      </c>
      <c r="U37" s="68">
        <f>100.4+69.5</f>
        <v>169.9</v>
      </c>
      <c r="V37" s="68">
        <f>66.5+100.4</f>
        <v>166.9</v>
      </c>
      <c r="W37" s="68">
        <f>69.1+99.7</f>
        <v>168.8</v>
      </c>
      <c r="X37" s="68">
        <f>69.4+99.4</f>
        <v>168.8</v>
      </c>
      <c r="Y37" s="68">
        <f>69.5+99</f>
        <v>168.5</v>
      </c>
      <c r="Z37" s="68">
        <f>98.2+69.4</f>
        <v>167.60000000000002</v>
      </c>
      <c r="AA37" s="68">
        <f>99.6+69.8</f>
        <v>169.39999999999998</v>
      </c>
      <c r="AB37" s="68">
        <f>71.2+98.8</f>
        <v>170</v>
      </c>
      <c r="AC37" s="68">
        <f>71.5+99.4</f>
        <v>170.9</v>
      </c>
      <c r="AD37" s="68">
        <f>71.5+99.8</f>
        <v>171.3</v>
      </c>
      <c r="AE37" s="68">
        <f>71.6+100.7</f>
        <v>172.3</v>
      </c>
      <c r="AF37" s="68">
        <f>71.7+100.9</f>
        <v>172.60000000000002</v>
      </c>
      <c r="AG37" s="64">
        <v>240</v>
      </c>
      <c r="AH37" s="55">
        <f t="shared" si="2"/>
        <v>173.1</v>
      </c>
      <c r="AI37" s="56">
        <f t="shared" si="3"/>
        <v>132.80000000000001</v>
      </c>
      <c r="AK37" s="57"/>
    </row>
    <row r="38" spans="1:88" ht="15.75" thickBot="1" x14ac:dyDescent="0.3">
      <c r="A38" s="69" t="s">
        <v>46</v>
      </c>
      <c r="B38" s="70">
        <f t="shared" ref="B38:L38" si="4">SUM(B11:B36)</f>
        <v>1289.5</v>
      </c>
      <c r="C38" s="70">
        <f t="shared" si="4"/>
        <v>1292.5</v>
      </c>
      <c r="D38" s="70">
        <f t="shared" si="4"/>
        <v>1294.5</v>
      </c>
      <c r="E38" s="70">
        <f t="shared" si="4"/>
        <v>1286.5</v>
      </c>
      <c r="F38" s="70">
        <f t="shared" si="4"/>
        <v>1279.7000000000003</v>
      </c>
      <c r="G38" s="70">
        <f t="shared" si="4"/>
        <v>1284.7000000000003</v>
      </c>
      <c r="H38" s="70">
        <f t="shared" si="4"/>
        <v>1289.3000000000002</v>
      </c>
      <c r="I38" s="70">
        <f t="shared" si="4"/>
        <v>1289.3000000000002</v>
      </c>
      <c r="J38" s="70">
        <f t="shared" si="4"/>
        <v>1289.3000000000002</v>
      </c>
      <c r="K38" s="70">
        <f t="shared" si="4"/>
        <v>1264.3000000000002</v>
      </c>
      <c r="L38" s="70">
        <f t="shared" si="4"/>
        <v>1259.3000000000002</v>
      </c>
      <c r="M38" s="70">
        <f t="shared" ref="M38:S38" si="5">SUM(M11:M36)</f>
        <v>1289.3000000000002</v>
      </c>
      <c r="N38" s="70">
        <f t="shared" si="5"/>
        <v>1259.3000000000002</v>
      </c>
      <c r="O38" s="70">
        <f t="shared" si="5"/>
        <v>1289.3000000000002</v>
      </c>
      <c r="P38" s="70">
        <f t="shared" si="5"/>
        <v>1289.3000000000002</v>
      </c>
      <c r="Q38" s="70">
        <f t="shared" si="5"/>
        <v>1289.3000000000002</v>
      </c>
      <c r="R38" s="70">
        <f t="shared" si="5"/>
        <v>1289.3000000000002</v>
      </c>
      <c r="S38" s="70">
        <f t="shared" si="5"/>
        <v>1287.3000000000002</v>
      </c>
      <c r="T38" s="70">
        <f t="shared" ref="T38:AF38" si="6">SUM(T11:T36)</f>
        <v>1277.3000000000002</v>
      </c>
      <c r="U38" s="70">
        <f t="shared" si="6"/>
        <v>1280.8000000000002</v>
      </c>
      <c r="V38" s="70">
        <f t="shared" si="6"/>
        <v>1292.2</v>
      </c>
      <c r="W38" s="70">
        <f t="shared" si="6"/>
        <v>1285.2</v>
      </c>
      <c r="X38" s="70">
        <f t="shared" si="6"/>
        <v>1285.2</v>
      </c>
      <c r="Y38" s="70">
        <f t="shared" si="6"/>
        <v>1211.2</v>
      </c>
      <c r="Z38" s="70">
        <f t="shared" si="6"/>
        <v>1292.2</v>
      </c>
      <c r="AA38" s="70">
        <f t="shared" si="6"/>
        <v>1292.2</v>
      </c>
      <c r="AB38" s="70">
        <f t="shared" si="6"/>
        <v>1297.2</v>
      </c>
      <c r="AC38" s="70">
        <f t="shared" si="6"/>
        <v>1297.2</v>
      </c>
      <c r="AD38" s="70">
        <f t="shared" si="6"/>
        <v>1297.2</v>
      </c>
      <c r="AE38" s="70">
        <f t="shared" si="6"/>
        <v>1290.3000000000002</v>
      </c>
      <c r="AF38" s="70">
        <f t="shared" si="6"/>
        <v>1290.0999999999999</v>
      </c>
      <c r="AG38" s="64">
        <f>SUM(AG11:AG37)</f>
        <v>1492.8299999999997</v>
      </c>
      <c r="AH38" s="55">
        <f t="shared" si="2"/>
        <v>1297.2</v>
      </c>
      <c r="AI38" s="56">
        <f t="shared" si="3"/>
        <v>1211.2</v>
      </c>
      <c r="AK38" s="57"/>
    </row>
    <row r="39" spans="1:88" x14ac:dyDescent="0.25">
      <c r="A39" s="58" t="s">
        <v>47</v>
      </c>
      <c r="B39" s="51">
        <v>143.69999999999999</v>
      </c>
      <c r="C39" s="51">
        <v>143.5</v>
      </c>
      <c r="D39" s="51">
        <v>143.5</v>
      </c>
      <c r="E39" s="51">
        <v>143.5</v>
      </c>
      <c r="F39" s="51">
        <v>143</v>
      </c>
      <c r="G39" s="51">
        <v>142</v>
      </c>
      <c r="H39" s="51">
        <v>143.19999999999999</v>
      </c>
      <c r="I39" s="51">
        <v>143.1</v>
      </c>
      <c r="J39" s="51">
        <v>143.1</v>
      </c>
      <c r="K39" s="51">
        <v>143.1</v>
      </c>
      <c r="L39" s="51">
        <v>142.9</v>
      </c>
      <c r="M39" s="51">
        <v>143</v>
      </c>
      <c r="N39" s="51">
        <v>142.69999999999999</v>
      </c>
      <c r="O39" s="51">
        <v>142.69999999999999</v>
      </c>
      <c r="P39" s="51">
        <v>142.69999999999999</v>
      </c>
      <c r="Q39" s="51">
        <v>142.69999999999999</v>
      </c>
      <c r="R39" s="51">
        <v>143</v>
      </c>
      <c r="S39" s="51">
        <v>142.9</v>
      </c>
      <c r="T39" s="51">
        <v>142.9</v>
      </c>
      <c r="U39" s="51">
        <v>142.9</v>
      </c>
      <c r="V39" s="51">
        <v>142.9</v>
      </c>
      <c r="W39" s="51">
        <v>140.6</v>
      </c>
      <c r="X39" s="51">
        <v>140.6</v>
      </c>
      <c r="Y39" s="51">
        <v>143.4</v>
      </c>
      <c r="Z39" s="51">
        <v>143.4</v>
      </c>
      <c r="AA39" s="51">
        <v>143.4</v>
      </c>
      <c r="AB39" s="51">
        <v>144.1</v>
      </c>
      <c r="AC39" s="51">
        <v>144.19999999999999</v>
      </c>
      <c r="AD39" s="51">
        <v>143.69999999999999</v>
      </c>
      <c r="AE39" s="51">
        <v>143.80000000000001</v>
      </c>
      <c r="AF39" s="51">
        <v>143.69999999999999</v>
      </c>
      <c r="AG39" s="60">
        <v>144</v>
      </c>
      <c r="AH39" s="55">
        <f t="shared" si="2"/>
        <v>144.19999999999999</v>
      </c>
      <c r="AI39" s="56">
        <f t="shared" si="3"/>
        <v>140.6</v>
      </c>
      <c r="AK39" s="57"/>
    </row>
    <row r="40" spans="1:88" x14ac:dyDescent="0.25">
      <c r="A40" s="63" t="s">
        <v>48</v>
      </c>
      <c r="B40" s="49">
        <v>71.3</v>
      </c>
      <c r="C40" s="49">
        <v>71.5</v>
      </c>
      <c r="D40" s="49">
        <v>71.2</v>
      </c>
      <c r="E40" s="49">
        <v>71.2</v>
      </c>
      <c r="F40" s="49">
        <v>71.7</v>
      </c>
      <c r="G40" s="49">
        <v>71.7</v>
      </c>
      <c r="H40" s="49">
        <v>71.599999999999994</v>
      </c>
      <c r="I40" s="49">
        <v>71.8</v>
      </c>
      <c r="J40" s="49">
        <v>71.5</v>
      </c>
      <c r="K40" s="49">
        <v>71.5</v>
      </c>
      <c r="L40" s="49">
        <v>71.400000000000006</v>
      </c>
      <c r="M40" s="51">
        <v>70.8</v>
      </c>
      <c r="N40" s="51">
        <v>71.599999999999994</v>
      </c>
      <c r="O40" s="51">
        <v>71.599999999999994</v>
      </c>
      <c r="P40" s="51">
        <v>71.599999999999994</v>
      </c>
      <c r="Q40" s="51">
        <v>71.599999999999994</v>
      </c>
      <c r="R40" s="51">
        <v>69.8</v>
      </c>
      <c r="S40" s="49">
        <v>70.400000000000006</v>
      </c>
      <c r="T40" s="49">
        <v>70.400000000000006</v>
      </c>
      <c r="U40" s="49">
        <v>67.2</v>
      </c>
      <c r="V40" s="49">
        <v>69.599999999999994</v>
      </c>
      <c r="W40" s="49">
        <v>69.599999999999994</v>
      </c>
      <c r="X40" s="49">
        <v>69.599999999999994</v>
      </c>
      <c r="Y40" s="49">
        <v>69.599999999999994</v>
      </c>
      <c r="Z40" s="49">
        <v>70.900000000000006</v>
      </c>
      <c r="AA40" s="49">
        <v>70.900000000000006</v>
      </c>
      <c r="AB40" s="49">
        <v>70.900000000000006</v>
      </c>
      <c r="AC40" s="49">
        <v>71.8</v>
      </c>
      <c r="AD40" s="49">
        <v>71.5</v>
      </c>
      <c r="AE40" s="49">
        <v>70.5</v>
      </c>
      <c r="AF40" s="49">
        <v>70.900000000000006</v>
      </c>
      <c r="AG40" s="64">
        <v>70</v>
      </c>
      <c r="AH40" s="55">
        <f t="shared" si="2"/>
        <v>71.8</v>
      </c>
      <c r="AI40" s="56">
        <f t="shared" si="3"/>
        <v>67.2</v>
      </c>
      <c r="AK40" s="57"/>
    </row>
    <row r="41" spans="1:88" x14ac:dyDescent="0.25">
      <c r="A41" s="63" t="s">
        <v>49</v>
      </c>
      <c r="B41" s="49">
        <v>62.3</v>
      </c>
      <c r="C41" s="49">
        <v>62.1</v>
      </c>
      <c r="D41" s="49">
        <v>61.9</v>
      </c>
      <c r="E41" s="49">
        <v>61.9</v>
      </c>
      <c r="F41" s="49">
        <v>61.8</v>
      </c>
      <c r="G41" s="49">
        <v>62</v>
      </c>
      <c r="H41" s="49">
        <v>62</v>
      </c>
      <c r="I41" s="49">
        <v>62.4</v>
      </c>
      <c r="J41" s="49">
        <v>62</v>
      </c>
      <c r="K41" s="49">
        <v>61.6</v>
      </c>
      <c r="L41" s="49">
        <v>61.9</v>
      </c>
      <c r="M41" s="51">
        <v>62</v>
      </c>
      <c r="N41" s="51">
        <v>62.1</v>
      </c>
      <c r="O41" s="51">
        <v>62.1</v>
      </c>
      <c r="P41" s="51">
        <v>62.1</v>
      </c>
      <c r="Q41" s="51">
        <v>62.1</v>
      </c>
      <c r="R41" s="51">
        <v>62.5</v>
      </c>
      <c r="S41" s="49">
        <v>62.7</v>
      </c>
      <c r="T41" s="49">
        <v>62.7</v>
      </c>
      <c r="U41" s="49">
        <v>62.7</v>
      </c>
      <c r="V41" s="49">
        <v>62.5</v>
      </c>
      <c r="W41" s="49">
        <v>62.5</v>
      </c>
      <c r="X41" s="49">
        <v>62.5</v>
      </c>
      <c r="Y41" s="49">
        <v>50.9</v>
      </c>
      <c r="Z41" s="49">
        <v>62.4</v>
      </c>
      <c r="AA41" s="49">
        <v>62.4</v>
      </c>
      <c r="AB41" s="49">
        <v>62.4</v>
      </c>
      <c r="AC41" s="49">
        <v>62.4</v>
      </c>
      <c r="AD41" s="49">
        <v>62</v>
      </c>
      <c r="AE41" s="49">
        <v>62</v>
      </c>
      <c r="AF41" s="49">
        <v>61.6</v>
      </c>
      <c r="AG41" s="64">
        <v>69</v>
      </c>
      <c r="AH41" s="55">
        <f t="shared" si="2"/>
        <v>62.7</v>
      </c>
      <c r="AI41" s="56">
        <f t="shared" si="3"/>
        <v>50.9</v>
      </c>
      <c r="AK41" s="57"/>
    </row>
    <row r="42" spans="1:88" x14ac:dyDescent="0.25">
      <c r="A42" s="63" t="s">
        <v>50</v>
      </c>
      <c r="B42" s="66">
        <v>60.2</v>
      </c>
      <c r="C42" s="66">
        <v>60.2</v>
      </c>
      <c r="D42" s="66">
        <v>60.9</v>
      </c>
      <c r="E42" s="66">
        <v>60.9</v>
      </c>
      <c r="F42" s="66">
        <v>60.9</v>
      </c>
      <c r="G42" s="66">
        <v>60.9</v>
      </c>
      <c r="H42" s="66">
        <v>60.9</v>
      </c>
      <c r="I42" s="66">
        <v>60.7</v>
      </c>
      <c r="J42" s="66">
        <v>60.4</v>
      </c>
      <c r="K42" s="66">
        <v>60.4</v>
      </c>
      <c r="L42" s="66">
        <v>60.4</v>
      </c>
      <c r="M42" s="51">
        <v>60.4</v>
      </c>
      <c r="N42" s="51">
        <v>58.5</v>
      </c>
      <c r="O42" s="51">
        <v>58.5</v>
      </c>
      <c r="P42" s="51">
        <v>58.5</v>
      </c>
      <c r="Q42" s="51">
        <v>58.5</v>
      </c>
      <c r="R42" s="51">
        <v>60</v>
      </c>
      <c r="S42" s="51">
        <v>60</v>
      </c>
      <c r="T42" s="51">
        <v>60</v>
      </c>
      <c r="U42" s="51">
        <v>60</v>
      </c>
      <c r="V42" s="49">
        <v>60</v>
      </c>
      <c r="W42" s="49">
        <v>60</v>
      </c>
      <c r="X42" s="49">
        <v>60</v>
      </c>
      <c r="Y42" s="49">
        <v>60</v>
      </c>
      <c r="Z42" s="49">
        <v>60</v>
      </c>
      <c r="AA42" s="49">
        <v>60</v>
      </c>
      <c r="AB42" s="49">
        <v>60</v>
      </c>
      <c r="AC42" s="49">
        <v>60</v>
      </c>
      <c r="AD42" s="66">
        <v>60.4</v>
      </c>
      <c r="AE42" s="66">
        <v>60.9</v>
      </c>
      <c r="AF42" s="66">
        <v>60.9</v>
      </c>
      <c r="AG42" s="64">
        <v>60</v>
      </c>
      <c r="AH42" s="55">
        <f t="shared" si="2"/>
        <v>60.9</v>
      </c>
      <c r="AI42" s="56">
        <f t="shared" si="3"/>
        <v>58.5</v>
      </c>
      <c r="AK42" s="57"/>
    </row>
    <row r="43" spans="1:88" x14ac:dyDescent="0.25">
      <c r="A43" s="63" t="s">
        <v>51</v>
      </c>
      <c r="B43" s="66">
        <v>30</v>
      </c>
      <c r="C43" s="66">
        <v>30</v>
      </c>
      <c r="D43" s="66">
        <v>30</v>
      </c>
      <c r="E43" s="66">
        <v>30</v>
      </c>
      <c r="F43" s="66">
        <v>30</v>
      </c>
      <c r="G43" s="66">
        <v>29</v>
      </c>
      <c r="H43" s="66">
        <v>28.9</v>
      </c>
      <c r="I43" s="66">
        <v>29</v>
      </c>
      <c r="J43" s="66">
        <v>29</v>
      </c>
      <c r="K43" s="66">
        <v>29</v>
      </c>
      <c r="L43" s="66">
        <v>29</v>
      </c>
      <c r="M43" s="51">
        <v>29.2</v>
      </c>
      <c r="N43" s="51">
        <v>29.1</v>
      </c>
      <c r="O43" s="51">
        <v>29.1</v>
      </c>
      <c r="P43" s="51">
        <v>29.1</v>
      </c>
      <c r="Q43" s="51">
        <v>29.1</v>
      </c>
      <c r="R43" s="51">
        <v>15</v>
      </c>
      <c r="S43" s="51">
        <v>15</v>
      </c>
      <c r="T43" s="51">
        <v>30</v>
      </c>
      <c r="U43" s="51">
        <v>30</v>
      </c>
      <c r="V43" s="49">
        <v>30</v>
      </c>
      <c r="W43" s="49">
        <v>30</v>
      </c>
      <c r="X43" s="49">
        <v>30</v>
      </c>
      <c r="Y43" s="49">
        <v>30</v>
      </c>
      <c r="Z43" s="49">
        <v>30</v>
      </c>
      <c r="AA43" s="49">
        <v>30</v>
      </c>
      <c r="AB43" s="49">
        <v>30</v>
      </c>
      <c r="AC43" s="49">
        <v>0</v>
      </c>
      <c r="AD43" s="66">
        <v>14.9</v>
      </c>
      <c r="AE43" s="66">
        <v>29</v>
      </c>
      <c r="AF43" s="66">
        <v>29.1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10</v>
      </c>
      <c r="S44" s="51">
        <v>10</v>
      </c>
      <c r="T44" s="51">
        <v>10</v>
      </c>
      <c r="U44" s="51">
        <v>10</v>
      </c>
      <c r="V44" s="51">
        <v>10</v>
      </c>
      <c r="W44" s="51">
        <v>10</v>
      </c>
      <c r="X44" s="51">
        <v>10</v>
      </c>
      <c r="Y44" s="51">
        <v>10</v>
      </c>
      <c r="Z44" s="51">
        <v>0</v>
      </c>
      <c r="AA44" s="51">
        <v>0</v>
      </c>
      <c r="AB44" s="51">
        <v>0</v>
      </c>
      <c r="AC44" s="51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10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16.8</v>
      </c>
      <c r="C45" s="49">
        <v>16.8</v>
      </c>
      <c r="D45" s="49">
        <v>16.8</v>
      </c>
      <c r="E45" s="49">
        <v>16.8</v>
      </c>
      <c r="F45" s="49">
        <v>16.8</v>
      </c>
      <c r="G45" s="49">
        <v>16.8</v>
      </c>
      <c r="H45" s="49">
        <v>16.600000000000001</v>
      </c>
      <c r="I45" s="49">
        <v>16.600000000000001</v>
      </c>
      <c r="J45" s="49">
        <v>16.600000000000001</v>
      </c>
      <c r="K45" s="49">
        <v>16.600000000000001</v>
      </c>
      <c r="L45" s="49">
        <v>16.600000000000001</v>
      </c>
      <c r="M45" s="51">
        <v>16.899999999999999</v>
      </c>
      <c r="N45" s="51">
        <v>17</v>
      </c>
      <c r="O45" s="51">
        <v>17</v>
      </c>
      <c r="P45" s="51">
        <v>17</v>
      </c>
      <c r="Q45" s="51">
        <v>13.7</v>
      </c>
      <c r="R45" s="51">
        <v>14.3</v>
      </c>
      <c r="S45" s="51">
        <v>14.3</v>
      </c>
      <c r="T45" s="51">
        <v>16.8</v>
      </c>
      <c r="U45" s="51">
        <v>16.8</v>
      </c>
      <c r="V45" s="51">
        <v>16.8</v>
      </c>
      <c r="W45" s="51">
        <v>16.8</v>
      </c>
      <c r="X45" s="51">
        <v>16.8</v>
      </c>
      <c r="Y45" s="51">
        <v>16.8</v>
      </c>
      <c r="Z45" s="51">
        <v>16.8</v>
      </c>
      <c r="AA45" s="51">
        <v>16.8</v>
      </c>
      <c r="AB45" s="51">
        <v>16.8</v>
      </c>
      <c r="AC45" s="51">
        <v>16.899999999999999</v>
      </c>
      <c r="AD45" s="49">
        <v>16.8</v>
      </c>
      <c r="AE45" s="49">
        <v>16.88</v>
      </c>
      <c r="AF45" s="49">
        <v>16.8</v>
      </c>
      <c r="AG45" s="64">
        <v>24</v>
      </c>
      <c r="AH45" s="55">
        <f t="shared" si="2"/>
        <v>17</v>
      </c>
      <c r="AI45" s="56">
        <f t="shared" si="3"/>
        <v>13.7</v>
      </c>
      <c r="AK45" s="57"/>
    </row>
    <row r="46" spans="1:88" x14ac:dyDescent="0.25">
      <c r="A46" s="63" t="s">
        <v>54</v>
      </c>
      <c r="B46" s="49">
        <v>0</v>
      </c>
      <c r="C46" s="49">
        <v>0</v>
      </c>
      <c r="D46" s="49">
        <v>2.7</v>
      </c>
      <c r="E46" s="49">
        <v>2.7</v>
      </c>
      <c r="F46" s="49">
        <v>2.7</v>
      </c>
      <c r="G46" s="49">
        <v>2.7</v>
      </c>
      <c r="H46" s="49">
        <v>2.7</v>
      </c>
      <c r="I46" s="49">
        <v>2.7</v>
      </c>
      <c r="J46" s="49">
        <v>2.7</v>
      </c>
      <c r="K46" s="49">
        <v>2.7</v>
      </c>
      <c r="L46" s="49">
        <v>2.7</v>
      </c>
      <c r="M46" s="51">
        <v>2.7</v>
      </c>
      <c r="N46" s="51">
        <v>2.7</v>
      </c>
      <c r="O46" s="51">
        <v>2.7</v>
      </c>
      <c r="P46" s="51">
        <v>2.7</v>
      </c>
      <c r="Q46" s="51">
        <v>2.7</v>
      </c>
      <c r="R46" s="51">
        <v>2.7</v>
      </c>
      <c r="S46" s="51">
        <v>2.7</v>
      </c>
      <c r="T46" s="51">
        <v>2.7</v>
      </c>
      <c r="U46" s="51">
        <v>2.7</v>
      </c>
      <c r="V46" s="51">
        <v>2.7</v>
      </c>
      <c r="W46" s="51">
        <v>2.7</v>
      </c>
      <c r="X46" s="51">
        <v>2.7</v>
      </c>
      <c r="Y46" s="51">
        <v>2.7</v>
      </c>
      <c r="Z46" s="51">
        <v>2.7</v>
      </c>
      <c r="AA46" s="51">
        <v>2.7</v>
      </c>
      <c r="AB46" s="51">
        <v>2.7</v>
      </c>
      <c r="AC46" s="51">
        <v>2.7</v>
      </c>
      <c r="AD46" s="49">
        <v>2.7</v>
      </c>
      <c r="AE46" s="49">
        <v>2.7</v>
      </c>
      <c r="AF46" s="49">
        <v>2.7</v>
      </c>
      <c r="AG46" s="64">
        <v>15</v>
      </c>
      <c r="AH46" s="55">
        <f t="shared" si="2"/>
        <v>2.7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12.7</v>
      </c>
      <c r="C47" s="49">
        <v>13.2</v>
      </c>
      <c r="D47" s="49">
        <v>13.3</v>
      </c>
      <c r="E47" s="49">
        <v>13.3</v>
      </c>
      <c r="F47" s="49">
        <v>13.3</v>
      </c>
      <c r="G47" s="49">
        <v>13.3</v>
      </c>
      <c r="H47" s="49">
        <v>13.4</v>
      </c>
      <c r="I47" s="49">
        <v>13.4</v>
      </c>
      <c r="J47" s="49">
        <v>13.4</v>
      </c>
      <c r="K47" s="49">
        <v>13.4</v>
      </c>
      <c r="L47" s="49">
        <v>13.4</v>
      </c>
      <c r="M47" s="51">
        <v>13.3</v>
      </c>
      <c r="N47" s="51">
        <v>13</v>
      </c>
      <c r="O47" s="51">
        <v>13</v>
      </c>
      <c r="P47" s="51">
        <v>13</v>
      </c>
      <c r="Q47" s="51">
        <v>13</v>
      </c>
      <c r="R47" s="51">
        <v>11.6</v>
      </c>
      <c r="S47" s="51">
        <v>11.6</v>
      </c>
      <c r="T47" s="51">
        <v>11.6</v>
      </c>
      <c r="U47" s="51">
        <v>12.8</v>
      </c>
      <c r="V47" s="51">
        <v>12.8</v>
      </c>
      <c r="W47" s="51">
        <v>12.8</v>
      </c>
      <c r="X47" s="51">
        <v>12.8</v>
      </c>
      <c r="Y47" s="51">
        <v>12.8</v>
      </c>
      <c r="Z47" s="51">
        <v>12.8</v>
      </c>
      <c r="AA47" s="51">
        <v>12.8</v>
      </c>
      <c r="AB47" s="51">
        <v>12.8</v>
      </c>
      <c r="AC47" s="51">
        <v>13.1</v>
      </c>
      <c r="AD47" s="49">
        <v>13.1</v>
      </c>
      <c r="AE47" s="49">
        <v>13.1</v>
      </c>
      <c r="AF47" s="49">
        <v>13.4</v>
      </c>
      <c r="AG47" s="64">
        <v>14.1</v>
      </c>
      <c r="AH47" s="55">
        <f t="shared" si="2"/>
        <v>13.4</v>
      </c>
      <c r="AI47" s="56">
        <f t="shared" si="3"/>
        <v>11.6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13.6</v>
      </c>
      <c r="C48" s="49">
        <v>13.4</v>
      </c>
      <c r="D48" s="49">
        <v>13.4</v>
      </c>
      <c r="E48" s="49">
        <v>13.4</v>
      </c>
      <c r="F48" s="49">
        <v>13.4</v>
      </c>
      <c r="G48" s="49">
        <v>13.4</v>
      </c>
      <c r="H48" s="49">
        <v>13.4</v>
      </c>
      <c r="I48" s="49">
        <v>13.4</v>
      </c>
      <c r="J48" s="49">
        <v>13.4</v>
      </c>
      <c r="K48" s="49">
        <v>13.4</v>
      </c>
      <c r="L48" s="49">
        <v>13.4</v>
      </c>
      <c r="M48" s="51">
        <v>13.4</v>
      </c>
      <c r="N48" s="51">
        <v>13.4</v>
      </c>
      <c r="O48" s="51">
        <v>13.4</v>
      </c>
      <c r="P48" s="51">
        <v>13.4</v>
      </c>
      <c r="Q48" s="51">
        <v>13.4</v>
      </c>
      <c r="R48" s="51">
        <v>13.4</v>
      </c>
      <c r="S48" s="51">
        <v>13.4</v>
      </c>
      <c r="T48" s="51">
        <v>13.4</v>
      </c>
      <c r="U48" s="51">
        <v>13.4</v>
      </c>
      <c r="V48" s="51">
        <v>13.4</v>
      </c>
      <c r="W48" s="51">
        <v>13.4</v>
      </c>
      <c r="X48" s="51">
        <v>13.4</v>
      </c>
      <c r="Y48" s="51">
        <v>13.4</v>
      </c>
      <c r="Z48" s="51">
        <v>13.4</v>
      </c>
      <c r="AA48" s="51">
        <v>13.4</v>
      </c>
      <c r="AB48" s="51">
        <v>13.4</v>
      </c>
      <c r="AC48" s="51">
        <v>13.3</v>
      </c>
      <c r="AD48" s="49">
        <v>13.4</v>
      </c>
      <c r="AE48" s="49">
        <v>13.4</v>
      </c>
      <c r="AF48" s="49">
        <v>13.3</v>
      </c>
      <c r="AG48" s="64">
        <v>14</v>
      </c>
      <c r="AH48" s="55">
        <f t="shared" si="2"/>
        <v>13.6</v>
      </c>
      <c r="AI48" s="56">
        <f t="shared" si="3"/>
        <v>13.3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9.5</v>
      </c>
      <c r="F49" s="49">
        <v>9.3000000000000007</v>
      </c>
      <c r="G49" s="49">
        <v>9.3000000000000007</v>
      </c>
      <c r="H49" s="49">
        <v>9.4</v>
      </c>
      <c r="I49" s="49">
        <v>9.4</v>
      </c>
      <c r="J49" s="49">
        <v>9.4</v>
      </c>
      <c r="K49" s="49">
        <v>9.4</v>
      </c>
      <c r="L49" s="49">
        <v>9.4</v>
      </c>
      <c r="M49" s="51">
        <v>9.4</v>
      </c>
      <c r="N49" s="51">
        <v>9.4</v>
      </c>
      <c r="O49" s="51">
        <v>9.4</v>
      </c>
      <c r="P49" s="51">
        <v>9.4</v>
      </c>
      <c r="Q49" s="51">
        <v>9.4</v>
      </c>
      <c r="R49" s="51">
        <v>9.5</v>
      </c>
      <c r="S49" s="51">
        <v>9.5</v>
      </c>
      <c r="T49" s="51">
        <v>9.5</v>
      </c>
      <c r="U49" s="51">
        <v>9.5</v>
      </c>
      <c r="V49" s="51">
        <v>9.5</v>
      </c>
      <c r="W49" s="51">
        <v>9.5</v>
      </c>
      <c r="X49" s="51">
        <v>9.5</v>
      </c>
      <c r="Y49" s="51">
        <v>9.5</v>
      </c>
      <c r="Z49" s="51">
        <v>9.5</v>
      </c>
      <c r="AA49" s="51">
        <v>9.5</v>
      </c>
      <c r="AB49" s="51">
        <v>9.5</v>
      </c>
      <c r="AC49" s="51">
        <v>9.5</v>
      </c>
      <c r="AD49" s="49">
        <v>9.4</v>
      </c>
      <c r="AE49" s="49">
        <v>9.4</v>
      </c>
      <c r="AF49" s="49">
        <v>9.3000000000000007</v>
      </c>
      <c r="AG49" s="64">
        <v>10.050000000000001</v>
      </c>
      <c r="AH49" s="55">
        <f t="shared" si="2"/>
        <v>9.5</v>
      </c>
      <c r="AI49" s="56">
        <f t="shared" si="3"/>
        <v>9.3000000000000007</v>
      </c>
      <c r="AK49" s="57"/>
    </row>
    <row r="50" spans="1:37" x14ac:dyDescent="0.25">
      <c r="A50" s="63" t="s">
        <v>58</v>
      </c>
      <c r="B50" s="49">
        <v>6.2</v>
      </c>
      <c r="C50" s="49">
        <v>6.2</v>
      </c>
      <c r="D50" s="49">
        <v>6.2</v>
      </c>
      <c r="E50" s="49">
        <v>6.2</v>
      </c>
      <c r="F50" s="49">
        <v>6.2</v>
      </c>
      <c r="G50" s="49">
        <v>6.2</v>
      </c>
      <c r="H50" s="49">
        <v>6.2</v>
      </c>
      <c r="I50" s="49">
        <v>6.2</v>
      </c>
      <c r="J50" s="49">
        <v>6.2</v>
      </c>
      <c r="K50" s="49">
        <v>6.2</v>
      </c>
      <c r="L50" s="49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49">
        <v>6.2</v>
      </c>
      <c r="AE50" s="49">
        <v>6.2</v>
      </c>
      <c r="AF50" s="49">
        <v>6.2</v>
      </c>
      <c r="AG50" s="64">
        <v>6.2</v>
      </c>
      <c r="AH50" s="55">
        <f t="shared" si="2"/>
        <v>6.2</v>
      </c>
      <c r="AI50" s="56">
        <f t="shared" si="3"/>
        <v>6.2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8">SUM(B39:B51)</f>
        <v>429.84000000000003</v>
      </c>
      <c r="C52" s="70">
        <f t="shared" ref="C52:AF52" si="9">SUM(C39:C51)</f>
        <v>429.94</v>
      </c>
      <c r="D52" s="70">
        <f t="shared" si="9"/>
        <v>432.93999999999994</v>
      </c>
      <c r="E52" s="70">
        <f t="shared" si="9"/>
        <v>432.93999999999994</v>
      </c>
      <c r="F52" s="70">
        <f t="shared" si="9"/>
        <v>432.64</v>
      </c>
      <c r="G52" s="70">
        <f t="shared" si="9"/>
        <v>430.84</v>
      </c>
      <c r="H52" s="70">
        <f t="shared" si="9"/>
        <v>431.83999999999986</v>
      </c>
      <c r="I52" s="70">
        <f t="shared" si="9"/>
        <v>432.2399999999999</v>
      </c>
      <c r="J52" s="70">
        <f t="shared" si="9"/>
        <v>431.23999999999995</v>
      </c>
      <c r="K52" s="70">
        <f t="shared" si="9"/>
        <v>430.83999999999992</v>
      </c>
      <c r="L52" s="70">
        <f t="shared" si="9"/>
        <v>430.83999999999992</v>
      </c>
      <c r="M52" s="70">
        <f t="shared" si="9"/>
        <v>438.83999999999992</v>
      </c>
      <c r="N52" s="70">
        <f t="shared" si="9"/>
        <v>437.23999999999995</v>
      </c>
      <c r="O52" s="70">
        <f t="shared" si="9"/>
        <v>437.23999999999995</v>
      </c>
      <c r="P52" s="70">
        <f t="shared" si="9"/>
        <v>437.23999999999995</v>
      </c>
      <c r="Q52" s="70">
        <f t="shared" si="9"/>
        <v>433.93999999999994</v>
      </c>
      <c r="R52" s="70">
        <f t="shared" si="9"/>
        <v>421.54</v>
      </c>
      <c r="S52" s="70">
        <f t="shared" si="9"/>
        <v>422.24</v>
      </c>
      <c r="T52" s="70">
        <f t="shared" si="9"/>
        <v>439.74</v>
      </c>
      <c r="U52" s="70">
        <f t="shared" si="9"/>
        <v>437.74</v>
      </c>
      <c r="V52" s="70">
        <f t="shared" si="9"/>
        <v>439.94</v>
      </c>
      <c r="W52" s="70">
        <f t="shared" si="9"/>
        <v>437.64</v>
      </c>
      <c r="X52" s="70">
        <f t="shared" si="9"/>
        <v>437.64</v>
      </c>
      <c r="Y52" s="70">
        <f t="shared" si="9"/>
        <v>428.84</v>
      </c>
      <c r="Z52" s="70">
        <f t="shared" si="9"/>
        <v>431.64</v>
      </c>
      <c r="AA52" s="70">
        <f t="shared" si="9"/>
        <v>431.64</v>
      </c>
      <c r="AB52" s="70">
        <f t="shared" si="9"/>
        <v>432.34</v>
      </c>
      <c r="AC52" s="70">
        <f t="shared" si="9"/>
        <v>403.64</v>
      </c>
      <c r="AD52" s="70">
        <f t="shared" si="9"/>
        <v>417.63999999999993</v>
      </c>
      <c r="AE52" s="70">
        <f t="shared" si="9"/>
        <v>431.41999999999996</v>
      </c>
      <c r="AF52" s="70">
        <f t="shared" si="9"/>
        <v>431.44</v>
      </c>
      <c r="AG52" s="74">
        <f>SUM(AG39:AG51)</f>
        <v>489.91</v>
      </c>
      <c r="AH52" s="55">
        <f t="shared" si="2"/>
        <v>439.94</v>
      </c>
      <c r="AI52" s="56">
        <f t="shared" si="3"/>
        <v>403.64</v>
      </c>
      <c r="AK52" s="57"/>
    </row>
    <row r="53" spans="1:37" x14ac:dyDescent="0.25">
      <c r="A53" s="58" t="s">
        <v>61</v>
      </c>
      <c r="B53" s="51">
        <v>10</v>
      </c>
      <c r="C53" s="51">
        <v>10</v>
      </c>
      <c r="D53" s="51">
        <v>10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30</v>
      </c>
      <c r="L53" s="51">
        <v>20</v>
      </c>
      <c r="M53" s="51">
        <v>20.2</v>
      </c>
      <c r="N53" s="51">
        <v>30.1</v>
      </c>
      <c r="O53" s="51">
        <v>13.6</v>
      </c>
      <c r="P53" s="51">
        <v>0</v>
      </c>
      <c r="Q53" s="51">
        <v>14.1</v>
      </c>
      <c r="R53" s="51">
        <v>13.8</v>
      </c>
      <c r="S53" s="51">
        <v>0</v>
      </c>
      <c r="T53" s="51">
        <v>0</v>
      </c>
      <c r="U53" s="51">
        <v>16</v>
      </c>
      <c r="V53" s="51">
        <v>9.6999999999999993</v>
      </c>
      <c r="W53" s="51">
        <v>0</v>
      </c>
      <c r="X53" s="51">
        <v>0</v>
      </c>
      <c r="Y53" s="51">
        <v>0</v>
      </c>
      <c r="Z53" s="51">
        <v>0</v>
      </c>
      <c r="AA53" s="51">
        <v>54.6</v>
      </c>
      <c r="AB53" s="51">
        <v>43.3</v>
      </c>
      <c r="AC53" s="51">
        <v>34.700000000000003</v>
      </c>
      <c r="AD53" s="51">
        <v>43.5</v>
      </c>
      <c r="AE53" s="51">
        <v>60</v>
      </c>
      <c r="AF53" s="51">
        <v>30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5.4</v>
      </c>
      <c r="C54" s="49">
        <v>6.6</v>
      </c>
      <c r="D54" s="49">
        <v>5.6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16.100000000000001</v>
      </c>
      <c r="L54" s="49">
        <v>14.8</v>
      </c>
      <c r="M54" s="49">
        <v>9.8000000000000007</v>
      </c>
      <c r="N54" s="49">
        <v>13.4</v>
      </c>
      <c r="O54" s="49">
        <v>6.8</v>
      </c>
      <c r="P54" s="49">
        <v>0</v>
      </c>
      <c r="Q54" s="49">
        <v>7.8</v>
      </c>
      <c r="R54" s="49">
        <v>6.8</v>
      </c>
      <c r="S54" s="49">
        <v>4.8</v>
      </c>
      <c r="T54" s="49">
        <v>0</v>
      </c>
      <c r="U54" s="49">
        <v>0</v>
      </c>
      <c r="V54" s="49">
        <v>5.0999999999999996</v>
      </c>
      <c r="W54" s="49">
        <v>0</v>
      </c>
      <c r="X54" s="49">
        <v>0</v>
      </c>
      <c r="Y54" s="49">
        <v>0</v>
      </c>
      <c r="Z54" s="49">
        <v>0</v>
      </c>
      <c r="AA54" s="49">
        <v>15.1</v>
      </c>
      <c r="AB54" s="49">
        <v>20.3</v>
      </c>
      <c r="AC54" s="49">
        <v>21.7</v>
      </c>
      <c r="AD54" s="49">
        <v>22.1</v>
      </c>
      <c r="AE54" s="49">
        <v>30.8</v>
      </c>
      <c r="AF54" s="49">
        <v>16.100000000000001</v>
      </c>
      <c r="AG54" s="64">
        <v>32</v>
      </c>
      <c r="AH54" s="55">
        <f t="shared" si="2"/>
        <v>30.8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2</v>
      </c>
      <c r="C55" s="75">
        <v>2.4</v>
      </c>
      <c r="D55" s="75">
        <v>2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5.9</v>
      </c>
      <c r="L55" s="75">
        <v>5.4</v>
      </c>
      <c r="M55" s="75">
        <v>3.6</v>
      </c>
      <c r="N55" s="75">
        <v>4.9000000000000004</v>
      </c>
      <c r="O55" s="75">
        <v>2.5</v>
      </c>
      <c r="P55" s="75">
        <v>0</v>
      </c>
      <c r="Q55" s="75">
        <v>2.8</v>
      </c>
      <c r="R55" s="75">
        <v>2.5</v>
      </c>
      <c r="S55" s="75">
        <v>1.7</v>
      </c>
      <c r="T55" s="75">
        <v>0</v>
      </c>
      <c r="U55" s="75">
        <v>0</v>
      </c>
      <c r="V55" s="75">
        <v>1.8</v>
      </c>
      <c r="W55" s="75">
        <v>0</v>
      </c>
      <c r="X55" s="75">
        <v>0</v>
      </c>
      <c r="Y55" s="75">
        <v>0</v>
      </c>
      <c r="Z55" s="75">
        <v>0</v>
      </c>
      <c r="AA55" s="75">
        <v>5.8</v>
      </c>
      <c r="AB55" s="75">
        <v>7.4</v>
      </c>
      <c r="AC55" s="75">
        <v>7.9</v>
      </c>
      <c r="AD55" s="75">
        <v>8.1</v>
      </c>
      <c r="AE55" s="75">
        <v>11.3</v>
      </c>
      <c r="AF55" s="75">
        <v>5.8</v>
      </c>
      <c r="AG55" s="76">
        <v>14</v>
      </c>
      <c r="AH55" s="55">
        <f t="shared" si="2"/>
        <v>11.3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10">SUM(B53:B55)</f>
        <v>17.399999999999999</v>
      </c>
      <c r="C56" s="70">
        <f t="shared" ref="C56:AF56" si="11">SUM(C53:C55)</f>
        <v>19</v>
      </c>
      <c r="D56" s="70">
        <f t="shared" si="11"/>
        <v>17.600000000000001</v>
      </c>
      <c r="E56" s="70">
        <f t="shared" si="11"/>
        <v>0</v>
      </c>
      <c r="F56" s="70">
        <f t="shared" si="11"/>
        <v>0</v>
      </c>
      <c r="G56" s="70">
        <f t="shared" si="11"/>
        <v>0</v>
      </c>
      <c r="H56" s="70">
        <f t="shared" si="11"/>
        <v>0</v>
      </c>
      <c r="I56" s="70">
        <f t="shared" si="11"/>
        <v>0</v>
      </c>
      <c r="J56" s="70">
        <f t="shared" si="11"/>
        <v>0</v>
      </c>
      <c r="K56" s="70">
        <f t="shared" si="11"/>
        <v>52</v>
      </c>
      <c r="L56" s="70">
        <f t="shared" si="11"/>
        <v>40.199999999999996</v>
      </c>
      <c r="M56" s="70">
        <f t="shared" si="11"/>
        <v>33.6</v>
      </c>
      <c r="N56" s="70">
        <f t="shared" si="11"/>
        <v>48.4</v>
      </c>
      <c r="O56" s="70">
        <f t="shared" si="11"/>
        <v>22.9</v>
      </c>
      <c r="P56" s="70">
        <f t="shared" si="11"/>
        <v>0</v>
      </c>
      <c r="Q56" s="70">
        <f t="shared" si="11"/>
        <v>24.7</v>
      </c>
      <c r="R56" s="70">
        <f t="shared" si="11"/>
        <v>23.1</v>
      </c>
      <c r="S56" s="70">
        <f t="shared" si="11"/>
        <v>6.5</v>
      </c>
      <c r="T56" s="70">
        <f t="shared" si="11"/>
        <v>0</v>
      </c>
      <c r="U56" s="70">
        <f t="shared" si="11"/>
        <v>16</v>
      </c>
      <c r="V56" s="70">
        <f t="shared" si="11"/>
        <v>16.599999999999998</v>
      </c>
      <c r="W56" s="70">
        <f t="shared" si="11"/>
        <v>0</v>
      </c>
      <c r="X56" s="70">
        <f t="shared" si="11"/>
        <v>0</v>
      </c>
      <c r="Y56" s="70">
        <f t="shared" si="11"/>
        <v>0</v>
      </c>
      <c r="Z56" s="70">
        <f t="shared" si="11"/>
        <v>0</v>
      </c>
      <c r="AA56" s="70">
        <f t="shared" si="11"/>
        <v>75.5</v>
      </c>
      <c r="AB56" s="70">
        <f t="shared" si="11"/>
        <v>71</v>
      </c>
      <c r="AC56" s="70">
        <f t="shared" si="11"/>
        <v>64.300000000000011</v>
      </c>
      <c r="AD56" s="70">
        <f t="shared" si="11"/>
        <v>73.699999999999989</v>
      </c>
      <c r="AE56" s="70">
        <f t="shared" si="11"/>
        <v>102.1</v>
      </c>
      <c r="AF56" s="70">
        <f t="shared" si="11"/>
        <v>51.9</v>
      </c>
      <c r="AG56" s="74">
        <f>SUM(AG53:AG55)</f>
        <v>106</v>
      </c>
      <c r="AH56" s="55">
        <f t="shared" si="2"/>
        <v>102.1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68.41</v>
      </c>
      <c r="C57" s="51">
        <v>65.7</v>
      </c>
      <c r="D57" s="51">
        <v>31.5</v>
      </c>
      <c r="E57" s="51">
        <v>52.3</v>
      </c>
      <c r="F57" s="51">
        <v>59.7</v>
      </c>
      <c r="G57" s="51">
        <v>60.9</v>
      </c>
      <c r="H57" s="51">
        <v>62.4</v>
      </c>
      <c r="I57" s="51">
        <v>60.8</v>
      </c>
      <c r="J57" s="51">
        <v>57.6</v>
      </c>
      <c r="K57" s="51">
        <v>59.8</v>
      </c>
      <c r="L57" s="51">
        <v>51.2</v>
      </c>
      <c r="M57" s="51">
        <v>52.8</v>
      </c>
      <c r="N57" s="51">
        <v>51.3</v>
      </c>
      <c r="O57" s="51">
        <v>67.400000000000006</v>
      </c>
      <c r="P57" s="51">
        <v>62.1</v>
      </c>
      <c r="Q57" s="51">
        <v>48.9</v>
      </c>
      <c r="R57" s="51">
        <v>58.3</v>
      </c>
      <c r="S57" s="51">
        <v>53</v>
      </c>
      <c r="T57" s="51">
        <v>62.5</v>
      </c>
      <c r="U57" s="51">
        <v>60.6</v>
      </c>
      <c r="V57" s="51">
        <v>52</v>
      </c>
      <c r="W57" s="51">
        <v>54</v>
      </c>
      <c r="X57" s="51">
        <v>50.8</v>
      </c>
      <c r="Y57" s="51">
        <v>58.6</v>
      </c>
      <c r="Z57" s="51">
        <v>59</v>
      </c>
      <c r="AA57" s="51">
        <v>59.4</v>
      </c>
      <c r="AB57" s="51">
        <v>72.3</v>
      </c>
      <c r="AC57" s="51">
        <v>63.8</v>
      </c>
      <c r="AD57" s="51">
        <v>61.8</v>
      </c>
      <c r="AE57" s="51">
        <v>52</v>
      </c>
      <c r="AF57" s="51">
        <v>48.6</v>
      </c>
      <c r="AG57" s="60"/>
      <c r="AH57" s="55">
        <f t="shared" si="2"/>
        <v>72.3</v>
      </c>
      <c r="AI57" s="56">
        <f t="shared" si="3"/>
        <v>31.5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-355</v>
      </c>
      <c r="C59" s="49">
        <v>-373.5</v>
      </c>
      <c r="D59" s="49">
        <v>-361.5</v>
      </c>
      <c r="E59" s="49">
        <v>-347.5</v>
      </c>
      <c r="F59" s="49">
        <v>-364</v>
      </c>
      <c r="G59" s="49">
        <v>-389</v>
      </c>
      <c r="H59" s="49">
        <v>-373</v>
      </c>
      <c r="I59" s="49">
        <v>-379</v>
      </c>
      <c r="J59" s="49">
        <v>-320</v>
      </c>
      <c r="K59" s="49">
        <v>-285</v>
      </c>
      <c r="L59" s="49">
        <v>-297.2</v>
      </c>
      <c r="M59" s="49">
        <v>-286.7</v>
      </c>
      <c r="N59" s="49">
        <v>-289</v>
      </c>
      <c r="O59" s="49">
        <v>-286.10000000000002</v>
      </c>
      <c r="P59" s="49">
        <v>-306.39999999999998</v>
      </c>
      <c r="Q59" s="49">
        <v>-256.8</v>
      </c>
      <c r="R59" s="49">
        <v>-285</v>
      </c>
      <c r="S59" s="49">
        <v>-315</v>
      </c>
      <c r="T59" s="49">
        <v>-315.39999999999998</v>
      </c>
      <c r="U59" s="49">
        <v>-273</v>
      </c>
      <c r="V59" s="49">
        <v>-315</v>
      </c>
      <c r="W59" s="49">
        <v>-309</v>
      </c>
      <c r="X59" s="49">
        <v>-399</v>
      </c>
      <c r="Y59" s="49">
        <v>-276</v>
      </c>
      <c r="Z59" s="49">
        <v>-279</v>
      </c>
      <c r="AA59" s="49">
        <v>-257</v>
      </c>
      <c r="AB59" s="49">
        <v>-247.3</v>
      </c>
      <c r="AC59" s="49">
        <v>-242.3</v>
      </c>
      <c r="AD59" s="49">
        <v>-319.10000000000002</v>
      </c>
      <c r="AE59" s="49">
        <v>-303</v>
      </c>
      <c r="AF59" s="49">
        <v>-360.8</v>
      </c>
      <c r="AG59" s="77"/>
      <c r="AH59" s="55">
        <f t="shared" si="2"/>
        <v>-242.3</v>
      </c>
      <c r="AI59" s="56">
        <f t="shared" si="3"/>
        <v>-399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4.5</v>
      </c>
      <c r="P62" s="79">
        <v>4.5</v>
      </c>
      <c r="Q62" s="79">
        <v>4.5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2">SUMIF(B57:B67,"&gt;0")</f>
        <v>73.41</v>
      </c>
      <c r="C68" s="70">
        <f t="shared" ref="C68:AF68" si="13">SUMIF(C57:C67,"&gt;0")</f>
        <v>70.7</v>
      </c>
      <c r="D68" s="70">
        <f t="shared" si="13"/>
        <v>36.5</v>
      </c>
      <c r="E68" s="70">
        <f t="shared" si="13"/>
        <v>57.3</v>
      </c>
      <c r="F68" s="70">
        <f t="shared" si="13"/>
        <v>64.7</v>
      </c>
      <c r="G68" s="70">
        <f t="shared" si="13"/>
        <v>65.900000000000006</v>
      </c>
      <c r="H68" s="70">
        <f t="shared" si="13"/>
        <v>62.4</v>
      </c>
      <c r="I68" s="70">
        <f t="shared" si="13"/>
        <v>60.8</v>
      </c>
      <c r="J68" s="70">
        <f t="shared" si="13"/>
        <v>57.6</v>
      </c>
      <c r="K68" s="70">
        <f t="shared" si="13"/>
        <v>59.8</v>
      </c>
      <c r="L68" s="70">
        <f t="shared" si="13"/>
        <v>51.2</v>
      </c>
      <c r="M68" s="70">
        <f t="shared" si="13"/>
        <v>52.8</v>
      </c>
      <c r="N68" s="70">
        <f t="shared" si="13"/>
        <v>51.3</v>
      </c>
      <c r="O68" s="70">
        <f t="shared" si="13"/>
        <v>71.900000000000006</v>
      </c>
      <c r="P68" s="70">
        <f t="shared" si="13"/>
        <v>66.599999999999994</v>
      </c>
      <c r="Q68" s="70">
        <f t="shared" si="13"/>
        <v>53.4</v>
      </c>
      <c r="R68" s="70">
        <f t="shared" si="13"/>
        <v>63.3</v>
      </c>
      <c r="S68" s="70">
        <f t="shared" si="13"/>
        <v>58</v>
      </c>
      <c r="T68" s="70">
        <f t="shared" si="13"/>
        <v>67.5</v>
      </c>
      <c r="U68" s="70">
        <f t="shared" si="13"/>
        <v>65.599999999999994</v>
      </c>
      <c r="V68" s="70">
        <f t="shared" si="13"/>
        <v>57</v>
      </c>
      <c r="W68" s="70">
        <f t="shared" si="13"/>
        <v>59</v>
      </c>
      <c r="X68" s="70">
        <f t="shared" si="13"/>
        <v>55.8</v>
      </c>
      <c r="Y68" s="70">
        <f t="shared" si="13"/>
        <v>63.6</v>
      </c>
      <c r="Z68" s="70">
        <f t="shared" si="13"/>
        <v>64</v>
      </c>
      <c r="AA68" s="70">
        <f t="shared" si="13"/>
        <v>64.400000000000006</v>
      </c>
      <c r="AB68" s="70">
        <f t="shared" si="13"/>
        <v>77.3</v>
      </c>
      <c r="AC68" s="70">
        <f t="shared" si="13"/>
        <v>68.8</v>
      </c>
      <c r="AD68" s="70">
        <f t="shared" si="13"/>
        <v>66.8</v>
      </c>
      <c r="AE68" s="70">
        <f t="shared" si="13"/>
        <v>57</v>
      </c>
      <c r="AF68" s="70">
        <f t="shared" si="13"/>
        <v>53.6</v>
      </c>
      <c r="AG68" s="74">
        <f>SUM(AG57:AG67)</f>
        <v>0</v>
      </c>
      <c r="AH68" s="55">
        <f t="shared" si="2"/>
        <v>77.3</v>
      </c>
      <c r="AI68" s="56">
        <f t="shared" si="3"/>
        <v>36.5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4">B38+B52+B68+B72</f>
        <v>1792.7500000000002</v>
      </c>
      <c r="C73" s="84">
        <f t="shared" ref="C73:AF73" si="15">C38+C52+C68+C72</f>
        <v>1793.14</v>
      </c>
      <c r="D73" s="84">
        <f t="shared" si="15"/>
        <v>1763.94</v>
      </c>
      <c r="E73" s="84">
        <f t="shared" si="15"/>
        <v>1776.74</v>
      </c>
      <c r="F73" s="84">
        <f t="shared" si="15"/>
        <v>1777.0400000000002</v>
      </c>
      <c r="G73" s="84">
        <f t="shared" si="15"/>
        <v>1781.4400000000003</v>
      </c>
      <c r="H73" s="84">
        <f t="shared" si="15"/>
        <v>1783.5400000000002</v>
      </c>
      <c r="I73" s="84">
        <f t="shared" si="15"/>
        <v>1782.34</v>
      </c>
      <c r="J73" s="84">
        <f t="shared" si="15"/>
        <v>1778.14</v>
      </c>
      <c r="K73" s="84">
        <f t="shared" si="15"/>
        <v>1754.94</v>
      </c>
      <c r="L73" s="84">
        <f t="shared" si="15"/>
        <v>1741.3400000000001</v>
      </c>
      <c r="M73" s="84">
        <f t="shared" si="15"/>
        <v>1780.94</v>
      </c>
      <c r="N73" s="84">
        <f t="shared" si="15"/>
        <v>1747.8400000000001</v>
      </c>
      <c r="O73" s="84">
        <f t="shared" si="15"/>
        <v>1798.4400000000003</v>
      </c>
      <c r="P73" s="84">
        <f t="shared" si="15"/>
        <v>1793.14</v>
      </c>
      <c r="Q73" s="84">
        <f t="shared" si="15"/>
        <v>1776.6400000000003</v>
      </c>
      <c r="R73" s="84">
        <f t="shared" si="15"/>
        <v>1774.14</v>
      </c>
      <c r="S73" s="84">
        <f t="shared" si="15"/>
        <v>1767.5400000000002</v>
      </c>
      <c r="T73" s="84">
        <f t="shared" si="15"/>
        <v>1784.5400000000002</v>
      </c>
      <c r="U73" s="84">
        <f t="shared" si="15"/>
        <v>1784.14</v>
      </c>
      <c r="V73" s="84">
        <f t="shared" si="15"/>
        <v>1789.14</v>
      </c>
      <c r="W73" s="84">
        <f t="shared" si="15"/>
        <v>1781.8400000000001</v>
      </c>
      <c r="X73" s="84">
        <f t="shared" si="15"/>
        <v>1778.64</v>
      </c>
      <c r="Y73" s="84">
        <f t="shared" si="15"/>
        <v>1703.6399999999999</v>
      </c>
      <c r="Z73" s="84">
        <f t="shared" si="15"/>
        <v>1787.8400000000001</v>
      </c>
      <c r="AA73" s="84">
        <f t="shared" si="15"/>
        <v>1788.2400000000002</v>
      </c>
      <c r="AB73" s="84">
        <f t="shared" si="15"/>
        <v>1806.84</v>
      </c>
      <c r="AC73" s="84">
        <f t="shared" si="15"/>
        <v>1769.64</v>
      </c>
      <c r="AD73" s="84">
        <f t="shared" si="15"/>
        <v>1781.6399999999999</v>
      </c>
      <c r="AE73" s="84">
        <f t="shared" si="15"/>
        <v>1778.7200000000003</v>
      </c>
      <c r="AF73" s="84">
        <f t="shared" si="15"/>
        <v>1775.1399999999999</v>
      </c>
      <c r="AG73" s="84">
        <f t="shared" ref="AG73" si="16">AG68+AG56+AG52+AG38+AG72</f>
        <v>2144.14</v>
      </c>
      <c r="AH73" s="55">
        <f t="shared" si="2"/>
        <v>1806.84</v>
      </c>
      <c r="AI73" s="56">
        <f t="shared" si="3"/>
        <v>1703.6399999999999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>
        <v>60</v>
      </c>
      <c r="Q74" s="86">
        <v>50</v>
      </c>
      <c r="R74" s="86">
        <v>50</v>
      </c>
      <c r="S74" s="86">
        <v>60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60</v>
      </c>
      <c r="AI74" s="56">
        <f t="shared" si="3"/>
        <v>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7">B73+B74</f>
        <v>1792.7500000000002</v>
      </c>
      <c r="C75" s="84">
        <f t="shared" ref="C75:AF75" si="18">C73+C74</f>
        <v>1793.14</v>
      </c>
      <c r="D75" s="84">
        <f t="shared" si="18"/>
        <v>1763.94</v>
      </c>
      <c r="E75" s="84">
        <f t="shared" si="18"/>
        <v>1776.74</v>
      </c>
      <c r="F75" s="84">
        <f t="shared" si="18"/>
        <v>1777.0400000000002</v>
      </c>
      <c r="G75" s="84">
        <f t="shared" si="18"/>
        <v>1781.4400000000003</v>
      </c>
      <c r="H75" s="84">
        <f t="shared" si="18"/>
        <v>1783.5400000000002</v>
      </c>
      <c r="I75" s="84">
        <f t="shared" si="18"/>
        <v>1782.34</v>
      </c>
      <c r="J75" s="84">
        <f t="shared" si="18"/>
        <v>1778.14</v>
      </c>
      <c r="K75" s="84">
        <f t="shared" si="18"/>
        <v>1754.94</v>
      </c>
      <c r="L75" s="84">
        <f t="shared" si="18"/>
        <v>1741.3400000000001</v>
      </c>
      <c r="M75" s="84">
        <f t="shared" si="18"/>
        <v>1780.94</v>
      </c>
      <c r="N75" s="84">
        <f t="shared" si="18"/>
        <v>1747.8400000000001</v>
      </c>
      <c r="O75" s="84">
        <f t="shared" si="18"/>
        <v>1798.4400000000003</v>
      </c>
      <c r="P75" s="84">
        <f t="shared" si="18"/>
        <v>1853.14</v>
      </c>
      <c r="Q75" s="84">
        <f t="shared" si="18"/>
        <v>1826.6400000000003</v>
      </c>
      <c r="R75" s="84">
        <f t="shared" si="18"/>
        <v>1824.14</v>
      </c>
      <c r="S75" s="84">
        <f t="shared" si="18"/>
        <v>1827.5400000000002</v>
      </c>
      <c r="T75" s="84">
        <f t="shared" si="18"/>
        <v>1784.5400000000002</v>
      </c>
      <c r="U75" s="84">
        <f t="shared" si="18"/>
        <v>1784.14</v>
      </c>
      <c r="V75" s="84">
        <f t="shared" si="18"/>
        <v>1789.14</v>
      </c>
      <c r="W75" s="84">
        <f t="shared" si="18"/>
        <v>1781.8400000000001</v>
      </c>
      <c r="X75" s="84">
        <f t="shared" si="18"/>
        <v>1778.64</v>
      </c>
      <c r="Y75" s="84">
        <f t="shared" si="18"/>
        <v>1703.6399999999999</v>
      </c>
      <c r="Z75" s="84">
        <f t="shared" si="18"/>
        <v>1787.8400000000001</v>
      </c>
      <c r="AA75" s="84">
        <f t="shared" si="18"/>
        <v>1788.2400000000002</v>
      </c>
      <c r="AB75" s="84">
        <f t="shared" si="18"/>
        <v>1806.84</v>
      </c>
      <c r="AC75" s="84">
        <f t="shared" si="18"/>
        <v>1769.64</v>
      </c>
      <c r="AD75" s="84">
        <f t="shared" si="18"/>
        <v>1781.6399999999999</v>
      </c>
      <c r="AE75" s="84">
        <f t="shared" si="18"/>
        <v>1778.7200000000003</v>
      </c>
      <c r="AF75" s="84">
        <f t="shared" si="18"/>
        <v>1775.1399999999999</v>
      </c>
      <c r="AG75" s="74">
        <f>AG72+AG68+AG56+AG52+AG38+AG74</f>
        <v>2144.14</v>
      </c>
      <c r="AH75" s="55">
        <f t="shared" si="2"/>
        <v>1853.14</v>
      </c>
      <c r="AI75" s="56">
        <f t="shared" si="3"/>
        <v>1703.6399999999999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19">IF(B60&lt;0,B60*-1,0)</f>
        <v>0</v>
      </c>
      <c r="C76" s="78">
        <f t="shared" ref="C76:AF76" si="20">IF(C60&lt;0,C60*-1,0)</f>
        <v>0</v>
      </c>
      <c r="D76" s="78">
        <f t="shared" si="20"/>
        <v>0</v>
      </c>
      <c r="E76" s="78">
        <f t="shared" si="20"/>
        <v>0</v>
      </c>
      <c r="F76" s="78">
        <f t="shared" si="20"/>
        <v>0</v>
      </c>
      <c r="G76" s="78">
        <f t="shared" si="20"/>
        <v>0</v>
      </c>
      <c r="H76" s="78">
        <f t="shared" si="20"/>
        <v>0</v>
      </c>
      <c r="I76" s="78">
        <f t="shared" si="20"/>
        <v>0</v>
      </c>
      <c r="J76" s="78">
        <f t="shared" si="20"/>
        <v>0</v>
      </c>
      <c r="K76" s="78">
        <f t="shared" si="20"/>
        <v>0</v>
      </c>
      <c r="L76" s="78">
        <f t="shared" si="20"/>
        <v>0</v>
      </c>
      <c r="M76" s="78">
        <f t="shared" si="20"/>
        <v>0</v>
      </c>
      <c r="N76" s="78">
        <f t="shared" si="20"/>
        <v>0</v>
      </c>
      <c r="O76" s="78">
        <f t="shared" si="20"/>
        <v>0</v>
      </c>
      <c r="P76" s="78">
        <f t="shared" si="20"/>
        <v>0</v>
      </c>
      <c r="Q76" s="78">
        <f t="shared" si="20"/>
        <v>0</v>
      </c>
      <c r="R76" s="78">
        <f t="shared" si="20"/>
        <v>0</v>
      </c>
      <c r="S76" s="78">
        <f t="shared" si="20"/>
        <v>0</v>
      </c>
      <c r="T76" s="78">
        <f t="shared" si="20"/>
        <v>0</v>
      </c>
      <c r="U76" s="78">
        <f t="shared" si="20"/>
        <v>0</v>
      </c>
      <c r="V76" s="78">
        <f t="shared" si="20"/>
        <v>0</v>
      </c>
      <c r="W76" s="78">
        <f t="shared" si="20"/>
        <v>0</v>
      </c>
      <c r="X76" s="78">
        <f t="shared" si="20"/>
        <v>0</v>
      </c>
      <c r="Y76" s="78">
        <f t="shared" si="20"/>
        <v>0</v>
      </c>
      <c r="Z76" s="78">
        <f t="shared" si="20"/>
        <v>0</v>
      </c>
      <c r="AA76" s="78">
        <f t="shared" si="20"/>
        <v>0</v>
      </c>
      <c r="AB76" s="78">
        <f t="shared" si="20"/>
        <v>0</v>
      </c>
      <c r="AC76" s="78">
        <f t="shared" si="20"/>
        <v>0</v>
      </c>
      <c r="AD76" s="78">
        <f t="shared" si="20"/>
        <v>0</v>
      </c>
      <c r="AE76" s="78">
        <f t="shared" si="20"/>
        <v>0</v>
      </c>
      <c r="AF76" s="78">
        <f t="shared" si="20"/>
        <v>0</v>
      </c>
      <c r="AG76" s="60"/>
      <c r="AH76" s="55">
        <f t="shared" ref="AH76:AH91" si="21">MAX(B76:AF76)</f>
        <v>0</v>
      </c>
      <c r="AI76" s="56">
        <f t="shared" ref="AI76:AI91" si="2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3">IF(B58&lt;0,B58*-1,0)</f>
        <v>0</v>
      </c>
      <c r="C77" s="78">
        <f t="shared" ref="C77:AF77" si="24">IF(C58&lt;0,C58*-1,0)</f>
        <v>0</v>
      </c>
      <c r="D77" s="78">
        <f t="shared" si="24"/>
        <v>0</v>
      </c>
      <c r="E77" s="78">
        <f t="shared" si="24"/>
        <v>0</v>
      </c>
      <c r="F77" s="78">
        <f t="shared" si="24"/>
        <v>0</v>
      </c>
      <c r="G77" s="78">
        <f t="shared" si="24"/>
        <v>0</v>
      </c>
      <c r="H77" s="78">
        <f t="shared" si="24"/>
        <v>0</v>
      </c>
      <c r="I77" s="78">
        <f t="shared" si="24"/>
        <v>0</v>
      </c>
      <c r="J77" s="78">
        <f t="shared" si="24"/>
        <v>0</v>
      </c>
      <c r="K77" s="78">
        <f t="shared" si="24"/>
        <v>0</v>
      </c>
      <c r="L77" s="78">
        <f t="shared" si="24"/>
        <v>0</v>
      </c>
      <c r="M77" s="78">
        <f t="shared" si="24"/>
        <v>0</v>
      </c>
      <c r="N77" s="78">
        <f t="shared" si="24"/>
        <v>0</v>
      </c>
      <c r="O77" s="78">
        <f t="shared" si="24"/>
        <v>0</v>
      </c>
      <c r="P77" s="78">
        <f t="shared" si="24"/>
        <v>0</v>
      </c>
      <c r="Q77" s="78">
        <f t="shared" si="24"/>
        <v>0</v>
      </c>
      <c r="R77" s="78">
        <f t="shared" si="24"/>
        <v>0</v>
      </c>
      <c r="S77" s="78">
        <f t="shared" si="24"/>
        <v>0</v>
      </c>
      <c r="T77" s="78">
        <f t="shared" si="24"/>
        <v>0</v>
      </c>
      <c r="U77" s="78">
        <f t="shared" si="24"/>
        <v>0</v>
      </c>
      <c r="V77" s="78">
        <f t="shared" si="24"/>
        <v>0</v>
      </c>
      <c r="W77" s="78">
        <f t="shared" si="24"/>
        <v>0</v>
      </c>
      <c r="X77" s="78">
        <f t="shared" si="24"/>
        <v>0</v>
      </c>
      <c r="Y77" s="78">
        <f t="shared" si="24"/>
        <v>0</v>
      </c>
      <c r="Z77" s="78">
        <f t="shared" si="24"/>
        <v>0</v>
      </c>
      <c r="AA77" s="78">
        <f t="shared" si="24"/>
        <v>0</v>
      </c>
      <c r="AB77" s="78">
        <f t="shared" si="24"/>
        <v>0</v>
      </c>
      <c r="AC77" s="78">
        <f t="shared" si="24"/>
        <v>0</v>
      </c>
      <c r="AD77" s="78">
        <f t="shared" si="24"/>
        <v>0</v>
      </c>
      <c r="AE77" s="78">
        <f t="shared" si="24"/>
        <v>0</v>
      </c>
      <c r="AF77" s="78">
        <f t="shared" si="24"/>
        <v>0</v>
      </c>
      <c r="AG77" s="64"/>
      <c r="AH77" s="55">
        <f t="shared" si="21"/>
        <v>0</v>
      </c>
      <c r="AI77" s="56">
        <f t="shared" si="2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5">IF(B61&lt;0,B61*-1,0)</f>
        <v>0</v>
      </c>
      <c r="C78" s="78">
        <f t="shared" ref="C78:AF78" si="26">IF(C61&lt;0,C61*-1,0)</f>
        <v>0</v>
      </c>
      <c r="D78" s="78">
        <f t="shared" si="26"/>
        <v>0</v>
      </c>
      <c r="E78" s="78">
        <f t="shared" si="26"/>
        <v>0</v>
      </c>
      <c r="F78" s="78">
        <f t="shared" si="26"/>
        <v>0</v>
      </c>
      <c r="G78" s="78">
        <f t="shared" si="26"/>
        <v>0</v>
      </c>
      <c r="H78" s="78">
        <f t="shared" si="26"/>
        <v>0</v>
      </c>
      <c r="I78" s="78">
        <f t="shared" si="26"/>
        <v>0</v>
      </c>
      <c r="J78" s="78">
        <f t="shared" si="26"/>
        <v>0</v>
      </c>
      <c r="K78" s="78">
        <f t="shared" si="26"/>
        <v>0</v>
      </c>
      <c r="L78" s="78">
        <f t="shared" si="26"/>
        <v>0</v>
      </c>
      <c r="M78" s="78">
        <f t="shared" si="26"/>
        <v>0</v>
      </c>
      <c r="N78" s="78">
        <f t="shared" si="26"/>
        <v>0</v>
      </c>
      <c r="O78" s="78">
        <f t="shared" si="26"/>
        <v>0</v>
      </c>
      <c r="P78" s="78">
        <f t="shared" si="26"/>
        <v>0</v>
      </c>
      <c r="Q78" s="78">
        <f t="shared" si="26"/>
        <v>0</v>
      </c>
      <c r="R78" s="78">
        <f t="shared" si="26"/>
        <v>0</v>
      </c>
      <c r="S78" s="78">
        <f t="shared" si="26"/>
        <v>0</v>
      </c>
      <c r="T78" s="78">
        <f t="shared" si="26"/>
        <v>0</v>
      </c>
      <c r="U78" s="78">
        <f t="shared" si="26"/>
        <v>0</v>
      </c>
      <c r="V78" s="78">
        <f t="shared" si="26"/>
        <v>0</v>
      </c>
      <c r="W78" s="78">
        <f t="shared" si="26"/>
        <v>0</v>
      </c>
      <c r="X78" s="78">
        <f t="shared" si="26"/>
        <v>0</v>
      </c>
      <c r="Y78" s="78">
        <f t="shared" si="26"/>
        <v>0</v>
      </c>
      <c r="Z78" s="78">
        <f t="shared" si="26"/>
        <v>0</v>
      </c>
      <c r="AA78" s="78">
        <f t="shared" si="26"/>
        <v>0</v>
      </c>
      <c r="AB78" s="78">
        <f t="shared" si="26"/>
        <v>0</v>
      </c>
      <c r="AC78" s="78">
        <f t="shared" si="26"/>
        <v>0</v>
      </c>
      <c r="AD78" s="78">
        <f t="shared" si="26"/>
        <v>0</v>
      </c>
      <c r="AE78" s="78">
        <f t="shared" si="26"/>
        <v>0</v>
      </c>
      <c r="AF78" s="78">
        <f t="shared" si="26"/>
        <v>0</v>
      </c>
      <c r="AG78" s="87"/>
      <c r="AH78" s="55">
        <f t="shared" si="21"/>
        <v>0</v>
      </c>
      <c r="AI78" s="56">
        <f t="shared" si="2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27">IF(B59&lt;0,B59*-1,0)</f>
        <v>355</v>
      </c>
      <c r="C79" s="78">
        <f t="shared" ref="C79:AF79" si="28">IF(C59&lt;0,C59*-1,0)</f>
        <v>373.5</v>
      </c>
      <c r="D79" s="78">
        <f t="shared" si="28"/>
        <v>361.5</v>
      </c>
      <c r="E79" s="78">
        <f t="shared" si="28"/>
        <v>347.5</v>
      </c>
      <c r="F79" s="78">
        <f t="shared" si="28"/>
        <v>364</v>
      </c>
      <c r="G79" s="78">
        <f t="shared" si="28"/>
        <v>389</v>
      </c>
      <c r="H79" s="78">
        <f t="shared" si="28"/>
        <v>373</v>
      </c>
      <c r="I79" s="78">
        <f t="shared" si="28"/>
        <v>379</v>
      </c>
      <c r="J79" s="78">
        <f t="shared" si="28"/>
        <v>320</v>
      </c>
      <c r="K79" s="78">
        <f t="shared" si="28"/>
        <v>285</v>
      </c>
      <c r="L79" s="78">
        <f t="shared" si="28"/>
        <v>297.2</v>
      </c>
      <c r="M79" s="78">
        <f t="shared" si="28"/>
        <v>286.7</v>
      </c>
      <c r="N79" s="78">
        <f t="shared" si="28"/>
        <v>289</v>
      </c>
      <c r="O79" s="78">
        <f t="shared" si="28"/>
        <v>286.10000000000002</v>
      </c>
      <c r="P79" s="78">
        <f t="shared" si="28"/>
        <v>306.39999999999998</v>
      </c>
      <c r="Q79" s="78">
        <f t="shared" si="28"/>
        <v>256.8</v>
      </c>
      <c r="R79" s="78">
        <f t="shared" si="28"/>
        <v>285</v>
      </c>
      <c r="S79" s="78">
        <f t="shared" si="28"/>
        <v>315</v>
      </c>
      <c r="T79" s="78">
        <f t="shared" si="28"/>
        <v>315.39999999999998</v>
      </c>
      <c r="U79" s="78">
        <f t="shared" si="28"/>
        <v>273</v>
      </c>
      <c r="V79" s="78">
        <f t="shared" si="28"/>
        <v>315</v>
      </c>
      <c r="W79" s="78">
        <f t="shared" si="28"/>
        <v>309</v>
      </c>
      <c r="X79" s="78">
        <f t="shared" si="28"/>
        <v>399</v>
      </c>
      <c r="Y79" s="78">
        <f t="shared" si="28"/>
        <v>276</v>
      </c>
      <c r="Z79" s="78">
        <f t="shared" si="28"/>
        <v>279</v>
      </c>
      <c r="AA79" s="78">
        <f t="shared" si="28"/>
        <v>257</v>
      </c>
      <c r="AB79" s="78">
        <f t="shared" si="28"/>
        <v>247.3</v>
      </c>
      <c r="AC79" s="78">
        <f t="shared" si="28"/>
        <v>242.3</v>
      </c>
      <c r="AD79" s="78">
        <f t="shared" si="28"/>
        <v>319.10000000000002</v>
      </c>
      <c r="AE79" s="78">
        <f t="shared" si="28"/>
        <v>303</v>
      </c>
      <c r="AF79" s="78">
        <f t="shared" si="28"/>
        <v>360.8</v>
      </c>
      <c r="AG79" s="87"/>
      <c r="AH79" s="55">
        <f t="shared" si="21"/>
        <v>399</v>
      </c>
      <c r="AI79" s="56">
        <f t="shared" si="22"/>
        <v>242.3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29">IF(B57&lt;0,B57*-1,0)</f>
        <v>0</v>
      </c>
      <c r="C80" s="78">
        <f t="shared" ref="C80:AF80" si="30">IF(C57&lt;0,C57*-1,0)</f>
        <v>0</v>
      </c>
      <c r="D80" s="78">
        <f t="shared" si="30"/>
        <v>0</v>
      </c>
      <c r="E80" s="78">
        <f t="shared" si="30"/>
        <v>0</v>
      </c>
      <c r="F80" s="78">
        <f t="shared" si="30"/>
        <v>0</v>
      </c>
      <c r="G80" s="78">
        <f t="shared" si="30"/>
        <v>0</v>
      </c>
      <c r="H80" s="78">
        <f t="shared" si="30"/>
        <v>0</v>
      </c>
      <c r="I80" s="78">
        <f t="shared" si="30"/>
        <v>0</v>
      </c>
      <c r="J80" s="78">
        <f t="shared" si="30"/>
        <v>0</v>
      </c>
      <c r="K80" s="78">
        <f t="shared" si="30"/>
        <v>0</v>
      </c>
      <c r="L80" s="78">
        <f t="shared" si="30"/>
        <v>0</v>
      </c>
      <c r="M80" s="78">
        <f t="shared" si="30"/>
        <v>0</v>
      </c>
      <c r="N80" s="78">
        <f t="shared" si="30"/>
        <v>0</v>
      </c>
      <c r="O80" s="78">
        <f t="shared" si="30"/>
        <v>0</v>
      </c>
      <c r="P80" s="78">
        <f t="shared" si="30"/>
        <v>0</v>
      </c>
      <c r="Q80" s="78">
        <f t="shared" si="30"/>
        <v>0</v>
      </c>
      <c r="R80" s="78">
        <f t="shared" si="30"/>
        <v>0</v>
      </c>
      <c r="S80" s="78">
        <f t="shared" si="30"/>
        <v>0</v>
      </c>
      <c r="T80" s="78">
        <f t="shared" si="30"/>
        <v>0</v>
      </c>
      <c r="U80" s="78">
        <f t="shared" si="30"/>
        <v>0</v>
      </c>
      <c r="V80" s="78">
        <f t="shared" si="30"/>
        <v>0</v>
      </c>
      <c r="W80" s="78">
        <f t="shared" si="30"/>
        <v>0</v>
      </c>
      <c r="X80" s="78">
        <f t="shared" si="30"/>
        <v>0</v>
      </c>
      <c r="Y80" s="78">
        <f t="shared" si="30"/>
        <v>0</v>
      </c>
      <c r="Z80" s="78">
        <f t="shared" si="30"/>
        <v>0</v>
      </c>
      <c r="AA80" s="78">
        <f t="shared" si="30"/>
        <v>0</v>
      </c>
      <c r="AB80" s="78">
        <f t="shared" si="30"/>
        <v>0</v>
      </c>
      <c r="AC80" s="78">
        <f t="shared" si="30"/>
        <v>0</v>
      </c>
      <c r="AD80" s="78">
        <f t="shared" si="30"/>
        <v>0</v>
      </c>
      <c r="AE80" s="78">
        <f t="shared" si="30"/>
        <v>0</v>
      </c>
      <c r="AF80" s="78">
        <f t="shared" si="30"/>
        <v>0</v>
      </c>
      <c r="AG80" s="87"/>
      <c r="AH80" s="55">
        <f t="shared" si="21"/>
        <v>0</v>
      </c>
      <c r="AI80" s="56">
        <f t="shared" si="2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1"/>
        <v>0</v>
      </c>
      <c r="AI81" s="56">
        <f t="shared" si="2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31">SUM(B76:B81)</f>
        <v>355</v>
      </c>
      <c r="C82" s="70">
        <f t="shared" ref="C82:AG82" si="32">SUM(C76:C81)</f>
        <v>373.5</v>
      </c>
      <c r="D82" s="70">
        <f t="shared" si="32"/>
        <v>361.5</v>
      </c>
      <c r="E82" s="70">
        <f t="shared" si="32"/>
        <v>347.5</v>
      </c>
      <c r="F82" s="70">
        <f t="shared" si="32"/>
        <v>364</v>
      </c>
      <c r="G82" s="70">
        <f t="shared" si="32"/>
        <v>389</v>
      </c>
      <c r="H82" s="70">
        <f t="shared" si="32"/>
        <v>373</v>
      </c>
      <c r="I82" s="70">
        <f t="shared" si="32"/>
        <v>379</v>
      </c>
      <c r="J82" s="70">
        <f t="shared" si="32"/>
        <v>320</v>
      </c>
      <c r="K82" s="70">
        <f t="shared" si="32"/>
        <v>285</v>
      </c>
      <c r="L82" s="70">
        <f t="shared" si="32"/>
        <v>297.2</v>
      </c>
      <c r="M82" s="70">
        <f t="shared" si="32"/>
        <v>286.7</v>
      </c>
      <c r="N82" s="70">
        <f t="shared" si="32"/>
        <v>289</v>
      </c>
      <c r="O82" s="70">
        <f t="shared" si="32"/>
        <v>286.10000000000002</v>
      </c>
      <c r="P82" s="70">
        <f t="shared" si="32"/>
        <v>306.39999999999998</v>
      </c>
      <c r="Q82" s="70">
        <f t="shared" si="32"/>
        <v>256.8</v>
      </c>
      <c r="R82" s="70">
        <f t="shared" si="32"/>
        <v>285</v>
      </c>
      <c r="S82" s="70">
        <f t="shared" si="32"/>
        <v>315</v>
      </c>
      <c r="T82" s="70">
        <f t="shared" si="32"/>
        <v>315.39999999999998</v>
      </c>
      <c r="U82" s="70">
        <f t="shared" si="32"/>
        <v>273</v>
      </c>
      <c r="V82" s="70">
        <f t="shared" si="32"/>
        <v>315</v>
      </c>
      <c r="W82" s="70">
        <f t="shared" si="32"/>
        <v>309</v>
      </c>
      <c r="X82" s="70">
        <f t="shared" si="32"/>
        <v>399</v>
      </c>
      <c r="Y82" s="70">
        <f t="shared" si="32"/>
        <v>276</v>
      </c>
      <c r="Z82" s="70">
        <f t="shared" si="32"/>
        <v>279</v>
      </c>
      <c r="AA82" s="70">
        <f t="shared" si="32"/>
        <v>257</v>
      </c>
      <c r="AB82" s="70">
        <f t="shared" si="32"/>
        <v>247.3</v>
      </c>
      <c r="AC82" s="70">
        <f t="shared" si="32"/>
        <v>242.3</v>
      </c>
      <c r="AD82" s="70">
        <f t="shared" si="32"/>
        <v>319.10000000000002</v>
      </c>
      <c r="AE82" s="70">
        <f t="shared" si="32"/>
        <v>303</v>
      </c>
      <c r="AF82" s="70">
        <f t="shared" si="32"/>
        <v>360.8</v>
      </c>
      <c r="AG82" s="74">
        <f t="shared" si="32"/>
        <v>0</v>
      </c>
      <c r="AH82" s="55">
        <f t="shared" si="21"/>
        <v>399</v>
      </c>
      <c r="AI82" s="56">
        <f t="shared" si="22"/>
        <v>242.3</v>
      </c>
      <c r="AK82" s="57"/>
    </row>
    <row r="83" spans="1:88" s="1" customFormat="1" ht="15.75" thickBot="1" x14ac:dyDescent="0.3">
      <c r="A83" s="69" t="s">
        <v>88</v>
      </c>
      <c r="B83" s="70">
        <f t="shared" ref="B83" si="33">B68-B82</f>
        <v>-281.59000000000003</v>
      </c>
      <c r="C83" s="70">
        <f t="shared" ref="C83:AF83" si="34">C68-C82</f>
        <v>-302.8</v>
      </c>
      <c r="D83" s="70">
        <f t="shared" si="34"/>
        <v>-325</v>
      </c>
      <c r="E83" s="70">
        <f t="shared" si="34"/>
        <v>-290.2</v>
      </c>
      <c r="F83" s="70">
        <f t="shared" si="34"/>
        <v>-299.3</v>
      </c>
      <c r="G83" s="70">
        <f t="shared" si="34"/>
        <v>-323.10000000000002</v>
      </c>
      <c r="H83" s="70">
        <f t="shared" si="34"/>
        <v>-310.60000000000002</v>
      </c>
      <c r="I83" s="70">
        <f t="shared" si="34"/>
        <v>-318.2</v>
      </c>
      <c r="J83" s="70">
        <f t="shared" si="34"/>
        <v>-262.39999999999998</v>
      </c>
      <c r="K83" s="70">
        <f t="shared" si="34"/>
        <v>-225.2</v>
      </c>
      <c r="L83" s="70">
        <f t="shared" si="34"/>
        <v>-246</v>
      </c>
      <c r="M83" s="70">
        <f t="shared" si="34"/>
        <v>-233.89999999999998</v>
      </c>
      <c r="N83" s="70">
        <f t="shared" si="34"/>
        <v>-237.7</v>
      </c>
      <c r="O83" s="70">
        <f t="shared" si="34"/>
        <v>-214.20000000000002</v>
      </c>
      <c r="P83" s="70">
        <f t="shared" si="34"/>
        <v>-239.79999999999998</v>
      </c>
      <c r="Q83" s="70">
        <f t="shared" si="34"/>
        <v>-203.4</v>
      </c>
      <c r="R83" s="70">
        <f t="shared" si="34"/>
        <v>-221.7</v>
      </c>
      <c r="S83" s="70">
        <f t="shared" si="34"/>
        <v>-257</v>
      </c>
      <c r="T83" s="70">
        <f t="shared" si="34"/>
        <v>-247.89999999999998</v>
      </c>
      <c r="U83" s="70">
        <f t="shared" si="34"/>
        <v>-207.4</v>
      </c>
      <c r="V83" s="70">
        <f t="shared" si="34"/>
        <v>-258</v>
      </c>
      <c r="W83" s="70">
        <f t="shared" si="34"/>
        <v>-250</v>
      </c>
      <c r="X83" s="70">
        <f t="shared" si="34"/>
        <v>-343.2</v>
      </c>
      <c r="Y83" s="70">
        <f t="shared" si="34"/>
        <v>-212.4</v>
      </c>
      <c r="Z83" s="70">
        <f t="shared" si="34"/>
        <v>-215</v>
      </c>
      <c r="AA83" s="70">
        <f t="shared" si="34"/>
        <v>-192.6</v>
      </c>
      <c r="AB83" s="70">
        <f t="shared" si="34"/>
        <v>-170</v>
      </c>
      <c r="AC83" s="70">
        <f t="shared" si="34"/>
        <v>-173.5</v>
      </c>
      <c r="AD83" s="70">
        <f t="shared" si="34"/>
        <v>-252.3</v>
      </c>
      <c r="AE83" s="70">
        <f t="shared" si="34"/>
        <v>-246</v>
      </c>
      <c r="AF83" s="70">
        <f t="shared" si="34"/>
        <v>-307.2</v>
      </c>
      <c r="AG83" s="74">
        <f t="shared" ref="AG83" si="35">SUM(AG70:AG82)</f>
        <v>4360.08</v>
      </c>
      <c r="AH83" s="55">
        <f t="shared" si="21"/>
        <v>-170</v>
      </c>
      <c r="AI83" s="56">
        <f t="shared" si="22"/>
        <v>-343.2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50.027000000000001</v>
      </c>
      <c r="C84" s="90">
        <v>50.048999999999999</v>
      </c>
      <c r="D84" s="90">
        <v>50.01</v>
      </c>
      <c r="E84" s="90">
        <v>50.057000000000002</v>
      </c>
      <c r="F84" s="90">
        <v>50.003999999999998</v>
      </c>
      <c r="G84" s="90">
        <v>50.037999999999997</v>
      </c>
      <c r="H84" s="90">
        <v>50.021000000000001</v>
      </c>
      <c r="I84" s="90">
        <v>50.012999999999998</v>
      </c>
      <c r="J84" s="90">
        <v>50.04</v>
      </c>
      <c r="K84" s="90">
        <v>50.034999999999997</v>
      </c>
      <c r="L84" s="90">
        <v>49.948</v>
      </c>
      <c r="M84" s="90">
        <v>49.966000000000001</v>
      </c>
      <c r="N84" s="90">
        <v>50.012999999999998</v>
      </c>
      <c r="O84" s="90">
        <v>49.902999999999999</v>
      </c>
      <c r="P84" s="90">
        <v>50.006999999999998</v>
      </c>
      <c r="Q84" s="90">
        <v>50.063000000000002</v>
      </c>
      <c r="R84" s="90">
        <v>49.94</v>
      </c>
      <c r="S84" s="90">
        <v>50.134999999999998</v>
      </c>
      <c r="T84" s="90">
        <v>50.027000000000001</v>
      </c>
      <c r="U84" s="90">
        <v>49.926000000000002</v>
      </c>
      <c r="V84" s="90">
        <v>50.021999999999998</v>
      </c>
      <c r="W84" s="90">
        <v>50.088999999999999</v>
      </c>
      <c r="X84" s="90">
        <v>49.98</v>
      </c>
      <c r="Y84" s="90">
        <v>50.057000000000002</v>
      </c>
      <c r="Z84" s="90">
        <v>50.048000000000002</v>
      </c>
      <c r="AA84" s="90">
        <v>50</v>
      </c>
      <c r="AB84" s="90">
        <v>50.005000000000003</v>
      </c>
      <c r="AC84" s="90">
        <v>50.000999999999998</v>
      </c>
      <c r="AD84" s="90">
        <v>50.076000000000001</v>
      </c>
      <c r="AE84" s="90">
        <v>50.03</v>
      </c>
      <c r="AF84" s="90">
        <v>50.06</v>
      </c>
      <c r="AG84" s="91"/>
      <c r="AH84" s="55">
        <f t="shared" si="21"/>
        <v>50.134999999999998</v>
      </c>
      <c r="AI84" s="56">
        <f t="shared" si="22"/>
        <v>49.902999999999999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122.5</v>
      </c>
      <c r="C85" s="49">
        <v>123.7</v>
      </c>
      <c r="D85" s="49">
        <v>123.9</v>
      </c>
      <c r="E85" s="49">
        <v>122.9</v>
      </c>
      <c r="F85" s="49">
        <v>122.9</v>
      </c>
      <c r="G85" s="49">
        <v>122.5</v>
      </c>
      <c r="H85" s="49">
        <v>124.9</v>
      </c>
      <c r="I85" s="49">
        <v>123.8</v>
      </c>
      <c r="J85" s="49">
        <v>123.3</v>
      </c>
      <c r="K85" s="49">
        <v>123.4</v>
      </c>
      <c r="L85" s="49">
        <v>122.9</v>
      </c>
      <c r="M85" s="49">
        <v>122.2</v>
      </c>
      <c r="N85" s="49">
        <v>121.3</v>
      </c>
      <c r="O85" s="49">
        <v>121.7</v>
      </c>
      <c r="P85" s="49">
        <v>121.5</v>
      </c>
      <c r="Q85" s="49">
        <v>123.3</v>
      </c>
      <c r="R85" s="49">
        <v>124</v>
      </c>
      <c r="S85" s="49">
        <v>123.2</v>
      </c>
      <c r="T85" s="49">
        <v>123</v>
      </c>
      <c r="U85" s="49">
        <v>120.8</v>
      </c>
      <c r="V85" s="49">
        <v>121</v>
      </c>
      <c r="W85" s="49">
        <v>123.1</v>
      </c>
      <c r="X85" s="49">
        <v>122.8</v>
      </c>
      <c r="Y85" s="49">
        <v>126.3</v>
      </c>
      <c r="Z85" s="49">
        <v>124.1</v>
      </c>
      <c r="AA85" s="49">
        <v>124</v>
      </c>
      <c r="AB85" s="49">
        <v>125.6</v>
      </c>
      <c r="AC85" s="49">
        <v>125.6</v>
      </c>
      <c r="AD85" s="49">
        <v>123.6</v>
      </c>
      <c r="AE85" s="49">
        <v>123.6</v>
      </c>
      <c r="AF85" s="49">
        <v>124.4</v>
      </c>
      <c r="AG85" s="93"/>
      <c r="AH85" s="55">
        <f t="shared" si="21"/>
        <v>126.3</v>
      </c>
      <c r="AI85" s="56">
        <f t="shared" si="22"/>
        <v>120.8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128.80000000000001</v>
      </c>
      <c r="C86" s="49">
        <v>129.5</v>
      </c>
      <c r="D86" s="49">
        <v>129.4</v>
      </c>
      <c r="E86" s="49">
        <v>128.80000000000001</v>
      </c>
      <c r="F86" s="49">
        <v>128.69999999999999</v>
      </c>
      <c r="G86" s="49">
        <v>128.30000000000001</v>
      </c>
      <c r="H86" s="49">
        <v>129.9</v>
      </c>
      <c r="I86" s="49">
        <v>128.69999999999999</v>
      </c>
      <c r="J86" s="49">
        <v>128</v>
      </c>
      <c r="K86" s="49">
        <v>127.5</v>
      </c>
      <c r="L86" s="49">
        <v>127.4</v>
      </c>
      <c r="M86" s="49">
        <v>126.8</v>
      </c>
      <c r="N86" s="49">
        <v>126.1</v>
      </c>
      <c r="O86" s="49">
        <v>125.5</v>
      </c>
      <c r="P86" s="49">
        <v>124.9</v>
      </c>
      <c r="Q86" s="49">
        <v>126.2</v>
      </c>
      <c r="R86" s="49">
        <v>126.8</v>
      </c>
      <c r="S86" s="49">
        <v>126.2</v>
      </c>
      <c r="T86" s="49">
        <v>126.4</v>
      </c>
      <c r="U86" s="49">
        <v>125</v>
      </c>
      <c r="V86" s="49">
        <v>125.5</v>
      </c>
      <c r="W86" s="49">
        <v>127.1</v>
      </c>
      <c r="X86" s="49">
        <v>127.1</v>
      </c>
      <c r="Y86" s="49">
        <v>129.30000000000001</v>
      </c>
      <c r="Z86" s="49">
        <v>127.7</v>
      </c>
      <c r="AA86" s="49">
        <v>127.5</v>
      </c>
      <c r="AB86" s="49">
        <v>129.30000000000001</v>
      </c>
      <c r="AC86" s="49">
        <v>129.30000000000001</v>
      </c>
      <c r="AD86" s="49">
        <v>128.19999999999999</v>
      </c>
      <c r="AE86" s="49">
        <v>128.5</v>
      </c>
      <c r="AF86" s="49">
        <v>129.19999999999999</v>
      </c>
      <c r="AG86" s="93"/>
      <c r="AH86" s="55">
        <f t="shared" si="21"/>
        <v>129.9</v>
      </c>
      <c r="AI86" s="56">
        <f t="shared" si="22"/>
        <v>124.9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123.9</v>
      </c>
      <c r="C87" s="49">
        <v>127.2</v>
      </c>
      <c r="D87" s="49">
        <v>126.7</v>
      </c>
      <c r="E87" s="49">
        <v>126</v>
      </c>
      <c r="F87" s="49">
        <v>122.6</v>
      </c>
      <c r="G87" s="49">
        <v>123</v>
      </c>
      <c r="H87" s="49">
        <v>126</v>
      </c>
      <c r="I87" s="49">
        <v>126.6</v>
      </c>
      <c r="J87" s="49">
        <v>126.3</v>
      </c>
      <c r="K87" s="49">
        <v>123.9</v>
      </c>
      <c r="L87" s="49">
        <v>123</v>
      </c>
      <c r="M87" s="49">
        <v>123.1</v>
      </c>
      <c r="N87" s="49">
        <v>121</v>
      </c>
      <c r="O87" s="49">
        <v>122.2</v>
      </c>
      <c r="P87" s="49">
        <v>123.5</v>
      </c>
      <c r="Q87" s="49">
        <v>125.8</v>
      </c>
      <c r="R87" s="49">
        <v>125.5</v>
      </c>
      <c r="S87" s="49">
        <v>125.7</v>
      </c>
      <c r="T87" s="49">
        <v>122.4</v>
      </c>
      <c r="U87" s="49">
        <v>121.5</v>
      </c>
      <c r="V87" s="49">
        <v>127.7</v>
      </c>
      <c r="W87" s="49">
        <v>128.5</v>
      </c>
      <c r="X87" s="49">
        <v>129.4</v>
      </c>
      <c r="Y87" s="49">
        <v>126.6</v>
      </c>
      <c r="Z87" s="49">
        <v>126.4</v>
      </c>
      <c r="AA87" s="49">
        <v>124.2</v>
      </c>
      <c r="AB87" s="49">
        <v>124.2</v>
      </c>
      <c r="AC87" s="49">
        <v>124.2</v>
      </c>
      <c r="AD87" s="49">
        <v>121.6</v>
      </c>
      <c r="AE87" s="49">
        <v>120.4</v>
      </c>
      <c r="AF87" s="49">
        <v>119.1</v>
      </c>
      <c r="AG87" s="93"/>
      <c r="AH87" s="55">
        <f t="shared" si="21"/>
        <v>129.4</v>
      </c>
      <c r="AI87" s="56">
        <f t="shared" si="22"/>
        <v>119.1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21"/>
        <v>0</v>
      </c>
      <c r="AI88" s="56">
        <f t="shared" si="22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131</v>
      </c>
      <c r="C89" s="95">
        <v>133.6</v>
      </c>
      <c r="D89" s="95">
        <v>129.80000000000001</v>
      </c>
      <c r="E89" s="95">
        <v>133.80000000000001</v>
      </c>
      <c r="F89" s="95">
        <v>133.6</v>
      </c>
      <c r="G89" s="95">
        <v>133</v>
      </c>
      <c r="H89" s="95">
        <v>133.1</v>
      </c>
      <c r="I89" s="95">
        <v>132.80000000000001</v>
      </c>
      <c r="J89" s="95">
        <v>134.4</v>
      </c>
      <c r="K89" s="95">
        <v>134.30000000000001</v>
      </c>
      <c r="L89" s="95">
        <v>133.80000000000001</v>
      </c>
      <c r="M89" s="95">
        <v>132.1</v>
      </c>
      <c r="N89" s="95">
        <v>130.5</v>
      </c>
      <c r="O89" s="95">
        <v>130.4</v>
      </c>
      <c r="P89" s="95">
        <v>130</v>
      </c>
      <c r="Q89" s="95">
        <v>132.80000000000001</v>
      </c>
      <c r="R89" s="95">
        <v>134.4</v>
      </c>
      <c r="S89" s="95">
        <v>130</v>
      </c>
      <c r="T89" s="95">
        <v>130.69999999999999</v>
      </c>
      <c r="U89" s="95">
        <v>134</v>
      </c>
      <c r="V89" s="95">
        <v>133.30000000000001</v>
      </c>
      <c r="W89" s="95">
        <v>134.6</v>
      </c>
      <c r="X89" s="95">
        <v>132.9</v>
      </c>
      <c r="Y89" s="95">
        <v>133.1</v>
      </c>
      <c r="Z89" s="95">
        <v>130.9</v>
      </c>
      <c r="AA89" s="95">
        <v>130.6</v>
      </c>
      <c r="AB89" s="95">
        <v>130.6</v>
      </c>
      <c r="AC89" s="95">
        <v>132.80000000000001</v>
      </c>
      <c r="AD89" s="95">
        <v>128.9</v>
      </c>
      <c r="AE89" s="95">
        <v>133</v>
      </c>
      <c r="AF89" s="95">
        <v>131</v>
      </c>
      <c r="AG89" s="96"/>
      <c r="AH89" s="55">
        <f t="shared" si="21"/>
        <v>134.6</v>
      </c>
      <c r="AI89" s="56">
        <f t="shared" si="22"/>
        <v>128.9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>
        <v>122</v>
      </c>
      <c r="Q90" s="49">
        <v>127.1</v>
      </c>
      <c r="R90" s="49">
        <v>128.30000000000001</v>
      </c>
      <c r="S90" s="49">
        <v>122.7</v>
      </c>
      <c r="T90" s="49">
        <v>125.6</v>
      </c>
      <c r="U90" s="49">
        <v>129.19999999999999</v>
      </c>
      <c r="V90" s="49">
        <v>128.80000000000001</v>
      </c>
      <c r="W90" s="49">
        <v>131.19999999999999</v>
      </c>
      <c r="X90" s="49">
        <v>130.80000000000001</v>
      </c>
      <c r="Y90" s="49">
        <v>132.80000000000001</v>
      </c>
      <c r="Z90" s="49">
        <v>129</v>
      </c>
      <c r="AA90" s="49">
        <v>127</v>
      </c>
      <c r="AB90" s="49">
        <v>127</v>
      </c>
      <c r="AC90" s="49">
        <v>127</v>
      </c>
      <c r="AD90" s="49">
        <v>119</v>
      </c>
      <c r="AE90" s="49">
        <v>126.4</v>
      </c>
      <c r="AF90" s="49">
        <v>124.5</v>
      </c>
      <c r="AG90" s="93"/>
      <c r="AH90" s="55">
        <f t="shared" si="21"/>
        <v>132.80000000000001</v>
      </c>
      <c r="AI90" s="56">
        <f t="shared" si="22"/>
        <v>119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65.2</v>
      </c>
      <c r="C91" s="97">
        <v>65.400000000000006</v>
      </c>
      <c r="D91" s="97">
        <v>65.5</v>
      </c>
      <c r="E91" s="97">
        <v>64.900000000000006</v>
      </c>
      <c r="F91" s="97">
        <v>65.099999999999994</v>
      </c>
      <c r="G91" s="97">
        <v>64.8</v>
      </c>
      <c r="H91" s="97">
        <v>65.8</v>
      </c>
      <c r="I91" s="97">
        <v>65.3</v>
      </c>
      <c r="J91" s="97">
        <v>64.7</v>
      </c>
      <c r="K91" s="97">
        <v>64.5</v>
      </c>
      <c r="L91" s="97">
        <v>64.5</v>
      </c>
      <c r="M91" s="97">
        <v>64.2</v>
      </c>
      <c r="N91" s="97">
        <v>63.8</v>
      </c>
      <c r="O91" s="97">
        <v>63.4</v>
      </c>
      <c r="P91" s="97">
        <v>62.6</v>
      </c>
      <c r="Q91" s="97">
        <v>63.4</v>
      </c>
      <c r="R91" s="97">
        <v>63.9</v>
      </c>
      <c r="S91" s="97">
        <v>63.7</v>
      </c>
      <c r="T91" s="97">
        <v>63.7</v>
      </c>
      <c r="U91" s="97">
        <v>63.1</v>
      </c>
      <c r="V91" s="97">
        <v>63.4</v>
      </c>
      <c r="W91" s="97">
        <v>64.2</v>
      </c>
      <c r="X91" s="97">
        <v>64.2</v>
      </c>
      <c r="Y91" s="97">
        <v>65.5</v>
      </c>
      <c r="Z91" s="97">
        <v>64.599999999999994</v>
      </c>
      <c r="AA91" s="97">
        <v>64.599999999999994</v>
      </c>
      <c r="AB91" s="97">
        <v>64.599999999999994</v>
      </c>
      <c r="AC91" s="97">
        <v>65.599999999999994</v>
      </c>
      <c r="AD91" s="97">
        <v>65.599999999999994</v>
      </c>
      <c r="AE91" s="97">
        <v>64.8</v>
      </c>
      <c r="AF91" s="97">
        <v>65.3</v>
      </c>
      <c r="AG91" s="98"/>
      <c r="AH91" s="55">
        <f t="shared" si="21"/>
        <v>65.8</v>
      </c>
      <c r="AI91" s="56">
        <f t="shared" si="22"/>
        <v>62.6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36">SUM(B15,B18,B21:B22,B42,B44:B45,B47,B49,B94:B97,B103,B109,B115,B124,B126,B138,B145,B148:B149,B156,B158,B160,B164:B166,B168:B170,B175,B181:B182,B184:B186,B194,B199)</f>
        <v>254.44</v>
      </c>
      <c r="C93" s="103">
        <f t="shared" si="36"/>
        <v>264.04000000000002</v>
      </c>
      <c r="D93" s="103">
        <f t="shared" si="36"/>
        <v>250.14000000000001</v>
      </c>
      <c r="E93" s="103">
        <f t="shared" si="36"/>
        <v>247.04000000000002</v>
      </c>
      <c r="F93" s="103">
        <f t="shared" si="36"/>
        <v>91.840000000000046</v>
      </c>
      <c r="G93" s="103">
        <f t="shared" si="36"/>
        <v>103.84000000000005</v>
      </c>
      <c r="H93" s="103">
        <f t="shared" si="36"/>
        <v>128.74</v>
      </c>
      <c r="I93" s="103">
        <f t="shared" si="36"/>
        <v>146.44</v>
      </c>
      <c r="J93" s="103">
        <f t="shared" si="36"/>
        <v>167.04</v>
      </c>
      <c r="K93" s="103">
        <f t="shared" si="36"/>
        <v>229.84</v>
      </c>
      <c r="L93" s="103">
        <f t="shared" si="36"/>
        <v>342.24000000000007</v>
      </c>
      <c r="M93" s="103">
        <f t="shared" si="36"/>
        <v>356.74000000000007</v>
      </c>
      <c r="N93" s="103">
        <f t="shared" si="36"/>
        <v>349.74</v>
      </c>
      <c r="O93" s="103">
        <f t="shared" si="36"/>
        <v>350.94000000000005</v>
      </c>
      <c r="P93" s="103">
        <f t="shared" si="36"/>
        <v>346.24</v>
      </c>
      <c r="Q93" s="103">
        <f t="shared" si="36"/>
        <v>351.84000000000003</v>
      </c>
      <c r="R93" s="103">
        <f t="shared" si="36"/>
        <v>306.74</v>
      </c>
      <c r="S93" s="103">
        <f t="shared" si="36"/>
        <v>242.54</v>
      </c>
      <c r="T93" s="103">
        <f t="shared" si="36"/>
        <v>333.14000000000004</v>
      </c>
      <c r="U93" s="103">
        <f t="shared" si="36"/>
        <v>345.74000000000007</v>
      </c>
      <c r="V93" s="103">
        <f t="shared" si="36"/>
        <v>239.44</v>
      </c>
      <c r="W93" s="103">
        <f t="shared" si="36"/>
        <v>347.1400000000001</v>
      </c>
      <c r="X93" s="103">
        <f t="shared" si="36"/>
        <v>339.24000000000007</v>
      </c>
      <c r="Y93" s="103">
        <f t="shared" si="36"/>
        <v>336.24000000000007</v>
      </c>
      <c r="Z93" s="103">
        <f t="shared" si="36"/>
        <v>350.74000000000007</v>
      </c>
      <c r="AA93" s="103">
        <f t="shared" si="36"/>
        <v>359.94000000000005</v>
      </c>
      <c r="AB93" s="103">
        <f t="shared" si="36"/>
        <v>358.74000000000007</v>
      </c>
      <c r="AC93" s="103">
        <f t="shared" si="36"/>
        <v>342.64000000000004</v>
      </c>
      <c r="AD93" s="103">
        <f t="shared" si="36"/>
        <v>317.94</v>
      </c>
      <c r="AE93" s="103">
        <f t="shared" si="36"/>
        <v>299.82000000000005</v>
      </c>
      <c r="AF93" s="103">
        <f t="shared" si="36"/>
        <v>291.54000000000002</v>
      </c>
      <c r="AG93" s="104"/>
      <c r="AH93" s="55">
        <f>MAX(C93:AF93)</f>
        <v>359.94000000000005</v>
      </c>
      <c r="AI93" s="56">
        <f>MIN(C93:AF93)</f>
        <v>91.840000000000046</v>
      </c>
    </row>
    <row r="94" spans="1:88" x14ac:dyDescent="0.25">
      <c r="A94" s="105" t="s">
        <v>98</v>
      </c>
      <c r="B94" s="106">
        <v>18.600000000000001</v>
      </c>
      <c r="C94" s="106">
        <v>21.2</v>
      </c>
      <c r="D94" s="106">
        <v>15</v>
      </c>
      <c r="E94" s="106">
        <v>17.899999999999999</v>
      </c>
      <c r="F94" s="106">
        <v>21.1</v>
      </c>
      <c r="G94" s="106">
        <v>23.8</v>
      </c>
      <c r="H94" s="106">
        <v>25.3</v>
      </c>
      <c r="I94" s="106">
        <v>27.5</v>
      </c>
      <c r="J94" s="106">
        <v>24.5</v>
      </c>
      <c r="K94" s="106">
        <v>21.4</v>
      </c>
      <c r="L94" s="106">
        <v>32.6</v>
      </c>
      <c r="M94" s="106">
        <v>32.6</v>
      </c>
      <c r="N94" s="106">
        <v>28.5</v>
      </c>
      <c r="O94" s="106">
        <v>28.3</v>
      </c>
      <c r="P94" s="106">
        <v>34.700000000000003</v>
      </c>
      <c r="Q94" s="106">
        <v>23.4</v>
      </c>
      <c r="R94" s="106">
        <f>42.1+25</f>
        <v>67.099999999999994</v>
      </c>
      <c r="S94" s="106">
        <v>25.1</v>
      </c>
      <c r="T94" s="106">
        <v>23.6</v>
      </c>
      <c r="U94" s="106">
        <v>27.1</v>
      </c>
      <c r="V94" s="106">
        <v>30.8</v>
      </c>
      <c r="W94" s="106">
        <v>25.4</v>
      </c>
      <c r="X94" s="106">
        <v>29.6</v>
      </c>
      <c r="Y94" s="106">
        <v>21.3</v>
      </c>
      <c r="Z94" s="106">
        <v>33.299999999999997</v>
      </c>
      <c r="AA94" s="106">
        <v>25.7</v>
      </c>
      <c r="AB94" s="106">
        <v>21.9</v>
      </c>
      <c r="AC94" s="106">
        <v>16.7</v>
      </c>
      <c r="AD94" s="106">
        <v>13.7</v>
      </c>
      <c r="AE94" s="106">
        <f>27+14.2</f>
        <v>41.2</v>
      </c>
      <c r="AF94" s="106">
        <f>32.1+16.2</f>
        <v>48.3</v>
      </c>
      <c r="AG94" s="107">
        <v>75</v>
      </c>
      <c r="AH94" s="55">
        <f t="shared" ref="AH94:AH100" si="37">IF(ABS(MAX(C94:AF94))&gt;ABS(MIN(C94:AF94)),MAX(C94:AF94),MIN(C94:AF94))</f>
        <v>67.099999999999994</v>
      </c>
      <c r="AI94" s="108">
        <f t="shared" ref="AI94:AI100" si="38">INDEX($C$9:$AF$9,1,MATCH(AH94,C94:AF94,0))</f>
        <v>0.54166666666666696</v>
      </c>
    </row>
    <row r="95" spans="1:88" x14ac:dyDescent="0.25">
      <c r="A95" s="109" t="s">
        <v>99</v>
      </c>
      <c r="B95" s="110"/>
      <c r="C95" s="110"/>
      <c r="D95" s="110"/>
      <c r="E95" s="110"/>
      <c r="F95" s="110">
        <v>-156</v>
      </c>
      <c r="G95" s="110">
        <v>-149</v>
      </c>
      <c r="H95" s="110">
        <v>-128</v>
      </c>
      <c r="I95" s="110">
        <v>-118</v>
      </c>
      <c r="J95" s="110">
        <v>-96</v>
      </c>
      <c r="K95" s="110">
        <v>-110</v>
      </c>
      <c r="L95" s="110"/>
      <c r="M95" s="110"/>
      <c r="N95" s="110"/>
      <c r="O95" s="110"/>
      <c r="P95" s="110"/>
      <c r="Q95" s="110"/>
      <c r="R95" s="110">
        <f>-43.4-38</f>
        <v>-81.400000000000006</v>
      </c>
      <c r="S95" s="110">
        <f>-41.7-45</f>
        <v>-86.7</v>
      </c>
      <c r="T95" s="110"/>
      <c r="U95" s="110"/>
      <c r="V95" s="110">
        <f>-50-53.9</f>
        <v>-103.9</v>
      </c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5">
        <f t="shared" si="37"/>
        <v>-156</v>
      </c>
      <c r="AI95" s="108">
        <f t="shared" si="38"/>
        <v>0.16666666666666699</v>
      </c>
    </row>
    <row r="96" spans="1:88" x14ac:dyDescent="0.25">
      <c r="A96" s="109" t="s">
        <v>100</v>
      </c>
      <c r="B96" s="110">
        <v>-2.1</v>
      </c>
      <c r="C96" s="110">
        <v>4.4000000000000004</v>
      </c>
      <c r="D96" s="110">
        <v>-4.0999999999999996</v>
      </c>
      <c r="E96" s="110">
        <v>-10.1</v>
      </c>
      <c r="F96" s="110">
        <v>-12.3</v>
      </c>
      <c r="G96" s="110">
        <v>-10</v>
      </c>
      <c r="H96" s="110">
        <v>-7.6</v>
      </c>
      <c r="I96" s="110">
        <v>-1.9</v>
      </c>
      <c r="J96" s="110">
        <v>0</v>
      </c>
      <c r="K96" s="110">
        <v>20.9</v>
      </c>
      <c r="L96" s="110">
        <v>12.8</v>
      </c>
      <c r="M96" s="110">
        <v>15.4</v>
      </c>
      <c r="N96" s="110">
        <v>22.7</v>
      </c>
      <c r="O96" s="110">
        <v>15.4</v>
      </c>
      <c r="P96" s="110">
        <v>9.1999999999999993</v>
      </c>
      <c r="Q96" s="110">
        <v>12.7</v>
      </c>
      <c r="R96" s="110">
        <v>13</v>
      </c>
      <c r="S96" s="110">
        <v>3.5</v>
      </c>
      <c r="T96" s="110">
        <v>5.4</v>
      </c>
      <c r="U96" s="110">
        <v>3.9</v>
      </c>
      <c r="V96" s="110">
        <v>11.1</v>
      </c>
      <c r="W96" s="110">
        <v>7.3</v>
      </c>
      <c r="X96" s="110">
        <v>5.5</v>
      </c>
      <c r="Y96" s="110">
        <v>7.1</v>
      </c>
      <c r="Z96" s="110">
        <v>5.4</v>
      </c>
      <c r="AA96" s="110">
        <v>25.3</v>
      </c>
      <c r="AB96" s="110">
        <v>29.9</v>
      </c>
      <c r="AC96" s="110">
        <v>21.4</v>
      </c>
      <c r="AD96" s="110">
        <v>18.600000000000001</v>
      </c>
      <c r="AE96" s="110">
        <v>19.5</v>
      </c>
      <c r="AF96" s="110">
        <v>4.2</v>
      </c>
      <c r="AG96" s="107">
        <v>60</v>
      </c>
      <c r="AH96" s="55">
        <f t="shared" si="37"/>
        <v>29.9</v>
      </c>
      <c r="AI96" s="108">
        <f t="shared" si="38"/>
        <v>0.83333333333333337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59</v>
      </c>
      <c r="L97" s="112">
        <v>58.3</v>
      </c>
      <c r="M97" s="112">
        <v>62</v>
      </c>
      <c r="N97" s="112">
        <v>53.9</v>
      </c>
      <c r="O97" s="112">
        <v>62.6</v>
      </c>
      <c r="P97" s="112">
        <v>57.7</v>
      </c>
      <c r="Q97" s="112">
        <v>74.400000000000006</v>
      </c>
      <c r="R97" s="112">
        <v>64</v>
      </c>
      <c r="S97" s="112">
        <v>56.6</v>
      </c>
      <c r="T97" s="112">
        <v>57.6</v>
      </c>
      <c r="U97" s="112">
        <v>67</v>
      </c>
      <c r="V97" s="112">
        <v>53.7</v>
      </c>
      <c r="W97" s="112">
        <v>66.7</v>
      </c>
      <c r="X97" s="112">
        <v>56.4</v>
      </c>
      <c r="Y97" s="112">
        <v>60.1</v>
      </c>
      <c r="Z97" s="112">
        <v>74.3</v>
      </c>
      <c r="AA97" s="112">
        <v>71.2</v>
      </c>
      <c r="AB97" s="112">
        <v>69.2</v>
      </c>
      <c r="AC97" s="112">
        <v>66.400000000000006</v>
      </c>
      <c r="AD97" s="112">
        <v>47.3</v>
      </c>
      <c r="AE97" s="112">
        <v>0</v>
      </c>
      <c r="AF97" s="112">
        <v>0</v>
      </c>
      <c r="AG97" s="113">
        <v>120</v>
      </c>
      <c r="AH97" s="55">
        <f t="shared" si="37"/>
        <v>74.400000000000006</v>
      </c>
      <c r="AI97" s="108">
        <f t="shared" si="38"/>
        <v>0.5</v>
      </c>
    </row>
    <row r="98" spans="1:37" x14ac:dyDescent="0.25">
      <c r="A98" s="111" t="s">
        <v>102</v>
      </c>
      <c r="B98" s="112">
        <v>38.200000000000003</v>
      </c>
      <c r="C98" s="112">
        <v>25.3</v>
      </c>
      <c r="D98" s="112">
        <v>34.799999999999997</v>
      </c>
      <c r="E98" s="112">
        <v>41.8</v>
      </c>
      <c r="F98" s="112">
        <v>37</v>
      </c>
      <c r="G98" s="112">
        <v>31</v>
      </c>
      <c r="H98" s="112">
        <v>41</v>
      </c>
      <c r="I98" s="112">
        <v>50</v>
      </c>
      <c r="J98" s="112">
        <v>80</v>
      </c>
      <c r="K98" s="112">
        <v>56</v>
      </c>
      <c r="L98" s="112">
        <v>51.7</v>
      </c>
      <c r="M98" s="112">
        <v>57.4</v>
      </c>
      <c r="N98" s="112">
        <v>55</v>
      </c>
      <c r="O98" s="112">
        <v>58.3</v>
      </c>
      <c r="P98" s="112">
        <v>47.3</v>
      </c>
      <c r="Q98" s="112">
        <v>58.9</v>
      </c>
      <c r="R98" s="112">
        <v>47.6</v>
      </c>
      <c r="S98" s="112">
        <v>46.9</v>
      </c>
      <c r="T98" s="112">
        <v>40.9</v>
      </c>
      <c r="U98" s="112">
        <v>57</v>
      </c>
      <c r="V98" s="112">
        <v>51.1</v>
      </c>
      <c r="W98" s="112">
        <v>62.8</v>
      </c>
      <c r="X98" s="112">
        <v>53.4</v>
      </c>
      <c r="Y98" s="112">
        <v>50.6</v>
      </c>
      <c r="Z98" s="112">
        <v>57</v>
      </c>
      <c r="AA98" s="112">
        <v>53</v>
      </c>
      <c r="AB98" s="112">
        <v>53.1</v>
      </c>
      <c r="AC98" s="112">
        <v>55.9</v>
      </c>
      <c r="AD98" s="112">
        <v>45.7</v>
      </c>
      <c r="AE98" s="112">
        <v>53</v>
      </c>
      <c r="AF98" s="112">
        <v>48.3</v>
      </c>
      <c r="AG98" s="113"/>
      <c r="AH98" s="55">
        <f t="shared" si="37"/>
        <v>80</v>
      </c>
      <c r="AI98" s="108">
        <f t="shared" si="38"/>
        <v>0.27083333333333331</v>
      </c>
    </row>
    <row r="99" spans="1:37" x14ac:dyDescent="0.25">
      <c r="A99" s="111" t="s">
        <v>253</v>
      </c>
      <c r="B99" s="112">
        <v>37.299999999999997</v>
      </c>
      <c r="C99" s="112">
        <v>26.8</v>
      </c>
      <c r="D99" s="112">
        <v>39.700000000000003</v>
      </c>
      <c r="E99" s="112">
        <v>22.8</v>
      </c>
      <c r="F99" s="112">
        <v>19.3</v>
      </c>
      <c r="G99" s="112">
        <v>5</v>
      </c>
      <c r="H99" s="112">
        <v>8.4</v>
      </c>
      <c r="I99" s="112">
        <v>20</v>
      </c>
      <c r="J99" s="112">
        <v>29</v>
      </c>
      <c r="K99" s="112">
        <v>29</v>
      </c>
      <c r="L99" s="112">
        <v>1.1000000000000001</v>
      </c>
      <c r="M99" s="112">
        <v>-1.9</v>
      </c>
      <c r="N99" s="112">
        <v>5.5</v>
      </c>
      <c r="O99" s="112">
        <v>4</v>
      </c>
      <c r="P99" s="112">
        <v>19.2</v>
      </c>
      <c r="Q99" s="112">
        <v>33.1</v>
      </c>
      <c r="R99" s="112">
        <v>19.3</v>
      </c>
      <c r="S99" s="112">
        <v>21.8</v>
      </c>
      <c r="T99" s="112">
        <v>13.3</v>
      </c>
      <c r="U99" s="112">
        <v>13.2</v>
      </c>
      <c r="V99" s="112">
        <v>1</v>
      </c>
      <c r="W99" s="112">
        <v>15.5</v>
      </c>
      <c r="X99" s="112">
        <v>3.1</v>
      </c>
      <c r="Y99" s="112">
        <v>14.3</v>
      </c>
      <c r="Z99" s="112">
        <v>7.6</v>
      </c>
      <c r="AA99" s="112">
        <v>36</v>
      </c>
      <c r="AB99" s="112">
        <v>38.6</v>
      </c>
      <c r="AC99" s="112">
        <v>58</v>
      </c>
      <c r="AD99" s="112">
        <v>57.6</v>
      </c>
      <c r="AE99" s="112">
        <v>65.099999999999994</v>
      </c>
      <c r="AF99" s="112">
        <v>49</v>
      </c>
      <c r="AG99" s="114"/>
      <c r="AH99" s="55">
        <f t="shared" si="37"/>
        <v>65.099999999999994</v>
      </c>
      <c r="AI99" s="108">
        <f t="shared" si="38"/>
        <v>0.91666666666666696</v>
      </c>
    </row>
    <row r="100" spans="1:37" ht="15.75" thickBot="1" x14ac:dyDescent="0.3">
      <c r="A100" s="115" t="s">
        <v>259</v>
      </c>
      <c r="B100" s="95">
        <v>96.3</v>
      </c>
      <c r="C100" s="95">
        <v>96</v>
      </c>
      <c r="D100" s="95">
        <v>101</v>
      </c>
      <c r="E100" s="95">
        <v>102.6</v>
      </c>
      <c r="F100" s="95">
        <v>102.7</v>
      </c>
      <c r="G100" s="95">
        <v>104.7</v>
      </c>
      <c r="H100" s="95">
        <v>111.6</v>
      </c>
      <c r="I100" s="95">
        <v>100</v>
      </c>
      <c r="J100" s="95">
        <v>97</v>
      </c>
      <c r="K100" s="95">
        <v>96</v>
      </c>
      <c r="L100" s="95">
        <v>87.2</v>
      </c>
      <c r="M100" s="95">
        <v>93</v>
      </c>
      <c r="N100" s="95">
        <v>69.8</v>
      </c>
      <c r="O100" s="95">
        <v>91.8</v>
      </c>
      <c r="P100" s="95">
        <v>92</v>
      </c>
      <c r="Q100" s="95">
        <v>76.900000000000006</v>
      </c>
      <c r="R100" s="95">
        <v>32.799999999999997</v>
      </c>
      <c r="S100" s="95">
        <v>97.8</v>
      </c>
      <c r="T100" s="95">
        <v>95.3</v>
      </c>
      <c r="U100" s="95">
        <v>92.2</v>
      </c>
      <c r="V100" s="95">
        <v>92.7</v>
      </c>
      <c r="W100" s="95">
        <v>88.3</v>
      </c>
      <c r="X100" s="95">
        <v>95.9</v>
      </c>
      <c r="Y100" s="95">
        <v>89</v>
      </c>
      <c r="Z100" s="95">
        <v>32.4</v>
      </c>
      <c r="AA100" s="95">
        <v>82.3</v>
      </c>
      <c r="AB100" s="95">
        <v>86.4</v>
      </c>
      <c r="AC100" s="95">
        <v>91.7</v>
      </c>
      <c r="AD100" s="95">
        <v>91.5</v>
      </c>
      <c r="AE100" s="95">
        <v>99.2</v>
      </c>
      <c r="AF100" s="95">
        <v>101.2</v>
      </c>
      <c r="AG100" s="114"/>
      <c r="AH100" s="55">
        <f t="shared" si="37"/>
        <v>111.6</v>
      </c>
      <c r="AI100" s="108">
        <f t="shared" si="38"/>
        <v>0.22916666666666666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39">AF102</f>
        <v>9.9</v>
      </c>
      <c r="C102" s="54">
        <v>9.9</v>
      </c>
      <c r="D102" s="121">
        <f t="shared" ref="D102:S107" si="40">C102</f>
        <v>9.9</v>
      </c>
      <c r="E102" s="121">
        <f t="shared" si="40"/>
        <v>9.9</v>
      </c>
      <c r="F102" s="121">
        <f t="shared" si="40"/>
        <v>9.9</v>
      </c>
      <c r="G102" s="121">
        <f t="shared" si="40"/>
        <v>9.9</v>
      </c>
      <c r="H102" s="121">
        <f t="shared" si="40"/>
        <v>9.9</v>
      </c>
      <c r="I102" s="121">
        <f t="shared" si="40"/>
        <v>9.9</v>
      </c>
      <c r="J102" s="121">
        <f t="shared" si="40"/>
        <v>9.9</v>
      </c>
      <c r="K102" s="121">
        <f t="shared" si="40"/>
        <v>9.9</v>
      </c>
      <c r="L102" s="121">
        <f t="shared" si="40"/>
        <v>9.9</v>
      </c>
      <c r="M102" s="121">
        <f t="shared" si="40"/>
        <v>9.9</v>
      </c>
      <c r="N102" s="121">
        <f t="shared" si="40"/>
        <v>9.9</v>
      </c>
      <c r="O102" s="121">
        <f t="shared" si="40"/>
        <v>9.9</v>
      </c>
      <c r="P102" s="121">
        <f t="shared" si="40"/>
        <v>9.9</v>
      </c>
      <c r="Q102" s="121">
        <f t="shared" si="40"/>
        <v>9.9</v>
      </c>
      <c r="R102" s="121">
        <f t="shared" si="40"/>
        <v>9.9</v>
      </c>
      <c r="S102" s="121">
        <f t="shared" si="40"/>
        <v>9.9</v>
      </c>
      <c r="T102" s="121">
        <f t="shared" ref="T102:AF107" si="41">S102</f>
        <v>9.9</v>
      </c>
      <c r="U102" s="121">
        <f t="shared" si="41"/>
        <v>9.9</v>
      </c>
      <c r="V102" s="121">
        <f t="shared" si="41"/>
        <v>9.9</v>
      </c>
      <c r="W102" s="121">
        <f t="shared" si="41"/>
        <v>9.9</v>
      </c>
      <c r="X102" s="121">
        <f t="shared" si="41"/>
        <v>9.9</v>
      </c>
      <c r="Y102" s="121">
        <f t="shared" si="41"/>
        <v>9.9</v>
      </c>
      <c r="Z102" s="121">
        <f t="shared" si="41"/>
        <v>9.9</v>
      </c>
      <c r="AA102" s="121">
        <f t="shared" si="41"/>
        <v>9.9</v>
      </c>
      <c r="AB102" s="121">
        <f t="shared" si="41"/>
        <v>9.9</v>
      </c>
      <c r="AC102" s="121">
        <f t="shared" si="41"/>
        <v>9.9</v>
      </c>
      <c r="AD102" s="121">
        <f t="shared" si="41"/>
        <v>9.9</v>
      </c>
      <c r="AE102" s="121">
        <f t="shared" si="41"/>
        <v>9.9</v>
      </c>
      <c r="AF102" s="121">
        <f t="shared" si="41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39"/>
        <v>9.6</v>
      </c>
      <c r="C103" s="124">
        <v>9.6</v>
      </c>
      <c r="D103" s="123">
        <f t="shared" si="40"/>
        <v>9.6</v>
      </c>
      <c r="E103" s="123">
        <f t="shared" si="40"/>
        <v>9.6</v>
      </c>
      <c r="F103" s="123">
        <f t="shared" si="40"/>
        <v>9.6</v>
      </c>
      <c r="G103" s="123">
        <f t="shared" si="40"/>
        <v>9.6</v>
      </c>
      <c r="H103" s="123">
        <f t="shared" si="40"/>
        <v>9.6</v>
      </c>
      <c r="I103" s="123">
        <f t="shared" si="40"/>
        <v>9.6</v>
      </c>
      <c r="J103" s="123">
        <f t="shared" si="40"/>
        <v>9.6</v>
      </c>
      <c r="K103" s="123">
        <f t="shared" si="40"/>
        <v>9.6</v>
      </c>
      <c r="L103" s="123">
        <f t="shared" si="40"/>
        <v>9.6</v>
      </c>
      <c r="M103" s="123">
        <f t="shared" si="40"/>
        <v>9.6</v>
      </c>
      <c r="N103" s="123">
        <f t="shared" si="40"/>
        <v>9.6</v>
      </c>
      <c r="O103" s="123">
        <f t="shared" si="40"/>
        <v>9.6</v>
      </c>
      <c r="P103" s="123">
        <f t="shared" si="40"/>
        <v>9.6</v>
      </c>
      <c r="Q103" s="123">
        <f t="shared" si="40"/>
        <v>9.6</v>
      </c>
      <c r="R103" s="123">
        <f t="shared" si="40"/>
        <v>9.6</v>
      </c>
      <c r="S103" s="123">
        <f t="shared" si="40"/>
        <v>9.6</v>
      </c>
      <c r="T103" s="123">
        <f t="shared" si="41"/>
        <v>9.6</v>
      </c>
      <c r="U103" s="123">
        <f t="shared" si="41"/>
        <v>9.6</v>
      </c>
      <c r="V103" s="123">
        <f t="shared" si="41"/>
        <v>9.6</v>
      </c>
      <c r="W103" s="123">
        <f t="shared" si="41"/>
        <v>9.6</v>
      </c>
      <c r="X103" s="123">
        <f t="shared" si="41"/>
        <v>9.6</v>
      </c>
      <c r="Y103" s="123">
        <f t="shared" si="41"/>
        <v>9.6</v>
      </c>
      <c r="Z103" s="123">
        <f t="shared" si="41"/>
        <v>9.6</v>
      </c>
      <c r="AA103" s="123">
        <f t="shared" si="41"/>
        <v>9.6</v>
      </c>
      <c r="AB103" s="123">
        <f t="shared" si="41"/>
        <v>9.6</v>
      </c>
      <c r="AC103" s="123">
        <f t="shared" si="41"/>
        <v>9.6</v>
      </c>
      <c r="AD103" s="123">
        <f t="shared" si="41"/>
        <v>9.6</v>
      </c>
      <c r="AE103" s="123">
        <f t="shared" si="41"/>
        <v>9.6</v>
      </c>
      <c r="AF103" s="123">
        <f t="shared" si="41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39"/>
        <v>9.98</v>
      </c>
      <c r="C104" s="124">
        <v>9.98</v>
      </c>
      <c r="D104" s="123">
        <f t="shared" si="40"/>
        <v>9.98</v>
      </c>
      <c r="E104" s="123">
        <f t="shared" si="40"/>
        <v>9.98</v>
      </c>
      <c r="F104" s="123">
        <f t="shared" si="40"/>
        <v>9.98</v>
      </c>
      <c r="G104" s="123">
        <f t="shared" si="40"/>
        <v>9.98</v>
      </c>
      <c r="H104" s="123">
        <f t="shared" si="40"/>
        <v>9.98</v>
      </c>
      <c r="I104" s="123">
        <f t="shared" si="40"/>
        <v>9.98</v>
      </c>
      <c r="J104" s="123">
        <f t="shared" si="40"/>
        <v>9.98</v>
      </c>
      <c r="K104" s="123">
        <f t="shared" si="40"/>
        <v>9.98</v>
      </c>
      <c r="L104" s="123">
        <f t="shared" si="40"/>
        <v>9.98</v>
      </c>
      <c r="M104" s="123">
        <f t="shared" si="40"/>
        <v>9.98</v>
      </c>
      <c r="N104" s="123">
        <f t="shared" si="40"/>
        <v>9.98</v>
      </c>
      <c r="O104" s="123">
        <f t="shared" si="40"/>
        <v>9.98</v>
      </c>
      <c r="P104" s="123">
        <f t="shared" si="40"/>
        <v>9.98</v>
      </c>
      <c r="Q104" s="123">
        <f t="shared" si="40"/>
        <v>9.98</v>
      </c>
      <c r="R104" s="123">
        <f t="shared" si="40"/>
        <v>9.98</v>
      </c>
      <c r="S104" s="123">
        <f t="shared" si="40"/>
        <v>9.98</v>
      </c>
      <c r="T104" s="123">
        <f t="shared" si="41"/>
        <v>9.98</v>
      </c>
      <c r="U104" s="123">
        <f t="shared" si="41"/>
        <v>9.98</v>
      </c>
      <c r="V104" s="123">
        <f t="shared" si="41"/>
        <v>9.98</v>
      </c>
      <c r="W104" s="123">
        <f t="shared" si="41"/>
        <v>9.98</v>
      </c>
      <c r="X104" s="123">
        <f t="shared" si="41"/>
        <v>9.98</v>
      </c>
      <c r="Y104" s="123">
        <f t="shared" si="41"/>
        <v>9.98</v>
      </c>
      <c r="Z104" s="123">
        <f t="shared" si="41"/>
        <v>9.98</v>
      </c>
      <c r="AA104" s="123">
        <f t="shared" si="41"/>
        <v>9.98</v>
      </c>
      <c r="AB104" s="123">
        <f t="shared" si="41"/>
        <v>9.98</v>
      </c>
      <c r="AC104" s="123">
        <f t="shared" si="41"/>
        <v>9.98</v>
      </c>
      <c r="AD104" s="123">
        <f t="shared" si="41"/>
        <v>9.98</v>
      </c>
      <c r="AE104" s="123">
        <f t="shared" si="41"/>
        <v>9.98</v>
      </c>
      <c r="AF104" s="123">
        <f t="shared" si="41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39"/>
        <v>9.1</v>
      </c>
      <c r="C105" s="124">
        <v>9.1</v>
      </c>
      <c r="D105" s="123">
        <f t="shared" si="40"/>
        <v>9.1</v>
      </c>
      <c r="E105" s="123">
        <f t="shared" si="40"/>
        <v>9.1</v>
      </c>
      <c r="F105" s="123">
        <f t="shared" si="40"/>
        <v>9.1</v>
      </c>
      <c r="G105" s="123">
        <f t="shared" si="40"/>
        <v>9.1</v>
      </c>
      <c r="H105" s="123">
        <f t="shared" si="40"/>
        <v>9.1</v>
      </c>
      <c r="I105" s="123">
        <f t="shared" si="40"/>
        <v>9.1</v>
      </c>
      <c r="J105" s="123">
        <f t="shared" si="40"/>
        <v>9.1</v>
      </c>
      <c r="K105" s="123">
        <f t="shared" si="40"/>
        <v>9.1</v>
      </c>
      <c r="L105" s="123">
        <f t="shared" si="40"/>
        <v>9.1</v>
      </c>
      <c r="M105" s="123">
        <f t="shared" si="40"/>
        <v>9.1</v>
      </c>
      <c r="N105" s="123">
        <f t="shared" si="40"/>
        <v>9.1</v>
      </c>
      <c r="O105" s="123">
        <f t="shared" si="40"/>
        <v>9.1</v>
      </c>
      <c r="P105" s="123">
        <f t="shared" si="40"/>
        <v>9.1</v>
      </c>
      <c r="Q105" s="123">
        <f t="shared" si="40"/>
        <v>9.1</v>
      </c>
      <c r="R105" s="123">
        <f t="shared" si="40"/>
        <v>9.1</v>
      </c>
      <c r="S105" s="123">
        <f t="shared" si="40"/>
        <v>9.1</v>
      </c>
      <c r="T105" s="123">
        <f t="shared" si="41"/>
        <v>9.1</v>
      </c>
      <c r="U105" s="123">
        <f t="shared" si="41"/>
        <v>9.1</v>
      </c>
      <c r="V105" s="123">
        <f t="shared" si="41"/>
        <v>9.1</v>
      </c>
      <c r="W105" s="123">
        <f t="shared" si="41"/>
        <v>9.1</v>
      </c>
      <c r="X105" s="123">
        <f t="shared" si="41"/>
        <v>9.1</v>
      </c>
      <c r="Y105" s="123">
        <f t="shared" si="41"/>
        <v>9.1</v>
      </c>
      <c r="Z105" s="123">
        <f t="shared" si="41"/>
        <v>9.1</v>
      </c>
      <c r="AA105" s="123">
        <f t="shared" si="41"/>
        <v>9.1</v>
      </c>
      <c r="AB105" s="123">
        <f t="shared" si="41"/>
        <v>9.1</v>
      </c>
      <c r="AC105" s="123">
        <f t="shared" si="41"/>
        <v>9.1</v>
      </c>
      <c r="AD105" s="123">
        <f t="shared" si="41"/>
        <v>9.1</v>
      </c>
      <c r="AE105" s="123">
        <f t="shared" si="41"/>
        <v>9.1</v>
      </c>
      <c r="AF105" s="123">
        <f t="shared" si="41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39"/>
        <v>9.18</v>
      </c>
      <c r="C106" s="124">
        <v>9.18</v>
      </c>
      <c r="D106" s="123">
        <f t="shared" si="40"/>
        <v>9.18</v>
      </c>
      <c r="E106" s="123">
        <f t="shared" si="40"/>
        <v>9.18</v>
      </c>
      <c r="F106" s="123">
        <f t="shared" si="40"/>
        <v>9.18</v>
      </c>
      <c r="G106" s="123">
        <f t="shared" si="40"/>
        <v>9.18</v>
      </c>
      <c r="H106" s="123">
        <f t="shared" si="40"/>
        <v>9.18</v>
      </c>
      <c r="I106" s="123">
        <f t="shared" si="40"/>
        <v>9.18</v>
      </c>
      <c r="J106" s="123">
        <f t="shared" si="40"/>
        <v>9.18</v>
      </c>
      <c r="K106" s="123">
        <f t="shared" si="40"/>
        <v>9.18</v>
      </c>
      <c r="L106" s="123">
        <f t="shared" si="40"/>
        <v>9.18</v>
      </c>
      <c r="M106" s="123">
        <f t="shared" si="40"/>
        <v>9.18</v>
      </c>
      <c r="N106" s="123">
        <f t="shared" si="40"/>
        <v>9.18</v>
      </c>
      <c r="O106" s="123">
        <f t="shared" si="40"/>
        <v>9.18</v>
      </c>
      <c r="P106" s="123">
        <f t="shared" si="40"/>
        <v>9.18</v>
      </c>
      <c r="Q106" s="123">
        <f t="shared" si="40"/>
        <v>9.18</v>
      </c>
      <c r="R106" s="123">
        <f t="shared" si="40"/>
        <v>9.18</v>
      </c>
      <c r="S106" s="123">
        <f t="shared" si="40"/>
        <v>9.18</v>
      </c>
      <c r="T106" s="123">
        <f t="shared" si="41"/>
        <v>9.18</v>
      </c>
      <c r="U106" s="123">
        <f t="shared" si="41"/>
        <v>9.18</v>
      </c>
      <c r="V106" s="123">
        <f t="shared" si="41"/>
        <v>9.18</v>
      </c>
      <c r="W106" s="123">
        <f t="shared" si="41"/>
        <v>9.18</v>
      </c>
      <c r="X106" s="123">
        <f t="shared" si="41"/>
        <v>9.18</v>
      </c>
      <c r="Y106" s="123">
        <f t="shared" si="41"/>
        <v>9.18</v>
      </c>
      <c r="Z106" s="123">
        <f t="shared" si="41"/>
        <v>9.18</v>
      </c>
      <c r="AA106" s="123">
        <f t="shared" si="41"/>
        <v>9.18</v>
      </c>
      <c r="AB106" s="123">
        <f t="shared" si="41"/>
        <v>9.18</v>
      </c>
      <c r="AC106" s="123">
        <f t="shared" si="41"/>
        <v>9.18</v>
      </c>
      <c r="AD106" s="123">
        <f t="shared" si="41"/>
        <v>9.18</v>
      </c>
      <c r="AE106" s="123">
        <f t="shared" si="41"/>
        <v>9.18</v>
      </c>
      <c r="AF106" s="123">
        <f t="shared" si="41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39"/>
        <v>7</v>
      </c>
      <c r="C107" s="124">
        <v>7</v>
      </c>
      <c r="D107" s="123">
        <f t="shared" si="40"/>
        <v>7</v>
      </c>
      <c r="E107" s="123">
        <f t="shared" si="40"/>
        <v>7</v>
      </c>
      <c r="F107" s="123">
        <f t="shared" si="40"/>
        <v>7</v>
      </c>
      <c r="G107" s="123">
        <f t="shared" si="40"/>
        <v>7</v>
      </c>
      <c r="H107" s="123">
        <f t="shared" si="40"/>
        <v>7</v>
      </c>
      <c r="I107" s="123">
        <f t="shared" si="40"/>
        <v>7</v>
      </c>
      <c r="J107" s="123">
        <f t="shared" si="40"/>
        <v>7</v>
      </c>
      <c r="K107" s="123">
        <f t="shared" si="40"/>
        <v>7</v>
      </c>
      <c r="L107" s="123">
        <f t="shared" si="40"/>
        <v>7</v>
      </c>
      <c r="M107" s="123">
        <f t="shared" si="40"/>
        <v>7</v>
      </c>
      <c r="N107" s="123">
        <f t="shared" si="40"/>
        <v>7</v>
      </c>
      <c r="O107" s="123">
        <f t="shared" si="40"/>
        <v>7</v>
      </c>
      <c r="P107" s="123">
        <f t="shared" si="40"/>
        <v>7</v>
      </c>
      <c r="Q107" s="123">
        <f t="shared" si="40"/>
        <v>7</v>
      </c>
      <c r="R107" s="123">
        <f t="shared" si="40"/>
        <v>7</v>
      </c>
      <c r="S107" s="123">
        <f t="shared" si="40"/>
        <v>7</v>
      </c>
      <c r="T107" s="123">
        <f t="shared" si="41"/>
        <v>7</v>
      </c>
      <c r="U107" s="123">
        <f t="shared" si="41"/>
        <v>7</v>
      </c>
      <c r="V107" s="123">
        <f t="shared" si="41"/>
        <v>7</v>
      </c>
      <c r="W107" s="123">
        <f t="shared" si="41"/>
        <v>7</v>
      </c>
      <c r="X107" s="123">
        <f t="shared" si="41"/>
        <v>7</v>
      </c>
      <c r="Y107" s="123">
        <f t="shared" si="41"/>
        <v>7</v>
      </c>
      <c r="Z107" s="123">
        <f t="shared" si="41"/>
        <v>7</v>
      </c>
      <c r="AA107" s="123">
        <f t="shared" si="41"/>
        <v>7</v>
      </c>
      <c r="AB107" s="123">
        <f t="shared" si="41"/>
        <v>7</v>
      </c>
      <c r="AC107" s="123">
        <f t="shared" si="41"/>
        <v>7</v>
      </c>
      <c r="AD107" s="123">
        <f t="shared" si="41"/>
        <v>7</v>
      </c>
      <c r="AE107" s="123">
        <f t="shared" si="41"/>
        <v>7</v>
      </c>
      <c r="AF107" s="123">
        <f t="shared" si="41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2">C109</f>
        <v>2.25</v>
      </c>
      <c r="E109" s="123">
        <f t="shared" si="42"/>
        <v>2.25</v>
      </c>
      <c r="F109" s="123">
        <f t="shared" si="42"/>
        <v>2.25</v>
      </c>
      <c r="G109" s="123">
        <f t="shared" si="42"/>
        <v>2.25</v>
      </c>
      <c r="H109" s="123">
        <f t="shared" si="42"/>
        <v>2.25</v>
      </c>
      <c r="I109" s="123">
        <f t="shared" si="42"/>
        <v>2.25</v>
      </c>
      <c r="J109" s="123">
        <f t="shared" si="42"/>
        <v>2.25</v>
      </c>
      <c r="K109" s="123">
        <f t="shared" si="42"/>
        <v>2.25</v>
      </c>
      <c r="L109" s="123">
        <f t="shared" si="42"/>
        <v>2.25</v>
      </c>
      <c r="M109" s="123">
        <f t="shared" si="42"/>
        <v>2.25</v>
      </c>
      <c r="N109" s="123">
        <f t="shared" si="42"/>
        <v>2.25</v>
      </c>
      <c r="O109" s="123">
        <f t="shared" si="42"/>
        <v>2.25</v>
      </c>
      <c r="P109" s="123">
        <f t="shared" si="42"/>
        <v>2.25</v>
      </c>
      <c r="Q109" s="123">
        <f t="shared" si="42"/>
        <v>2.25</v>
      </c>
      <c r="R109" s="123">
        <f t="shared" si="42"/>
        <v>2.25</v>
      </c>
      <c r="S109" s="123">
        <f t="shared" si="42"/>
        <v>2.25</v>
      </c>
      <c r="T109" s="123">
        <f t="shared" ref="T109:AF110" si="43">S109</f>
        <v>2.25</v>
      </c>
      <c r="U109" s="123">
        <f t="shared" si="43"/>
        <v>2.25</v>
      </c>
      <c r="V109" s="123">
        <f t="shared" si="43"/>
        <v>2.25</v>
      </c>
      <c r="W109" s="123">
        <f t="shared" si="43"/>
        <v>2.25</v>
      </c>
      <c r="X109" s="123">
        <f t="shared" si="43"/>
        <v>2.25</v>
      </c>
      <c r="Y109" s="123">
        <f t="shared" si="43"/>
        <v>2.25</v>
      </c>
      <c r="Z109" s="123">
        <f t="shared" si="43"/>
        <v>2.25</v>
      </c>
      <c r="AA109" s="123">
        <f t="shared" si="43"/>
        <v>2.25</v>
      </c>
      <c r="AB109" s="123">
        <f t="shared" si="43"/>
        <v>2.25</v>
      </c>
      <c r="AC109" s="123">
        <f t="shared" si="43"/>
        <v>2.25</v>
      </c>
      <c r="AD109" s="123">
        <f t="shared" si="43"/>
        <v>2.25</v>
      </c>
      <c r="AE109" s="123">
        <f t="shared" si="43"/>
        <v>2.25</v>
      </c>
      <c r="AF109" s="123">
        <f t="shared" si="43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2"/>
        <v>1.64</v>
      </c>
      <c r="E110" s="123">
        <f t="shared" si="42"/>
        <v>1.64</v>
      </c>
      <c r="F110" s="123">
        <f t="shared" si="42"/>
        <v>1.64</v>
      </c>
      <c r="G110" s="123">
        <f t="shared" si="42"/>
        <v>1.64</v>
      </c>
      <c r="H110" s="123">
        <f t="shared" si="42"/>
        <v>1.64</v>
      </c>
      <c r="I110" s="123">
        <f t="shared" si="42"/>
        <v>1.64</v>
      </c>
      <c r="J110" s="123">
        <f t="shared" si="42"/>
        <v>1.64</v>
      </c>
      <c r="K110" s="123">
        <f t="shared" si="42"/>
        <v>1.64</v>
      </c>
      <c r="L110" s="123">
        <f t="shared" si="42"/>
        <v>1.64</v>
      </c>
      <c r="M110" s="123">
        <f t="shared" si="42"/>
        <v>1.64</v>
      </c>
      <c r="N110" s="123">
        <f t="shared" si="42"/>
        <v>1.64</v>
      </c>
      <c r="O110" s="123">
        <f t="shared" si="42"/>
        <v>1.64</v>
      </c>
      <c r="P110" s="123">
        <f t="shared" si="42"/>
        <v>1.64</v>
      </c>
      <c r="Q110" s="123">
        <f t="shared" si="42"/>
        <v>1.64</v>
      </c>
      <c r="R110" s="123">
        <f t="shared" si="42"/>
        <v>1.64</v>
      </c>
      <c r="S110" s="123">
        <f t="shared" si="42"/>
        <v>1.64</v>
      </c>
      <c r="T110" s="123">
        <f t="shared" si="43"/>
        <v>1.64</v>
      </c>
      <c r="U110" s="123">
        <f t="shared" si="43"/>
        <v>1.64</v>
      </c>
      <c r="V110" s="123">
        <f t="shared" si="43"/>
        <v>1.64</v>
      </c>
      <c r="W110" s="123">
        <f t="shared" si="43"/>
        <v>1.64</v>
      </c>
      <c r="X110" s="123">
        <f t="shared" si="43"/>
        <v>1.64</v>
      </c>
      <c r="Y110" s="123">
        <f t="shared" si="43"/>
        <v>1.64</v>
      </c>
      <c r="Z110" s="123">
        <f t="shared" si="43"/>
        <v>1.64</v>
      </c>
      <c r="AA110" s="123">
        <f t="shared" si="43"/>
        <v>1.64</v>
      </c>
      <c r="AB110" s="123">
        <f t="shared" si="43"/>
        <v>1.64</v>
      </c>
      <c r="AC110" s="123">
        <f t="shared" si="43"/>
        <v>1.64</v>
      </c>
      <c r="AD110" s="123">
        <f t="shared" si="43"/>
        <v>1.64</v>
      </c>
      <c r="AE110" s="123">
        <f t="shared" si="43"/>
        <v>1.64</v>
      </c>
      <c r="AF110" s="123">
        <f t="shared" si="43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4">AF112</f>
        <v>1.62</v>
      </c>
      <c r="C112" s="124">
        <v>1.62</v>
      </c>
      <c r="D112" s="123">
        <f t="shared" ref="D112:S119" si="45">C112</f>
        <v>1.62</v>
      </c>
      <c r="E112" s="123">
        <f t="shared" si="45"/>
        <v>1.62</v>
      </c>
      <c r="F112" s="123">
        <f t="shared" si="45"/>
        <v>1.62</v>
      </c>
      <c r="G112" s="123">
        <f t="shared" si="45"/>
        <v>1.62</v>
      </c>
      <c r="H112" s="123">
        <f t="shared" si="45"/>
        <v>1.62</v>
      </c>
      <c r="I112" s="123">
        <f t="shared" si="45"/>
        <v>1.62</v>
      </c>
      <c r="J112" s="123">
        <f t="shared" si="45"/>
        <v>1.62</v>
      </c>
      <c r="K112" s="123">
        <f t="shared" si="45"/>
        <v>1.62</v>
      </c>
      <c r="L112" s="123">
        <f t="shared" si="45"/>
        <v>1.62</v>
      </c>
      <c r="M112" s="123">
        <f t="shared" si="45"/>
        <v>1.62</v>
      </c>
      <c r="N112" s="123">
        <f t="shared" si="45"/>
        <v>1.62</v>
      </c>
      <c r="O112" s="123">
        <f t="shared" si="45"/>
        <v>1.62</v>
      </c>
      <c r="P112" s="123">
        <f t="shared" si="45"/>
        <v>1.62</v>
      </c>
      <c r="Q112" s="123">
        <f t="shared" si="45"/>
        <v>1.62</v>
      </c>
      <c r="R112" s="123">
        <f t="shared" si="45"/>
        <v>1.62</v>
      </c>
      <c r="S112" s="123">
        <f t="shared" si="45"/>
        <v>1.62</v>
      </c>
      <c r="T112" s="123">
        <f t="shared" ref="T112:AF127" si="46">S112</f>
        <v>1.62</v>
      </c>
      <c r="U112" s="123">
        <f t="shared" si="46"/>
        <v>1.62</v>
      </c>
      <c r="V112" s="123">
        <f t="shared" si="46"/>
        <v>1.62</v>
      </c>
      <c r="W112" s="123">
        <f t="shared" si="46"/>
        <v>1.62</v>
      </c>
      <c r="X112" s="123">
        <f t="shared" si="46"/>
        <v>1.62</v>
      </c>
      <c r="Y112" s="123">
        <f t="shared" si="46"/>
        <v>1.62</v>
      </c>
      <c r="Z112" s="123">
        <f t="shared" si="46"/>
        <v>1.62</v>
      </c>
      <c r="AA112" s="123">
        <f t="shared" si="46"/>
        <v>1.62</v>
      </c>
      <c r="AB112" s="123">
        <f t="shared" si="46"/>
        <v>1.62</v>
      </c>
      <c r="AC112" s="123">
        <f t="shared" si="46"/>
        <v>1.62</v>
      </c>
      <c r="AD112" s="123">
        <f t="shared" si="46"/>
        <v>1.62</v>
      </c>
      <c r="AE112" s="123">
        <f t="shared" si="46"/>
        <v>1.62</v>
      </c>
      <c r="AF112" s="123">
        <f t="shared" si="46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4"/>
        <v>8.36</v>
      </c>
      <c r="C113" s="124">
        <v>8.36</v>
      </c>
      <c r="D113" s="123">
        <f t="shared" si="45"/>
        <v>8.36</v>
      </c>
      <c r="E113" s="123">
        <f t="shared" si="45"/>
        <v>8.36</v>
      </c>
      <c r="F113" s="123">
        <f t="shared" si="45"/>
        <v>8.36</v>
      </c>
      <c r="G113" s="123">
        <f t="shared" si="45"/>
        <v>8.36</v>
      </c>
      <c r="H113" s="123">
        <f t="shared" si="45"/>
        <v>8.36</v>
      </c>
      <c r="I113" s="123">
        <f t="shared" si="45"/>
        <v>8.36</v>
      </c>
      <c r="J113" s="123">
        <f t="shared" si="45"/>
        <v>8.36</v>
      </c>
      <c r="K113" s="123">
        <f t="shared" si="45"/>
        <v>8.36</v>
      </c>
      <c r="L113" s="123">
        <f t="shared" si="45"/>
        <v>8.36</v>
      </c>
      <c r="M113" s="123">
        <f t="shared" si="45"/>
        <v>8.36</v>
      </c>
      <c r="N113" s="123">
        <f t="shared" si="45"/>
        <v>8.36</v>
      </c>
      <c r="O113" s="123">
        <f t="shared" si="45"/>
        <v>8.36</v>
      </c>
      <c r="P113" s="123">
        <f t="shared" si="45"/>
        <v>8.36</v>
      </c>
      <c r="Q113" s="123">
        <f t="shared" si="45"/>
        <v>8.36</v>
      </c>
      <c r="R113" s="123">
        <f t="shared" si="45"/>
        <v>8.36</v>
      </c>
      <c r="S113" s="123">
        <f t="shared" si="45"/>
        <v>8.36</v>
      </c>
      <c r="T113" s="123">
        <f t="shared" si="46"/>
        <v>8.36</v>
      </c>
      <c r="U113" s="123">
        <f t="shared" si="46"/>
        <v>8.36</v>
      </c>
      <c r="V113" s="123">
        <f t="shared" si="46"/>
        <v>8.36</v>
      </c>
      <c r="W113" s="123">
        <f t="shared" si="46"/>
        <v>8.36</v>
      </c>
      <c r="X113" s="123">
        <f t="shared" si="46"/>
        <v>8.36</v>
      </c>
      <c r="Y113" s="123">
        <f t="shared" si="46"/>
        <v>8.36</v>
      </c>
      <c r="Z113" s="123">
        <f t="shared" si="46"/>
        <v>8.36</v>
      </c>
      <c r="AA113" s="123">
        <f t="shared" si="46"/>
        <v>8.36</v>
      </c>
      <c r="AB113" s="123">
        <f t="shared" si="46"/>
        <v>8.36</v>
      </c>
      <c r="AC113" s="123">
        <f t="shared" si="46"/>
        <v>8.36</v>
      </c>
      <c r="AD113" s="123">
        <f t="shared" si="46"/>
        <v>8.36</v>
      </c>
      <c r="AE113" s="123">
        <f t="shared" si="46"/>
        <v>8.36</v>
      </c>
      <c r="AF113" s="123">
        <f t="shared" si="46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4"/>
        <v>5.4</v>
      </c>
      <c r="C114" s="124">
        <v>8</v>
      </c>
      <c r="D114" s="123">
        <f t="shared" si="45"/>
        <v>8</v>
      </c>
      <c r="E114" s="123">
        <f t="shared" si="45"/>
        <v>8</v>
      </c>
      <c r="F114" s="123">
        <f t="shared" si="45"/>
        <v>8</v>
      </c>
      <c r="G114" s="123">
        <f t="shared" si="45"/>
        <v>8</v>
      </c>
      <c r="H114" s="123">
        <f t="shared" si="45"/>
        <v>8</v>
      </c>
      <c r="I114" s="123">
        <f t="shared" si="45"/>
        <v>8</v>
      </c>
      <c r="J114" s="123">
        <v>5.4</v>
      </c>
      <c r="K114" s="123">
        <f t="shared" si="45"/>
        <v>5.4</v>
      </c>
      <c r="L114" s="123">
        <f t="shared" si="45"/>
        <v>5.4</v>
      </c>
      <c r="M114" s="123">
        <f t="shared" si="45"/>
        <v>5.4</v>
      </c>
      <c r="N114" s="123">
        <f t="shared" si="45"/>
        <v>5.4</v>
      </c>
      <c r="O114" s="123">
        <f t="shared" si="45"/>
        <v>5.4</v>
      </c>
      <c r="P114" s="123">
        <f t="shared" si="45"/>
        <v>5.4</v>
      </c>
      <c r="Q114" s="123">
        <f t="shared" si="45"/>
        <v>5.4</v>
      </c>
      <c r="R114" s="123">
        <f t="shared" si="45"/>
        <v>5.4</v>
      </c>
      <c r="S114" s="123">
        <f t="shared" si="45"/>
        <v>5.4</v>
      </c>
      <c r="T114" s="123">
        <f t="shared" si="46"/>
        <v>5.4</v>
      </c>
      <c r="U114" s="123">
        <f t="shared" si="46"/>
        <v>5.4</v>
      </c>
      <c r="V114" s="123">
        <f t="shared" si="46"/>
        <v>5.4</v>
      </c>
      <c r="W114" s="123">
        <f t="shared" si="46"/>
        <v>5.4</v>
      </c>
      <c r="X114" s="123">
        <f t="shared" si="46"/>
        <v>5.4</v>
      </c>
      <c r="Y114" s="123">
        <f t="shared" si="46"/>
        <v>5.4</v>
      </c>
      <c r="Z114" s="123">
        <f t="shared" si="46"/>
        <v>5.4</v>
      </c>
      <c r="AA114" s="123">
        <f t="shared" si="46"/>
        <v>5.4</v>
      </c>
      <c r="AB114" s="123">
        <f t="shared" si="46"/>
        <v>5.4</v>
      </c>
      <c r="AC114" s="123">
        <f t="shared" si="46"/>
        <v>5.4</v>
      </c>
      <c r="AD114" s="123">
        <f t="shared" si="46"/>
        <v>5.4</v>
      </c>
      <c r="AE114" s="123">
        <f t="shared" si="46"/>
        <v>5.4</v>
      </c>
      <c r="AF114" s="123">
        <f t="shared" si="46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4"/>
        <v>6.57</v>
      </c>
      <c r="C115" s="124">
        <v>6.57</v>
      </c>
      <c r="D115" s="123">
        <f t="shared" si="45"/>
        <v>6.57</v>
      </c>
      <c r="E115" s="123">
        <f t="shared" si="45"/>
        <v>6.57</v>
      </c>
      <c r="F115" s="123">
        <f t="shared" si="45"/>
        <v>6.57</v>
      </c>
      <c r="G115" s="123">
        <f t="shared" si="45"/>
        <v>6.57</v>
      </c>
      <c r="H115" s="123">
        <f t="shared" si="45"/>
        <v>6.57</v>
      </c>
      <c r="I115" s="123">
        <f t="shared" si="45"/>
        <v>6.57</v>
      </c>
      <c r="J115" s="123">
        <f t="shared" si="45"/>
        <v>6.57</v>
      </c>
      <c r="K115" s="123">
        <f t="shared" si="45"/>
        <v>6.57</v>
      </c>
      <c r="L115" s="123">
        <f t="shared" si="45"/>
        <v>6.57</v>
      </c>
      <c r="M115" s="123">
        <f t="shared" si="45"/>
        <v>6.57</v>
      </c>
      <c r="N115" s="123">
        <f t="shared" si="45"/>
        <v>6.57</v>
      </c>
      <c r="O115" s="123">
        <f t="shared" si="45"/>
        <v>6.57</v>
      </c>
      <c r="P115" s="123">
        <f t="shared" si="45"/>
        <v>6.57</v>
      </c>
      <c r="Q115" s="123">
        <f t="shared" si="45"/>
        <v>6.57</v>
      </c>
      <c r="R115" s="123">
        <f t="shared" si="45"/>
        <v>6.57</v>
      </c>
      <c r="S115" s="123">
        <f t="shared" si="45"/>
        <v>6.57</v>
      </c>
      <c r="T115" s="123">
        <f t="shared" si="46"/>
        <v>6.57</v>
      </c>
      <c r="U115" s="123">
        <f t="shared" si="46"/>
        <v>6.57</v>
      </c>
      <c r="V115" s="123">
        <f t="shared" si="46"/>
        <v>6.57</v>
      </c>
      <c r="W115" s="123">
        <f t="shared" si="46"/>
        <v>6.57</v>
      </c>
      <c r="X115" s="123">
        <f t="shared" si="46"/>
        <v>6.57</v>
      </c>
      <c r="Y115" s="123">
        <f t="shared" si="46"/>
        <v>6.57</v>
      </c>
      <c r="Z115" s="123">
        <f t="shared" si="46"/>
        <v>6.57</v>
      </c>
      <c r="AA115" s="123">
        <f t="shared" si="46"/>
        <v>6.57</v>
      </c>
      <c r="AB115" s="123">
        <f t="shared" si="46"/>
        <v>6.57</v>
      </c>
      <c r="AC115" s="123">
        <f t="shared" si="46"/>
        <v>6.57</v>
      </c>
      <c r="AD115" s="123">
        <f t="shared" si="46"/>
        <v>6.57</v>
      </c>
      <c r="AE115" s="123">
        <f t="shared" si="46"/>
        <v>6.57</v>
      </c>
      <c r="AF115" s="123">
        <f t="shared" si="46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4"/>
        <v>3.43</v>
      </c>
      <c r="C116" s="124">
        <v>3.43</v>
      </c>
      <c r="D116" s="123">
        <f t="shared" si="45"/>
        <v>3.43</v>
      </c>
      <c r="E116" s="123">
        <f t="shared" si="45"/>
        <v>3.43</v>
      </c>
      <c r="F116" s="123">
        <f t="shared" si="45"/>
        <v>3.43</v>
      </c>
      <c r="G116" s="123">
        <f t="shared" si="45"/>
        <v>3.43</v>
      </c>
      <c r="H116" s="123">
        <f t="shared" si="45"/>
        <v>3.43</v>
      </c>
      <c r="I116" s="123">
        <f t="shared" si="45"/>
        <v>3.43</v>
      </c>
      <c r="J116" s="123">
        <f t="shared" si="45"/>
        <v>3.43</v>
      </c>
      <c r="K116" s="123">
        <f t="shared" si="45"/>
        <v>3.43</v>
      </c>
      <c r="L116" s="123">
        <f t="shared" si="45"/>
        <v>3.43</v>
      </c>
      <c r="M116" s="123">
        <f t="shared" si="45"/>
        <v>3.43</v>
      </c>
      <c r="N116" s="123">
        <f t="shared" si="45"/>
        <v>3.43</v>
      </c>
      <c r="O116" s="123">
        <f t="shared" si="45"/>
        <v>3.43</v>
      </c>
      <c r="P116" s="123">
        <f t="shared" si="45"/>
        <v>3.43</v>
      </c>
      <c r="Q116" s="123">
        <f t="shared" si="45"/>
        <v>3.43</v>
      </c>
      <c r="R116" s="123">
        <f t="shared" si="45"/>
        <v>3.43</v>
      </c>
      <c r="S116" s="123">
        <f t="shared" si="45"/>
        <v>3.43</v>
      </c>
      <c r="T116" s="123">
        <f t="shared" si="46"/>
        <v>3.43</v>
      </c>
      <c r="U116" s="123">
        <f t="shared" si="46"/>
        <v>3.43</v>
      </c>
      <c r="V116" s="123">
        <f t="shared" si="46"/>
        <v>3.43</v>
      </c>
      <c r="W116" s="123">
        <f t="shared" si="46"/>
        <v>3.43</v>
      </c>
      <c r="X116" s="123">
        <f t="shared" si="46"/>
        <v>3.43</v>
      </c>
      <c r="Y116" s="123">
        <f t="shared" si="46"/>
        <v>3.43</v>
      </c>
      <c r="Z116" s="123">
        <f t="shared" si="46"/>
        <v>3.43</v>
      </c>
      <c r="AA116" s="123">
        <f t="shared" si="46"/>
        <v>3.43</v>
      </c>
      <c r="AB116" s="123">
        <f t="shared" si="46"/>
        <v>3.43</v>
      </c>
      <c r="AC116" s="123">
        <f t="shared" si="46"/>
        <v>3.43</v>
      </c>
      <c r="AD116" s="123">
        <f t="shared" si="46"/>
        <v>3.43</v>
      </c>
      <c r="AE116" s="123">
        <f t="shared" si="46"/>
        <v>3.43</v>
      </c>
      <c r="AF116" s="123">
        <f t="shared" si="46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4"/>
        <v>2.96</v>
      </c>
      <c r="C117" s="124">
        <v>2.96</v>
      </c>
      <c r="D117" s="123">
        <f t="shared" si="45"/>
        <v>2.96</v>
      </c>
      <c r="E117" s="123">
        <f t="shared" si="45"/>
        <v>2.96</v>
      </c>
      <c r="F117" s="123">
        <f t="shared" si="45"/>
        <v>2.96</v>
      </c>
      <c r="G117" s="123">
        <f t="shared" si="45"/>
        <v>2.96</v>
      </c>
      <c r="H117" s="123">
        <f t="shared" si="45"/>
        <v>2.96</v>
      </c>
      <c r="I117" s="123">
        <f t="shared" si="45"/>
        <v>2.96</v>
      </c>
      <c r="J117" s="123">
        <f t="shared" si="45"/>
        <v>2.96</v>
      </c>
      <c r="K117" s="123">
        <f t="shared" si="45"/>
        <v>2.96</v>
      </c>
      <c r="L117" s="123">
        <f t="shared" si="45"/>
        <v>2.96</v>
      </c>
      <c r="M117" s="123">
        <f t="shared" si="45"/>
        <v>2.96</v>
      </c>
      <c r="N117" s="123">
        <f t="shared" si="45"/>
        <v>2.96</v>
      </c>
      <c r="O117" s="123">
        <f t="shared" si="45"/>
        <v>2.96</v>
      </c>
      <c r="P117" s="123">
        <f t="shared" si="45"/>
        <v>2.96</v>
      </c>
      <c r="Q117" s="123">
        <f t="shared" si="45"/>
        <v>2.96</v>
      </c>
      <c r="R117" s="123">
        <f t="shared" si="45"/>
        <v>2.96</v>
      </c>
      <c r="S117" s="123">
        <f t="shared" si="45"/>
        <v>2.96</v>
      </c>
      <c r="T117" s="123">
        <f t="shared" si="46"/>
        <v>2.96</v>
      </c>
      <c r="U117" s="123">
        <f t="shared" si="46"/>
        <v>2.96</v>
      </c>
      <c r="V117" s="123">
        <f t="shared" si="46"/>
        <v>2.96</v>
      </c>
      <c r="W117" s="123">
        <f t="shared" si="46"/>
        <v>2.96</v>
      </c>
      <c r="X117" s="123">
        <f t="shared" si="46"/>
        <v>2.96</v>
      </c>
      <c r="Y117" s="123">
        <f t="shared" si="46"/>
        <v>2.96</v>
      </c>
      <c r="Z117" s="123">
        <f t="shared" si="46"/>
        <v>2.96</v>
      </c>
      <c r="AA117" s="123">
        <f t="shared" si="46"/>
        <v>2.96</v>
      </c>
      <c r="AB117" s="123">
        <f t="shared" si="46"/>
        <v>2.96</v>
      </c>
      <c r="AC117" s="123">
        <f t="shared" si="46"/>
        <v>2.96</v>
      </c>
      <c r="AD117" s="123">
        <f t="shared" si="46"/>
        <v>2.96</v>
      </c>
      <c r="AE117" s="123">
        <f t="shared" si="46"/>
        <v>2.96</v>
      </c>
      <c r="AF117" s="123">
        <f t="shared" si="46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4"/>
        <v>8</v>
      </c>
      <c r="C118" s="124">
        <v>8</v>
      </c>
      <c r="D118" s="123">
        <f t="shared" si="45"/>
        <v>8</v>
      </c>
      <c r="E118" s="123">
        <f t="shared" si="45"/>
        <v>8</v>
      </c>
      <c r="F118" s="123">
        <f t="shared" si="45"/>
        <v>8</v>
      </c>
      <c r="G118" s="123">
        <f t="shared" si="45"/>
        <v>8</v>
      </c>
      <c r="H118" s="123">
        <f t="shared" si="45"/>
        <v>8</v>
      </c>
      <c r="I118" s="123">
        <f t="shared" si="45"/>
        <v>8</v>
      </c>
      <c r="J118" s="123">
        <f t="shared" si="45"/>
        <v>8</v>
      </c>
      <c r="K118" s="123">
        <f t="shared" si="45"/>
        <v>8</v>
      </c>
      <c r="L118" s="123">
        <f t="shared" si="45"/>
        <v>8</v>
      </c>
      <c r="M118" s="123">
        <f t="shared" si="45"/>
        <v>8</v>
      </c>
      <c r="N118" s="123">
        <f t="shared" si="45"/>
        <v>8</v>
      </c>
      <c r="O118" s="123">
        <f t="shared" si="45"/>
        <v>8</v>
      </c>
      <c r="P118" s="123">
        <f t="shared" si="45"/>
        <v>8</v>
      </c>
      <c r="Q118" s="123">
        <f t="shared" si="45"/>
        <v>8</v>
      </c>
      <c r="R118" s="123">
        <f t="shared" si="45"/>
        <v>8</v>
      </c>
      <c r="S118" s="123">
        <f t="shared" si="45"/>
        <v>8</v>
      </c>
      <c r="T118" s="123">
        <f t="shared" si="46"/>
        <v>8</v>
      </c>
      <c r="U118" s="123">
        <f t="shared" si="46"/>
        <v>8</v>
      </c>
      <c r="V118" s="123">
        <f t="shared" si="46"/>
        <v>8</v>
      </c>
      <c r="W118" s="123">
        <f t="shared" si="46"/>
        <v>8</v>
      </c>
      <c r="X118" s="123">
        <f t="shared" si="46"/>
        <v>8</v>
      </c>
      <c r="Y118" s="123">
        <f t="shared" si="46"/>
        <v>8</v>
      </c>
      <c r="Z118" s="123">
        <f t="shared" si="46"/>
        <v>8</v>
      </c>
      <c r="AA118" s="123">
        <f t="shared" si="46"/>
        <v>8</v>
      </c>
      <c r="AB118" s="123">
        <f t="shared" si="46"/>
        <v>8</v>
      </c>
      <c r="AC118" s="123">
        <f t="shared" si="46"/>
        <v>8</v>
      </c>
      <c r="AD118" s="123">
        <f t="shared" si="46"/>
        <v>8</v>
      </c>
      <c r="AE118" s="123">
        <f t="shared" si="46"/>
        <v>8</v>
      </c>
      <c r="AF118" s="123">
        <f t="shared" si="46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4"/>
        <v>7</v>
      </c>
      <c r="C119" s="124">
        <v>7</v>
      </c>
      <c r="D119" s="123">
        <f>C119</f>
        <v>7</v>
      </c>
      <c r="E119" s="123">
        <f t="shared" si="45"/>
        <v>7</v>
      </c>
      <c r="F119" s="123">
        <f t="shared" si="45"/>
        <v>7</v>
      </c>
      <c r="G119" s="123">
        <f t="shared" si="45"/>
        <v>7</v>
      </c>
      <c r="H119" s="123">
        <f t="shared" si="45"/>
        <v>7</v>
      </c>
      <c r="I119" s="123">
        <f t="shared" si="45"/>
        <v>7</v>
      </c>
      <c r="J119" s="123">
        <f t="shared" si="45"/>
        <v>7</v>
      </c>
      <c r="K119" s="123">
        <f t="shared" si="45"/>
        <v>7</v>
      </c>
      <c r="L119" s="123">
        <f t="shared" si="45"/>
        <v>7</v>
      </c>
      <c r="M119" s="123">
        <f t="shared" si="45"/>
        <v>7</v>
      </c>
      <c r="N119" s="123">
        <f t="shared" si="45"/>
        <v>7</v>
      </c>
      <c r="O119" s="123">
        <f t="shared" si="45"/>
        <v>7</v>
      </c>
      <c r="P119" s="123">
        <f t="shared" si="45"/>
        <v>7</v>
      </c>
      <c r="Q119" s="123">
        <f t="shared" si="45"/>
        <v>7</v>
      </c>
      <c r="R119" s="123">
        <f t="shared" si="45"/>
        <v>7</v>
      </c>
      <c r="S119" s="123">
        <f t="shared" si="45"/>
        <v>7</v>
      </c>
      <c r="T119" s="123">
        <f t="shared" si="46"/>
        <v>7</v>
      </c>
      <c r="U119" s="123">
        <f t="shared" si="46"/>
        <v>7</v>
      </c>
      <c r="V119" s="123">
        <f t="shared" si="46"/>
        <v>7</v>
      </c>
      <c r="W119" s="123">
        <f t="shared" si="46"/>
        <v>7</v>
      </c>
      <c r="X119" s="123">
        <f t="shared" si="46"/>
        <v>7</v>
      </c>
      <c r="Y119" s="123">
        <f t="shared" si="46"/>
        <v>7</v>
      </c>
      <c r="Z119" s="123">
        <f t="shared" si="46"/>
        <v>7</v>
      </c>
      <c r="AA119" s="123">
        <f t="shared" si="46"/>
        <v>7</v>
      </c>
      <c r="AB119" s="123">
        <f t="shared" si="46"/>
        <v>7</v>
      </c>
      <c r="AC119" s="123">
        <f t="shared" si="46"/>
        <v>7</v>
      </c>
      <c r="AD119" s="123">
        <f t="shared" si="46"/>
        <v>7</v>
      </c>
      <c r="AE119" s="123">
        <f t="shared" si="46"/>
        <v>7</v>
      </c>
      <c r="AF119" s="123">
        <f t="shared" si="46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4"/>
        <v>3.47</v>
      </c>
      <c r="C120" s="124">
        <v>3.47</v>
      </c>
      <c r="D120" s="123">
        <f t="shared" ref="D120:S129" si="47">C120</f>
        <v>3.47</v>
      </c>
      <c r="E120" s="123">
        <f t="shared" si="47"/>
        <v>3.47</v>
      </c>
      <c r="F120" s="123">
        <f t="shared" si="47"/>
        <v>3.47</v>
      </c>
      <c r="G120" s="123">
        <f t="shared" si="47"/>
        <v>3.47</v>
      </c>
      <c r="H120" s="123">
        <f t="shared" si="47"/>
        <v>3.47</v>
      </c>
      <c r="I120" s="123">
        <f t="shared" si="47"/>
        <v>3.47</v>
      </c>
      <c r="J120" s="123">
        <f t="shared" si="47"/>
        <v>3.47</v>
      </c>
      <c r="K120" s="123">
        <f t="shared" si="47"/>
        <v>3.47</v>
      </c>
      <c r="L120" s="123">
        <f t="shared" si="47"/>
        <v>3.47</v>
      </c>
      <c r="M120" s="123">
        <f t="shared" si="47"/>
        <v>3.47</v>
      </c>
      <c r="N120" s="123">
        <f t="shared" si="47"/>
        <v>3.47</v>
      </c>
      <c r="O120" s="123">
        <f t="shared" si="47"/>
        <v>3.47</v>
      </c>
      <c r="P120" s="123">
        <f t="shared" si="47"/>
        <v>3.47</v>
      </c>
      <c r="Q120" s="123">
        <f t="shared" si="47"/>
        <v>3.47</v>
      </c>
      <c r="R120" s="123">
        <f t="shared" si="47"/>
        <v>3.47</v>
      </c>
      <c r="S120" s="123">
        <f t="shared" si="47"/>
        <v>3.47</v>
      </c>
      <c r="T120" s="123">
        <f t="shared" si="46"/>
        <v>3.47</v>
      </c>
      <c r="U120" s="123">
        <f t="shared" si="46"/>
        <v>3.47</v>
      </c>
      <c r="V120" s="123">
        <f t="shared" si="46"/>
        <v>3.47</v>
      </c>
      <c r="W120" s="123">
        <f t="shared" si="46"/>
        <v>3.47</v>
      </c>
      <c r="X120" s="123">
        <f t="shared" si="46"/>
        <v>3.47</v>
      </c>
      <c r="Y120" s="123">
        <f t="shared" si="46"/>
        <v>3.47</v>
      </c>
      <c r="Z120" s="123">
        <f t="shared" si="46"/>
        <v>3.47</v>
      </c>
      <c r="AA120" s="123">
        <f t="shared" si="46"/>
        <v>3.47</v>
      </c>
      <c r="AB120" s="123">
        <f t="shared" si="46"/>
        <v>3.47</v>
      </c>
      <c r="AC120" s="123">
        <f t="shared" si="46"/>
        <v>3.47</v>
      </c>
      <c r="AD120" s="123">
        <f t="shared" si="46"/>
        <v>3.47</v>
      </c>
      <c r="AE120" s="123">
        <f t="shared" si="46"/>
        <v>3.47</v>
      </c>
      <c r="AF120" s="123">
        <f t="shared" si="46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4"/>
        <v>2.1</v>
      </c>
      <c r="C121" s="124">
        <v>2.1</v>
      </c>
      <c r="D121" s="123">
        <f t="shared" si="47"/>
        <v>2.1</v>
      </c>
      <c r="E121" s="123">
        <f t="shared" si="47"/>
        <v>2.1</v>
      </c>
      <c r="F121" s="123">
        <f t="shared" si="47"/>
        <v>2.1</v>
      </c>
      <c r="G121" s="123">
        <f t="shared" si="47"/>
        <v>2.1</v>
      </c>
      <c r="H121" s="123">
        <f t="shared" si="47"/>
        <v>2.1</v>
      </c>
      <c r="I121" s="123">
        <f t="shared" si="47"/>
        <v>2.1</v>
      </c>
      <c r="J121" s="123">
        <f t="shared" si="47"/>
        <v>2.1</v>
      </c>
      <c r="K121" s="123">
        <f t="shared" si="47"/>
        <v>2.1</v>
      </c>
      <c r="L121" s="123">
        <f t="shared" si="47"/>
        <v>2.1</v>
      </c>
      <c r="M121" s="123">
        <f t="shared" si="47"/>
        <v>2.1</v>
      </c>
      <c r="N121" s="123">
        <f t="shared" si="47"/>
        <v>2.1</v>
      </c>
      <c r="O121" s="123">
        <f t="shared" si="47"/>
        <v>2.1</v>
      </c>
      <c r="P121" s="123">
        <f t="shared" si="47"/>
        <v>2.1</v>
      </c>
      <c r="Q121" s="123">
        <f t="shared" si="47"/>
        <v>2.1</v>
      </c>
      <c r="R121" s="123">
        <f t="shared" si="47"/>
        <v>2.1</v>
      </c>
      <c r="S121" s="123">
        <f t="shared" si="47"/>
        <v>2.1</v>
      </c>
      <c r="T121" s="123">
        <f t="shared" si="46"/>
        <v>2.1</v>
      </c>
      <c r="U121" s="123">
        <f t="shared" si="46"/>
        <v>2.1</v>
      </c>
      <c r="V121" s="123">
        <f t="shared" si="46"/>
        <v>2.1</v>
      </c>
      <c r="W121" s="123">
        <f t="shared" si="46"/>
        <v>2.1</v>
      </c>
      <c r="X121" s="123">
        <f t="shared" si="46"/>
        <v>2.1</v>
      </c>
      <c r="Y121" s="123">
        <f t="shared" si="46"/>
        <v>2.1</v>
      </c>
      <c r="Z121" s="123">
        <f t="shared" si="46"/>
        <v>2.1</v>
      </c>
      <c r="AA121" s="123">
        <f t="shared" si="46"/>
        <v>2.1</v>
      </c>
      <c r="AB121" s="123">
        <f t="shared" si="46"/>
        <v>2.1</v>
      </c>
      <c r="AC121" s="123">
        <f t="shared" si="46"/>
        <v>2.1</v>
      </c>
      <c r="AD121" s="123">
        <f t="shared" si="46"/>
        <v>2.1</v>
      </c>
      <c r="AE121" s="123">
        <f t="shared" si="46"/>
        <v>2.1</v>
      </c>
      <c r="AF121" s="123">
        <f t="shared" si="46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4"/>
        <v>9.3000000000000007</v>
      </c>
      <c r="C122" s="124">
        <v>9.3000000000000007</v>
      </c>
      <c r="D122" s="123">
        <f t="shared" si="47"/>
        <v>9.3000000000000007</v>
      </c>
      <c r="E122" s="123">
        <f t="shared" si="47"/>
        <v>9.3000000000000007</v>
      </c>
      <c r="F122" s="123">
        <f t="shared" si="47"/>
        <v>9.3000000000000007</v>
      </c>
      <c r="G122" s="123">
        <f t="shared" si="47"/>
        <v>9.3000000000000007</v>
      </c>
      <c r="H122" s="123">
        <f t="shared" si="47"/>
        <v>9.3000000000000007</v>
      </c>
      <c r="I122" s="123">
        <f t="shared" si="47"/>
        <v>9.3000000000000007</v>
      </c>
      <c r="J122" s="123">
        <f t="shared" si="47"/>
        <v>9.3000000000000007</v>
      </c>
      <c r="K122" s="123">
        <f t="shared" si="47"/>
        <v>9.3000000000000007</v>
      </c>
      <c r="L122" s="123">
        <f t="shared" si="47"/>
        <v>9.3000000000000007</v>
      </c>
      <c r="M122" s="123">
        <f t="shared" si="47"/>
        <v>9.3000000000000007</v>
      </c>
      <c r="N122" s="123">
        <f t="shared" si="47"/>
        <v>9.3000000000000007</v>
      </c>
      <c r="O122" s="123">
        <f t="shared" si="47"/>
        <v>9.3000000000000007</v>
      </c>
      <c r="P122" s="123">
        <f t="shared" si="47"/>
        <v>9.3000000000000007</v>
      </c>
      <c r="Q122" s="123">
        <f t="shared" si="47"/>
        <v>9.3000000000000007</v>
      </c>
      <c r="R122" s="123">
        <f t="shared" si="47"/>
        <v>9.3000000000000007</v>
      </c>
      <c r="S122" s="123">
        <f t="shared" si="47"/>
        <v>9.3000000000000007</v>
      </c>
      <c r="T122" s="123">
        <f t="shared" si="46"/>
        <v>9.3000000000000007</v>
      </c>
      <c r="U122" s="123">
        <f t="shared" si="46"/>
        <v>9.3000000000000007</v>
      </c>
      <c r="V122" s="123">
        <f t="shared" si="46"/>
        <v>9.3000000000000007</v>
      </c>
      <c r="W122" s="123">
        <f t="shared" si="46"/>
        <v>9.3000000000000007</v>
      </c>
      <c r="X122" s="123">
        <f t="shared" si="46"/>
        <v>9.3000000000000007</v>
      </c>
      <c r="Y122" s="123">
        <f t="shared" si="46"/>
        <v>9.3000000000000007</v>
      </c>
      <c r="Z122" s="123">
        <f t="shared" si="46"/>
        <v>9.3000000000000007</v>
      </c>
      <c r="AA122" s="123">
        <f t="shared" si="46"/>
        <v>9.3000000000000007</v>
      </c>
      <c r="AB122" s="123">
        <f t="shared" si="46"/>
        <v>9.3000000000000007</v>
      </c>
      <c r="AC122" s="123">
        <f t="shared" si="46"/>
        <v>9.3000000000000007</v>
      </c>
      <c r="AD122" s="123">
        <f t="shared" si="46"/>
        <v>9.3000000000000007</v>
      </c>
      <c r="AE122" s="123">
        <f t="shared" si="46"/>
        <v>9.3000000000000007</v>
      </c>
      <c r="AF122" s="123">
        <f t="shared" si="46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4"/>
        <v>0</v>
      </c>
      <c r="C123" s="124">
        <v>0</v>
      </c>
      <c r="D123" s="123">
        <f t="shared" si="47"/>
        <v>0</v>
      </c>
      <c r="E123" s="123">
        <f t="shared" si="47"/>
        <v>0</v>
      </c>
      <c r="F123" s="123">
        <f t="shared" si="47"/>
        <v>0</v>
      </c>
      <c r="G123" s="123">
        <f t="shared" si="47"/>
        <v>0</v>
      </c>
      <c r="H123" s="123">
        <f t="shared" si="47"/>
        <v>0</v>
      </c>
      <c r="I123" s="123">
        <f t="shared" si="47"/>
        <v>0</v>
      </c>
      <c r="J123" s="123">
        <f t="shared" si="47"/>
        <v>0</v>
      </c>
      <c r="K123" s="123">
        <f t="shared" si="47"/>
        <v>0</v>
      </c>
      <c r="L123" s="123">
        <f t="shared" si="47"/>
        <v>0</v>
      </c>
      <c r="M123" s="123">
        <f t="shared" si="47"/>
        <v>0</v>
      </c>
      <c r="N123" s="123">
        <f t="shared" si="47"/>
        <v>0</v>
      </c>
      <c r="O123" s="123">
        <f t="shared" si="47"/>
        <v>0</v>
      </c>
      <c r="P123" s="123">
        <f t="shared" si="47"/>
        <v>0</v>
      </c>
      <c r="Q123" s="123">
        <f t="shared" si="47"/>
        <v>0</v>
      </c>
      <c r="R123" s="123">
        <f t="shared" si="47"/>
        <v>0</v>
      </c>
      <c r="S123" s="123">
        <f t="shared" si="47"/>
        <v>0</v>
      </c>
      <c r="T123" s="123">
        <f t="shared" si="46"/>
        <v>0</v>
      </c>
      <c r="U123" s="123">
        <f t="shared" si="46"/>
        <v>0</v>
      </c>
      <c r="V123" s="123">
        <f t="shared" si="46"/>
        <v>0</v>
      </c>
      <c r="W123" s="123">
        <f t="shared" si="46"/>
        <v>0</v>
      </c>
      <c r="X123" s="123">
        <f t="shared" si="46"/>
        <v>0</v>
      </c>
      <c r="Y123" s="123">
        <f t="shared" si="46"/>
        <v>0</v>
      </c>
      <c r="Z123" s="123">
        <f t="shared" si="46"/>
        <v>0</v>
      </c>
      <c r="AA123" s="123">
        <f t="shared" si="46"/>
        <v>0</v>
      </c>
      <c r="AB123" s="123">
        <f t="shared" si="46"/>
        <v>0</v>
      </c>
      <c r="AC123" s="123">
        <f t="shared" si="46"/>
        <v>0</v>
      </c>
      <c r="AD123" s="123">
        <f t="shared" si="46"/>
        <v>0</v>
      </c>
      <c r="AE123" s="123">
        <f t="shared" si="46"/>
        <v>0</v>
      </c>
      <c r="AF123" s="123">
        <f t="shared" si="46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4"/>
        <v>0</v>
      </c>
      <c r="C124" s="124">
        <v>0</v>
      </c>
      <c r="D124" s="123">
        <f t="shared" si="47"/>
        <v>0</v>
      </c>
      <c r="E124" s="123">
        <f t="shared" si="47"/>
        <v>0</v>
      </c>
      <c r="F124" s="123">
        <f t="shared" si="47"/>
        <v>0</v>
      </c>
      <c r="G124" s="123">
        <f t="shared" si="47"/>
        <v>0</v>
      </c>
      <c r="H124" s="123">
        <f t="shared" si="47"/>
        <v>0</v>
      </c>
      <c r="I124" s="123">
        <f t="shared" si="47"/>
        <v>0</v>
      </c>
      <c r="J124" s="123">
        <f t="shared" si="47"/>
        <v>0</v>
      </c>
      <c r="K124" s="123">
        <f t="shared" si="47"/>
        <v>0</v>
      </c>
      <c r="L124" s="123">
        <f t="shared" si="47"/>
        <v>0</v>
      </c>
      <c r="M124" s="123">
        <f t="shared" si="47"/>
        <v>0</v>
      </c>
      <c r="N124" s="123">
        <f t="shared" si="47"/>
        <v>0</v>
      </c>
      <c r="O124" s="123">
        <f t="shared" si="47"/>
        <v>0</v>
      </c>
      <c r="P124" s="123">
        <f t="shared" si="47"/>
        <v>0</v>
      </c>
      <c r="Q124" s="123">
        <f t="shared" si="47"/>
        <v>0</v>
      </c>
      <c r="R124" s="123">
        <f t="shared" si="47"/>
        <v>0</v>
      </c>
      <c r="S124" s="123">
        <f t="shared" si="47"/>
        <v>0</v>
      </c>
      <c r="T124" s="123">
        <f t="shared" si="46"/>
        <v>0</v>
      </c>
      <c r="U124" s="123">
        <f t="shared" si="46"/>
        <v>0</v>
      </c>
      <c r="V124" s="123">
        <f t="shared" si="46"/>
        <v>0</v>
      </c>
      <c r="W124" s="123">
        <f t="shared" si="46"/>
        <v>0</v>
      </c>
      <c r="X124" s="123">
        <f t="shared" si="46"/>
        <v>0</v>
      </c>
      <c r="Y124" s="123">
        <f t="shared" si="46"/>
        <v>0</v>
      </c>
      <c r="Z124" s="123">
        <f t="shared" si="46"/>
        <v>0</v>
      </c>
      <c r="AA124" s="123">
        <f t="shared" si="46"/>
        <v>0</v>
      </c>
      <c r="AB124" s="123">
        <f t="shared" si="46"/>
        <v>0</v>
      </c>
      <c r="AC124" s="123">
        <f t="shared" si="46"/>
        <v>0</v>
      </c>
      <c r="AD124" s="123">
        <f t="shared" si="46"/>
        <v>0</v>
      </c>
      <c r="AE124" s="123">
        <f t="shared" si="46"/>
        <v>0</v>
      </c>
      <c r="AF124" s="123">
        <f t="shared" si="46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4"/>
        <v>;/</v>
      </c>
      <c r="C125" s="124">
        <v>5</v>
      </c>
      <c r="D125" s="123">
        <f t="shared" si="47"/>
        <v>5</v>
      </c>
      <c r="E125" s="123">
        <f t="shared" si="47"/>
        <v>5</v>
      </c>
      <c r="F125" s="123">
        <f t="shared" si="47"/>
        <v>5</v>
      </c>
      <c r="G125" s="123">
        <f t="shared" si="47"/>
        <v>5</v>
      </c>
      <c r="H125" s="123">
        <f t="shared" si="47"/>
        <v>5</v>
      </c>
      <c r="I125" s="123" t="s">
        <v>130</v>
      </c>
      <c r="J125" s="123" t="str">
        <f t="shared" si="47"/>
        <v>;/</v>
      </c>
      <c r="K125" s="123" t="str">
        <f t="shared" si="47"/>
        <v>;/</v>
      </c>
      <c r="L125" s="123" t="str">
        <f t="shared" si="47"/>
        <v>;/</v>
      </c>
      <c r="M125" s="123" t="str">
        <f t="shared" si="47"/>
        <v>;/</v>
      </c>
      <c r="N125" s="123" t="str">
        <f t="shared" si="47"/>
        <v>;/</v>
      </c>
      <c r="O125" s="123" t="str">
        <f t="shared" si="47"/>
        <v>;/</v>
      </c>
      <c r="P125" s="123" t="str">
        <f t="shared" si="47"/>
        <v>;/</v>
      </c>
      <c r="Q125" s="123" t="str">
        <f t="shared" si="47"/>
        <v>;/</v>
      </c>
      <c r="R125" s="123" t="str">
        <f t="shared" si="47"/>
        <v>;/</v>
      </c>
      <c r="S125" s="123" t="str">
        <f t="shared" si="47"/>
        <v>;/</v>
      </c>
      <c r="T125" s="123" t="str">
        <f t="shared" si="46"/>
        <v>;/</v>
      </c>
      <c r="U125" s="123" t="str">
        <f t="shared" si="46"/>
        <v>;/</v>
      </c>
      <c r="V125" s="123" t="str">
        <f t="shared" si="46"/>
        <v>;/</v>
      </c>
      <c r="W125" s="123" t="str">
        <f t="shared" si="46"/>
        <v>;/</v>
      </c>
      <c r="X125" s="123" t="str">
        <f t="shared" si="46"/>
        <v>;/</v>
      </c>
      <c r="Y125" s="123" t="str">
        <f t="shared" si="46"/>
        <v>;/</v>
      </c>
      <c r="Z125" s="123" t="str">
        <f t="shared" si="46"/>
        <v>;/</v>
      </c>
      <c r="AA125" s="123" t="str">
        <f t="shared" si="46"/>
        <v>;/</v>
      </c>
      <c r="AB125" s="123" t="str">
        <f t="shared" si="46"/>
        <v>;/</v>
      </c>
      <c r="AC125" s="123" t="str">
        <f t="shared" si="46"/>
        <v>;/</v>
      </c>
      <c r="AD125" s="123" t="str">
        <f t="shared" si="46"/>
        <v>;/</v>
      </c>
      <c r="AE125" s="123" t="str">
        <f t="shared" si="46"/>
        <v>;/</v>
      </c>
      <c r="AF125" s="123" t="str">
        <f t="shared" si="46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4"/>
        <v>1</v>
      </c>
      <c r="C126" s="124">
        <v>1</v>
      </c>
      <c r="D126" s="123">
        <f t="shared" si="47"/>
        <v>1</v>
      </c>
      <c r="E126" s="123">
        <f t="shared" si="47"/>
        <v>1</v>
      </c>
      <c r="F126" s="123">
        <f t="shared" si="47"/>
        <v>1</v>
      </c>
      <c r="G126" s="123">
        <f t="shared" si="47"/>
        <v>1</v>
      </c>
      <c r="H126" s="123">
        <f t="shared" si="47"/>
        <v>1</v>
      </c>
      <c r="I126" s="123">
        <f t="shared" si="47"/>
        <v>1</v>
      </c>
      <c r="J126" s="123">
        <f t="shared" si="47"/>
        <v>1</v>
      </c>
      <c r="K126" s="123">
        <f t="shared" si="47"/>
        <v>1</v>
      </c>
      <c r="L126" s="123">
        <f t="shared" si="47"/>
        <v>1</v>
      </c>
      <c r="M126" s="123">
        <f t="shared" si="47"/>
        <v>1</v>
      </c>
      <c r="N126" s="123">
        <f t="shared" si="47"/>
        <v>1</v>
      </c>
      <c r="O126" s="123">
        <f t="shared" si="47"/>
        <v>1</v>
      </c>
      <c r="P126" s="123">
        <f t="shared" si="47"/>
        <v>1</v>
      </c>
      <c r="Q126" s="123">
        <f t="shared" si="47"/>
        <v>1</v>
      </c>
      <c r="R126" s="123">
        <f t="shared" si="47"/>
        <v>1</v>
      </c>
      <c r="S126" s="123">
        <f t="shared" si="47"/>
        <v>1</v>
      </c>
      <c r="T126" s="123">
        <f t="shared" si="46"/>
        <v>1</v>
      </c>
      <c r="U126" s="123">
        <f t="shared" si="46"/>
        <v>1</v>
      </c>
      <c r="V126" s="123">
        <f t="shared" si="46"/>
        <v>1</v>
      </c>
      <c r="W126" s="123">
        <f t="shared" si="46"/>
        <v>1</v>
      </c>
      <c r="X126" s="123">
        <f t="shared" si="46"/>
        <v>1</v>
      </c>
      <c r="Y126" s="123">
        <f t="shared" si="46"/>
        <v>1</v>
      </c>
      <c r="Z126" s="123">
        <f t="shared" si="46"/>
        <v>1</v>
      </c>
      <c r="AA126" s="123">
        <f t="shared" si="46"/>
        <v>1</v>
      </c>
      <c r="AB126" s="123">
        <f t="shared" si="46"/>
        <v>1</v>
      </c>
      <c r="AC126" s="123">
        <f t="shared" si="46"/>
        <v>1</v>
      </c>
      <c r="AD126" s="123">
        <f t="shared" si="46"/>
        <v>1</v>
      </c>
      <c r="AE126" s="123">
        <f t="shared" si="46"/>
        <v>1</v>
      </c>
      <c r="AF126" s="123">
        <f t="shared" si="46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4"/>
        <v>1.58</v>
      </c>
      <c r="C127" s="124">
        <v>1.58</v>
      </c>
      <c r="D127" s="123">
        <f t="shared" si="47"/>
        <v>1.58</v>
      </c>
      <c r="E127" s="123">
        <f t="shared" si="47"/>
        <v>1.58</v>
      </c>
      <c r="F127" s="123">
        <f t="shared" si="47"/>
        <v>1.58</v>
      </c>
      <c r="G127" s="123">
        <f t="shared" si="47"/>
        <v>1.58</v>
      </c>
      <c r="H127" s="123">
        <f t="shared" si="47"/>
        <v>1.58</v>
      </c>
      <c r="I127" s="123">
        <f t="shared" si="47"/>
        <v>1.58</v>
      </c>
      <c r="J127" s="123">
        <f t="shared" si="47"/>
        <v>1.58</v>
      </c>
      <c r="K127" s="123">
        <f t="shared" si="47"/>
        <v>1.58</v>
      </c>
      <c r="L127" s="123">
        <f t="shared" si="47"/>
        <v>1.58</v>
      </c>
      <c r="M127" s="123">
        <f t="shared" si="47"/>
        <v>1.58</v>
      </c>
      <c r="N127" s="123">
        <f t="shared" si="47"/>
        <v>1.58</v>
      </c>
      <c r="O127" s="123">
        <f t="shared" si="47"/>
        <v>1.58</v>
      </c>
      <c r="P127" s="123">
        <f t="shared" si="47"/>
        <v>1.58</v>
      </c>
      <c r="Q127" s="123">
        <f t="shared" si="47"/>
        <v>1.58</v>
      </c>
      <c r="R127" s="123">
        <f t="shared" si="47"/>
        <v>1.58</v>
      </c>
      <c r="S127" s="123">
        <f t="shared" si="47"/>
        <v>1.58</v>
      </c>
      <c r="T127" s="123">
        <f t="shared" si="46"/>
        <v>1.58</v>
      </c>
      <c r="U127" s="123">
        <f t="shared" si="46"/>
        <v>1.58</v>
      </c>
      <c r="V127" s="123">
        <f t="shared" si="46"/>
        <v>1.58</v>
      </c>
      <c r="W127" s="123">
        <f t="shared" si="46"/>
        <v>1.58</v>
      </c>
      <c r="X127" s="123">
        <f t="shared" si="46"/>
        <v>1.58</v>
      </c>
      <c r="Y127" s="123">
        <f t="shared" si="46"/>
        <v>1.58</v>
      </c>
      <c r="Z127" s="123">
        <f t="shared" si="46"/>
        <v>1.58</v>
      </c>
      <c r="AA127" s="123">
        <f t="shared" si="46"/>
        <v>1.58</v>
      </c>
      <c r="AB127" s="123">
        <f t="shared" si="46"/>
        <v>1.58</v>
      </c>
      <c r="AC127" s="123">
        <f t="shared" si="46"/>
        <v>1.58</v>
      </c>
      <c r="AD127" s="123">
        <f t="shared" si="46"/>
        <v>1.58</v>
      </c>
      <c r="AE127" s="123">
        <f t="shared" si="46"/>
        <v>1.58</v>
      </c>
      <c r="AF127" s="123">
        <f t="shared" si="46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4"/>
        <v>1.46</v>
      </c>
      <c r="C128" s="124">
        <v>1.46</v>
      </c>
      <c r="D128" s="123">
        <f t="shared" si="47"/>
        <v>1.46</v>
      </c>
      <c r="E128" s="123">
        <f t="shared" si="47"/>
        <v>1.46</v>
      </c>
      <c r="F128" s="123">
        <f t="shared" si="47"/>
        <v>1.46</v>
      </c>
      <c r="G128" s="123">
        <f t="shared" si="47"/>
        <v>1.46</v>
      </c>
      <c r="H128" s="123">
        <f t="shared" si="47"/>
        <v>1.46</v>
      </c>
      <c r="I128" s="123">
        <f t="shared" si="47"/>
        <v>1.46</v>
      </c>
      <c r="J128" s="123">
        <f t="shared" si="47"/>
        <v>1.46</v>
      </c>
      <c r="K128" s="123">
        <f t="shared" si="47"/>
        <v>1.46</v>
      </c>
      <c r="L128" s="123">
        <f t="shared" si="47"/>
        <v>1.46</v>
      </c>
      <c r="M128" s="123">
        <f t="shared" si="47"/>
        <v>1.46</v>
      </c>
      <c r="N128" s="123">
        <f t="shared" si="47"/>
        <v>1.46</v>
      </c>
      <c r="O128" s="123">
        <f t="shared" si="47"/>
        <v>1.46</v>
      </c>
      <c r="P128" s="123">
        <f t="shared" si="47"/>
        <v>1.46</v>
      </c>
      <c r="Q128" s="123">
        <f t="shared" si="47"/>
        <v>1.46</v>
      </c>
      <c r="R128" s="123">
        <f t="shared" si="47"/>
        <v>1.46</v>
      </c>
      <c r="S128" s="123">
        <f t="shared" si="47"/>
        <v>1.46</v>
      </c>
      <c r="T128" s="123">
        <f t="shared" ref="T128:AF129" si="48">S128</f>
        <v>1.46</v>
      </c>
      <c r="U128" s="123">
        <f t="shared" si="48"/>
        <v>1.46</v>
      </c>
      <c r="V128" s="123">
        <f t="shared" si="48"/>
        <v>1.46</v>
      </c>
      <c r="W128" s="123">
        <f t="shared" si="48"/>
        <v>1.46</v>
      </c>
      <c r="X128" s="123">
        <f t="shared" si="48"/>
        <v>1.46</v>
      </c>
      <c r="Y128" s="123">
        <f t="shared" si="48"/>
        <v>1.46</v>
      </c>
      <c r="Z128" s="123">
        <f t="shared" si="48"/>
        <v>1.46</v>
      </c>
      <c r="AA128" s="123">
        <f t="shared" si="48"/>
        <v>1.46</v>
      </c>
      <c r="AB128" s="123">
        <f t="shared" si="48"/>
        <v>1.46</v>
      </c>
      <c r="AC128" s="123">
        <f t="shared" si="48"/>
        <v>1.46</v>
      </c>
      <c r="AD128" s="123">
        <f t="shared" si="48"/>
        <v>1.46</v>
      </c>
      <c r="AE128" s="123">
        <f t="shared" si="48"/>
        <v>1.46</v>
      </c>
      <c r="AF128" s="123">
        <f t="shared" si="48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4"/>
        <v>1.48</v>
      </c>
      <c r="C129" s="124">
        <v>1.48</v>
      </c>
      <c r="D129" s="123">
        <f t="shared" si="47"/>
        <v>1.48</v>
      </c>
      <c r="E129" s="123">
        <f t="shared" si="47"/>
        <v>1.48</v>
      </c>
      <c r="F129" s="123">
        <f t="shared" si="47"/>
        <v>1.48</v>
      </c>
      <c r="G129" s="123">
        <f t="shared" si="47"/>
        <v>1.48</v>
      </c>
      <c r="H129" s="123">
        <f t="shared" si="47"/>
        <v>1.48</v>
      </c>
      <c r="I129" s="123">
        <f t="shared" si="47"/>
        <v>1.48</v>
      </c>
      <c r="J129" s="123">
        <f t="shared" si="47"/>
        <v>1.48</v>
      </c>
      <c r="K129" s="123">
        <f t="shared" si="47"/>
        <v>1.48</v>
      </c>
      <c r="L129" s="123">
        <f t="shared" si="47"/>
        <v>1.48</v>
      </c>
      <c r="M129" s="123">
        <f t="shared" si="47"/>
        <v>1.48</v>
      </c>
      <c r="N129" s="123">
        <f t="shared" si="47"/>
        <v>1.48</v>
      </c>
      <c r="O129" s="123">
        <f t="shared" si="47"/>
        <v>1.48</v>
      </c>
      <c r="P129" s="123">
        <f t="shared" si="47"/>
        <v>1.48</v>
      </c>
      <c r="Q129" s="123">
        <f t="shared" si="47"/>
        <v>1.48</v>
      </c>
      <c r="R129" s="123">
        <f t="shared" si="47"/>
        <v>1.48</v>
      </c>
      <c r="S129" s="123">
        <f t="shared" si="47"/>
        <v>1.48</v>
      </c>
      <c r="T129" s="123">
        <f t="shared" si="48"/>
        <v>1.48</v>
      </c>
      <c r="U129" s="123">
        <f t="shared" si="48"/>
        <v>1.48</v>
      </c>
      <c r="V129" s="123">
        <f t="shared" si="48"/>
        <v>1.48</v>
      </c>
      <c r="W129" s="123">
        <f t="shared" si="48"/>
        <v>1.48</v>
      </c>
      <c r="X129" s="123">
        <f t="shared" si="48"/>
        <v>1.48</v>
      </c>
      <c r="Y129" s="123">
        <f t="shared" si="48"/>
        <v>1.48</v>
      </c>
      <c r="Z129" s="123">
        <f t="shared" si="48"/>
        <v>1.48</v>
      </c>
      <c r="AA129" s="123">
        <f t="shared" si="48"/>
        <v>1.48</v>
      </c>
      <c r="AB129" s="123">
        <f t="shared" si="48"/>
        <v>1.48</v>
      </c>
      <c r="AC129" s="123">
        <f t="shared" si="48"/>
        <v>1.48</v>
      </c>
      <c r="AD129" s="123">
        <f t="shared" si="48"/>
        <v>1.48</v>
      </c>
      <c r="AE129" s="123">
        <f t="shared" si="48"/>
        <v>1.48</v>
      </c>
      <c r="AF129" s="123">
        <f t="shared" si="48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49">AF131</f>
        <v>2.2000000000000002</v>
      </c>
      <c r="C131" s="124">
        <v>2.2000000000000002</v>
      </c>
      <c r="D131" s="123">
        <f t="shared" ref="D131:S138" si="50">C131</f>
        <v>2.2000000000000002</v>
      </c>
      <c r="E131" s="123">
        <f t="shared" si="50"/>
        <v>2.2000000000000002</v>
      </c>
      <c r="F131" s="123">
        <f t="shared" si="50"/>
        <v>2.2000000000000002</v>
      </c>
      <c r="G131" s="123">
        <f t="shared" si="50"/>
        <v>2.2000000000000002</v>
      </c>
      <c r="H131" s="123">
        <f t="shared" si="50"/>
        <v>2.2000000000000002</v>
      </c>
      <c r="I131" s="123">
        <f t="shared" si="50"/>
        <v>2.2000000000000002</v>
      </c>
      <c r="J131" s="123">
        <f t="shared" si="50"/>
        <v>2.2000000000000002</v>
      </c>
      <c r="K131" s="123">
        <f t="shared" si="50"/>
        <v>2.2000000000000002</v>
      </c>
      <c r="L131" s="123">
        <f t="shared" si="50"/>
        <v>2.2000000000000002</v>
      </c>
      <c r="M131" s="123">
        <f t="shared" si="50"/>
        <v>2.2000000000000002</v>
      </c>
      <c r="N131" s="123">
        <f t="shared" si="50"/>
        <v>2.2000000000000002</v>
      </c>
      <c r="O131" s="123">
        <f t="shared" si="50"/>
        <v>2.2000000000000002</v>
      </c>
      <c r="P131" s="123">
        <f t="shared" si="50"/>
        <v>2.2000000000000002</v>
      </c>
      <c r="Q131" s="123">
        <f t="shared" si="50"/>
        <v>2.2000000000000002</v>
      </c>
      <c r="R131" s="123">
        <f t="shared" si="50"/>
        <v>2.2000000000000002</v>
      </c>
      <c r="S131" s="123">
        <f t="shared" si="50"/>
        <v>2.2000000000000002</v>
      </c>
      <c r="T131" s="123">
        <f t="shared" ref="T131:AF138" si="51">S131</f>
        <v>2.2000000000000002</v>
      </c>
      <c r="U131" s="123">
        <f t="shared" si="51"/>
        <v>2.2000000000000002</v>
      </c>
      <c r="V131" s="123">
        <f t="shared" si="51"/>
        <v>2.2000000000000002</v>
      </c>
      <c r="W131" s="123">
        <f t="shared" si="51"/>
        <v>2.2000000000000002</v>
      </c>
      <c r="X131" s="123">
        <f t="shared" si="51"/>
        <v>2.2000000000000002</v>
      </c>
      <c r="Y131" s="123">
        <f t="shared" si="51"/>
        <v>2.2000000000000002</v>
      </c>
      <c r="Z131" s="123">
        <f t="shared" si="51"/>
        <v>2.2000000000000002</v>
      </c>
      <c r="AA131" s="123">
        <f t="shared" si="51"/>
        <v>2.2000000000000002</v>
      </c>
      <c r="AB131" s="123">
        <f t="shared" si="51"/>
        <v>2.2000000000000002</v>
      </c>
      <c r="AC131" s="123">
        <f t="shared" si="51"/>
        <v>2.2000000000000002</v>
      </c>
      <c r="AD131" s="123">
        <f t="shared" si="51"/>
        <v>2.2000000000000002</v>
      </c>
      <c r="AE131" s="123">
        <f t="shared" si="51"/>
        <v>2.2000000000000002</v>
      </c>
      <c r="AF131" s="123">
        <f t="shared" si="51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49"/>
        <v>2</v>
      </c>
      <c r="C132" s="124">
        <v>2</v>
      </c>
      <c r="D132" s="123">
        <f t="shared" si="50"/>
        <v>2</v>
      </c>
      <c r="E132" s="123">
        <f t="shared" si="50"/>
        <v>2</v>
      </c>
      <c r="F132" s="123">
        <f t="shared" si="50"/>
        <v>2</v>
      </c>
      <c r="G132" s="123">
        <f t="shared" si="50"/>
        <v>2</v>
      </c>
      <c r="H132" s="123">
        <f t="shared" si="50"/>
        <v>2</v>
      </c>
      <c r="I132" s="123">
        <f t="shared" si="50"/>
        <v>2</v>
      </c>
      <c r="J132" s="123">
        <f t="shared" si="50"/>
        <v>2</v>
      </c>
      <c r="K132" s="123">
        <f t="shared" si="50"/>
        <v>2</v>
      </c>
      <c r="L132" s="123">
        <f t="shared" si="50"/>
        <v>2</v>
      </c>
      <c r="M132" s="123">
        <f t="shared" si="50"/>
        <v>2</v>
      </c>
      <c r="N132" s="123">
        <f t="shared" si="50"/>
        <v>2</v>
      </c>
      <c r="O132" s="123">
        <f t="shared" si="50"/>
        <v>2</v>
      </c>
      <c r="P132" s="123">
        <f t="shared" si="50"/>
        <v>2</v>
      </c>
      <c r="Q132" s="123">
        <f t="shared" si="50"/>
        <v>2</v>
      </c>
      <c r="R132" s="123">
        <f t="shared" si="50"/>
        <v>2</v>
      </c>
      <c r="S132" s="123">
        <f t="shared" si="50"/>
        <v>2</v>
      </c>
      <c r="T132" s="123">
        <f t="shared" si="51"/>
        <v>2</v>
      </c>
      <c r="U132" s="123">
        <f t="shared" si="51"/>
        <v>2</v>
      </c>
      <c r="V132" s="123">
        <f t="shared" si="51"/>
        <v>2</v>
      </c>
      <c r="W132" s="123">
        <f t="shared" si="51"/>
        <v>2</v>
      </c>
      <c r="X132" s="123">
        <f t="shared" si="51"/>
        <v>2</v>
      </c>
      <c r="Y132" s="123">
        <f t="shared" si="51"/>
        <v>2</v>
      </c>
      <c r="Z132" s="123">
        <f t="shared" si="51"/>
        <v>2</v>
      </c>
      <c r="AA132" s="123">
        <f t="shared" si="51"/>
        <v>2</v>
      </c>
      <c r="AB132" s="123">
        <f t="shared" si="51"/>
        <v>2</v>
      </c>
      <c r="AC132" s="123">
        <f t="shared" si="51"/>
        <v>2</v>
      </c>
      <c r="AD132" s="123">
        <f t="shared" si="51"/>
        <v>2</v>
      </c>
      <c r="AE132" s="123">
        <f t="shared" si="51"/>
        <v>2</v>
      </c>
      <c r="AF132" s="123">
        <f t="shared" si="51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49"/>
        <v>1.25</v>
      </c>
      <c r="C133" s="124">
        <v>1.25</v>
      </c>
      <c r="D133" s="123">
        <f t="shared" si="50"/>
        <v>1.25</v>
      </c>
      <c r="E133" s="123">
        <f t="shared" si="50"/>
        <v>1.25</v>
      </c>
      <c r="F133" s="123">
        <f t="shared" si="50"/>
        <v>1.25</v>
      </c>
      <c r="G133" s="123">
        <f t="shared" si="50"/>
        <v>1.25</v>
      </c>
      <c r="H133" s="123">
        <f t="shared" si="50"/>
        <v>1.25</v>
      </c>
      <c r="I133" s="123">
        <f t="shared" si="50"/>
        <v>1.25</v>
      </c>
      <c r="J133" s="123">
        <f t="shared" si="50"/>
        <v>1.25</v>
      </c>
      <c r="K133" s="123">
        <f t="shared" si="50"/>
        <v>1.25</v>
      </c>
      <c r="L133" s="123">
        <f t="shared" si="50"/>
        <v>1.25</v>
      </c>
      <c r="M133" s="123">
        <f t="shared" si="50"/>
        <v>1.25</v>
      </c>
      <c r="N133" s="123">
        <f t="shared" si="50"/>
        <v>1.25</v>
      </c>
      <c r="O133" s="123">
        <f t="shared" si="50"/>
        <v>1.25</v>
      </c>
      <c r="P133" s="123">
        <f t="shared" si="50"/>
        <v>1.25</v>
      </c>
      <c r="Q133" s="123">
        <f t="shared" si="50"/>
        <v>1.25</v>
      </c>
      <c r="R133" s="123">
        <f t="shared" si="50"/>
        <v>1.25</v>
      </c>
      <c r="S133" s="123">
        <f t="shared" si="50"/>
        <v>1.25</v>
      </c>
      <c r="T133" s="123">
        <f t="shared" si="51"/>
        <v>1.25</v>
      </c>
      <c r="U133" s="123">
        <f t="shared" si="51"/>
        <v>1.25</v>
      </c>
      <c r="V133" s="123">
        <f t="shared" si="51"/>
        <v>1.25</v>
      </c>
      <c r="W133" s="123">
        <f t="shared" si="51"/>
        <v>1.25</v>
      </c>
      <c r="X133" s="123">
        <f t="shared" si="51"/>
        <v>1.25</v>
      </c>
      <c r="Y133" s="123">
        <f t="shared" si="51"/>
        <v>1.25</v>
      </c>
      <c r="Z133" s="123">
        <f t="shared" si="51"/>
        <v>1.25</v>
      </c>
      <c r="AA133" s="123">
        <f t="shared" si="51"/>
        <v>1.25</v>
      </c>
      <c r="AB133" s="123">
        <f t="shared" si="51"/>
        <v>1.25</v>
      </c>
      <c r="AC133" s="123">
        <f t="shared" si="51"/>
        <v>1.25</v>
      </c>
      <c r="AD133" s="123">
        <f t="shared" si="51"/>
        <v>1.25</v>
      </c>
      <c r="AE133" s="123">
        <f t="shared" si="51"/>
        <v>1.25</v>
      </c>
      <c r="AF133" s="123">
        <f t="shared" si="51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49"/>
        <v>1.1499999999999999</v>
      </c>
      <c r="C134" s="124">
        <v>1.1499999999999999</v>
      </c>
      <c r="D134" s="123">
        <f t="shared" si="50"/>
        <v>1.1499999999999999</v>
      </c>
      <c r="E134" s="123">
        <f t="shared" si="50"/>
        <v>1.1499999999999999</v>
      </c>
      <c r="F134" s="123">
        <f t="shared" si="50"/>
        <v>1.1499999999999999</v>
      </c>
      <c r="G134" s="123">
        <f t="shared" si="50"/>
        <v>1.1499999999999999</v>
      </c>
      <c r="H134" s="123">
        <f t="shared" si="50"/>
        <v>1.1499999999999999</v>
      </c>
      <c r="I134" s="123">
        <f t="shared" si="50"/>
        <v>1.1499999999999999</v>
      </c>
      <c r="J134" s="123">
        <f t="shared" si="50"/>
        <v>1.1499999999999999</v>
      </c>
      <c r="K134" s="123">
        <f t="shared" si="50"/>
        <v>1.1499999999999999</v>
      </c>
      <c r="L134" s="123">
        <f t="shared" si="50"/>
        <v>1.1499999999999999</v>
      </c>
      <c r="M134" s="123">
        <f t="shared" si="50"/>
        <v>1.1499999999999999</v>
      </c>
      <c r="N134" s="123">
        <f t="shared" si="50"/>
        <v>1.1499999999999999</v>
      </c>
      <c r="O134" s="123">
        <f t="shared" si="50"/>
        <v>1.1499999999999999</v>
      </c>
      <c r="P134" s="123">
        <f t="shared" si="50"/>
        <v>1.1499999999999999</v>
      </c>
      <c r="Q134" s="123">
        <f t="shared" si="50"/>
        <v>1.1499999999999999</v>
      </c>
      <c r="R134" s="123">
        <f t="shared" si="50"/>
        <v>1.1499999999999999</v>
      </c>
      <c r="S134" s="123">
        <f t="shared" si="50"/>
        <v>1.1499999999999999</v>
      </c>
      <c r="T134" s="123">
        <f t="shared" si="51"/>
        <v>1.1499999999999999</v>
      </c>
      <c r="U134" s="123">
        <f t="shared" si="51"/>
        <v>1.1499999999999999</v>
      </c>
      <c r="V134" s="123">
        <f t="shared" si="51"/>
        <v>1.1499999999999999</v>
      </c>
      <c r="W134" s="123">
        <f t="shared" si="51"/>
        <v>1.1499999999999999</v>
      </c>
      <c r="X134" s="123">
        <f t="shared" si="51"/>
        <v>1.1499999999999999</v>
      </c>
      <c r="Y134" s="123">
        <f t="shared" si="51"/>
        <v>1.1499999999999999</v>
      </c>
      <c r="Z134" s="123">
        <f t="shared" si="51"/>
        <v>1.1499999999999999</v>
      </c>
      <c r="AA134" s="123">
        <f t="shared" si="51"/>
        <v>1.1499999999999999</v>
      </c>
      <c r="AB134" s="123">
        <f t="shared" si="51"/>
        <v>1.1499999999999999</v>
      </c>
      <c r="AC134" s="123">
        <f t="shared" si="51"/>
        <v>1.1499999999999999</v>
      </c>
      <c r="AD134" s="123">
        <f t="shared" si="51"/>
        <v>1.1499999999999999</v>
      </c>
      <c r="AE134" s="123">
        <f t="shared" si="51"/>
        <v>1.1499999999999999</v>
      </c>
      <c r="AF134" s="123">
        <f t="shared" si="51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49"/>
        <v>2.133</v>
      </c>
      <c r="C135" s="124">
        <v>2.133</v>
      </c>
      <c r="D135" s="123">
        <f t="shared" si="50"/>
        <v>2.133</v>
      </c>
      <c r="E135" s="123">
        <f t="shared" si="50"/>
        <v>2.133</v>
      </c>
      <c r="F135" s="123">
        <f t="shared" si="50"/>
        <v>2.133</v>
      </c>
      <c r="G135" s="123">
        <f t="shared" si="50"/>
        <v>2.133</v>
      </c>
      <c r="H135" s="123">
        <f t="shared" si="50"/>
        <v>2.133</v>
      </c>
      <c r="I135" s="123">
        <f t="shared" si="50"/>
        <v>2.133</v>
      </c>
      <c r="J135" s="123">
        <f t="shared" si="50"/>
        <v>2.133</v>
      </c>
      <c r="K135" s="123">
        <f t="shared" si="50"/>
        <v>2.133</v>
      </c>
      <c r="L135" s="123">
        <f t="shared" si="50"/>
        <v>2.133</v>
      </c>
      <c r="M135" s="123">
        <f t="shared" si="50"/>
        <v>2.133</v>
      </c>
      <c r="N135" s="123">
        <f t="shared" si="50"/>
        <v>2.133</v>
      </c>
      <c r="O135" s="123">
        <f t="shared" si="50"/>
        <v>2.133</v>
      </c>
      <c r="P135" s="123">
        <f t="shared" si="50"/>
        <v>2.133</v>
      </c>
      <c r="Q135" s="123">
        <f t="shared" si="50"/>
        <v>2.133</v>
      </c>
      <c r="R135" s="123">
        <f t="shared" si="50"/>
        <v>2.133</v>
      </c>
      <c r="S135" s="123">
        <f t="shared" si="50"/>
        <v>2.133</v>
      </c>
      <c r="T135" s="123">
        <f t="shared" si="51"/>
        <v>2.133</v>
      </c>
      <c r="U135" s="123">
        <f t="shared" si="51"/>
        <v>2.133</v>
      </c>
      <c r="V135" s="123">
        <f t="shared" si="51"/>
        <v>2.133</v>
      </c>
      <c r="W135" s="123">
        <f t="shared" si="51"/>
        <v>2.133</v>
      </c>
      <c r="X135" s="123">
        <f t="shared" si="51"/>
        <v>2.133</v>
      </c>
      <c r="Y135" s="123">
        <f t="shared" si="51"/>
        <v>2.133</v>
      </c>
      <c r="Z135" s="123">
        <f t="shared" si="51"/>
        <v>2.133</v>
      </c>
      <c r="AA135" s="123">
        <f t="shared" si="51"/>
        <v>2.133</v>
      </c>
      <c r="AB135" s="123">
        <f t="shared" si="51"/>
        <v>2.133</v>
      </c>
      <c r="AC135" s="123">
        <f t="shared" si="51"/>
        <v>2.133</v>
      </c>
      <c r="AD135" s="123">
        <f t="shared" si="51"/>
        <v>2.133</v>
      </c>
      <c r="AE135" s="123">
        <f t="shared" si="51"/>
        <v>2.133</v>
      </c>
      <c r="AF135" s="123">
        <f t="shared" si="51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49"/>
        <v>2.09</v>
      </c>
      <c r="C136" s="124">
        <v>2.09</v>
      </c>
      <c r="D136" s="123">
        <f t="shared" si="50"/>
        <v>2.09</v>
      </c>
      <c r="E136" s="123">
        <f t="shared" si="50"/>
        <v>2.09</v>
      </c>
      <c r="F136" s="123">
        <f t="shared" si="50"/>
        <v>2.09</v>
      </c>
      <c r="G136" s="123">
        <f t="shared" si="50"/>
        <v>2.09</v>
      </c>
      <c r="H136" s="123">
        <f t="shared" si="50"/>
        <v>2.09</v>
      </c>
      <c r="I136" s="123">
        <f t="shared" si="50"/>
        <v>2.09</v>
      </c>
      <c r="J136" s="123">
        <f t="shared" si="50"/>
        <v>2.09</v>
      </c>
      <c r="K136" s="123">
        <f t="shared" si="50"/>
        <v>2.09</v>
      </c>
      <c r="L136" s="123">
        <f t="shared" si="50"/>
        <v>2.09</v>
      </c>
      <c r="M136" s="123">
        <f t="shared" si="50"/>
        <v>2.09</v>
      </c>
      <c r="N136" s="123">
        <f t="shared" si="50"/>
        <v>2.09</v>
      </c>
      <c r="O136" s="123">
        <f t="shared" si="50"/>
        <v>2.09</v>
      </c>
      <c r="P136" s="123">
        <f t="shared" si="50"/>
        <v>2.09</v>
      </c>
      <c r="Q136" s="123">
        <f t="shared" si="50"/>
        <v>2.09</v>
      </c>
      <c r="R136" s="123">
        <f t="shared" si="50"/>
        <v>2.09</v>
      </c>
      <c r="S136" s="123">
        <f t="shared" si="50"/>
        <v>2.09</v>
      </c>
      <c r="T136" s="123">
        <f t="shared" si="51"/>
        <v>2.09</v>
      </c>
      <c r="U136" s="123">
        <f t="shared" si="51"/>
        <v>2.09</v>
      </c>
      <c r="V136" s="123">
        <f t="shared" si="51"/>
        <v>2.09</v>
      </c>
      <c r="W136" s="123">
        <f t="shared" si="51"/>
        <v>2.09</v>
      </c>
      <c r="X136" s="123">
        <f t="shared" si="51"/>
        <v>2.09</v>
      </c>
      <c r="Y136" s="123">
        <f t="shared" si="51"/>
        <v>2.09</v>
      </c>
      <c r="Z136" s="123">
        <f t="shared" si="51"/>
        <v>2.09</v>
      </c>
      <c r="AA136" s="123">
        <f t="shared" si="51"/>
        <v>2.09</v>
      </c>
      <c r="AB136" s="123">
        <f t="shared" si="51"/>
        <v>2.09</v>
      </c>
      <c r="AC136" s="123">
        <f t="shared" si="51"/>
        <v>2.09</v>
      </c>
      <c r="AD136" s="123">
        <f t="shared" si="51"/>
        <v>2.09</v>
      </c>
      <c r="AE136" s="123">
        <f t="shared" si="51"/>
        <v>2.09</v>
      </c>
      <c r="AF136" s="123">
        <f t="shared" si="51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49"/>
        <v>1.1399999999999999</v>
      </c>
      <c r="C137" s="124">
        <v>1.1399999999999999</v>
      </c>
      <c r="D137" s="123">
        <f t="shared" si="50"/>
        <v>1.1399999999999999</v>
      </c>
      <c r="E137" s="123">
        <f t="shared" si="50"/>
        <v>1.1399999999999999</v>
      </c>
      <c r="F137" s="123">
        <f t="shared" si="50"/>
        <v>1.1399999999999999</v>
      </c>
      <c r="G137" s="123">
        <f t="shared" si="50"/>
        <v>1.1399999999999999</v>
      </c>
      <c r="H137" s="123">
        <f t="shared" si="50"/>
        <v>1.1399999999999999</v>
      </c>
      <c r="I137" s="123">
        <f t="shared" si="50"/>
        <v>1.1399999999999999</v>
      </c>
      <c r="J137" s="123">
        <f t="shared" si="50"/>
        <v>1.1399999999999999</v>
      </c>
      <c r="K137" s="123">
        <f t="shared" si="50"/>
        <v>1.1399999999999999</v>
      </c>
      <c r="L137" s="123">
        <f t="shared" si="50"/>
        <v>1.1399999999999999</v>
      </c>
      <c r="M137" s="123">
        <f t="shared" si="50"/>
        <v>1.1399999999999999</v>
      </c>
      <c r="N137" s="123">
        <f t="shared" si="50"/>
        <v>1.1399999999999999</v>
      </c>
      <c r="O137" s="123">
        <f t="shared" si="50"/>
        <v>1.1399999999999999</v>
      </c>
      <c r="P137" s="123">
        <f t="shared" si="50"/>
        <v>1.1399999999999999</v>
      </c>
      <c r="Q137" s="123">
        <f t="shared" si="50"/>
        <v>1.1399999999999999</v>
      </c>
      <c r="R137" s="123">
        <f t="shared" si="50"/>
        <v>1.1399999999999999</v>
      </c>
      <c r="S137" s="123">
        <f t="shared" si="50"/>
        <v>1.1399999999999999</v>
      </c>
      <c r="T137" s="123">
        <f t="shared" si="51"/>
        <v>1.1399999999999999</v>
      </c>
      <c r="U137" s="123">
        <f t="shared" si="51"/>
        <v>1.1399999999999999</v>
      </c>
      <c r="V137" s="123">
        <f t="shared" si="51"/>
        <v>1.1399999999999999</v>
      </c>
      <c r="W137" s="123">
        <f t="shared" si="51"/>
        <v>1.1399999999999999</v>
      </c>
      <c r="X137" s="123">
        <f t="shared" si="51"/>
        <v>1.1399999999999999</v>
      </c>
      <c r="Y137" s="123">
        <f t="shared" si="51"/>
        <v>1.1399999999999999</v>
      </c>
      <c r="Z137" s="123">
        <f t="shared" si="51"/>
        <v>1.1399999999999999</v>
      </c>
      <c r="AA137" s="123">
        <f t="shared" si="51"/>
        <v>1.1399999999999999</v>
      </c>
      <c r="AB137" s="123">
        <f t="shared" si="51"/>
        <v>1.1399999999999999</v>
      </c>
      <c r="AC137" s="123">
        <f t="shared" si="51"/>
        <v>1.1399999999999999</v>
      </c>
      <c r="AD137" s="123">
        <f t="shared" si="51"/>
        <v>1.1399999999999999</v>
      </c>
      <c r="AE137" s="123">
        <f t="shared" si="51"/>
        <v>1.1399999999999999</v>
      </c>
      <c r="AF137" s="123">
        <f t="shared" si="51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49"/>
        <v>0.82</v>
      </c>
      <c r="C138" s="124">
        <v>0.82</v>
      </c>
      <c r="D138" s="123">
        <f t="shared" si="50"/>
        <v>0.82</v>
      </c>
      <c r="E138" s="123">
        <f t="shared" si="50"/>
        <v>0.82</v>
      </c>
      <c r="F138" s="123">
        <f t="shared" si="50"/>
        <v>0.82</v>
      </c>
      <c r="G138" s="123">
        <f t="shared" si="50"/>
        <v>0.82</v>
      </c>
      <c r="H138" s="123">
        <f t="shared" si="50"/>
        <v>0.82</v>
      </c>
      <c r="I138" s="123">
        <f t="shared" si="50"/>
        <v>0.82</v>
      </c>
      <c r="J138" s="123">
        <f t="shared" si="50"/>
        <v>0.82</v>
      </c>
      <c r="K138" s="123">
        <f t="shared" si="50"/>
        <v>0.82</v>
      </c>
      <c r="L138" s="123">
        <f t="shared" si="50"/>
        <v>0.82</v>
      </c>
      <c r="M138" s="123">
        <f t="shared" si="50"/>
        <v>0.82</v>
      </c>
      <c r="N138" s="123">
        <f t="shared" si="50"/>
        <v>0.82</v>
      </c>
      <c r="O138" s="123">
        <f t="shared" si="50"/>
        <v>0.82</v>
      </c>
      <c r="P138" s="123">
        <f t="shared" si="50"/>
        <v>0.82</v>
      </c>
      <c r="Q138" s="123">
        <f t="shared" si="50"/>
        <v>0.82</v>
      </c>
      <c r="R138" s="123">
        <f t="shared" si="50"/>
        <v>0.82</v>
      </c>
      <c r="S138" s="123">
        <f t="shared" si="50"/>
        <v>0.82</v>
      </c>
      <c r="T138" s="123">
        <f t="shared" si="51"/>
        <v>0.82</v>
      </c>
      <c r="U138" s="123">
        <f t="shared" si="51"/>
        <v>0.82</v>
      </c>
      <c r="V138" s="123">
        <f t="shared" si="51"/>
        <v>0.82</v>
      </c>
      <c r="W138" s="123">
        <f t="shared" si="51"/>
        <v>0.82</v>
      </c>
      <c r="X138" s="123">
        <f t="shared" si="51"/>
        <v>0.82</v>
      </c>
      <c r="Y138" s="123">
        <f t="shared" si="51"/>
        <v>0.82</v>
      </c>
      <c r="Z138" s="123">
        <f t="shared" si="51"/>
        <v>0.82</v>
      </c>
      <c r="AA138" s="123">
        <f t="shared" si="51"/>
        <v>0.82</v>
      </c>
      <c r="AB138" s="123">
        <f t="shared" si="51"/>
        <v>0.82</v>
      </c>
      <c r="AC138" s="123">
        <f t="shared" si="51"/>
        <v>0.82</v>
      </c>
      <c r="AD138" s="123">
        <f t="shared" si="51"/>
        <v>0.82</v>
      </c>
      <c r="AE138" s="123">
        <f t="shared" si="51"/>
        <v>0.82</v>
      </c>
      <c r="AF138" s="123">
        <f t="shared" si="51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2">AF140</f>
        <v>2</v>
      </c>
      <c r="C140" s="124">
        <v>2</v>
      </c>
      <c r="D140" s="123">
        <f t="shared" ref="D140:S146" si="53">C140</f>
        <v>2</v>
      </c>
      <c r="E140" s="123">
        <f t="shared" si="53"/>
        <v>2</v>
      </c>
      <c r="F140" s="123">
        <f t="shared" si="53"/>
        <v>2</v>
      </c>
      <c r="G140" s="123">
        <f t="shared" si="53"/>
        <v>2</v>
      </c>
      <c r="H140" s="123">
        <f t="shared" si="53"/>
        <v>2</v>
      </c>
      <c r="I140" s="123">
        <f t="shared" si="53"/>
        <v>2</v>
      </c>
      <c r="J140" s="123">
        <f t="shared" si="53"/>
        <v>2</v>
      </c>
      <c r="K140" s="123">
        <f t="shared" si="53"/>
        <v>2</v>
      </c>
      <c r="L140" s="123">
        <f t="shared" si="53"/>
        <v>2</v>
      </c>
      <c r="M140" s="123">
        <f t="shared" si="53"/>
        <v>2</v>
      </c>
      <c r="N140" s="123">
        <f t="shared" si="53"/>
        <v>2</v>
      </c>
      <c r="O140" s="123">
        <f t="shared" si="53"/>
        <v>2</v>
      </c>
      <c r="P140" s="123">
        <f t="shared" si="53"/>
        <v>2</v>
      </c>
      <c r="Q140" s="123">
        <f t="shared" si="53"/>
        <v>2</v>
      </c>
      <c r="R140" s="123">
        <f t="shared" si="53"/>
        <v>2</v>
      </c>
      <c r="S140" s="123">
        <f t="shared" si="53"/>
        <v>2</v>
      </c>
      <c r="T140" s="123">
        <f t="shared" ref="T140:AF146" si="54">S140</f>
        <v>2</v>
      </c>
      <c r="U140" s="123">
        <f t="shared" si="54"/>
        <v>2</v>
      </c>
      <c r="V140" s="123">
        <f t="shared" si="54"/>
        <v>2</v>
      </c>
      <c r="W140" s="123">
        <f t="shared" si="54"/>
        <v>2</v>
      </c>
      <c r="X140" s="123">
        <f t="shared" si="54"/>
        <v>2</v>
      </c>
      <c r="Y140" s="123">
        <f t="shared" si="54"/>
        <v>2</v>
      </c>
      <c r="Z140" s="123">
        <f t="shared" si="54"/>
        <v>2</v>
      </c>
      <c r="AA140" s="123">
        <f t="shared" si="54"/>
        <v>2</v>
      </c>
      <c r="AB140" s="123">
        <f t="shared" si="54"/>
        <v>2</v>
      </c>
      <c r="AC140" s="123">
        <f t="shared" si="54"/>
        <v>2</v>
      </c>
      <c r="AD140" s="123">
        <f t="shared" si="54"/>
        <v>2</v>
      </c>
      <c r="AE140" s="123">
        <f t="shared" si="54"/>
        <v>2</v>
      </c>
      <c r="AF140" s="123">
        <f t="shared" si="54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2"/>
        <v>5.61</v>
      </c>
      <c r="C141" s="124">
        <v>5.61</v>
      </c>
      <c r="D141" s="123">
        <f t="shared" si="53"/>
        <v>5.61</v>
      </c>
      <c r="E141" s="123">
        <f t="shared" si="53"/>
        <v>5.61</v>
      </c>
      <c r="F141" s="123">
        <f t="shared" si="53"/>
        <v>5.61</v>
      </c>
      <c r="G141" s="123">
        <f t="shared" si="53"/>
        <v>5.61</v>
      </c>
      <c r="H141" s="123">
        <f t="shared" si="53"/>
        <v>5.61</v>
      </c>
      <c r="I141" s="123">
        <f t="shared" si="53"/>
        <v>5.61</v>
      </c>
      <c r="J141" s="123">
        <f t="shared" si="53"/>
        <v>5.61</v>
      </c>
      <c r="K141" s="123">
        <f t="shared" si="53"/>
        <v>5.61</v>
      </c>
      <c r="L141" s="123">
        <f t="shared" si="53"/>
        <v>5.61</v>
      </c>
      <c r="M141" s="123">
        <f t="shared" si="53"/>
        <v>5.61</v>
      </c>
      <c r="N141" s="123">
        <f t="shared" si="53"/>
        <v>5.61</v>
      </c>
      <c r="O141" s="123">
        <f t="shared" si="53"/>
        <v>5.61</v>
      </c>
      <c r="P141" s="123">
        <f t="shared" si="53"/>
        <v>5.61</v>
      </c>
      <c r="Q141" s="123">
        <f t="shared" si="53"/>
        <v>5.61</v>
      </c>
      <c r="R141" s="123">
        <f t="shared" si="53"/>
        <v>5.61</v>
      </c>
      <c r="S141" s="123">
        <f t="shared" si="53"/>
        <v>5.61</v>
      </c>
      <c r="T141" s="123">
        <f t="shared" si="54"/>
        <v>5.61</v>
      </c>
      <c r="U141" s="123">
        <f t="shared" si="54"/>
        <v>5.61</v>
      </c>
      <c r="V141" s="123">
        <f t="shared" si="54"/>
        <v>5.61</v>
      </c>
      <c r="W141" s="123">
        <f t="shared" si="54"/>
        <v>5.61</v>
      </c>
      <c r="X141" s="123">
        <f t="shared" si="54"/>
        <v>5.61</v>
      </c>
      <c r="Y141" s="123">
        <f t="shared" si="54"/>
        <v>5.61</v>
      </c>
      <c r="Z141" s="123">
        <f t="shared" si="54"/>
        <v>5.61</v>
      </c>
      <c r="AA141" s="123">
        <f t="shared" si="54"/>
        <v>5.61</v>
      </c>
      <c r="AB141" s="123">
        <f t="shared" si="54"/>
        <v>5.61</v>
      </c>
      <c r="AC141" s="123">
        <f t="shared" si="54"/>
        <v>5.61</v>
      </c>
      <c r="AD141" s="123">
        <f t="shared" si="54"/>
        <v>5.61</v>
      </c>
      <c r="AE141" s="123">
        <f t="shared" si="54"/>
        <v>5.61</v>
      </c>
      <c r="AF141" s="123">
        <f t="shared" si="54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2"/>
        <v>1.25</v>
      </c>
      <c r="C142" s="124">
        <v>1.25</v>
      </c>
      <c r="D142" s="123">
        <f t="shared" si="53"/>
        <v>1.25</v>
      </c>
      <c r="E142" s="123">
        <f t="shared" si="53"/>
        <v>1.25</v>
      </c>
      <c r="F142" s="123">
        <f t="shared" si="53"/>
        <v>1.25</v>
      </c>
      <c r="G142" s="123">
        <f t="shared" si="53"/>
        <v>1.25</v>
      </c>
      <c r="H142" s="123">
        <f t="shared" si="53"/>
        <v>1.25</v>
      </c>
      <c r="I142" s="123">
        <f t="shared" si="53"/>
        <v>1.25</v>
      </c>
      <c r="J142" s="123">
        <f t="shared" si="53"/>
        <v>1.25</v>
      </c>
      <c r="K142" s="123">
        <f t="shared" si="53"/>
        <v>1.25</v>
      </c>
      <c r="L142" s="123">
        <f t="shared" si="53"/>
        <v>1.25</v>
      </c>
      <c r="M142" s="123">
        <f t="shared" si="53"/>
        <v>1.25</v>
      </c>
      <c r="N142" s="123">
        <f t="shared" si="53"/>
        <v>1.25</v>
      </c>
      <c r="O142" s="123">
        <f t="shared" si="53"/>
        <v>1.25</v>
      </c>
      <c r="P142" s="123">
        <f t="shared" si="53"/>
        <v>1.25</v>
      </c>
      <c r="Q142" s="123">
        <f t="shared" si="53"/>
        <v>1.25</v>
      </c>
      <c r="R142" s="123">
        <f t="shared" si="53"/>
        <v>1.25</v>
      </c>
      <c r="S142" s="123">
        <f t="shared" si="53"/>
        <v>1.25</v>
      </c>
      <c r="T142" s="123">
        <f t="shared" si="54"/>
        <v>1.25</v>
      </c>
      <c r="U142" s="123">
        <f t="shared" si="54"/>
        <v>1.25</v>
      </c>
      <c r="V142" s="123">
        <f t="shared" si="54"/>
        <v>1.25</v>
      </c>
      <c r="W142" s="123">
        <f t="shared" si="54"/>
        <v>1.25</v>
      </c>
      <c r="X142" s="123">
        <f t="shared" si="54"/>
        <v>1.25</v>
      </c>
      <c r="Y142" s="123">
        <f t="shared" si="54"/>
        <v>1.25</v>
      </c>
      <c r="Z142" s="123">
        <f t="shared" si="54"/>
        <v>1.25</v>
      </c>
      <c r="AA142" s="123">
        <f t="shared" si="54"/>
        <v>1.25</v>
      </c>
      <c r="AB142" s="123">
        <f t="shared" si="54"/>
        <v>1.25</v>
      </c>
      <c r="AC142" s="123">
        <f t="shared" si="54"/>
        <v>1.25</v>
      </c>
      <c r="AD142" s="123">
        <f t="shared" si="54"/>
        <v>1.25</v>
      </c>
      <c r="AE142" s="123">
        <f t="shared" si="54"/>
        <v>1.25</v>
      </c>
      <c r="AF142" s="123">
        <f t="shared" si="54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2"/>
        <v>1.25</v>
      </c>
      <c r="C143" s="124">
        <v>1.25</v>
      </c>
      <c r="D143" s="123">
        <f t="shared" si="53"/>
        <v>1.25</v>
      </c>
      <c r="E143" s="123">
        <f t="shared" si="53"/>
        <v>1.25</v>
      </c>
      <c r="F143" s="123">
        <f t="shared" si="53"/>
        <v>1.25</v>
      </c>
      <c r="G143" s="123">
        <f t="shared" si="53"/>
        <v>1.25</v>
      </c>
      <c r="H143" s="123">
        <f t="shared" si="53"/>
        <v>1.25</v>
      </c>
      <c r="I143" s="123">
        <f t="shared" si="53"/>
        <v>1.25</v>
      </c>
      <c r="J143" s="123">
        <f t="shared" si="53"/>
        <v>1.25</v>
      </c>
      <c r="K143" s="123">
        <f t="shared" si="53"/>
        <v>1.25</v>
      </c>
      <c r="L143" s="123">
        <f t="shared" si="53"/>
        <v>1.25</v>
      </c>
      <c r="M143" s="123">
        <f t="shared" si="53"/>
        <v>1.25</v>
      </c>
      <c r="N143" s="123">
        <f t="shared" si="53"/>
        <v>1.25</v>
      </c>
      <c r="O143" s="123">
        <f t="shared" si="53"/>
        <v>1.25</v>
      </c>
      <c r="P143" s="123">
        <f t="shared" si="53"/>
        <v>1.25</v>
      </c>
      <c r="Q143" s="123">
        <f t="shared" si="53"/>
        <v>1.25</v>
      </c>
      <c r="R143" s="123">
        <f t="shared" si="53"/>
        <v>1.25</v>
      </c>
      <c r="S143" s="123">
        <f t="shared" si="53"/>
        <v>1.25</v>
      </c>
      <c r="T143" s="123">
        <f t="shared" si="54"/>
        <v>1.25</v>
      </c>
      <c r="U143" s="123">
        <f t="shared" si="54"/>
        <v>1.25</v>
      </c>
      <c r="V143" s="123">
        <f t="shared" si="54"/>
        <v>1.25</v>
      </c>
      <c r="W143" s="123">
        <f t="shared" si="54"/>
        <v>1.25</v>
      </c>
      <c r="X143" s="123">
        <f t="shared" si="54"/>
        <v>1.25</v>
      </c>
      <c r="Y143" s="123">
        <f t="shared" si="54"/>
        <v>1.25</v>
      </c>
      <c r="Z143" s="123">
        <f t="shared" si="54"/>
        <v>1.25</v>
      </c>
      <c r="AA143" s="123">
        <f t="shared" si="54"/>
        <v>1.25</v>
      </c>
      <c r="AB143" s="123">
        <f t="shared" si="54"/>
        <v>1.25</v>
      </c>
      <c r="AC143" s="123">
        <f t="shared" si="54"/>
        <v>1.25</v>
      </c>
      <c r="AD143" s="123">
        <f t="shared" si="54"/>
        <v>1.25</v>
      </c>
      <c r="AE143" s="123">
        <f t="shared" si="54"/>
        <v>1.25</v>
      </c>
      <c r="AF143" s="123">
        <f t="shared" si="54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2"/>
        <v>1.46</v>
      </c>
      <c r="C144" s="124">
        <v>1.46</v>
      </c>
      <c r="D144" s="123">
        <f t="shared" si="53"/>
        <v>1.46</v>
      </c>
      <c r="E144" s="123">
        <f t="shared" si="53"/>
        <v>1.46</v>
      </c>
      <c r="F144" s="123">
        <f t="shared" si="53"/>
        <v>1.46</v>
      </c>
      <c r="G144" s="123">
        <f t="shared" si="53"/>
        <v>1.46</v>
      </c>
      <c r="H144" s="123">
        <f t="shared" si="53"/>
        <v>1.46</v>
      </c>
      <c r="I144" s="123">
        <f t="shared" si="53"/>
        <v>1.46</v>
      </c>
      <c r="J144" s="123">
        <f t="shared" si="53"/>
        <v>1.46</v>
      </c>
      <c r="K144" s="123">
        <f t="shared" si="53"/>
        <v>1.46</v>
      </c>
      <c r="L144" s="123">
        <f t="shared" si="53"/>
        <v>1.46</v>
      </c>
      <c r="M144" s="123">
        <f t="shared" si="53"/>
        <v>1.46</v>
      </c>
      <c r="N144" s="123">
        <f t="shared" si="53"/>
        <v>1.46</v>
      </c>
      <c r="O144" s="123">
        <f t="shared" si="53"/>
        <v>1.46</v>
      </c>
      <c r="P144" s="123">
        <f t="shared" si="53"/>
        <v>1.46</v>
      </c>
      <c r="Q144" s="123">
        <f t="shared" si="53"/>
        <v>1.46</v>
      </c>
      <c r="R144" s="123">
        <f t="shared" si="53"/>
        <v>1.46</v>
      </c>
      <c r="S144" s="123">
        <f t="shared" si="53"/>
        <v>1.46</v>
      </c>
      <c r="T144" s="123">
        <f t="shared" si="54"/>
        <v>1.46</v>
      </c>
      <c r="U144" s="123">
        <f t="shared" si="54"/>
        <v>1.46</v>
      </c>
      <c r="V144" s="123">
        <f t="shared" si="54"/>
        <v>1.46</v>
      </c>
      <c r="W144" s="123">
        <f t="shared" si="54"/>
        <v>1.46</v>
      </c>
      <c r="X144" s="123">
        <f t="shared" si="54"/>
        <v>1.46</v>
      </c>
      <c r="Y144" s="123">
        <f t="shared" si="54"/>
        <v>1.46</v>
      </c>
      <c r="Z144" s="123">
        <f t="shared" si="54"/>
        <v>1.46</v>
      </c>
      <c r="AA144" s="123">
        <f t="shared" si="54"/>
        <v>1.46</v>
      </c>
      <c r="AB144" s="123">
        <f t="shared" si="54"/>
        <v>1.46</v>
      </c>
      <c r="AC144" s="123">
        <f t="shared" si="54"/>
        <v>1.46</v>
      </c>
      <c r="AD144" s="123">
        <f t="shared" si="54"/>
        <v>1.46</v>
      </c>
      <c r="AE144" s="123">
        <f t="shared" si="54"/>
        <v>1.46</v>
      </c>
      <c r="AF144" s="123">
        <f t="shared" si="54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2"/>
        <v>3</v>
      </c>
      <c r="C145" s="124">
        <v>3</v>
      </c>
      <c r="D145" s="123">
        <f t="shared" si="53"/>
        <v>3</v>
      </c>
      <c r="E145" s="123">
        <f t="shared" si="53"/>
        <v>3</v>
      </c>
      <c r="F145" s="123">
        <f t="shared" si="53"/>
        <v>3</v>
      </c>
      <c r="G145" s="123">
        <f t="shared" si="53"/>
        <v>3</v>
      </c>
      <c r="H145" s="123">
        <f t="shared" si="53"/>
        <v>3</v>
      </c>
      <c r="I145" s="123">
        <f t="shared" si="53"/>
        <v>3</v>
      </c>
      <c r="J145" s="123">
        <f t="shared" si="53"/>
        <v>3</v>
      </c>
      <c r="K145" s="123">
        <f t="shared" si="53"/>
        <v>3</v>
      </c>
      <c r="L145" s="123">
        <f t="shared" si="53"/>
        <v>3</v>
      </c>
      <c r="M145" s="123">
        <f t="shared" si="53"/>
        <v>3</v>
      </c>
      <c r="N145" s="123">
        <f t="shared" si="53"/>
        <v>3</v>
      </c>
      <c r="O145" s="123">
        <f t="shared" si="53"/>
        <v>3</v>
      </c>
      <c r="P145" s="123">
        <f t="shared" si="53"/>
        <v>3</v>
      </c>
      <c r="Q145" s="123">
        <f t="shared" si="53"/>
        <v>3</v>
      </c>
      <c r="R145" s="123">
        <f t="shared" si="53"/>
        <v>3</v>
      </c>
      <c r="S145" s="123">
        <f t="shared" si="53"/>
        <v>3</v>
      </c>
      <c r="T145" s="123">
        <f t="shared" si="54"/>
        <v>3</v>
      </c>
      <c r="U145" s="123">
        <f t="shared" si="54"/>
        <v>3</v>
      </c>
      <c r="V145" s="123">
        <f t="shared" si="54"/>
        <v>3</v>
      </c>
      <c r="W145" s="123">
        <f t="shared" si="54"/>
        <v>3</v>
      </c>
      <c r="X145" s="123">
        <f t="shared" si="54"/>
        <v>3</v>
      </c>
      <c r="Y145" s="123">
        <f t="shared" si="54"/>
        <v>3</v>
      </c>
      <c r="Z145" s="123">
        <f t="shared" si="54"/>
        <v>3</v>
      </c>
      <c r="AA145" s="123">
        <f t="shared" si="54"/>
        <v>3</v>
      </c>
      <c r="AB145" s="123">
        <f t="shared" si="54"/>
        <v>3</v>
      </c>
      <c r="AC145" s="123">
        <f t="shared" si="54"/>
        <v>3</v>
      </c>
      <c r="AD145" s="123">
        <f t="shared" si="54"/>
        <v>3</v>
      </c>
      <c r="AE145" s="123">
        <f t="shared" si="54"/>
        <v>3</v>
      </c>
      <c r="AF145" s="123">
        <f t="shared" si="54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2"/>
        <v>3.3</v>
      </c>
      <c r="C146" s="124">
        <v>3.3</v>
      </c>
      <c r="D146" s="123">
        <f t="shared" si="53"/>
        <v>3.3</v>
      </c>
      <c r="E146" s="123">
        <f t="shared" si="53"/>
        <v>3.3</v>
      </c>
      <c r="F146" s="123">
        <f t="shared" si="53"/>
        <v>3.3</v>
      </c>
      <c r="G146" s="123">
        <f t="shared" si="53"/>
        <v>3.3</v>
      </c>
      <c r="H146" s="123">
        <f t="shared" si="53"/>
        <v>3.3</v>
      </c>
      <c r="I146" s="123">
        <f t="shared" si="53"/>
        <v>3.3</v>
      </c>
      <c r="J146" s="123">
        <f t="shared" si="53"/>
        <v>3.3</v>
      </c>
      <c r="K146" s="123">
        <f t="shared" si="53"/>
        <v>3.3</v>
      </c>
      <c r="L146" s="123">
        <f t="shared" si="53"/>
        <v>3.3</v>
      </c>
      <c r="M146" s="123">
        <f t="shared" si="53"/>
        <v>3.3</v>
      </c>
      <c r="N146" s="123">
        <f t="shared" si="53"/>
        <v>3.3</v>
      </c>
      <c r="O146" s="123">
        <f t="shared" si="53"/>
        <v>3.3</v>
      </c>
      <c r="P146" s="123">
        <f t="shared" si="53"/>
        <v>3.3</v>
      </c>
      <c r="Q146" s="123">
        <f t="shared" si="53"/>
        <v>3.3</v>
      </c>
      <c r="R146" s="123">
        <f t="shared" si="53"/>
        <v>3.3</v>
      </c>
      <c r="S146" s="123">
        <f t="shared" si="53"/>
        <v>3.3</v>
      </c>
      <c r="T146" s="123">
        <f t="shared" si="54"/>
        <v>3.3</v>
      </c>
      <c r="U146" s="123">
        <f t="shared" si="54"/>
        <v>3.3</v>
      </c>
      <c r="V146" s="123">
        <f t="shared" si="54"/>
        <v>3.3</v>
      </c>
      <c r="W146" s="123">
        <f t="shared" si="54"/>
        <v>3.3</v>
      </c>
      <c r="X146" s="123">
        <f t="shared" si="54"/>
        <v>3.3</v>
      </c>
      <c r="Y146" s="123">
        <f t="shared" si="54"/>
        <v>3.3</v>
      </c>
      <c r="Z146" s="123">
        <f t="shared" si="54"/>
        <v>3.3</v>
      </c>
      <c r="AA146" s="123">
        <f t="shared" si="54"/>
        <v>3.3</v>
      </c>
      <c r="AB146" s="123">
        <f t="shared" si="54"/>
        <v>3.3</v>
      </c>
      <c r="AC146" s="123">
        <f t="shared" si="54"/>
        <v>3.3</v>
      </c>
      <c r="AD146" s="123">
        <f t="shared" si="54"/>
        <v>3.3</v>
      </c>
      <c r="AE146" s="123">
        <f t="shared" si="54"/>
        <v>3.3</v>
      </c>
      <c r="AF146" s="123">
        <f t="shared" si="54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5">C148</f>
        <v>1.76</v>
      </c>
      <c r="E148" s="123">
        <f t="shared" si="55"/>
        <v>1.76</v>
      </c>
      <c r="F148" s="123">
        <f t="shared" si="55"/>
        <v>1.76</v>
      </c>
      <c r="G148" s="123">
        <f t="shared" si="55"/>
        <v>1.76</v>
      </c>
      <c r="H148" s="123">
        <f t="shared" si="55"/>
        <v>1.76</v>
      </c>
      <c r="I148" s="123">
        <f t="shared" si="55"/>
        <v>1.76</v>
      </c>
      <c r="J148" s="123">
        <f t="shared" si="55"/>
        <v>1.76</v>
      </c>
      <c r="K148" s="123">
        <f t="shared" si="55"/>
        <v>1.76</v>
      </c>
      <c r="L148" s="123">
        <f t="shared" si="55"/>
        <v>1.76</v>
      </c>
      <c r="M148" s="123">
        <f t="shared" si="55"/>
        <v>1.76</v>
      </c>
      <c r="N148" s="123">
        <f t="shared" si="55"/>
        <v>1.76</v>
      </c>
      <c r="O148" s="123">
        <f t="shared" si="55"/>
        <v>1.76</v>
      </c>
      <c r="P148" s="123">
        <f t="shared" si="55"/>
        <v>1.76</v>
      </c>
      <c r="Q148" s="123">
        <f t="shared" si="55"/>
        <v>1.76</v>
      </c>
      <c r="R148" s="123">
        <f t="shared" si="55"/>
        <v>1.76</v>
      </c>
      <c r="S148" s="123">
        <f t="shared" si="55"/>
        <v>1.76</v>
      </c>
      <c r="T148" s="123">
        <f t="shared" ref="T148:AF149" si="56">S148</f>
        <v>1.76</v>
      </c>
      <c r="U148" s="123">
        <f t="shared" si="56"/>
        <v>1.76</v>
      </c>
      <c r="V148" s="123">
        <f t="shared" si="56"/>
        <v>1.76</v>
      </c>
      <c r="W148" s="123">
        <f t="shared" si="56"/>
        <v>1.76</v>
      </c>
      <c r="X148" s="123">
        <f t="shared" si="56"/>
        <v>1.76</v>
      </c>
      <c r="Y148" s="123">
        <f t="shared" si="56"/>
        <v>1.76</v>
      </c>
      <c r="Z148" s="123">
        <f t="shared" si="56"/>
        <v>1.76</v>
      </c>
      <c r="AA148" s="123">
        <f t="shared" si="56"/>
        <v>1.76</v>
      </c>
      <c r="AB148" s="123">
        <f t="shared" si="56"/>
        <v>1.76</v>
      </c>
      <c r="AC148" s="123">
        <f t="shared" si="56"/>
        <v>1.76</v>
      </c>
      <c r="AD148" s="123">
        <f t="shared" si="56"/>
        <v>1.76</v>
      </c>
      <c r="AE148" s="123">
        <f t="shared" si="56"/>
        <v>1.76</v>
      </c>
      <c r="AF148" s="123">
        <f t="shared" si="56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5"/>
        <v>0</v>
      </c>
      <c r="E149" s="123">
        <f t="shared" si="55"/>
        <v>0</v>
      </c>
      <c r="F149" s="123">
        <f t="shared" si="55"/>
        <v>0</v>
      </c>
      <c r="G149" s="123">
        <f t="shared" si="55"/>
        <v>0</v>
      </c>
      <c r="H149" s="123">
        <f t="shared" si="55"/>
        <v>0</v>
      </c>
      <c r="I149" s="123">
        <f t="shared" si="55"/>
        <v>0</v>
      </c>
      <c r="J149" s="123">
        <f t="shared" si="55"/>
        <v>0</v>
      </c>
      <c r="K149" s="123">
        <f t="shared" si="55"/>
        <v>0</v>
      </c>
      <c r="L149" s="123">
        <f t="shared" si="55"/>
        <v>0</v>
      </c>
      <c r="M149" s="123">
        <f t="shared" si="55"/>
        <v>0</v>
      </c>
      <c r="N149" s="123">
        <f t="shared" si="55"/>
        <v>0</v>
      </c>
      <c r="O149" s="123">
        <f t="shared" si="55"/>
        <v>0</v>
      </c>
      <c r="P149" s="123">
        <f t="shared" si="55"/>
        <v>0</v>
      </c>
      <c r="Q149" s="123">
        <f t="shared" si="55"/>
        <v>0</v>
      </c>
      <c r="R149" s="123">
        <f t="shared" si="55"/>
        <v>0</v>
      </c>
      <c r="S149" s="123">
        <f t="shared" si="55"/>
        <v>0</v>
      </c>
      <c r="T149" s="123">
        <f t="shared" si="56"/>
        <v>0</v>
      </c>
      <c r="U149" s="123">
        <f t="shared" si="56"/>
        <v>0</v>
      </c>
      <c r="V149" s="123">
        <f t="shared" si="56"/>
        <v>0</v>
      </c>
      <c r="W149" s="123">
        <f t="shared" si="56"/>
        <v>0</v>
      </c>
      <c r="X149" s="123">
        <f t="shared" si="56"/>
        <v>0</v>
      </c>
      <c r="Y149" s="123">
        <f t="shared" si="56"/>
        <v>0</v>
      </c>
      <c r="Z149" s="123">
        <f t="shared" si="56"/>
        <v>0</v>
      </c>
      <c r="AA149" s="123">
        <f t="shared" si="56"/>
        <v>0</v>
      </c>
      <c r="AB149" s="123">
        <f t="shared" si="56"/>
        <v>0</v>
      </c>
      <c r="AC149" s="123">
        <f t="shared" si="56"/>
        <v>0</v>
      </c>
      <c r="AD149" s="123">
        <f t="shared" si="56"/>
        <v>0</v>
      </c>
      <c r="AE149" s="123">
        <f t="shared" si="56"/>
        <v>0</v>
      </c>
      <c r="AF149" s="123">
        <f t="shared" si="56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57">C151</f>
        <v>0.1</v>
      </c>
      <c r="E151" s="123">
        <f t="shared" si="57"/>
        <v>0.1</v>
      </c>
      <c r="F151" s="123">
        <f t="shared" si="57"/>
        <v>0.1</v>
      </c>
      <c r="G151" s="123">
        <f t="shared" si="57"/>
        <v>0.1</v>
      </c>
      <c r="H151" s="123">
        <f t="shared" si="57"/>
        <v>0.1</v>
      </c>
      <c r="I151" s="123">
        <f t="shared" si="57"/>
        <v>0.1</v>
      </c>
      <c r="J151" s="123">
        <f t="shared" si="57"/>
        <v>0.1</v>
      </c>
      <c r="K151" s="123">
        <f t="shared" si="57"/>
        <v>0.1</v>
      </c>
      <c r="L151" s="123">
        <f t="shared" si="57"/>
        <v>0.1</v>
      </c>
      <c r="M151" s="123">
        <f t="shared" si="57"/>
        <v>0.1</v>
      </c>
      <c r="N151" s="123">
        <f t="shared" si="57"/>
        <v>0.1</v>
      </c>
      <c r="O151" s="123">
        <f t="shared" si="57"/>
        <v>0.1</v>
      </c>
      <c r="P151" s="123">
        <f t="shared" si="57"/>
        <v>0.1</v>
      </c>
      <c r="Q151" s="123">
        <f t="shared" si="57"/>
        <v>0.1</v>
      </c>
      <c r="R151" s="123">
        <f t="shared" si="57"/>
        <v>0.1</v>
      </c>
      <c r="S151" s="123">
        <f t="shared" si="57"/>
        <v>0.1</v>
      </c>
      <c r="T151" s="123">
        <f t="shared" ref="T151:AF154" si="58">S151</f>
        <v>0.1</v>
      </c>
      <c r="U151" s="123">
        <f t="shared" si="58"/>
        <v>0.1</v>
      </c>
      <c r="V151" s="123">
        <f t="shared" si="58"/>
        <v>0.1</v>
      </c>
      <c r="W151" s="123">
        <f t="shared" si="58"/>
        <v>0.1</v>
      </c>
      <c r="X151" s="123">
        <f t="shared" si="58"/>
        <v>0.1</v>
      </c>
      <c r="Y151" s="123">
        <f t="shared" si="58"/>
        <v>0.1</v>
      </c>
      <c r="Z151" s="123">
        <f t="shared" si="58"/>
        <v>0.1</v>
      </c>
      <c r="AA151" s="123">
        <f t="shared" si="58"/>
        <v>0.1</v>
      </c>
      <c r="AB151" s="123">
        <f t="shared" si="58"/>
        <v>0.1</v>
      </c>
      <c r="AC151" s="123">
        <f t="shared" si="58"/>
        <v>0.1</v>
      </c>
      <c r="AD151" s="123">
        <f t="shared" si="58"/>
        <v>0.1</v>
      </c>
      <c r="AE151" s="123">
        <f t="shared" si="58"/>
        <v>0.1</v>
      </c>
      <c r="AF151" s="123">
        <f t="shared" si="58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57"/>
        <v>2.0499999999999998</v>
      </c>
      <c r="E152" s="123">
        <f t="shared" si="57"/>
        <v>2.0499999999999998</v>
      </c>
      <c r="F152" s="123">
        <f t="shared" si="57"/>
        <v>2.0499999999999998</v>
      </c>
      <c r="G152" s="123">
        <f t="shared" si="57"/>
        <v>2.0499999999999998</v>
      </c>
      <c r="H152" s="123">
        <f t="shared" si="57"/>
        <v>2.0499999999999998</v>
      </c>
      <c r="I152" s="123">
        <f t="shared" si="57"/>
        <v>2.0499999999999998</v>
      </c>
      <c r="J152" s="123">
        <f t="shared" si="57"/>
        <v>2.0499999999999998</v>
      </c>
      <c r="K152" s="123">
        <f t="shared" si="57"/>
        <v>2.0499999999999998</v>
      </c>
      <c r="L152" s="123">
        <f t="shared" si="57"/>
        <v>2.0499999999999998</v>
      </c>
      <c r="M152" s="123">
        <f t="shared" si="57"/>
        <v>2.0499999999999998</v>
      </c>
      <c r="N152" s="123">
        <f t="shared" si="57"/>
        <v>2.0499999999999998</v>
      </c>
      <c r="O152" s="123">
        <f t="shared" si="57"/>
        <v>2.0499999999999998</v>
      </c>
      <c r="P152" s="123">
        <f t="shared" si="57"/>
        <v>2.0499999999999998</v>
      </c>
      <c r="Q152" s="123">
        <f t="shared" si="57"/>
        <v>2.0499999999999998</v>
      </c>
      <c r="R152" s="123">
        <f t="shared" si="57"/>
        <v>2.0499999999999998</v>
      </c>
      <c r="S152" s="123">
        <f t="shared" si="57"/>
        <v>2.0499999999999998</v>
      </c>
      <c r="T152" s="123">
        <f t="shared" si="58"/>
        <v>2.0499999999999998</v>
      </c>
      <c r="U152" s="123">
        <f t="shared" si="58"/>
        <v>2.0499999999999998</v>
      </c>
      <c r="V152" s="123">
        <f t="shared" si="58"/>
        <v>2.0499999999999998</v>
      </c>
      <c r="W152" s="123">
        <f t="shared" si="58"/>
        <v>2.0499999999999998</v>
      </c>
      <c r="X152" s="123">
        <f t="shared" si="58"/>
        <v>2.0499999999999998</v>
      </c>
      <c r="Y152" s="123">
        <f t="shared" si="58"/>
        <v>2.0499999999999998</v>
      </c>
      <c r="Z152" s="123">
        <f t="shared" si="58"/>
        <v>2.0499999999999998</v>
      </c>
      <c r="AA152" s="123">
        <f t="shared" si="58"/>
        <v>2.0499999999999998</v>
      </c>
      <c r="AB152" s="123">
        <f t="shared" si="58"/>
        <v>2.0499999999999998</v>
      </c>
      <c r="AC152" s="123">
        <f t="shared" si="58"/>
        <v>2.0499999999999998</v>
      </c>
      <c r="AD152" s="123">
        <f t="shared" si="58"/>
        <v>2.0499999999999998</v>
      </c>
      <c r="AE152" s="123">
        <f t="shared" si="58"/>
        <v>2.0499999999999998</v>
      </c>
      <c r="AF152" s="123">
        <f t="shared" si="58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57"/>
        <v>2.7</v>
      </c>
      <c r="E153" s="123">
        <f t="shared" si="57"/>
        <v>2.7</v>
      </c>
      <c r="F153" s="123">
        <f t="shared" si="57"/>
        <v>2.7</v>
      </c>
      <c r="G153" s="123">
        <f t="shared" si="57"/>
        <v>2.7</v>
      </c>
      <c r="H153" s="123">
        <f t="shared" si="57"/>
        <v>2.7</v>
      </c>
      <c r="I153" s="123">
        <f t="shared" si="57"/>
        <v>2.7</v>
      </c>
      <c r="J153" s="123">
        <f t="shared" si="57"/>
        <v>2.7</v>
      </c>
      <c r="K153" s="123">
        <f t="shared" si="57"/>
        <v>2.7</v>
      </c>
      <c r="L153" s="123">
        <f t="shared" si="57"/>
        <v>2.7</v>
      </c>
      <c r="M153" s="123">
        <f t="shared" si="57"/>
        <v>2.7</v>
      </c>
      <c r="N153" s="123">
        <f t="shared" si="57"/>
        <v>2.7</v>
      </c>
      <c r="O153" s="123">
        <f t="shared" si="57"/>
        <v>2.7</v>
      </c>
      <c r="P153" s="123">
        <f t="shared" si="57"/>
        <v>2.7</v>
      </c>
      <c r="Q153" s="123">
        <f t="shared" si="57"/>
        <v>2.7</v>
      </c>
      <c r="R153" s="123">
        <f t="shared" si="57"/>
        <v>2.7</v>
      </c>
      <c r="S153" s="123">
        <f t="shared" si="57"/>
        <v>2.7</v>
      </c>
      <c r="T153" s="123">
        <f t="shared" si="58"/>
        <v>2.7</v>
      </c>
      <c r="U153" s="123">
        <f t="shared" si="58"/>
        <v>2.7</v>
      </c>
      <c r="V153" s="123">
        <f t="shared" si="58"/>
        <v>2.7</v>
      </c>
      <c r="W153" s="123">
        <f t="shared" si="58"/>
        <v>2.7</v>
      </c>
      <c r="X153" s="123">
        <f t="shared" si="58"/>
        <v>2.7</v>
      </c>
      <c r="Y153" s="123">
        <f t="shared" si="58"/>
        <v>2.7</v>
      </c>
      <c r="Z153" s="123">
        <f t="shared" si="58"/>
        <v>2.7</v>
      </c>
      <c r="AA153" s="123">
        <f t="shared" si="58"/>
        <v>2.7</v>
      </c>
      <c r="AB153" s="123">
        <f t="shared" si="58"/>
        <v>2.7</v>
      </c>
      <c r="AC153" s="123">
        <f t="shared" si="58"/>
        <v>2.7</v>
      </c>
      <c r="AD153" s="123">
        <f t="shared" si="58"/>
        <v>2.7</v>
      </c>
      <c r="AE153" s="123">
        <f t="shared" si="58"/>
        <v>2.7</v>
      </c>
      <c r="AF153" s="123">
        <f t="shared" si="58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57"/>
        <v>2.15</v>
      </c>
      <c r="E154" s="123">
        <f t="shared" si="57"/>
        <v>2.15</v>
      </c>
      <c r="F154" s="123">
        <f t="shared" si="57"/>
        <v>2.15</v>
      </c>
      <c r="G154" s="123">
        <f t="shared" si="57"/>
        <v>2.15</v>
      </c>
      <c r="H154" s="123">
        <f t="shared" si="57"/>
        <v>2.15</v>
      </c>
      <c r="I154" s="123">
        <f t="shared" si="57"/>
        <v>2.15</v>
      </c>
      <c r="J154" s="123">
        <f t="shared" si="57"/>
        <v>2.15</v>
      </c>
      <c r="K154" s="123">
        <f t="shared" si="57"/>
        <v>2.15</v>
      </c>
      <c r="L154" s="123">
        <f t="shared" si="57"/>
        <v>2.15</v>
      </c>
      <c r="M154" s="123">
        <f t="shared" si="57"/>
        <v>2.15</v>
      </c>
      <c r="N154" s="123">
        <f t="shared" si="57"/>
        <v>2.15</v>
      </c>
      <c r="O154" s="123">
        <f t="shared" si="57"/>
        <v>2.15</v>
      </c>
      <c r="P154" s="123">
        <f t="shared" si="57"/>
        <v>2.15</v>
      </c>
      <c r="Q154" s="123">
        <f t="shared" si="57"/>
        <v>2.15</v>
      </c>
      <c r="R154" s="123">
        <f t="shared" si="57"/>
        <v>2.15</v>
      </c>
      <c r="S154" s="123">
        <f t="shared" si="57"/>
        <v>2.15</v>
      </c>
      <c r="T154" s="123">
        <f t="shared" si="58"/>
        <v>2.15</v>
      </c>
      <c r="U154" s="123">
        <f t="shared" si="58"/>
        <v>2.15</v>
      </c>
      <c r="V154" s="123">
        <f t="shared" si="58"/>
        <v>2.15</v>
      </c>
      <c r="W154" s="123">
        <f t="shared" si="58"/>
        <v>2.15</v>
      </c>
      <c r="X154" s="123">
        <f t="shared" si="58"/>
        <v>2.15</v>
      </c>
      <c r="Y154" s="123">
        <f t="shared" si="58"/>
        <v>2.15</v>
      </c>
      <c r="Z154" s="123">
        <f t="shared" si="58"/>
        <v>2.15</v>
      </c>
      <c r="AA154" s="123">
        <f t="shared" si="58"/>
        <v>2.15</v>
      </c>
      <c r="AB154" s="123">
        <f t="shared" si="58"/>
        <v>2.15</v>
      </c>
      <c r="AC154" s="123">
        <f t="shared" si="58"/>
        <v>2.15</v>
      </c>
      <c r="AD154" s="123">
        <f t="shared" si="58"/>
        <v>2.15</v>
      </c>
      <c r="AE154" s="123">
        <f t="shared" si="58"/>
        <v>2.15</v>
      </c>
      <c r="AF154" s="123">
        <f t="shared" si="58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59">AF156</f>
        <v>0.9</v>
      </c>
      <c r="C156" s="124">
        <v>0.9</v>
      </c>
      <c r="D156" s="123">
        <f t="shared" ref="D156:S168" si="60">C156</f>
        <v>0.9</v>
      </c>
      <c r="E156" s="123">
        <f t="shared" si="60"/>
        <v>0.9</v>
      </c>
      <c r="F156" s="123">
        <f t="shared" si="60"/>
        <v>0.9</v>
      </c>
      <c r="G156" s="123">
        <f t="shared" si="60"/>
        <v>0.9</v>
      </c>
      <c r="H156" s="123">
        <f t="shared" si="60"/>
        <v>0.9</v>
      </c>
      <c r="I156" s="123">
        <f t="shared" si="60"/>
        <v>0.9</v>
      </c>
      <c r="J156" s="123">
        <f t="shared" si="60"/>
        <v>0.9</v>
      </c>
      <c r="K156" s="123">
        <f t="shared" si="60"/>
        <v>0.9</v>
      </c>
      <c r="L156" s="123">
        <f t="shared" si="60"/>
        <v>0.9</v>
      </c>
      <c r="M156" s="123">
        <f t="shared" si="60"/>
        <v>0.9</v>
      </c>
      <c r="N156" s="123">
        <f t="shared" si="60"/>
        <v>0.9</v>
      </c>
      <c r="O156" s="123">
        <f t="shared" si="60"/>
        <v>0.9</v>
      </c>
      <c r="P156" s="123">
        <f t="shared" si="60"/>
        <v>0.9</v>
      </c>
      <c r="Q156" s="123">
        <f t="shared" si="60"/>
        <v>0.9</v>
      </c>
      <c r="R156" s="123">
        <f t="shared" si="60"/>
        <v>0.9</v>
      </c>
      <c r="S156" s="123">
        <f t="shared" si="60"/>
        <v>0.9</v>
      </c>
      <c r="T156" s="123">
        <f t="shared" ref="S156:AF168" si="61">S156</f>
        <v>0.9</v>
      </c>
      <c r="U156" s="123">
        <f t="shared" si="61"/>
        <v>0.9</v>
      </c>
      <c r="V156" s="123">
        <f t="shared" si="61"/>
        <v>0.9</v>
      </c>
      <c r="W156" s="123">
        <f t="shared" si="61"/>
        <v>0.9</v>
      </c>
      <c r="X156" s="123">
        <f t="shared" si="61"/>
        <v>0.9</v>
      </c>
      <c r="Y156" s="123">
        <f t="shared" si="61"/>
        <v>0.9</v>
      </c>
      <c r="Z156" s="123">
        <f t="shared" si="61"/>
        <v>0.9</v>
      </c>
      <c r="AA156" s="123">
        <f t="shared" si="61"/>
        <v>0.9</v>
      </c>
      <c r="AB156" s="123">
        <f t="shared" si="61"/>
        <v>0.9</v>
      </c>
      <c r="AC156" s="123">
        <f t="shared" si="61"/>
        <v>0.9</v>
      </c>
      <c r="AD156" s="123">
        <f t="shared" si="61"/>
        <v>0.9</v>
      </c>
      <c r="AE156" s="123">
        <f t="shared" si="61"/>
        <v>0.9</v>
      </c>
      <c r="AF156" s="123">
        <f t="shared" si="61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59"/>
        <v>1.08</v>
      </c>
      <c r="C157" s="124">
        <v>1.08</v>
      </c>
      <c r="D157" s="123">
        <f t="shared" si="60"/>
        <v>1.08</v>
      </c>
      <c r="E157" s="123">
        <f t="shared" si="60"/>
        <v>1.08</v>
      </c>
      <c r="F157" s="123">
        <f t="shared" si="60"/>
        <v>1.08</v>
      </c>
      <c r="G157" s="123">
        <f t="shared" si="60"/>
        <v>1.08</v>
      </c>
      <c r="H157" s="123">
        <f t="shared" si="60"/>
        <v>1.08</v>
      </c>
      <c r="I157" s="123">
        <f t="shared" si="60"/>
        <v>1.08</v>
      </c>
      <c r="J157" s="123">
        <f t="shared" si="60"/>
        <v>1.08</v>
      </c>
      <c r="K157" s="123">
        <f t="shared" si="60"/>
        <v>1.08</v>
      </c>
      <c r="L157" s="123">
        <f t="shared" si="60"/>
        <v>1.08</v>
      </c>
      <c r="M157" s="123">
        <f t="shared" si="60"/>
        <v>1.08</v>
      </c>
      <c r="N157" s="123">
        <f t="shared" si="60"/>
        <v>1.08</v>
      </c>
      <c r="O157" s="123">
        <f t="shared" si="60"/>
        <v>1.08</v>
      </c>
      <c r="P157" s="123">
        <f t="shared" si="60"/>
        <v>1.08</v>
      </c>
      <c r="Q157" s="123">
        <f t="shared" si="60"/>
        <v>1.08</v>
      </c>
      <c r="R157" s="123">
        <f t="shared" si="60"/>
        <v>1.08</v>
      </c>
      <c r="S157" s="123">
        <f t="shared" si="60"/>
        <v>1.08</v>
      </c>
      <c r="T157" s="123">
        <f t="shared" si="61"/>
        <v>1.08</v>
      </c>
      <c r="U157" s="123">
        <f t="shared" si="61"/>
        <v>1.08</v>
      </c>
      <c r="V157" s="123">
        <f t="shared" si="61"/>
        <v>1.08</v>
      </c>
      <c r="W157" s="123">
        <f t="shared" si="61"/>
        <v>1.08</v>
      </c>
      <c r="X157" s="123">
        <f t="shared" si="61"/>
        <v>1.08</v>
      </c>
      <c r="Y157" s="123">
        <f t="shared" si="61"/>
        <v>1.08</v>
      </c>
      <c r="Z157" s="123">
        <f t="shared" si="61"/>
        <v>1.08</v>
      </c>
      <c r="AA157" s="123">
        <f t="shared" si="61"/>
        <v>1.08</v>
      </c>
      <c r="AB157" s="123">
        <f t="shared" si="61"/>
        <v>1.08</v>
      </c>
      <c r="AC157" s="123">
        <f t="shared" si="61"/>
        <v>1.08</v>
      </c>
      <c r="AD157" s="123">
        <f t="shared" si="61"/>
        <v>1.08</v>
      </c>
      <c r="AE157" s="123">
        <f t="shared" si="61"/>
        <v>1.08</v>
      </c>
      <c r="AF157" s="123">
        <f t="shared" si="61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59"/>
        <v>2.37</v>
      </c>
      <c r="C158" s="124">
        <v>2.37</v>
      </c>
      <c r="D158" s="123">
        <f t="shared" si="60"/>
        <v>2.37</v>
      </c>
      <c r="E158" s="123">
        <f t="shared" si="60"/>
        <v>2.37</v>
      </c>
      <c r="F158" s="123">
        <f t="shared" si="60"/>
        <v>2.37</v>
      </c>
      <c r="G158" s="123">
        <f t="shared" si="60"/>
        <v>2.37</v>
      </c>
      <c r="H158" s="123">
        <f t="shared" si="60"/>
        <v>2.37</v>
      </c>
      <c r="I158" s="123">
        <f t="shared" si="60"/>
        <v>2.37</v>
      </c>
      <c r="J158" s="123">
        <f t="shared" si="60"/>
        <v>2.37</v>
      </c>
      <c r="K158" s="123">
        <f t="shared" si="60"/>
        <v>2.37</v>
      </c>
      <c r="L158" s="123">
        <f t="shared" si="60"/>
        <v>2.37</v>
      </c>
      <c r="M158" s="123">
        <f t="shared" si="60"/>
        <v>2.37</v>
      </c>
      <c r="N158" s="123">
        <f t="shared" si="60"/>
        <v>2.37</v>
      </c>
      <c r="O158" s="123">
        <f t="shared" si="60"/>
        <v>2.37</v>
      </c>
      <c r="P158" s="123">
        <f t="shared" si="60"/>
        <v>2.37</v>
      </c>
      <c r="Q158" s="123">
        <f t="shared" si="60"/>
        <v>2.37</v>
      </c>
      <c r="R158" s="123">
        <f t="shared" si="60"/>
        <v>2.37</v>
      </c>
      <c r="S158" s="123">
        <f t="shared" si="60"/>
        <v>2.37</v>
      </c>
      <c r="T158" s="123">
        <f t="shared" si="61"/>
        <v>2.37</v>
      </c>
      <c r="U158" s="123">
        <f t="shared" si="61"/>
        <v>2.37</v>
      </c>
      <c r="V158" s="123">
        <f t="shared" si="61"/>
        <v>2.37</v>
      </c>
      <c r="W158" s="123">
        <f t="shared" si="61"/>
        <v>2.37</v>
      </c>
      <c r="X158" s="123">
        <f t="shared" si="61"/>
        <v>2.37</v>
      </c>
      <c r="Y158" s="123">
        <f t="shared" si="61"/>
        <v>2.37</v>
      </c>
      <c r="Z158" s="123">
        <f t="shared" si="61"/>
        <v>2.37</v>
      </c>
      <c r="AA158" s="123">
        <f t="shared" si="61"/>
        <v>2.37</v>
      </c>
      <c r="AB158" s="123">
        <f t="shared" si="61"/>
        <v>2.37</v>
      </c>
      <c r="AC158" s="123">
        <f t="shared" si="61"/>
        <v>2.37</v>
      </c>
      <c r="AD158" s="123">
        <f t="shared" si="61"/>
        <v>2.37</v>
      </c>
      <c r="AE158" s="123">
        <f t="shared" si="61"/>
        <v>2.37</v>
      </c>
      <c r="AF158" s="123">
        <f t="shared" si="61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59"/>
        <v>1.81</v>
      </c>
      <c r="C159" s="124">
        <v>1.81</v>
      </c>
      <c r="D159" s="123">
        <f t="shared" si="60"/>
        <v>1.81</v>
      </c>
      <c r="E159" s="123">
        <f t="shared" si="60"/>
        <v>1.81</v>
      </c>
      <c r="F159" s="123">
        <f t="shared" si="60"/>
        <v>1.81</v>
      </c>
      <c r="G159" s="123">
        <f t="shared" si="60"/>
        <v>1.81</v>
      </c>
      <c r="H159" s="123">
        <f t="shared" si="60"/>
        <v>1.81</v>
      </c>
      <c r="I159" s="123">
        <f t="shared" si="60"/>
        <v>1.81</v>
      </c>
      <c r="J159" s="123">
        <f t="shared" si="60"/>
        <v>1.81</v>
      </c>
      <c r="K159" s="123">
        <f t="shared" si="60"/>
        <v>1.81</v>
      </c>
      <c r="L159" s="123">
        <f t="shared" si="60"/>
        <v>1.81</v>
      </c>
      <c r="M159" s="123">
        <f t="shared" si="60"/>
        <v>1.81</v>
      </c>
      <c r="N159" s="123">
        <f t="shared" si="60"/>
        <v>1.81</v>
      </c>
      <c r="O159" s="123">
        <f t="shared" si="60"/>
        <v>1.81</v>
      </c>
      <c r="P159" s="123">
        <f t="shared" si="60"/>
        <v>1.81</v>
      </c>
      <c r="Q159" s="123">
        <f t="shared" si="60"/>
        <v>1.81</v>
      </c>
      <c r="R159" s="123">
        <f t="shared" si="60"/>
        <v>1.81</v>
      </c>
      <c r="S159" s="123">
        <f t="shared" si="60"/>
        <v>1.81</v>
      </c>
      <c r="T159" s="123">
        <f t="shared" si="61"/>
        <v>1.81</v>
      </c>
      <c r="U159" s="123">
        <f t="shared" si="61"/>
        <v>1.81</v>
      </c>
      <c r="V159" s="123">
        <f t="shared" si="61"/>
        <v>1.81</v>
      </c>
      <c r="W159" s="123">
        <f t="shared" si="61"/>
        <v>1.81</v>
      </c>
      <c r="X159" s="123">
        <f t="shared" si="61"/>
        <v>1.81</v>
      </c>
      <c r="Y159" s="123">
        <f t="shared" si="61"/>
        <v>1.81</v>
      </c>
      <c r="Z159" s="123">
        <f t="shared" si="61"/>
        <v>1.81</v>
      </c>
      <c r="AA159" s="123">
        <f t="shared" si="61"/>
        <v>1.81</v>
      </c>
      <c r="AB159" s="123">
        <f t="shared" si="61"/>
        <v>1.81</v>
      </c>
      <c r="AC159" s="123">
        <f t="shared" si="61"/>
        <v>1.81</v>
      </c>
      <c r="AD159" s="123">
        <f t="shared" si="61"/>
        <v>1.81</v>
      </c>
      <c r="AE159" s="123">
        <f t="shared" si="61"/>
        <v>1.81</v>
      </c>
      <c r="AF159" s="123">
        <f t="shared" si="61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59"/>
        <v>1.0900000000000001</v>
      </c>
      <c r="C160" s="124">
        <v>1.0900000000000001</v>
      </c>
      <c r="D160" s="123">
        <f t="shared" si="60"/>
        <v>1.0900000000000001</v>
      </c>
      <c r="E160" s="123">
        <f t="shared" si="60"/>
        <v>1.0900000000000001</v>
      </c>
      <c r="F160" s="123">
        <f t="shared" si="60"/>
        <v>1.0900000000000001</v>
      </c>
      <c r="G160" s="123">
        <f t="shared" si="60"/>
        <v>1.0900000000000001</v>
      </c>
      <c r="H160" s="123">
        <f t="shared" si="60"/>
        <v>1.0900000000000001</v>
      </c>
      <c r="I160" s="123">
        <f t="shared" si="60"/>
        <v>1.0900000000000001</v>
      </c>
      <c r="J160" s="123">
        <f t="shared" si="60"/>
        <v>1.0900000000000001</v>
      </c>
      <c r="K160" s="123">
        <f t="shared" si="60"/>
        <v>1.0900000000000001</v>
      </c>
      <c r="L160" s="123">
        <f t="shared" si="60"/>
        <v>1.0900000000000001</v>
      </c>
      <c r="M160" s="123">
        <f t="shared" si="60"/>
        <v>1.0900000000000001</v>
      </c>
      <c r="N160" s="123">
        <f t="shared" si="60"/>
        <v>1.0900000000000001</v>
      </c>
      <c r="O160" s="123">
        <f t="shared" si="60"/>
        <v>1.0900000000000001</v>
      </c>
      <c r="P160" s="123">
        <f t="shared" si="60"/>
        <v>1.0900000000000001</v>
      </c>
      <c r="Q160" s="123">
        <f t="shared" si="60"/>
        <v>1.0900000000000001</v>
      </c>
      <c r="R160" s="123">
        <f t="shared" si="60"/>
        <v>1.0900000000000001</v>
      </c>
      <c r="S160" s="123">
        <f t="shared" si="60"/>
        <v>1.0900000000000001</v>
      </c>
      <c r="T160" s="123">
        <f t="shared" si="61"/>
        <v>1.0900000000000001</v>
      </c>
      <c r="U160" s="123">
        <f t="shared" si="61"/>
        <v>1.0900000000000001</v>
      </c>
      <c r="V160" s="123">
        <f t="shared" si="61"/>
        <v>1.0900000000000001</v>
      </c>
      <c r="W160" s="123">
        <f t="shared" si="61"/>
        <v>1.0900000000000001</v>
      </c>
      <c r="X160" s="123">
        <f t="shared" si="61"/>
        <v>1.0900000000000001</v>
      </c>
      <c r="Y160" s="123">
        <f t="shared" si="61"/>
        <v>1.0900000000000001</v>
      </c>
      <c r="Z160" s="123">
        <f t="shared" si="61"/>
        <v>1.0900000000000001</v>
      </c>
      <c r="AA160" s="123">
        <f t="shared" si="61"/>
        <v>1.0900000000000001</v>
      </c>
      <c r="AB160" s="123">
        <f t="shared" si="61"/>
        <v>1.0900000000000001</v>
      </c>
      <c r="AC160" s="123">
        <f t="shared" si="61"/>
        <v>1.0900000000000001</v>
      </c>
      <c r="AD160" s="123">
        <f t="shared" si="61"/>
        <v>1.0900000000000001</v>
      </c>
      <c r="AE160" s="123">
        <f t="shared" si="61"/>
        <v>1.0900000000000001</v>
      </c>
      <c r="AF160" s="123">
        <f t="shared" si="61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59"/>
        <v>1.58</v>
      </c>
      <c r="C161" s="124">
        <v>1.58</v>
      </c>
      <c r="D161" s="123">
        <f t="shared" si="60"/>
        <v>1.58</v>
      </c>
      <c r="E161" s="123">
        <f t="shared" si="60"/>
        <v>1.58</v>
      </c>
      <c r="F161" s="123">
        <f t="shared" si="60"/>
        <v>1.58</v>
      </c>
      <c r="G161" s="123">
        <f t="shared" si="60"/>
        <v>1.58</v>
      </c>
      <c r="H161" s="123">
        <f t="shared" si="60"/>
        <v>1.58</v>
      </c>
      <c r="I161" s="123">
        <f t="shared" si="60"/>
        <v>1.58</v>
      </c>
      <c r="J161" s="123">
        <f t="shared" si="60"/>
        <v>1.58</v>
      </c>
      <c r="K161" s="123">
        <f t="shared" si="60"/>
        <v>1.58</v>
      </c>
      <c r="L161" s="123">
        <f t="shared" si="60"/>
        <v>1.58</v>
      </c>
      <c r="M161" s="123">
        <f t="shared" si="60"/>
        <v>1.58</v>
      </c>
      <c r="N161" s="123">
        <f t="shared" si="60"/>
        <v>1.58</v>
      </c>
      <c r="O161" s="123">
        <f t="shared" si="60"/>
        <v>1.58</v>
      </c>
      <c r="P161" s="123">
        <f t="shared" si="60"/>
        <v>1.58</v>
      </c>
      <c r="Q161" s="123">
        <f t="shared" si="60"/>
        <v>1.58</v>
      </c>
      <c r="R161" s="123">
        <f t="shared" si="60"/>
        <v>1.58</v>
      </c>
      <c r="S161" s="123">
        <f t="shared" si="60"/>
        <v>1.58</v>
      </c>
      <c r="T161" s="123">
        <f t="shared" si="61"/>
        <v>1.58</v>
      </c>
      <c r="U161" s="123">
        <f t="shared" si="61"/>
        <v>1.58</v>
      </c>
      <c r="V161" s="123">
        <f t="shared" si="61"/>
        <v>1.58</v>
      </c>
      <c r="W161" s="123">
        <f t="shared" si="61"/>
        <v>1.58</v>
      </c>
      <c r="X161" s="123">
        <f t="shared" si="61"/>
        <v>1.58</v>
      </c>
      <c r="Y161" s="123">
        <f t="shared" si="61"/>
        <v>1.58</v>
      </c>
      <c r="Z161" s="123">
        <f t="shared" si="61"/>
        <v>1.58</v>
      </c>
      <c r="AA161" s="123">
        <f t="shared" si="61"/>
        <v>1.58</v>
      </c>
      <c r="AB161" s="123">
        <f t="shared" si="61"/>
        <v>1.58</v>
      </c>
      <c r="AC161" s="123">
        <f t="shared" si="61"/>
        <v>1.58</v>
      </c>
      <c r="AD161" s="123">
        <f t="shared" si="61"/>
        <v>1.58</v>
      </c>
      <c r="AE161" s="123">
        <f t="shared" si="61"/>
        <v>1.58</v>
      </c>
      <c r="AF161" s="123">
        <f t="shared" si="61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59"/>
        <v>2</v>
      </c>
      <c r="C162" s="124">
        <v>2</v>
      </c>
      <c r="D162" s="123">
        <f t="shared" si="60"/>
        <v>2</v>
      </c>
      <c r="E162" s="123">
        <f t="shared" si="60"/>
        <v>2</v>
      </c>
      <c r="F162" s="123">
        <f t="shared" si="60"/>
        <v>2</v>
      </c>
      <c r="G162" s="123">
        <f t="shared" si="60"/>
        <v>2</v>
      </c>
      <c r="H162" s="123">
        <f t="shared" si="60"/>
        <v>2</v>
      </c>
      <c r="I162" s="123">
        <f t="shared" si="60"/>
        <v>2</v>
      </c>
      <c r="J162" s="123">
        <f t="shared" si="60"/>
        <v>2</v>
      </c>
      <c r="K162" s="123">
        <f t="shared" si="60"/>
        <v>2</v>
      </c>
      <c r="L162" s="123">
        <f t="shared" si="60"/>
        <v>2</v>
      </c>
      <c r="M162" s="123">
        <f t="shared" si="60"/>
        <v>2</v>
      </c>
      <c r="N162" s="123">
        <f t="shared" si="60"/>
        <v>2</v>
      </c>
      <c r="O162" s="123">
        <f t="shared" si="60"/>
        <v>2</v>
      </c>
      <c r="P162" s="123">
        <f t="shared" si="60"/>
        <v>2</v>
      </c>
      <c r="Q162" s="123">
        <f t="shared" si="60"/>
        <v>2</v>
      </c>
      <c r="R162" s="123">
        <f t="shared" si="60"/>
        <v>2</v>
      </c>
      <c r="S162" s="123">
        <f t="shared" si="60"/>
        <v>2</v>
      </c>
      <c r="T162" s="123">
        <f t="shared" si="61"/>
        <v>2</v>
      </c>
      <c r="U162" s="123">
        <f t="shared" si="61"/>
        <v>2</v>
      </c>
      <c r="V162" s="123">
        <f t="shared" si="61"/>
        <v>2</v>
      </c>
      <c r="W162" s="123">
        <f t="shared" si="61"/>
        <v>2</v>
      </c>
      <c r="X162" s="123">
        <f t="shared" si="61"/>
        <v>2</v>
      </c>
      <c r="Y162" s="123">
        <f t="shared" si="61"/>
        <v>2</v>
      </c>
      <c r="Z162" s="123">
        <f t="shared" si="61"/>
        <v>2</v>
      </c>
      <c r="AA162" s="123">
        <f t="shared" si="61"/>
        <v>2</v>
      </c>
      <c r="AB162" s="123">
        <f t="shared" si="61"/>
        <v>2</v>
      </c>
      <c r="AC162" s="123">
        <f t="shared" si="61"/>
        <v>2</v>
      </c>
      <c r="AD162" s="123">
        <f t="shared" si="61"/>
        <v>2</v>
      </c>
      <c r="AE162" s="123">
        <f t="shared" si="61"/>
        <v>2</v>
      </c>
      <c r="AF162" s="123">
        <f t="shared" si="61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59"/>
        <v>0.47</v>
      </c>
      <c r="C163" s="124">
        <v>0.47</v>
      </c>
      <c r="D163" s="123">
        <f t="shared" si="60"/>
        <v>0.47</v>
      </c>
      <c r="E163" s="123">
        <f t="shared" si="60"/>
        <v>0.47</v>
      </c>
      <c r="F163" s="123">
        <f t="shared" si="60"/>
        <v>0.47</v>
      </c>
      <c r="G163" s="123">
        <f t="shared" si="60"/>
        <v>0.47</v>
      </c>
      <c r="H163" s="123">
        <f t="shared" si="60"/>
        <v>0.47</v>
      </c>
      <c r="I163" s="123">
        <f t="shared" si="60"/>
        <v>0.47</v>
      </c>
      <c r="J163" s="123">
        <f t="shared" si="60"/>
        <v>0.47</v>
      </c>
      <c r="K163" s="123">
        <f t="shared" si="60"/>
        <v>0.47</v>
      </c>
      <c r="L163" s="123">
        <f t="shared" si="60"/>
        <v>0.47</v>
      </c>
      <c r="M163" s="123">
        <f t="shared" si="60"/>
        <v>0.47</v>
      </c>
      <c r="N163" s="123">
        <f t="shared" si="60"/>
        <v>0.47</v>
      </c>
      <c r="O163" s="123">
        <f t="shared" si="60"/>
        <v>0.47</v>
      </c>
      <c r="P163" s="123">
        <f t="shared" si="60"/>
        <v>0.47</v>
      </c>
      <c r="Q163" s="123">
        <f t="shared" si="60"/>
        <v>0.47</v>
      </c>
      <c r="R163" s="123">
        <f t="shared" si="60"/>
        <v>0.47</v>
      </c>
      <c r="S163" s="123">
        <f t="shared" si="60"/>
        <v>0.47</v>
      </c>
      <c r="T163" s="123">
        <f t="shared" si="61"/>
        <v>0.47</v>
      </c>
      <c r="U163" s="123">
        <f t="shared" si="61"/>
        <v>0.47</v>
      </c>
      <c r="V163" s="123">
        <f t="shared" si="61"/>
        <v>0.47</v>
      </c>
      <c r="W163" s="123">
        <f t="shared" si="61"/>
        <v>0.47</v>
      </c>
      <c r="X163" s="123">
        <f t="shared" si="61"/>
        <v>0.47</v>
      </c>
      <c r="Y163" s="123">
        <f t="shared" si="61"/>
        <v>0.47</v>
      </c>
      <c r="Z163" s="123">
        <f t="shared" si="61"/>
        <v>0.47</v>
      </c>
      <c r="AA163" s="123">
        <f t="shared" si="61"/>
        <v>0.47</v>
      </c>
      <c r="AB163" s="123">
        <f t="shared" si="61"/>
        <v>0.47</v>
      </c>
      <c r="AC163" s="123">
        <f t="shared" si="61"/>
        <v>0.47</v>
      </c>
      <c r="AD163" s="123">
        <f t="shared" si="61"/>
        <v>0.47</v>
      </c>
      <c r="AE163" s="123">
        <f t="shared" si="61"/>
        <v>0.47</v>
      </c>
      <c r="AF163" s="123">
        <f t="shared" si="61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59"/>
        <v>0</v>
      </c>
      <c r="C164" s="124">
        <v>0</v>
      </c>
      <c r="D164" s="123">
        <f t="shared" si="60"/>
        <v>0</v>
      </c>
      <c r="E164" s="123">
        <f t="shared" si="60"/>
        <v>0</v>
      </c>
      <c r="F164" s="123">
        <f t="shared" si="60"/>
        <v>0</v>
      </c>
      <c r="G164" s="123">
        <f t="shared" si="60"/>
        <v>0</v>
      </c>
      <c r="H164" s="123">
        <f t="shared" si="60"/>
        <v>0</v>
      </c>
      <c r="I164" s="123">
        <f t="shared" si="60"/>
        <v>0</v>
      </c>
      <c r="J164" s="123">
        <f t="shared" si="60"/>
        <v>0</v>
      </c>
      <c r="K164" s="123">
        <f t="shared" si="60"/>
        <v>0</v>
      </c>
      <c r="L164" s="123">
        <f t="shared" si="60"/>
        <v>0</v>
      </c>
      <c r="M164" s="123">
        <f t="shared" si="60"/>
        <v>0</v>
      </c>
      <c r="N164" s="123">
        <f t="shared" si="60"/>
        <v>0</v>
      </c>
      <c r="O164" s="123">
        <f t="shared" si="60"/>
        <v>0</v>
      </c>
      <c r="P164" s="123">
        <f t="shared" si="60"/>
        <v>0</v>
      </c>
      <c r="Q164" s="123">
        <f t="shared" si="60"/>
        <v>0</v>
      </c>
      <c r="R164" s="123">
        <f t="shared" si="60"/>
        <v>0</v>
      </c>
      <c r="S164" s="123">
        <f t="shared" si="60"/>
        <v>0</v>
      </c>
      <c r="T164" s="123">
        <f t="shared" si="61"/>
        <v>0</v>
      </c>
      <c r="U164" s="123">
        <f t="shared" si="61"/>
        <v>0</v>
      </c>
      <c r="V164" s="123">
        <f t="shared" si="61"/>
        <v>0</v>
      </c>
      <c r="W164" s="123">
        <f t="shared" si="61"/>
        <v>0</v>
      </c>
      <c r="X164" s="123">
        <f t="shared" si="61"/>
        <v>0</v>
      </c>
      <c r="Y164" s="123">
        <f t="shared" si="61"/>
        <v>0</v>
      </c>
      <c r="Z164" s="123">
        <f t="shared" si="61"/>
        <v>0</v>
      </c>
      <c r="AA164" s="123">
        <f t="shared" si="61"/>
        <v>0</v>
      </c>
      <c r="AB164" s="123">
        <f t="shared" si="61"/>
        <v>0</v>
      </c>
      <c r="AC164" s="123">
        <f t="shared" si="61"/>
        <v>0</v>
      </c>
      <c r="AD164" s="123">
        <f t="shared" si="61"/>
        <v>0</v>
      </c>
      <c r="AE164" s="123">
        <f t="shared" si="61"/>
        <v>0</v>
      </c>
      <c r="AF164" s="123">
        <f t="shared" si="61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59"/>
        <v>0</v>
      </c>
      <c r="C165" s="124">
        <v>0</v>
      </c>
      <c r="D165" s="123">
        <f t="shared" si="60"/>
        <v>0</v>
      </c>
      <c r="E165" s="123">
        <f t="shared" si="60"/>
        <v>0</v>
      </c>
      <c r="F165" s="123">
        <f t="shared" si="60"/>
        <v>0</v>
      </c>
      <c r="G165" s="123">
        <f t="shared" si="60"/>
        <v>0</v>
      </c>
      <c r="H165" s="123">
        <f t="shared" si="60"/>
        <v>0</v>
      </c>
      <c r="I165" s="123">
        <f t="shared" si="60"/>
        <v>0</v>
      </c>
      <c r="J165" s="123">
        <f t="shared" si="60"/>
        <v>0</v>
      </c>
      <c r="K165" s="123">
        <f t="shared" si="60"/>
        <v>0</v>
      </c>
      <c r="L165" s="123">
        <f t="shared" si="60"/>
        <v>0</v>
      </c>
      <c r="M165" s="123">
        <f t="shared" si="60"/>
        <v>0</v>
      </c>
      <c r="N165" s="123">
        <f t="shared" si="60"/>
        <v>0</v>
      </c>
      <c r="O165" s="123">
        <f t="shared" si="60"/>
        <v>0</v>
      </c>
      <c r="P165" s="123">
        <f t="shared" si="60"/>
        <v>0</v>
      </c>
      <c r="Q165" s="123">
        <f t="shared" si="60"/>
        <v>0</v>
      </c>
      <c r="R165" s="123">
        <f t="shared" si="60"/>
        <v>0</v>
      </c>
      <c r="S165" s="123">
        <f t="shared" si="61"/>
        <v>0</v>
      </c>
      <c r="T165" s="123">
        <f t="shared" si="61"/>
        <v>0</v>
      </c>
      <c r="U165" s="123">
        <f t="shared" si="61"/>
        <v>0</v>
      </c>
      <c r="V165" s="123">
        <f t="shared" si="61"/>
        <v>0</v>
      </c>
      <c r="W165" s="123">
        <f t="shared" si="61"/>
        <v>0</v>
      </c>
      <c r="X165" s="123">
        <f t="shared" si="61"/>
        <v>0</v>
      </c>
      <c r="Y165" s="123">
        <f t="shared" si="61"/>
        <v>0</v>
      </c>
      <c r="Z165" s="123">
        <f t="shared" si="61"/>
        <v>0</v>
      </c>
      <c r="AA165" s="123">
        <f t="shared" si="61"/>
        <v>0</v>
      </c>
      <c r="AB165" s="123">
        <f t="shared" si="61"/>
        <v>0</v>
      </c>
      <c r="AC165" s="123">
        <f t="shared" si="61"/>
        <v>0</v>
      </c>
      <c r="AD165" s="123">
        <f t="shared" si="61"/>
        <v>0</v>
      </c>
      <c r="AE165" s="123">
        <f t="shared" si="61"/>
        <v>0</v>
      </c>
      <c r="AF165" s="123">
        <f t="shared" si="61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59"/>
        <v>0.8</v>
      </c>
      <c r="C166" s="124">
        <v>0.8</v>
      </c>
      <c r="D166" s="123">
        <f t="shared" si="60"/>
        <v>0.8</v>
      </c>
      <c r="E166" s="123">
        <f t="shared" si="60"/>
        <v>0.8</v>
      </c>
      <c r="F166" s="123">
        <f t="shared" si="60"/>
        <v>0.8</v>
      </c>
      <c r="G166" s="123">
        <f t="shared" si="60"/>
        <v>0.8</v>
      </c>
      <c r="H166" s="123">
        <f t="shared" si="60"/>
        <v>0.8</v>
      </c>
      <c r="I166" s="123">
        <f t="shared" si="60"/>
        <v>0.8</v>
      </c>
      <c r="J166" s="123">
        <f t="shared" si="60"/>
        <v>0.8</v>
      </c>
      <c r="K166" s="123">
        <f t="shared" si="60"/>
        <v>0.8</v>
      </c>
      <c r="L166" s="123">
        <f t="shared" si="60"/>
        <v>0.8</v>
      </c>
      <c r="M166" s="123">
        <f t="shared" si="60"/>
        <v>0.8</v>
      </c>
      <c r="N166" s="123">
        <f t="shared" si="60"/>
        <v>0.8</v>
      </c>
      <c r="O166" s="123">
        <f t="shared" si="60"/>
        <v>0.8</v>
      </c>
      <c r="P166" s="123">
        <f t="shared" si="60"/>
        <v>0.8</v>
      </c>
      <c r="Q166" s="123">
        <f t="shared" si="60"/>
        <v>0.8</v>
      </c>
      <c r="R166" s="123">
        <f t="shared" si="60"/>
        <v>0.8</v>
      </c>
      <c r="S166" s="123">
        <f t="shared" si="61"/>
        <v>0.8</v>
      </c>
      <c r="T166" s="123">
        <f t="shared" si="61"/>
        <v>0.8</v>
      </c>
      <c r="U166" s="123">
        <f t="shared" si="61"/>
        <v>0.8</v>
      </c>
      <c r="V166" s="123">
        <f t="shared" si="61"/>
        <v>0.8</v>
      </c>
      <c r="W166" s="123">
        <f t="shared" si="61"/>
        <v>0.8</v>
      </c>
      <c r="X166" s="123">
        <f t="shared" si="61"/>
        <v>0.8</v>
      </c>
      <c r="Y166" s="123">
        <f t="shared" si="61"/>
        <v>0.8</v>
      </c>
      <c r="Z166" s="123">
        <f t="shared" si="61"/>
        <v>0.8</v>
      </c>
      <c r="AA166" s="123">
        <f t="shared" si="61"/>
        <v>0.8</v>
      </c>
      <c r="AB166" s="123">
        <f t="shared" si="61"/>
        <v>0.8</v>
      </c>
      <c r="AC166" s="123">
        <f t="shared" si="61"/>
        <v>0.8</v>
      </c>
      <c r="AD166" s="123">
        <f t="shared" si="61"/>
        <v>0.8</v>
      </c>
      <c r="AE166" s="123">
        <f t="shared" si="61"/>
        <v>0.8</v>
      </c>
      <c r="AF166" s="123">
        <f t="shared" si="61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59"/>
        <v>1.5</v>
      </c>
      <c r="C167" s="124">
        <v>1.5</v>
      </c>
      <c r="D167" s="123">
        <f t="shared" si="60"/>
        <v>1.5</v>
      </c>
      <c r="E167" s="123">
        <f t="shared" si="60"/>
        <v>1.5</v>
      </c>
      <c r="F167" s="123">
        <f t="shared" si="60"/>
        <v>1.5</v>
      </c>
      <c r="G167" s="123">
        <f t="shared" si="60"/>
        <v>1.5</v>
      </c>
      <c r="H167" s="123">
        <f t="shared" si="60"/>
        <v>1.5</v>
      </c>
      <c r="I167" s="123">
        <f t="shared" si="60"/>
        <v>1.5</v>
      </c>
      <c r="J167" s="123">
        <f t="shared" si="60"/>
        <v>1.5</v>
      </c>
      <c r="K167" s="123">
        <f t="shared" si="60"/>
        <v>1.5</v>
      </c>
      <c r="L167" s="123">
        <f t="shared" si="60"/>
        <v>1.5</v>
      </c>
      <c r="M167" s="123">
        <f t="shared" si="60"/>
        <v>1.5</v>
      </c>
      <c r="N167" s="123">
        <f t="shared" si="60"/>
        <v>1.5</v>
      </c>
      <c r="O167" s="123">
        <f t="shared" si="60"/>
        <v>1.5</v>
      </c>
      <c r="P167" s="123">
        <f t="shared" si="60"/>
        <v>1.5</v>
      </c>
      <c r="Q167" s="123">
        <f t="shared" si="60"/>
        <v>1.5</v>
      </c>
      <c r="R167" s="123">
        <f t="shared" si="60"/>
        <v>1.5</v>
      </c>
      <c r="S167" s="123">
        <f t="shared" si="61"/>
        <v>1.5</v>
      </c>
      <c r="T167" s="123">
        <f t="shared" si="61"/>
        <v>1.5</v>
      </c>
      <c r="U167" s="123">
        <f t="shared" si="61"/>
        <v>1.5</v>
      </c>
      <c r="V167" s="123">
        <f t="shared" si="61"/>
        <v>1.5</v>
      </c>
      <c r="W167" s="123">
        <f t="shared" si="61"/>
        <v>1.5</v>
      </c>
      <c r="X167" s="123">
        <f t="shared" si="61"/>
        <v>1.5</v>
      </c>
      <c r="Y167" s="123">
        <f t="shared" si="61"/>
        <v>1.5</v>
      </c>
      <c r="Z167" s="123">
        <f t="shared" si="61"/>
        <v>1.5</v>
      </c>
      <c r="AA167" s="123">
        <f t="shared" si="61"/>
        <v>1.5</v>
      </c>
      <c r="AB167" s="123">
        <f t="shared" si="61"/>
        <v>1.5</v>
      </c>
      <c r="AC167" s="123">
        <f t="shared" si="61"/>
        <v>1.5</v>
      </c>
      <c r="AD167" s="123">
        <f t="shared" si="61"/>
        <v>1.5</v>
      </c>
      <c r="AE167" s="123">
        <f t="shared" si="61"/>
        <v>1.5</v>
      </c>
      <c r="AF167" s="123">
        <f t="shared" si="61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59"/>
        <v>1</v>
      </c>
      <c r="C168" s="124">
        <v>1</v>
      </c>
      <c r="D168" s="123">
        <f t="shared" si="60"/>
        <v>1</v>
      </c>
      <c r="E168" s="123">
        <f t="shared" si="60"/>
        <v>1</v>
      </c>
      <c r="F168" s="123">
        <f t="shared" si="60"/>
        <v>1</v>
      </c>
      <c r="G168" s="123">
        <f t="shared" si="60"/>
        <v>1</v>
      </c>
      <c r="H168" s="123">
        <f t="shared" si="60"/>
        <v>1</v>
      </c>
      <c r="I168" s="123">
        <f t="shared" si="60"/>
        <v>1</v>
      </c>
      <c r="J168" s="123">
        <f t="shared" si="60"/>
        <v>1</v>
      </c>
      <c r="K168" s="123">
        <f t="shared" si="60"/>
        <v>1</v>
      </c>
      <c r="L168" s="123">
        <f t="shared" si="60"/>
        <v>1</v>
      </c>
      <c r="M168" s="123">
        <f t="shared" si="60"/>
        <v>1</v>
      </c>
      <c r="N168" s="123">
        <f t="shared" si="60"/>
        <v>1</v>
      </c>
      <c r="O168" s="123">
        <f t="shared" si="60"/>
        <v>1</v>
      </c>
      <c r="P168" s="123">
        <f t="shared" si="60"/>
        <v>1</v>
      </c>
      <c r="Q168" s="123">
        <f t="shared" si="60"/>
        <v>1</v>
      </c>
      <c r="R168" s="123">
        <f t="shared" si="60"/>
        <v>1</v>
      </c>
      <c r="S168" s="123">
        <f t="shared" si="61"/>
        <v>1</v>
      </c>
      <c r="T168" s="123">
        <f t="shared" si="61"/>
        <v>1</v>
      </c>
      <c r="U168" s="123">
        <f t="shared" si="61"/>
        <v>1</v>
      </c>
      <c r="V168" s="123">
        <f t="shared" si="61"/>
        <v>1</v>
      </c>
      <c r="W168" s="123">
        <f t="shared" si="61"/>
        <v>1</v>
      </c>
      <c r="X168" s="123">
        <f t="shared" si="61"/>
        <v>1</v>
      </c>
      <c r="Y168" s="123">
        <f t="shared" si="61"/>
        <v>1</v>
      </c>
      <c r="Z168" s="123">
        <f t="shared" si="61"/>
        <v>1</v>
      </c>
      <c r="AA168" s="123">
        <f t="shared" si="61"/>
        <v>1</v>
      </c>
      <c r="AB168" s="123">
        <f t="shared" si="61"/>
        <v>1</v>
      </c>
      <c r="AC168" s="123">
        <f t="shared" si="61"/>
        <v>1</v>
      </c>
      <c r="AD168" s="123">
        <f t="shared" si="61"/>
        <v>1</v>
      </c>
      <c r="AE168" s="123">
        <f t="shared" si="61"/>
        <v>1</v>
      </c>
      <c r="AF168" s="123">
        <f t="shared" si="61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2">AF170</f>
        <v>1</v>
      </c>
      <c r="C170" s="124">
        <v>1</v>
      </c>
      <c r="D170" s="123">
        <f t="shared" ref="D170:S177" si="63">C170</f>
        <v>1</v>
      </c>
      <c r="E170" s="123">
        <f t="shared" si="63"/>
        <v>1</v>
      </c>
      <c r="F170" s="123">
        <f t="shared" si="63"/>
        <v>1</v>
      </c>
      <c r="G170" s="123">
        <f t="shared" si="63"/>
        <v>1</v>
      </c>
      <c r="H170" s="123">
        <f t="shared" si="63"/>
        <v>1</v>
      </c>
      <c r="I170" s="123">
        <f t="shared" si="63"/>
        <v>1</v>
      </c>
      <c r="J170" s="123">
        <f t="shared" si="63"/>
        <v>1</v>
      </c>
      <c r="K170" s="123">
        <f t="shared" si="63"/>
        <v>1</v>
      </c>
      <c r="L170" s="123">
        <f t="shared" si="63"/>
        <v>1</v>
      </c>
      <c r="M170" s="123">
        <f t="shared" si="63"/>
        <v>1</v>
      </c>
      <c r="N170" s="123">
        <f t="shared" si="63"/>
        <v>1</v>
      </c>
      <c r="O170" s="123">
        <f t="shared" si="63"/>
        <v>1</v>
      </c>
      <c r="P170" s="123">
        <f t="shared" si="63"/>
        <v>1</v>
      </c>
      <c r="Q170" s="123">
        <f t="shared" si="63"/>
        <v>1</v>
      </c>
      <c r="R170" s="123">
        <f t="shared" si="63"/>
        <v>1</v>
      </c>
      <c r="S170" s="123">
        <f t="shared" si="63"/>
        <v>1</v>
      </c>
      <c r="T170" s="123">
        <f t="shared" ref="S170:AF177" si="64">S170</f>
        <v>1</v>
      </c>
      <c r="U170" s="123">
        <f t="shared" si="64"/>
        <v>1</v>
      </c>
      <c r="V170" s="123">
        <f t="shared" si="64"/>
        <v>1</v>
      </c>
      <c r="W170" s="123">
        <f t="shared" si="64"/>
        <v>1</v>
      </c>
      <c r="X170" s="123">
        <f t="shared" si="64"/>
        <v>1</v>
      </c>
      <c r="Y170" s="123">
        <f t="shared" si="64"/>
        <v>1</v>
      </c>
      <c r="Z170" s="123">
        <f t="shared" si="64"/>
        <v>1</v>
      </c>
      <c r="AA170" s="123">
        <f t="shared" si="64"/>
        <v>1</v>
      </c>
      <c r="AB170" s="123">
        <f t="shared" si="64"/>
        <v>1</v>
      </c>
      <c r="AC170" s="123">
        <f t="shared" si="64"/>
        <v>1</v>
      </c>
      <c r="AD170" s="123">
        <f t="shared" si="64"/>
        <v>1</v>
      </c>
      <c r="AE170" s="123">
        <f t="shared" si="64"/>
        <v>1</v>
      </c>
      <c r="AF170" s="123">
        <f t="shared" si="64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2"/>
        <v>0.42</v>
      </c>
      <c r="C171" s="124">
        <v>0.42</v>
      </c>
      <c r="D171" s="123">
        <f t="shared" si="63"/>
        <v>0.42</v>
      </c>
      <c r="E171" s="123">
        <f t="shared" si="63"/>
        <v>0.42</v>
      </c>
      <c r="F171" s="123">
        <f t="shared" si="63"/>
        <v>0.42</v>
      </c>
      <c r="G171" s="123">
        <f t="shared" si="63"/>
        <v>0.42</v>
      </c>
      <c r="H171" s="123">
        <f t="shared" si="63"/>
        <v>0.42</v>
      </c>
      <c r="I171" s="123">
        <f t="shared" si="63"/>
        <v>0.42</v>
      </c>
      <c r="J171" s="123">
        <f t="shared" si="63"/>
        <v>0.42</v>
      </c>
      <c r="K171" s="123">
        <f t="shared" si="63"/>
        <v>0.42</v>
      </c>
      <c r="L171" s="123">
        <f t="shared" si="63"/>
        <v>0.42</v>
      </c>
      <c r="M171" s="123">
        <f t="shared" si="63"/>
        <v>0.42</v>
      </c>
      <c r="N171" s="123">
        <f t="shared" si="63"/>
        <v>0.42</v>
      </c>
      <c r="O171" s="123">
        <f t="shared" si="63"/>
        <v>0.42</v>
      </c>
      <c r="P171" s="123">
        <f t="shared" si="63"/>
        <v>0.42</v>
      </c>
      <c r="Q171" s="123">
        <f t="shared" si="63"/>
        <v>0.42</v>
      </c>
      <c r="R171" s="123">
        <f t="shared" si="63"/>
        <v>0.42</v>
      </c>
      <c r="S171" s="123">
        <f t="shared" si="64"/>
        <v>0.42</v>
      </c>
      <c r="T171" s="123">
        <f t="shared" si="64"/>
        <v>0.42</v>
      </c>
      <c r="U171" s="123">
        <f t="shared" si="64"/>
        <v>0.42</v>
      </c>
      <c r="V171" s="123">
        <f t="shared" si="64"/>
        <v>0.42</v>
      </c>
      <c r="W171" s="123">
        <f t="shared" si="64"/>
        <v>0.42</v>
      </c>
      <c r="X171" s="123">
        <f t="shared" si="64"/>
        <v>0.42</v>
      </c>
      <c r="Y171" s="123">
        <f t="shared" si="64"/>
        <v>0.42</v>
      </c>
      <c r="Z171" s="123">
        <f t="shared" si="64"/>
        <v>0.42</v>
      </c>
      <c r="AA171" s="123">
        <f t="shared" si="64"/>
        <v>0.42</v>
      </c>
      <c r="AB171" s="123">
        <f t="shared" si="64"/>
        <v>0.42</v>
      </c>
      <c r="AC171" s="123">
        <f t="shared" si="64"/>
        <v>0.42</v>
      </c>
      <c r="AD171" s="123">
        <f t="shared" si="64"/>
        <v>0.42</v>
      </c>
      <c r="AE171" s="123">
        <f t="shared" si="64"/>
        <v>0.42</v>
      </c>
      <c r="AF171" s="123">
        <f t="shared" si="64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2"/>
        <v>0.46</v>
      </c>
      <c r="C172" s="124">
        <v>0.46</v>
      </c>
      <c r="D172" s="123">
        <f t="shared" si="63"/>
        <v>0.46</v>
      </c>
      <c r="E172" s="123">
        <f t="shared" si="63"/>
        <v>0.46</v>
      </c>
      <c r="F172" s="123">
        <f t="shared" si="63"/>
        <v>0.46</v>
      </c>
      <c r="G172" s="123">
        <f t="shared" si="63"/>
        <v>0.46</v>
      </c>
      <c r="H172" s="123">
        <f t="shared" si="63"/>
        <v>0.46</v>
      </c>
      <c r="I172" s="123">
        <f t="shared" si="63"/>
        <v>0.46</v>
      </c>
      <c r="J172" s="123">
        <f t="shared" si="63"/>
        <v>0.46</v>
      </c>
      <c r="K172" s="123">
        <f t="shared" si="63"/>
        <v>0.46</v>
      </c>
      <c r="L172" s="123">
        <f t="shared" si="63"/>
        <v>0.46</v>
      </c>
      <c r="M172" s="123">
        <f t="shared" si="63"/>
        <v>0.46</v>
      </c>
      <c r="N172" s="123">
        <f t="shared" si="63"/>
        <v>0.46</v>
      </c>
      <c r="O172" s="123">
        <f t="shared" si="63"/>
        <v>0.46</v>
      </c>
      <c r="P172" s="123">
        <f t="shared" si="63"/>
        <v>0.46</v>
      </c>
      <c r="Q172" s="123">
        <f t="shared" si="63"/>
        <v>0.46</v>
      </c>
      <c r="R172" s="123">
        <f t="shared" si="63"/>
        <v>0.46</v>
      </c>
      <c r="S172" s="123">
        <f t="shared" si="64"/>
        <v>0.46</v>
      </c>
      <c r="T172" s="123">
        <f t="shared" si="64"/>
        <v>0.46</v>
      </c>
      <c r="U172" s="123">
        <f t="shared" si="64"/>
        <v>0.46</v>
      </c>
      <c r="V172" s="123">
        <f t="shared" si="64"/>
        <v>0.46</v>
      </c>
      <c r="W172" s="123">
        <f t="shared" si="64"/>
        <v>0.46</v>
      </c>
      <c r="X172" s="123">
        <f t="shared" si="64"/>
        <v>0.46</v>
      </c>
      <c r="Y172" s="123">
        <f t="shared" si="64"/>
        <v>0.46</v>
      </c>
      <c r="Z172" s="123">
        <f t="shared" si="64"/>
        <v>0.46</v>
      </c>
      <c r="AA172" s="123">
        <f t="shared" si="64"/>
        <v>0.46</v>
      </c>
      <c r="AB172" s="123">
        <f t="shared" si="64"/>
        <v>0.46</v>
      </c>
      <c r="AC172" s="123">
        <f t="shared" si="64"/>
        <v>0.46</v>
      </c>
      <c r="AD172" s="123">
        <f t="shared" si="64"/>
        <v>0.46</v>
      </c>
      <c r="AE172" s="123">
        <f t="shared" si="64"/>
        <v>0.46</v>
      </c>
      <c r="AF172" s="123">
        <f t="shared" si="64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2"/>
        <v>0.85</v>
      </c>
      <c r="C173" s="124">
        <v>0.85</v>
      </c>
      <c r="D173" s="123">
        <f t="shared" si="63"/>
        <v>0.85</v>
      </c>
      <c r="E173" s="123">
        <f t="shared" si="63"/>
        <v>0.85</v>
      </c>
      <c r="F173" s="123">
        <f t="shared" si="63"/>
        <v>0.85</v>
      </c>
      <c r="G173" s="123">
        <f t="shared" si="63"/>
        <v>0.85</v>
      </c>
      <c r="H173" s="123">
        <f t="shared" si="63"/>
        <v>0.85</v>
      </c>
      <c r="I173" s="123">
        <f t="shared" si="63"/>
        <v>0.85</v>
      </c>
      <c r="J173" s="123">
        <f t="shared" si="63"/>
        <v>0.85</v>
      </c>
      <c r="K173" s="123">
        <f t="shared" si="63"/>
        <v>0.85</v>
      </c>
      <c r="L173" s="123">
        <f t="shared" si="63"/>
        <v>0.85</v>
      </c>
      <c r="M173" s="123">
        <f t="shared" si="63"/>
        <v>0.85</v>
      </c>
      <c r="N173" s="123">
        <f t="shared" si="63"/>
        <v>0.85</v>
      </c>
      <c r="O173" s="123">
        <f t="shared" si="63"/>
        <v>0.85</v>
      </c>
      <c r="P173" s="123">
        <f t="shared" si="63"/>
        <v>0.85</v>
      </c>
      <c r="Q173" s="123">
        <f t="shared" si="63"/>
        <v>0.85</v>
      </c>
      <c r="R173" s="123">
        <f t="shared" si="63"/>
        <v>0.85</v>
      </c>
      <c r="S173" s="123">
        <f t="shared" si="64"/>
        <v>0.85</v>
      </c>
      <c r="T173" s="123">
        <f t="shared" si="64"/>
        <v>0.85</v>
      </c>
      <c r="U173" s="123">
        <f t="shared" si="64"/>
        <v>0.85</v>
      </c>
      <c r="V173" s="123">
        <f t="shared" si="64"/>
        <v>0.85</v>
      </c>
      <c r="W173" s="123">
        <f t="shared" si="64"/>
        <v>0.85</v>
      </c>
      <c r="X173" s="123">
        <f t="shared" si="64"/>
        <v>0.85</v>
      </c>
      <c r="Y173" s="123">
        <f t="shared" si="64"/>
        <v>0.85</v>
      </c>
      <c r="Z173" s="123">
        <f t="shared" si="64"/>
        <v>0.85</v>
      </c>
      <c r="AA173" s="123">
        <f t="shared" si="64"/>
        <v>0.85</v>
      </c>
      <c r="AB173" s="123">
        <f t="shared" si="64"/>
        <v>0.85</v>
      </c>
      <c r="AC173" s="123">
        <f t="shared" si="64"/>
        <v>0.85</v>
      </c>
      <c r="AD173" s="123">
        <f t="shared" si="64"/>
        <v>0.85</v>
      </c>
      <c r="AE173" s="123">
        <f t="shared" si="64"/>
        <v>0.85</v>
      </c>
      <c r="AF173" s="123">
        <f t="shared" si="64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2"/>
        <v>0.9</v>
      </c>
      <c r="C174" s="124">
        <v>0.9</v>
      </c>
      <c r="D174" s="123">
        <f t="shared" si="63"/>
        <v>0.9</v>
      </c>
      <c r="E174" s="123">
        <f t="shared" si="63"/>
        <v>0.9</v>
      </c>
      <c r="F174" s="123">
        <f t="shared" si="63"/>
        <v>0.9</v>
      </c>
      <c r="G174" s="123">
        <f t="shared" si="63"/>
        <v>0.9</v>
      </c>
      <c r="H174" s="123">
        <f t="shared" si="63"/>
        <v>0.9</v>
      </c>
      <c r="I174" s="123">
        <f t="shared" si="63"/>
        <v>0.9</v>
      </c>
      <c r="J174" s="123">
        <f t="shared" si="63"/>
        <v>0.9</v>
      </c>
      <c r="K174" s="123">
        <f t="shared" si="63"/>
        <v>0.9</v>
      </c>
      <c r="L174" s="123">
        <f t="shared" si="63"/>
        <v>0.9</v>
      </c>
      <c r="M174" s="123">
        <f t="shared" si="63"/>
        <v>0.9</v>
      </c>
      <c r="N174" s="123">
        <f t="shared" si="63"/>
        <v>0.9</v>
      </c>
      <c r="O174" s="123">
        <f t="shared" si="63"/>
        <v>0.9</v>
      </c>
      <c r="P174" s="123">
        <f t="shared" si="63"/>
        <v>0.9</v>
      </c>
      <c r="Q174" s="123">
        <f t="shared" si="63"/>
        <v>0.9</v>
      </c>
      <c r="R174" s="123">
        <f t="shared" si="63"/>
        <v>0.9</v>
      </c>
      <c r="S174" s="123">
        <f t="shared" si="64"/>
        <v>0.9</v>
      </c>
      <c r="T174" s="123">
        <f t="shared" si="64"/>
        <v>0.9</v>
      </c>
      <c r="U174" s="123">
        <f t="shared" si="64"/>
        <v>0.9</v>
      </c>
      <c r="V174" s="123">
        <f t="shared" si="64"/>
        <v>0.9</v>
      </c>
      <c r="W174" s="123">
        <f t="shared" si="64"/>
        <v>0.9</v>
      </c>
      <c r="X174" s="123">
        <f t="shared" si="64"/>
        <v>0.9</v>
      </c>
      <c r="Y174" s="123">
        <f t="shared" si="64"/>
        <v>0.9</v>
      </c>
      <c r="Z174" s="123">
        <f t="shared" si="64"/>
        <v>0.9</v>
      </c>
      <c r="AA174" s="123">
        <f t="shared" si="64"/>
        <v>0.9</v>
      </c>
      <c r="AB174" s="123">
        <f t="shared" si="64"/>
        <v>0.9</v>
      </c>
      <c r="AC174" s="123">
        <f t="shared" si="64"/>
        <v>0.9</v>
      </c>
      <c r="AD174" s="123">
        <f t="shared" si="64"/>
        <v>0.9</v>
      </c>
      <c r="AE174" s="123">
        <f t="shared" si="64"/>
        <v>0.9</v>
      </c>
      <c r="AF174" s="123">
        <f t="shared" si="64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2"/>
        <v>0.44</v>
      </c>
      <c r="C175" s="124">
        <v>0.44</v>
      </c>
      <c r="D175" s="123">
        <f t="shared" si="63"/>
        <v>0.44</v>
      </c>
      <c r="E175" s="123">
        <f t="shared" si="63"/>
        <v>0.44</v>
      </c>
      <c r="F175" s="123">
        <f t="shared" si="63"/>
        <v>0.44</v>
      </c>
      <c r="G175" s="123">
        <f t="shared" si="63"/>
        <v>0.44</v>
      </c>
      <c r="H175" s="123">
        <f t="shared" si="63"/>
        <v>0.44</v>
      </c>
      <c r="I175" s="123">
        <f t="shared" si="63"/>
        <v>0.44</v>
      </c>
      <c r="J175" s="123">
        <f t="shared" si="63"/>
        <v>0.44</v>
      </c>
      <c r="K175" s="123">
        <f t="shared" si="63"/>
        <v>0.44</v>
      </c>
      <c r="L175" s="123">
        <f t="shared" si="63"/>
        <v>0.44</v>
      </c>
      <c r="M175" s="123">
        <f t="shared" si="63"/>
        <v>0.44</v>
      </c>
      <c r="N175" s="123">
        <f t="shared" si="63"/>
        <v>0.44</v>
      </c>
      <c r="O175" s="123">
        <f t="shared" si="63"/>
        <v>0.44</v>
      </c>
      <c r="P175" s="123">
        <f t="shared" si="63"/>
        <v>0.44</v>
      </c>
      <c r="Q175" s="123">
        <f t="shared" si="63"/>
        <v>0.44</v>
      </c>
      <c r="R175" s="123">
        <f t="shared" si="63"/>
        <v>0.44</v>
      </c>
      <c r="S175" s="123">
        <f t="shared" si="64"/>
        <v>0.44</v>
      </c>
      <c r="T175" s="123">
        <f t="shared" si="64"/>
        <v>0.44</v>
      </c>
      <c r="U175" s="123">
        <f t="shared" si="64"/>
        <v>0.44</v>
      </c>
      <c r="V175" s="123">
        <f t="shared" si="64"/>
        <v>0.44</v>
      </c>
      <c r="W175" s="123">
        <f t="shared" si="64"/>
        <v>0.44</v>
      </c>
      <c r="X175" s="123">
        <f t="shared" si="64"/>
        <v>0.44</v>
      </c>
      <c r="Y175" s="123">
        <f t="shared" si="64"/>
        <v>0.44</v>
      </c>
      <c r="Z175" s="123">
        <f t="shared" si="64"/>
        <v>0.44</v>
      </c>
      <c r="AA175" s="123">
        <f t="shared" si="64"/>
        <v>0.44</v>
      </c>
      <c r="AB175" s="123">
        <f t="shared" si="64"/>
        <v>0.44</v>
      </c>
      <c r="AC175" s="123">
        <f t="shared" si="64"/>
        <v>0.44</v>
      </c>
      <c r="AD175" s="123">
        <f t="shared" si="64"/>
        <v>0.44</v>
      </c>
      <c r="AE175" s="123">
        <f t="shared" si="64"/>
        <v>0.44</v>
      </c>
      <c r="AF175" s="123">
        <f t="shared" si="64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2"/>
        <v>2.1</v>
      </c>
      <c r="C176" s="124">
        <v>2.1</v>
      </c>
      <c r="D176" s="123">
        <f t="shared" si="63"/>
        <v>2.1</v>
      </c>
      <c r="E176" s="123">
        <f t="shared" si="63"/>
        <v>2.1</v>
      </c>
      <c r="F176" s="123">
        <f t="shared" si="63"/>
        <v>2.1</v>
      </c>
      <c r="G176" s="123">
        <f t="shared" si="63"/>
        <v>2.1</v>
      </c>
      <c r="H176" s="123">
        <f t="shared" si="63"/>
        <v>2.1</v>
      </c>
      <c r="I176" s="123">
        <f t="shared" si="63"/>
        <v>2.1</v>
      </c>
      <c r="J176" s="123">
        <f t="shared" si="63"/>
        <v>2.1</v>
      </c>
      <c r="K176" s="123">
        <f t="shared" si="63"/>
        <v>2.1</v>
      </c>
      <c r="L176" s="123">
        <f t="shared" si="63"/>
        <v>2.1</v>
      </c>
      <c r="M176" s="123">
        <f t="shared" si="63"/>
        <v>2.1</v>
      </c>
      <c r="N176" s="123">
        <f t="shared" si="63"/>
        <v>2.1</v>
      </c>
      <c r="O176" s="123">
        <f t="shared" si="63"/>
        <v>2.1</v>
      </c>
      <c r="P176" s="123">
        <f t="shared" si="63"/>
        <v>2.1</v>
      </c>
      <c r="Q176" s="123">
        <f t="shared" si="63"/>
        <v>2.1</v>
      </c>
      <c r="R176" s="123">
        <f t="shared" si="63"/>
        <v>2.1</v>
      </c>
      <c r="S176" s="123">
        <f t="shared" si="64"/>
        <v>2.1</v>
      </c>
      <c r="T176" s="123">
        <f t="shared" si="64"/>
        <v>2.1</v>
      </c>
      <c r="U176" s="123">
        <f t="shared" si="64"/>
        <v>2.1</v>
      </c>
      <c r="V176" s="123">
        <f t="shared" si="64"/>
        <v>2.1</v>
      </c>
      <c r="W176" s="123">
        <f t="shared" si="64"/>
        <v>2.1</v>
      </c>
      <c r="X176" s="123">
        <f t="shared" si="64"/>
        <v>2.1</v>
      </c>
      <c r="Y176" s="123">
        <f t="shared" si="64"/>
        <v>2.1</v>
      </c>
      <c r="Z176" s="123">
        <f t="shared" si="64"/>
        <v>2.1</v>
      </c>
      <c r="AA176" s="123">
        <f t="shared" si="64"/>
        <v>2.1</v>
      </c>
      <c r="AB176" s="123">
        <f t="shared" si="64"/>
        <v>2.1</v>
      </c>
      <c r="AC176" s="123">
        <f t="shared" si="64"/>
        <v>2.1</v>
      </c>
      <c r="AD176" s="123">
        <f t="shared" si="64"/>
        <v>2.1</v>
      </c>
      <c r="AE176" s="123">
        <f t="shared" si="64"/>
        <v>2.1</v>
      </c>
      <c r="AF176" s="123">
        <f t="shared" si="64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2"/>
        <v>0.9</v>
      </c>
      <c r="C177" s="124">
        <v>0.9</v>
      </c>
      <c r="D177" s="123">
        <f t="shared" si="63"/>
        <v>0.9</v>
      </c>
      <c r="E177" s="123">
        <f t="shared" si="63"/>
        <v>0.9</v>
      </c>
      <c r="F177" s="123">
        <f t="shared" si="63"/>
        <v>0.9</v>
      </c>
      <c r="G177" s="123">
        <f t="shared" si="63"/>
        <v>0.9</v>
      </c>
      <c r="H177" s="123">
        <f t="shared" si="63"/>
        <v>0.9</v>
      </c>
      <c r="I177" s="123">
        <f t="shared" si="63"/>
        <v>0.9</v>
      </c>
      <c r="J177" s="123">
        <f t="shared" si="63"/>
        <v>0.9</v>
      </c>
      <c r="K177" s="123">
        <f t="shared" si="63"/>
        <v>0.9</v>
      </c>
      <c r="L177" s="123">
        <f t="shared" si="63"/>
        <v>0.9</v>
      </c>
      <c r="M177" s="123">
        <f t="shared" si="63"/>
        <v>0.9</v>
      </c>
      <c r="N177" s="123">
        <f t="shared" si="63"/>
        <v>0.9</v>
      </c>
      <c r="O177" s="123">
        <f t="shared" si="63"/>
        <v>0.9</v>
      </c>
      <c r="P177" s="123">
        <f t="shared" si="63"/>
        <v>0.9</v>
      </c>
      <c r="Q177" s="123">
        <f t="shared" si="63"/>
        <v>0.9</v>
      </c>
      <c r="R177" s="123">
        <f t="shared" si="63"/>
        <v>0.9</v>
      </c>
      <c r="S177" s="123">
        <f t="shared" si="64"/>
        <v>0.9</v>
      </c>
      <c r="T177" s="123">
        <f t="shared" si="64"/>
        <v>0.9</v>
      </c>
      <c r="U177" s="123">
        <f t="shared" si="64"/>
        <v>0.9</v>
      </c>
      <c r="V177" s="123">
        <f t="shared" si="64"/>
        <v>0.9</v>
      </c>
      <c r="W177" s="123">
        <f t="shared" si="64"/>
        <v>0.9</v>
      </c>
      <c r="X177" s="123">
        <f t="shared" si="64"/>
        <v>0.9</v>
      </c>
      <c r="Y177" s="123">
        <f t="shared" si="64"/>
        <v>0.9</v>
      </c>
      <c r="Z177" s="123">
        <f t="shared" si="64"/>
        <v>0.9</v>
      </c>
      <c r="AA177" s="123">
        <f t="shared" si="64"/>
        <v>0.9</v>
      </c>
      <c r="AB177" s="123">
        <f t="shared" si="64"/>
        <v>0.9</v>
      </c>
      <c r="AC177" s="123">
        <f t="shared" si="64"/>
        <v>0.9</v>
      </c>
      <c r="AD177" s="123">
        <f t="shared" si="64"/>
        <v>0.9</v>
      </c>
      <c r="AE177" s="123">
        <f t="shared" si="64"/>
        <v>0.9</v>
      </c>
      <c r="AF177" s="123">
        <f t="shared" si="64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5">AF179</f>
        <v>0.57999999999999996</v>
      </c>
      <c r="C179" s="124">
        <v>0.57999999999999996</v>
      </c>
      <c r="D179" s="123">
        <f t="shared" ref="D179:S191" si="66">C179</f>
        <v>0.57999999999999996</v>
      </c>
      <c r="E179" s="123">
        <f t="shared" si="66"/>
        <v>0.57999999999999996</v>
      </c>
      <c r="F179" s="123">
        <f t="shared" si="66"/>
        <v>0.57999999999999996</v>
      </c>
      <c r="G179" s="123">
        <f t="shared" si="66"/>
        <v>0.57999999999999996</v>
      </c>
      <c r="H179" s="123">
        <f t="shared" si="66"/>
        <v>0.57999999999999996</v>
      </c>
      <c r="I179" s="123">
        <f t="shared" si="66"/>
        <v>0.57999999999999996</v>
      </c>
      <c r="J179" s="123">
        <f t="shared" si="66"/>
        <v>0.57999999999999996</v>
      </c>
      <c r="K179" s="123">
        <f t="shared" si="66"/>
        <v>0.57999999999999996</v>
      </c>
      <c r="L179" s="123">
        <f t="shared" si="66"/>
        <v>0.57999999999999996</v>
      </c>
      <c r="M179" s="123">
        <f t="shared" si="66"/>
        <v>0.57999999999999996</v>
      </c>
      <c r="N179" s="123">
        <f t="shared" si="66"/>
        <v>0.57999999999999996</v>
      </c>
      <c r="O179" s="123">
        <f t="shared" si="66"/>
        <v>0.57999999999999996</v>
      </c>
      <c r="P179" s="123">
        <f t="shared" si="66"/>
        <v>0.57999999999999996</v>
      </c>
      <c r="Q179" s="123">
        <f t="shared" si="66"/>
        <v>0.57999999999999996</v>
      </c>
      <c r="R179" s="123">
        <f t="shared" si="66"/>
        <v>0.57999999999999996</v>
      </c>
      <c r="S179" s="123">
        <f t="shared" si="66"/>
        <v>0.57999999999999996</v>
      </c>
      <c r="T179" s="123">
        <f t="shared" ref="S179:AF191" si="67">S179</f>
        <v>0.57999999999999996</v>
      </c>
      <c r="U179" s="123">
        <f t="shared" si="67"/>
        <v>0.57999999999999996</v>
      </c>
      <c r="V179" s="123">
        <f t="shared" si="67"/>
        <v>0.57999999999999996</v>
      </c>
      <c r="W179" s="123">
        <f t="shared" si="67"/>
        <v>0.57999999999999996</v>
      </c>
      <c r="X179" s="123">
        <f t="shared" si="67"/>
        <v>0.57999999999999996</v>
      </c>
      <c r="Y179" s="123">
        <f t="shared" si="67"/>
        <v>0.57999999999999996</v>
      </c>
      <c r="Z179" s="123">
        <f t="shared" si="67"/>
        <v>0.57999999999999996</v>
      </c>
      <c r="AA179" s="123">
        <f t="shared" si="67"/>
        <v>0.57999999999999996</v>
      </c>
      <c r="AB179" s="123">
        <f t="shared" si="67"/>
        <v>0.57999999999999996</v>
      </c>
      <c r="AC179" s="123">
        <f t="shared" si="67"/>
        <v>0.57999999999999996</v>
      </c>
      <c r="AD179" s="123">
        <f t="shared" si="67"/>
        <v>0.57999999999999996</v>
      </c>
      <c r="AE179" s="123">
        <f t="shared" si="67"/>
        <v>0.57999999999999996</v>
      </c>
      <c r="AF179" s="123">
        <f t="shared" si="67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5"/>
        <v>0.8</v>
      </c>
      <c r="C180" s="124">
        <v>0.8</v>
      </c>
      <c r="D180" s="123">
        <f t="shared" si="66"/>
        <v>0.8</v>
      </c>
      <c r="E180" s="123">
        <f t="shared" si="66"/>
        <v>0.8</v>
      </c>
      <c r="F180" s="123">
        <f t="shared" si="66"/>
        <v>0.8</v>
      </c>
      <c r="G180" s="123">
        <f t="shared" si="66"/>
        <v>0.8</v>
      </c>
      <c r="H180" s="123">
        <f t="shared" si="66"/>
        <v>0.8</v>
      </c>
      <c r="I180" s="123">
        <f t="shared" si="66"/>
        <v>0.8</v>
      </c>
      <c r="J180" s="123">
        <f t="shared" si="66"/>
        <v>0.8</v>
      </c>
      <c r="K180" s="123">
        <f t="shared" si="66"/>
        <v>0.8</v>
      </c>
      <c r="L180" s="123">
        <f t="shared" si="66"/>
        <v>0.8</v>
      </c>
      <c r="M180" s="123">
        <f t="shared" si="66"/>
        <v>0.8</v>
      </c>
      <c r="N180" s="123">
        <f t="shared" si="66"/>
        <v>0.8</v>
      </c>
      <c r="O180" s="123">
        <f t="shared" si="66"/>
        <v>0.8</v>
      </c>
      <c r="P180" s="123">
        <f t="shared" si="66"/>
        <v>0.8</v>
      </c>
      <c r="Q180" s="123">
        <f t="shared" si="66"/>
        <v>0.8</v>
      </c>
      <c r="R180" s="123">
        <f t="shared" si="66"/>
        <v>0.8</v>
      </c>
      <c r="S180" s="123">
        <f t="shared" si="66"/>
        <v>0.8</v>
      </c>
      <c r="T180" s="123">
        <f t="shared" si="67"/>
        <v>0.8</v>
      </c>
      <c r="U180" s="123">
        <f t="shared" si="67"/>
        <v>0.8</v>
      </c>
      <c r="V180" s="123">
        <f t="shared" si="67"/>
        <v>0.8</v>
      </c>
      <c r="W180" s="123">
        <f t="shared" si="67"/>
        <v>0.8</v>
      </c>
      <c r="X180" s="123">
        <f t="shared" si="67"/>
        <v>0.8</v>
      </c>
      <c r="Y180" s="123">
        <f t="shared" si="67"/>
        <v>0.8</v>
      </c>
      <c r="Z180" s="123">
        <f t="shared" si="67"/>
        <v>0.8</v>
      </c>
      <c r="AA180" s="123">
        <f t="shared" si="67"/>
        <v>0.8</v>
      </c>
      <c r="AB180" s="123">
        <f t="shared" si="67"/>
        <v>0.8</v>
      </c>
      <c r="AC180" s="123">
        <f t="shared" si="67"/>
        <v>0.8</v>
      </c>
      <c r="AD180" s="123">
        <f t="shared" si="67"/>
        <v>0.8</v>
      </c>
      <c r="AE180" s="123">
        <f t="shared" si="67"/>
        <v>0.8</v>
      </c>
      <c r="AF180" s="123">
        <f t="shared" si="67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5"/>
        <v>0</v>
      </c>
      <c r="C181" s="124">
        <v>0</v>
      </c>
      <c r="D181" s="123">
        <f t="shared" si="66"/>
        <v>0</v>
      </c>
      <c r="E181" s="123">
        <f t="shared" si="66"/>
        <v>0</v>
      </c>
      <c r="F181" s="123">
        <f t="shared" si="66"/>
        <v>0</v>
      </c>
      <c r="G181" s="123">
        <f t="shared" si="66"/>
        <v>0</v>
      </c>
      <c r="H181" s="123">
        <f t="shared" si="66"/>
        <v>0</v>
      </c>
      <c r="I181" s="123">
        <f t="shared" si="66"/>
        <v>0</v>
      </c>
      <c r="J181" s="123">
        <f t="shared" si="66"/>
        <v>0</v>
      </c>
      <c r="K181" s="123">
        <f t="shared" si="66"/>
        <v>0</v>
      </c>
      <c r="L181" s="123">
        <f t="shared" si="66"/>
        <v>0</v>
      </c>
      <c r="M181" s="123">
        <f t="shared" si="66"/>
        <v>0</v>
      </c>
      <c r="N181" s="123">
        <f t="shared" si="66"/>
        <v>0</v>
      </c>
      <c r="O181" s="123">
        <f t="shared" si="66"/>
        <v>0</v>
      </c>
      <c r="P181" s="123">
        <f t="shared" si="66"/>
        <v>0</v>
      </c>
      <c r="Q181" s="123">
        <f t="shared" si="66"/>
        <v>0</v>
      </c>
      <c r="R181" s="123">
        <f t="shared" si="66"/>
        <v>0</v>
      </c>
      <c r="S181" s="123">
        <f t="shared" si="66"/>
        <v>0</v>
      </c>
      <c r="T181" s="123">
        <f t="shared" si="67"/>
        <v>0</v>
      </c>
      <c r="U181" s="123">
        <f t="shared" si="67"/>
        <v>0</v>
      </c>
      <c r="V181" s="123">
        <f t="shared" si="67"/>
        <v>0</v>
      </c>
      <c r="W181" s="123">
        <f t="shared" si="67"/>
        <v>0</v>
      </c>
      <c r="X181" s="123">
        <f t="shared" si="67"/>
        <v>0</v>
      </c>
      <c r="Y181" s="123">
        <f t="shared" si="67"/>
        <v>0</v>
      </c>
      <c r="Z181" s="123">
        <f t="shared" si="67"/>
        <v>0</v>
      </c>
      <c r="AA181" s="123">
        <f t="shared" si="67"/>
        <v>0</v>
      </c>
      <c r="AB181" s="123">
        <f t="shared" si="67"/>
        <v>0</v>
      </c>
      <c r="AC181" s="123">
        <f t="shared" si="67"/>
        <v>0</v>
      </c>
      <c r="AD181" s="123">
        <f t="shared" si="67"/>
        <v>0</v>
      </c>
      <c r="AE181" s="123">
        <f t="shared" si="67"/>
        <v>0</v>
      </c>
      <c r="AF181" s="123">
        <f t="shared" si="67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5"/>
        <v>0.6</v>
      </c>
      <c r="C182" s="124">
        <v>0.6</v>
      </c>
      <c r="D182" s="123">
        <f t="shared" si="66"/>
        <v>0.6</v>
      </c>
      <c r="E182" s="123">
        <f t="shared" si="66"/>
        <v>0.6</v>
      </c>
      <c r="F182" s="123">
        <f t="shared" si="66"/>
        <v>0.6</v>
      </c>
      <c r="G182" s="123">
        <f t="shared" si="66"/>
        <v>0.6</v>
      </c>
      <c r="H182" s="123">
        <f t="shared" si="66"/>
        <v>0.6</v>
      </c>
      <c r="I182" s="123">
        <f t="shared" si="66"/>
        <v>0.6</v>
      </c>
      <c r="J182" s="123">
        <f t="shared" si="66"/>
        <v>0.6</v>
      </c>
      <c r="K182" s="123">
        <f t="shared" si="66"/>
        <v>0.6</v>
      </c>
      <c r="L182" s="123">
        <f t="shared" si="66"/>
        <v>0.6</v>
      </c>
      <c r="M182" s="123">
        <f t="shared" si="66"/>
        <v>0.6</v>
      </c>
      <c r="N182" s="123">
        <f t="shared" si="66"/>
        <v>0.6</v>
      </c>
      <c r="O182" s="123">
        <f t="shared" si="66"/>
        <v>0.6</v>
      </c>
      <c r="P182" s="123">
        <f t="shared" si="66"/>
        <v>0.6</v>
      </c>
      <c r="Q182" s="123">
        <f t="shared" si="66"/>
        <v>0.6</v>
      </c>
      <c r="R182" s="123">
        <f t="shared" si="66"/>
        <v>0.6</v>
      </c>
      <c r="S182" s="123">
        <f t="shared" si="66"/>
        <v>0.6</v>
      </c>
      <c r="T182" s="123">
        <f t="shared" si="67"/>
        <v>0.6</v>
      </c>
      <c r="U182" s="123">
        <f t="shared" si="67"/>
        <v>0.6</v>
      </c>
      <c r="V182" s="123">
        <f t="shared" si="67"/>
        <v>0.6</v>
      </c>
      <c r="W182" s="123">
        <f t="shared" si="67"/>
        <v>0.6</v>
      </c>
      <c r="X182" s="123">
        <f t="shared" si="67"/>
        <v>0.6</v>
      </c>
      <c r="Y182" s="123">
        <f t="shared" si="67"/>
        <v>0.6</v>
      </c>
      <c r="Z182" s="123">
        <f t="shared" si="67"/>
        <v>0.6</v>
      </c>
      <c r="AA182" s="123">
        <f t="shared" si="67"/>
        <v>0.6</v>
      </c>
      <c r="AB182" s="123">
        <f t="shared" si="67"/>
        <v>0.6</v>
      </c>
      <c r="AC182" s="123">
        <f t="shared" si="67"/>
        <v>0.6</v>
      </c>
      <c r="AD182" s="123">
        <f t="shared" si="67"/>
        <v>0.6</v>
      </c>
      <c r="AE182" s="123">
        <f t="shared" si="67"/>
        <v>0.6</v>
      </c>
      <c r="AF182" s="123">
        <f t="shared" si="67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5"/>
        <v>0.6</v>
      </c>
      <c r="C183" s="124">
        <v>0.6</v>
      </c>
      <c r="D183" s="123">
        <f t="shared" si="66"/>
        <v>0.6</v>
      </c>
      <c r="E183" s="123">
        <f t="shared" si="66"/>
        <v>0.6</v>
      </c>
      <c r="F183" s="123">
        <f t="shared" si="66"/>
        <v>0.6</v>
      </c>
      <c r="G183" s="123">
        <f t="shared" si="66"/>
        <v>0.6</v>
      </c>
      <c r="H183" s="123">
        <f t="shared" si="66"/>
        <v>0.6</v>
      </c>
      <c r="I183" s="123">
        <f t="shared" si="66"/>
        <v>0.6</v>
      </c>
      <c r="J183" s="123">
        <f t="shared" si="66"/>
        <v>0.6</v>
      </c>
      <c r="K183" s="123">
        <f t="shared" si="66"/>
        <v>0.6</v>
      </c>
      <c r="L183" s="123">
        <f t="shared" si="66"/>
        <v>0.6</v>
      </c>
      <c r="M183" s="123">
        <f t="shared" si="66"/>
        <v>0.6</v>
      </c>
      <c r="N183" s="123">
        <f t="shared" si="66"/>
        <v>0.6</v>
      </c>
      <c r="O183" s="123">
        <f t="shared" si="66"/>
        <v>0.6</v>
      </c>
      <c r="P183" s="123">
        <f t="shared" si="66"/>
        <v>0.6</v>
      </c>
      <c r="Q183" s="123">
        <f t="shared" si="66"/>
        <v>0.6</v>
      </c>
      <c r="R183" s="123">
        <f t="shared" si="66"/>
        <v>0.6</v>
      </c>
      <c r="S183" s="123">
        <f t="shared" si="66"/>
        <v>0.6</v>
      </c>
      <c r="T183" s="123">
        <f t="shared" si="67"/>
        <v>0.6</v>
      </c>
      <c r="U183" s="123">
        <f t="shared" si="67"/>
        <v>0.6</v>
      </c>
      <c r="V183" s="123">
        <f t="shared" si="67"/>
        <v>0.6</v>
      </c>
      <c r="W183" s="123">
        <f t="shared" si="67"/>
        <v>0.6</v>
      </c>
      <c r="X183" s="123">
        <f t="shared" si="67"/>
        <v>0.6</v>
      </c>
      <c r="Y183" s="123">
        <f t="shared" si="67"/>
        <v>0.6</v>
      </c>
      <c r="Z183" s="123">
        <f t="shared" si="67"/>
        <v>0.6</v>
      </c>
      <c r="AA183" s="123">
        <f t="shared" si="67"/>
        <v>0.6</v>
      </c>
      <c r="AB183" s="123">
        <f t="shared" si="67"/>
        <v>0.6</v>
      </c>
      <c r="AC183" s="123">
        <f t="shared" si="67"/>
        <v>0.6</v>
      </c>
      <c r="AD183" s="123">
        <f t="shared" si="67"/>
        <v>0.6</v>
      </c>
      <c r="AE183" s="123">
        <f t="shared" si="67"/>
        <v>0.6</v>
      </c>
      <c r="AF183" s="123">
        <f t="shared" si="67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5"/>
        <v>0.35</v>
      </c>
      <c r="C184" s="124">
        <v>0.35</v>
      </c>
      <c r="D184" s="123">
        <f t="shared" si="66"/>
        <v>0.35</v>
      </c>
      <c r="E184" s="123">
        <f t="shared" si="66"/>
        <v>0.35</v>
      </c>
      <c r="F184" s="123">
        <f t="shared" si="66"/>
        <v>0.35</v>
      </c>
      <c r="G184" s="123">
        <f t="shared" si="66"/>
        <v>0.35</v>
      </c>
      <c r="H184" s="123">
        <f t="shared" si="66"/>
        <v>0.35</v>
      </c>
      <c r="I184" s="123">
        <f t="shared" si="66"/>
        <v>0.35</v>
      </c>
      <c r="J184" s="123">
        <f t="shared" si="66"/>
        <v>0.35</v>
      </c>
      <c r="K184" s="123">
        <f t="shared" si="66"/>
        <v>0.35</v>
      </c>
      <c r="L184" s="123">
        <f t="shared" si="66"/>
        <v>0.35</v>
      </c>
      <c r="M184" s="123">
        <f t="shared" si="66"/>
        <v>0.35</v>
      </c>
      <c r="N184" s="123">
        <f t="shared" si="66"/>
        <v>0.35</v>
      </c>
      <c r="O184" s="123">
        <f t="shared" si="66"/>
        <v>0.35</v>
      </c>
      <c r="P184" s="123">
        <f t="shared" si="66"/>
        <v>0.35</v>
      </c>
      <c r="Q184" s="123">
        <f t="shared" si="66"/>
        <v>0.35</v>
      </c>
      <c r="R184" s="123">
        <f t="shared" si="66"/>
        <v>0.35</v>
      </c>
      <c r="S184" s="123">
        <f t="shared" si="66"/>
        <v>0.35</v>
      </c>
      <c r="T184" s="123">
        <f t="shared" si="67"/>
        <v>0.35</v>
      </c>
      <c r="U184" s="123">
        <f t="shared" si="67"/>
        <v>0.35</v>
      </c>
      <c r="V184" s="123">
        <f t="shared" si="67"/>
        <v>0.35</v>
      </c>
      <c r="W184" s="123">
        <f t="shared" si="67"/>
        <v>0.35</v>
      </c>
      <c r="X184" s="123">
        <f t="shared" si="67"/>
        <v>0.35</v>
      </c>
      <c r="Y184" s="123">
        <f t="shared" si="67"/>
        <v>0.35</v>
      </c>
      <c r="Z184" s="123">
        <f t="shared" si="67"/>
        <v>0.35</v>
      </c>
      <c r="AA184" s="123">
        <f t="shared" si="67"/>
        <v>0.35</v>
      </c>
      <c r="AB184" s="123">
        <f t="shared" si="67"/>
        <v>0.35</v>
      </c>
      <c r="AC184" s="123">
        <f t="shared" si="67"/>
        <v>0.35</v>
      </c>
      <c r="AD184" s="123">
        <f t="shared" si="67"/>
        <v>0.35</v>
      </c>
      <c r="AE184" s="123">
        <f t="shared" si="67"/>
        <v>0.35</v>
      </c>
      <c r="AF184" s="123">
        <f t="shared" si="67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5"/>
        <v>0.28999999999999998</v>
      </c>
      <c r="C185" s="124">
        <v>0.28999999999999998</v>
      </c>
      <c r="D185" s="123">
        <f t="shared" si="66"/>
        <v>0.28999999999999998</v>
      </c>
      <c r="E185" s="123">
        <f t="shared" si="66"/>
        <v>0.28999999999999998</v>
      </c>
      <c r="F185" s="123">
        <f t="shared" si="66"/>
        <v>0.28999999999999998</v>
      </c>
      <c r="G185" s="123">
        <f t="shared" si="66"/>
        <v>0.28999999999999998</v>
      </c>
      <c r="H185" s="123">
        <f t="shared" si="66"/>
        <v>0.28999999999999998</v>
      </c>
      <c r="I185" s="123">
        <f t="shared" si="66"/>
        <v>0.28999999999999998</v>
      </c>
      <c r="J185" s="123">
        <f t="shared" si="66"/>
        <v>0.28999999999999998</v>
      </c>
      <c r="K185" s="123">
        <f t="shared" si="66"/>
        <v>0.28999999999999998</v>
      </c>
      <c r="L185" s="123">
        <f t="shared" si="66"/>
        <v>0.28999999999999998</v>
      </c>
      <c r="M185" s="123">
        <f t="shared" si="66"/>
        <v>0.28999999999999998</v>
      </c>
      <c r="N185" s="123">
        <f t="shared" si="66"/>
        <v>0.28999999999999998</v>
      </c>
      <c r="O185" s="123">
        <f t="shared" si="66"/>
        <v>0.28999999999999998</v>
      </c>
      <c r="P185" s="123">
        <f t="shared" si="66"/>
        <v>0.28999999999999998</v>
      </c>
      <c r="Q185" s="123">
        <f t="shared" si="66"/>
        <v>0.28999999999999998</v>
      </c>
      <c r="R185" s="123">
        <f t="shared" si="66"/>
        <v>0.28999999999999998</v>
      </c>
      <c r="S185" s="123">
        <f t="shared" si="66"/>
        <v>0.28999999999999998</v>
      </c>
      <c r="T185" s="123">
        <f t="shared" si="67"/>
        <v>0.28999999999999998</v>
      </c>
      <c r="U185" s="123">
        <f t="shared" si="67"/>
        <v>0.28999999999999998</v>
      </c>
      <c r="V185" s="123">
        <f t="shared" si="67"/>
        <v>0.28999999999999998</v>
      </c>
      <c r="W185" s="123">
        <f t="shared" si="67"/>
        <v>0.28999999999999998</v>
      </c>
      <c r="X185" s="123">
        <f t="shared" si="67"/>
        <v>0.28999999999999998</v>
      </c>
      <c r="Y185" s="123">
        <f t="shared" si="67"/>
        <v>0.28999999999999998</v>
      </c>
      <c r="Z185" s="123">
        <f t="shared" si="67"/>
        <v>0.28999999999999998</v>
      </c>
      <c r="AA185" s="123">
        <f t="shared" si="67"/>
        <v>0.28999999999999998</v>
      </c>
      <c r="AB185" s="123">
        <f t="shared" si="67"/>
        <v>0.28999999999999998</v>
      </c>
      <c r="AC185" s="123">
        <f t="shared" si="67"/>
        <v>0.28999999999999998</v>
      </c>
      <c r="AD185" s="123">
        <f t="shared" si="67"/>
        <v>0.28999999999999998</v>
      </c>
      <c r="AE185" s="123">
        <f t="shared" si="67"/>
        <v>0.28999999999999998</v>
      </c>
      <c r="AF185" s="123">
        <f t="shared" si="67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5"/>
        <v>0.06</v>
      </c>
      <c r="C186" s="124">
        <v>0.06</v>
      </c>
      <c r="D186" s="123">
        <f t="shared" si="66"/>
        <v>0.06</v>
      </c>
      <c r="E186" s="123">
        <f t="shared" si="66"/>
        <v>0.06</v>
      </c>
      <c r="F186" s="123">
        <f t="shared" si="66"/>
        <v>0.06</v>
      </c>
      <c r="G186" s="123">
        <f t="shared" si="66"/>
        <v>0.06</v>
      </c>
      <c r="H186" s="123">
        <f t="shared" si="66"/>
        <v>0.06</v>
      </c>
      <c r="I186" s="123">
        <f t="shared" si="66"/>
        <v>0.06</v>
      </c>
      <c r="J186" s="123">
        <f t="shared" si="66"/>
        <v>0.06</v>
      </c>
      <c r="K186" s="123">
        <f t="shared" si="66"/>
        <v>0.06</v>
      </c>
      <c r="L186" s="123">
        <f t="shared" si="66"/>
        <v>0.06</v>
      </c>
      <c r="M186" s="123">
        <f t="shared" si="66"/>
        <v>0.06</v>
      </c>
      <c r="N186" s="123">
        <f t="shared" si="66"/>
        <v>0.06</v>
      </c>
      <c r="O186" s="123">
        <f t="shared" si="66"/>
        <v>0.06</v>
      </c>
      <c r="P186" s="123">
        <f t="shared" si="66"/>
        <v>0.06</v>
      </c>
      <c r="Q186" s="123">
        <f t="shared" si="66"/>
        <v>0.06</v>
      </c>
      <c r="R186" s="123">
        <f t="shared" si="66"/>
        <v>0.06</v>
      </c>
      <c r="S186" s="123">
        <f t="shared" si="66"/>
        <v>0.06</v>
      </c>
      <c r="T186" s="123">
        <f t="shared" si="67"/>
        <v>0.06</v>
      </c>
      <c r="U186" s="123">
        <f t="shared" si="67"/>
        <v>0.06</v>
      </c>
      <c r="V186" s="123">
        <f t="shared" si="67"/>
        <v>0.06</v>
      </c>
      <c r="W186" s="123">
        <f t="shared" si="67"/>
        <v>0.06</v>
      </c>
      <c r="X186" s="123">
        <f t="shared" si="67"/>
        <v>0.06</v>
      </c>
      <c r="Y186" s="123">
        <f t="shared" si="67"/>
        <v>0.06</v>
      </c>
      <c r="Z186" s="123">
        <f t="shared" si="67"/>
        <v>0.06</v>
      </c>
      <c r="AA186" s="123">
        <f t="shared" si="67"/>
        <v>0.06</v>
      </c>
      <c r="AB186" s="123">
        <f t="shared" si="67"/>
        <v>0.06</v>
      </c>
      <c r="AC186" s="123">
        <f t="shared" si="67"/>
        <v>0.06</v>
      </c>
      <c r="AD186" s="123">
        <f t="shared" si="67"/>
        <v>0.06</v>
      </c>
      <c r="AE186" s="123">
        <f t="shared" si="67"/>
        <v>0.06</v>
      </c>
      <c r="AF186" s="123">
        <f t="shared" si="67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5"/>
        <v>0.11</v>
      </c>
      <c r="C187" s="124">
        <v>0.11</v>
      </c>
      <c r="D187" s="123">
        <f t="shared" si="66"/>
        <v>0.11</v>
      </c>
      <c r="E187" s="123">
        <f t="shared" si="66"/>
        <v>0.11</v>
      </c>
      <c r="F187" s="123">
        <f t="shared" si="66"/>
        <v>0.11</v>
      </c>
      <c r="G187" s="123">
        <f t="shared" si="66"/>
        <v>0.11</v>
      </c>
      <c r="H187" s="123">
        <f t="shared" si="66"/>
        <v>0.11</v>
      </c>
      <c r="I187" s="123">
        <f t="shared" si="66"/>
        <v>0.11</v>
      </c>
      <c r="J187" s="123">
        <f t="shared" si="66"/>
        <v>0.11</v>
      </c>
      <c r="K187" s="123">
        <f t="shared" si="66"/>
        <v>0.11</v>
      </c>
      <c r="L187" s="123">
        <f t="shared" si="66"/>
        <v>0.11</v>
      </c>
      <c r="M187" s="123">
        <f t="shared" si="66"/>
        <v>0.11</v>
      </c>
      <c r="N187" s="123">
        <f t="shared" si="66"/>
        <v>0.11</v>
      </c>
      <c r="O187" s="123">
        <f t="shared" si="66"/>
        <v>0.11</v>
      </c>
      <c r="P187" s="123">
        <f t="shared" si="66"/>
        <v>0.11</v>
      </c>
      <c r="Q187" s="123">
        <f t="shared" si="66"/>
        <v>0.11</v>
      </c>
      <c r="R187" s="123">
        <f t="shared" si="66"/>
        <v>0.11</v>
      </c>
      <c r="S187" s="123">
        <f t="shared" si="66"/>
        <v>0.11</v>
      </c>
      <c r="T187" s="123">
        <f t="shared" si="67"/>
        <v>0.11</v>
      </c>
      <c r="U187" s="123">
        <f t="shared" si="67"/>
        <v>0.11</v>
      </c>
      <c r="V187" s="123">
        <f t="shared" si="67"/>
        <v>0.11</v>
      </c>
      <c r="W187" s="123">
        <f t="shared" si="67"/>
        <v>0.11</v>
      </c>
      <c r="X187" s="123">
        <f t="shared" si="67"/>
        <v>0.11</v>
      </c>
      <c r="Y187" s="123">
        <f t="shared" si="67"/>
        <v>0.11</v>
      </c>
      <c r="Z187" s="123">
        <f t="shared" si="67"/>
        <v>0.11</v>
      </c>
      <c r="AA187" s="123">
        <f t="shared" si="67"/>
        <v>0.11</v>
      </c>
      <c r="AB187" s="123">
        <f t="shared" si="67"/>
        <v>0.11</v>
      </c>
      <c r="AC187" s="123">
        <f t="shared" si="67"/>
        <v>0.11</v>
      </c>
      <c r="AD187" s="123">
        <f t="shared" si="67"/>
        <v>0.11</v>
      </c>
      <c r="AE187" s="123">
        <f t="shared" si="67"/>
        <v>0.11</v>
      </c>
      <c r="AF187" s="123">
        <f t="shared" si="67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5"/>
        <v>0.1</v>
      </c>
      <c r="C188" s="124">
        <v>0.1</v>
      </c>
      <c r="D188" s="123">
        <f t="shared" si="66"/>
        <v>0.1</v>
      </c>
      <c r="E188" s="123">
        <f t="shared" si="66"/>
        <v>0.1</v>
      </c>
      <c r="F188" s="123">
        <f t="shared" si="66"/>
        <v>0.1</v>
      </c>
      <c r="G188" s="123">
        <f t="shared" si="66"/>
        <v>0.1</v>
      </c>
      <c r="H188" s="123">
        <f t="shared" si="66"/>
        <v>0.1</v>
      </c>
      <c r="I188" s="123">
        <f t="shared" si="66"/>
        <v>0.1</v>
      </c>
      <c r="J188" s="123">
        <f t="shared" si="66"/>
        <v>0.1</v>
      </c>
      <c r="K188" s="123">
        <f t="shared" si="66"/>
        <v>0.1</v>
      </c>
      <c r="L188" s="123">
        <f t="shared" si="66"/>
        <v>0.1</v>
      </c>
      <c r="M188" s="123">
        <f t="shared" si="66"/>
        <v>0.1</v>
      </c>
      <c r="N188" s="123">
        <f t="shared" si="66"/>
        <v>0.1</v>
      </c>
      <c r="O188" s="123">
        <f t="shared" si="66"/>
        <v>0.1</v>
      </c>
      <c r="P188" s="123">
        <f t="shared" si="66"/>
        <v>0.1</v>
      </c>
      <c r="Q188" s="123">
        <f t="shared" si="66"/>
        <v>0.1</v>
      </c>
      <c r="R188" s="123">
        <f t="shared" si="66"/>
        <v>0.1</v>
      </c>
      <c r="S188" s="123">
        <f t="shared" si="67"/>
        <v>0.1</v>
      </c>
      <c r="T188" s="123">
        <f t="shared" si="67"/>
        <v>0.1</v>
      </c>
      <c r="U188" s="123">
        <f t="shared" si="67"/>
        <v>0.1</v>
      </c>
      <c r="V188" s="123">
        <f t="shared" si="67"/>
        <v>0.1</v>
      </c>
      <c r="W188" s="123">
        <f t="shared" si="67"/>
        <v>0.1</v>
      </c>
      <c r="X188" s="123">
        <f t="shared" si="67"/>
        <v>0.1</v>
      </c>
      <c r="Y188" s="123">
        <f t="shared" si="67"/>
        <v>0.1</v>
      </c>
      <c r="Z188" s="123">
        <f t="shared" si="67"/>
        <v>0.1</v>
      </c>
      <c r="AA188" s="123">
        <f t="shared" si="67"/>
        <v>0.1</v>
      </c>
      <c r="AB188" s="123">
        <f t="shared" si="67"/>
        <v>0.1</v>
      </c>
      <c r="AC188" s="123">
        <f t="shared" si="67"/>
        <v>0.1</v>
      </c>
      <c r="AD188" s="123">
        <f t="shared" si="67"/>
        <v>0.1</v>
      </c>
      <c r="AE188" s="123">
        <f t="shared" si="67"/>
        <v>0.1</v>
      </c>
      <c r="AF188" s="123">
        <f t="shared" si="67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5"/>
        <v>0.09</v>
      </c>
      <c r="C189" s="124">
        <v>0.09</v>
      </c>
      <c r="D189" s="123">
        <f t="shared" si="66"/>
        <v>0.09</v>
      </c>
      <c r="E189" s="123">
        <f t="shared" si="66"/>
        <v>0.09</v>
      </c>
      <c r="F189" s="123">
        <f t="shared" si="66"/>
        <v>0.09</v>
      </c>
      <c r="G189" s="123">
        <f t="shared" si="66"/>
        <v>0.09</v>
      </c>
      <c r="H189" s="123">
        <f t="shared" si="66"/>
        <v>0.09</v>
      </c>
      <c r="I189" s="123">
        <f t="shared" si="66"/>
        <v>0.09</v>
      </c>
      <c r="J189" s="123">
        <f t="shared" si="66"/>
        <v>0.09</v>
      </c>
      <c r="K189" s="123">
        <f t="shared" si="66"/>
        <v>0.09</v>
      </c>
      <c r="L189" s="123">
        <f t="shared" si="66"/>
        <v>0.09</v>
      </c>
      <c r="M189" s="123">
        <f t="shared" si="66"/>
        <v>0.09</v>
      </c>
      <c r="N189" s="123">
        <f t="shared" si="66"/>
        <v>0.09</v>
      </c>
      <c r="O189" s="123">
        <f t="shared" si="66"/>
        <v>0.09</v>
      </c>
      <c r="P189" s="123">
        <f t="shared" si="66"/>
        <v>0.09</v>
      </c>
      <c r="Q189" s="123">
        <f t="shared" si="66"/>
        <v>0.09</v>
      </c>
      <c r="R189" s="123">
        <f t="shared" si="66"/>
        <v>0.09</v>
      </c>
      <c r="S189" s="123">
        <f t="shared" si="67"/>
        <v>0.09</v>
      </c>
      <c r="T189" s="123">
        <f t="shared" si="67"/>
        <v>0.09</v>
      </c>
      <c r="U189" s="123">
        <f t="shared" si="67"/>
        <v>0.09</v>
      </c>
      <c r="V189" s="123">
        <f t="shared" si="67"/>
        <v>0.09</v>
      </c>
      <c r="W189" s="123">
        <f t="shared" si="67"/>
        <v>0.09</v>
      </c>
      <c r="X189" s="123">
        <f t="shared" si="67"/>
        <v>0.09</v>
      </c>
      <c r="Y189" s="123">
        <f t="shared" si="67"/>
        <v>0.09</v>
      </c>
      <c r="Z189" s="123">
        <f t="shared" si="67"/>
        <v>0.09</v>
      </c>
      <c r="AA189" s="123">
        <f t="shared" si="67"/>
        <v>0.09</v>
      </c>
      <c r="AB189" s="123">
        <f t="shared" si="67"/>
        <v>0.09</v>
      </c>
      <c r="AC189" s="123">
        <f t="shared" si="67"/>
        <v>0.09</v>
      </c>
      <c r="AD189" s="123">
        <f t="shared" si="67"/>
        <v>0.09</v>
      </c>
      <c r="AE189" s="123">
        <f t="shared" si="67"/>
        <v>0.09</v>
      </c>
      <c r="AF189" s="123">
        <f t="shared" si="67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5"/>
        <v>0.04</v>
      </c>
      <c r="C190" s="54">
        <v>0.04</v>
      </c>
      <c r="D190" s="123">
        <f t="shared" si="66"/>
        <v>0.04</v>
      </c>
      <c r="E190" s="123">
        <f t="shared" si="66"/>
        <v>0.04</v>
      </c>
      <c r="F190" s="123">
        <f t="shared" si="66"/>
        <v>0.04</v>
      </c>
      <c r="G190" s="123">
        <f t="shared" si="66"/>
        <v>0.04</v>
      </c>
      <c r="H190" s="123">
        <f t="shared" si="66"/>
        <v>0.04</v>
      </c>
      <c r="I190" s="123">
        <f t="shared" si="66"/>
        <v>0.04</v>
      </c>
      <c r="J190" s="123">
        <f t="shared" si="66"/>
        <v>0.04</v>
      </c>
      <c r="K190" s="123">
        <f t="shared" si="66"/>
        <v>0.04</v>
      </c>
      <c r="L190" s="123">
        <f t="shared" si="66"/>
        <v>0.04</v>
      </c>
      <c r="M190" s="123">
        <f t="shared" si="66"/>
        <v>0.04</v>
      </c>
      <c r="N190" s="123">
        <f t="shared" si="66"/>
        <v>0.04</v>
      </c>
      <c r="O190" s="123">
        <f t="shared" si="66"/>
        <v>0.04</v>
      </c>
      <c r="P190" s="123">
        <f t="shared" si="66"/>
        <v>0.04</v>
      </c>
      <c r="Q190" s="123">
        <f t="shared" si="66"/>
        <v>0.04</v>
      </c>
      <c r="R190" s="123">
        <f t="shared" si="66"/>
        <v>0.04</v>
      </c>
      <c r="S190" s="123">
        <f t="shared" si="67"/>
        <v>0.04</v>
      </c>
      <c r="T190" s="123">
        <f t="shared" si="67"/>
        <v>0.04</v>
      </c>
      <c r="U190" s="123">
        <f t="shared" si="67"/>
        <v>0.04</v>
      </c>
      <c r="V190" s="123">
        <f t="shared" si="67"/>
        <v>0.04</v>
      </c>
      <c r="W190" s="123">
        <f t="shared" si="67"/>
        <v>0.04</v>
      </c>
      <c r="X190" s="123">
        <f t="shared" si="67"/>
        <v>0.04</v>
      </c>
      <c r="Y190" s="123">
        <f t="shared" si="67"/>
        <v>0.04</v>
      </c>
      <c r="Z190" s="123">
        <f t="shared" si="67"/>
        <v>0.04</v>
      </c>
      <c r="AA190" s="123">
        <f t="shared" si="67"/>
        <v>0.04</v>
      </c>
      <c r="AB190" s="123">
        <f t="shared" si="67"/>
        <v>0.04</v>
      </c>
      <c r="AC190" s="123">
        <f t="shared" si="67"/>
        <v>0.04</v>
      </c>
      <c r="AD190" s="123">
        <f t="shared" si="67"/>
        <v>0.04</v>
      </c>
      <c r="AE190" s="123">
        <f t="shared" si="67"/>
        <v>0.04</v>
      </c>
      <c r="AF190" s="123">
        <f t="shared" si="67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5"/>
        <v>2.3E-2</v>
      </c>
      <c r="C191" s="54">
        <v>2.3E-2</v>
      </c>
      <c r="D191" s="123">
        <f>C191</f>
        <v>2.3E-2</v>
      </c>
      <c r="E191" s="123">
        <f t="shared" si="66"/>
        <v>2.3E-2</v>
      </c>
      <c r="F191" s="123">
        <f t="shared" si="66"/>
        <v>2.3E-2</v>
      </c>
      <c r="G191" s="123">
        <f t="shared" si="66"/>
        <v>2.3E-2</v>
      </c>
      <c r="H191" s="123">
        <f t="shared" si="66"/>
        <v>2.3E-2</v>
      </c>
      <c r="I191" s="123">
        <f t="shared" si="66"/>
        <v>2.3E-2</v>
      </c>
      <c r="J191" s="123">
        <f t="shared" si="66"/>
        <v>2.3E-2</v>
      </c>
      <c r="K191" s="123">
        <f t="shared" si="66"/>
        <v>2.3E-2</v>
      </c>
      <c r="L191" s="123">
        <f t="shared" si="66"/>
        <v>2.3E-2</v>
      </c>
      <c r="M191" s="123">
        <f t="shared" si="66"/>
        <v>2.3E-2</v>
      </c>
      <c r="N191" s="123">
        <f t="shared" si="66"/>
        <v>2.3E-2</v>
      </c>
      <c r="O191" s="123">
        <f t="shared" si="66"/>
        <v>2.3E-2</v>
      </c>
      <c r="P191" s="123">
        <f t="shared" si="66"/>
        <v>2.3E-2</v>
      </c>
      <c r="Q191" s="123">
        <f t="shared" si="66"/>
        <v>2.3E-2</v>
      </c>
      <c r="R191" s="123">
        <f t="shared" si="66"/>
        <v>2.3E-2</v>
      </c>
      <c r="S191" s="123">
        <f t="shared" si="67"/>
        <v>2.3E-2</v>
      </c>
      <c r="T191" s="123">
        <f t="shared" si="67"/>
        <v>2.3E-2</v>
      </c>
      <c r="U191" s="123">
        <f t="shared" si="67"/>
        <v>2.3E-2</v>
      </c>
      <c r="V191" s="123">
        <f t="shared" si="67"/>
        <v>2.3E-2</v>
      </c>
      <c r="W191" s="123">
        <f t="shared" si="67"/>
        <v>2.3E-2</v>
      </c>
      <c r="X191" s="123">
        <f t="shared" si="67"/>
        <v>2.3E-2</v>
      </c>
      <c r="Y191" s="123">
        <f t="shared" si="67"/>
        <v>2.3E-2</v>
      </c>
      <c r="Z191" s="123">
        <f t="shared" si="67"/>
        <v>2.3E-2</v>
      </c>
      <c r="AA191" s="123">
        <f t="shared" si="67"/>
        <v>2.3E-2</v>
      </c>
      <c r="AB191" s="123">
        <f t="shared" si="67"/>
        <v>2.3E-2</v>
      </c>
      <c r="AC191" s="123">
        <f t="shared" si="67"/>
        <v>2.3E-2</v>
      </c>
      <c r="AD191" s="123">
        <f t="shared" si="67"/>
        <v>2.3E-2</v>
      </c>
      <c r="AE191" s="123">
        <f t="shared" si="67"/>
        <v>2.3E-2</v>
      </c>
      <c r="AF191" s="123">
        <f t="shared" si="67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68">SUM(C102:C191)</f>
        <v>194.70600000000002</v>
      </c>
      <c r="D192" s="128">
        <f t="shared" si="68"/>
        <v>194.70600000000002</v>
      </c>
      <c r="E192" s="128">
        <f t="shared" si="68"/>
        <v>194.70600000000002</v>
      </c>
      <c r="F192" s="128">
        <f t="shared" si="68"/>
        <v>194.70600000000002</v>
      </c>
      <c r="G192" s="128">
        <f t="shared" si="68"/>
        <v>194.70600000000002</v>
      </c>
      <c r="H192" s="128">
        <f t="shared" si="68"/>
        <v>194.70600000000002</v>
      </c>
      <c r="I192" s="128">
        <f t="shared" si="68"/>
        <v>189.70600000000005</v>
      </c>
      <c r="J192" s="128">
        <f t="shared" si="68"/>
        <v>187.10600000000005</v>
      </c>
      <c r="K192" s="128">
        <f t="shared" si="68"/>
        <v>187.10600000000005</v>
      </c>
      <c r="L192" s="128">
        <f t="shared" si="68"/>
        <v>187.10600000000005</v>
      </c>
      <c r="M192" s="128">
        <f t="shared" si="68"/>
        <v>187.10600000000005</v>
      </c>
      <c r="N192" s="128">
        <f t="shared" si="68"/>
        <v>187.10600000000005</v>
      </c>
      <c r="O192" s="128">
        <f t="shared" si="68"/>
        <v>187.10600000000005</v>
      </c>
      <c r="P192" s="128">
        <f t="shared" si="68"/>
        <v>187.10600000000005</v>
      </c>
      <c r="Q192" s="128">
        <f t="shared" si="68"/>
        <v>187.10600000000005</v>
      </c>
      <c r="R192" s="128">
        <f t="shared" si="68"/>
        <v>187.10600000000005</v>
      </c>
      <c r="S192" s="128">
        <f t="shared" si="68"/>
        <v>187.10600000000005</v>
      </c>
      <c r="T192" s="128">
        <f t="shared" si="68"/>
        <v>187.10600000000005</v>
      </c>
      <c r="U192" s="128">
        <f t="shared" si="68"/>
        <v>187.10600000000005</v>
      </c>
      <c r="V192" s="128">
        <f t="shared" si="68"/>
        <v>187.10600000000005</v>
      </c>
      <c r="W192" s="128">
        <f t="shared" si="68"/>
        <v>187.10600000000005</v>
      </c>
      <c r="X192" s="128">
        <f t="shared" si="68"/>
        <v>187.10600000000005</v>
      </c>
      <c r="Y192" s="128">
        <f t="shared" si="68"/>
        <v>187.10600000000005</v>
      </c>
      <c r="Z192" s="128">
        <f t="shared" si="68"/>
        <v>187.10600000000005</v>
      </c>
      <c r="AA192" s="128">
        <f t="shared" si="68"/>
        <v>187.10600000000005</v>
      </c>
      <c r="AB192" s="128">
        <f t="shared" si="68"/>
        <v>187.10600000000005</v>
      </c>
      <c r="AC192" s="128">
        <f t="shared" si="68"/>
        <v>187.10600000000005</v>
      </c>
      <c r="AD192" s="128">
        <f t="shared" si="68"/>
        <v>187.10600000000005</v>
      </c>
      <c r="AE192" s="128">
        <f t="shared" si="68"/>
        <v>187.10600000000005</v>
      </c>
      <c r="AF192" s="128">
        <f t="shared" si="68"/>
        <v>187.10600000000005</v>
      </c>
      <c r="AG192" s="129">
        <f t="shared" si="68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69">AF194</f>
        <v>0.3</v>
      </c>
      <c r="C194" s="130">
        <v>0.3</v>
      </c>
      <c r="D194" s="130">
        <f t="shared" ref="D194:S199" si="70">C194</f>
        <v>0.3</v>
      </c>
      <c r="E194" s="130">
        <f t="shared" si="70"/>
        <v>0.3</v>
      </c>
      <c r="F194" s="130">
        <f t="shared" si="70"/>
        <v>0.3</v>
      </c>
      <c r="G194" s="130">
        <f t="shared" si="70"/>
        <v>0.3</v>
      </c>
      <c r="H194" s="130">
        <f t="shared" si="70"/>
        <v>0.3</v>
      </c>
      <c r="I194" s="130">
        <f t="shared" si="70"/>
        <v>0.3</v>
      </c>
      <c r="J194" s="130">
        <f t="shared" si="70"/>
        <v>0.3</v>
      </c>
      <c r="K194" s="130">
        <f t="shared" si="70"/>
        <v>0.3</v>
      </c>
      <c r="L194" s="130">
        <f t="shared" si="70"/>
        <v>0.3</v>
      </c>
      <c r="M194" s="130">
        <f t="shared" si="70"/>
        <v>0.3</v>
      </c>
      <c r="N194" s="130">
        <f t="shared" si="70"/>
        <v>0.3</v>
      </c>
      <c r="O194" s="130">
        <f t="shared" si="70"/>
        <v>0.3</v>
      </c>
      <c r="P194" s="130">
        <f t="shared" si="70"/>
        <v>0.3</v>
      </c>
      <c r="Q194" s="130">
        <f t="shared" si="70"/>
        <v>0.3</v>
      </c>
      <c r="R194" s="130">
        <f t="shared" si="70"/>
        <v>0.3</v>
      </c>
      <c r="S194" s="130">
        <f t="shared" si="70"/>
        <v>0.3</v>
      </c>
      <c r="T194" s="130">
        <f t="shared" ref="T194:AF199" si="71">S194</f>
        <v>0.3</v>
      </c>
      <c r="U194" s="130">
        <f t="shared" si="71"/>
        <v>0.3</v>
      </c>
      <c r="V194" s="130">
        <f t="shared" si="71"/>
        <v>0.3</v>
      </c>
      <c r="W194" s="130">
        <f t="shared" si="71"/>
        <v>0.3</v>
      </c>
      <c r="X194" s="130">
        <f t="shared" si="71"/>
        <v>0.3</v>
      </c>
      <c r="Y194" s="130">
        <f t="shared" si="71"/>
        <v>0.3</v>
      </c>
      <c r="Z194" s="130">
        <f t="shared" si="71"/>
        <v>0.3</v>
      </c>
      <c r="AA194" s="130">
        <f t="shared" si="71"/>
        <v>0.3</v>
      </c>
      <c r="AB194" s="130">
        <f t="shared" si="71"/>
        <v>0.3</v>
      </c>
      <c r="AC194" s="130">
        <f t="shared" si="71"/>
        <v>0.3</v>
      </c>
      <c r="AD194" s="130">
        <f t="shared" si="71"/>
        <v>0.3</v>
      </c>
      <c r="AE194" s="130">
        <f t="shared" si="71"/>
        <v>0.3</v>
      </c>
      <c r="AF194" s="130">
        <f t="shared" si="71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69"/>
        <v>0.4</v>
      </c>
      <c r="C195" s="123">
        <v>0.4</v>
      </c>
      <c r="D195" s="123">
        <f t="shared" si="70"/>
        <v>0.4</v>
      </c>
      <c r="E195" s="123">
        <f t="shared" si="70"/>
        <v>0.4</v>
      </c>
      <c r="F195" s="123">
        <f t="shared" si="70"/>
        <v>0.4</v>
      </c>
      <c r="G195" s="123">
        <f t="shared" si="70"/>
        <v>0.4</v>
      </c>
      <c r="H195" s="123">
        <f t="shared" si="70"/>
        <v>0.4</v>
      </c>
      <c r="I195" s="123">
        <f t="shared" si="70"/>
        <v>0.4</v>
      </c>
      <c r="J195" s="123">
        <f t="shared" si="70"/>
        <v>0.4</v>
      </c>
      <c r="K195" s="123">
        <f t="shared" si="70"/>
        <v>0.4</v>
      </c>
      <c r="L195" s="123">
        <f t="shared" si="70"/>
        <v>0.4</v>
      </c>
      <c r="M195" s="123">
        <f t="shared" si="70"/>
        <v>0.4</v>
      </c>
      <c r="N195" s="123">
        <f t="shared" si="70"/>
        <v>0.4</v>
      </c>
      <c r="O195" s="123">
        <f t="shared" si="70"/>
        <v>0.4</v>
      </c>
      <c r="P195" s="123">
        <f t="shared" si="70"/>
        <v>0.4</v>
      </c>
      <c r="Q195" s="123">
        <f t="shared" si="70"/>
        <v>0.4</v>
      </c>
      <c r="R195" s="123">
        <f t="shared" si="70"/>
        <v>0.4</v>
      </c>
      <c r="S195" s="123">
        <f t="shared" si="70"/>
        <v>0.4</v>
      </c>
      <c r="T195" s="123">
        <f t="shared" si="71"/>
        <v>0.4</v>
      </c>
      <c r="U195" s="123">
        <f t="shared" si="71"/>
        <v>0.4</v>
      </c>
      <c r="V195" s="123">
        <f t="shared" si="71"/>
        <v>0.4</v>
      </c>
      <c r="W195" s="123">
        <f>V195</f>
        <v>0.4</v>
      </c>
      <c r="X195" s="123">
        <f>W195</f>
        <v>0.4</v>
      </c>
      <c r="Y195" s="123">
        <f t="shared" si="71"/>
        <v>0.4</v>
      </c>
      <c r="Z195" s="123">
        <f t="shared" si="71"/>
        <v>0.4</v>
      </c>
      <c r="AA195" s="123">
        <f t="shared" si="71"/>
        <v>0.4</v>
      </c>
      <c r="AB195" s="123">
        <f t="shared" si="71"/>
        <v>0.4</v>
      </c>
      <c r="AC195" s="123">
        <f t="shared" si="71"/>
        <v>0.4</v>
      </c>
      <c r="AD195" s="123">
        <f t="shared" si="71"/>
        <v>0.4</v>
      </c>
      <c r="AE195" s="123">
        <f t="shared" si="71"/>
        <v>0.4</v>
      </c>
      <c r="AF195" s="123">
        <f t="shared" si="71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69"/>
        <v>1.5</v>
      </c>
      <c r="C196" s="123">
        <v>1.5</v>
      </c>
      <c r="D196" s="123">
        <f t="shared" si="70"/>
        <v>1.5</v>
      </c>
      <c r="E196" s="123">
        <f t="shared" si="70"/>
        <v>1.5</v>
      </c>
      <c r="F196" s="123">
        <f t="shared" si="70"/>
        <v>1.5</v>
      </c>
      <c r="G196" s="123">
        <f t="shared" si="70"/>
        <v>1.5</v>
      </c>
      <c r="H196" s="123">
        <f t="shared" si="70"/>
        <v>1.5</v>
      </c>
      <c r="I196" s="123">
        <f t="shared" si="70"/>
        <v>1.5</v>
      </c>
      <c r="J196" s="123">
        <f t="shared" si="70"/>
        <v>1.5</v>
      </c>
      <c r="K196" s="123">
        <f t="shared" si="70"/>
        <v>1.5</v>
      </c>
      <c r="L196" s="123">
        <f t="shared" si="70"/>
        <v>1.5</v>
      </c>
      <c r="M196" s="123">
        <f t="shared" si="70"/>
        <v>1.5</v>
      </c>
      <c r="N196" s="123">
        <f t="shared" si="70"/>
        <v>1.5</v>
      </c>
      <c r="O196" s="123">
        <f t="shared" si="70"/>
        <v>1.5</v>
      </c>
      <c r="P196" s="123">
        <f t="shared" si="70"/>
        <v>1.5</v>
      </c>
      <c r="Q196" s="123">
        <f t="shared" si="70"/>
        <v>1.5</v>
      </c>
      <c r="R196" s="123">
        <f t="shared" si="70"/>
        <v>1.5</v>
      </c>
      <c r="S196" s="123">
        <f t="shared" si="70"/>
        <v>1.5</v>
      </c>
      <c r="T196" s="123">
        <f t="shared" si="71"/>
        <v>1.5</v>
      </c>
      <c r="U196" s="123">
        <f t="shared" si="71"/>
        <v>1.5</v>
      </c>
      <c r="V196" s="123">
        <f t="shared" si="71"/>
        <v>1.5</v>
      </c>
      <c r="W196" s="123">
        <f t="shared" si="71"/>
        <v>1.5</v>
      </c>
      <c r="X196" s="123">
        <f t="shared" si="71"/>
        <v>1.5</v>
      </c>
      <c r="Y196" s="123">
        <f t="shared" si="71"/>
        <v>1.5</v>
      </c>
      <c r="Z196" s="123">
        <f t="shared" si="71"/>
        <v>1.5</v>
      </c>
      <c r="AA196" s="123">
        <f t="shared" si="71"/>
        <v>1.5</v>
      </c>
      <c r="AB196" s="123">
        <f t="shared" si="71"/>
        <v>1.5</v>
      </c>
      <c r="AC196" s="123">
        <f t="shared" si="71"/>
        <v>1.5</v>
      </c>
      <c r="AD196" s="123">
        <f t="shared" si="71"/>
        <v>1.5</v>
      </c>
      <c r="AE196" s="123">
        <f t="shared" si="71"/>
        <v>1.5</v>
      </c>
      <c r="AF196" s="123">
        <f t="shared" si="71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69"/>
        <v>0.3</v>
      </c>
      <c r="C197" s="123">
        <v>0.3</v>
      </c>
      <c r="D197" s="123">
        <f t="shared" si="70"/>
        <v>0.3</v>
      </c>
      <c r="E197" s="123">
        <f t="shared" si="70"/>
        <v>0.3</v>
      </c>
      <c r="F197" s="123">
        <f t="shared" si="70"/>
        <v>0.3</v>
      </c>
      <c r="G197" s="123">
        <f t="shared" si="70"/>
        <v>0.3</v>
      </c>
      <c r="H197" s="123">
        <f t="shared" si="70"/>
        <v>0.3</v>
      </c>
      <c r="I197" s="123">
        <f t="shared" si="70"/>
        <v>0.3</v>
      </c>
      <c r="J197" s="123">
        <f t="shared" si="70"/>
        <v>0.3</v>
      </c>
      <c r="K197" s="123">
        <f t="shared" si="70"/>
        <v>0.3</v>
      </c>
      <c r="L197" s="123">
        <f t="shared" si="70"/>
        <v>0.3</v>
      </c>
      <c r="M197" s="123">
        <f t="shared" si="70"/>
        <v>0.3</v>
      </c>
      <c r="N197" s="123">
        <f t="shared" si="70"/>
        <v>0.3</v>
      </c>
      <c r="O197" s="123">
        <f t="shared" si="70"/>
        <v>0.3</v>
      </c>
      <c r="P197" s="123">
        <f t="shared" si="70"/>
        <v>0.3</v>
      </c>
      <c r="Q197" s="123">
        <f t="shared" si="70"/>
        <v>0.3</v>
      </c>
      <c r="R197" s="123">
        <f t="shared" si="70"/>
        <v>0.3</v>
      </c>
      <c r="S197" s="123">
        <f t="shared" si="70"/>
        <v>0.3</v>
      </c>
      <c r="T197" s="123">
        <f t="shared" si="71"/>
        <v>0.3</v>
      </c>
      <c r="U197" s="123">
        <f t="shared" si="71"/>
        <v>0.3</v>
      </c>
      <c r="V197" s="123">
        <f t="shared" si="71"/>
        <v>0.3</v>
      </c>
      <c r="W197" s="123">
        <f t="shared" si="71"/>
        <v>0.3</v>
      </c>
      <c r="X197" s="123">
        <f t="shared" si="71"/>
        <v>0.3</v>
      </c>
      <c r="Y197" s="123">
        <f t="shared" si="71"/>
        <v>0.3</v>
      </c>
      <c r="Z197" s="123">
        <f t="shared" si="71"/>
        <v>0.3</v>
      </c>
      <c r="AA197" s="123">
        <f t="shared" si="71"/>
        <v>0.3</v>
      </c>
      <c r="AB197" s="123">
        <f t="shared" si="71"/>
        <v>0.3</v>
      </c>
      <c r="AC197" s="123">
        <f t="shared" si="71"/>
        <v>0.3</v>
      </c>
      <c r="AD197" s="123">
        <f t="shared" si="71"/>
        <v>0.3</v>
      </c>
      <c r="AE197" s="123">
        <f t="shared" si="71"/>
        <v>0.3</v>
      </c>
      <c r="AF197" s="123">
        <f t="shared" si="71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69"/>
        <v>0.4</v>
      </c>
      <c r="C198" s="123">
        <v>0.4</v>
      </c>
      <c r="D198" s="123">
        <f t="shared" si="70"/>
        <v>0.4</v>
      </c>
      <c r="E198" s="123">
        <f t="shared" si="70"/>
        <v>0.4</v>
      </c>
      <c r="F198" s="123">
        <f t="shared" si="70"/>
        <v>0.4</v>
      </c>
      <c r="G198" s="123">
        <f t="shared" si="70"/>
        <v>0.4</v>
      </c>
      <c r="H198" s="123">
        <f t="shared" si="70"/>
        <v>0.4</v>
      </c>
      <c r="I198" s="123">
        <f t="shared" si="70"/>
        <v>0.4</v>
      </c>
      <c r="J198" s="123">
        <f t="shared" si="70"/>
        <v>0.4</v>
      </c>
      <c r="K198" s="123">
        <f t="shared" si="70"/>
        <v>0.4</v>
      </c>
      <c r="L198" s="123">
        <f t="shared" si="70"/>
        <v>0.4</v>
      </c>
      <c r="M198" s="123">
        <f t="shared" si="70"/>
        <v>0.4</v>
      </c>
      <c r="N198" s="123">
        <f t="shared" si="70"/>
        <v>0.4</v>
      </c>
      <c r="O198" s="123">
        <f t="shared" si="70"/>
        <v>0.4</v>
      </c>
      <c r="P198" s="123">
        <f t="shared" si="70"/>
        <v>0.4</v>
      </c>
      <c r="Q198" s="123">
        <f t="shared" si="70"/>
        <v>0.4</v>
      </c>
      <c r="R198" s="123">
        <f t="shared" si="70"/>
        <v>0.4</v>
      </c>
      <c r="S198" s="123">
        <f t="shared" si="70"/>
        <v>0.4</v>
      </c>
      <c r="T198" s="123">
        <f t="shared" si="71"/>
        <v>0.4</v>
      </c>
      <c r="U198" s="123">
        <f t="shared" si="71"/>
        <v>0.4</v>
      </c>
      <c r="V198" s="123">
        <f t="shared" si="71"/>
        <v>0.4</v>
      </c>
      <c r="W198" s="123">
        <f t="shared" si="71"/>
        <v>0.4</v>
      </c>
      <c r="X198" s="123">
        <f t="shared" si="71"/>
        <v>0.4</v>
      </c>
      <c r="Y198" s="123">
        <f t="shared" si="71"/>
        <v>0.4</v>
      </c>
      <c r="Z198" s="123">
        <f t="shared" si="71"/>
        <v>0.4</v>
      </c>
      <c r="AA198" s="123">
        <f t="shared" si="71"/>
        <v>0.4</v>
      </c>
      <c r="AB198" s="123">
        <f t="shared" si="71"/>
        <v>0.4</v>
      </c>
      <c r="AC198" s="123">
        <f t="shared" si="71"/>
        <v>0.4</v>
      </c>
      <c r="AD198" s="123">
        <f t="shared" si="71"/>
        <v>0.4</v>
      </c>
      <c r="AE198" s="123">
        <f t="shared" si="71"/>
        <v>0.4</v>
      </c>
      <c r="AF198" s="123">
        <f t="shared" si="71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69"/>
        <v>0.64</v>
      </c>
      <c r="C199" s="133">
        <v>0.64</v>
      </c>
      <c r="D199" s="133">
        <f t="shared" si="70"/>
        <v>0.64</v>
      </c>
      <c r="E199" s="133">
        <f t="shared" si="70"/>
        <v>0.64</v>
      </c>
      <c r="F199" s="133">
        <f t="shared" si="70"/>
        <v>0.64</v>
      </c>
      <c r="G199" s="133">
        <f t="shared" si="70"/>
        <v>0.64</v>
      </c>
      <c r="H199" s="133">
        <f t="shared" si="70"/>
        <v>0.64</v>
      </c>
      <c r="I199" s="133">
        <f t="shared" si="70"/>
        <v>0.64</v>
      </c>
      <c r="J199" s="133">
        <f t="shared" si="70"/>
        <v>0.64</v>
      </c>
      <c r="K199" s="133">
        <f t="shared" si="70"/>
        <v>0.64</v>
      </c>
      <c r="L199" s="133">
        <f t="shared" si="70"/>
        <v>0.64</v>
      </c>
      <c r="M199" s="133">
        <f t="shared" si="70"/>
        <v>0.64</v>
      </c>
      <c r="N199" s="133">
        <f t="shared" si="70"/>
        <v>0.64</v>
      </c>
      <c r="O199" s="133">
        <f t="shared" si="70"/>
        <v>0.64</v>
      </c>
      <c r="P199" s="133">
        <f t="shared" si="70"/>
        <v>0.64</v>
      </c>
      <c r="Q199" s="133">
        <f t="shared" si="70"/>
        <v>0.64</v>
      </c>
      <c r="R199" s="133">
        <f t="shared" si="70"/>
        <v>0.64</v>
      </c>
      <c r="S199" s="133">
        <f t="shared" si="70"/>
        <v>0.64</v>
      </c>
      <c r="T199" s="133">
        <f t="shared" si="71"/>
        <v>0.64</v>
      </c>
      <c r="U199" s="133">
        <f t="shared" si="71"/>
        <v>0.64</v>
      </c>
      <c r="V199" s="133">
        <f t="shared" si="71"/>
        <v>0.64</v>
      </c>
      <c r="W199" s="133">
        <f t="shared" si="71"/>
        <v>0.64</v>
      </c>
      <c r="X199" s="133">
        <f t="shared" si="71"/>
        <v>0.64</v>
      </c>
      <c r="Y199" s="133">
        <f t="shared" si="71"/>
        <v>0.64</v>
      </c>
      <c r="Z199" s="133">
        <f t="shared" si="71"/>
        <v>0.64</v>
      </c>
      <c r="AA199" s="133">
        <f t="shared" si="71"/>
        <v>0.64</v>
      </c>
      <c r="AB199" s="133">
        <f t="shared" si="71"/>
        <v>0.64</v>
      </c>
      <c r="AC199" s="133">
        <f t="shared" si="71"/>
        <v>0.64</v>
      </c>
      <c r="AD199" s="133">
        <f t="shared" si="71"/>
        <v>0.64</v>
      </c>
      <c r="AE199" s="133">
        <f t="shared" si="71"/>
        <v>0.64</v>
      </c>
      <c r="AF199" s="133">
        <f t="shared" si="71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2">SUM(D194:D199)</f>
        <v>3.54</v>
      </c>
      <c r="E200" s="136">
        <f t="shared" si="72"/>
        <v>3.54</v>
      </c>
      <c r="F200" s="136">
        <f t="shared" si="72"/>
        <v>3.54</v>
      </c>
      <c r="G200" s="136">
        <f t="shared" si="72"/>
        <v>3.54</v>
      </c>
      <c r="H200" s="136">
        <f t="shared" si="72"/>
        <v>3.54</v>
      </c>
      <c r="I200" s="136">
        <f t="shared" si="72"/>
        <v>3.54</v>
      </c>
      <c r="J200" s="136">
        <f t="shared" si="72"/>
        <v>3.54</v>
      </c>
      <c r="K200" s="136">
        <f t="shared" si="72"/>
        <v>3.54</v>
      </c>
      <c r="L200" s="136">
        <f t="shared" si="72"/>
        <v>3.54</v>
      </c>
      <c r="M200" s="136">
        <f>SUM(M194:M199)</f>
        <v>3.54</v>
      </c>
      <c r="N200" s="136">
        <f t="shared" ref="N200:S200" si="73">SUM(N194:N199)</f>
        <v>3.54</v>
      </c>
      <c r="O200" s="136">
        <f t="shared" si="73"/>
        <v>3.54</v>
      </c>
      <c r="P200" s="136">
        <f t="shared" si="73"/>
        <v>3.54</v>
      </c>
      <c r="Q200" s="136">
        <f t="shared" si="73"/>
        <v>3.54</v>
      </c>
      <c r="R200" s="136">
        <f t="shared" si="73"/>
        <v>3.54</v>
      </c>
      <c r="S200" s="136">
        <f t="shared" si="73"/>
        <v>3.54</v>
      </c>
      <c r="T200" s="136">
        <f>SUM(T194:T199)</f>
        <v>3.54</v>
      </c>
      <c r="U200" s="136">
        <f t="shared" ref="U200:AG200" si="74">SUM(U194:U199)</f>
        <v>3.54</v>
      </c>
      <c r="V200" s="136">
        <f t="shared" si="74"/>
        <v>3.54</v>
      </c>
      <c r="W200" s="136">
        <f t="shared" si="74"/>
        <v>3.54</v>
      </c>
      <c r="X200" s="136">
        <f t="shared" si="74"/>
        <v>3.54</v>
      </c>
      <c r="Y200" s="136">
        <f t="shared" si="74"/>
        <v>3.54</v>
      </c>
      <c r="Z200" s="136">
        <f t="shared" si="74"/>
        <v>3.54</v>
      </c>
      <c r="AA200" s="136">
        <f t="shared" si="74"/>
        <v>3.54</v>
      </c>
      <c r="AB200" s="136">
        <f t="shared" si="74"/>
        <v>3.54</v>
      </c>
      <c r="AC200" s="136">
        <f t="shared" si="74"/>
        <v>3.54</v>
      </c>
      <c r="AD200" s="136">
        <f t="shared" si="74"/>
        <v>3.54</v>
      </c>
      <c r="AE200" s="136">
        <f t="shared" si="74"/>
        <v>3.54</v>
      </c>
      <c r="AF200" s="136">
        <f t="shared" si="74"/>
        <v>3.54</v>
      </c>
      <c r="AG200" s="137">
        <f t="shared" si="74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1783.5400000000002</v>
      </c>
      <c r="C209" s="151">
        <f>INDEX(G9:N9,1,MATCH(MAX(G75:N75),G75:N75,0))</f>
        <v>0.22916666666666666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24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2079/02/24)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2079/02/24)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5">B75</f>
        <v>1792.7500000000002</v>
      </c>
      <c r="U214" s="161">
        <f t="shared" si="75"/>
        <v>1793.14</v>
      </c>
      <c r="V214" s="161">
        <f t="shared" si="75"/>
        <v>1763.94</v>
      </c>
      <c r="W214" s="161">
        <f t="shared" si="75"/>
        <v>1776.74</v>
      </c>
      <c r="X214" s="161">
        <f t="shared" si="75"/>
        <v>1777.0400000000002</v>
      </c>
      <c r="Y214" s="161">
        <f t="shared" si="75"/>
        <v>1781.4400000000003</v>
      </c>
      <c r="Z214" s="161">
        <f t="shared" si="75"/>
        <v>1783.5400000000002</v>
      </c>
      <c r="AA214" s="161">
        <f t="shared" si="75"/>
        <v>1782.34</v>
      </c>
      <c r="AB214" s="161">
        <f t="shared" si="75"/>
        <v>1778.14</v>
      </c>
      <c r="AC214" s="161">
        <f t="shared" si="75"/>
        <v>1754.94</v>
      </c>
      <c r="AD214" s="161">
        <f t="shared" si="75"/>
        <v>1741.3400000000001</v>
      </c>
      <c r="AE214" s="161">
        <f t="shared" si="75"/>
        <v>1780.94</v>
      </c>
      <c r="AF214" s="161">
        <f t="shared" si="75"/>
        <v>1747.8400000000001</v>
      </c>
      <c r="AG214" s="161">
        <f t="shared" si="75"/>
        <v>1798.4400000000003</v>
      </c>
      <c r="AH214" s="161">
        <f t="shared" si="75"/>
        <v>1853.14</v>
      </c>
      <c r="AI214" s="161">
        <f t="shared" si="75"/>
        <v>1826.6400000000003</v>
      </c>
      <c r="AJ214" s="161">
        <f t="shared" si="75"/>
        <v>1824.14</v>
      </c>
      <c r="AK214" s="161">
        <f t="shared" si="75"/>
        <v>1827.5400000000002</v>
      </c>
      <c r="AL214" s="161">
        <f t="shared" si="75"/>
        <v>1784.5400000000002</v>
      </c>
      <c r="AM214" s="161">
        <f t="shared" si="75"/>
        <v>1784.14</v>
      </c>
      <c r="AN214" s="161">
        <f t="shared" si="75"/>
        <v>1789.14</v>
      </c>
      <c r="AO214" s="161">
        <f t="shared" si="75"/>
        <v>1781.8400000000001</v>
      </c>
      <c r="AP214" s="161">
        <f t="shared" si="75"/>
        <v>1778.64</v>
      </c>
      <c r="AQ214" s="161">
        <f t="shared" si="75"/>
        <v>1703.6399999999999</v>
      </c>
      <c r="AR214" s="161">
        <f t="shared" si="75"/>
        <v>1787.8400000000001</v>
      </c>
      <c r="AS214" s="161">
        <f t="shared" si="75"/>
        <v>1788.2400000000002</v>
      </c>
      <c r="AT214" s="161">
        <f t="shared" si="75"/>
        <v>1806.84</v>
      </c>
      <c r="AU214" s="161">
        <f t="shared" si="75"/>
        <v>1769.64</v>
      </c>
      <c r="AV214" s="161">
        <f t="shared" si="75"/>
        <v>1781.6399999999999</v>
      </c>
      <c r="AW214" s="161">
        <f t="shared" si="75"/>
        <v>1778.7200000000003</v>
      </c>
      <c r="AX214" s="161">
        <f t="shared" si="75"/>
        <v>1775.1399999999999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6">C199</f>
        <v>0.64</v>
      </c>
      <c r="C235" s="164">
        <f t="shared" si="76"/>
        <v>0.64</v>
      </c>
      <c r="D235" s="164">
        <f t="shared" si="76"/>
        <v>0.64</v>
      </c>
      <c r="E235" s="164">
        <f t="shared" si="76"/>
        <v>0.64</v>
      </c>
      <c r="F235" s="164">
        <f t="shared" si="76"/>
        <v>0.64</v>
      </c>
      <c r="G235" s="164">
        <f t="shared" si="76"/>
        <v>0.64</v>
      </c>
      <c r="H235" s="164">
        <f t="shared" si="76"/>
        <v>0.64</v>
      </c>
      <c r="I235" s="164">
        <f t="shared" si="76"/>
        <v>0.64</v>
      </c>
      <c r="J235" s="164">
        <f t="shared" si="76"/>
        <v>0.64</v>
      </c>
      <c r="K235" s="164">
        <f t="shared" si="76"/>
        <v>0.64</v>
      </c>
      <c r="L235" s="164">
        <f t="shared" si="76"/>
        <v>0.64</v>
      </c>
      <c r="M235" s="164">
        <f t="shared" si="76"/>
        <v>0.64</v>
      </c>
      <c r="N235" s="164">
        <f t="shared" si="76"/>
        <v>0.64</v>
      </c>
      <c r="O235" s="164">
        <f t="shared" si="76"/>
        <v>0.64</v>
      </c>
      <c r="P235" s="164">
        <f t="shared" si="76"/>
        <v>0.64</v>
      </c>
      <c r="Q235" s="164">
        <f t="shared" si="76"/>
        <v>0.64</v>
      </c>
      <c r="R235" s="164">
        <f t="shared" si="76"/>
        <v>0.64</v>
      </c>
      <c r="S235" s="164">
        <f t="shared" si="76"/>
        <v>0.64</v>
      </c>
      <c r="T235" s="164">
        <f t="shared" si="76"/>
        <v>0.64</v>
      </c>
      <c r="U235" s="164">
        <f t="shared" si="76"/>
        <v>0.64</v>
      </c>
      <c r="V235" s="164">
        <f t="shared" si="76"/>
        <v>0.64</v>
      </c>
      <c r="W235" s="164">
        <f t="shared" si="76"/>
        <v>0.64</v>
      </c>
      <c r="X235" s="164">
        <f t="shared" si="76"/>
        <v>0.64</v>
      </c>
      <c r="Y235" s="164">
        <f t="shared" si="76"/>
        <v>0.64</v>
      </c>
      <c r="Z235" s="164">
        <f t="shared" si="76"/>
        <v>0.64</v>
      </c>
      <c r="AA235" s="164">
        <f t="shared" si="76"/>
        <v>0.64</v>
      </c>
      <c r="AB235" s="164">
        <f t="shared" si="76"/>
        <v>0.64</v>
      </c>
      <c r="AC235" s="164">
        <f t="shared" si="76"/>
        <v>0.64</v>
      </c>
      <c r="AD235" s="164">
        <f t="shared" si="76"/>
        <v>0.64</v>
      </c>
      <c r="AE235" s="164">
        <f t="shared" si="76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77">IF(C203&lt;100,"",C203-520)</f>
        <v/>
      </c>
      <c r="D236" s="107" t="str">
        <f t="shared" si="77"/>
        <v/>
      </c>
      <c r="E236" s="107" t="str">
        <f t="shared" si="77"/>
        <v/>
      </c>
      <c r="F236" s="107" t="str">
        <f t="shared" si="77"/>
        <v/>
      </c>
      <c r="G236" s="107" t="str">
        <f t="shared" si="77"/>
        <v/>
      </c>
      <c r="H236" s="107" t="str">
        <f t="shared" si="77"/>
        <v/>
      </c>
      <c r="I236" s="107" t="str">
        <f t="shared" si="77"/>
        <v/>
      </c>
      <c r="J236" s="107" t="str">
        <f t="shared" si="77"/>
        <v/>
      </c>
      <c r="K236" s="107" t="str">
        <f t="shared" si="77"/>
        <v/>
      </c>
      <c r="L236" s="107" t="str">
        <f t="shared" si="77"/>
        <v/>
      </c>
      <c r="M236" s="107" t="str">
        <f t="shared" si="77"/>
        <v/>
      </c>
      <c r="N236" s="107" t="str">
        <f t="shared" si="77"/>
        <v/>
      </c>
      <c r="O236" s="107" t="str">
        <f t="shared" si="77"/>
        <v/>
      </c>
      <c r="P236" s="107" t="str">
        <f t="shared" si="77"/>
        <v/>
      </c>
      <c r="Q236" s="107" t="str">
        <f t="shared" si="77"/>
        <v/>
      </c>
      <c r="R236" s="107" t="str">
        <f t="shared" si="77"/>
        <v/>
      </c>
      <c r="S236" s="107" t="str">
        <f t="shared" si="77"/>
        <v/>
      </c>
      <c r="T236" s="107" t="str">
        <f t="shared" si="77"/>
        <v/>
      </c>
      <c r="U236" s="107" t="str">
        <f t="shared" si="77"/>
        <v/>
      </c>
      <c r="V236" s="107" t="str">
        <f t="shared" si="77"/>
        <v/>
      </c>
      <c r="W236" s="107" t="str">
        <f t="shared" si="77"/>
        <v/>
      </c>
      <c r="X236" s="107" t="str">
        <f t="shared" si="77"/>
        <v/>
      </c>
      <c r="Y236" s="107" t="str">
        <f t="shared" si="77"/>
        <v/>
      </c>
      <c r="Z236" s="107" t="str">
        <f t="shared" si="77"/>
        <v/>
      </c>
      <c r="AA236" s="107" t="str">
        <f t="shared" si="77"/>
        <v/>
      </c>
      <c r="AB236" s="107" t="str">
        <f t="shared" si="77"/>
        <v/>
      </c>
      <c r="AC236" s="107" t="str">
        <f t="shared" si="77"/>
        <v/>
      </c>
      <c r="AD236" s="107" t="str">
        <f t="shared" si="77"/>
        <v/>
      </c>
      <c r="AE236" s="107" t="str">
        <f t="shared" si="77"/>
        <v/>
      </c>
      <c r="AF236" s="107" t="str">
        <f t="shared" si="77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78">IF(B204&lt;100,"",B204-620)</f>
        <v/>
      </c>
      <c r="C237" s="107" t="str">
        <f t="shared" si="78"/>
        <v/>
      </c>
      <c r="D237" s="107" t="str">
        <f t="shared" si="78"/>
        <v/>
      </c>
      <c r="E237" s="107" t="str">
        <f t="shared" si="78"/>
        <v/>
      </c>
      <c r="F237" s="107" t="str">
        <f t="shared" si="78"/>
        <v/>
      </c>
      <c r="G237" s="107" t="str">
        <f t="shared" si="78"/>
        <v/>
      </c>
      <c r="H237" s="107" t="str">
        <f t="shared" si="78"/>
        <v/>
      </c>
      <c r="I237" s="107" t="str">
        <f t="shared" si="78"/>
        <v/>
      </c>
      <c r="J237" s="107" t="str">
        <f t="shared" si="78"/>
        <v/>
      </c>
      <c r="K237" s="107" t="str">
        <f t="shared" si="78"/>
        <v/>
      </c>
      <c r="L237" s="107" t="str">
        <f t="shared" si="78"/>
        <v/>
      </c>
      <c r="M237" s="107" t="str">
        <f t="shared" si="78"/>
        <v/>
      </c>
      <c r="N237" s="107" t="str">
        <f t="shared" si="78"/>
        <v/>
      </c>
      <c r="O237" s="107" t="str">
        <f t="shared" si="78"/>
        <v/>
      </c>
      <c r="P237" s="107" t="str">
        <f t="shared" si="78"/>
        <v/>
      </c>
      <c r="Q237" s="107" t="str">
        <f t="shared" si="78"/>
        <v/>
      </c>
      <c r="R237" s="107" t="str">
        <f t="shared" si="78"/>
        <v/>
      </c>
      <c r="S237" s="107" t="str">
        <f t="shared" si="78"/>
        <v/>
      </c>
      <c r="T237" s="107" t="str">
        <f t="shared" si="78"/>
        <v/>
      </c>
      <c r="U237" s="107" t="str">
        <f t="shared" si="78"/>
        <v/>
      </c>
      <c r="V237" s="107" t="str">
        <f t="shared" si="78"/>
        <v/>
      </c>
      <c r="W237" s="107" t="str">
        <f t="shared" si="78"/>
        <v/>
      </c>
      <c r="X237" s="107" t="str">
        <f t="shared" si="78"/>
        <v/>
      </c>
      <c r="Y237" s="107" t="str">
        <f t="shared" si="78"/>
        <v/>
      </c>
      <c r="Z237" s="107" t="str">
        <f t="shared" si="78"/>
        <v/>
      </c>
      <c r="AA237" s="107" t="str">
        <f t="shared" si="78"/>
        <v/>
      </c>
      <c r="AB237" s="107" t="str">
        <f t="shared" si="78"/>
        <v/>
      </c>
      <c r="AC237" s="107" t="str">
        <f t="shared" si="78"/>
        <v/>
      </c>
      <c r="AD237" s="107" t="str">
        <f t="shared" si="78"/>
        <v/>
      </c>
      <c r="AE237" s="107" t="str">
        <f t="shared" si="78"/>
        <v/>
      </c>
      <c r="AF237" s="107" t="str">
        <f t="shared" si="78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79">IF(B205&lt;100,"",B205-330)</f>
        <v/>
      </c>
      <c r="C238" s="107" t="str">
        <f t="shared" si="79"/>
        <v/>
      </c>
      <c r="D238" s="107" t="str">
        <f t="shared" si="79"/>
        <v/>
      </c>
      <c r="E238" s="107" t="str">
        <f t="shared" si="79"/>
        <v/>
      </c>
      <c r="F238" s="107" t="str">
        <f t="shared" si="79"/>
        <v/>
      </c>
      <c r="G238" s="107" t="str">
        <f t="shared" si="79"/>
        <v/>
      </c>
      <c r="H238" s="107" t="str">
        <f t="shared" si="79"/>
        <v/>
      </c>
      <c r="I238" s="107" t="str">
        <f t="shared" si="79"/>
        <v/>
      </c>
      <c r="J238" s="107" t="str">
        <f t="shared" si="79"/>
        <v/>
      </c>
      <c r="K238" s="107" t="str">
        <f t="shared" si="79"/>
        <v/>
      </c>
      <c r="L238" s="107" t="str">
        <f t="shared" si="79"/>
        <v/>
      </c>
      <c r="M238" s="107" t="str">
        <f t="shared" si="79"/>
        <v/>
      </c>
      <c r="N238" s="107" t="str">
        <f t="shared" si="79"/>
        <v/>
      </c>
      <c r="O238" s="107" t="str">
        <f t="shared" si="79"/>
        <v/>
      </c>
      <c r="P238" s="107" t="str">
        <f t="shared" si="79"/>
        <v/>
      </c>
      <c r="Q238" s="107" t="str">
        <f t="shared" si="79"/>
        <v/>
      </c>
      <c r="R238" s="107" t="str">
        <f t="shared" si="79"/>
        <v/>
      </c>
      <c r="S238" s="107" t="str">
        <f t="shared" si="79"/>
        <v/>
      </c>
      <c r="T238" s="107" t="str">
        <f t="shared" si="79"/>
        <v/>
      </c>
      <c r="U238" s="107" t="str">
        <f t="shared" si="79"/>
        <v/>
      </c>
      <c r="V238" s="107" t="str">
        <f t="shared" si="79"/>
        <v/>
      </c>
      <c r="W238" s="107" t="str">
        <f t="shared" si="79"/>
        <v/>
      </c>
      <c r="X238" s="107" t="str">
        <f t="shared" si="79"/>
        <v/>
      </c>
      <c r="Y238" s="107" t="str">
        <f t="shared" si="79"/>
        <v/>
      </c>
      <c r="Z238" s="107" t="str">
        <f t="shared" si="79"/>
        <v/>
      </c>
      <c r="AA238" s="107" t="str">
        <f t="shared" si="79"/>
        <v/>
      </c>
      <c r="AB238" s="107" t="str">
        <f t="shared" si="79"/>
        <v/>
      </c>
      <c r="AC238" s="107" t="str">
        <f t="shared" si="79"/>
        <v/>
      </c>
      <c r="AD238" s="107" t="str">
        <f t="shared" si="79"/>
        <v/>
      </c>
      <c r="AE238" s="107" t="str">
        <f t="shared" si="79"/>
        <v/>
      </c>
      <c r="AF238" s="107" t="str">
        <f t="shared" si="79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0">IF(C206&lt;100,"",C206-1500)</f>
        <v/>
      </c>
      <c r="D239" s="107" t="str">
        <f t="shared" si="80"/>
        <v/>
      </c>
      <c r="E239" s="107" t="str">
        <f t="shared" si="80"/>
        <v/>
      </c>
      <c r="F239" s="107" t="str">
        <f t="shared" si="80"/>
        <v/>
      </c>
      <c r="G239" s="107" t="str">
        <f t="shared" si="80"/>
        <v/>
      </c>
      <c r="H239" s="107" t="str">
        <f t="shared" si="80"/>
        <v/>
      </c>
      <c r="I239" s="107" t="str">
        <f t="shared" si="80"/>
        <v/>
      </c>
      <c r="J239" s="107" t="str">
        <f t="shared" si="80"/>
        <v/>
      </c>
      <c r="K239" s="107" t="str">
        <f t="shared" si="80"/>
        <v/>
      </c>
      <c r="L239" s="107" t="str">
        <f t="shared" si="80"/>
        <v/>
      </c>
      <c r="M239" s="107" t="str">
        <f t="shared" si="80"/>
        <v/>
      </c>
      <c r="N239" s="107" t="str">
        <f t="shared" si="80"/>
        <v/>
      </c>
      <c r="O239" s="107" t="str">
        <f t="shared" si="80"/>
        <v/>
      </c>
      <c r="P239" s="107" t="str">
        <f t="shared" si="80"/>
        <v/>
      </c>
      <c r="Q239" s="107" t="str">
        <f t="shared" si="80"/>
        <v/>
      </c>
      <c r="R239" s="107" t="str">
        <f t="shared" si="80"/>
        <v/>
      </c>
      <c r="S239" s="107" t="str">
        <f t="shared" si="80"/>
        <v/>
      </c>
      <c r="T239" s="107" t="str">
        <f t="shared" si="80"/>
        <v/>
      </c>
      <c r="U239" s="107" t="str">
        <f t="shared" si="80"/>
        <v/>
      </c>
      <c r="V239" s="107" t="str">
        <f t="shared" si="80"/>
        <v/>
      </c>
      <c r="W239" s="107" t="str">
        <f t="shared" si="80"/>
        <v/>
      </c>
      <c r="X239" s="107" t="str">
        <f t="shared" si="80"/>
        <v/>
      </c>
      <c r="Y239" s="107" t="str">
        <f t="shared" si="80"/>
        <v/>
      </c>
      <c r="Z239" s="107" t="str">
        <f t="shared" si="80"/>
        <v/>
      </c>
      <c r="AA239" s="107" t="str">
        <f t="shared" si="80"/>
        <v/>
      </c>
      <c r="AB239" s="107" t="str">
        <f t="shared" si="80"/>
        <v/>
      </c>
      <c r="AC239" s="107" t="str">
        <f t="shared" si="80"/>
        <v/>
      </c>
      <c r="AD239" s="107" t="str">
        <f t="shared" si="80"/>
        <v/>
      </c>
      <c r="AE239" s="107" t="str">
        <f t="shared" si="80"/>
        <v/>
      </c>
      <c r="AF239" s="107" t="str">
        <f t="shared" si="8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Z11:AF11">
    <cfRule type="expression" dxfId="1995" priority="210">
      <formula>B$9&gt;=20/24</formula>
    </cfRule>
    <cfRule type="expression" dxfId="1994" priority="211">
      <formula>AND(B$9&gt;=14/24,B$9&lt;20/24)</formula>
    </cfRule>
    <cfRule type="expression" dxfId="1993" priority="212">
      <formula>AND(B$9&gt;=8/24,B$9&lt;14/24)</formula>
    </cfRule>
    <cfRule type="expression" dxfId="1992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991" priority="205">
      <formula>S$9&gt;=20/24</formula>
    </cfRule>
    <cfRule type="expression" dxfId="1990" priority="206">
      <formula>AND(S$9&gt;=14/24,S$9&lt;20/24)</formula>
    </cfRule>
    <cfRule type="expression" dxfId="1989" priority="207">
      <formula>AND(S$9&gt;=8/24,S$9&lt;14/24)</formula>
    </cfRule>
    <cfRule type="expression" dxfId="1988" priority="208">
      <formula>S$9&lt;8/24</formula>
    </cfRule>
  </conditionalFormatting>
  <conditionalFormatting sqref="AG51 B12:E16 S37:AF37 L11:AF11 F16:AF16">
    <cfRule type="expression" dxfId="1987" priority="204">
      <formula>B11&gt;$AG11</formula>
    </cfRule>
  </conditionalFormatting>
  <conditionalFormatting sqref="A101:A157 A84:A97 A11:A14 A45:A72 A80:A82 A74:A78 A35:A43 A170:A200 A16:A32">
    <cfRule type="expression" dxfId="1986" priority="203">
      <formula>$AH11=0</formula>
    </cfRule>
  </conditionalFormatting>
  <conditionalFormatting sqref="A98">
    <cfRule type="expression" dxfId="1985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984" priority="200">
      <formula>$AH34=0</formula>
    </cfRule>
  </conditionalFormatting>
  <conditionalFormatting sqref="A83">
    <cfRule type="expression" dxfId="1983" priority="199">
      <formula>$AH83=0</formula>
    </cfRule>
  </conditionalFormatting>
  <conditionalFormatting sqref="A15">
    <cfRule type="expression" dxfId="1982" priority="198">
      <formula>$AH15=0</formula>
    </cfRule>
  </conditionalFormatting>
  <conditionalFormatting sqref="A164:A169">
    <cfRule type="expression" dxfId="1981" priority="197">
      <formula>$AH164=0</formula>
    </cfRule>
  </conditionalFormatting>
  <conditionalFormatting sqref="A158:A163">
    <cfRule type="expression" dxfId="1980" priority="196">
      <formula>$AH158=0</formula>
    </cfRule>
  </conditionalFormatting>
  <conditionalFormatting sqref="A44">
    <cfRule type="expression" dxfId="1979" priority="195">
      <formula>$AH44=0</formula>
    </cfRule>
  </conditionalFormatting>
  <conditionalFormatting sqref="A79">
    <cfRule type="expression" dxfId="1978" priority="194">
      <formula>$AH79=0</formula>
    </cfRule>
  </conditionalFormatting>
  <conditionalFormatting sqref="A73">
    <cfRule type="expression" dxfId="1977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976" priority="189">
      <formula>C$9&gt;=20/24</formula>
    </cfRule>
    <cfRule type="expression" dxfId="1975" priority="190">
      <formula>AND(C$9&gt;=14/24,C$9&lt;20/24)</formula>
    </cfRule>
    <cfRule type="expression" dxfId="1974" priority="191">
      <formula>AND(C$9&gt;=8/24,C$9&lt;14/24)</formula>
    </cfRule>
    <cfRule type="expression" dxfId="1973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972" priority="217">
      <formula>C$9&gt;=20/24</formula>
    </cfRule>
    <cfRule type="expression" dxfId="1971" priority="218">
      <formula>AND(C$9&gt;=14/24,C$9&lt;20/24)</formula>
    </cfRule>
    <cfRule type="expression" dxfId="1970" priority="219">
      <formula>AND(C$9&gt;=8/24,C$9&lt;14/24)</formula>
    </cfRule>
    <cfRule type="expression" dxfId="1969" priority="220">
      <formula>C$9&lt;8/24</formula>
    </cfRule>
  </conditionalFormatting>
  <conditionalFormatting sqref="A201">
    <cfRule type="expression" dxfId="1968" priority="221">
      <formula>$AH201=0</formula>
    </cfRule>
  </conditionalFormatting>
  <conditionalFormatting sqref="AG213">
    <cfRule type="expression" dxfId="1967" priority="222">
      <formula>B$9&gt;=20/24</formula>
    </cfRule>
    <cfRule type="expression" dxfId="1966" priority="223">
      <formula>AND(B$9&gt;=14/24,B$9&lt;20/24)</formula>
    </cfRule>
    <cfRule type="expression" dxfId="1965" priority="224">
      <formula>AND(B$9&gt;=8/24,B$9&lt;14/24)</formula>
    </cfRule>
    <cfRule type="expression" dxfId="1964" priority="225">
      <formula>B$9&lt;8/24</formula>
    </cfRule>
  </conditionalFormatting>
  <conditionalFormatting sqref="S8">
    <cfRule type="expression" dxfId="1963" priority="184">
      <formula>U$9&gt;=20/24</formula>
    </cfRule>
    <cfRule type="expression" dxfId="1962" priority="185">
      <formula>AND(U$9&gt;=14/24,U$9&lt;20/24)</formula>
    </cfRule>
    <cfRule type="expression" dxfId="1961" priority="186">
      <formula>AND(U$9&gt;=8/24,U$9&lt;14/24)</formula>
    </cfRule>
    <cfRule type="expression" dxfId="1960" priority="187">
      <formula>U$9&lt;8/24</formula>
    </cfRule>
  </conditionalFormatting>
  <conditionalFormatting sqref="AB8">
    <cfRule type="expression" dxfId="1959" priority="180">
      <formula>AD$9&gt;=20/24</formula>
    </cfRule>
    <cfRule type="expression" dxfId="1958" priority="181">
      <formula>AND(AD$9&gt;=14/24,AD$9&lt;20/24)</formula>
    </cfRule>
    <cfRule type="expression" dxfId="1957" priority="182">
      <formula>AND(AD$9&gt;=8/24,AD$9&lt;14/24)</formula>
    </cfRule>
    <cfRule type="expression" dxfId="1956" priority="183">
      <formula>AD$9&lt;8/24</formula>
    </cfRule>
  </conditionalFormatting>
  <conditionalFormatting sqref="AH213:AX213">
    <cfRule type="expression" dxfId="1955" priority="226">
      <formula>AG$9&gt;=20/24</formula>
    </cfRule>
    <cfRule type="expression" dxfId="1954" priority="227">
      <formula>AND(AG$9&gt;=14/24,AG$9&lt;20/24)</formula>
    </cfRule>
    <cfRule type="expression" dxfId="1953" priority="228">
      <formula>AND(AG$9&gt;=8/24,AG$9&lt;14/24)</formula>
    </cfRule>
    <cfRule type="expression" dxfId="1952" priority="229">
      <formula>AG$9&lt;8/24</formula>
    </cfRule>
  </conditionalFormatting>
  <conditionalFormatting sqref="T213">
    <cfRule type="expression" dxfId="1951" priority="230">
      <formula>AX$9&gt;=20/24</formula>
    </cfRule>
    <cfRule type="expression" dxfId="1950" priority="231">
      <formula>AND(AX$9&gt;=14/24,AX$9&lt;20/24)</formula>
    </cfRule>
    <cfRule type="expression" dxfId="1949" priority="232">
      <formula>AND(AX$9&gt;=8/24,AX$9&lt;14/24)</formula>
    </cfRule>
    <cfRule type="expression" dxfId="1948" priority="233">
      <formula>AX$9&lt;8/24</formula>
    </cfRule>
  </conditionalFormatting>
  <conditionalFormatting sqref="A99:A100">
    <cfRule type="expression" dxfId="1947" priority="179">
      <formula>$AH99=0</formula>
    </cfRule>
  </conditionalFormatting>
  <conditionalFormatting sqref="F40:L41 F11:K11 C57:AF57 S40:AF41">
    <cfRule type="expression" dxfId="1946" priority="175">
      <formula>C$9&gt;=20/24</formula>
    </cfRule>
    <cfRule type="expression" dxfId="1945" priority="176">
      <formula>AND(C$9&gt;=14/24,C$9&lt;20/24)</formula>
    </cfRule>
    <cfRule type="expression" dxfId="1944" priority="177">
      <formula>AND(C$9&gt;=8/24,C$9&lt;14/24)</formula>
    </cfRule>
    <cfRule type="expression" dxfId="1943" priority="178">
      <formula>C$9&lt;8/24</formula>
    </cfRule>
  </conditionalFormatting>
  <conditionalFormatting sqref="F39:L39 S39:AF39">
    <cfRule type="expression" dxfId="1942" priority="171">
      <formula>F$9&gt;=20/24</formula>
    </cfRule>
    <cfRule type="expression" dxfId="1941" priority="172">
      <formula>AND(F$9&gt;=14/24,F$9&lt;20/24)</formula>
    </cfRule>
    <cfRule type="expression" dxfId="1940" priority="173">
      <formula>AND(F$9&gt;=8/24,F$9&lt;14/24)</formula>
    </cfRule>
    <cfRule type="expression" dxfId="1939" priority="174">
      <formula>F$9&lt;8/24</formula>
    </cfRule>
  </conditionalFormatting>
  <conditionalFormatting sqref="F39:L41 F11:K11 S39:AF41">
    <cfRule type="expression" dxfId="1938" priority="170">
      <formula>F11&gt;$AG11</formula>
    </cfRule>
  </conditionalFormatting>
  <conditionalFormatting sqref="M11 C81:AF81 C58:V59 C69:AF72 C53:AF56 M37:Q37 F67:L67 F60:L63 F12:M14 F36:Q36 R36:R37 N11:R14 M60:V67 W58:AF67 C85:AF91 S36:AF36 S12:AF14">
    <cfRule type="expression" dxfId="1937" priority="166">
      <formula>C$9&gt;=20/24</formula>
    </cfRule>
    <cfRule type="expression" dxfId="1936" priority="167">
      <formula>AND(C$9&gt;=14/24,C$9&lt;20/24)</formula>
    </cfRule>
    <cfRule type="expression" dxfId="1935" priority="168">
      <formula>AND(C$9&gt;=8/24,C$9&lt;14/24)</formula>
    </cfRule>
    <cfRule type="expression" dxfId="1934" priority="169">
      <formula>C$9&lt;8/24</formula>
    </cfRule>
  </conditionalFormatting>
  <conditionalFormatting sqref="M11 AD42:AF43 C51:AF51 C53:AF56 C37:Q37 D42:L42 F43:L44 F12:M15 F36:Q36 R36:R37 N11:R15 S36:AF36 S12:AF15">
    <cfRule type="expression" dxfId="1933" priority="157">
      <formula>C11&gt;$AG11</formula>
    </cfRule>
  </conditionalFormatting>
  <conditionalFormatting sqref="F15:AF15">
    <cfRule type="expression" dxfId="1932" priority="149">
      <formula>F$9&gt;=20/24</formula>
    </cfRule>
    <cfRule type="expression" dxfId="1931" priority="150">
      <formula>AND(F$9&gt;=14/24,F$9&lt;20/24)</formula>
    </cfRule>
    <cfRule type="expression" dxfId="1930" priority="151">
      <formula>AND(F$9&gt;=8/24,F$9&lt;14/24)</formula>
    </cfRule>
    <cfRule type="expression" dxfId="1929" priority="152">
      <formula>F$9&lt;8/24</formula>
    </cfRule>
  </conditionalFormatting>
  <conditionalFormatting sqref="S11:Y11">
    <cfRule type="expression" dxfId="1928" priority="140">
      <formula>S$9&gt;=20/24</formula>
    </cfRule>
    <cfRule type="expression" dxfId="1927" priority="141">
      <formula>AND(S$9&gt;=14/24,S$9&lt;20/24)</formula>
    </cfRule>
    <cfRule type="expression" dxfId="1926" priority="142">
      <formula>AND(S$9&gt;=8/24,S$9&lt;14/24)</formula>
    </cfRule>
    <cfRule type="expression" dxfId="1925" priority="143">
      <formula>S$9&lt;8/24</formula>
    </cfRule>
  </conditionalFormatting>
  <conditionalFormatting sqref="AD44:AF50 V42:AC43">
    <cfRule type="expression" dxfId="1924" priority="136">
      <formula>V$9&gt;=20/24</formula>
    </cfRule>
    <cfRule type="expression" dxfId="1923" priority="137">
      <formula>AND(V$9&gt;=14/24,V$9&lt;20/24)</formula>
    </cfRule>
    <cfRule type="expression" dxfId="1922" priority="138">
      <formula>AND(V$9&gt;=8/24,V$9&lt;14/24)</formula>
    </cfRule>
    <cfRule type="expression" dxfId="1921" priority="139">
      <formula>V$9&lt;8/24</formula>
    </cfRule>
  </conditionalFormatting>
  <conditionalFormatting sqref="AD44:AF50 V42:AC43">
    <cfRule type="expression" dxfId="1920" priority="135">
      <formula>V42&gt;$AG42</formula>
    </cfRule>
  </conditionalFormatting>
  <conditionalFormatting sqref="M39:R50 S42:U50 V44:AC50">
    <cfRule type="expression" dxfId="1919" priority="131">
      <formula>M$9&gt;=20/24</formula>
    </cfRule>
    <cfRule type="expression" dxfId="1918" priority="132">
      <formula>AND(M$9&gt;=14/24,M$9&lt;20/24)</formula>
    </cfRule>
    <cfRule type="expression" dxfId="1917" priority="133">
      <formula>AND(M$9&gt;=8/24,M$9&lt;14/24)</formula>
    </cfRule>
    <cfRule type="expression" dxfId="1916" priority="134">
      <formula>M$9&lt;8/24</formula>
    </cfRule>
  </conditionalFormatting>
  <conditionalFormatting sqref="M39:R50 S42:U50 V44:AC50">
    <cfRule type="expression" dxfId="1915" priority="130">
      <formula>M39&gt;$AG39</formula>
    </cfRule>
  </conditionalFormatting>
  <conditionalFormatting sqref="B29:E29 F16:AF31">
    <cfRule type="expression" dxfId="1914" priority="122">
      <formula>B$9&gt;=20/24</formula>
    </cfRule>
    <cfRule type="expression" dxfId="1913" priority="123">
      <formula>AND(B$9&gt;=14/24,B$9&lt;20/24)</formula>
    </cfRule>
    <cfRule type="expression" dxfId="1912" priority="124">
      <formula>AND(B$9&gt;=8/24,B$9&lt;14/24)</formula>
    </cfRule>
    <cfRule type="expression" dxfId="1911" priority="125">
      <formula>B$9&lt;8/24</formula>
    </cfRule>
  </conditionalFormatting>
  <conditionalFormatting sqref="B32:AF32">
    <cfRule type="expression" dxfId="1910" priority="118">
      <formula>B$9&gt;=20/24</formula>
    </cfRule>
    <cfRule type="expression" dxfId="1909" priority="119">
      <formula>AND(B$9&gt;=14/24,B$9&lt;20/24)</formula>
    </cfRule>
    <cfRule type="expression" dxfId="1908" priority="120">
      <formula>AND(B$9&gt;=8/24,B$9&lt;14/24)</formula>
    </cfRule>
    <cfRule type="expression" dxfId="1907" priority="121">
      <formula>B$9&lt;8/24</formula>
    </cfRule>
  </conditionalFormatting>
  <conditionalFormatting sqref="F35:AF35">
    <cfRule type="expression" dxfId="1906" priority="114">
      <formula>F$9&gt;=20/24</formula>
    </cfRule>
    <cfRule type="expression" dxfId="1905" priority="115">
      <formula>AND(F$9&gt;=14/24,F$9&lt;20/24)</formula>
    </cfRule>
    <cfRule type="expression" dxfId="1904" priority="116">
      <formula>AND(F$9&gt;=8/24,F$9&lt;14/24)</formula>
    </cfRule>
    <cfRule type="expression" dxfId="1903" priority="117">
      <formula>F$9&lt;8/24</formula>
    </cfRule>
  </conditionalFormatting>
  <conditionalFormatting sqref="B29:E29 B32:E32 B34:E34 F34:AF35 F17:AF32">
    <cfRule type="expression" dxfId="1902" priority="113">
      <formula>B17&gt;$AG17</formula>
    </cfRule>
  </conditionalFormatting>
  <conditionalFormatting sqref="B34:AF34">
    <cfRule type="expression" dxfId="1901" priority="109">
      <formula>B$9&gt;=20/24</formula>
    </cfRule>
    <cfRule type="expression" dxfId="1900" priority="110">
      <formula>AND(B$9&gt;=14/24,B$9&lt;20/24)</formula>
    </cfRule>
    <cfRule type="expression" dxfId="1899" priority="111">
      <formula>AND(B$9&gt;=8/24,B$9&lt;14/24)</formula>
    </cfRule>
    <cfRule type="expression" dxfId="1898" priority="112">
      <formula>B$9&lt;8/24</formula>
    </cfRule>
  </conditionalFormatting>
  <conditionalFormatting sqref="F33:AF33">
    <cfRule type="expression" dxfId="1897" priority="101">
      <formula>F$9&gt;=20/24</formula>
    </cfRule>
    <cfRule type="expression" dxfId="1896" priority="102">
      <formula>AND(F$9&gt;=14/24,F$9&lt;20/24)</formula>
    </cfRule>
    <cfRule type="expression" dxfId="1895" priority="103">
      <formula>AND(F$9&gt;=8/24,F$9&lt;14/24)</formula>
    </cfRule>
    <cfRule type="expression" dxfId="1894" priority="104">
      <formula>F$9&lt;8/24</formula>
    </cfRule>
  </conditionalFormatting>
  <conditionalFormatting sqref="F33:AF33">
    <cfRule type="expression" dxfId="1893" priority="100">
      <formula>F33&gt;$AG33</formula>
    </cfRule>
  </conditionalFormatting>
  <conditionalFormatting sqref="C40:E41">
    <cfRule type="expression" dxfId="1892" priority="96">
      <formula>C$9&gt;=20/24</formula>
    </cfRule>
    <cfRule type="expression" dxfId="1891" priority="97">
      <formula>AND(C$9&gt;=14/24,C$9&lt;20/24)</formula>
    </cfRule>
    <cfRule type="expression" dxfId="1890" priority="98">
      <formula>AND(C$9&gt;=8/24,C$9&lt;14/24)</formula>
    </cfRule>
    <cfRule type="expression" dxfId="1889" priority="99">
      <formula>C$9&lt;8/24</formula>
    </cfRule>
  </conditionalFormatting>
  <conditionalFormatting sqref="C39:E39">
    <cfRule type="expression" dxfId="1888" priority="92">
      <formula>C$9&gt;=20/24</formula>
    </cfRule>
    <cfRule type="expression" dxfId="1887" priority="93">
      <formula>AND(C$9&gt;=14/24,C$9&lt;20/24)</formula>
    </cfRule>
    <cfRule type="expression" dxfId="1886" priority="94">
      <formula>AND(C$9&gt;=8/24,C$9&lt;14/24)</formula>
    </cfRule>
    <cfRule type="expression" dxfId="1885" priority="95">
      <formula>C$9&lt;8/24</formula>
    </cfRule>
  </conditionalFormatting>
  <conditionalFormatting sqref="C39:E41">
    <cfRule type="expression" dxfId="1884" priority="91">
      <formula>C39&gt;$AG39</formula>
    </cfRule>
  </conditionalFormatting>
  <conditionalFormatting sqref="F64:L66">
    <cfRule type="expression" dxfId="1883" priority="87">
      <formula>F$9&gt;=20/24</formula>
    </cfRule>
    <cfRule type="expression" dxfId="1882" priority="88">
      <formula>AND(F$9&gt;=14/24,F$9&lt;20/24)</formula>
    </cfRule>
    <cfRule type="expression" dxfId="1881" priority="89">
      <formula>AND(F$9&gt;=8/24,F$9&lt;14/24)</formula>
    </cfRule>
    <cfRule type="expression" dxfId="1880" priority="90">
      <formula>F$9&lt;8/24</formula>
    </cfRule>
  </conditionalFormatting>
  <conditionalFormatting sqref="C42 D43:E43">
    <cfRule type="expression" dxfId="1879" priority="86">
      <formula>C42&gt;$AG42</formula>
    </cfRule>
  </conditionalFormatting>
  <conditionalFormatting sqref="D44:D45 C46:D48 E44:E48 F45:L50">
    <cfRule type="expression" dxfId="1878" priority="82">
      <formula>C$9&gt;=20/24</formula>
    </cfRule>
    <cfRule type="expression" dxfId="1877" priority="83">
      <formula>AND(C$9&gt;=14/24,C$9&lt;20/24)</formula>
    </cfRule>
    <cfRule type="expression" dxfId="1876" priority="84">
      <formula>AND(C$9&gt;=8/24,C$9&lt;14/24)</formula>
    </cfRule>
    <cfRule type="expression" dxfId="1875" priority="85">
      <formula>C$9&lt;8/24</formula>
    </cfRule>
  </conditionalFormatting>
  <conditionalFormatting sqref="D44:D45 C46:D48 E44:E48 F45:L50">
    <cfRule type="expression" dxfId="1874" priority="81">
      <formula>C44&gt;$AG44</formula>
    </cfRule>
  </conditionalFormatting>
  <conditionalFormatting sqref="B94:B100 B74:AF74 B82:AF82 B11:E11">
    <cfRule type="expression" dxfId="1873" priority="68">
      <formula>B$9&gt;=20/24</formula>
    </cfRule>
    <cfRule type="expression" dxfId="1872" priority="69">
      <formula>AND(B$9&gt;=14/24,B$9&lt;20/24)</formula>
    </cfRule>
    <cfRule type="expression" dxfId="1871" priority="70">
      <formula>AND(B$9&gt;=8/24,B$9&lt;14/24)</formula>
    </cfRule>
    <cfRule type="expression" dxfId="1870" priority="71">
      <formula>B$9&lt;8/24</formula>
    </cfRule>
  </conditionalFormatting>
  <conditionalFormatting sqref="B37">
    <cfRule type="expression" dxfId="1869" priority="64">
      <formula>B$9&gt;=20/24</formula>
    </cfRule>
    <cfRule type="expression" dxfId="1868" priority="65">
      <formula>AND(B$9&gt;=14/24,B$9&lt;20/24)</formula>
    </cfRule>
    <cfRule type="expression" dxfId="1867" priority="66">
      <formula>AND(B$9&gt;=8/24,B$9&lt;14/24)</formula>
    </cfRule>
    <cfRule type="expression" dxfId="1866" priority="67">
      <formula>B$9&lt;8/24</formula>
    </cfRule>
  </conditionalFormatting>
  <conditionalFormatting sqref="B37 B11:E11">
    <cfRule type="expression" dxfId="1865" priority="63">
      <formula>B11&gt;$AG11</formula>
    </cfRule>
  </conditionalFormatting>
  <conditionalFormatting sqref="B84">
    <cfRule type="expression" dxfId="1864" priority="59">
      <formula>B$9&gt;=20/24</formula>
    </cfRule>
    <cfRule type="expression" dxfId="1863" priority="60">
      <formula>AND(B$9&gt;=14/24,B$9&lt;20/24)</formula>
    </cfRule>
    <cfRule type="expression" dxfId="1862" priority="61">
      <formula>AND(B$9&gt;=8/24,B$9&lt;14/24)</formula>
    </cfRule>
    <cfRule type="expression" dxfId="1861" priority="62">
      <formula>B$9&lt;8/24</formula>
    </cfRule>
  </conditionalFormatting>
  <conditionalFormatting sqref="B40:B41 B57 B36:E36">
    <cfRule type="expression" dxfId="1860" priority="55">
      <formula>B$9&gt;=20/24</formula>
    </cfRule>
    <cfRule type="expression" dxfId="1859" priority="56">
      <formula>AND(B$9&gt;=14/24,B$9&lt;20/24)</formula>
    </cfRule>
    <cfRule type="expression" dxfId="1858" priority="57">
      <formula>AND(B$9&gt;=8/24,B$9&lt;14/24)</formula>
    </cfRule>
    <cfRule type="expression" dxfId="1857" priority="58">
      <formula>B$9&lt;8/24</formula>
    </cfRule>
  </conditionalFormatting>
  <conditionalFormatting sqref="B39">
    <cfRule type="expression" dxfId="1856" priority="51">
      <formula>B$9&gt;=20/24</formula>
    </cfRule>
    <cfRule type="expression" dxfId="1855" priority="52">
      <formula>AND(B$9&gt;=14/24,B$9&lt;20/24)</formula>
    </cfRule>
    <cfRule type="expression" dxfId="1854" priority="53">
      <formula>AND(B$9&gt;=8/24,B$9&lt;14/24)</formula>
    </cfRule>
    <cfRule type="expression" dxfId="1853" priority="54">
      <formula>B$9&lt;8/24</formula>
    </cfRule>
  </conditionalFormatting>
  <conditionalFormatting sqref="B39:B41 B36:E36">
    <cfRule type="expression" dxfId="1852" priority="50">
      <formula>B36&gt;$AG36</formula>
    </cfRule>
  </conditionalFormatting>
  <conditionalFormatting sqref="B85:B91 B53:B56 B58:B67 B69:B73 B75:AF75 C73:AF73 B81 B83:AF83 B12:E14 B16:E16 B28:E28 B18:E22 B24:E26 C60:E67 B30:E31">
    <cfRule type="expression" dxfId="1851" priority="46">
      <formula>B$9&gt;=20/24</formula>
    </cfRule>
    <cfRule type="expression" dxfId="1850" priority="47">
      <formula>AND(B$9&gt;=14/24,B$9&lt;20/24)</formula>
    </cfRule>
    <cfRule type="expression" dxfId="1849" priority="48">
      <formula>AND(B$9&gt;=8/24,B$9&lt;14/24)</formula>
    </cfRule>
    <cfRule type="expression" dxfId="1848" priority="49">
      <formula>B$9&lt;8/24</formula>
    </cfRule>
  </conditionalFormatting>
  <conditionalFormatting sqref="B35:E35">
    <cfRule type="expression" dxfId="1847" priority="38">
      <formula>B$9&gt;=20/24</formula>
    </cfRule>
    <cfRule type="expression" dxfId="1846" priority="39">
      <formula>AND(B$9&gt;=14/24,B$9&lt;20/24)</formula>
    </cfRule>
    <cfRule type="expression" dxfId="1845" priority="40">
      <formula>AND(B$9&gt;=8/24,B$9&lt;14/24)</formula>
    </cfRule>
    <cfRule type="expression" dxfId="1844" priority="41">
      <formula>B$9&lt;8/24</formula>
    </cfRule>
  </conditionalFormatting>
  <conditionalFormatting sqref="B42:B43 B51:B56 C52:AF52 B38:AF38 C43 B35:E35 B18:E22 B24:E28 B30:E31">
    <cfRule type="expression" dxfId="1843" priority="37">
      <formula>B18&gt;$AG18</formula>
    </cfRule>
  </conditionalFormatting>
  <conditionalFormatting sqref="B15:E15">
    <cfRule type="expression" dxfId="1842" priority="29">
      <formula>B$9&gt;=20/24</formula>
    </cfRule>
    <cfRule type="expression" dxfId="1841" priority="30">
      <formula>AND(B$9&gt;=14/24,B$9&lt;20/24)</formula>
    </cfRule>
    <cfRule type="expression" dxfId="1840" priority="31">
      <formula>AND(B$9&gt;=8/24,B$9&lt;14/24)</formula>
    </cfRule>
    <cfRule type="expression" dxfId="1839" priority="32">
      <formula>B$9&lt;8/24</formula>
    </cfRule>
  </conditionalFormatting>
  <conditionalFormatting sqref="B33:E33">
    <cfRule type="expression" dxfId="1838" priority="25">
      <formula>B$9&gt;=20/24</formula>
    </cfRule>
    <cfRule type="expression" dxfId="1837" priority="26">
      <formula>AND(B$9&gt;=14/24,B$9&lt;20/24)</formula>
    </cfRule>
    <cfRule type="expression" dxfId="1836" priority="27">
      <formula>AND(B$9&gt;=8/24,B$9&lt;14/24)</formula>
    </cfRule>
    <cfRule type="expression" dxfId="1835" priority="28">
      <formula>B$9&lt;8/24</formula>
    </cfRule>
  </conditionalFormatting>
  <conditionalFormatting sqref="B33:E33">
    <cfRule type="expression" dxfId="1834" priority="24">
      <formula>B33&gt;$AG33</formula>
    </cfRule>
  </conditionalFormatting>
  <conditionalFormatting sqref="B44:B50 C44:C45 C49:E50">
    <cfRule type="expression" dxfId="1833" priority="20">
      <formula>B$9&gt;=20/24</formula>
    </cfRule>
    <cfRule type="expression" dxfId="1832" priority="21">
      <formula>AND(B$9&gt;=14/24,B$9&lt;20/24)</formula>
    </cfRule>
    <cfRule type="expression" dxfId="1831" priority="22">
      <formula>AND(B$9&gt;=8/24,B$9&lt;14/24)</formula>
    </cfRule>
    <cfRule type="expression" dxfId="1830" priority="23">
      <formula>B$9&lt;8/24</formula>
    </cfRule>
  </conditionalFormatting>
  <conditionalFormatting sqref="B44:B50 C44:C45 C49:E50">
    <cfRule type="expression" dxfId="1829" priority="19">
      <formula>B44&gt;$AG44</formula>
    </cfRule>
  </conditionalFormatting>
  <conditionalFormatting sqref="B27:E27">
    <cfRule type="expression" dxfId="1828" priority="15">
      <formula>B$9&gt;=20/24</formula>
    </cfRule>
    <cfRule type="expression" dxfId="1827" priority="16">
      <formula>AND(B$9&gt;=14/24,B$9&lt;20/24)</formula>
    </cfRule>
    <cfRule type="expression" dxfId="1826" priority="17">
      <formula>AND(B$9&gt;=8/24,B$9&lt;14/24)</formula>
    </cfRule>
    <cfRule type="expression" dxfId="1825" priority="18">
      <formula>B$9&lt;8/24</formula>
    </cfRule>
  </conditionalFormatting>
  <conditionalFormatting sqref="B17:E17 B23:E23">
    <cfRule type="expression" dxfId="1824" priority="11">
      <formula>B$9&gt;=20/24</formula>
    </cfRule>
    <cfRule type="expression" dxfId="1823" priority="12">
      <formula>AND(B$9&gt;=14/24,B$9&lt;20/24)</formula>
    </cfRule>
    <cfRule type="expression" dxfId="1822" priority="13">
      <formula>AND(B$9&gt;=8/24,B$9&lt;14/24)</formula>
    </cfRule>
    <cfRule type="expression" dxfId="1821" priority="14">
      <formula>B$9&lt;8/24</formula>
    </cfRule>
  </conditionalFormatting>
  <conditionalFormatting sqref="B17:E17 B23:E23">
    <cfRule type="expression" dxfId="1820" priority="10">
      <formula>B17&gt;$AG17</formula>
    </cfRule>
  </conditionalFormatting>
  <conditionalFormatting sqref="A33">
    <cfRule type="expression" dxfId="1819" priority="9">
      <formula>$AH33=0</formula>
    </cfRule>
  </conditionalFormatting>
  <conditionalFormatting sqref="B68:AF68">
    <cfRule type="expression" dxfId="1818" priority="5">
      <formula>B$9&gt;=20/24</formula>
    </cfRule>
    <cfRule type="expression" dxfId="1817" priority="6">
      <formula>AND(B$9&gt;=14/24,B$9&lt;20/24)</formula>
    </cfRule>
    <cfRule type="expression" dxfId="1816" priority="7">
      <formula>AND(B$9&gt;=8/24,B$9&lt;14/24)</formula>
    </cfRule>
    <cfRule type="expression" dxfId="1815" priority="8">
      <formula>B$9&lt;8/24</formula>
    </cfRule>
  </conditionalFormatting>
  <conditionalFormatting sqref="B76:AF80">
    <cfRule type="expression" dxfId="1814" priority="1">
      <formula>B$9&gt;=20/24</formula>
    </cfRule>
    <cfRule type="expression" dxfId="1813" priority="2">
      <formula>AND(B$9&gt;=14/24,B$9&lt;20/24)</formula>
    </cfRule>
    <cfRule type="expression" dxfId="1812" priority="3">
      <formula>AND(B$9&gt;=8/24,B$9&lt;14/24)</formula>
    </cfRule>
    <cfRule type="expression" dxfId="1811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tabSelected="1"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R57" sqref="R5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2079/02/25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69.599999999999994</v>
      </c>
      <c r="C5" s="32">
        <f t="shared" si="0"/>
        <v>80.400000000000006</v>
      </c>
      <c r="D5" s="32">
        <f t="shared" si="0"/>
        <v>42</v>
      </c>
      <c r="E5" s="32">
        <f t="shared" si="0"/>
        <v>66</v>
      </c>
      <c r="F5" s="32">
        <f t="shared" si="0"/>
        <v>44</v>
      </c>
      <c r="G5" s="32">
        <f t="shared" si="0"/>
        <v>26</v>
      </c>
      <c r="H5" s="32">
        <f t="shared" si="0"/>
        <v>6.2</v>
      </c>
      <c r="I5" s="32">
        <f t="shared" si="0"/>
        <v>6.6</v>
      </c>
      <c r="J5" s="32">
        <f t="shared" si="0"/>
        <v>7.3</v>
      </c>
      <c r="K5" s="32">
        <f t="shared" si="0"/>
        <v>64</v>
      </c>
      <c r="L5" s="32">
        <f t="shared" si="0"/>
        <v>54</v>
      </c>
      <c r="M5" s="32">
        <f t="shared" si="0"/>
        <v>55.03</v>
      </c>
      <c r="N5" s="32">
        <f t="shared" si="0"/>
        <v>23.3</v>
      </c>
      <c r="O5" s="32">
        <f t="shared" si="0"/>
        <v>50.7</v>
      </c>
      <c r="P5" s="32">
        <f t="shared" si="0"/>
        <v>54.2</v>
      </c>
      <c r="Q5" s="32">
        <f t="shared" si="0"/>
        <v>40.4</v>
      </c>
      <c r="R5" s="32">
        <f t="shared" si="0"/>
        <v>23.4</v>
      </c>
      <c r="S5" s="32">
        <f t="shared" si="0"/>
        <v>47.7</v>
      </c>
      <c r="T5" s="32">
        <f t="shared" si="0"/>
        <v>48.9</v>
      </c>
      <c r="U5" s="32">
        <f t="shared" si="0"/>
        <v>43.5</v>
      </c>
      <c r="V5" s="32">
        <f t="shared" si="0"/>
        <v>52.8</v>
      </c>
      <c r="W5" s="32">
        <f t="shared" si="0"/>
        <v>25.2</v>
      </c>
      <c r="X5" s="32">
        <f t="shared" si="0"/>
        <v>44</v>
      </c>
      <c r="Y5" s="32">
        <f t="shared" si="0"/>
        <v>43.8</v>
      </c>
      <c r="Z5" s="32">
        <f t="shared" si="0"/>
        <v>46.8</v>
      </c>
      <c r="AA5" s="32">
        <f t="shared" si="0"/>
        <v>54.1</v>
      </c>
      <c r="AB5" s="32">
        <f t="shared" si="0"/>
        <v>59.3</v>
      </c>
      <c r="AC5" s="32">
        <f t="shared" si="0"/>
        <v>69.2</v>
      </c>
      <c r="AD5" s="32">
        <f t="shared" si="0"/>
        <v>69.400000000000006</v>
      </c>
      <c r="AE5" s="32">
        <f t="shared" si="0"/>
        <v>60.1</v>
      </c>
      <c r="AF5" s="32">
        <f>B68</f>
        <v>52.6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1699MW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Load=1606</v>
      </c>
      <c r="B7" s="37">
        <f>B75</f>
        <v>1760.7399999999998</v>
      </c>
      <c r="C7" s="37">
        <f t="shared" ref="C7:AF7" si="1">C75</f>
        <v>1743.0399999999997</v>
      </c>
      <c r="D7" s="37">
        <f t="shared" si="1"/>
        <v>1752.54</v>
      </c>
      <c r="E7" s="37">
        <f t="shared" si="1"/>
        <v>1714.1399999999999</v>
      </c>
      <c r="F7" s="37">
        <f t="shared" si="1"/>
        <v>1669.04</v>
      </c>
      <c r="G7" s="37">
        <f t="shared" si="1"/>
        <v>1642.04</v>
      </c>
      <c r="H7" s="37">
        <f t="shared" si="1"/>
        <v>1687.4399999999998</v>
      </c>
      <c r="I7" s="37">
        <f t="shared" si="1"/>
        <v>1653.54</v>
      </c>
      <c r="J7" s="37">
        <f t="shared" si="1"/>
        <v>1653.9399999999998</v>
      </c>
      <c r="K7" s="37">
        <f t="shared" si="1"/>
        <v>1615.6399999999999</v>
      </c>
      <c r="L7" s="37">
        <f t="shared" si="1"/>
        <v>1619.4399999999998</v>
      </c>
      <c r="M7" s="37">
        <f t="shared" si="1"/>
        <v>1605.54</v>
      </c>
      <c r="N7" s="37">
        <f t="shared" si="1"/>
        <v>1699.37</v>
      </c>
      <c r="O7" s="37">
        <f t="shared" si="1"/>
        <v>1711.84</v>
      </c>
      <c r="P7" s="37">
        <f t="shared" si="1"/>
        <v>1739.34</v>
      </c>
      <c r="Q7" s="37">
        <f t="shared" si="1"/>
        <v>1752.3400000000001</v>
      </c>
      <c r="R7" s="37">
        <f t="shared" si="1"/>
        <v>1712.0400000000004</v>
      </c>
      <c r="S7" s="37">
        <f t="shared" si="1"/>
        <v>1716.5400000000004</v>
      </c>
      <c r="T7" s="37">
        <f t="shared" si="1"/>
        <v>1727.8400000000004</v>
      </c>
      <c r="U7" s="37">
        <f t="shared" si="1"/>
        <v>1719.8400000000001</v>
      </c>
      <c r="V7" s="37">
        <f t="shared" si="1"/>
        <v>1729.44</v>
      </c>
      <c r="W7" s="37">
        <f t="shared" si="1"/>
        <v>1723.74</v>
      </c>
      <c r="X7" s="37">
        <f t="shared" si="1"/>
        <v>1662.0400000000002</v>
      </c>
      <c r="Y7" s="37">
        <f t="shared" si="1"/>
        <v>1680.8400000000001</v>
      </c>
      <c r="Z7" s="37">
        <f t="shared" si="1"/>
        <v>1668.4399999999998</v>
      </c>
      <c r="AA7" s="37">
        <f t="shared" si="1"/>
        <v>1715.24</v>
      </c>
      <c r="AB7" s="37">
        <f t="shared" si="1"/>
        <v>1764.3400000000001</v>
      </c>
      <c r="AC7" s="37">
        <f t="shared" si="1"/>
        <v>1769.5400000000002</v>
      </c>
      <c r="AD7" s="37">
        <f t="shared" si="1"/>
        <v>1779.4400000000003</v>
      </c>
      <c r="AE7" s="37">
        <f t="shared" si="1"/>
        <v>1781.3400000000001</v>
      </c>
      <c r="AF7" s="37">
        <f t="shared" si="1"/>
        <v>1766.04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3">
        <v>456</v>
      </c>
      <c r="C11" s="53">
        <v>456</v>
      </c>
      <c r="D11" s="53">
        <v>456</v>
      </c>
      <c r="E11" s="53">
        <v>456</v>
      </c>
      <c r="F11" s="53">
        <v>456</v>
      </c>
      <c r="G11" s="53">
        <v>456</v>
      </c>
      <c r="H11" s="53">
        <v>456</v>
      </c>
      <c r="I11" s="53">
        <v>456</v>
      </c>
      <c r="J11" s="53">
        <v>456</v>
      </c>
      <c r="K11" s="53">
        <v>456</v>
      </c>
      <c r="L11" s="53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1">
        <v>456</v>
      </c>
      <c r="Y11" s="51">
        <v>456</v>
      </c>
      <c r="Z11" s="51">
        <v>456</v>
      </c>
      <c r="AA11" s="51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54.4</v>
      </c>
      <c r="C13" s="51">
        <v>54.4</v>
      </c>
      <c r="D13" s="51">
        <v>54.3</v>
      </c>
      <c r="E13" s="51">
        <v>54.3</v>
      </c>
      <c r="F13" s="51">
        <v>54.3</v>
      </c>
      <c r="G13" s="51">
        <v>54.3</v>
      </c>
      <c r="H13" s="51">
        <v>54.3</v>
      </c>
      <c r="I13" s="51">
        <v>54.3</v>
      </c>
      <c r="J13" s="51">
        <v>54.3</v>
      </c>
      <c r="K13" s="51">
        <v>54.3</v>
      </c>
      <c r="L13" s="51">
        <v>54.3</v>
      </c>
      <c r="M13" s="51">
        <v>54.3</v>
      </c>
      <c r="N13" s="51">
        <v>54.3</v>
      </c>
      <c r="O13" s="51">
        <v>54.3</v>
      </c>
      <c r="P13" s="51">
        <v>54.3</v>
      </c>
      <c r="Q13" s="51">
        <v>54.2</v>
      </c>
      <c r="R13" s="51">
        <v>54.2</v>
      </c>
      <c r="S13" s="51">
        <v>54.2</v>
      </c>
      <c r="T13" s="51">
        <v>54.2</v>
      </c>
      <c r="U13" s="51">
        <v>54.2</v>
      </c>
      <c r="V13" s="51">
        <v>54.2</v>
      </c>
      <c r="W13" s="51">
        <v>54.2</v>
      </c>
      <c r="X13" s="51">
        <v>54.2</v>
      </c>
      <c r="Y13" s="51">
        <v>54.2</v>
      </c>
      <c r="Z13" s="51">
        <v>54.2</v>
      </c>
      <c r="AA13" s="51">
        <v>54.2</v>
      </c>
      <c r="AB13" s="51">
        <v>54.2</v>
      </c>
      <c r="AC13" s="51">
        <v>54.2</v>
      </c>
      <c r="AD13" s="51">
        <v>54.2</v>
      </c>
      <c r="AE13" s="51">
        <v>54.2</v>
      </c>
      <c r="AF13" s="51">
        <v>54.2</v>
      </c>
      <c r="AG13" s="59">
        <v>52.4</v>
      </c>
      <c r="AH13" s="55">
        <f t="shared" si="2"/>
        <v>54.4</v>
      </c>
      <c r="AI13" s="56">
        <f t="shared" si="3"/>
        <v>54.2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50.6</v>
      </c>
      <c r="C14" s="51">
        <v>50.4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50.3</v>
      </c>
      <c r="N14" s="51">
        <v>50.3</v>
      </c>
      <c r="O14" s="51">
        <v>50.3</v>
      </c>
      <c r="P14" s="51">
        <v>50.3</v>
      </c>
      <c r="Q14" s="51">
        <v>50.5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9">
        <v>50</v>
      </c>
      <c r="AH14" s="55">
        <f t="shared" si="2"/>
        <v>50.6</v>
      </c>
      <c r="AI14" s="56">
        <f t="shared" si="3"/>
        <v>50.3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45.8</v>
      </c>
      <c r="C15" s="51">
        <v>45.8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45.8</v>
      </c>
      <c r="P15" s="51">
        <v>45.8</v>
      </c>
      <c r="Q15" s="51">
        <v>45.7</v>
      </c>
      <c r="R15" s="51">
        <v>45.7</v>
      </c>
      <c r="S15" s="51">
        <v>45.7</v>
      </c>
      <c r="T15" s="51">
        <v>45.7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60">
        <v>45</v>
      </c>
      <c r="AH15" s="55">
        <f t="shared" si="2"/>
        <v>45.8</v>
      </c>
      <c r="AI15" s="56">
        <f t="shared" si="3"/>
        <v>45.7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35</v>
      </c>
      <c r="C16" s="51">
        <v>35</v>
      </c>
      <c r="D16" s="51">
        <v>35</v>
      </c>
      <c r="E16" s="51">
        <v>35</v>
      </c>
      <c r="F16" s="51">
        <v>0</v>
      </c>
      <c r="G16" s="51">
        <v>0</v>
      </c>
      <c r="H16" s="51">
        <v>40</v>
      </c>
      <c r="I16" s="51">
        <v>40</v>
      </c>
      <c r="J16" s="51">
        <v>40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41</v>
      </c>
      <c r="R16" s="51">
        <v>41</v>
      </c>
      <c r="S16" s="51">
        <v>41</v>
      </c>
      <c r="T16" s="51">
        <v>41</v>
      </c>
      <c r="U16" s="51">
        <v>41</v>
      </c>
      <c r="V16" s="51">
        <v>41</v>
      </c>
      <c r="W16" s="51">
        <v>30</v>
      </c>
      <c r="X16" s="51">
        <v>30</v>
      </c>
      <c r="Y16" s="51">
        <v>30</v>
      </c>
      <c r="Z16" s="51">
        <v>30</v>
      </c>
      <c r="AA16" s="51">
        <v>41</v>
      </c>
      <c r="AB16" s="51">
        <v>41</v>
      </c>
      <c r="AC16" s="51">
        <v>41</v>
      </c>
      <c r="AD16" s="51">
        <v>41</v>
      </c>
      <c r="AE16" s="51">
        <v>41</v>
      </c>
      <c r="AF16" s="51">
        <v>41</v>
      </c>
      <c r="AG16" s="59">
        <v>45</v>
      </c>
      <c r="AH16" s="55">
        <f t="shared" si="2"/>
        <v>41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26.1</v>
      </c>
      <c r="D19" s="51">
        <v>26</v>
      </c>
      <c r="E19" s="51">
        <v>26</v>
      </c>
      <c r="F19" s="51">
        <v>20</v>
      </c>
      <c r="G19" s="51">
        <v>20</v>
      </c>
      <c r="H19" s="51">
        <v>26</v>
      </c>
      <c r="I19" s="51">
        <v>26</v>
      </c>
      <c r="J19" s="51">
        <v>26</v>
      </c>
      <c r="K19" s="51">
        <v>26</v>
      </c>
      <c r="L19" s="51">
        <v>26</v>
      </c>
      <c r="M19" s="51">
        <v>26</v>
      </c>
      <c r="N19" s="51">
        <v>26</v>
      </c>
      <c r="O19" s="51">
        <v>26</v>
      </c>
      <c r="P19" s="51">
        <v>26</v>
      </c>
      <c r="Q19" s="51">
        <v>26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25.1</v>
      </c>
      <c r="Y19" s="51">
        <v>25.1</v>
      </c>
      <c r="Z19" s="51">
        <v>25.1</v>
      </c>
      <c r="AA19" s="51">
        <v>25.1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20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23</v>
      </c>
      <c r="C20" s="51">
        <v>23</v>
      </c>
      <c r="D20" s="51">
        <v>23</v>
      </c>
      <c r="E20" s="51">
        <v>23</v>
      </c>
      <c r="F20" s="51">
        <v>23</v>
      </c>
      <c r="G20" s="51">
        <v>23</v>
      </c>
      <c r="H20" s="51">
        <v>23</v>
      </c>
      <c r="I20" s="51">
        <v>23</v>
      </c>
      <c r="J20" s="51">
        <v>23</v>
      </c>
      <c r="K20" s="51">
        <v>23</v>
      </c>
      <c r="L20" s="51">
        <v>23</v>
      </c>
      <c r="M20" s="51">
        <v>23</v>
      </c>
      <c r="N20" s="51">
        <v>23</v>
      </c>
      <c r="O20" s="51">
        <v>23</v>
      </c>
      <c r="P20" s="51">
        <v>23</v>
      </c>
      <c r="Q20" s="51">
        <v>23</v>
      </c>
      <c r="R20" s="51">
        <v>23</v>
      </c>
      <c r="S20" s="51">
        <v>23</v>
      </c>
      <c r="T20" s="51">
        <v>23</v>
      </c>
      <c r="U20" s="51">
        <v>23</v>
      </c>
      <c r="V20" s="51">
        <v>23</v>
      </c>
      <c r="W20" s="51">
        <v>23</v>
      </c>
      <c r="X20" s="51">
        <v>23</v>
      </c>
      <c r="Y20" s="51">
        <v>23</v>
      </c>
      <c r="Z20" s="51">
        <v>23</v>
      </c>
      <c r="AA20" s="51">
        <v>23</v>
      </c>
      <c r="AB20" s="51">
        <v>23</v>
      </c>
      <c r="AC20" s="51">
        <v>23</v>
      </c>
      <c r="AD20" s="51">
        <v>23</v>
      </c>
      <c r="AE20" s="51">
        <v>23</v>
      </c>
      <c r="AF20" s="51">
        <v>23</v>
      </c>
      <c r="AG20" s="59">
        <v>27</v>
      </c>
      <c r="AH20" s="55">
        <f t="shared" si="2"/>
        <v>23</v>
      </c>
      <c r="AI20" s="56">
        <f t="shared" si="3"/>
        <v>23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>
        <v>11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59">
        <v>25</v>
      </c>
      <c r="AH21" s="55">
        <f t="shared" si="2"/>
        <v>11</v>
      </c>
      <c r="AI21" s="56">
        <f t="shared" si="3"/>
        <v>11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20</v>
      </c>
      <c r="G22" s="51">
        <v>20</v>
      </c>
      <c r="H22" s="51">
        <v>20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19.600000000000001</v>
      </c>
      <c r="C24" s="51">
        <v>0</v>
      </c>
      <c r="D24" s="51">
        <v>0</v>
      </c>
      <c r="E24" s="51">
        <v>0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18</v>
      </c>
      <c r="G25" s="51">
        <v>18</v>
      </c>
      <c r="H25" s="51">
        <v>18</v>
      </c>
      <c r="I25" s="51">
        <v>18</v>
      </c>
      <c r="J25" s="51">
        <v>18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18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0</v>
      </c>
      <c r="G26" s="51">
        <v>0</v>
      </c>
      <c r="H26" s="51">
        <v>7</v>
      </c>
      <c r="I26" s="51">
        <v>7</v>
      </c>
      <c r="J26" s="51">
        <v>7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3</v>
      </c>
      <c r="X26" s="51">
        <v>3</v>
      </c>
      <c r="Y26" s="51">
        <v>3</v>
      </c>
      <c r="Z26" s="51">
        <v>3</v>
      </c>
      <c r="AA26" s="51">
        <v>3</v>
      </c>
      <c r="AB26" s="51">
        <v>3</v>
      </c>
      <c r="AC26" s="51">
        <v>3</v>
      </c>
      <c r="AD26" s="51">
        <v>3</v>
      </c>
      <c r="AE26" s="51">
        <v>3</v>
      </c>
      <c r="AF26" s="51">
        <v>3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12</v>
      </c>
      <c r="C28" s="51">
        <v>12</v>
      </c>
      <c r="D28" s="51">
        <v>12</v>
      </c>
      <c r="E28" s="51">
        <v>12</v>
      </c>
      <c r="F28" s="51">
        <v>0</v>
      </c>
      <c r="G28" s="51">
        <v>5</v>
      </c>
      <c r="H28" s="51">
        <v>12</v>
      </c>
      <c r="I28" s="51">
        <v>12</v>
      </c>
      <c r="J28" s="51">
        <v>12</v>
      </c>
      <c r="K28" s="51">
        <v>12</v>
      </c>
      <c r="L28" s="51">
        <v>12</v>
      </c>
      <c r="M28" s="51">
        <v>12</v>
      </c>
      <c r="N28" s="51">
        <v>12</v>
      </c>
      <c r="O28" s="51">
        <v>12</v>
      </c>
      <c r="P28" s="51">
        <v>12</v>
      </c>
      <c r="Q28" s="51">
        <v>12</v>
      </c>
      <c r="R28" s="51">
        <v>12</v>
      </c>
      <c r="S28" s="51">
        <v>12</v>
      </c>
      <c r="T28" s="51">
        <v>12</v>
      </c>
      <c r="U28" s="51">
        <v>12</v>
      </c>
      <c r="V28" s="51">
        <v>12</v>
      </c>
      <c r="W28" s="51">
        <v>12</v>
      </c>
      <c r="X28" s="51">
        <v>12</v>
      </c>
      <c r="Y28" s="51">
        <v>12</v>
      </c>
      <c r="Z28" s="51">
        <v>12</v>
      </c>
      <c r="AA28" s="51">
        <v>12</v>
      </c>
      <c r="AB28" s="51">
        <v>12</v>
      </c>
      <c r="AC28" s="51">
        <v>12</v>
      </c>
      <c r="AD28" s="51">
        <v>12</v>
      </c>
      <c r="AE28" s="51">
        <v>12</v>
      </c>
      <c r="AF28" s="51">
        <v>12</v>
      </c>
      <c r="AG28" s="59">
        <v>22.2</v>
      </c>
      <c r="AH28" s="55">
        <f t="shared" si="2"/>
        <v>12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13</v>
      </c>
      <c r="C29" s="51">
        <v>13</v>
      </c>
      <c r="D29" s="51">
        <v>13</v>
      </c>
      <c r="E29" s="51">
        <v>13</v>
      </c>
      <c r="F29" s="51">
        <v>13</v>
      </c>
      <c r="G29" s="51">
        <v>13</v>
      </c>
      <c r="H29" s="51">
        <v>13</v>
      </c>
      <c r="I29" s="51">
        <v>13</v>
      </c>
      <c r="J29" s="51">
        <v>13</v>
      </c>
      <c r="K29" s="51">
        <v>13</v>
      </c>
      <c r="L29" s="51">
        <v>13</v>
      </c>
      <c r="M29" s="51">
        <v>13</v>
      </c>
      <c r="N29" s="51">
        <v>13</v>
      </c>
      <c r="O29" s="51">
        <v>13</v>
      </c>
      <c r="P29" s="51">
        <v>13</v>
      </c>
      <c r="Q29" s="51">
        <v>13</v>
      </c>
      <c r="R29" s="51">
        <v>13</v>
      </c>
      <c r="S29" s="51">
        <v>13</v>
      </c>
      <c r="T29" s="51">
        <v>13</v>
      </c>
      <c r="U29" s="51">
        <v>13</v>
      </c>
      <c r="V29" s="51">
        <v>13</v>
      </c>
      <c r="W29" s="51">
        <v>13</v>
      </c>
      <c r="X29" s="51">
        <v>13</v>
      </c>
      <c r="Y29" s="51">
        <v>13</v>
      </c>
      <c r="Z29" s="51">
        <v>13</v>
      </c>
      <c r="AA29" s="51">
        <v>13</v>
      </c>
      <c r="AB29" s="51">
        <v>13</v>
      </c>
      <c r="AC29" s="51">
        <v>13</v>
      </c>
      <c r="AD29" s="51">
        <v>13</v>
      </c>
      <c r="AE29" s="51">
        <v>13</v>
      </c>
      <c r="AF29" s="51">
        <v>13</v>
      </c>
      <c r="AG29" s="59">
        <v>22.1</v>
      </c>
      <c r="AH29" s="55">
        <f t="shared" si="2"/>
        <v>13</v>
      </c>
      <c r="AI29" s="56">
        <f t="shared" si="3"/>
        <v>13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11</v>
      </c>
      <c r="U32" s="51">
        <v>11</v>
      </c>
      <c r="V32" s="51">
        <v>11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11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51">
        <v>0</v>
      </c>
      <c r="G34" s="51">
        <v>0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4">
        <v>20</v>
      </c>
      <c r="AH34" s="55">
        <f t="shared" si="2"/>
        <v>9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8</v>
      </c>
      <c r="N35" s="51">
        <v>8</v>
      </c>
      <c r="O35" s="51">
        <v>8</v>
      </c>
      <c r="P35" s="51">
        <v>8</v>
      </c>
      <c r="Q35" s="51">
        <v>8</v>
      </c>
      <c r="R35" s="51">
        <v>8</v>
      </c>
      <c r="S35" s="51">
        <v>8</v>
      </c>
      <c r="T35" s="51">
        <v>8</v>
      </c>
      <c r="U35" s="51">
        <v>8</v>
      </c>
      <c r="V35" s="51">
        <v>8</v>
      </c>
      <c r="W35" s="51">
        <v>8</v>
      </c>
      <c r="X35" s="51">
        <v>8</v>
      </c>
      <c r="Y35" s="51">
        <v>8</v>
      </c>
      <c r="Z35" s="51">
        <v>8</v>
      </c>
      <c r="AA35" s="51">
        <v>8</v>
      </c>
      <c r="AB35" s="51">
        <v>8</v>
      </c>
      <c r="AC35" s="51">
        <v>8</v>
      </c>
      <c r="AD35" s="51">
        <v>8</v>
      </c>
      <c r="AE35" s="51">
        <v>8</v>
      </c>
      <c r="AF35" s="51">
        <v>8</v>
      </c>
      <c r="AG35" s="64">
        <v>15.33</v>
      </c>
      <c r="AH35" s="55">
        <f t="shared" si="2"/>
        <v>8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250</v>
      </c>
      <c r="G36" s="66">
        <v>250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250</v>
      </c>
      <c r="AK36" s="57"/>
    </row>
    <row r="37" spans="1:88" ht="15.75" thickBot="1" x14ac:dyDescent="0.3">
      <c r="A37" s="67" t="s">
        <v>45</v>
      </c>
      <c r="B37" s="68">
        <f>71.7+100.1</f>
        <v>171.8</v>
      </c>
      <c r="C37" s="68">
        <f>70.9+101.2</f>
        <v>172.10000000000002</v>
      </c>
      <c r="D37" s="68">
        <f>70.8+102.1</f>
        <v>172.89999999999998</v>
      </c>
      <c r="E37" s="66">
        <v>172</v>
      </c>
      <c r="F37" s="66">
        <f>71.3+96.3</f>
        <v>167.6</v>
      </c>
      <c r="G37" s="66">
        <f t="shared" ref="G37:I37" si="4">71.3+96.3</f>
        <v>167.6</v>
      </c>
      <c r="H37" s="66">
        <f t="shared" si="4"/>
        <v>167.6</v>
      </c>
      <c r="I37" s="66">
        <f t="shared" si="4"/>
        <v>167.6</v>
      </c>
      <c r="J37" s="66">
        <v>170</v>
      </c>
      <c r="K37" s="66">
        <v>171</v>
      </c>
      <c r="L37" s="66">
        <f>70.6+100.6</f>
        <v>171.2</v>
      </c>
      <c r="M37" s="66">
        <v>169</v>
      </c>
      <c r="N37" s="66">
        <f>70.4+99.1</f>
        <v>169.5</v>
      </c>
      <c r="O37" s="66">
        <f>69.6+96.4</f>
        <v>166</v>
      </c>
      <c r="P37" s="66"/>
      <c r="Q37" s="66">
        <v>165</v>
      </c>
      <c r="R37" s="66">
        <f>34.9+68.1</f>
        <v>103</v>
      </c>
      <c r="S37" s="66">
        <f>96.7+34.8</f>
        <v>131.5</v>
      </c>
      <c r="T37" s="68">
        <f>97+35.1</f>
        <v>132.1</v>
      </c>
      <c r="U37" s="68">
        <f>97.6+33.7</f>
        <v>131.30000000000001</v>
      </c>
      <c r="V37" s="68">
        <f>97.3+33.7</f>
        <v>131</v>
      </c>
      <c r="W37" s="68">
        <f>33.7+98.3</f>
        <v>132</v>
      </c>
      <c r="X37" s="68">
        <f>98.5+33.5</f>
        <v>132</v>
      </c>
      <c r="Y37" s="68">
        <f>33.4+97.8</f>
        <v>131.19999999999999</v>
      </c>
      <c r="Z37" s="68">
        <f>33.2+97.8</f>
        <v>131</v>
      </c>
      <c r="AA37" s="68">
        <f>33.2+97.8</f>
        <v>131</v>
      </c>
      <c r="AB37" s="68">
        <v>132</v>
      </c>
      <c r="AC37" s="68">
        <f>67+97.2</f>
        <v>164.2</v>
      </c>
      <c r="AD37" s="68">
        <f>67.1+97.6</f>
        <v>164.7</v>
      </c>
      <c r="AE37" s="68">
        <f>67.1+98.8</f>
        <v>165.89999999999998</v>
      </c>
      <c r="AF37" s="68">
        <f>68.4+99.5</f>
        <v>167.9</v>
      </c>
      <c r="AG37" s="64">
        <v>240</v>
      </c>
      <c r="AH37" s="55">
        <f t="shared" si="2"/>
        <v>172.89999999999998</v>
      </c>
      <c r="AI37" s="56">
        <f t="shared" si="3"/>
        <v>103</v>
      </c>
      <c r="AK37" s="57"/>
    </row>
    <row r="38" spans="1:88" ht="15.75" thickBot="1" x14ac:dyDescent="0.3">
      <c r="A38" s="69" t="s">
        <v>46</v>
      </c>
      <c r="B38" s="70">
        <f t="shared" ref="B38:L38" si="5">SUM(B11:B36)</f>
        <v>1290.0999999999999</v>
      </c>
      <c r="C38" s="70">
        <f t="shared" si="5"/>
        <v>1270.1999999999998</v>
      </c>
      <c r="D38" s="70">
        <f t="shared" si="5"/>
        <v>1269.8999999999999</v>
      </c>
      <c r="E38" s="70">
        <f t="shared" si="5"/>
        <v>1269.8999999999999</v>
      </c>
      <c r="F38" s="70">
        <f t="shared" si="5"/>
        <v>1163.8999999999999</v>
      </c>
      <c r="G38" s="70">
        <f t="shared" si="5"/>
        <v>1168.8999999999999</v>
      </c>
      <c r="H38" s="70">
        <f t="shared" si="5"/>
        <v>1287.8999999999999</v>
      </c>
      <c r="I38" s="70">
        <f t="shared" si="5"/>
        <v>1289.8999999999999</v>
      </c>
      <c r="J38" s="70">
        <f t="shared" si="5"/>
        <v>1289.8999999999999</v>
      </c>
      <c r="K38" s="70">
        <f t="shared" si="5"/>
        <v>1296.8999999999999</v>
      </c>
      <c r="L38" s="70">
        <f t="shared" si="5"/>
        <v>1296.8999999999999</v>
      </c>
      <c r="M38" s="70">
        <f t="shared" ref="M38:S38" si="6">SUM(M11:M36)</f>
        <v>1304.8999999999999</v>
      </c>
      <c r="N38" s="70">
        <f t="shared" si="6"/>
        <v>1304.8999999999999</v>
      </c>
      <c r="O38" s="70">
        <f t="shared" si="6"/>
        <v>1304.8999999999999</v>
      </c>
      <c r="P38" s="70">
        <f t="shared" si="6"/>
        <v>1304.8999999999999</v>
      </c>
      <c r="Q38" s="70">
        <f t="shared" si="6"/>
        <v>1305.9000000000001</v>
      </c>
      <c r="R38" s="70">
        <f t="shared" si="6"/>
        <v>1280.9000000000001</v>
      </c>
      <c r="S38" s="70">
        <f t="shared" si="6"/>
        <v>1280.9000000000001</v>
      </c>
      <c r="T38" s="70">
        <f t="shared" ref="T38:AF38" si="7">SUM(T11:T36)</f>
        <v>1280.9000000000001</v>
      </c>
      <c r="U38" s="70">
        <f t="shared" si="7"/>
        <v>1280.9000000000001</v>
      </c>
      <c r="V38" s="70">
        <f t="shared" si="7"/>
        <v>1280.9000000000001</v>
      </c>
      <c r="W38" s="70">
        <f t="shared" si="7"/>
        <v>1262.9000000000001</v>
      </c>
      <c r="X38" s="70">
        <f t="shared" si="7"/>
        <v>1262</v>
      </c>
      <c r="Y38" s="70">
        <f t="shared" si="7"/>
        <v>1262</v>
      </c>
      <c r="Z38" s="70">
        <f t="shared" si="7"/>
        <v>1262</v>
      </c>
      <c r="AA38" s="70">
        <f t="shared" si="7"/>
        <v>1273</v>
      </c>
      <c r="AB38" s="70">
        <f t="shared" si="7"/>
        <v>1299.1000000000001</v>
      </c>
      <c r="AC38" s="70">
        <f t="shared" si="7"/>
        <v>1299.1000000000001</v>
      </c>
      <c r="AD38" s="70">
        <f t="shared" si="7"/>
        <v>1299.1000000000001</v>
      </c>
      <c r="AE38" s="70">
        <f t="shared" si="7"/>
        <v>1299.1000000000001</v>
      </c>
      <c r="AF38" s="70">
        <f t="shared" si="7"/>
        <v>1299.1000000000001</v>
      </c>
      <c r="AG38" s="64">
        <f>SUM(AG11:AG37)</f>
        <v>1492.8299999999997</v>
      </c>
      <c r="AH38" s="55">
        <f t="shared" si="2"/>
        <v>1305.9000000000001</v>
      </c>
      <c r="AI38" s="56">
        <f t="shared" si="3"/>
        <v>1163.8999999999999</v>
      </c>
      <c r="AK38" s="57"/>
    </row>
    <row r="39" spans="1:88" x14ac:dyDescent="0.25">
      <c r="A39" s="58" t="s">
        <v>47</v>
      </c>
      <c r="B39" s="51">
        <v>143.69999999999999</v>
      </c>
      <c r="C39" s="51">
        <v>143.69999999999999</v>
      </c>
      <c r="D39" s="51">
        <v>143.5</v>
      </c>
      <c r="E39" s="51">
        <v>143.5</v>
      </c>
      <c r="F39" s="51">
        <v>143.5</v>
      </c>
      <c r="G39" s="51">
        <v>143.5</v>
      </c>
      <c r="H39" s="51">
        <v>110</v>
      </c>
      <c r="I39" s="51">
        <v>106</v>
      </c>
      <c r="J39" s="51">
        <v>106</v>
      </c>
      <c r="K39" s="51">
        <v>60</v>
      </c>
      <c r="L39" s="51">
        <v>0</v>
      </c>
      <c r="M39" s="51">
        <v>0</v>
      </c>
      <c r="N39" s="51">
        <v>96.5</v>
      </c>
      <c r="O39" s="51">
        <v>136.6</v>
      </c>
      <c r="P39" s="51">
        <v>135.6</v>
      </c>
      <c r="Q39" s="51">
        <v>135.6</v>
      </c>
      <c r="R39" s="51">
        <v>136.9</v>
      </c>
      <c r="S39" s="51">
        <v>136.9</v>
      </c>
      <c r="T39" s="51">
        <v>137.1</v>
      </c>
      <c r="U39" s="51">
        <v>137.1</v>
      </c>
      <c r="V39" s="51">
        <v>137.1</v>
      </c>
      <c r="W39" s="51">
        <v>137.9</v>
      </c>
      <c r="X39" s="51">
        <v>101.3</v>
      </c>
      <c r="Y39" s="51">
        <v>101.3</v>
      </c>
      <c r="Z39" s="51">
        <v>122.4</v>
      </c>
      <c r="AA39" s="51">
        <v>141.19999999999999</v>
      </c>
      <c r="AB39" s="51">
        <v>141</v>
      </c>
      <c r="AC39" s="51">
        <v>141</v>
      </c>
      <c r="AD39" s="51">
        <v>141</v>
      </c>
      <c r="AE39" s="51">
        <v>141.4</v>
      </c>
      <c r="AF39" s="51">
        <v>140.80000000000001</v>
      </c>
      <c r="AG39" s="60">
        <v>144</v>
      </c>
      <c r="AH39" s="55">
        <f t="shared" si="2"/>
        <v>143.69999999999999</v>
      </c>
      <c r="AI39" s="56">
        <f t="shared" si="3"/>
        <v>0</v>
      </c>
      <c r="AK39" s="57"/>
    </row>
    <row r="40" spans="1:88" x14ac:dyDescent="0.25">
      <c r="A40" s="63" t="s">
        <v>48</v>
      </c>
      <c r="B40" s="49">
        <v>70.900000000000006</v>
      </c>
      <c r="C40" s="49">
        <v>69.7</v>
      </c>
      <c r="D40" s="49">
        <v>70.3</v>
      </c>
      <c r="E40" s="49">
        <v>70.3</v>
      </c>
      <c r="F40" s="49">
        <v>70.3</v>
      </c>
      <c r="G40" s="49">
        <v>70.3</v>
      </c>
      <c r="H40" s="49">
        <v>71.599999999999994</v>
      </c>
      <c r="I40" s="49">
        <v>70.3</v>
      </c>
      <c r="J40" s="49">
        <v>70.3</v>
      </c>
      <c r="K40" s="49">
        <v>70.3</v>
      </c>
      <c r="L40" s="49">
        <v>70.3</v>
      </c>
      <c r="M40" s="51">
        <v>70.5</v>
      </c>
      <c r="N40" s="51">
        <v>70.5</v>
      </c>
      <c r="O40" s="51">
        <v>69.3</v>
      </c>
      <c r="P40" s="51">
        <v>70</v>
      </c>
      <c r="Q40" s="51">
        <v>71.8</v>
      </c>
      <c r="R40" s="51">
        <v>69.7</v>
      </c>
      <c r="S40" s="51">
        <v>69.7</v>
      </c>
      <c r="T40" s="51">
        <v>70</v>
      </c>
      <c r="U40" s="51">
        <v>70</v>
      </c>
      <c r="V40" s="51">
        <v>70</v>
      </c>
      <c r="W40" s="51">
        <v>70</v>
      </c>
      <c r="X40" s="51">
        <v>70</v>
      </c>
      <c r="Y40" s="51">
        <v>70</v>
      </c>
      <c r="Z40" s="49">
        <v>70</v>
      </c>
      <c r="AA40" s="49">
        <v>70</v>
      </c>
      <c r="AB40" s="49">
        <v>70.3</v>
      </c>
      <c r="AC40" s="49">
        <v>70.3</v>
      </c>
      <c r="AD40" s="49">
        <v>70.3</v>
      </c>
      <c r="AE40" s="49">
        <v>70.8</v>
      </c>
      <c r="AF40" s="49">
        <v>72</v>
      </c>
      <c r="AG40" s="64">
        <v>70</v>
      </c>
      <c r="AH40" s="55">
        <f t="shared" si="2"/>
        <v>72</v>
      </c>
      <c r="AI40" s="56">
        <f t="shared" si="3"/>
        <v>69.3</v>
      </c>
      <c r="AK40" s="57"/>
    </row>
    <row r="41" spans="1:88" x14ac:dyDescent="0.25">
      <c r="A41" s="63" t="s">
        <v>49</v>
      </c>
      <c r="B41" s="49">
        <v>61.6</v>
      </c>
      <c r="C41" s="49">
        <v>61.8</v>
      </c>
      <c r="D41" s="49">
        <v>61.8</v>
      </c>
      <c r="E41" s="49">
        <v>61.8</v>
      </c>
      <c r="F41" s="49">
        <v>61.8</v>
      </c>
      <c r="G41" s="49">
        <v>61.8</v>
      </c>
      <c r="H41" s="49">
        <v>45.9</v>
      </c>
      <c r="I41" s="49">
        <v>45.9</v>
      </c>
      <c r="J41" s="49">
        <v>45.9</v>
      </c>
      <c r="K41" s="49">
        <v>45.9</v>
      </c>
      <c r="L41" s="49">
        <v>45.9</v>
      </c>
      <c r="M41" s="51">
        <v>46</v>
      </c>
      <c r="N41" s="51">
        <v>46</v>
      </c>
      <c r="O41" s="51">
        <v>45.6</v>
      </c>
      <c r="P41" s="51">
        <v>46</v>
      </c>
      <c r="Q41" s="51">
        <v>46</v>
      </c>
      <c r="R41" s="51">
        <v>45.8</v>
      </c>
      <c r="S41" s="51">
        <v>45.8</v>
      </c>
      <c r="T41" s="51">
        <v>46.5</v>
      </c>
      <c r="U41" s="51">
        <v>46.5</v>
      </c>
      <c r="V41" s="51">
        <v>46.5</v>
      </c>
      <c r="W41" s="51">
        <v>46.5</v>
      </c>
      <c r="X41" s="51">
        <v>46.5</v>
      </c>
      <c r="Y41" s="51">
        <v>46.5</v>
      </c>
      <c r="Z41" s="49">
        <v>46.5</v>
      </c>
      <c r="AA41" s="49">
        <v>46.5</v>
      </c>
      <c r="AB41" s="49">
        <v>46.3</v>
      </c>
      <c r="AC41" s="49">
        <v>46.3</v>
      </c>
      <c r="AD41" s="49">
        <v>46.3</v>
      </c>
      <c r="AE41" s="49">
        <v>46.6</v>
      </c>
      <c r="AF41" s="49">
        <v>40</v>
      </c>
      <c r="AG41" s="64">
        <v>69</v>
      </c>
      <c r="AH41" s="55">
        <f t="shared" si="2"/>
        <v>61.8</v>
      </c>
      <c r="AI41" s="56">
        <f t="shared" si="3"/>
        <v>40</v>
      </c>
      <c r="AK41" s="57"/>
    </row>
    <row r="42" spans="1:88" x14ac:dyDescent="0.25">
      <c r="A42" s="63" t="s">
        <v>50</v>
      </c>
      <c r="B42" s="66">
        <v>60.9</v>
      </c>
      <c r="C42" s="66">
        <v>60</v>
      </c>
      <c r="D42" s="66">
        <v>60</v>
      </c>
      <c r="E42" s="66">
        <v>60</v>
      </c>
      <c r="F42" s="66">
        <v>60</v>
      </c>
      <c r="G42" s="66">
        <v>60</v>
      </c>
      <c r="H42" s="66">
        <v>60.7</v>
      </c>
      <c r="I42" s="66">
        <v>60</v>
      </c>
      <c r="J42" s="66">
        <v>60</v>
      </c>
      <c r="K42" s="66">
        <v>60</v>
      </c>
      <c r="L42" s="66">
        <v>60</v>
      </c>
      <c r="M42" s="51">
        <v>60</v>
      </c>
      <c r="N42" s="51">
        <v>60</v>
      </c>
      <c r="O42" s="51">
        <v>60.2</v>
      </c>
      <c r="P42" s="51">
        <v>60.2</v>
      </c>
      <c r="Q42" s="51">
        <v>60.7</v>
      </c>
      <c r="R42" s="51">
        <v>60.2</v>
      </c>
      <c r="S42" s="51">
        <v>60.2</v>
      </c>
      <c r="T42" s="51">
        <v>60</v>
      </c>
      <c r="U42" s="51">
        <v>60</v>
      </c>
      <c r="V42" s="51">
        <v>60</v>
      </c>
      <c r="W42" s="51">
        <v>60</v>
      </c>
      <c r="X42" s="51">
        <v>60</v>
      </c>
      <c r="Y42" s="51">
        <v>60</v>
      </c>
      <c r="Z42" s="49">
        <v>60</v>
      </c>
      <c r="AA42" s="49">
        <v>60</v>
      </c>
      <c r="AB42" s="66">
        <v>60.7</v>
      </c>
      <c r="AC42" s="66">
        <v>60.7</v>
      </c>
      <c r="AD42" s="66">
        <v>60.7</v>
      </c>
      <c r="AE42" s="66">
        <v>60.9</v>
      </c>
      <c r="AF42" s="66">
        <v>60.9</v>
      </c>
      <c r="AG42" s="64">
        <v>60</v>
      </c>
      <c r="AH42" s="55">
        <f t="shared" si="2"/>
        <v>60.9</v>
      </c>
      <c r="AI42" s="56">
        <f t="shared" si="3"/>
        <v>60</v>
      </c>
      <c r="AK42" s="57"/>
    </row>
    <row r="43" spans="1:88" x14ac:dyDescent="0.25">
      <c r="A43" s="63" t="s">
        <v>51</v>
      </c>
      <c r="B43" s="66">
        <v>29.1</v>
      </c>
      <c r="C43" s="66">
        <v>29.2</v>
      </c>
      <c r="D43" s="66">
        <v>14.5</v>
      </c>
      <c r="E43" s="66">
        <v>14.5</v>
      </c>
      <c r="F43" s="66">
        <v>14.5</v>
      </c>
      <c r="G43" s="66">
        <v>14.5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51">
        <v>15</v>
      </c>
      <c r="N43" s="51">
        <v>15</v>
      </c>
      <c r="O43" s="51">
        <v>19.399999999999999</v>
      </c>
      <c r="P43" s="51">
        <v>19.399999999999999</v>
      </c>
      <c r="Q43" s="51">
        <v>29</v>
      </c>
      <c r="R43" s="51">
        <v>29</v>
      </c>
      <c r="S43" s="51">
        <v>29</v>
      </c>
      <c r="T43" s="51">
        <v>15</v>
      </c>
      <c r="U43" s="51">
        <v>15</v>
      </c>
      <c r="V43" s="51">
        <v>30</v>
      </c>
      <c r="W43" s="51">
        <v>30</v>
      </c>
      <c r="X43" s="51">
        <v>30</v>
      </c>
      <c r="Y43" s="51">
        <v>30</v>
      </c>
      <c r="Z43" s="49">
        <v>0</v>
      </c>
      <c r="AA43" s="49">
        <v>14</v>
      </c>
      <c r="AB43" s="66">
        <v>29.2</v>
      </c>
      <c r="AC43" s="66">
        <v>29.2</v>
      </c>
      <c r="AD43" s="66">
        <v>29.2</v>
      </c>
      <c r="AE43" s="66">
        <v>29.1</v>
      </c>
      <c r="AF43" s="66">
        <v>29.1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51">
        <v>2.8</v>
      </c>
      <c r="N44" s="51">
        <v>2.9</v>
      </c>
      <c r="O44" s="51">
        <v>0</v>
      </c>
      <c r="P44" s="51">
        <v>0</v>
      </c>
      <c r="Q44" s="51">
        <v>0</v>
      </c>
      <c r="R44" s="51">
        <v>0</v>
      </c>
      <c r="S44" s="51">
        <v>10</v>
      </c>
      <c r="T44" s="51">
        <v>10</v>
      </c>
      <c r="U44" s="51">
        <v>10</v>
      </c>
      <c r="V44" s="51">
        <v>10</v>
      </c>
      <c r="W44" s="51">
        <v>10</v>
      </c>
      <c r="X44" s="51">
        <v>10</v>
      </c>
      <c r="Y44" s="51">
        <v>10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10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16.8</v>
      </c>
      <c r="C45" s="49">
        <v>12.2</v>
      </c>
      <c r="D45" s="49">
        <v>17.3</v>
      </c>
      <c r="E45" s="49">
        <v>17.3</v>
      </c>
      <c r="F45" s="49">
        <v>17.3</v>
      </c>
      <c r="G45" s="49">
        <v>17.3</v>
      </c>
      <c r="H45" s="49">
        <v>13.3</v>
      </c>
      <c r="I45" s="49">
        <v>13.3</v>
      </c>
      <c r="J45" s="49">
        <v>13.3</v>
      </c>
      <c r="K45" s="49">
        <v>13.3</v>
      </c>
      <c r="L45" s="49">
        <v>13.3</v>
      </c>
      <c r="M45" s="51">
        <v>13.3</v>
      </c>
      <c r="N45" s="51">
        <v>13.3</v>
      </c>
      <c r="O45" s="51">
        <v>17</v>
      </c>
      <c r="P45" s="51">
        <v>17</v>
      </c>
      <c r="Q45" s="51">
        <v>13.6</v>
      </c>
      <c r="R45" s="51">
        <v>13.6</v>
      </c>
      <c r="S45" s="51">
        <v>13.6</v>
      </c>
      <c r="T45" s="51">
        <v>13.6</v>
      </c>
      <c r="U45" s="51">
        <v>13.6</v>
      </c>
      <c r="V45" s="51">
        <v>13.6</v>
      </c>
      <c r="W45" s="51">
        <v>13.6</v>
      </c>
      <c r="X45" s="51">
        <v>16.3</v>
      </c>
      <c r="Y45" s="51">
        <v>16.3</v>
      </c>
      <c r="Z45" s="51">
        <v>16.3</v>
      </c>
      <c r="AA45" s="51">
        <v>16.3</v>
      </c>
      <c r="AB45" s="49">
        <v>16.3</v>
      </c>
      <c r="AC45" s="49">
        <v>16.3</v>
      </c>
      <c r="AD45" s="49">
        <v>16.3</v>
      </c>
      <c r="AE45" s="49">
        <v>16.399999999999999</v>
      </c>
      <c r="AF45" s="49">
        <v>16.399999999999999</v>
      </c>
      <c r="AG45" s="64">
        <v>24</v>
      </c>
      <c r="AH45" s="55">
        <f t="shared" si="2"/>
        <v>17.3</v>
      </c>
      <c r="AI45" s="56">
        <f t="shared" si="3"/>
        <v>12.2</v>
      </c>
      <c r="AK45" s="57"/>
    </row>
    <row r="46" spans="1:88" x14ac:dyDescent="0.25">
      <c r="A46" s="63" t="s">
        <v>54</v>
      </c>
      <c r="B46" s="49">
        <v>2.7</v>
      </c>
      <c r="C46" s="49">
        <v>2.7</v>
      </c>
      <c r="D46" s="49">
        <v>2.7</v>
      </c>
      <c r="E46" s="49">
        <v>2.7</v>
      </c>
      <c r="F46" s="49">
        <v>2.7</v>
      </c>
      <c r="G46" s="49">
        <v>2.7</v>
      </c>
      <c r="H46" s="49">
        <v>2.7</v>
      </c>
      <c r="I46" s="49">
        <v>2.7</v>
      </c>
      <c r="J46" s="49">
        <v>2.7</v>
      </c>
      <c r="K46" s="49">
        <v>2.7</v>
      </c>
      <c r="L46" s="49">
        <v>2.7</v>
      </c>
      <c r="M46" s="51">
        <v>2.7</v>
      </c>
      <c r="N46" s="51">
        <v>2.7</v>
      </c>
      <c r="O46" s="51">
        <v>2.7</v>
      </c>
      <c r="P46" s="51">
        <v>2.7</v>
      </c>
      <c r="Q46" s="51">
        <v>2.6</v>
      </c>
      <c r="R46" s="51">
        <v>2.6</v>
      </c>
      <c r="S46" s="51">
        <v>0</v>
      </c>
      <c r="T46" s="51">
        <v>0</v>
      </c>
      <c r="U46" s="51">
        <v>0</v>
      </c>
      <c r="V46" s="51">
        <v>0</v>
      </c>
      <c r="W46" s="51">
        <v>2.2000000000000002</v>
      </c>
      <c r="X46" s="51">
        <v>2.2000000000000002</v>
      </c>
      <c r="Y46" s="51">
        <v>2.2000000000000002</v>
      </c>
      <c r="Z46" s="51">
        <v>2.2000000000000002</v>
      </c>
      <c r="AA46" s="51">
        <v>2.2000000000000002</v>
      </c>
      <c r="AB46" s="49">
        <v>2.2000000000000002</v>
      </c>
      <c r="AC46" s="49">
        <v>2.2000000000000002</v>
      </c>
      <c r="AD46" s="49">
        <v>2.2000000000000002</v>
      </c>
      <c r="AE46" s="49">
        <v>2.2000000000000002</v>
      </c>
      <c r="AF46" s="49">
        <v>2.2000000000000002</v>
      </c>
      <c r="AG46" s="64">
        <v>15</v>
      </c>
      <c r="AH46" s="55">
        <f t="shared" si="2"/>
        <v>2.7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0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3.8</v>
      </c>
      <c r="I47" s="49">
        <v>3.8</v>
      </c>
      <c r="J47" s="49">
        <v>3.8</v>
      </c>
      <c r="K47" s="49">
        <v>3.8</v>
      </c>
      <c r="L47" s="49">
        <v>3.8</v>
      </c>
      <c r="M47" s="51">
        <v>3.8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14.1</v>
      </c>
      <c r="T47" s="51">
        <v>14.1</v>
      </c>
      <c r="U47" s="51">
        <v>11.5</v>
      </c>
      <c r="V47" s="51">
        <v>11.5</v>
      </c>
      <c r="W47" s="51">
        <v>11.5</v>
      </c>
      <c r="X47" s="51">
        <v>12.2</v>
      </c>
      <c r="Y47" s="51">
        <v>12.2</v>
      </c>
      <c r="Z47" s="51">
        <v>12.2</v>
      </c>
      <c r="AA47" s="51">
        <v>12.2</v>
      </c>
      <c r="AB47" s="49">
        <v>12.2</v>
      </c>
      <c r="AC47" s="49">
        <v>12.2</v>
      </c>
      <c r="AD47" s="49">
        <v>12.2</v>
      </c>
      <c r="AE47" s="49">
        <v>12.5</v>
      </c>
      <c r="AF47" s="49">
        <v>12.5</v>
      </c>
      <c r="AG47" s="64">
        <v>14.1</v>
      </c>
      <c r="AH47" s="55">
        <f t="shared" si="2"/>
        <v>14.1</v>
      </c>
      <c r="AI47" s="56">
        <f t="shared" si="3"/>
        <v>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13.3</v>
      </c>
      <c r="C48" s="49">
        <v>4.9000000000000004</v>
      </c>
      <c r="D48" s="49">
        <v>13.1</v>
      </c>
      <c r="E48" s="49">
        <v>13.1</v>
      </c>
      <c r="F48" s="49">
        <v>0</v>
      </c>
      <c r="G48" s="49">
        <v>0</v>
      </c>
      <c r="H48" s="49">
        <v>6.5</v>
      </c>
      <c r="I48" s="49">
        <v>6.4</v>
      </c>
      <c r="J48" s="49">
        <v>6.4</v>
      </c>
      <c r="K48" s="49">
        <v>6.4</v>
      </c>
      <c r="L48" s="49">
        <v>13.5</v>
      </c>
      <c r="M48" s="51">
        <v>13.5</v>
      </c>
      <c r="N48" s="51">
        <v>13.5</v>
      </c>
      <c r="O48" s="51">
        <v>13.5</v>
      </c>
      <c r="P48" s="51">
        <v>13.5</v>
      </c>
      <c r="Q48" s="51">
        <v>13.6</v>
      </c>
      <c r="R48" s="51">
        <v>13.6</v>
      </c>
      <c r="S48" s="51">
        <v>13.6</v>
      </c>
      <c r="T48" s="51">
        <v>13.6</v>
      </c>
      <c r="U48" s="51">
        <v>7</v>
      </c>
      <c r="V48" s="51">
        <v>7</v>
      </c>
      <c r="W48" s="51">
        <v>7</v>
      </c>
      <c r="X48" s="51">
        <v>7</v>
      </c>
      <c r="Y48" s="51">
        <v>7</v>
      </c>
      <c r="Z48" s="51">
        <v>13.7</v>
      </c>
      <c r="AA48" s="51">
        <v>13.7</v>
      </c>
      <c r="AB48" s="49">
        <v>13.6</v>
      </c>
      <c r="AC48" s="49">
        <v>13.6</v>
      </c>
      <c r="AD48" s="49">
        <v>13.6</v>
      </c>
      <c r="AE48" s="49">
        <v>13.7</v>
      </c>
      <c r="AF48" s="49">
        <v>13.7</v>
      </c>
      <c r="AG48" s="64">
        <v>14</v>
      </c>
      <c r="AH48" s="55">
        <f t="shared" si="2"/>
        <v>13.7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9.3000000000000007</v>
      </c>
      <c r="C49" s="49">
        <v>9.3000000000000007</v>
      </c>
      <c r="D49" s="49">
        <v>9.3000000000000007</v>
      </c>
      <c r="E49" s="49">
        <v>9.3000000000000007</v>
      </c>
      <c r="F49" s="49">
        <v>9.3000000000000007</v>
      </c>
      <c r="G49" s="49">
        <v>9.3000000000000007</v>
      </c>
      <c r="H49" s="49">
        <v>9.3000000000000007</v>
      </c>
      <c r="I49" s="49">
        <v>9.3000000000000007</v>
      </c>
      <c r="J49" s="49">
        <v>9.3000000000000007</v>
      </c>
      <c r="K49" s="49">
        <v>9.3000000000000007</v>
      </c>
      <c r="L49" s="49">
        <v>9.3000000000000007</v>
      </c>
      <c r="M49" s="51">
        <v>9.3000000000000007</v>
      </c>
      <c r="N49" s="51">
        <v>9.3000000000000007</v>
      </c>
      <c r="O49" s="51">
        <v>9.6</v>
      </c>
      <c r="P49" s="51">
        <v>9.6</v>
      </c>
      <c r="Q49" s="51">
        <v>9.6</v>
      </c>
      <c r="R49" s="51">
        <v>9.6</v>
      </c>
      <c r="S49" s="51">
        <v>9.6</v>
      </c>
      <c r="T49" s="51">
        <v>9.6</v>
      </c>
      <c r="U49" s="51">
        <v>9.6</v>
      </c>
      <c r="V49" s="51">
        <v>9.6</v>
      </c>
      <c r="W49" s="51">
        <v>9.6</v>
      </c>
      <c r="X49" s="51">
        <v>9.6</v>
      </c>
      <c r="Y49" s="51">
        <v>9.6</v>
      </c>
      <c r="Z49" s="51">
        <v>9.6</v>
      </c>
      <c r="AA49" s="51">
        <v>9.6</v>
      </c>
      <c r="AB49" s="49">
        <v>9.6</v>
      </c>
      <c r="AC49" s="49">
        <v>9.6</v>
      </c>
      <c r="AD49" s="49">
        <v>9.6</v>
      </c>
      <c r="AE49" s="49">
        <v>9.5</v>
      </c>
      <c r="AF49" s="49">
        <v>9.5</v>
      </c>
      <c r="AG49" s="64">
        <v>10.050000000000001</v>
      </c>
      <c r="AH49" s="55">
        <f t="shared" si="2"/>
        <v>9.6</v>
      </c>
      <c r="AI49" s="56">
        <f t="shared" si="3"/>
        <v>9.3000000000000007</v>
      </c>
      <c r="AK49" s="57"/>
    </row>
    <row r="50" spans="1:37" x14ac:dyDescent="0.25">
      <c r="A50" s="63" t="s">
        <v>58</v>
      </c>
      <c r="B50" s="49">
        <v>6.2</v>
      </c>
      <c r="C50" s="49">
        <v>6.2</v>
      </c>
      <c r="D50" s="49">
        <v>6.2</v>
      </c>
      <c r="E50" s="49">
        <v>6.2</v>
      </c>
      <c r="F50" s="49">
        <v>6.2</v>
      </c>
      <c r="G50" s="49">
        <v>6.2</v>
      </c>
      <c r="H50" s="49">
        <v>6.2</v>
      </c>
      <c r="I50" s="49">
        <v>6.2</v>
      </c>
      <c r="J50" s="49">
        <v>6.2</v>
      </c>
      <c r="K50" s="49">
        <v>6.2</v>
      </c>
      <c r="L50" s="49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49">
        <v>6.2</v>
      </c>
      <c r="AC50" s="49">
        <v>6.2</v>
      </c>
      <c r="AD50" s="49">
        <v>6.2</v>
      </c>
      <c r="AE50" s="49">
        <v>6.2</v>
      </c>
      <c r="AF50" s="49">
        <v>6.2</v>
      </c>
      <c r="AG50" s="64">
        <v>6.2</v>
      </c>
      <c r="AH50" s="55">
        <f t="shared" si="2"/>
        <v>6.2</v>
      </c>
      <c r="AI50" s="56">
        <f t="shared" si="3"/>
        <v>6.2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8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:C52" si="9">SUM(B39:B51)</f>
        <v>418.04</v>
      </c>
      <c r="C52" s="70">
        <f t="shared" si="9"/>
        <v>403.23999999999995</v>
      </c>
      <c r="D52" s="70">
        <f t="shared" ref="D52:AF52" si="10">SUM(D39:D51)</f>
        <v>402.24000000000007</v>
      </c>
      <c r="E52" s="70">
        <f t="shared" si="10"/>
        <v>402.24000000000007</v>
      </c>
      <c r="F52" s="70">
        <f t="shared" si="10"/>
        <v>389.14000000000004</v>
      </c>
      <c r="G52" s="70">
        <f t="shared" si="10"/>
        <v>389.14000000000004</v>
      </c>
      <c r="H52" s="70">
        <f t="shared" si="10"/>
        <v>333.54</v>
      </c>
      <c r="I52" s="70">
        <f t="shared" si="10"/>
        <v>327.44000000000005</v>
      </c>
      <c r="J52" s="70">
        <f t="shared" si="10"/>
        <v>327.44000000000005</v>
      </c>
      <c r="K52" s="70">
        <f t="shared" si="10"/>
        <v>281.44</v>
      </c>
      <c r="L52" s="70">
        <f t="shared" si="10"/>
        <v>228.54</v>
      </c>
      <c r="M52" s="70">
        <f t="shared" si="10"/>
        <v>246.64000000000001</v>
      </c>
      <c r="N52" s="70">
        <f t="shared" si="10"/>
        <v>339.44</v>
      </c>
      <c r="O52" s="70">
        <f t="shared" si="10"/>
        <v>383.64</v>
      </c>
      <c r="P52" s="70">
        <f t="shared" si="10"/>
        <v>383.74</v>
      </c>
      <c r="Q52" s="70">
        <f t="shared" si="10"/>
        <v>392.24000000000007</v>
      </c>
      <c r="R52" s="70">
        <f t="shared" si="10"/>
        <v>390.74000000000012</v>
      </c>
      <c r="S52" s="70">
        <f t="shared" si="10"/>
        <v>412.24000000000012</v>
      </c>
      <c r="T52" s="70">
        <f t="shared" si="10"/>
        <v>399.24000000000012</v>
      </c>
      <c r="U52" s="70">
        <f t="shared" si="10"/>
        <v>390.04000000000008</v>
      </c>
      <c r="V52" s="70">
        <f t="shared" si="10"/>
        <v>405.04000000000008</v>
      </c>
      <c r="W52" s="70">
        <f t="shared" si="10"/>
        <v>408.04</v>
      </c>
      <c r="X52" s="70">
        <f t="shared" si="10"/>
        <v>374.84000000000003</v>
      </c>
      <c r="Y52" s="70">
        <f t="shared" si="10"/>
        <v>374.84000000000003</v>
      </c>
      <c r="Z52" s="70">
        <f t="shared" si="10"/>
        <v>362.64</v>
      </c>
      <c r="AA52" s="70">
        <f t="shared" si="10"/>
        <v>395.44</v>
      </c>
      <c r="AB52" s="70">
        <f t="shared" si="10"/>
        <v>411.14000000000004</v>
      </c>
      <c r="AC52" s="70">
        <f t="shared" si="10"/>
        <v>411.14000000000004</v>
      </c>
      <c r="AD52" s="70">
        <f t="shared" si="10"/>
        <v>411.14000000000004</v>
      </c>
      <c r="AE52" s="70">
        <f t="shared" si="10"/>
        <v>412.84</v>
      </c>
      <c r="AF52" s="70">
        <f t="shared" si="10"/>
        <v>406.84</v>
      </c>
      <c r="AG52" s="74">
        <f>SUM(AG39:AG51)</f>
        <v>489.91</v>
      </c>
      <c r="AH52" s="55">
        <f t="shared" si="2"/>
        <v>418.04</v>
      </c>
      <c r="AI52" s="56">
        <f t="shared" si="3"/>
        <v>228.54</v>
      </c>
      <c r="AK52" s="57"/>
    </row>
    <row r="53" spans="1:37" x14ac:dyDescent="0.25">
      <c r="A53" s="58" t="s">
        <v>61</v>
      </c>
      <c r="B53" s="51">
        <v>15</v>
      </c>
      <c r="C53" s="51">
        <v>29.8</v>
      </c>
      <c r="D53" s="51">
        <v>0</v>
      </c>
      <c r="E53" s="51">
        <v>0</v>
      </c>
      <c r="F53" s="51">
        <v>50</v>
      </c>
      <c r="G53" s="51">
        <v>10</v>
      </c>
      <c r="H53" s="51">
        <v>0</v>
      </c>
      <c r="I53" s="51">
        <v>0</v>
      </c>
      <c r="J53" s="51">
        <v>0</v>
      </c>
      <c r="K53" s="51">
        <v>15</v>
      </c>
      <c r="L53" s="51">
        <v>30</v>
      </c>
      <c r="M53" s="51">
        <v>44</v>
      </c>
      <c r="N53" s="51">
        <v>50</v>
      </c>
      <c r="O53" s="51">
        <v>13.5</v>
      </c>
      <c r="P53" s="51">
        <v>10.5</v>
      </c>
      <c r="Q53" s="51">
        <v>0</v>
      </c>
      <c r="R53" s="51">
        <v>30</v>
      </c>
      <c r="S53" s="51">
        <v>20</v>
      </c>
      <c r="T53" s="51">
        <v>9.8000000000000007</v>
      </c>
      <c r="U53" s="51">
        <v>10</v>
      </c>
      <c r="V53" s="51">
        <v>0</v>
      </c>
      <c r="W53" s="51">
        <v>0</v>
      </c>
      <c r="X53" s="51">
        <v>14.3</v>
      </c>
      <c r="Y53" s="51">
        <v>13.2</v>
      </c>
      <c r="Z53" s="51">
        <v>20</v>
      </c>
      <c r="AA53" s="51">
        <v>59.4</v>
      </c>
      <c r="AB53" s="51">
        <v>34.200000000000003</v>
      </c>
      <c r="AC53" s="51">
        <v>48.8</v>
      </c>
      <c r="AD53" s="51">
        <v>40.9</v>
      </c>
      <c r="AE53" s="51">
        <v>25</v>
      </c>
      <c r="AF53" s="51">
        <v>0</v>
      </c>
      <c r="AG53" s="60">
        <v>60</v>
      </c>
      <c r="AH53" s="55">
        <f t="shared" si="2"/>
        <v>59.4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6.3</v>
      </c>
      <c r="C54" s="49">
        <v>16.3</v>
      </c>
      <c r="D54" s="49">
        <v>0</v>
      </c>
      <c r="E54" s="49">
        <v>0</v>
      </c>
      <c r="F54" s="49">
        <v>23</v>
      </c>
      <c r="G54" s="49">
        <v>5</v>
      </c>
      <c r="H54" s="49">
        <v>0</v>
      </c>
      <c r="I54" s="49">
        <v>0</v>
      </c>
      <c r="J54" s="49">
        <v>0</v>
      </c>
      <c r="K54" s="49">
        <v>5</v>
      </c>
      <c r="L54" s="49">
        <v>8</v>
      </c>
      <c r="M54" s="49">
        <v>22.8</v>
      </c>
      <c r="N54" s="49">
        <v>20.6</v>
      </c>
      <c r="O54" s="49">
        <v>6.8</v>
      </c>
      <c r="P54" s="49">
        <v>6.2</v>
      </c>
      <c r="Q54" s="49">
        <v>0</v>
      </c>
      <c r="R54" s="49">
        <v>15</v>
      </c>
      <c r="S54" s="49">
        <v>10.3</v>
      </c>
      <c r="T54" s="49">
        <v>6.7</v>
      </c>
      <c r="U54" s="49">
        <v>5</v>
      </c>
      <c r="V54" s="49">
        <v>0</v>
      </c>
      <c r="W54" s="49">
        <v>0</v>
      </c>
      <c r="X54" s="49">
        <v>6</v>
      </c>
      <c r="Y54" s="49">
        <v>15.2</v>
      </c>
      <c r="Z54" s="49">
        <v>5.2</v>
      </c>
      <c r="AA54" s="49">
        <v>30.7</v>
      </c>
      <c r="AB54" s="49">
        <v>18.399999999999999</v>
      </c>
      <c r="AC54" s="49">
        <v>18.3</v>
      </c>
      <c r="AD54" s="49">
        <v>19.3</v>
      </c>
      <c r="AE54" s="49">
        <v>12.6</v>
      </c>
      <c r="AF54" s="49">
        <v>0</v>
      </c>
      <c r="AG54" s="64">
        <v>32</v>
      </c>
      <c r="AH54" s="55">
        <f t="shared" si="2"/>
        <v>30.7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2.2999999999999998</v>
      </c>
      <c r="C55" s="75">
        <v>6</v>
      </c>
      <c r="D55" s="75">
        <v>0</v>
      </c>
      <c r="E55" s="75">
        <v>0</v>
      </c>
      <c r="F55" s="75">
        <v>11</v>
      </c>
      <c r="G55" s="75">
        <v>2.5</v>
      </c>
      <c r="H55" s="75">
        <v>0</v>
      </c>
      <c r="I55" s="75">
        <v>0</v>
      </c>
      <c r="J55" s="75">
        <v>0</v>
      </c>
      <c r="K55" s="75">
        <v>2.1</v>
      </c>
      <c r="L55" s="75">
        <v>2.5</v>
      </c>
      <c r="M55" s="75">
        <v>8</v>
      </c>
      <c r="N55" s="75">
        <v>7.4</v>
      </c>
      <c r="O55" s="75">
        <v>2.5</v>
      </c>
      <c r="P55" s="75">
        <v>2.2999999999999998</v>
      </c>
      <c r="Q55" s="75">
        <v>0</v>
      </c>
      <c r="R55" s="75">
        <v>8.9</v>
      </c>
      <c r="S55" s="75">
        <v>3.8</v>
      </c>
      <c r="T55" s="75">
        <v>2.4</v>
      </c>
      <c r="U55" s="75">
        <v>1.8</v>
      </c>
      <c r="V55" s="75">
        <v>0</v>
      </c>
      <c r="W55" s="75">
        <v>0</v>
      </c>
      <c r="X55" s="75">
        <v>2.2000000000000002</v>
      </c>
      <c r="Y55" s="75">
        <v>5.5</v>
      </c>
      <c r="Z55" s="75">
        <v>1.9</v>
      </c>
      <c r="AA55" s="75">
        <v>11.2</v>
      </c>
      <c r="AB55" s="75">
        <v>6.7</v>
      </c>
      <c r="AC55" s="75">
        <v>6.7</v>
      </c>
      <c r="AD55" s="75">
        <v>7</v>
      </c>
      <c r="AE55" s="75">
        <v>4.5999999999999996</v>
      </c>
      <c r="AF55" s="75">
        <v>0</v>
      </c>
      <c r="AG55" s="76">
        <v>14</v>
      </c>
      <c r="AH55" s="55">
        <f t="shared" si="2"/>
        <v>11.2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C56" si="11">SUM(B53:B55)</f>
        <v>23.6</v>
      </c>
      <c r="C56" s="70">
        <f t="shared" si="11"/>
        <v>52.1</v>
      </c>
      <c r="D56" s="70">
        <f t="shared" ref="D56:AF56" si="12">SUM(D53:D55)</f>
        <v>0</v>
      </c>
      <c r="E56" s="70">
        <f t="shared" si="12"/>
        <v>0</v>
      </c>
      <c r="F56" s="70">
        <f t="shared" si="12"/>
        <v>84</v>
      </c>
      <c r="G56" s="70">
        <f t="shared" si="12"/>
        <v>17.5</v>
      </c>
      <c r="H56" s="70">
        <f t="shared" si="12"/>
        <v>0</v>
      </c>
      <c r="I56" s="70">
        <f t="shared" si="12"/>
        <v>0</v>
      </c>
      <c r="J56" s="70">
        <f t="shared" si="12"/>
        <v>0</v>
      </c>
      <c r="K56" s="70">
        <f t="shared" si="12"/>
        <v>22.1</v>
      </c>
      <c r="L56" s="70">
        <f t="shared" si="12"/>
        <v>40.5</v>
      </c>
      <c r="M56" s="70">
        <f t="shared" si="12"/>
        <v>74.8</v>
      </c>
      <c r="N56" s="70">
        <f t="shared" si="12"/>
        <v>78</v>
      </c>
      <c r="O56" s="70">
        <f t="shared" si="12"/>
        <v>22.8</v>
      </c>
      <c r="P56" s="70">
        <f t="shared" si="12"/>
        <v>19</v>
      </c>
      <c r="Q56" s="70">
        <f t="shared" si="12"/>
        <v>0</v>
      </c>
      <c r="R56" s="70">
        <f t="shared" si="12"/>
        <v>53.9</v>
      </c>
      <c r="S56" s="70">
        <f t="shared" si="12"/>
        <v>34.1</v>
      </c>
      <c r="T56" s="70">
        <f t="shared" si="12"/>
        <v>18.899999999999999</v>
      </c>
      <c r="U56" s="70">
        <f t="shared" si="12"/>
        <v>16.8</v>
      </c>
      <c r="V56" s="70">
        <f t="shared" si="12"/>
        <v>0</v>
      </c>
      <c r="W56" s="70">
        <f t="shared" si="12"/>
        <v>0</v>
      </c>
      <c r="X56" s="70">
        <f t="shared" si="12"/>
        <v>22.5</v>
      </c>
      <c r="Y56" s="70">
        <f t="shared" si="12"/>
        <v>33.9</v>
      </c>
      <c r="Z56" s="70">
        <f t="shared" si="12"/>
        <v>27.099999999999998</v>
      </c>
      <c r="AA56" s="70">
        <f t="shared" si="12"/>
        <v>101.3</v>
      </c>
      <c r="AB56" s="70">
        <f t="shared" si="12"/>
        <v>59.300000000000004</v>
      </c>
      <c r="AC56" s="70">
        <f t="shared" si="12"/>
        <v>73.8</v>
      </c>
      <c r="AD56" s="70">
        <f t="shared" si="12"/>
        <v>67.2</v>
      </c>
      <c r="AE56" s="70">
        <f t="shared" si="12"/>
        <v>42.2</v>
      </c>
      <c r="AF56" s="70">
        <f t="shared" si="12"/>
        <v>0</v>
      </c>
      <c r="AG56" s="74">
        <f>SUM(AG53:AG55)</f>
        <v>106</v>
      </c>
      <c r="AH56" s="55">
        <f t="shared" si="2"/>
        <v>101.3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47.6</v>
      </c>
      <c r="C57" s="51">
        <v>64.599999999999994</v>
      </c>
      <c r="D57" s="51">
        <v>75.400000000000006</v>
      </c>
      <c r="E57" s="51">
        <v>37</v>
      </c>
      <c r="F57" s="51">
        <v>61</v>
      </c>
      <c r="G57" s="51">
        <v>39</v>
      </c>
      <c r="H57" s="51">
        <v>21</v>
      </c>
      <c r="I57" s="51">
        <v>1.2</v>
      </c>
      <c r="J57" s="51">
        <v>1.6</v>
      </c>
      <c r="K57" s="51">
        <v>2.2999999999999998</v>
      </c>
      <c r="L57" s="51">
        <v>59</v>
      </c>
      <c r="M57" s="51">
        <v>49</v>
      </c>
      <c r="N57" s="51">
        <v>50.03</v>
      </c>
      <c r="O57" s="51">
        <v>18.3</v>
      </c>
      <c r="P57" s="51">
        <v>45.7</v>
      </c>
      <c r="Q57" s="51">
        <v>46.2</v>
      </c>
      <c r="R57" s="51">
        <v>32.4</v>
      </c>
      <c r="S57" s="51">
        <v>23.4</v>
      </c>
      <c r="T57" s="51">
        <v>47.7</v>
      </c>
      <c r="U57" s="51">
        <v>48.9</v>
      </c>
      <c r="V57" s="51">
        <v>43.5</v>
      </c>
      <c r="W57" s="51">
        <v>52.8</v>
      </c>
      <c r="X57" s="51">
        <v>25.2</v>
      </c>
      <c r="Y57" s="51">
        <v>44</v>
      </c>
      <c r="Z57" s="51">
        <v>43.8</v>
      </c>
      <c r="AA57" s="51">
        <v>46.8</v>
      </c>
      <c r="AB57" s="51">
        <v>54.1</v>
      </c>
      <c r="AC57" s="51">
        <v>59.3</v>
      </c>
      <c r="AD57" s="51">
        <v>69.2</v>
      </c>
      <c r="AE57" s="51">
        <v>64.400000000000006</v>
      </c>
      <c r="AF57" s="51">
        <v>55.1</v>
      </c>
      <c r="AG57" s="60"/>
      <c r="AH57" s="55">
        <f t="shared" si="2"/>
        <v>75.400000000000006</v>
      </c>
      <c r="AI57" s="56">
        <f t="shared" si="3"/>
        <v>1.2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-365.9</v>
      </c>
      <c r="C59" s="49">
        <v>-362</v>
      </c>
      <c r="D59" s="49">
        <v>-354.3</v>
      </c>
      <c r="E59" s="49">
        <v>-369.89</v>
      </c>
      <c r="F59" s="49">
        <v>-398</v>
      </c>
      <c r="G59" s="49">
        <v>-379</v>
      </c>
      <c r="H59" s="49">
        <v>-359</v>
      </c>
      <c r="I59" s="49">
        <v>-356.2</v>
      </c>
      <c r="J59" s="49">
        <v>-358</v>
      </c>
      <c r="K59" s="49">
        <v>-280</v>
      </c>
      <c r="L59" s="49">
        <v>-340</v>
      </c>
      <c r="M59" s="49">
        <v>-362</v>
      </c>
      <c r="N59" s="49">
        <v>-368</v>
      </c>
      <c r="O59" s="49">
        <v>-394</v>
      </c>
      <c r="P59" s="49">
        <v>-367</v>
      </c>
      <c r="Q59" s="49">
        <v>-368</v>
      </c>
      <c r="R59" s="49">
        <v>-354</v>
      </c>
      <c r="S59" s="49">
        <v>-369</v>
      </c>
      <c r="T59" s="49">
        <v>-374</v>
      </c>
      <c r="U59" s="49">
        <v>-381</v>
      </c>
      <c r="V59" s="49">
        <v>-383</v>
      </c>
      <c r="W59" s="49">
        <v>-389.8</v>
      </c>
      <c r="X59" s="49">
        <v>-361</v>
      </c>
      <c r="Y59" s="49">
        <v>-373</v>
      </c>
      <c r="Z59" s="49">
        <v>-282</v>
      </c>
      <c r="AA59" s="49">
        <v>-289</v>
      </c>
      <c r="AB59" s="49">
        <v>-270</v>
      </c>
      <c r="AC59" s="49">
        <v>-301.8</v>
      </c>
      <c r="AD59" s="49">
        <v>-316</v>
      </c>
      <c r="AE59" s="49">
        <v>-351.7</v>
      </c>
      <c r="AF59" s="49">
        <v>-356</v>
      </c>
      <c r="AG59" s="77"/>
      <c r="AH59" s="55">
        <f t="shared" si="2"/>
        <v>-270</v>
      </c>
      <c r="AI59" s="56">
        <f t="shared" si="3"/>
        <v>-398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8</v>
      </c>
      <c r="R62" s="79">
        <v>8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5</v>
      </c>
      <c r="AF62" s="79">
        <v>5</v>
      </c>
      <c r="AG62" s="77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:C68" si="13">SUMIF(B57:B67,"&gt;0")</f>
        <v>52.6</v>
      </c>
      <c r="C68" s="70">
        <f t="shared" si="13"/>
        <v>69.599999999999994</v>
      </c>
      <c r="D68" s="70">
        <f t="shared" ref="D68:AF68" si="14">SUMIF(D57:D67,"&gt;0")</f>
        <v>80.400000000000006</v>
      </c>
      <c r="E68" s="70">
        <f t="shared" si="14"/>
        <v>42</v>
      </c>
      <c r="F68" s="70">
        <f t="shared" si="14"/>
        <v>66</v>
      </c>
      <c r="G68" s="70">
        <f t="shared" si="14"/>
        <v>44</v>
      </c>
      <c r="H68" s="70">
        <f t="shared" si="14"/>
        <v>26</v>
      </c>
      <c r="I68" s="70">
        <f t="shared" si="14"/>
        <v>6.2</v>
      </c>
      <c r="J68" s="70">
        <f t="shared" si="14"/>
        <v>6.6</v>
      </c>
      <c r="K68" s="70">
        <f t="shared" si="14"/>
        <v>7.3</v>
      </c>
      <c r="L68" s="70">
        <f t="shared" si="14"/>
        <v>64</v>
      </c>
      <c r="M68" s="70">
        <f t="shared" si="14"/>
        <v>54</v>
      </c>
      <c r="N68" s="70">
        <f t="shared" si="14"/>
        <v>55.03</v>
      </c>
      <c r="O68" s="70">
        <f t="shared" si="14"/>
        <v>23.3</v>
      </c>
      <c r="P68" s="70">
        <f t="shared" si="14"/>
        <v>50.7</v>
      </c>
      <c r="Q68" s="70">
        <f t="shared" si="14"/>
        <v>54.2</v>
      </c>
      <c r="R68" s="70">
        <f t="shared" si="14"/>
        <v>40.4</v>
      </c>
      <c r="S68" s="70">
        <f t="shared" si="14"/>
        <v>23.4</v>
      </c>
      <c r="T68" s="70">
        <f t="shared" si="14"/>
        <v>47.7</v>
      </c>
      <c r="U68" s="70">
        <f t="shared" si="14"/>
        <v>48.9</v>
      </c>
      <c r="V68" s="70">
        <f t="shared" si="14"/>
        <v>43.5</v>
      </c>
      <c r="W68" s="70">
        <f t="shared" si="14"/>
        <v>52.8</v>
      </c>
      <c r="X68" s="70">
        <f t="shared" si="14"/>
        <v>25.2</v>
      </c>
      <c r="Y68" s="70">
        <f t="shared" si="14"/>
        <v>44</v>
      </c>
      <c r="Z68" s="70">
        <f t="shared" si="14"/>
        <v>43.8</v>
      </c>
      <c r="AA68" s="70">
        <f t="shared" si="14"/>
        <v>46.8</v>
      </c>
      <c r="AB68" s="70">
        <f t="shared" si="14"/>
        <v>54.1</v>
      </c>
      <c r="AC68" s="70">
        <f t="shared" si="14"/>
        <v>59.3</v>
      </c>
      <c r="AD68" s="70">
        <f t="shared" si="14"/>
        <v>69.2</v>
      </c>
      <c r="AE68" s="70">
        <f t="shared" si="14"/>
        <v>69.400000000000006</v>
      </c>
      <c r="AF68" s="70">
        <f t="shared" si="14"/>
        <v>60.1</v>
      </c>
      <c r="AG68" s="74">
        <f>SUM(AG57:AG67)</f>
        <v>0</v>
      </c>
      <c r="AH68" s="55">
        <f t="shared" si="2"/>
        <v>80.400000000000006</v>
      </c>
      <c r="AI68" s="56">
        <f t="shared" si="3"/>
        <v>6.2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:C73" si="15">B38+B52+B68+B72</f>
        <v>1760.7399999999998</v>
      </c>
      <c r="C73" s="84">
        <f t="shared" si="15"/>
        <v>1743.0399999999997</v>
      </c>
      <c r="D73" s="84">
        <f t="shared" ref="D73:AF73" si="16">D38+D52+D68+D72</f>
        <v>1752.54</v>
      </c>
      <c r="E73" s="84">
        <f t="shared" si="16"/>
        <v>1714.1399999999999</v>
      </c>
      <c r="F73" s="84">
        <f t="shared" si="16"/>
        <v>1619.04</v>
      </c>
      <c r="G73" s="84">
        <f t="shared" si="16"/>
        <v>1602.04</v>
      </c>
      <c r="H73" s="84">
        <f t="shared" si="16"/>
        <v>1647.4399999999998</v>
      </c>
      <c r="I73" s="84">
        <f t="shared" si="16"/>
        <v>1623.54</v>
      </c>
      <c r="J73" s="84">
        <f t="shared" si="16"/>
        <v>1623.9399999999998</v>
      </c>
      <c r="K73" s="84">
        <f t="shared" si="16"/>
        <v>1585.6399999999999</v>
      </c>
      <c r="L73" s="84">
        <f t="shared" si="16"/>
        <v>1589.4399999999998</v>
      </c>
      <c r="M73" s="84">
        <f t="shared" si="16"/>
        <v>1605.54</v>
      </c>
      <c r="N73" s="84">
        <f t="shared" si="16"/>
        <v>1699.37</v>
      </c>
      <c r="O73" s="84">
        <f t="shared" si="16"/>
        <v>1711.84</v>
      </c>
      <c r="P73" s="84">
        <f t="shared" si="16"/>
        <v>1739.34</v>
      </c>
      <c r="Q73" s="84">
        <f t="shared" si="16"/>
        <v>1752.3400000000001</v>
      </c>
      <c r="R73" s="84">
        <f t="shared" si="16"/>
        <v>1712.0400000000004</v>
      </c>
      <c r="S73" s="84">
        <f t="shared" si="16"/>
        <v>1716.5400000000004</v>
      </c>
      <c r="T73" s="84">
        <f t="shared" si="16"/>
        <v>1727.8400000000004</v>
      </c>
      <c r="U73" s="84">
        <f t="shared" si="16"/>
        <v>1719.8400000000001</v>
      </c>
      <c r="V73" s="84">
        <f t="shared" si="16"/>
        <v>1729.44</v>
      </c>
      <c r="W73" s="84">
        <f t="shared" si="16"/>
        <v>1723.74</v>
      </c>
      <c r="X73" s="84">
        <f t="shared" si="16"/>
        <v>1662.0400000000002</v>
      </c>
      <c r="Y73" s="84">
        <f t="shared" si="16"/>
        <v>1680.8400000000001</v>
      </c>
      <c r="Z73" s="84">
        <f t="shared" si="16"/>
        <v>1668.4399999999998</v>
      </c>
      <c r="AA73" s="84">
        <f t="shared" si="16"/>
        <v>1715.24</v>
      </c>
      <c r="AB73" s="84">
        <f t="shared" si="16"/>
        <v>1764.3400000000001</v>
      </c>
      <c r="AC73" s="84">
        <f t="shared" si="16"/>
        <v>1769.5400000000002</v>
      </c>
      <c r="AD73" s="84">
        <f t="shared" si="16"/>
        <v>1779.4400000000003</v>
      </c>
      <c r="AE73" s="84">
        <f t="shared" si="16"/>
        <v>1781.3400000000001</v>
      </c>
      <c r="AF73" s="84">
        <f t="shared" si="16"/>
        <v>1766.04</v>
      </c>
      <c r="AG73" s="84">
        <f t="shared" ref="AG73" si="17">AG68+AG56+AG52+AG38+AG72</f>
        <v>2144.14</v>
      </c>
      <c r="AH73" s="55">
        <f t="shared" si="2"/>
        <v>1781.3400000000001</v>
      </c>
      <c r="AI73" s="56">
        <f t="shared" si="3"/>
        <v>1585.6399999999999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>
        <v>50</v>
      </c>
      <c r="G74" s="86">
        <v>40</v>
      </c>
      <c r="H74" s="86">
        <v>40</v>
      </c>
      <c r="I74" s="86">
        <v>30</v>
      </c>
      <c r="J74" s="86">
        <v>30</v>
      </c>
      <c r="K74" s="86">
        <v>30</v>
      </c>
      <c r="L74" s="86">
        <v>30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50</v>
      </c>
      <c r="AI74" s="56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:C75" si="18">B73+B74</f>
        <v>1760.7399999999998</v>
      </c>
      <c r="C75" s="84">
        <f t="shared" si="18"/>
        <v>1743.0399999999997</v>
      </c>
      <c r="D75" s="84">
        <f t="shared" ref="D75:AF75" si="19">D73+D74</f>
        <v>1752.54</v>
      </c>
      <c r="E75" s="84">
        <f t="shared" si="19"/>
        <v>1714.1399999999999</v>
      </c>
      <c r="F75" s="84">
        <f t="shared" si="19"/>
        <v>1669.04</v>
      </c>
      <c r="G75" s="84">
        <f t="shared" si="19"/>
        <v>1642.04</v>
      </c>
      <c r="H75" s="84">
        <f t="shared" si="19"/>
        <v>1687.4399999999998</v>
      </c>
      <c r="I75" s="84">
        <f t="shared" si="19"/>
        <v>1653.54</v>
      </c>
      <c r="J75" s="84">
        <f t="shared" si="19"/>
        <v>1653.9399999999998</v>
      </c>
      <c r="K75" s="84">
        <f t="shared" si="19"/>
        <v>1615.6399999999999</v>
      </c>
      <c r="L75" s="84">
        <f t="shared" si="19"/>
        <v>1619.4399999999998</v>
      </c>
      <c r="M75" s="84">
        <f t="shared" si="19"/>
        <v>1605.54</v>
      </c>
      <c r="N75" s="84">
        <f t="shared" si="19"/>
        <v>1699.37</v>
      </c>
      <c r="O75" s="84">
        <f t="shared" si="19"/>
        <v>1711.84</v>
      </c>
      <c r="P75" s="84">
        <f t="shared" si="19"/>
        <v>1739.34</v>
      </c>
      <c r="Q75" s="84">
        <f t="shared" si="19"/>
        <v>1752.3400000000001</v>
      </c>
      <c r="R75" s="84">
        <f t="shared" si="19"/>
        <v>1712.0400000000004</v>
      </c>
      <c r="S75" s="84">
        <f t="shared" si="19"/>
        <v>1716.5400000000004</v>
      </c>
      <c r="T75" s="84">
        <f t="shared" si="19"/>
        <v>1727.8400000000004</v>
      </c>
      <c r="U75" s="84">
        <f t="shared" si="19"/>
        <v>1719.8400000000001</v>
      </c>
      <c r="V75" s="84">
        <f t="shared" si="19"/>
        <v>1729.44</v>
      </c>
      <c r="W75" s="84">
        <f t="shared" si="19"/>
        <v>1723.74</v>
      </c>
      <c r="X75" s="84">
        <f t="shared" si="19"/>
        <v>1662.0400000000002</v>
      </c>
      <c r="Y75" s="84">
        <f t="shared" si="19"/>
        <v>1680.8400000000001</v>
      </c>
      <c r="Z75" s="84">
        <f t="shared" si="19"/>
        <v>1668.4399999999998</v>
      </c>
      <c r="AA75" s="84">
        <f t="shared" si="19"/>
        <v>1715.24</v>
      </c>
      <c r="AB75" s="84">
        <f t="shared" si="19"/>
        <v>1764.3400000000001</v>
      </c>
      <c r="AC75" s="84">
        <f t="shared" si="19"/>
        <v>1769.5400000000002</v>
      </c>
      <c r="AD75" s="84">
        <f t="shared" si="19"/>
        <v>1779.4400000000003</v>
      </c>
      <c r="AE75" s="84">
        <f t="shared" si="19"/>
        <v>1781.3400000000001</v>
      </c>
      <c r="AF75" s="84">
        <f t="shared" si="19"/>
        <v>1766.04</v>
      </c>
      <c r="AG75" s="74">
        <f>AG72+AG68+AG56+AG52+AG38+AG74</f>
        <v>2144.14</v>
      </c>
      <c r="AH75" s="55">
        <f t="shared" si="2"/>
        <v>1781.3400000000001</v>
      </c>
      <c r="AI75" s="56">
        <f t="shared" si="3"/>
        <v>1605.54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:C76" si="20">IF(B60&lt;0,B60*-1,0)</f>
        <v>0</v>
      </c>
      <c r="C76" s="78">
        <f t="shared" si="20"/>
        <v>0</v>
      </c>
      <c r="D76" s="78">
        <f t="shared" ref="D76:AF76" si="21">IF(D60&lt;0,D60*-1,0)</f>
        <v>0</v>
      </c>
      <c r="E76" s="78">
        <f t="shared" si="21"/>
        <v>0</v>
      </c>
      <c r="F76" s="78">
        <f t="shared" si="21"/>
        <v>0</v>
      </c>
      <c r="G76" s="78">
        <f t="shared" si="21"/>
        <v>0</v>
      </c>
      <c r="H76" s="78">
        <f t="shared" si="21"/>
        <v>0</v>
      </c>
      <c r="I76" s="78">
        <f t="shared" si="21"/>
        <v>0</v>
      </c>
      <c r="J76" s="78">
        <f t="shared" si="21"/>
        <v>0</v>
      </c>
      <c r="K76" s="78">
        <f t="shared" si="21"/>
        <v>0</v>
      </c>
      <c r="L76" s="78">
        <f t="shared" si="21"/>
        <v>0</v>
      </c>
      <c r="M76" s="78">
        <f t="shared" si="21"/>
        <v>0</v>
      </c>
      <c r="N76" s="78">
        <f t="shared" si="21"/>
        <v>0</v>
      </c>
      <c r="O76" s="78">
        <f t="shared" si="21"/>
        <v>0</v>
      </c>
      <c r="P76" s="78">
        <f t="shared" si="21"/>
        <v>0</v>
      </c>
      <c r="Q76" s="78">
        <f t="shared" si="21"/>
        <v>0</v>
      </c>
      <c r="R76" s="78">
        <f t="shared" si="21"/>
        <v>0</v>
      </c>
      <c r="S76" s="78">
        <f t="shared" si="21"/>
        <v>0</v>
      </c>
      <c r="T76" s="78">
        <f t="shared" si="21"/>
        <v>0</v>
      </c>
      <c r="U76" s="78">
        <f t="shared" si="21"/>
        <v>0</v>
      </c>
      <c r="V76" s="78">
        <f t="shared" si="21"/>
        <v>0</v>
      </c>
      <c r="W76" s="78">
        <f t="shared" si="21"/>
        <v>0</v>
      </c>
      <c r="X76" s="78">
        <f t="shared" si="21"/>
        <v>0</v>
      </c>
      <c r="Y76" s="78">
        <f t="shared" si="21"/>
        <v>0</v>
      </c>
      <c r="Z76" s="78">
        <f t="shared" si="21"/>
        <v>0</v>
      </c>
      <c r="AA76" s="78">
        <f t="shared" si="21"/>
        <v>0</v>
      </c>
      <c r="AB76" s="78">
        <f t="shared" si="21"/>
        <v>0</v>
      </c>
      <c r="AC76" s="78">
        <f t="shared" si="21"/>
        <v>0</v>
      </c>
      <c r="AD76" s="78">
        <f t="shared" si="21"/>
        <v>0</v>
      </c>
      <c r="AE76" s="78">
        <f t="shared" si="21"/>
        <v>0</v>
      </c>
      <c r="AF76" s="78">
        <f t="shared" si="21"/>
        <v>0</v>
      </c>
      <c r="AG76" s="60"/>
      <c r="AH76" s="55">
        <f t="shared" ref="AH76:AH91" si="22">MAX(B76:AF76)</f>
        <v>0</v>
      </c>
      <c r="AI76" s="56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:C77" si="24">IF(B58&lt;0,B58*-1,0)</f>
        <v>0</v>
      </c>
      <c r="C77" s="78">
        <f t="shared" si="24"/>
        <v>0</v>
      </c>
      <c r="D77" s="78">
        <f t="shared" ref="D77:AF77" si="25">IF(D58&lt;0,D58*-1,0)</f>
        <v>0</v>
      </c>
      <c r="E77" s="78">
        <f t="shared" si="25"/>
        <v>0</v>
      </c>
      <c r="F77" s="78">
        <f t="shared" si="25"/>
        <v>0</v>
      </c>
      <c r="G77" s="78">
        <f t="shared" si="25"/>
        <v>0</v>
      </c>
      <c r="H77" s="78">
        <f t="shared" si="25"/>
        <v>0</v>
      </c>
      <c r="I77" s="78">
        <f t="shared" si="25"/>
        <v>0</v>
      </c>
      <c r="J77" s="78">
        <f t="shared" si="25"/>
        <v>0</v>
      </c>
      <c r="K77" s="78">
        <f t="shared" si="25"/>
        <v>0</v>
      </c>
      <c r="L77" s="78">
        <f t="shared" si="25"/>
        <v>0</v>
      </c>
      <c r="M77" s="78">
        <f t="shared" si="25"/>
        <v>0</v>
      </c>
      <c r="N77" s="78">
        <f t="shared" si="25"/>
        <v>0</v>
      </c>
      <c r="O77" s="78">
        <f t="shared" si="25"/>
        <v>0</v>
      </c>
      <c r="P77" s="78">
        <f t="shared" si="25"/>
        <v>0</v>
      </c>
      <c r="Q77" s="78">
        <f t="shared" si="25"/>
        <v>0</v>
      </c>
      <c r="R77" s="78">
        <f t="shared" si="25"/>
        <v>0</v>
      </c>
      <c r="S77" s="78">
        <f t="shared" si="25"/>
        <v>0</v>
      </c>
      <c r="T77" s="78">
        <f t="shared" si="25"/>
        <v>0</v>
      </c>
      <c r="U77" s="78">
        <f t="shared" si="25"/>
        <v>0</v>
      </c>
      <c r="V77" s="78">
        <f t="shared" si="25"/>
        <v>0</v>
      </c>
      <c r="W77" s="78">
        <f t="shared" si="25"/>
        <v>0</v>
      </c>
      <c r="X77" s="78">
        <f t="shared" si="25"/>
        <v>0</v>
      </c>
      <c r="Y77" s="78">
        <f t="shared" si="25"/>
        <v>0</v>
      </c>
      <c r="Z77" s="78">
        <f t="shared" si="25"/>
        <v>0</v>
      </c>
      <c r="AA77" s="78">
        <f t="shared" si="25"/>
        <v>0</v>
      </c>
      <c r="AB77" s="78">
        <f t="shared" si="25"/>
        <v>0</v>
      </c>
      <c r="AC77" s="78">
        <f t="shared" si="25"/>
        <v>0</v>
      </c>
      <c r="AD77" s="78">
        <f t="shared" si="25"/>
        <v>0</v>
      </c>
      <c r="AE77" s="78">
        <f t="shared" si="25"/>
        <v>0</v>
      </c>
      <c r="AF77" s="78">
        <f t="shared" si="25"/>
        <v>0</v>
      </c>
      <c r="AG77" s="64"/>
      <c r="AH77" s="55">
        <f t="shared" si="22"/>
        <v>0</v>
      </c>
      <c r="AI77" s="56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:C78" si="26">IF(B61&lt;0,B61*-1,0)</f>
        <v>0</v>
      </c>
      <c r="C78" s="78">
        <f t="shared" si="26"/>
        <v>0</v>
      </c>
      <c r="D78" s="78">
        <f t="shared" ref="D78:AF78" si="27">IF(D61&lt;0,D61*-1,0)</f>
        <v>0</v>
      </c>
      <c r="E78" s="78">
        <f t="shared" si="27"/>
        <v>0</v>
      </c>
      <c r="F78" s="78">
        <f t="shared" si="27"/>
        <v>0</v>
      </c>
      <c r="G78" s="78">
        <f t="shared" si="27"/>
        <v>0</v>
      </c>
      <c r="H78" s="78">
        <f t="shared" si="27"/>
        <v>0</v>
      </c>
      <c r="I78" s="78">
        <f t="shared" si="27"/>
        <v>0</v>
      </c>
      <c r="J78" s="78">
        <f t="shared" si="27"/>
        <v>0</v>
      </c>
      <c r="K78" s="78">
        <f t="shared" si="27"/>
        <v>0</v>
      </c>
      <c r="L78" s="78">
        <f t="shared" si="27"/>
        <v>0</v>
      </c>
      <c r="M78" s="78">
        <f t="shared" si="27"/>
        <v>0</v>
      </c>
      <c r="N78" s="78">
        <f t="shared" si="27"/>
        <v>0</v>
      </c>
      <c r="O78" s="78">
        <f t="shared" si="27"/>
        <v>0</v>
      </c>
      <c r="P78" s="78">
        <f t="shared" si="27"/>
        <v>0</v>
      </c>
      <c r="Q78" s="78">
        <f t="shared" si="27"/>
        <v>0</v>
      </c>
      <c r="R78" s="78">
        <f t="shared" si="27"/>
        <v>0</v>
      </c>
      <c r="S78" s="78">
        <f t="shared" si="27"/>
        <v>0</v>
      </c>
      <c r="T78" s="78">
        <f t="shared" si="27"/>
        <v>0</v>
      </c>
      <c r="U78" s="78">
        <f t="shared" si="27"/>
        <v>0</v>
      </c>
      <c r="V78" s="78">
        <f t="shared" si="27"/>
        <v>0</v>
      </c>
      <c r="W78" s="78">
        <f t="shared" si="27"/>
        <v>0</v>
      </c>
      <c r="X78" s="78">
        <f t="shared" si="27"/>
        <v>0</v>
      </c>
      <c r="Y78" s="78">
        <f t="shared" si="27"/>
        <v>0</v>
      </c>
      <c r="Z78" s="78">
        <f t="shared" si="27"/>
        <v>0</v>
      </c>
      <c r="AA78" s="78">
        <f t="shared" si="27"/>
        <v>0</v>
      </c>
      <c r="AB78" s="78">
        <f t="shared" si="27"/>
        <v>0</v>
      </c>
      <c r="AC78" s="78">
        <f t="shared" si="27"/>
        <v>0</v>
      </c>
      <c r="AD78" s="78">
        <f t="shared" si="27"/>
        <v>0</v>
      </c>
      <c r="AE78" s="78">
        <f t="shared" si="27"/>
        <v>0</v>
      </c>
      <c r="AF78" s="78">
        <f t="shared" si="27"/>
        <v>0</v>
      </c>
      <c r="AG78" s="87"/>
      <c r="AH78" s="55">
        <f t="shared" si="22"/>
        <v>0</v>
      </c>
      <c r="AI78" s="56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:C79" si="28">IF(B59&lt;0,B59*-1,0)</f>
        <v>365.9</v>
      </c>
      <c r="C79" s="78">
        <f t="shared" si="28"/>
        <v>362</v>
      </c>
      <c r="D79" s="78">
        <f t="shared" ref="D79:AF79" si="29">IF(D59&lt;0,D59*-1,0)</f>
        <v>354.3</v>
      </c>
      <c r="E79" s="78">
        <f t="shared" si="29"/>
        <v>369.89</v>
      </c>
      <c r="F79" s="78">
        <f t="shared" si="29"/>
        <v>398</v>
      </c>
      <c r="G79" s="78">
        <f t="shared" si="29"/>
        <v>379</v>
      </c>
      <c r="H79" s="78">
        <f t="shared" si="29"/>
        <v>359</v>
      </c>
      <c r="I79" s="78">
        <f t="shared" si="29"/>
        <v>356.2</v>
      </c>
      <c r="J79" s="78">
        <f t="shared" si="29"/>
        <v>358</v>
      </c>
      <c r="K79" s="78">
        <f t="shared" si="29"/>
        <v>280</v>
      </c>
      <c r="L79" s="78">
        <f t="shared" si="29"/>
        <v>340</v>
      </c>
      <c r="M79" s="78">
        <f t="shared" si="29"/>
        <v>362</v>
      </c>
      <c r="N79" s="78">
        <f t="shared" si="29"/>
        <v>368</v>
      </c>
      <c r="O79" s="78">
        <f t="shared" si="29"/>
        <v>394</v>
      </c>
      <c r="P79" s="78">
        <f t="shared" si="29"/>
        <v>367</v>
      </c>
      <c r="Q79" s="78">
        <f t="shared" si="29"/>
        <v>368</v>
      </c>
      <c r="R79" s="78">
        <f t="shared" si="29"/>
        <v>354</v>
      </c>
      <c r="S79" s="78">
        <f t="shared" si="29"/>
        <v>369</v>
      </c>
      <c r="T79" s="78">
        <f t="shared" si="29"/>
        <v>374</v>
      </c>
      <c r="U79" s="78">
        <f t="shared" si="29"/>
        <v>381</v>
      </c>
      <c r="V79" s="78">
        <f t="shared" si="29"/>
        <v>383</v>
      </c>
      <c r="W79" s="78">
        <f t="shared" si="29"/>
        <v>389.8</v>
      </c>
      <c r="X79" s="78">
        <f t="shared" si="29"/>
        <v>361</v>
      </c>
      <c r="Y79" s="78">
        <f t="shared" si="29"/>
        <v>373</v>
      </c>
      <c r="Z79" s="78">
        <f t="shared" si="29"/>
        <v>282</v>
      </c>
      <c r="AA79" s="78">
        <f t="shared" si="29"/>
        <v>289</v>
      </c>
      <c r="AB79" s="78">
        <f t="shared" si="29"/>
        <v>270</v>
      </c>
      <c r="AC79" s="78">
        <f t="shared" si="29"/>
        <v>301.8</v>
      </c>
      <c r="AD79" s="78">
        <f t="shared" si="29"/>
        <v>316</v>
      </c>
      <c r="AE79" s="78">
        <f t="shared" si="29"/>
        <v>351.7</v>
      </c>
      <c r="AF79" s="78">
        <f t="shared" si="29"/>
        <v>356</v>
      </c>
      <c r="AG79" s="87"/>
      <c r="AH79" s="55">
        <f t="shared" si="22"/>
        <v>398</v>
      </c>
      <c r="AI79" s="56">
        <f t="shared" si="23"/>
        <v>270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:C80" si="30">IF(B57&lt;0,B57*-1,0)</f>
        <v>0</v>
      </c>
      <c r="C80" s="78">
        <f t="shared" si="30"/>
        <v>0</v>
      </c>
      <c r="D80" s="78">
        <f t="shared" ref="D80:AF80" si="31">IF(D57&lt;0,D57*-1,0)</f>
        <v>0</v>
      </c>
      <c r="E80" s="78">
        <f t="shared" si="31"/>
        <v>0</v>
      </c>
      <c r="F80" s="78">
        <f t="shared" si="31"/>
        <v>0</v>
      </c>
      <c r="G80" s="78">
        <f t="shared" si="31"/>
        <v>0</v>
      </c>
      <c r="H80" s="78">
        <f t="shared" si="31"/>
        <v>0</v>
      </c>
      <c r="I80" s="78">
        <f t="shared" si="31"/>
        <v>0</v>
      </c>
      <c r="J80" s="78">
        <f t="shared" si="31"/>
        <v>0</v>
      </c>
      <c r="K80" s="78">
        <f t="shared" si="31"/>
        <v>0</v>
      </c>
      <c r="L80" s="78">
        <f t="shared" si="31"/>
        <v>0</v>
      </c>
      <c r="M80" s="78">
        <f t="shared" si="31"/>
        <v>0</v>
      </c>
      <c r="N80" s="78">
        <f t="shared" si="31"/>
        <v>0</v>
      </c>
      <c r="O80" s="78">
        <f t="shared" si="31"/>
        <v>0</v>
      </c>
      <c r="P80" s="78">
        <f t="shared" si="31"/>
        <v>0</v>
      </c>
      <c r="Q80" s="78">
        <f t="shared" si="31"/>
        <v>0</v>
      </c>
      <c r="R80" s="78">
        <f t="shared" si="31"/>
        <v>0</v>
      </c>
      <c r="S80" s="78">
        <f t="shared" si="31"/>
        <v>0</v>
      </c>
      <c r="T80" s="78">
        <f t="shared" si="31"/>
        <v>0</v>
      </c>
      <c r="U80" s="78">
        <f t="shared" si="31"/>
        <v>0</v>
      </c>
      <c r="V80" s="78">
        <f t="shared" si="31"/>
        <v>0</v>
      </c>
      <c r="W80" s="78">
        <f t="shared" si="31"/>
        <v>0</v>
      </c>
      <c r="X80" s="78">
        <f t="shared" si="31"/>
        <v>0</v>
      </c>
      <c r="Y80" s="78">
        <f t="shared" si="31"/>
        <v>0</v>
      </c>
      <c r="Z80" s="78">
        <f t="shared" si="31"/>
        <v>0</v>
      </c>
      <c r="AA80" s="78">
        <f t="shared" si="31"/>
        <v>0</v>
      </c>
      <c r="AB80" s="78">
        <f t="shared" si="31"/>
        <v>0</v>
      </c>
      <c r="AC80" s="78">
        <f t="shared" si="31"/>
        <v>0</v>
      </c>
      <c r="AD80" s="78">
        <f t="shared" si="31"/>
        <v>0</v>
      </c>
      <c r="AE80" s="78">
        <f t="shared" si="31"/>
        <v>0</v>
      </c>
      <c r="AF80" s="78">
        <f t="shared" si="31"/>
        <v>0</v>
      </c>
      <c r="AG80" s="87"/>
      <c r="AH80" s="55">
        <f t="shared" si="22"/>
        <v>0</v>
      </c>
      <c r="AI80" s="56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2"/>
        <v>0</v>
      </c>
      <c r="AI81" s="56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:C82" si="32">SUM(B76:B81)</f>
        <v>365.9</v>
      </c>
      <c r="C82" s="70">
        <f t="shared" si="32"/>
        <v>362</v>
      </c>
      <c r="D82" s="70">
        <f t="shared" ref="D82:AG82" si="33">SUM(D76:D81)</f>
        <v>354.3</v>
      </c>
      <c r="E82" s="70">
        <f t="shared" si="33"/>
        <v>369.89</v>
      </c>
      <c r="F82" s="70">
        <f t="shared" si="33"/>
        <v>398</v>
      </c>
      <c r="G82" s="70">
        <f t="shared" si="33"/>
        <v>379</v>
      </c>
      <c r="H82" s="70">
        <f t="shared" si="33"/>
        <v>359</v>
      </c>
      <c r="I82" s="70">
        <f t="shared" si="33"/>
        <v>356.2</v>
      </c>
      <c r="J82" s="70">
        <f t="shared" si="33"/>
        <v>358</v>
      </c>
      <c r="K82" s="70">
        <f t="shared" si="33"/>
        <v>280</v>
      </c>
      <c r="L82" s="70">
        <f t="shared" si="33"/>
        <v>340</v>
      </c>
      <c r="M82" s="70">
        <f t="shared" si="33"/>
        <v>362</v>
      </c>
      <c r="N82" s="70">
        <f t="shared" si="33"/>
        <v>368</v>
      </c>
      <c r="O82" s="70">
        <f t="shared" si="33"/>
        <v>394</v>
      </c>
      <c r="P82" s="70">
        <f t="shared" si="33"/>
        <v>367</v>
      </c>
      <c r="Q82" s="70">
        <f t="shared" si="33"/>
        <v>368</v>
      </c>
      <c r="R82" s="70">
        <f t="shared" si="33"/>
        <v>354</v>
      </c>
      <c r="S82" s="70">
        <f t="shared" si="33"/>
        <v>369</v>
      </c>
      <c r="T82" s="70">
        <f t="shared" si="33"/>
        <v>374</v>
      </c>
      <c r="U82" s="70">
        <f t="shared" si="33"/>
        <v>381</v>
      </c>
      <c r="V82" s="70">
        <f t="shared" si="33"/>
        <v>383</v>
      </c>
      <c r="W82" s="70">
        <f t="shared" si="33"/>
        <v>389.8</v>
      </c>
      <c r="X82" s="70">
        <f t="shared" si="33"/>
        <v>361</v>
      </c>
      <c r="Y82" s="70">
        <f t="shared" si="33"/>
        <v>373</v>
      </c>
      <c r="Z82" s="70">
        <f t="shared" si="33"/>
        <v>282</v>
      </c>
      <c r="AA82" s="70">
        <f t="shared" si="33"/>
        <v>289</v>
      </c>
      <c r="AB82" s="70">
        <f t="shared" si="33"/>
        <v>270</v>
      </c>
      <c r="AC82" s="70">
        <f t="shared" si="33"/>
        <v>301.8</v>
      </c>
      <c r="AD82" s="70">
        <f t="shared" si="33"/>
        <v>316</v>
      </c>
      <c r="AE82" s="70">
        <f t="shared" si="33"/>
        <v>351.7</v>
      </c>
      <c r="AF82" s="70">
        <f t="shared" si="33"/>
        <v>356</v>
      </c>
      <c r="AG82" s="74">
        <f t="shared" si="33"/>
        <v>0</v>
      </c>
      <c r="AH82" s="55">
        <f t="shared" si="22"/>
        <v>398</v>
      </c>
      <c r="AI82" s="56">
        <f t="shared" si="23"/>
        <v>270</v>
      </c>
      <c r="AK82" s="57"/>
    </row>
    <row r="83" spans="1:88" s="1" customFormat="1" ht="15.75" thickBot="1" x14ac:dyDescent="0.3">
      <c r="A83" s="69" t="s">
        <v>88</v>
      </c>
      <c r="B83" s="70">
        <f t="shared" ref="B83:C83" si="34">B68-B82</f>
        <v>-313.29999999999995</v>
      </c>
      <c r="C83" s="70">
        <f t="shared" si="34"/>
        <v>-292.39999999999998</v>
      </c>
      <c r="D83" s="70">
        <f t="shared" ref="D83:AF83" si="35">D68-D82</f>
        <v>-273.89999999999998</v>
      </c>
      <c r="E83" s="70">
        <f t="shared" si="35"/>
        <v>-327.89</v>
      </c>
      <c r="F83" s="70">
        <f t="shared" si="35"/>
        <v>-332</v>
      </c>
      <c r="G83" s="70">
        <f t="shared" si="35"/>
        <v>-335</v>
      </c>
      <c r="H83" s="70">
        <f t="shared" si="35"/>
        <v>-333</v>
      </c>
      <c r="I83" s="70">
        <f t="shared" si="35"/>
        <v>-350</v>
      </c>
      <c r="J83" s="70">
        <f t="shared" si="35"/>
        <v>-351.4</v>
      </c>
      <c r="K83" s="70">
        <f t="shared" si="35"/>
        <v>-272.7</v>
      </c>
      <c r="L83" s="70">
        <f t="shared" si="35"/>
        <v>-276</v>
      </c>
      <c r="M83" s="70">
        <f t="shared" si="35"/>
        <v>-308</v>
      </c>
      <c r="N83" s="70">
        <f t="shared" si="35"/>
        <v>-312.97000000000003</v>
      </c>
      <c r="O83" s="70">
        <f t="shared" si="35"/>
        <v>-370.7</v>
      </c>
      <c r="P83" s="70">
        <f t="shared" si="35"/>
        <v>-316.3</v>
      </c>
      <c r="Q83" s="70">
        <f t="shared" si="35"/>
        <v>-313.8</v>
      </c>
      <c r="R83" s="70">
        <f t="shared" si="35"/>
        <v>-313.60000000000002</v>
      </c>
      <c r="S83" s="70">
        <f t="shared" si="35"/>
        <v>-345.6</v>
      </c>
      <c r="T83" s="70">
        <f t="shared" si="35"/>
        <v>-326.3</v>
      </c>
      <c r="U83" s="70">
        <f t="shared" si="35"/>
        <v>-332.1</v>
      </c>
      <c r="V83" s="70">
        <f t="shared" si="35"/>
        <v>-339.5</v>
      </c>
      <c r="W83" s="70">
        <f t="shared" si="35"/>
        <v>-337</v>
      </c>
      <c r="X83" s="70">
        <f t="shared" si="35"/>
        <v>-335.8</v>
      </c>
      <c r="Y83" s="70">
        <f t="shared" si="35"/>
        <v>-329</v>
      </c>
      <c r="Z83" s="70">
        <f t="shared" si="35"/>
        <v>-238.2</v>
      </c>
      <c r="AA83" s="70">
        <f t="shared" si="35"/>
        <v>-242.2</v>
      </c>
      <c r="AB83" s="70">
        <f t="shared" si="35"/>
        <v>-215.9</v>
      </c>
      <c r="AC83" s="70">
        <f t="shared" si="35"/>
        <v>-242.5</v>
      </c>
      <c r="AD83" s="70">
        <f t="shared" si="35"/>
        <v>-246.8</v>
      </c>
      <c r="AE83" s="70">
        <f t="shared" si="35"/>
        <v>-282.29999999999995</v>
      </c>
      <c r="AF83" s="70">
        <f t="shared" si="35"/>
        <v>-295.89999999999998</v>
      </c>
      <c r="AG83" s="74">
        <f t="shared" ref="AG83" si="36">SUM(AG70:AG82)</f>
        <v>4360.08</v>
      </c>
      <c r="AH83" s="55">
        <f t="shared" si="22"/>
        <v>-215.9</v>
      </c>
      <c r="AI83" s="56">
        <f t="shared" si="23"/>
        <v>-370.7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50.04</v>
      </c>
      <c r="C84" s="90">
        <v>50.03</v>
      </c>
      <c r="D84" s="90">
        <v>49.97</v>
      </c>
      <c r="E84" s="90">
        <v>49.98</v>
      </c>
      <c r="F84" s="90">
        <v>50.005000000000003</v>
      </c>
      <c r="G84" s="90">
        <v>49.988999999999997</v>
      </c>
      <c r="H84" s="90">
        <v>50.003999999999998</v>
      </c>
      <c r="I84" s="90">
        <v>50.023000000000003</v>
      </c>
      <c r="J84" s="90">
        <v>50.048999999999999</v>
      </c>
      <c r="K84" s="90">
        <v>50.023000000000003</v>
      </c>
      <c r="L84" s="90">
        <v>50.055</v>
      </c>
      <c r="M84" s="90">
        <v>50.036000000000001</v>
      </c>
      <c r="N84" s="90">
        <v>50.02</v>
      </c>
      <c r="O84" s="90">
        <v>50.02</v>
      </c>
      <c r="P84" s="90">
        <v>50.05</v>
      </c>
      <c r="Q84" s="90">
        <v>49.957000000000001</v>
      </c>
      <c r="R84" s="90">
        <v>50.1</v>
      </c>
      <c r="S84" s="90">
        <v>49.959000000000003</v>
      </c>
      <c r="T84" s="90">
        <v>50.033999999999999</v>
      </c>
      <c r="U84" s="90">
        <v>49.82</v>
      </c>
      <c r="V84" s="90">
        <v>50.037999999999997</v>
      </c>
      <c r="W84" s="90">
        <v>50.055999999999997</v>
      </c>
      <c r="X84" s="90">
        <v>50.024000000000001</v>
      </c>
      <c r="Y84" s="90">
        <v>50.017000000000003</v>
      </c>
      <c r="Z84" s="90">
        <v>50.018999999999998</v>
      </c>
      <c r="AA84" s="90">
        <v>50.012999999999998</v>
      </c>
      <c r="AB84" s="90">
        <v>50.017000000000003</v>
      </c>
      <c r="AC84" s="90">
        <v>50.018000000000001</v>
      </c>
      <c r="AD84" s="90">
        <v>50.03</v>
      </c>
      <c r="AE84" s="90">
        <v>50.051000000000002</v>
      </c>
      <c r="AF84" s="90">
        <v>49.889000000000003</v>
      </c>
      <c r="AG84" s="91"/>
      <c r="AH84" s="55">
        <f t="shared" si="22"/>
        <v>50.1</v>
      </c>
      <c r="AI84" s="56">
        <f t="shared" si="23"/>
        <v>49.82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123.8</v>
      </c>
      <c r="C85" s="49">
        <v>124.4</v>
      </c>
      <c r="D85" s="49">
        <v>121.7</v>
      </c>
      <c r="E85" s="49">
        <v>121.7</v>
      </c>
      <c r="F85" s="49">
        <v>121.7</v>
      </c>
      <c r="G85" s="49">
        <v>121.7</v>
      </c>
      <c r="H85" s="49">
        <v>120.7</v>
      </c>
      <c r="I85" s="49">
        <v>121.3</v>
      </c>
      <c r="J85" s="49">
        <v>123</v>
      </c>
      <c r="K85" s="49">
        <v>121.3</v>
      </c>
      <c r="L85" s="49">
        <v>124.6</v>
      </c>
      <c r="M85" s="49">
        <v>125</v>
      </c>
      <c r="N85" s="49">
        <v>124.7</v>
      </c>
      <c r="O85" s="49">
        <v>123.7</v>
      </c>
      <c r="P85" s="49">
        <v>124.5</v>
      </c>
      <c r="Q85" s="49">
        <v>123.1</v>
      </c>
      <c r="R85" s="49"/>
      <c r="S85" s="49">
        <v>126</v>
      </c>
      <c r="T85" s="49">
        <v>126</v>
      </c>
      <c r="U85" s="49">
        <v>123.8</v>
      </c>
      <c r="V85" s="49">
        <v>123.6</v>
      </c>
      <c r="W85" s="49"/>
      <c r="X85" s="49">
        <v>124.6</v>
      </c>
      <c r="Y85" s="49">
        <v>124.7</v>
      </c>
      <c r="Z85" s="49">
        <v>123.7</v>
      </c>
      <c r="AA85" s="49">
        <v>122.5</v>
      </c>
      <c r="AB85" s="49">
        <v>123.2</v>
      </c>
      <c r="AC85" s="49">
        <v>123.9</v>
      </c>
      <c r="AD85" s="49">
        <v>124.2</v>
      </c>
      <c r="AE85" s="49">
        <v>122.5</v>
      </c>
      <c r="AF85" s="49">
        <v>123.4</v>
      </c>
      <c r="AG85" s="93"/>
      <c r="AH85" s="55">
        <f t="shared" si="22"/>
        <v>126</v>
      </c>
      <c r="AI85" s="56">
        <f t="shared" si="23"/>
        <v>120.7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128.80000000000001</v>
      </c>
      <c r="C86" s="49">
        <v>128.69999999999999</v>
      </c>
      <c r="D86" s="49">
        <v>127.1</v>
      </c>
      <c r="E86" s="49">
        <v>127.1</v>
      </c>
      <c r="F86" s="49">
        <v>127.1</v>
      </c>
      <c r="G86" s="49">
        <v>127.1</v>
      </c>
      <c r="H86" s="49">
        <v>125.6</v>
      </c>
      <c r="I86" s="49">
        <v>126.1</v>
      </c>
      <c r="J86" s="49">
        <v>126.1</v>
      </c>
      <c r="K86" s="49">
        <v>127</v>
      </c>
      <c r="L86" s="49">
        <v>128.19999999999999</v>
      </c>
      <c r="M86" s="49">
        <v>128</v>
      </c>
      <c r="N86" s="49">
        <v>127.9</v>
      </c>
      <c r="O86" s="49">
        <v>126.6</v>
      </c>
      <c r="P86" s="49">
        <v>128.5</v>
      </c>
      <c r="Q86" s="49">
        <v>126.8</v>
      </c>
      <c r="R86" s="49"/>
      <c r="S86" s="49">
        <v>129.4</v>
      </c>
      <c r="T86" s="49">
        <v>129.30000000000001</v>
      </c>
      <c r="U86" s="49">
        <v>127.7</v>
      </c>
      <c r="V86" s="49">
        <v>127.8</v>
      </c>
      <c r="W86" s="49">
        <v>127.8</v>
      </c>
      <c r="X86" s="49">
        <v>128.80000000000001</v>
      </c>
      <c r="Y86" s="49">
        <v>128.80000000000001</v>
      </c>
      <c r="Z86" s="49">
        <v>127.4</v>
      </c>
      <c r="AA86" s="49">
        <v>126.8</v>
      </c>
      <c r="AB86" s="49">
        <v>127.5</v>
      </c>
      <c r="AC86" s="49">
        <v>128.1</v>
      </c>
      <c r="AD86" s="49">
        <v>128.30000000000001</v>
      </c>
      <c r="AE86" s="49">
        <v>128.30000000000001</v>
      </c>
      <c r="AF86" s="49">
        <v>128.1</v>
      </c>
      <c r="AG86" s="93"/>
      <c r="AH86" s="55">
        <f t="shared" si="22"/>
        <v>129.4</v>
      </c>
      <c r="AI86" s="56">
        <f t="shared" si="23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120</v>
      </c>
      <c r="C87" s="49">
        <v>125.4</v>
      </c>
      <c r="D87" s="49">
        <v>125.1</v>
      </c>
      <c r="E87" s="49">
        <v>125.1</v>
      </c>
      <c r="F87" s="49">
        <v>125.1</v>
      </c>
      <c r="G87" s="49">
        <v>125.1</v>
      </c>
      <c r="H87" s="49">
        <v>127.2</v>
      </c>
      <c r="I87" s="49">
        <v>127.7</v>
      </c>
      <c r="J87" s="49">
        <v>127.7</v>
      </c>
      <c r="K87" s="49">
        <v>127.7</v>
      </c>
      <c r="L87" s="49">
        <v>128.5</v>
      </c>
      <c r="M87" s="49">
        <v>128</v>
      </c>
      <c r="N87" s="49">
        <v>127</v>
      </c>
      <c r="O87" s="49">
        <v>128</v>
      </c>
      <c r="P87" s="49"/>
      <c r="Q87" s="49"/>
      <c r="R87" s="49"/>
      <c r="S87" s="49">
        <v>127.5</v>
      </c>
      <c r="T87" s="49">
        <v>124.2</v>
      </c>
      <c r="U87" s="49">
        <v>127.3</v>
      </c>
      <c r="V87" s="49">
        <v>127.3</v>
      </c>
      <c r="W87" s="49">
        <v>127.4</v>
      </c>
      <c r="X87" s="49">
        <v>127.6</v>
      </c>
      <c r="Y87" s="49">
        <v>128.80000000000001</v>
      </c>
      <c r="Z87" s="49">
        <v>127.8</v>
      </c>
      <c r="AA87" s="49">
        <v>125.4</v>
      </c>
      <c r="AB87" s="49">
        <v>127.8</v>
      </c>
      <c r="AC87" s="49">
        <v>128.1</v>
      </c>
      <c r="AD87" s="49">
        <v>123.3</v>
      </c>
      <c r="AE87" s="49">
        <v>126.7</v>
      </c>
      <c r="AF87" s="49">
        <v>125.5</v>
      </c>
      <c r="AG87" s="93"/>
      <c r="AH87" s="55">
        <f t="shared" si="22"/>
        <v>128.80000000000001</v>
      </c>
      <c r="AI87" s="56">
        <f t="shared" si="23"/>
        <v>120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22"/>
        <v>0</v>
      </c>
      <c r="AI88" s="56">
        <f t="shared" si="23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130.19999999999999</v>
      </c>
      <c r="C89" s="95">
        <v>131.1</v>
      </c>
      <c r="D89" s="95">
        <v>134.80000000000001</v>
      </c>
      <c r="E89" s="95">
        <v>134.80000000000001</v>
      </c>
      <c r="F89" s="95">
        <v>132</v>
      </c>
      <c r="G89" s="95">
        <v>134.80000000000001</v>
      </c>
      <c r="H89" s="95">
        <v>131.4</v>
      </c>
      <c r="I89" s="95">
        <v>131</v>
      </c>
      <c r="J89" s="95">
        <v>131</v>
      </c>
      <c r="K89" s="95">
        <v>131</v>
      </c>
      <c r="L89" s="95">
        <v>129.6</v>
      </c>
      <c r="M89" s="95">
        <v>130</v>
      </c>
      <c r="N89" s="95">
        <v>132.30000000000001</v>
      </c>
      <c r="O89" s="95">
        <v>128.5</v>
      </c>
      <c r="P89" s="95">
        <v>133.30000000000001</v>
      </c>
      <c r="Q89" s="95">
        <v>133.69999999999999</v>
      </c>
      <c r="R89" s="95"/>
      <c r="S89" s="95">
        <v>132.6</v>
      </c>
      <c r="T89" s="95">
        <v>134</v>
      </c>
      <c r="U89" s="95">
        <v>133.6</v>
      </c>
      <c r="V89" s="95">
        <v>135.19999999999999</v>
      </c>
      <c r="W89" s="95">
        <v>130.9</v>
      </c>
      <c r="X89" s="95">
        <v>131.69999999999999</v>
      </c>
      <c r="Y89" s="95">
        <v>131.19999999999999</v>
      </c>
      <c r="Z89" s="95">
        <v>128.80000000000001</v>
      </c>
      <c r="AA89" s="95">
        <v>133.69999999999999</v>
      </c>
      <c r="AB89" s="95">
        <v>134.80000000000001</v>
      </c>
      <c r="AC89" s="95">
        <v>133.19999999999999</v>
      </c>
      <c r="AD89" s="95">
        <v>129.5</v>
      </c>
      <c r="AE89" s="95">
        <v>131.4</v>
      </c>
      <c r="AF89" s="95">
        <v>131.4</v>
      </c>
      <c r="AG89" s="96"/>
      <c r="AH89" s="55">
        <f t="shared" si="22"/>
        <v>135.19999999999999</v>
      </c>
      <c r="AI89" s="56">
        <f t="shared" si="23"/>
        <v>128.5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122</v>
      </c>
      <c r="C90" s="49">
        <v>125.4</v>
      </c>
      <c r="D90" s="49">
        <v>128.30000000000001</v>
      </c>
      <c r="E90" s="49">
        <v>128.30000000000001</v>
      </c>
      <c r="F90" s="49">
        <v>126</v>
      </c>
      <c r="G90" s="49">
        <v>128.30000000000001</v>
      </c>
      <c r="H90" s="49">
        <v>134.6</v>
      </c>
      <c r="I90" s="49">
        <v>131</v>
      </c>
      <c r="J90" s="49">
        <v>131</v>
      </c>
      <c r="K90" s="49">
        <v>131</v>
      </c>
      <c r="L90" s="49">
        <v>131.5</v>
      </c>
      <c r="M90" s="49">
        <v>132.9</v>
      </c>
      <c r="N90" s="49">
        <v>130.5</v>
      </c>
      <c r="O90" s="49">
        <v>130.9</v>
      </c>
      <c r="P90" s="49">
        <v>129.30000000000001</v>
      </c>
      <c r="Q90" s="49">
        <v>131.6</v>
      </c>
      <c r="R90" s="49"/>
      <c r="S90" s="49">
        <v>131.9</v>
      </c>
      <c r="T90" s="49">
        <v>127.7</v>
      </c>
      <c r="U90" s="49">
        <v>130.9</v>
      </c>
      <c r="V90" s="49">
        <v>133.80000000000001</v>
      </c>
      <c r="W90" s="49">
        <v>126</v>
      </c>
      <c r="X90" s="49">
        <v>124.8</v>
      </c>
      <c r="Y90" s="49">
        <v>125.9</v>
      </c>
      <c r="Z90" s="49">
        <v>125.5</v>
      </c>
      <c r="AA90" s="49">
        <v>130.4</v>
      </c>
      <c r="AB90" s="49">
        <v>128.6</v>
      </c>
      <c r="AC90" s="49">
        <v>129.5</v>
      </c>
      <c r="AD90" s="49">
        <v>124.7</v>
      </c>
      <c r="AE90" s="49">
        <v>124.6</v>
      </c>
      <c r="AF90" s="49">
        <v>130.1</v>
      </c>
      <c r="AG90" s="93"/>
      <c r="AH90" s="55">
        <f t="shared" si="22"/>
        <v>134.6</v>
      </c>
      <c r="AI90" s="56">
        <f t="shared" si="23"/>
        <v>122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65.3</v>
      </c>
      <c r="C91" s="97">
        <v>65.2</v>
      </c>
      <c r="D91" s="97">
        <v>64.2</v>
      </c>
      <c r="E91" s="97">
        <v>64.2</v>
      </c>
      <c r="F91" s="97">
        <v>64</v>
      </c>
      <c r="G91" s="97">
        <v>64.5</v>
      </c>
      <c r="H91" s="97">
        <v>64.5</v>
      </c>
      <c r="I91" s="97">
        <v>64.3</v>
      </c>
      <c r="J91" s="97">
        <v>64.2</v>
      </c>
      <c r="K91" s="97">
        <v>64</v>
      </c>
      <c r="L91" s="97">
        <v>64.3</v>
      </c>
      <c r="M91" s="97">
        <v>64</v>
      </c>
      <c r="N91" s="97">
        <v>64.3</v>
      </c>
      <c r="O91" s="97">
        <v>63.2</v>
      </c>
      <c r="P91" s="97">
        <v>64.599999999999994</v>
      </c>
      <c r="Q91" s="97">
        <v>64</v>
      </c>
      <c r="R91" s="97"/>
      <c r="S91" s="97">
        <v>65.3</v>
      </c>
      <c r="T91" s="97">
        <v>65</v>
      </c>
      <c r="U91" s="97">
        <v>64.3</v>
      </c>
      <c r="V91" s="97">
        <v>64.099999999999994</v>
      </c>
      <c r="W91" s="97">
        <v>64.5</v>
      </c>
      <c r="X91" s="97">
        <v>64.900000000000006</v>
      </c>
      <c r="Y91" s="97">
        <v>65</v>
      </c>
      <c r="Z91" s="97">
        <v>64.2</v>
      </c>
      <c r="AA91" s="97">
        <v>63.7</v>
      </c>
      <c r="AB91" s="97">
        <v>64.5</v>
      </c>
      <c r="AC91" s="97">
        <v>64.8</v>
      </c>
      <c r="AD91" s="97">
        <v>65.099999999999994</v>
      </c>
      <c r="AE91" s="97">
        <v>64.900000000000006</v>
      </c>
      <c r="AF91" s="97">
        <v>64.8</v>
      </c>
      <c r="AG91" s="98"/>
      <c r="AH91" s="55">
        <f t="shared" si="22"/>
        <v>65.3</v>
      </c>
      <c r="AI91" s="56">
        <f t="shared" si="23"/>
        <v>63.2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37">SUM(B15,B18,B21:B22,B42,B44:B45,B47,B49,B94:B97,B103,B109,B115,B124,B126,B138,B145,B148:B149,B156,B158,B160,B164:B166,B168:B170,B175,B181:B182,B184:B186,B194,B199)</f>
        <v>278.14000000000004</v>
      </c>
      <c r="C93" s="103">
        <f t="shared" si="37"/>
        <v>275.34000000000003</v>
      </c>
      <c r="D93" s="103">
        <f t="shared" si="37"/>
        <v>287.44000000000005</v>
      </c>
      <c r="E93" s="103">
        <f t="shared" si="37"/>
        <v>287.44000000000005</v>
      </c>
      <c r="F93" s="103">
        <f t="shared" si="37"/>
        <v>285.44000000000005</v>
      </c>
      <c r="G93" s="103">
        <f t="shared" si="37"/>
        <v>285.44000000000005</v>
      </c>
      <c r="H93" s="103">
        <f t="shared" si="37"/>
        <v>239.04000000000002</v>
      </c>
      <c r="I93" s="103">
        <f t="shared" si="37"/>
        <v>241.74000000000004</v>
      </c>
      <c r="J93" s="103">
        <f t="shared" si="37"/>
        <v>241.74000000000004</v>
      </c>
      <c r="K93" s="103">
        <f t="shared" si="37"/>
        <v>254.94000000000003</v>
      </c>
      <c r="L93" s="103">
        <f t="shared" si="37"/>
        <v>318.04000000000008</v>
      </c>
      <c r="M93" s="103">
        <f t="shared" si="37"/>
        <v>350.64000000000004</v>
      </c>
      <c r="N93" s="103">
        <f t="shared" si="37"/>
        <v>329.1400000000001</v>
      </c>
      <c r="O93" s="103">
        <f t="shared" si="37"/>
        <v>304.34000000000003</v>
      </c>
      <c r="P93" s="103">
        <f t="shared" si="37"/>
        <v>309.74</v>
      </c>
      <c r="Q93" s="103">
        <f t="shared" si="37"/>
        <v>305.64000000000004</v>
      </c>
      <c r="R93" s="103">
        <f t="shared" si="37"/>
        <v>221.93999999999997</v>
      </c>
      <c r="S93" s="103">
        <f t="shared" si="37"/>
        <v>293.44</v>
      </c>
      <c r="T93" s="103">
        <f t="shared" si="37"/>
        <v>279.64</v>
      </c>
      <c r="U93" s="103">
        <f t="shared" si="37"/>
        <v>277.14</v>
      </c>
      <c r="V93" s="103">
        <f t="shared" si="37"/>
        <v>278.83999999999997</v>
      </c>
      <c r="W93" s="103">
        <f t="shared" si="37"/>
        <v>279.64</v>
      </c>
      <c r="X93" s="103">
        <f t="shared" si="37"/>
        <v>292.44</v>
      </c>
      <c r="Y93" s="103">
        <f t="shared" si="37"/>
        <v>302.14</v>
      </c>
      <c r="Z93" s="103">
        <f t="shared" si="37"/>
        <v>289.94</v>
      </c>
      <c r="AA93" s="103">
        <f t="shared" si="37"/>
        <v>308.54000000000002</v>
      </c>
      <c r="AB93" s="103">
        <f t="shared" si="37"/>
        <v>288.14</v>
      </c>
      <c r="AC93" s="103">
        <f t="shared" si="37"/>
        <v>294.34000000000003</v>
      </c>
      <c r="AD93" s="103">
        <f t="shared" si="37"/>
        <v>287.34000000000003</v>
      </c>
      <c r="AE93" s="103">
        <f t="shared" si="37"/>
        <v>271.24</v>
      </c>
      <c r="AF93" s="103">
        <f t="shared" si="37"/>
        <v>250.43999999999997</v>
      </c>
      <c r="AG93" s="104"/>
      <c r="AH93" s="55">
        <f>MAX(C93:AF93)</f>
        <v>350.64000000000004</v>
      </c>
      <c r="AI93" s="56">
        <f>MIN(C93:AF93)</f>
        <v>221.93999999999997</v>
      </c>
    </row>
    <row r="94" spans="1:88" x14ac:dyDescent="0.25">
      <c r="A94" s="105" t="s">
        <v>98</v>
      </c>
      <c r="B94" s="106">
        <f>32.1+16.2</f>
        <v>48.3</v>
      </c>
      <c r="C94" s="106">
        <f>39.3+19.1</f>
        <v>58.4</v>
      </c>
      <c r="D94" s="106">
        <f>50.5+28</f>
        <v>78.5</v>
      </c>
      <c r="E94" s="106">
        <f t="shared" ref="E94:G94" si="38">50.5+28</f>
        <v>78.5</v>
      </c>
      <c r="F94" s="106">
        <f t="shared" si="38"/>
        <v>78.5</v>
      </c>
      <c r="G94" s="106">
        <f t="shared" si="38"/>
        <v>78.5</v>
      </c>
      <c r="H94" s="106">
        <v>16.399999999999999</v>
      </c>
      <c r="I94" s="106">
        <v>14.9</v>
      </c>
      <c r="J94" s="106">
        <v>14.9</v>
      </c>
      <c r="K94" s="106">
        <v>14.9</v>
      </c>
      <c r="L94" s="106">
        <v>10.4</v>
      </c>
      <c r="M94" s="106">
        <v>20</v>
      </c>
      <c r="N94" s="106">
        <v>12.5</v>
      </c>
      <c r="O94" s="106">
        <v>28.5</v>
      </c>
      <c r="P94" s="106">
        <v>34</v>
      </c>
      <c r="Q94" s="106">
        <v>31.1</v>
      </c>
      <c r="R94" s="106"/>
      <c r="S94" s="106">
        <v>26.2</v>
      </c>
      <c r="T94" s="106">
        <v>23.5</v>
      </c>
      <c r="U94" s="106">
        <v>27.9</v>
      </c>
      <c r="V94" s="106">
        <v>30.5</v>
      </c>
      <c r="W94" s="106">
        <v>28.8</v>
      </c>
      <c r="X94" s="106">
        <v>26</v>
      </c>
      <c r="Y94" s="106">
        <v>39.5</v>
      </c>
      <c r="Z94" s="106">
        <v>24.4</v>
      </c>
      <c r="AA94" s="106">
        <v>26.1</v>
      </c>
      <c r="AB94" s="106">
        <v>21.6</v>
      </c>
      <c r="AC94" s="106">
        <v>19.8</v>
      </c>
      <c r="AD94" s="106">
        <v>20.2</v>
      </c>
      <c r="AE94" s="106">
        <v>20</v>
      </c>
      <c r="AF94" s="106">
        <v>14.7</v>
      </c>
      <c r="AG94" s="107">
        <v>75</v>
      </c>
      <c r="AH94" s="55">
        <f t="shared" ref="AH94:AH100" si="39">IF(ABS(MAX(C94:AF94))&gt;ABS(MIN(C94:AF94)),MAX(C94:AF94),MIN(C94:AF94))</f>
        <v>78.5</v>
      </c>
      <c r="AI94" s="108">
        <f t="shared" ref="AI94:AI100" si="40">INDEX($C$9:$AF$9,1,MATCH(AH94,C94:AF94,0))</f>
        <v>8.3333333333333301E-2</v>
      </c>
    </row>
    <row r="95" spans="1:88" x14ac:dyDescent="0.25">
      <c r="A95" s="109" t="s">
        <v>99</v>
      </c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>
        <v>0</v>
      </c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5">
        <f t="shared" si="39"/>
        <v>0</v>
      </c>
      <c r="AI95" s="108">
        <f t="shared" si="40"/>
        <v>0.75</v>
      </c>
    </row>
    <row r="96" spans="1:88" x14ac:dyDescent="0.25">
      <c r="A96" s="109" t="s">
        <v>100</v>
      </c>
      <c r="B96" s="110">
        <v>4.2</v>
      </c>
      <c r="C96" s="110">
        <v>-3.2</v>
      </c>
      <c r="D96" s="110">
        <v>-16.3</v>
      </c>
      <c r="E96" s="110">
        <v>-16.3</v>
      </c>
      <c r="F96" s="110">
        <v>-16.3</v>
      </c>
      <c r="G96" s="110">
        <v>-16.3</v>
      </c>
      <c r="H96" s="110">
        <v>-1.1000000000000001</v>
      </c>
      <c r="I96" s="110">
        <v>1.8</v>
      </c>
      <c r="J96" s="110">
        <v>1.8</v>
      </c>
      <c r="K96" s="110">
        <v>15</v>
      </c>
      <c r="L96" s="110">
        <v>30.8</v>
      </c>
      <c r="M96" s="110">
        <v>51.4</v>
      </c>
      <c r="N96" s="110">
        <v>38.4</v>
      </c>
      <c r="O96" s="110">
        <v>7.5</v>
      </c>
      <c r="P96" s="110">
        <v>12</v>
      </c>
      <c r="Q96" s="110">
        <v>7.3</v>
      </c>
      <c r="R96" s="110"/>
      <c r="S96" s="110">
        <v>21.2</v>
      </c>
      <c r="T96" s="110">
        <v>10.3</v>
      </c>
      <c r="U96" s="110">
        <v>6</v>
      </c>
      <c r="V96" s="110">
        <v>5.0999999999999996</v>
      </c>
      <c r="W96" s="110">
        <v>7.6</v>
      </c>
      <c r="X96" s="110">
        <v>19.8</v>
      </c>
      <c r="Y96" s="110">
        <v>16</v>
      </c>
      <c r="Z96" s="110">
        <v>28.9</v>
      </c>
      <c r="AA96" s="110">
        <v>45.8</v>
      </c>
      <c r="AB96" s="110">
        <v>29.2</v>
      </c>
      <c r="AC96" s="110">
        <v>37.200000000000003</v>
      </c>
      <c r="AD96" s="110">
        <v>29.8</v>
      </c>
      <c r="AE96" s="110">
        <v>13.4</v>
      </c>
      <c r="AF96" s="110">
        <v>-2.1</v>
      </c>
      <c r="AG96" s="107">
        <v>60</v>
      </c>
      <c r="AH96" s="55">
        <f t="shared" si="39"/>
        <v>51.4</v>
      </c>
      <c r="AI96" s="108">
        <f t="shared" si="40"/>
        <v>0.33333333333333331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51.8</v>
      </c>
      <c r="M97" s="112">
        <v>51.4</v>
      </c>
      <c r="N97" s="112">
        <v>54.1</v>
      </c>
      <c r="O97" s="112">
        <v>42.9</v>
      </c>
      <c r="P97" s="112">
        <v>38.299999999999997</v>
      </c>
      <c r="Q97" s="112">
        <v>44.8</v>
      </c>
      <c r="R97" s="112"/>
      <c r="S97" s="112">
        <v>0</v>
      </c>
      <c r="T97" s="112">
        <v>0</v>
      </c>
      <c r="U97" s="112">
        <v>0</v>
      </c>
      <c r="V97" s="112">
        <v>0</v>
      </c>
      <c r="W97" s="112">
        <v>0</v>
      </c>
      <c r="X97" s="112">
        <v>0</v>
      </c>
      <c r="Y97" s="112">
        <v>0</v>
      </c>
      <c r="Z97" s="112">
        <v>0</v>
      </c>
      <c r="AA97" s="112">
        <v>0</v>
      </c>
      <c r="AB97" s="112">
        <v>0</v>
      </c>
      <c r="AC97" s="112">
        <v>0</v>
      </c>
      <c r="AD97" s="112">
        <v>0</v>
      </c>
      <c r="AE97" s="112">
        <v>0</v>
      </c>
      <c r="AF97" s="112">
        <v>0</v>
      </c>
      <c r="AG97" s="113">
        <v>120</v>
      </c>
      <c r="AH97" s="55">
        <f t="shared" si="39"/>
        <v>54.1</v>
      </c>
      <c r="AI97" s="108">
        <f t="shared" si="40"/>
        <v>0.375</v>
      </c>
    </row>
    <row r="98" spans="1:37" x14ac:dyDescent="0.25">
      <c r="A98" s="111" t="s">
        <v>102</v>
      </c>
      <c r="B98" s="112">
        <v>48.3</v>
      </c>
      <c r="C98" s="112">
        <v>35.4</v>
      </c>
      <c r="D98" s="112">
        <v>33.9</v>
      </c>
      <c r="E98" s="112">
        <v>33.9</v>
      </c>
      <c r="F98" s="112">
        <v>33.9</v>
      </c>
      <c r="G98" s="112">
        <v>33.9</v>
      </c>
      <c r="H98" s="112">
        <v>60.5</v>
      </c>
      <c r="I98" s="112">
        <v>72.8</v>
      </c>
      <c r="J98" s="112">
        <v>72.8</v>
      </c>
      <c r="K98" s="112">
        <v>72.8</v>
      </c>
      <c r="L98" s="112">
        <v>48.7</v>
      </c>
      <c r="M98" s="112">
        <v>46.8</v>
      </c>
      <c r="N98" s="112">
        <v>47.5</v>
      </c>
      <c r="O98" s="112">
        <v>43.5</v>
      </c>
      <c r="P98" s="112">
        <v>38.9</v>
      </c>
      <c r="Q98" s="112">
        <v>45.1</v>
      </c>
      <c r="R98" s="112"/>
      <c r="S98" s="112">
        <v>34</v>
      </c>
      <c r="T98" s="112">
        <v>25.5</v>
      </c>
      <c r="U98" s="112">
        <v>33.4</v>
      </c>
      <c r="V98" s="112">
        <v>32.6</v>
      </c>
      <c r="W98" s="112">
        <v>26.2</v>
      </c>
      <c r="X98" s="112">
        <v>52</v>
      </c>
      <c r="Y98" s="112">
        <v>48.6</v>
      </c>
      <c r="Z98" s="112">
        <v>73.8</v>
      </c>
      <c r="AA98" s="112">
        <v>52</v>
      </c>
      <c r="AB98" s="112">
        <v>80.5</v>
      </c>
      <c r="AC98" s="112">
        <v>64</v>
      </c>
      <c r="AD98" s="112">
        <v>46.3</v>
      </c>
      <c r="AE98" s="112">
        <v>37.9</v>
      </c>
      <c r="AF98" s="112">
        <v>40.5</v>
      </c>
      <c r="AG98" s="113"/>
      <c r="AH98" s="55">
        <f t="shared" si="39"/>
        <v>80.5</v>
      </c>
      <c r="AI98" s="108">
        <f t="shared" si="40"/>
        <v>0.83333333333333337</v>
      </c>
    </row>
    <row r="99" spans="1:37" x14ac:dyDescent="0.25">
      <c r="A99" s="111" t="s">
        <v>253</v>
      </c>
      <c r="B99" s="112">
        <v>49</v>
      </c>
      <c r="C99" s="112">
        <v>31.9</v>
      </c>
      <c r="D99" s="112">
        <v>-2.7</v>
      </c>
      <c r="E99" s="112">
        <v>-2.7</v>
      </c>
      <c r="F99" s="112">
        <v>-2.7</v>
      </c>
      <c r="G99" s="112">
        <v>-2.7</v>
      </c>
      <c r="H99" s="112">
        <v>38.1</v>
      </c>
      <c r="I99" s="112">
        <v>42.6</v>
      </c>
      <c r="J99" s="112">
        <v>42.6</v>
      </c>
      <c r="K99" s="112">
        <v>42.6</v>
      </c>
      <c r="L99" s="112">
        <v>45.6</v>
      </c>
      <c r="M99" s="112">
        <v>64.900000000000006</v>
      </c>
      <c r="N99" s="112">
        <v>27</v>
      </c>
      <c r="O99" s="112">
        <v>-9.6</v>
      </c>
      <c r="P99" s="112">
        <v>-36.200000000000003</v>
      </c>
      <c r="Q99" s="112">
        <v>-15.6</v>
      </c>
      <c r="R99" s="112"/>
      <c r="S99" s="112">
        <v>-10.9</v>
      </c>
      <c r="T99" s="112">
        <v>-4.2</v>
      </c>
      <c r="U99" s="112">
        <v>-18</v>
      </c>
      <c r="V99" s="112">
        <v>-20.8</v>
      </c>
      <c r="W99" s="112">
        <v>-20.3</v>
      </c>
      <c r="X99" s="112">
        <v>26.4</v>
      </c>
      <c r="Y99" s="112">
        <v>27.6</v>
      </c>
      <c r="Z99" s="112">
        <v>31.5</v>
      </c>
      <c r="AA99" s="112">
        <v>0</v>
      </c>
      <c r="AB99" s="112">
        <v>18</v>
      </c>
      <c r="AC99" s="112">
        <v>22.7</v>
      </c>
      <c r="AD99" s="112">
        <v>13.7</v>
      </c>
      <c r="AE99" s="112">
        <v>14.6</v>
      </c>
      <c r="AF99" s="112">
        <v>7</v>
      </c>
      <c r="AG99" s="114"/>
      <c r="AH99" s="55">
        <f t="shared" si="39"/>
        <v>64.900000000000006</v>
      </c>
      <c r="AI99" s="108">
        <f t="shared" si="40"/>
        <v>0.33333333333333331</v>
      </c>
    </row>
    <row r="100" spans="1:37" ht="15.75" thickBot="1" x14ac:dyDescent="0.3">
      <c r="A100" s="115" t="s">
        <v>259</v>
      </c>
      <c r="B100" s="95">
        <v>101.2</v>
      </c>
      <c r="C100" s="95">
        <v>104.4</v>
      </c>
      <c r="D100" s="95">
        <v>117</v>
      </c>
      <c r="E100" s="95">
        <v>122</v>
      </c>
      <c r="F100" s="95">
        <v>119</v>
      </c>
      <c r="G100" s="95">
        <v>117</v>
      </c>
      <c r="H100" s="95">
        <v>117.2</v>
      </c>
      <c r="I100" s="95">
        <v>114.2</v>
      </c>
      <c r="J100" s="95">
        <v>114.2</v>
      </c>
      <c r="K100" s="95">
        <v>114.2</v>
      </c>
      <c r="L100" s="95">
        <v>12.5</v>
      </c>
      <c r="M100" s="95">
        <v>107</v>
      </c>
      <c r="N100" s="95">
        <v>98.1</v>
      </c>
      <c r="O100" s="95">
        <v>87.6</v>
      </c>
      <c r="P100" s="95"/>
      <c r="Q100" s="95"/>
      <c r="R100" s="95"/>
      <c r="S100" s="95">
        <v>53.9</v>
      </c>
      <c r="T100" s="95">
        <v>56</v>
      </c>
      <c r="U100" s="95">
        <v>57.2</v>
      </c>
      <c r="V100" s="95">
        <v>56.6</v>
      </c>
      <c r="W100" s="95">
        <v>57.4</v>
      </c>
      <c r="X100" s="95">
        <v>59</v>
      </c>
      <c r="Y100" s="95">
        <v>59.6</v>
      </c>
      <c r="Z100" s="95">
        <v>54.7</v>
      </c>
      <c r="AA100" s="95">
        <v>55</v>
      </c>
      <c r="AB100" s="95">
        <v>87.3</v>
      </c>
      <c r="AC100" s="95">
        <v>87.3</v>
      </c>
      <c r="AD100" s="95">
        <v>87.1</v>
      </c>
      <c r="AE100" s="95">
        <v>92.8</v>
      </c>
      <c r="AF100" s="95">
        <v>94.7</v>
      </c>
      <c r="AG100" s="114"/>
      <c r="AH100" s="55">
        <f t="shared" si="39"/>
        <v>122</v>
      </c>
      <c r="AI100" s="108">
        <f t="shared" si="40"/>
        <v>0.125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41">AF102</f>
        <v>9.9</v>
      </c>
      <c r="C102" s="54">
        <v>9.9</v>
      </c>
      <c r="D102" s="121">
        <f t="shared" ref="D102:S107" si="42">C102</f>
        <v>9.9</v>
      </c>
      <c r="E102" s="121">
        <f t="shared" si="42"/>
        <v>9.9</v>
      </c>
      <c r="F102" s="121">
        <f t="shared" si="42"/>
        <v>9.9</v>
      </c>
      <c r="G102" s="121">
        <f t="shared" si="42"/>
        <v>9.9</v>
      </c>
      <c r="H102" s="121">
        <f t="shared" si="42"/>
        <v>9.9</v>
      </c>
      <c r="I102" s="121">
        <f t="shared" si="42"/>
        <v>9.9</v>
      </c>
      <c r="J102" s="121">
        <f t="shared" si="42"/>
        <v>9.9</v>
      </c>
      <c r="K102" s="121">
        <f t="shared" si="42"/>
        <v>9.9</v>
      </c>
      <c r="L102" s="121">
        <f t="shared" si="42"/>
        <v>9.9</v>
      </c>
      <c r="M102" s="121">
        <f t="shared" si="42"/>
        <v>9.9</v>
      </c>
      <c r="N102" s="121">
        <f t="shared" si="42"/>
        <v>9.9</v>
      </c>
      <c r="O102" s="121">
        <f t="shared" si="42"/>
        <v>9.9</v>
      </c>
      <c r="P102" s="121">
        <f t="shared" si="42"/>
        <v>9.9</v>
      </c>
      <c r="Q102" s="121">
        <f t="shared" si="42"/>
        <v>9.9</v>
      </c>
      <c r="R102" s="121">
        <f t="shared" si="42"/>
        <v>9.9</v>
      </c>
      <c r="S102" s="121">
        <f t="shared" si="42"/>
        <v>9.9</v>
      </c>
      <c r="T102" s="121">
        <f t="shared" ref="T102:AF107" si="43">S102</f>
        <v>9.9</v>
      </c>
      <c r="U102" s="121">
        <f t="shared" si="43"/>
        <v>9.9</v>
      </c>
      <c r="V102" s="121">
        <f t="shared" si="43"/>
        <v>9.9</v>
      </c>
      <c r="W102" s="121">
        <f t="shared" si="43"/>
        <v>9.9</v>
      </c>
      <c r="X102" s="121">
        <f t="shared" si="43"/>
        <v>9.9</v>
      </c>
      <c r="Y102" s="121">
        <f t="shared" si="43"/>
        <v>9.9</v>
      </c>
      <c r="Z102" s="121">
        <f t="shared" si="43"/>
        <v>9.9</v>
      </c>
      <c r="AA102" s="121">
        <f t="shared" si="43"/>
        <v>9.9</v>
      </c>
      <c r="AB102" s="121">
        <f t="shared" si="43"/>
        <v>9.9</v>
      </c>
      <c r="AC102" s="121">
        <f t="shared" si="43"/>
        <v>9.9</v>
      </c>
      <c r="AD102" s="121">
        <f t="shared" si="43"/>
        <v>9.9</v>
      </c>
      <c r="AE102" s="121">
        <f t="shared" si="43"/>
        <v>9.9</v>
      </c>
      <c r="AF102" s="121">
        <f t="shared" si="43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41"/>
        <v>9.6</v>
      </c>
      <c r="C103" s="124">
        <v>9.6</v>
      </c>
      <c r="D103" s="123">
        <f t="shared" si="42"/>
        <v>9.6</v>
      </c>
      <c r="E103" s="123">
        <f t="shared" si="42"/>
        <v>9.6</v>
      </c>
      <c r="F103" s="123">
        <f t="shared" si="42"/>
        <v>9.6</v>
      </c>
      <c r="G103" s="123">
        <f t="shared" si="42"/>
        <v>9.6</v>
      </c>
      <c r="H103" s="123">
        <f t="shared" si="42"/>
        <v>9.6</v>
      </c>
      <c r="I103" s="123">
        <f t="shared" si="42"/>
        <v>9.6</v>
      </c>
      <c r="J103" s="123">
        <f t="shared" si="42"/>
        <v>9.6</v>
      </c>
      <c r="K103" s="123">
        <f t="shared" si="42"/>
        <v>9.6</v>
      </c>
      <c r="L103" s="123">
        <f t="shared" si="42"/>
        <v>9.6</v>
      </c>
      <c r="M103" s="123">
        <f t="shared" si="42"/>
        <v>9.6</v>
      </c>
      <c r="N103" s="123">
        <f t="shared" si="42"/>
        <v>9.6</v>
      </c>
      <c r="O103" s="123">
        <f t="shared" si="42"/>
        <v>9.6</v>
      </c>
      <c r="P103" s="123">
        <f t="shared" si="42"/>
        <v>9.6</v>
      </c>
      <c r="Q103" s="123">
        <f t="shared" si="42"/>
        <v>9.6</v>
      </c>
      <c r="R103" s="123">
        <f t="shared" si="42"/>
        <v>9.6</v>
      </c>
      <c r="S103" s="123">
        <f t="shared" si="42"/>
        <v>9.6</v>
      </c>
      <c r="T103" s="123">
        <f t="shared" si="43"/>
        <v>9.6</v>
      </c>
      <c r="U103" s="123">
        <f t="shared" si="43"/>
        <v>9.6</v>
      </c>
      <c r="V103" s="123">
        <f t="shared" si="43"/>
        <v>9.6</v>
      </c>
      <c r="W103" s="123">
        <f t="shared" si="43"/>
        <v>9.6</v>
      </c>
      <c r="X103" s="123">
        <f t="shared" si="43"/>
        <v>9.6</v>
      </c>
      <c r="Y103" s="123">
        <f t="shared" si="43"/>
        <v>9.6</v>
      </c>
      <c r="Z103" s="123">
        <f t="shared" si="43"/>
        <v>9.6</v>
      </c>
      <c r="AA103" s="123">
        <f t="shared" si="43"/>
        <v>9.6</v>
      </c>
      <c r="AB103" s="123">
        <f t="shared" si="43"/>
        <v>9.6</v>
      </c>
      <c r="AC103" s="123">
        <f t="shared" si="43"/>
        <v>9.6</v>
      </c>
      <c r="AD103" s="123">
        <f t="shared" si="43"/>
        <v>9.6</v>
      </c>
      <c r="AE103" s="123">
        <f t="shared" si="43"/>
        <v>9.6</v>
      </c>
      <c r="AF103" s="123">
        <f t="shared" si="43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41"/>
        <v>9.98</v>
      </c>
      <c r="C104" s="124">
        <v>9.98</v>
      </c>
      <c r="D104" s="123">
        <f t="shared" si="42"/>
        <v>9.98</v>
      </c>
      <c r="E104" s="123">
        <f t="shared" si="42"/>
        <v>9.98</v>
      </c>
      <c r="F104" s="123">
        <f t="shared" si="42"/>
        <v>9.98</v>
      </c>
      <c r="G104" s="123">
        <f t="shared" si="42"/>
        <v>9.98</v>
      </c>
      <c r="H104" s="123">
        <f t="shared" si="42"/>
        <v>9.98</v>
      </c>
      <c r="I104" s="123">
        <f t="shared" si="42"/>
        <v>9.98</v>
      </c>
      <c r="J104" s="123">
        <f t="shared" si="42"/>
        <v>9.98</v>
      </c>
      <c r="K104" s="123">
        <f t="shared" si="42"/>
        <v>9.98</v>
      </c>
      <c r="L104" s="123">
        <f t="shared" si="42"/>
        <v>9.98</v>
      </c>
      <c r="M104" s="123">
        <f t="shared" si="42"/>
        <v>9.98</v>
      </c>
      <c r="N104" s="123">
        <f t="shared" si="42"/>
        <v>9.98</v>
      </c>
      <c r="O104" s="123">
        <f t="shared" si="42"/>
        <v>9.98</v>
      </c>
      <c r="P104" s="123">
        <f t="shared" si="42"/>
        <v>9.98</v>
      </c>
      <c r="Q104" s="123">
        <f t="shared" si="42"/>
        <v>9.98</v>
      </c>
      <c r="R104" s="123">
        <f t="shared" si="42"/>
        <v>9.98</v>
      </c>
      <c r="S104" s="123">
        <f t="shared" si="42"/>
        <v>9.98</v>
      </c>
      <c r="T104" s="123">
        <f t="shared" si="43"/>
        <v>9.98</v>
      </c>
      <c r="U104" s="123">
        <f t="shared" si="43"/>
        <v>9.98</v>
      </c>
      <c r="V104" s="123">
        <f t="shared" si="43"/>
        <v>9.98</v>
      </c>
      <c r="W104" s="123">
        <f t="shared" si="43"/>
        <v>9.98</v>
      </c>
      <c r="X104" s="123">
        <f t="shared" si="43"/>
        <v>9.98</v>
      </c>
      <c r="Y104" s="123">
        <f t="shared" si="43"/>
        <v>9.98</v>
      </c>
      <c r="Z104" s="123">
        <f t="shared" si="43"/>
        <v>9.98</v>
      </c>
      <c r="AA104" s="123">
        <f t="shared" si="43"/>
        <v>9.98</v>
      </c>
      <c r="AB104" s="123">
        <f t="shared" si="43"/>
        <v>9.98</v>
      </c>
      <c r="AC104" s="123">
        <f t="shared" si="43"/>
        <v>9.98</v>
      </c>
      <c r="AD104" s="123">
        <f t="shared" si="43"/>
        <v>9.98</v>
      </c>
      <c r="AE104" s="123">
        <f t="shared" si="43"/>
        <v>9.98</v>
      </c>
      <c r="AF104" s="123">
        <f t="shared" si="43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41"/>
        <v>9.1</v>
      </c>
      <c r="C105" s="124">
        <v>9.1</v>
      </c>
      <c r="D105" s="123">
        <f t="shared" si="42"/>
        <v>9.1</v>
      </c>
      <c r="E105" s="123">
        <f t="shared" si="42"/>
        <v>9.1</v>
      </c>
      <c r="F105" s="123">
        <f t="shared" si="42"/>
        <v>9.1</v>
      </c>
      <c r="G105" s="123">
        <f t="shared" si="42"/>
        <v>9.1</v>
      </c>
      <c r="H105" s="123">
        <f t="shared" si="42"/>
        <v>9.1</v>
      </c>
      <c r="I105" s="123">
        <f t="shared" si="42"/>
        <v>9.1</v>
      </c>
      <c r="J105" s="123">
        <f t="shared" si="42"/>
        <v>9.1</v>
      </c>
      <c r="K105" s="123">
        <f t="shared" si="42"/>
        <v>9.1</v>
      </c>
      <c r="L105" s="123">
        <f t="shared" si="42"/>
        <v>9.1</v>
      </c>
      <c r="M105" s="123">
        <f t="shared" si="42"/>
        <v>9.1</v>
      </c>
      <c r="N105" s="123">
        <f t="shared" si="42"/>
        <v>9.1</v>
      </c>
      <c r="O105" s="123">
        <f t="shared" si="42"/>
        <v>9.1</v>
      </c>
      <c r="P105" s="123">
        <f t="shared" si="42"/>
        <v>9.1</v>
      </c>
      <c r="Q105" s="123">
        <f t="shared" si="42"/>
        <v>9.1</v>
      </c>
      <c r="R105" s="123">
        <f t="shared" si="42"/>
        <v>9.1</v>
      </c>
      <c r="S105" s="123">
        <f t="shared" si="42"/>
        <v>9.1</v>
      </c>
      <c r="T105" s="123">
        <f t="shared" si="43"/>
        <v>9.1</v>
      </c>
      <c r="U105" s="123">
        <f t="shared" si="43"/>
        <v>9.1</v>
      </c>
      <c r="V105" s="123">
        <f t="shared" si="43"/>
        <v>9.1</v>
      </c>
      <c r="W105" s="123">
        <f t="shared" si="43"/>
        <v>9.1</v>
      </c>
      <c r="X105" s="123">
        <f t="shared" si="43"/>
        <v>9.1</v>
      </c>
      <c r="Y105" s="123">
        <f t="shared" si="43"/>
        <v>9.1</v>
      </c>
      <c r="Z105" s="123">
        <f t="shared" si="43"/>
        <v>9.1</v>
      </c>
      <c r="AA105" s="123">
        <f t="shared" si="43"/>
        <v>9.1</v>
      </c>
      <c r="AB105" s="123">
        <f t="shared" si="43"/>
        <v>9.1</v>
      </c>
      <c r="AC105" s="123">
        <f t="shared" si="43"/>
        <v>9.1</v>
      </c>
      <c r="AD105" s="123">
        <f t="shared" si="43"/>
        <v>9.1</v>
      </c>
      <c r="AE105" s="123">
        <f t="shared" si="43"/>
        <v>9.1</v>
      </c>
      <c r="AF105" s="123">
        <f t="shared" si="43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41"/>
        <v>9.18</v>
      </c>
      <c r="C106" s="124">
        <v>9.18</v>
      </c>
      <c r="D106" s="123">
        <f t="shared" si="42"/>
        <v>9.18</v>
      </c>
      <c r="E106" s="123">
        <f t="shared" si="42"/>
        <v>9.18</v>
      </c>
      <c r="F106" s="123">
        <f t="shared" si="42"/>
        <v>9.18</v>
      </c>
      <c r="G106" s="123">
        <f t="shared" si="42"/>
        <v>9.18</v>
      </c>
      <c r="H106" s="123">
        <f t="shared" si="42"/>
        <v>9.18</v>
      </c>
      <c r="I106" s="123">
        <f t="shared" si="42"/>
        <v>9.18</v>
      </c>
      <c r="J106" s="123">
        <f t="shared" si="42"/>
        <v>9.18</v>
      </c>
      <c r="K106" s="123">
        <f t="shared" si="42"/>
        <v>9.18</v>
      </c>
      <c r="L106" s="123">
        <f t="shared" si="42"/>
        <v>9.18</v>
      </c>
      <c r="M106" s="123">
        <f t="shared" si="42"/>
        <v>9.18</v>
      </c>
      <c r="N106" s="123">
        <f t="shared" si="42"/>
        <v>9.18</v>
      </c>
      <c r="O106" s="123">
        <f t="shared" si="42"/>
        <v>9.18</v>
      </c>
      <c r="P106" s="123">
        <f t="shared" si="42"/>
        <v>9.18</v>
      </c>
      <c r="Q106" s="123">
        <f t="shared" si="42"/>
        <v>9.18</v>
      </c>
      <c r="R106" s="123">
        <f t="shared" si="42"/>
        <v>9.18</v>
      </c>
      <c r="S106" s="123">
        <f t="shared" si="42"/>
        <v>9.18</v>
      </c>
      <c r="T106" s="123">
        <f t="shared" si="43"/>
        <v>9.18</v>
      </c>
      <c r="U106" s="123">
        <f t="shared" si="43"/>
        <v>9.18</v>
      </c>
      <c r="V106" s="123">
        <f t="shared" si="43"/>
        <v>9.18</v>
      </c>
      <c r="W106" s="123">
        <f t="shared" si="43"/>
        <v>9.18</v>
      </c>
      <c r="X106" s="123">
        <f t="shared" si="43"/>
        <v>9.18</v>
      </c>
      <c r="Y106" s="123">
        <f t="shared" si="43"/>
        <v>9.18</v>
      </c>
      <c r="Z106" s="123">
        <f t="shared" si="43"/>
        <v>9.18</v>
      </c>
      <c r="AA106" s="123">
        <f t="shared" si="43"/>
        <v>9.18</v>
      </c>
      <c r="AB106" s="123">
        <f t="shared" si="43"/>
        <v>9.18</v>
      </c>
      <c r="AC106" s="123">
        <f t="shared" si="43"/>
        <v>9.18</v>
      </c>
      <c r="AD106" s="123">
        <f t="shared" si="43"/>
        <v>9.18</v>
      </c>
      <c r="AE106" s="123">
        <f t="shared" si="43"/>
        <v>9.18</v>
      </c>
      <c r="AF106" s="123">
        <f t="shared" si="43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41"/>
        <v>7</v>
      </c>
      <c r="C107" s="124">
        <v>7</v>
      </c>
      <c r="D107" s="123">
        <f t="shared" si="42"/>
        <v>7</v>
      </c>
      <c r="E107" s="123">
        <f t="shared" si="42"/>
        <v>7</v>
      </c>
      <c r="F107" s="123">
        <f t="shared" si="42"/>
        <v>7</v>
      </c>
      <c r="G107" s="123">
        <f t="shared" si="42"/>
        <v>7</v>
      </c>
      <c r="H107" s="123">
        <f t="shared" si="42"/>
        <v>7</v>
      </c>
      <c r="I107" s="123">
        <f t="shared" si="42"/>
        <v>7</v>
      </c>
      <c r="J107" s="123">
        <f t="shared" si="42"/>
        <v>7</v>
      </c>
      <c r="K107" s="123">
        <f t="shared" si="42"/>
        <v>7</v>
      </c>
      <c r="L107" s="123">
        <f t="shared" si="42"/>
        <v>7</v>
      </c>
      <c r="M107" s="123">
        <f t="shared" si="42"/>
        <v>7</v>
      </c>
      <c r="N107" s="123">
        <f t="shared" si="42"/>
        <v>7</v>
      </c>
      <c r="O107" s="123">
        <f t="shared" si="42"/>
        <v>7</v>
      </c>
      <c r="P107" s="123">
        <f t="shared" si="42"/>
        <v>7</v>
      </c>
      <c r="Q107" s="123">
        <f t="shared" si="42"/>
        <v>7</v>
      </c>
      <c r="R107" s="123">
        <f t="shared" si="42"/>
        <v>7</v>
      </c>
      <c r="S107" s="123">
        <f t="shared" si="42"/>
        <v>7</v>
      </c>
      <c r="T107" s="123">
        <f t="shared" si="43"/>
        <v>7</v>
      </c>
      <c r="U107" s="123">
        <f t="shared" si="43"/>
        <v>7</v>
      </c>
      <c r="V107" s="123">
        <f t="shared" si="43"/>
        <v>7</v>
      </c>
      <c r="W107" s="123">
        <f t="shared" si="43"/>
        <v>7</v>
      </c>
      <c r="X107" s="123">
        <f t="shared" si="43"/>
        <v>7</v>
      </c>
      <c r="Y107" s="123">
        <f t="shared" si="43"/>
        <v>7</v>
      </c>
      <c r="Z107" s="123">
        <f t="shared" si="43"/>
        <v>7</v>
      </c>
      <c r="AA107" s="123">
        <f t="shared" si="43"/>
        <v>7</v>
      </c>
      <c r="AB107" s="123">
        <f t="shared" si="43"/>
        <v>7</v>
      </c>
      <c r="AC107" s="123">
        <f t="shared" si="43"/>
        <v>7</v>
      </c>
      <c r="AD107" s="123">
        <f t="shared" si="43"/>
        <v>7</v>
      </c>
      <c r="AE107" s="123">
        <f t="shared" si="43"/>
        <v>7</v>
      </c>
      <c r="AF107" s="123">
        <f t="shared" si="43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4">C109</f>
        <v>2.25</v>
      </c>
      <c r="E109" s="123">
        <f t="shared" si="44"/>
        <v>2.25</v>
      </c>
      <c r="F109" s="123">
        <f t="shared" si="44"/>
        <v>2.25</v>
      </c>
      <c r="G109" s="123">
        <f t="shared" si="44"/>
        <v>2.25</v>
      </c>
      <c r="H109" s="123">
        <f t="shared" si="44"/>
        <v>2.25</v>
      </c>
      <c r="I109" s="123">
        <f t="shared" si="44"/>
        <v>2.25</v>
      </c>
      <c r="J109" s="123">
        <f t="shared" si="44"/>
        <v>2.25</v>
      </c>
      <c r="K109" s="123">
        <f t="shared" si="44"/>
        <v>2.25</v>
      </c>
      <c r="L109" s="123">
        <f t="shared" si="44"/>
        <v>2.25</v>
      </c>
      <c r="M109" s="123">
        <f t="shared" si="44"/>
        <v>2.25</v>
      </c>
      <c r="N109" s="123">
        <f t="shared" si="44"/>
        <v>2.25</v>
      </c>
      <c r="O109" s="123">
        <f t="shared" si="44"/>
        <v>2.25</v>
      </c>
      <c r="P109" s="123">
        <f t="shared" si="44"/>
        <v>2.25</v>
      </c>
      <c r="Q109" s="123">
        <f t="shared" si="44"/>
        <v>2.25</v>
      </c>
      <c r="R109" s="123">
        <f t="shared" si="44"/>
        <v>2.25</v>
      </c>
      <c r="S109" s="123">
        <f t="shared" si="44"/>
        <v>2.25</v>
      </c>
      <c r="T109" s="123">
        <f t="shared" ref="T109:AF110" si="45">S109</f>
        <v>2.25</v>
      </c>
      <c r="U109" s="123">
        <f t="shared" si="45"/>
        <v>2.25</v>
      </c>
      <c r="V109" s="123">
        <f t="shared" si="45"/>
        <v>2.25</v>
      </c>
      <c r="W109" s="123">
        <f t="shared" si="45"/>
        <v>2.25</v>
      </c>
      <c r="X109" s="123">
        <f t="shared" si="45"/>
        <v>2.25</v>
      </c>
      <c r="Y109" s="123">
        <f t="shared" si="45"/>
        <v>2.25</v>
      </c>
      <c r="Z109" s="123">
        <f t="shared" si="45"/>
        <v>2.25</v>
      </c>
      <c r="AA109" s="123">
        <f t="shared" si="45"/>
        <v>2.25</v>
      </c>
      <c r="AB109" s="123">
        <f t="shared" si="45"/>
        <v>2.25</v>
      </c>
      <c r="AC109" s="123">
        <f t="shared" si="45"/>
        <v>2.25</v>
      </c>
      <c r="AD109" s="123">
        <f t="shared" si="45"/>
        <v>2.25</v>
      </c>
      <c r="AE109" s="123">
        <f t="shared" si="45"/>
        <v>2.25</v>
      </c>
      <c r="AF109" s="123">
        <f t="shared" si="45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4"/>
        <v>1.64</v>
      </c>
      <c r="E110" s="123">
        <f t="shared" si="44"/>
        <v>1.64</v>
      </c>
      <c r="F110" s="123">
        <f t="shared" si="44"/>
        <v>1.64</v>
      </c>
      <c r="G110" s="123">
        <f t="shared" si="44"/>
        <v>1.64</v>
      </c>
      <c r="H110" s="123">
        <f t="shared" si="44"/>
        <v>1.64</v>
      </c>
      <c r="I110" s="123">
        <f t="shared" si="44"/>
        <v>1.64</v>
      </c>
      <c r="J110" s="123">
        <f t="shared" si="44"/>
        <v>1.64</v>
      </c>
      <c r="K110" s="123">
        <f t="shared" si="44"/>
        <v>1.64</v>
      </c>
      <c r="L110" s="123">
        <f t="shared" si="44"/>
        <v>1.64</v>
      </c>
      <c r="M110" s="123">
        <f t="shared" si="44"/>
        <v>1.64</v>
      </c>
      <c r="N110" s="123">
        <f t="shared" si="44"/>
        <v>1.64</v>
      </c>
      <c r="O110" s="123">
        <f t="shared" si="44"/>
        <v>1.64</v>
      </c>
      <c r="P110" s="123">
        <f t="shared" si="44"/>
        <v>1.64</v>
      </c>
      <c r="Q110" s="123">
        <f t="shared" si="44"/>
        <v>1.64</v>
      </c>
      <c r="R110" s="123">
        <f t="shared" si="44"/>
        <v>1.64</v>
      </c>
      <c r="S110" s="123">
        <f t="shared" si="44"/>
        <v>1.64</v>
      </c>
      <c r="T110" s="123">
        <f t="shared" si="45"/>
        <v>1.64</v>
      </c>
      <c r="U110" s="123">
        <f t="shared" si="45"/>
        <v>1.64</v>
      </c>
      <c r="V110" s="123">
        <f t="shared" si="45"/>
        <v>1.64</v>
      </c>
      <c r="W110" s="123">
        <f t="shared" si="45"/>
        <v>1.64</v>
      </c>
      <c r="X110" s="123">
        <f t="shared" si="45"/>
        <v>1.64</v>
      </c>
      <c r="Y110" s="123">
        <f t="shared" si="45"/>
        <v>1.64</v>
      </c>
      <c r="Z110" s="123">
        <f t="shared" si="45"/>
        <v>1.64</v>
      </c>
      <c r="AA110" s="123">
        <f t="shared" si="45"/>
        <v>1.64</v>
      </c>
      <c r="AB110" s="123">
        <f t="shared" si="45"/>
        <v>1.64</v>
      </c>
      <c r="AC110" s="123">
        <f t="shared" si="45"/>
        <v>1.64</v>
      </c>
      <c r="AD110" s="123">
        <f t="shared" si="45"/>
        <v>1.64</v>
      </c>
      <c r="AE110" s="123">
        <f t="shared" si="45"/>
        <v>1.64</v>
      </c>
      <c r="AF110" s="123">
        <f t="shared" si="45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6">AF112</f>
        <v>1.62</v>
      </c>
      <c r="C112" s="124">
        <v>1.62</v>
      </c>
      <c r="D112" s="123">
        <f t="shared" ref="D112:S119" si="47">C112</f>
        <v>1.62</v>
      </c>
      <c r="E112" s="123">
        <f t="shared" si="47"/>
        <v>1.62</v>
      </c>
      <c r="F112" s="123">
        <f t="shared" si="47"/>
        <v>1.62</v>
      </c>
      <c r="G112" s="123">
        <f t="shared" si="47"/>
        <v>1.62</v>
      </c>
      <c r="H112" s="123">
        <f t="shared" si="47"/>
        <v>1.62</v>
      </c>
      <c r="I112" s="123">
        <f t="shared" si="47"/>
        <v>1.62</v>
      </c>
      <c r="J112" s="123">
        <f t="shared" si="47"/>
        <v>1.62</v>
      </c>
      <c r="K112" s="123">
        <f t="shared" si="47"/>
        <v>1.62</v>
      </c>
      <c r="L112" s="123">
        <f t="shared" si="47"/>
        <v>1.62</v>
      </c>
      <c r="M112" s="123">
        <f t="shared" si="47"/>
        <v>1.62</v>
      </c>
      <c r="N112" s="123">
        <f t="shared" si="47"/>
        <v>1.62</v>
      </c>
      <c r="O112" s="123">
        <f t="shared" si="47"/>
        <v>1.62</v>
      </c>
      <c r="P112" s="123">
        <f t="shared" si="47"/>
        <v>1.62</v>
      </c>
      <c r="Q112" s="123">
        <f t="shared" si="47"/>
        <v>1.62</v>
      </c>
      <c r="R112" s="123">
        <f t="shared" si="47"/>
        <v>1.62</v>
      </c>
      <c r="S112" s="123">
        <f t="shared" si="47"/>
        <v>1.62</v>
      </c>
      <c r="T112" s="123">
        <f t="shared" ref="T112:AF127" si="48">S112</f>
        <v>1.62</v>
      </c>
      <c r="U112" s="123">
        <f t="shared" si="48"/>
        <v>1.62</v>
      </c>
      <c r="V112" s="123">
        <f t="shared" si="48"/>
        <v>1.62</v>
      </c>
      <c r="W112" s="123">
        <f t="shared" si="48"/>
        <v>1.62</v>
      </c>
      <c r="X112" s="123">
        <f t="shared" si="48"/>
        <v>1.62</v>
      </c>
      <c r="Y112" s="123">
        <f t="shared" si="48"/>
        <v>1.62</v>
      </c>
      <c r="Z112" s="123">
        <f t="shared" si="48"/>
        <v>1.62</v>
      </c>
      <c r="AA112" s="123">
        <f t="shared" si="48"/>
        <v>1.62</v>
      </c>
      <c r="AB112" s="123">
        <f t="shared" si="48"/>
        <v>1.62</v>
      </c>
      <c r="AC112" s="123">
        <f t="shared" si="48"/>
        <v>1.62</v>
      </c>
      <c r="AD112" s="123">
        <f t="shared" si="48"/>
        <v>1.62</v>
      </c>
      <c r="AE112" s="123">
        <f t="shared" si="48"/>
        <v>1.62</v>
      </c>
      <c r="AF112" s="123">
        <f t="shared" si="48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6"/>
        <v>8.36</v>
      </c>
      <c r="C113" s="124">
        <v>8.36</v>
      </c>
      <c r="D113" s="123">
        <f t="shared" si="47"/>
        <v>8.36</v>
      </c>
      <c r="E113" s="123">
        <f t="shared" si="47"/>
        <v>8.36</v>
      </c>
      <c r="F113" s="123">
        <f t="shared" si="47"/>
        <v>8.36</v>
      </c>
      <c r="G113" s="123">
        <f t="shared" si="47"/>
        <v>8.36</v>
      </c>
      <c r="H113" s="123">
        <f t="shared" si="47"/>
        <v>8.36</v>
      </c>
      <c r="I113" s="123">
        <f t="shared" si="47"/>
        <v>8.36</v>
      </c>
      <c r="J113" s="123">
        <f t="shared" si="47"/>
        <v>8.36</v>
      </c>
      <c r="K113" s="123">
        <f t="shared" si="47"/>
        <v>8.36</v>
      </c>
      <c r="L113" s="123">
        <f t="shared" si="47"/>
        <v>8.36</v>
      </c>
      <c r="M113" s="123">
        <f t="shared" si="47"/>
        <v>8.36</v>
      </c>
      <c r="N113" s="123">
        <f t="shared" si="47"/>
        <v>8.36</v>
      </c>
      <c r="O113" s="123">
        <f t="shared" si="47"/>
        <v>8.36</v>
      </c>
      <c r="P113" s="123">
        <f t="shared" si="47"/>
        <v>8.36</v>
      </c>
      <c r="Q113" s="123">
        <f t="shared" si="47"/>
        <v>8.36</v>
      </c>
      <c r="R113" s="123">
        <f t="shared" si="47"/>
        <v>8.36</v>
      </c>
      <c r="S113" s="123">
        <f t="shared" si="47"/>
        <v>8.36</v>
      </c>
      <c r="T113" s="123">
        <f t="shared" si="48"/>
        <v>8.36</v>
      </c>
      <c r="U113" s="123">
        <f t="shared" si="48"/>
        <v>8.36</v>
      </c>
      <c r="V113" s="123">
        <f t="shared" si="48"/>
        <v>8.36</v>
      </c>
      <c r="W113" s="123">
        <f t="shared" si="48"/>
        <v>8.36</v>
      </c>
      <c r="X113" s="123">
        <f t="shared" si="48"/>
        <v>8.36</v>
      </c>
      <c r="Y113" s="123">
        <f t="shared" si="48"/>
        <v>8.36</v>
      </c>
      <c r="Z113" s="123">
        <f t="shared" si="48"/>
        <v>8.36</v>
      </c>
      <c r="AA113" s="123">
        <f t="shared" si="48"/>
        <v>8.36</v>
      </c>
      <c r="AB113" s="123">
        <f t="shared" si="48"/>
        <v>8.36</v>
      </c>
      <c r="AC113" s="123">
        <f t="shared" si="48"/>
        <v>8.36</v>
      </c>
      <c r="AD113" s="123">
        <f t="shared" si="48"/>
        <v>8.36</v>
      </c>
      <c r="AE113" s="123">
        <f t="shared" si="48"/>
        <v>8.36</v>
      </c>
      <c r="AF113" s="123">
        <f t="shared" si="48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6"/>
        <v>5.4</v>
      </c>
      <c r="C114" s="124">
        <v>8</v>
      </c>
      <c r="D114" s="123">
        <f t="shared" si="47"/>
        <v>8</v>
      </c>
      <c r="E114" s="123">
        <f t="shared" si="47"/>
        <v>8</v>
      </c>
      <c r="F114" s="123">
        <f t="shared" si="47"/>
        <v>8</v>
      </c>
      <c r="G114" s="123">
        <f t="shared" si="47"/>
        <v>8</v>
      </c>
      <c r="H114" s="123">
        <f t="shared" si="47"/>
        <v>8</v>
      </c>
      <c r="I114" s="123">
        <f t="shared" si="47"/>
        <v>8</v>
      </c>
      <c r="J114" s="123">
        <v>5.4</v>
      </c>
      <c r="K114" s="123">
        <f t="shared" si="47"/>
        <v>5.4</v>
      </c>
      <c r="L114" s="123">
        <f t="shared" si="47"/>
        <v>5.4</v>
      </c>
      <c r="M114" s="123">
        <f t="shared" si="47"/>
        <v>5.4</v>
      </c>
      <c r="N114" s="123">
        <f t="shared" si="47"/>
        <v>5.4</v>
      </c>
      <c r="O114" s="123">
        <f t="shared" si="47"/>
        <v>5.4</v>
      </c>
      <c r="P114" s="123">
        <f t="shared" si="47"/>
        <v>5.4</v>
      </c>
      <c r="Q114" s="123">
        <f t="shared" si="47"/>
        <v>5.4</v>
      </c>
      <c r="R114" s="123">
        <f t="shared" si="47"/>
        <v>5.4</v>
      </c>
      <c r="S114" s="123">
        <f t="shared" si="47"/>
        <v>5.4</v>
      </c>
      <c r="T114" s="123">
        <f t="shared" si="48"/>
        <v>5.4</v>
      </c>
      <c r="U114" s="123">
        <f t="shared" si="48"/>
        <v>5.4</v>
      </c>
      <c r="V114" s="123">
        <f t="shared" si="48"/>
        <v>5.4</v>
      </c>
      <c r="W114" s="123">
        <f t="shared" si="48"/>
        <v>5.4</v>
      </c>
      <c r="X114" s="123">
        <f t="shared" si="48"/>
        <v>5.4</v>
      </c>
      <c r="Y114" s="123">
        <f t="shared" si="48"/>
        <v>5.4</v>
      </c>
      <c r="Z114" s="123">
        <f t="shared" si="48"/>
        <v>5.4</v>
      </c>
      <c r="AA114" s="123">
        <f t="shared" si="48"/>
        <v>5.4</v>
      </c>
      <c r="AB114" s="123">
        <f t="shared" si="48"/>
        <v>5.4</v>
      </c>
      <c r="AC114" s="123">
        <f t="shared" si="48"/>
        <v>5.4</v>
      </c>
      <c r="AD114" s="123">
        <f t="shared" si="48"/>
        <v>5.4</v>
      </c>
      <c r="AE114" s="123">
        <f t="shared" si="48"/>
        <v>5.4</v>
      </c>
      <c r="AF114" s="123">
        <f t="shared" si="48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6"/>
        <v>6.57</v>
      </c>
      <c r="C115" s="124">
        <v>6.57</v>
      </c>
      <c r="D115" s="123">
        <f t="shared" si="47"/>
        <v>6.57</v>
      </c>
      <c r="E115" s="123">
        <f t="shared" si="47"/>
        <v>6.57</v>
      </c>
      <c r="F115" s="123">
        <f t="shared" si="47"/>
        <v>6.57</v>
      </c>
      <c r="G115" s="123">
        <f t="shared" si="47"/>
        <v>6.57</v>
      </c>
      <c r="H115" s="123">
        <f t="shared" si="47"/>
        <v>6.57</v>
      </c>
      <c r="I115" s="123">
        <f t="shared" si="47"/>
        <v>6.57</v>
      </c>
      <c r="J115" s="123">
        <f t="shared" si="47"/>
        <v>6.57</v>
      </c>
      <c r="K115" s="123">
        <f t="shared" si="47"/>
        <v>6.57</v>
      </c>
      <c r="L115" s="123">
        <f t="shared" si="47"/>
        <v>6.57</v>
      </c>
      <c r="M115" s="123">
        <f t="shared" si="47"/>
        <v>6.57</v>
      </c>
      <c r="N115" s="123">
        <f t="shared" si="47"/>
        <v>6.57</v>
      </c>
      <c r="O115" s="123">
        <f t="shared" si="47"/>
        <v>6.57</v>
      </c>
      <c r="P115" s="123">
        <f t="shared" si="47"/>
        <v>6.57</v>
      </c>
      <c r="Q115" s="123">
        <f t="shared" si="47"/>
        <v>6.57</v>
      </c>
      <c r="R115" s="123">
        <f t="shared" si="47"/>
        <v>6.57</v>
      </c>
      <c r="S115" s="123">
        <f t="shared" si="47"/>
        <v>6.57</v>
      </c>
      <c r="T115" s="123">
        <f t="shared" si="48"/>
        <v>6.57</v>
      </c>
      <c r="U115" s="123">
        <f t="shared" si="48"/>
        <v>6.57</v>
      </c>
      <c r="V115" s="123">
        <f t="shared" si="48"/>
        <v>6.57</v>
      </c>
      <c r="W115" s="123">
        <f t="shared" si="48"/>
        <v>6.57</v>
      </c>
      <c r="X115" s="123">
        <f t="shared" si="48"/>
        <v>6.57</v>
      </c>
      <c r="Y115" s="123">
        <f t="shared" si="48"/>
        <v>6.57</v>
      </c>
      <c r="Z115" s="123">
        <f t="shared" si="48"/>
        <v>6.57</v>
      </c>
      <c r="AA115" s="123">
        <f t="shared" si="48"/>
        <v>6.57</v>
      </c>
      <c r="AB115" s="123">
        <f t="shared" si="48"/>
        <v>6.57</v>
      </c>
      <c r="AC115" s="123">
        <f t="shared" si="48"/>
        <v>6.57</v>
      </c>
      <c r="AD115" s="123">
        <f t="shared" si="48"/>
        <v>6.57</v>
      </c>
      <c r="AE115" s="123">
        <f t="shared" si="48"/>
        <v>6.57</v>
      </c>
      <c r="AF115" s="123">
        <f t="shared" si="48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6"/>
        <v>3.43</v>
      </c>
      <c r="C116" s="124">
        <v>3.43</v>
      </c>
      <c r="D116" s="123">
        <f t="shared" si="47"/>
        <v>3.43</v>
      </c>
      <c r="E116" s="123">
        <f t="shared" si="47"/>
        <v>3.43</v>
      </c>
      <c r="F116" s="123">
        <f t="shared" si="47"/>
        <v>3.43</v>
      </c>
      <c r="G116" s="123">
        <f t="shared" si="47"/>
        <v>3.43</v>
      </c>
      <c r="H116" s="123">
        <f t="shared" si="47"/>
        <v>3.43</v>
      </c>
      <c r="I116" s="123">
        <f t="shared" si="47"/>
        <v>3.43</v>
      </c>
      <c r="J116" s="123">
        <f t="shared" si="47"/>
        <v>3.43</v>
      </c>
      <c r="K116" s="123">
        <f t="shared" si="47"/>
        <v>3.43</v>
      </c>
      <c r="L116" s="123">
        <f t="shared" si="47"/>
        <v>3.43</v>
      </c>
      <c r="M116" s="123">
        <f t="shared" si="47"/>
        <v>3.43</v>
      </c>
      <c r="N116" s="123">
        <f t="shared" si="47"/>
        <v>3.43</v>
      </c>
      <c r="O116" s="123">
        <f t="shared" si="47"/>
        <v>3.43</v>
      </c>
      <c r="P116" s="123">
        <f t="shared" si="47"/>
        <v>3.43</v>
      </c>
      <c r="Q116" s="123">
        <f t="shared" si="47"/>
        <v>3.43</v>
      </c>
      <c r="R116" s="123">
        <f t="shared" si="47"/>
        <v>3.43</v>
      </c>
      <c r="S116" s="123">
        <f t="shared" si="47"/>
        <v>3.43</v>
      </c>
      <c r="T116" s="123">
        <f t="shared" si="48"/>
        <v>3.43</v>
      </c>
      <c r="U116" s="123">
        <f t="shared" si="48"/>
        <v>3.43</v>
      </c>
      <c r="V116" s="123">
        <f t="shared" si="48"/>
        <v>3.43</v>
      </c>
      <c r="W116" s="123">
        <f t="shared" si="48"/>
        <v>3.43</v>
      </c>
      <c r="X116" s="123">
        <f t="shared" si="48"/>
        <v>3.43</v>
      </c>
      <c r="Y116" s="123">
        <f t="shared" si="48"/>
        <v>3.43</v>
      </c>
      <c r="Z116" s="123">
        <f t="shared" si="48"/>
        <v>3.43</v>
      </c>
      <c r="AA116" s="123">
        <f t="shared" si="48"/>
        <v>3.43</v>
      </c>
      <c r="AB116" s="123">
        <f t="shared" si="48"/>
        <v>3.43</v>
      </c>
      <c r="AC116" s="123">
        <f t="shared" si="48"/>
        <v>3.43</v>
      </c>
      <c r="AD116" s="123">
        <f t="shared" si="48"/>
        <v>3.43</v>
      </c>
      <c r="AE116" s="123">
        <f t="shared" si="48"/>
        <v>3.43</v>
      </c>
      <c r="AF116" s="123">
        <f t="shared" si="48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6"/>
        <v>2.96</v>
      </c>
      <c r="C117" s="124">
        <v>2.96</v>
      </c>
      <c r="D117" s="123">
        <f t="shared" si="47"/>
        <v>2.96</v>
      </c>
      <c r="E117" s="123">
        <f t="shared" si="47"/>
        <v>2.96</v>
      </c>
      <c r="F117" s="123">
        <f t="shared" si="47"/>
        <v>2.96</v>
      </c>
      <c r="G117" s="123">
        <f t="shared" si="47"/>
        <v>2.96</v>
      </c>
      <c r="H117" s="123">
        <f t="shared" si="47"/>
        <v>2.96</v>
      </c>
      <c r="I117" s="123">
        <f t="shared" si="47"/>
        <v>2.96</v>
      </c>
      <c r="J117" s="123">
        <f t="shared" si="47"/>
        <v>2.96</v>
      </c>
      <c r="K117" s="123">
        <f t="shared" si="47"/>
        <v>2.96</v>
      </c>
      <c r="L117" s="123">
        <f t="shared" si="47"/>
        <v>2.96</v>
      </c>
      <c r="M117" s="123">
        <f t="shared" si="47"/>
        <v>2.96</v>
      </c>
      <c r="N117" s="123">
        <f t="shared" si="47"/>
        <v>2.96</v>
      </c>
      <c r="O117" s="123">
        <f t="shared" si="47"/>
        <v>2.96</v>
      </c>
      <c r="P117" s="123">
        <f t="shared" si="47"/>
        <v>2.96</v>
      </c>
      <c r="Q117" s="123">
        <f t="shared" si="47"/>
        <v>2.96</v>
      </c>
      <c r="R117" s="123">
        <f t="shared" si="47"/>
        <v>2.96</v>
      </c>
      <c r="S117" s="123">
        <f t="shared" si="47"/>
        <v>2.96</v>
      </c>
      <c r="T117" s="123">
        <f t="shared" si="48"/>
        <v>2.96</v>
      </c>
      <c r="U117" s="123">
        <f t="shared" si="48"/>
        <v>2.96</v>
      </c>
      <c r="V117" s="123">
        <f t="shared" si="48"/>
        <v>2.96</v>
      </c>
      <c r="W117" s="123">
        <f t="shared" si="48"/>
        <v>2.96</v>
      </c>
      <c r="X117" s="123">
        <f t="shared" si="48"/>
        <v>2.96</v>
      </c>
      <c r="Y117" s="123">
        <f t="shared" si="48"/>
        <v>2.96</v>
      </c>
      <c r="Z117" s="123">
        <f t="shared" si="48"/>
        <v>2.96</v>
      </c>
      <c r="AA117" s="123">
        <f t="shared" si="48"/>
        <v>2.96</v>
      </c>
      <c r="AB117" s="123">
        <f t="shared" si="48"/>
        <v>2.96</v>
      </c>
      <c r="AC117" s="123">
        <f t="shared" si="48"/>
        <v>2.96</v>
      </c>
      <c r="AD117" s="123">
        <f t="shared" si="48"/>
        <v>2.96</v>
      </c>
      <c r="AE117" s="123">
        <f t="shared" si="48"/>
        <v>2.96</v>
      </c>
      <c r="AF117" s="123">
        <f t="shared" si="48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6"/>
        <v>8</v>
      </c>
      <c r="C118" s="124">
        <v>8</v>
      </c>
      <c r="D118" s="123">
        <f t="shared" si="47"/>
        <v>8</v>
      </c>
      <c r="E118" s="123">
        <f t="shared" si="47"/>
        <v>8</v>
      </c>
      <c r="F118" s="123">
        <f t="shared" si="47"/>
        <v>8</v>
      </c>
      <c r="G118" s="123">
        <f t="shared" si="47"/>
        <v>8</v>
      </c>
      <c r="H118" s="123">
        <f t="shared" si="47"/>
        <v>8</v>
      </c>
      <c r="I118" s="123">
        <f t="shared" si="47"/>
        <v>8</v>
      </c>
      <c r="J118" s="123">
        <f t="shared" si="47"/>
        <v>8</v>
      </c>
      <c r="K118" s="123">
        <f t="shared" si="47"/>
        <v>8</v>
      </c>
      <c r="L118" s="123">
        <f t="shared" si="47"/>
        <v>8</v>
      </c>
      <c r="M118" s="123">
        <f t="shared" si="47"/>
        <v>8</v>
      </c>
      <c r="N118" s="123">
        <f t="shared" si="47"/>
        <v>8</v>
      </c>
      <c r="O118" s="123">
        <f t="shared" si="47"/>
        <v>8</v>
      </c>
      <c r="P118" s="123">
        <f t="shared" si="47"/>
        <v>8</v>
      </c>
      <c r="Q118" s="123">
        <f t="shared" si="47"/>
        <v>8</v>
      </c>
      <c r="R118" s="123">
        <f t="shared" si="47"/>
        <v>8</v>
      </c>
      <c r="S118" s="123">
        <f t="shared" si="47"/>
        <v>8</v>
      </c>
      <c r="T118" s="123">
        <f t="shared" si="48"/>
        <v>8</v>
      </c>
      <c r="U118" s="123">
        <f t="shared" si="48"/>
        <v>8</v>
      </c>
      <c r="V118" s="123">
        <f t="shared" si="48"/>
        <v>8</v>
      </c>
      <c r="W118" s="123">
        <f t="shared" si="48"/>
        <v>8</v>
      </c>
      <c r="X118" s="123">
        <f t="shared" si="48"/>
        <v>8</v>
      </c>
      <c r="Y118" s="123">
        <f t="shared" si="48"/>
        <v>8</v>
      </c>
      <c r="Z118" s="123">
        <f t="shared" si="48"/>
        <v>8</v>
      </c>
      <c r="AA118" s="123">
        <f t="shared" si="48"/>
        <v>8</v>
      </c>
      <c r="AB118" s="123">
        <f t="shared" si="48"/>
        <v>8</v>
      </c>
      <c r="AC118" s="123">
        <f t="shared" si="48"/>
        <v>8</v>
      </c>
      <c r="AD118" s="123">
        <f t="shared" si="48"/>
        <v>8</v>
      </c>
      <c r="AE118" s="123">
        <f t="shared" si="48"/>
        <v>8</v>
      </c>
      <c r="AF118" s="123">
        <f t="shared" si="48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6"/>
        <v>7</v>
      </c>
      <c r="C119" s="124">
        <v>7</v>
      </c>
      <c r="D119" s="123">
        <f>C119</f>
        <v>7</v>
      </c>
      <c r="E119" s="123">
        <f t="shared" si="47"/>
        <v>7</v>
      </c>
      <c r="F119" s="123">
        <f t="shared" si="47"/>
        <v>7</v>
      </c>
      <c r="G119" s="123">
        <f t="shared" si="47"/>
        <v>7</v>
      </c>
      <c r="H119" s="123">
        <f t="shared" si="47"/>
        <v>7</v>
      </c>
      <c r="I119" s="123">
        <f t="shared" si="47"/>
        <v>7</v>
      </c>
      <c r="J119" s="123">
        <f t="shared" si="47"/>
        <v>7</v>
      </c>
      <c r="K119" s="123">
        <f t="shared" si="47"/>
        <v>7</v>
      </c>
      <c r="L119" s="123">
        <f t="shared" si="47"/>
        <v>7</v>
      </c>
      <c r="M119" s="123">
        <f t="shared" si="47"/>
        <v>7</v>
      </c>
      <c r="N119" s="123">
        <f t="shared" si="47"/>
        <v>7</v>
      </c>
      <c r="O119" s="123">
        <f t="shared" si="47"/>
        <v>7</v>
      </c>
      <c r="P119" s="123">
        <f t="shared" si="47"/>
        <v>7</v>
      </c>
      <c r="Q119" s="123">
        <f t="shared" si="47"/>
        <v>7</v>
      </c>
      <c r="R119" s="123">
        <f t="shared" si="47"/>
        <v>7</v>
      </c>
      <c r="S119" s="123">
        <f t="shared" si="47"/>
        <v>7</v>
      </c>
      <c r="T119" s="123">
        <f t="shared" si="48"/>
        <v>7</v>
      </c>
      <c r="U119" s="123">
        <f t="shared" si="48"/>
        <v>7</v>
      </c>
      <c r="V119" s="123">
        <f t="shared" si="48"/>
        <v>7</v>
      </c>
      <c r="W119" s="123">
        <f t="shared" si="48"/>
        <v>7</v>
      </c>
      <c r="X119" s="123">
        <f t="shared" si="48"/>
        <v>7</v>
      </c>
      <c r="Y119" s="123">
        <f t="shared" si="48"/>
        <v>7</v>
      </c>
      <c r="Z119" s="123">
        <f t="shared" si="48"/>
        <v>7</v>
      </c>
      <c r="AA119" s="123">
        <f t="shared" si="48"/>
        <v>7</v>
      </c>
      <c r="AB119" s="123">
        <f t="shared" si="48"/>
        <v>7</v>
      </c>
      <c r="AC119" s="123">
        <f t="shared" si="48"/>
        <v>7</v>
      </c>
      <c r="AD119" s="123">
        <f t="shared" si="48"/>
        <v>7</v>
      </c>
      <c r="AE119" s="123">
        <f t="shared" si="48"/>
        <v>7</v>
      </c>
      <c r="AF119" s="123">
        <f t="shared" si="48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6"/>
        <v>3.47</v>
      </c>
      <c r="C120" s="124">
        <v>3.47</v>
      </c>
      <c r="D120" s="123">
        <f t="shared" ref="D120:S129" si="49">C120</f>
        <v>3.47</v>
      </c>
      <c r="E120" s="123">
        <f t="shared" si="49"/>
        <v>3.47</v>
      </c>
      <c r="F120" s="123">
        <f t="shared" si="49"/>
        <v>3.47</v>
      </c>
      <c r="G120" s="123">
        <f t="shared" si="49"/>
        <v>3.47</v>
      </c>
      <c r="H120" s="123">
        <f t="shared" si="49"/>
        <v>3.47</v>
      </c>
      <c r="I120" s="123">
        <f t="shared" si="49"/>
        <v>3.47</v>
      </c>
      <c r="J120" s="123">
        <f t="shared" si="49"/>
        <v>3.47</v>
      </c>
      <c r="K120" s="123">
        <f t="shared" si="49"/>
        <v>3.47</v>
      </c>
      <c r="L120" s="123">
        <f t="shared" si="49"/>
        <v>3.47</v>
      </c>
      <c r="M120" s="123">
        <f t="shared" si="49"/>
        <v>3.47</v>
      </c>
      <c r="N120" s="123">
        <f t="shared" si="49"/>
        <v>3.47</v>
      </c>
      <c r="O120" s="123">
        <f t="shared" si="49"/>
        <v>3.47</v>
      </c>
      <c r="P120" s="123">
        <f t="shared" si="49"/>
        <v>3.47</v>
      </c>
      <c r="Q120" s="123">
        <f t="shared" si="49"/>
        <v>3.47</v>
      </c>
      <c r="R120" s="123">
        <f t="shared" si="49"/>
        <v>3.47</v>
      </c>
      <c r="S120" s="123">
        <f t="shared" si="49"/>
        <v>3.47</v>
      </c>
      <c r="T120" s="123">
        <f t="shared" si="48"/>
        <v>3.47</v>
      </c>
      <c r="U120" s="123">
        <f t="shared" si="48"/>
        <v>3.47</v>
      </c>
      <c r="V120" s="123">
        <f t="shared" si="48"/>
        <v>3.47</v>
      </c>
      <c r="W120" s="123">
        <f t="shared" si="48"/>
        <v>3.47</v>
      </c>
      <c r="X120" s="123">
        <f t="shared" si="48"/>
        <v>3.47</v>
      </c>
      <c r="Y120" s="123">
        <f t="shared" si="48"/>
        <v>3.47</v>
      </c>
      <c r="Z120" s="123">
        <f t="shared" si="48"/>
        <v>3.47</v>
      </c>
      <c r="AA120" s="123">
        <f t="shared" si="48"/>
        <v>3.47</v>
      </c>
      <c r="AB120" s="123">
        <f t="shared" si="48"/>
        <v>3.47</v>
      </c>
      <c r="AC120" s="123">
        <f t="shared" si="48"/>
        <v>3.47</v>
      </c>
      <c r="AD120" s="123">
        <f t="shared" si="48"/>
        <v>3.47</v>
      </c>
      <c r="AE120" s="123">
        <f t="shared" si="48"/>
        <v>3.47</v>
      </c>
      <c r="AF120" s="123">
        <f t="shared" si="48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6"/>
        <v>2.1</v>
      </c>
      <c r="C121" s="124">
        <v>2.1</v>
      </c>
      <c r="D121" s="123">
        <f t="shared" si="49"/>
        <v>2.1</v>
      </c>
      <c r="E121" s="123">
        <f t="shared" si="49"/>
        <v>2.1</v>
      </c>
      <c r="F121" s="123">
        <f t="shared" si="49"/>
        <v>2.1</v>
      </c>
      <c r="G121" s="123">
        <f t="shared" si="49"/>
        <v>2.1</v>
      </c>
      <c r="H121" s="123">
        <f t="shared" si="49"/>
        <v>2.1</v>
      </c>
      <c r="I121" s="123">
        <f t="shared" si="49"/>
        <v>2.1</v>
      </c>
      <c r="J121" s="123">
        <f t="shared" si="49"/>
        <v>2.1</v>
      </c>
      <c r="K121" s="123">
        <f t="shared" si="49"/>
        <v>2.1</v>
      </c>
      <c r="L121" s="123">
        <f t="shared" si="49"/>
        <v>2.1</v>
      </c>
      <c r="M121" s="123">
        <f t="shared" si="49"/>
        <v>2.1</v>
      </c>
      <c r="N121" s="123">
        <f t="shared" si="49"/>
        <v>2.1</v>
      </c>
      <c r="O121" s="123">
        <f t="shared" si="49"/>
        <v>2.1</v>
      </c>
      <c r="P121" s="123">
        <f t="shared" si="49"/>
        <v>2.1</v>
      </c>
      <c r="Q121" s="123">
        <f t="shared" si="49"/>
        <v>2.1</v>
      </c>
      <c r="R121" s="123">
        <f t="shared" si="49"/>
        <v>2.1</v>
      </c>
      <c r="S121" s="123">
        <f t="shared" si="49"/>
        <v>2.1</v>
      </c>
      <c r="T121" s="123">
        <f t="shared" si="48"/>
        <v>2.1</v>
      </c>
      <c r="U121" s="123">
        <f t="shared" si="48"/>
        <v>2.1</v>
      </c>
      <c r="V121" s="123">
        <f t="shared" si="48"/>
        <v>2.1</v>
      </c>
      <c r="W121" s="123">
        <f t="shared" si="48"/>
        <v>2.1</v>
      </c>
      <c r="X121" s="123">
        <f t="shared" si="48"/>
        <v>2.1</v>
      </c>
      <c r="Y121" s="123">
        <f t="shared" si="48"/>
        <v>2.1</v>
      </c>
      <c r="Z121" s="123">
        <f t="shared" si="48"/>
        <v>2.1</v>
      </c>
      <c r="AA121" s="123">
        <f t="shared" si="48"/>
        <v>2.1</v>
      </c>
      <c r="AB121" s="123">
        <f t="shared" si="48"/>
        <v>2.1</v>
      </c>
      <c r="AC121" s="123">
        <f t="shared" si="48"/>
        <v>2.1</v>
      </c>
      <c r="AD121" s="123">
        <f t="shared" si="48"/>
        <v>2.1</v>
      </c>
      <c r="AE121" s="123">
        <f t="shared" si="48"/>
        <v>2.1</v>
      </c>
      <c r="AF121" s="123">
        <f t="shared" si="48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6"/>
        <v>9.3000000000000007</v>
      </c>
      <c r="C122" s="124">
        <v>9.3000000000000007</v>
      </c>
      <c r="D122" s="123">
        <f t="shared" si="49"/>
        <v>9.3000000000000007</v>
      </c>
      <c r="E122" s="123">
        <f t="shared" si="49"/>
        <v>9.3000000000000007</v>
      </c>
      <c r="F122" s="123">
        <f t="shared" si="49"/>
        <v>9.3000000000000007</v>
      </c>
      <c r="G122" s="123">
        <f t="shared" si="49"/>
        <v>9.3000000000000007</v>
      </c>
      <c r="H122" s="123">
        <f t="shared" si="49"/>
        <v>9.3000000000000007</v>
      </c>
      <c r="I122" s="123">
        <f t="shared" si="49"/>
        <v>9.3000000000000007</v>
      </c>
      <c r="J122" s="123">
        <f t="shared" si="49"/>
        <v>9.3000000000000007</v>
      </c>
      <c r="K122" s="123">
        <f t="shared" si="49"/>
        <v>9.3000000000000007</v>
      </c>
      <c r="L122" s="123">
        <f t="shared" si="49"/>
        <v>9.3000000000000007</v>
      </c>
      <c r="M122" s="123">
        <f t="shared" si="49"/>
        <v>9.3000000000000007</v>
      </c>
      <c r="N122" s="123">
        <f t="shared" si="49"/>
        <v>9.3000000000000007</v>
      </c>
      <c r="O122" s="123">
        <f t="shared" si="49"/>
        <v>9.3000000000000007</v>
      </c>
      <c r="P122" s="123">
        <f t="shared" si="49"/>
        <v>9.3000000000000007</v>
      </c>
      <c r="Q122" s="123">
        <f t="shared" si="49"/>
        <v>9.3000000000000007</v>
      </c>
      <c r="R122" s="123">
        <f t="shared" si="49"/>
        <v>9.3000000000000007</v>
      </c>
      <c r="S122" s="123">
        <f t="shared" si="49"/>
        <v>9.3000000000000007</v>
      </c>
      <c r="T122" s="123">
        <f t="shared" si="48"/>
        <v>9.3000000000000007</v>
      </c>
      <c r="U122" s="123">
        <f t="shared" si="48"/>
        <v>9.3000000000000007</v>
      </c>
      <c r="V122" s="123">
        <f t="shared" si="48"/>
        <v>9.3000000000000007</v>
      </c>
      <c r="W122" s="123">
        <f t="shared" si="48"/>
        <v>9.3000000000000007</v>
      </c>
      <c r="X122" s="123">
        <f t="shared" si="48"/>
        <v>9.3000000000000007</v>
      </c>
      <c r="Y122" s="123">
        <f t="shared" si="48"/>
        <v>9.3000000000000007</v>
      </c>
      <c r="Z122" s="123">
        <f t="shared" si="48"/>
        <v>9.3000000000000007</v>
      </c>
      <c r="AA122" s="123">
        <f t="shared" si="48"/>
        <v>9.3000000000000007</v>
      </c>
      <c r="AB122" s="123">
        <f t="shared" si="48"/>
        <v>9.3000000000000007</v>
      </c>
      <c r="AC122" s="123">
        <f t="shared" si="48"/>
        <v>9.3000000000000007</v>
      </c>
      <c r="AD122" s="123">
        <f t="shared" si="48"/>
        <v>9.3000000000000007</v>
      </c>
      <c r="AE122" s="123">
        <f t="shared" si="48"/>
        <v>9.3000000000000007</v>
      </c>
      <c r="AF122" s="123">
        <f t="shared" si="48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6"/>
        <v>0</v>
      </c>
      <c r="C123" s="124">
        <v>0</v>
      </c>
      <c r="D123" s="123">
        <f t="shared" si="49"/>
        <v>0</v>
      </c>
      <c r="E123" s="123">
        <f t="shared" si="49"/>
        <v>0</v>
      </c>
      <c r="F123" s="123">
        <f t="shared" si="49"/>
        <v>0</v>
      </c>
      <c r="G123" s="123">
        <f t="shared" si="49"/>
        <v>0</v>
      </c>
      <c r="H123" s="123">
        <f t="shared" si="49"/>
        <v>0</v>
      </c>
      <c r="I123" s="123">
        <f t="shared" si="49"/>
        <v>0</v>
      </c>
      <c r="J123" s="123">
        <f t="shared" si="49"/>
        <v>0</v>
      </c>
      <c r="K123" s="123">
        <f t="shared" si="49"/>
        <v>0</v>
      </c>
      <c r="L123" s="123">
        <f t="shared" si="49"/>
        <v>0</v>
      </c>
      <c r="M123" s="123">
        <f t="shared" si="49"/>
        <v>0</v>
      </c>
      <c r="N123" s="123">
        <f t="shared" si="49"/>
        <v>0</v>
      </c>
      <c r="O123" s="123">
        <f t="shared" si="49"/>
        <v>0</v>
      </c>
      <c r="P123" s="123">
        <f t="shared" si="49"/>
        <v>0</v>
      </c>
      <c r="Q123" s="123">
        <f t="shared" si="49"/>
        <v>0</v>
      </c>
      <c r="R123" s="123">
        <f t="shared" si="49"/>
        <v>0</v>
      </c>
      <c r="S123" s="123">
        <f t="shared" si="49"/>
        <v>0</v>
      </c>
      <c r="T123" s="123">
        <f t="shared" si="48"/>
        <v>0</v>
      </c>
      <c r="U123" s="123">
        <f t="shared" si="48"/>
        <v>0</v>
      </c>
      <c r="V123" s="123">
        <f t="shared" si="48"/>
        <v>0</v>
      </c>
      <c r="W123" s="123">
        <f t="shared" si="48"/>
        <v>0</v>
      </c>
      <c r="X123" s="123">
        <f t="shared" si="48"/>
        <v>0</v>
      </c>
      <c r="Y123" s="123">
        <f t="shared" si="48"/>
        <v>0</v>
      </c>
      <c r="Z123" s="123">
        <f t="shared" si="48"/>
        <v>0</v>
      </c>
      <c r="AA123" s="123">
        <f t="shared" si="48"/>
        <v>0</v>
      </c>
      <c r="AB123" s="123">
        <f t="shared" si="48"/>
        <v>0</v>
      </c>
      <c r="AC123" s="123">
        <f t="shared" si="48"/>
        <v>0</v>
      </c>
      <c r="AD123" s="123">
        <f t="shared" si="48"/>
        <v>0</v>
      </c>
      <c r="AE123" s="123">
        <f t="shared" si="48"/>
        <v>0</v>
      </c>
      <c r="AF123" s="123">
        <f t="shared" si="48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6"/>
        <v>0</v>
      </c>
      <c r="C124" s="124">
        <v>0</v>
      </c>
      <c r="D124" s="123">
        <f t="shared" si="49"/>
        <v>0</v>
      </c>
      <c r="E124" s="123">
        <f t="shared" si="49"/>
        <v>0</v>
      </c>
      <c r="F124" s="123">
        <f t="shared" si="49"/>
        <v>0</v>
      </c>
      <c r="G124" s="123">
        <f t="shared" si="49"/>
        <v>0</v>
      </c>
      <c r="H124" s="123">
        <f t="shared" si="49"/>
        <v>0</v>
      </c>
      <c r="I124" s="123">
        <f t="shared" si="49"/>
        <v>0</v>
      </c>
      <c r="J124" s="123">
        <f t="shared" si="49"/>
        <v>0</v>
      </c>
      <c r="K124" s="123">
        <f t="shared" si="49"/>
        <v>0</v>
      </c>
      <c r="L124" s="123">
        <f t="shared" si="49"/>
        <v>0</v>
      </c>
      <c r="M124" s="123">
        <f t="shared" si="49"/>
        <v>0</v>
      </c>
      <c r="N124" s="123">
        <f t="shared" si="49"/>
        <v>0</v>
      </c>
      <c r="O124" s="123">
        <f t="shared" si="49"/>
        <v>0</v>
      </c>
      <c r="P124" s="123">
        <f t="shared" si="49"/>
        <v>0</v>
      </c>
      <c r="Q124" s="123">
        <f t="shared" si="49"/>
        <v>0</v>
      </c>
      <c r="R124" s="123">
        <f t="shared" si="49"/>
        <v>0</v>
      </c>
      <c r="S124" s="123">
        <f t="shared" si="49"/>
        <v>0</v>
      </c>
      <c r="T124" s="123">
        <f t="shared" si="48"/>
        <v>0</v>
      </c>
      <c r="U124" s="123">
        <f t="shared" si="48"/>
        <v>0</v>
      </c>
      <c r="V124" s="123">
        <f t="shared" si="48"/>
        <v>0</v>
      </c>
      <c r="W124" s="123">
        <f t="shared" si="48"/>
        <v>0</v>
      </c>
      <c r="X124" s="123">
        <f t="shared" si="48"/>
        <v>0</v>
      </c>
      <c r="Y124" s="123">
        <f t="shared" si="48"/>
        <v>0</v>
      </c>
      <c r="Z124" s="123">
        <f t="shared" si="48"/>
        <v>0</v>
      </c>
      <c r="AA124" s="123">
        <f t="shared" si="48"/>
        <v>0</v>
      </c>
      <c r="AB124" s="123">
        <f t="shared" si="48"/>
        <v>0</v>
      </c>
      <c r="AC124" s="123">
        <f t="shared" si="48"/>
        <v>0</v>
      </c>
      <c r="AD124" s="123">
        <f t="shared" si="48"/>
        <v>0</v>
      </c>
      <c r="AE124" s="123">
        <f t="shared" si="48"/>
        <v>0</v>
      </c>
      <c r="AF124" s="123">
        <f t="shared" si="48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6"/>
        <v>;/</v>
      </c>
      <c r="C125" s="124">
        <v>5</v>
      </c>
      <c r="D125" s="123">
        <f t="shared" si="49"/>
        <v>5</v>
      </c>
      <c r="E125" s="123">
        <f t="shared" si="49"/>
        <v>5</v>
      </c>
      <c r="F125" s="123">
        <f t="shared" si="49"/>
        <v>5</v>
      </c>
      <c r="G125" s="123">
        <f t="shared" si="49"/>
        <v>5</v>
      </c>
      <c r="H125" s="123">
        <f t="shared" si="49"/>
        <v>5</v>
      </c>
      <c r="I125" s="123" t="s">
        <v>130</v>
      </c>
      <c r="J125" s="123" t="str">
        <f t="shared" si="49"/>
        <v>;/</v>
      </c>
      <c r="K125" s="123" t="str">
        <f t="shared" si="49"/>
        <v>;/</v>
      </c>
      <c r="L125" s="123" t="str">
        <f t="shared" si="49"/>
        <v>;/</v>
      </c>
      <c r="M125" s="123" t="str">
        <f t="shared" si="49"/>
        <v>;/</v>
      </c>
      <c r="N125" s="123" t="str">
        <f t="shared" si="49"/>
        <v>;/</v>
      </c>
      <c r="O125" s="123" t="str">
        <f t="shared" si="49"/>
        <v>;/</v>
      </c>
      <c r="P125" s="123" t="str">
        <f t="shared" si="49"/>
        <v>;/</v>
      </c>
      <c r="Q125" s="123" t="str">
        <f t="shared" si="49"/>
        <v>;/</v>
      </c>
      <c r="R125" s="123" t="str">
        <f t="shared" si="49"/>
        <v>;/</v>
      </c>
      <c r="S125" s="123" t="str">
        <f t="shared" si="49"/>
        <v>;/</v>
      </c>
      <c r="T125" s="123" t="str">
        <f t="shared" si="48"/>
        <v>;/</v>
      </c>
      <c r="U125" s="123" t="str">
        <f t="shared" si="48"/>
        <v>;/</v>
      </c>
      <c r="V125" s="123" t="str">
        <f t="shared" si="48"/>
        <v>;/</v>
      </c>
      <c r="W125" s="123" t="str">
        <f t="shared" si="48"/>
        <v>;/</v>
      </c>
      <c r="X125" s="123" t="str">
        <f t="shared" si="48"/>
        <v>;/</v>
      </c>
      <c r="Y125" s="123" t="str">
        <f t="shared" si="48"/>
        <v>;/</v>
      </c>
      <c r="Z125" s="123" t="str">
        <f t="shared" si="48"/>
        <v>;/</v>
      </c>
      <c r="AA125" s="123" t="str">
        <f t="shared" si="48"/>
        <v>;/</v>
      </c>
      <c r="AB125" s="123" t="str">
        <f t="shared" si="48"/>
        <v>;/</v>
      </c>
      <c r="AC125" s="123" t="str">
        <f t="shared" si="48"/>
        <v>;/</v>
      </c>
      <c r="AD125" s="123" t="str">
        <f t="shared" si="48"/>
        <v>;/</v>
      </c>
      <c r="AE125" s="123" t="str">
        <f t="shared" si="48"/>
        <v>;/</v>
      </c>
      <c r="AF125" s="123" t="str">
        <f t="shared" si="48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6"/>
        <v>1</v>
      </c>
      <c r="C126" s="124">
        <v>1</v>
      </c>
      <c r="D126" s="123">
        <f t="shared" si="49"/>
        <v>1</v>
      </c>
      <c r="E126" s="123">
        <f t="shared" si="49"/>
        <v>1</v>
      </c>
      <c r="F126" s="123">
        <f t="shared" si="49"/>
        <v>1</v>
      </c>
      <c r="G126" s="123">
        <f t="shared" si="49"/>
        <v>1</v>
      </c>
      <c r="H126" s="123">
        <f t="shared" si="49"/>
        <v>1</v>
      </c>
      <c r="I126" s="123">
        <f t="shared" si="49"/>
        <v>1</v>
      </c>
      <c r="J126" s="123">
        <f t="shared" si="49"/>
        <v>1</v>
      </c>
      <c r="K126" s="123">
        <f t="shared" si="49"/>
        <v>1</v>
      </c>
      <c r="L126" s="123">
        <f t="shared" si="49"/>
        <v>1</v>
      </c>
      <c r="M126" s="123">
        <f t="shared" si="49"/>
        <v>1</v>
      </c>
      <c r="N126" s="123">
        <f t="shared" si="49"/>
        <v>1</v>
      </c>
      <c r="O126" s="123">
        <f t="shared" si="49"/>
        <v>1</v>
      </c>
      <c r="P126" s="123">
        <f t="shared" si="49"/>
        <v>1</v>
      </c>
      <c r="Q126" s="123">
        <f t="shared" si="49"/>
        <v>1</v>
      </c>
      <c r="R126" s="123">
        <f t="shared" si="49"/>
        <v>1</v>
      </c>
      <c r="S126" s="123">
        <f t="shared" si="49"/>
        <v>1</v>
      </c>
      <c r="T126" s="123">
        <f t="shared" si="48"/>
        <v>1</v>
      </c>
      <c r="U126" s="123">
        <f t="shared" si="48"/>
        <v>1</v>
      </c>
      <c r="V126" s="123">
        <f t="shared" si="48"/>
        <v>1</v>
      </c>
      <c r="W126" s="123">
        <f t="shared" si="48"/>
        <v>1</v>
      </c>
      <c r="X126" s="123">
        <f t="shared" si="48"/>
        <v>1</v>
      </c>
      <c r="Y126" s="123">
        <f t="shared" si="48"/>
        <v>1</v>
      </c>
      <c r="Z126" s="123">
        <f t="shared" si="48"/>
        <v>1</v>
      </c>
      <c r="AA126" s="123">
        <f t="shared" si="48"/>
        <v>1</v>
      </c>
      <c r="AB126" s="123">
        <f t="shared" si="48"/>
        <v>1</v>
      </c>
      <c r="AC126" s="123">
        <f t="shared" si="48"/>
        <v>1</v>
      </c>
      <c r="AD126" s="123">
        <f t="shared" si="48"/>
        <v>1</v>
      </c>
      <c r="AE126" s="123">
        <f t="shared" si="48"/>
        <v>1</v>
      </c>
      <c r="AF126" s="123">
        <f t="shared" si="48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6"/>
        <v>1.58</v>
      </c>
      <c r="C127" s="124">
        <v>1.58</v>
      </c>
      <c r="D127" s="123">
        <f t="shared" si="49"/>
        <v>1.58</v>
      </c>
      <c r="E127" s="123">
        <f t="shared" si="49"/>
        <v>1.58</v>
      </c>
      <c r="F127" s="123">
        <f t="shared" si="49"/>
        <v>1.58</v>
      </c>
      <c r="G127" s="123">
        <f t="shared" si="49"/>
        <v>1.58</v>
      </c>
      <c r="H127" s="123">
        <f t="shared" si="49"/>
        <v>1.58</v>
      </c>
      <c r="I127" s="123">
        <f t="shared" si="49"/>
        <v>1.58</v>
      </c>
      <c r="J127" s="123">
        <f t="shared" si="49"/>
        <v>1.58</v>
      </c>
      <c r="K127" s="123">
        <f t="shared" si="49"/>
        <v>1.58</v>
      </c>
      <c r="L127" s="123">
        <f t="shared" si="49"/>
        <v>1.58</v>
      </c>
      <c r="M127" s="123">
        <f t="shared" si="49"/>
        <v>1.58</v>
      </c>
      <c r="N127" s="123">
        <f t="shared" si="49"/>
        <v>1.58</v>
      </c>
      <c r="O127" s="123">
        <f t="shared" si="49"/>
        <v>1.58</v>
      </c>
      <c r="P127" s="123">
        <f t="shared" si="49"/>
        <v>1.58</v>
      </c>
      <c r="Q127" s="123">
        <f t="shared" si="49"/>
        <v>1.58</v>
      </c>
      <c r="R127" s="123">
        <f t="shared" si="49"/>
        <v>1.58</v>
      </c>
      <c r="S127" s="123">
        <f t="shared" si="49"/>
        <v>1.58</v>
      </c>
      <c r="T127" s="123">
        <f t="shared" si="48"/>
        <v>1.58</v>
      </c>
      <c r="U127" s="123">
        <f t="shared" si="48"/>
        <v>1.58</v>
      </c>
      <c r="V127" s="123">
        <f t="shared" si="48"/>
        <v>1.58</v>
      </c>
      <c r="W127" s="123">
        <f t="shared" si="48"/>
        <v>1.58</v>
      </c>
      <c r="X127" s="123">
        <f t="shared" si="48"/>
        <v>1.58</v>
      </c>
      <c r="Y127" s="123">
        <f t="shared" si="48"/>
        <v>1.58</v>
      </c>
      <c r="Z127" s="123">
        <f t="shared" si="48"/>
        <v>1.58</v>
      </c>
      <c r="AA127" s="123">
        <f t="shared" si="48"/>
        <v>1.58</v>
      </c>
      <c r="AB127" s="123">
        <f t="shared" si="48"/>
        <v>1.58</v>
      </c>
      <c r="AC127" s="123">
        <f t="shared" si="48"/>
        <v>1.58</v>
      </c>
      <c r="AD127" s="123">
        <f t="shared" si="48"/>
        <v>1.58</v>
      </c>
      <c r="AE127" s="123">
        <f t="shared" si="48"/>
        <v>1.58</v>
      </c>
      <c r="AF127" s="123">
        <f t="shared" si="48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6"/>
        <v>1.46</v>
      </c>
      <c r="C128" s="124">
        <v>1.46</v>
      </c>
      <c r="D128" s="123">
        <f t="shared" si="49"/>
        <v>1.46</v>
      </c>
      <c r="E128" s="123">
        <f t="shared" si="49"/>
        <v>1.46</v>
      </c>
      <c r="F128" s="123">
        <f t="shared" si="49"/>
        <v>1.46</v>
      </c>
      <c r="G128" s="123">
        <f t="shared" si="49"/>
        <v>1.46</v>
      </c>
      <c r="H128" s="123">
        <f t="shared" si="49"/>
        <v>1.46</v>
      </c>
      <c r="I128" s="123">
        <f t="shared" si="49"/>
        <v>1.46</v>
      </c>
      <c r="J128" s="123">
        <f t="shared" si="49"/>
        <v>1.46</v>
      </c>
      <c r="K128" s="123">
        <f t="shared" si="49"/>
        <v>1.46</v>
      </c>
      <c r="L128" s="123">
        <f t="shared" si="49"/>
        <v>1.46</v>
      </c>
      <c r="M128" s="123">
        <f t="shared" si="49"/>
        <v>1.46</v>
      </c>
      <c r="N128" s="123">
        <f t="shared" si="49"/>
        <v>1.46</v>
      </c>
      <c r="O128" s="123">
        <f t="shared" si="49"/>
        <v>1.46</v>
      </c>
      <c r="P128" s="123">
        <f t="shared" si="49"/>
        <v>1.46</v>
      </c>
      <c r="Q128" s="123">
        <f t="shared" si="49"/>
        <v>1.46</v>
      </c>
      <c r="R128" s="123">
        <f t="shared" si="49"/>
        <v>1.46</v>
      </c>
      <c r="S128" s="123">
        <f t="shared" si="49"/>
        <v>1.46</v>
      </c>
      <c r="T128" s="123">
        <f t="shared" ref="T128:AF129" si="50">S128</f>
        <v>1.46</v>
      </c>
      <c r="U128" s="123">
        <f t="shared" si="50"/>
        <v>1.46</v>
      </c>
      <c r="V128" s="123">
        <f t="shared" si="50"/>
        <v>1.46</v>
      </c>
      <c r="W128" s="123">
        <f t="shared" si="50"/>
        <v>1.46</v>
      </c>
      <c r="X128" s="123">
        <f t="shared" si="50"/>
        <v>1.46</v>
      </c>
      <c r="Y128" s="123">
        <f t="shared" si="50"/>
        <v>1.46</v>
      </c>
      <c r="Z128" s="123">
        <f t="shared" si="50"/>
        <v>1.46</v>
      </c>
      <c r="AA128" s="123">
        <f t="shared" si="50"/>
        <v>1.46</v>
      </c>
      <c r="AB128" s="123">
        <f t="shared" si="50"/>
        <v>1.46</v>
      </c>
      <c r="AC128" s="123">
        <f t="shared" si="50"/>
        <v>1.46</v>
      </c>
      <c r="AD128" s="123">
        <f t="shared" si="50"/>
        <v>1.46</v>
      </c>
      <c r="AE128" s="123">
        <f t="shared" si="50"/>
        <v>1.46</v>
      </c>
      <c r="AF128" s="123">
        <f t="shared" si="50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6"/>
        <v>1.48</v>
      </c>
      <c r="C129" s="124">
        <v>1.48</v>
      </c>
      <c r="D129" s="123">
        <f t="shared" si="49"/>
        <v>1.48</v>
      </c>
      <c r="E129" s="123">
        <f t="shared" si="49"/>
        <v>1.48</v>
      </c>
      <c r="F129" s="123">
        <f t="shared" si="49"/>
        <v>1.48</v>
      </c>
      <c r="G129" s="123">
        <f t="shared" si="49"/>
        <v>1.48</v>
      </c>
      <c r="H129" s="123">
        <f t="shared" si="49"/>
        <v>1.48</v>
      </c>
      <c r="I129" s="123">
        <f t="shared" si="49"/>
        <v>1.48</v>
      </c>
      <c r="J129" s="123">
        <f t="shared" si="49"/>
        <v>1.48</v>
      </c>
      <c r="K129" s="123">
        <f t="shared" si="49"/>
        <v>1.48</v>
      </c>
      <c r="L129" s="123">
        <f t="shared" si="49"/>
        <v>1.48</v>
      </c>
      <c r="M129" s="123">
        <f t="shared" si="49"/>
        <v>1.48</v>
      </c>
      <c r="N129" s="123">
        <f t="shared" si="49"/>
        <v>1.48</v>
      </c>
      <c r="O129" s="123">
        <f t="shared" si="49"/>
        <v>1.48</v>
      </c>
      <c r="P129" s="123">
        <f t="shared" si="49"/>
        <v>1.48</v>
      </c>
      <c r="Q129" s="123">
        <f t="shared" si="49"/>
        <v>1.48</v>
      </c>
      <c r="R129" s="123">
        <f t="shared" si="49"/>
        <v>1.48</v>
      </c>
      <c r="S129" s="123">
        <f t="shared" si="49"/>
        <v>1.48</v>
      </c>
      <c r="T129" s="123">
        <f t="shared" si="50"/>
        <v>1.48</v>
      </c>
      <c r="U129" s="123">
        <f t="shared" si="50"/>
        <v>1.48</v>
      </c>
      <c r="V129" s="123">
        <f t="shared" si="50"/>
        <v>1.48</v>
      </c>
      <c r="W129" s="123">
        <f t="shared" si="50"/>
        <v>1.48</v>
      </c>
      <c r="X129" s="123">
        <f t="shared" si="50"/>
        <v>1.48</v>
      </c>
      <c r="Y129" s="123">
        <f t="shared" si="50"/>
        <v>1.48</v>
      </c>
      <c r="Z129" s="123">
        <f t="shared" si="50"/>
        <v>1.48</v>
      </c>
      <c r="AA129" s="123">
        <f t="shared" si="50"/>
        <v>1.48</v>
      </c>
      <c r="AB129" s="123">
        <f t="shared" si="50"/>
        <v>1.48</v>
      </c>
      <c r="AC129" s="123">
        <f t="shared" si="50"/>
        <v>1.48</v>
      </c>
      <c r="AD129" s="123">
        <f t="shared" si="50"/>
        <v>1.48</v>
      </c>
      <c r="AE129" s="123">
        <f t="shared" si="50"/>
        <v>1.48</v>
      </c>
      <c r="AF129" s="123">
        <f t="shared" si="50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51">AF131</f>
        <v>2.2000000000000002</v>
      </c>
      <c r="C131" s="124">
        <v>2.2000000000000002</v>
      </c>
      <c r="D131" s="123">
        <f t="shared" ref="D131:S138" si="52">C131</f>
        <v>2.2000000000000002</v>
      </c>
      <c r="E131" s="123">
        <f t="shared" si="52"/>
        <v>2.2000000000000002</v>
      </c>
      <c r="F131" s="123">
        <f t="shared" si="52"/>
        <v>2.2000000000000002</v>
      </c>
      <c r="G131" s="123">
        <f t="shared" si="52"/>
        <v>2.2000000000000002</v>
      </c>
      <c r="H131" s="123">
        <f t="shared" si="52"/>
        <v>2.2000000000000002</v>
      </c>
      <c r="I131" s="123">
        <f t="shared" si="52"/>
        <v>2.2000000000000002</v>
      </c>
      <c r="J131" s="123">
        <f t="shared" si="52"/>
        <v>2.2000000000000002</v>
      </c>
      <c r="K131" s="123">
        <f t="shared" si="52"/>
        <v>2.2000000000000002</v>
      </c>
      <c r="L131" s="123">
        <f t="shared" si="52"/>
        <v>2.2000000000000002</v>
      </c>
      <c r="M131" s="123">
        <f t="shared" si="52"/>
        <v>2.2000000000000002</v>
      </c>
      <c r="N131" s="123">
        <f t="shared" si="52"/>
        <v>2.2000000000000002</v>
      </c>
      <c r="O131" s="123">
        <f t="shared" si="52"/>
        <v>2.2000000000000002</v>
      </c>
      <c r="P131" s="123">
        <f t="shared" si="52"/>
        <v>2.2000000000000002</v>
      </c>
      <c r="Q131" s="123">
        <f t="shared" si="52"/>
        <v>2.2000000000000002</v>
      </c>
      <c r="R131" s="123">
        <f t="shared" si="52"/>
        <v>2.2000000000000002</v>
      </c>
      <c r="S131" s="123">
        <f t="shared" si="52"/>
        <v>2.2000000000000002</v>
      </c>
      <c r="T131" s="123">
        <f t="shared" ref="T131:AF138" si="53">S131</f>
        <v>2.2000000000000002</v>
      </c>
      <c r="U131" s="123">
        <f t="shared" si="53"/>
        <v>2.2000000000000002</v>
      </c>
      <c r="V131" s="123">
        <f t="shared" si="53"/>
        <v>2.2000000000000002</v>
      </c>
      <c r="W131" s="123">
        <f t="shared" si="53"/>
        <v>2.2000000000000002</v>
      </c>
      <c r="X131" s="123">
        <f t="shared" si="53"/>
        <v>2.2000000000000002</v>
      </c>
      <c r="Y131" s="123">
        <f t="shared" si="53"/>
        <v>2.2000000000000002</v>
      </c>
      <c r="Z131" s="123">
        <f t="shared" si="53"/>
        <v>2.2000000000000002</v>
      </c>
      <c r="AA131" s="123">
        <f t="shared" si="53"/>
        <v>2.2000000000000002</v>
      </c>
      <c r="AB131" s="123">
        <f t="shared" si="53"/>
        <v>2.2000000000000002</v>
      </c>
      <c r="AC131" s="123">
        <f t="shared" si="53"/>
        <v>2.2000000000000002</v>
      </c>
      <c r="AD131" s="123">
        <f t="shared" si="53"/>
        <v>2.2000000000000002</v>
      </c>
      <c r="AE131" s="123">
        <f t="shared" si="53"/>
        <v>2.2000000000000002</v>
      </c>
      <c r="AF131" s="123">
        <f t="shared" si="53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51"/>
        <v>2</v>
      </c>
      <c r="C132" s="124">
        <v>2</v>
      </c>
      <c r="D132" s="123">
        <f t="shared" si="52"/>
        <v>2</v>
      </c>
      <c r="E132" s="123">
        <f t="shared" si="52"/>
        <v>2</v>
      </c>
      <c r="F132" s="123">
        <f t="shared" si="52"/>
        <v>2</v>
      </c>
      <c r="G132" s="123">
        <f t="shared" si="52"/>
        <v>2</v>
      </c>
      <c r="H132" s="123">
        <f t="shared" si="52"/>
        <v>2</v>
      </c>
      <c r="I132" s="123">
        <f t="shared" si="52"/>
        <v>2</v>
      </c>
      <c r="J132" s="123">
        <f t="shared" si="52"/>
        <v>2</v>
      </c>
      <c r="K132" s="123">
        <f t="shared" si="52"/>
        <v>2</v>
      </c>
      <c r="L132" s="123">
        <f t="shared" si="52"/>
        <v>2</v>
      </c>
      <c r="M132" s="123">
        <f t="shared" si="52"/>
        <v>2</v>
      </c>
      <c r="N132" s="123">
        <f t="shared" si="52"/>
        <v>2</v>
      </c>
      <c r="O132" s="123">
        <f t="shared" si="52"/>
        <v>2</v>
      </c>
      <c r="P132" s="123">
        <f t="shared" si="52"/>
        <v>2</v>
      </c>
      <c r="Q132" s="123">
        <f t="shared" si="52"/>
        <v>2</v>
      </c>
      <c r="R132" s="123">
        <f t="shared" si="52"/>
        <v>2</v>
      </c>
      <c r="S132" s="123">
        <f t="shared" si="52"/>
        <v>2</v>
      </c>
      <c r="T132" s="123">
        <f t="shared" si="53"/>
        <v>2</v>
      </c>
      <c r="U132" s="123">
        <f t="shared" si="53"/>
        <v>2</v>
      </c>
      <c r="V132" s="123">
        <f t="shared" si="53"/>
        <v>2</v>
      </c>
      <c r="W132" s="123">
        <f t="shared" si="53"/>
        <v>2</v>
      </c>
      <c r="X132" s="123">
        <f t="shared" si="53"/>
        <v>2</v>
      </c>
      <c r="Y132" s="123">
        <f t="shared" si="53"/>
        <v>2</v>
      </c>
      <c r="Z132" s="123">
        <f t="shared" si="53"/>
        <v>2</v>
      </c>
      <c r="AA132" s="123">
        <f t="shared" si="53"/>
        <v>2</v>
      </c>
      <c r="AB132" s="123">
        <f t="shared" si="53"/>
        <v>2</v>
      </c>
      <c r="AC132" s="123">
        <f t="shared" si="53"/>
        <v>2</v>
      </c>
      <c r="AD132" s="123">
        <f t="shared" si="53"/>
        <v>2</v>
      </c>
      <c r="AE132" s="123">
        <f t="shared" si="53"/>
        <v>2</v>
      </c>
      <c r="AF132" s="123">
        <f t="shared" si="53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51"/>
        <v>1.25</v>
      </c>
      <c r="C133" s="124">
        <v>1.25</v>
      </c>
      <c r="D133" s="123">
        <f t="shared" si="52"/>
        <v>1.25</v>
      </c>
      <c r="E133" s="123">
        <f t="shared" si="52"/>
        <v>1.25</v>
      </c>
      <c r="F133" s="123">
        <f t="shared" si="52"/>
        <v>1.25</v>
      </c>
      <c r="G133" s="123">
        <f t="shared" si="52"/>
        <v>1.25</v>
      </c>
      <c r="H133" s="123">
        <f t="shared" si="52"/>
        <v>1.25</v>
      </c>
      <c r="I133" s="123">
        <f t="shared" si="52"/>
        <v>1.25</v>
      </c>
      <c r="J133" s="123">
        <f t="shared" si="52"/>
        <v>1.25</v>
      </c>
      <c r="K133" s="123">
        <f t="shared" si="52"/>
        <v>1.25</v>
      </c>
      <c r="L133" s="123">
        <f t="shared" si="52"/>
        <v>1.25</v>
      </c>
      <c r="M133" s="123">
        <f t="shared" si="52"/>
        <v>1.25</v>
      </c>
      <c r="N133" s="123">
        <f t="shared" si="52"/>
        <v>1.25</v>
      </c>
      <c r="O133" s="123">
        <f t="shared" si="52"/>
        <v>1.25</v>
      </c>
      <c r="P133" s="123">
        <f t="shared" si="52"/>
        <v>1.25</v>
      </c>
      <c r="Q133" s="123">
        <f t="shared" si="52"/>
        <v>1.25</v>
      </c>
      <c r="R133" s="123">
        <f t="shared" si="52"/>
        <v>1.25</v>
      </c>
      <c r="S133" s="123">
        <f t="shared" si="52"/>
        <v>1.25</v>
      </c>
      <c r="T133" s="123">
        <f t="shared" si="53"/>
        <v>1.25</v>
      </c>
      <c r="U133" s="123">
        <f t="shared" si="53"/>
        <v>1.25</v>
      </c>
      <c r="V133" s="123">
        <f t="shared" si="53"/>
        <v>1.25</v>
      </c>
      <c r="W133" s="123">
        <f t="shared" si="53"/>
        <v>1.25</v>
      </c>
      <c r="X133" s="123">
        <f t="shared" si="53"/>
        <v>1.25</v>
      </c>
      <c r="Y133" s="123">
        <f t="shared" si="53"/>
        <v>1.25</v>
      </c>
      <c r="Z133" s="123">
        <f t="shared" si="53"/>
        <v>1.25</v>
      </c>
      <c r="AA133" s="123">
        <f t="shared" si="53"/>
        <v>1.25</v>
      </c>
      <c r="AB133" s="123">
        <f t="shared" si="53"/>
        <v>1.25</v>
      </c>
      <c r="AC133" s="123">
        <f t="shared" si="53"/>
        <v>1.25</v>
      </c>
      <c r="AD133" s="123">
        <f t="shared" si="53"/>
        <v>1.25</v>
      </c>
      <c r="AE133" s="123">
        <f t="shared" si="53"/>
        <v>1.25</v>
      </c>
      <c r="AF133" s="123">
        <f t="shared" si="53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51"/>
        <v>1.1499999999999999</v>
      </c>
      <c r="C134" s="124">
        <v>1.1499999999999999</v>
      </c>
      <c r="D134" s="123">
        <f t="shared" si="52"/>
        <v>1.1499999999999999</v>
      </c>
      <c r="E134" s="123">
        <f t="shared" si="52"/>
        <v>1.1499999999999999</v>
      </c>
      <c r="F134" s="123">
        <f t="shared" si="52"/>
        <v>1.1499999999999999</v>
      </c>
      <c r="G134" s="123">
        <f t="shared" si="52"/>
        <v>1.1499999999999999</v>
      </c>
      <c r="H134" s="123">
        <f t="shared" si="52"/>
        <v>1.1499999999999999</v>
      </c>
      <c r="I134" s="123">
        <f t="shared" si="52"/>
        <v>1.1499999999999999</v>
      </c>
      <c r="J134" s="123">
        <f t="shared" si="52"/>
        <v>1.1499999999999999</v>
      </c>
      <c r="K134" s="123">
        <f t="shared" si="52"/>
        <v>1.1499999999999999</v>
      </c>
      <c r="L134" s="123">
        <f t="shared" si="52"/>
        <v>1.1499999999999999</v>
      </c>
      <c r="M134" s="123">
        <f t="shared" si="52"/>
        <v>1.1499999999999999</v>
      </c>
      <c r="N134" s="123">
        <f t="shared" si="52"/>
        <v>1.1499999999999999</v>
      </c>
      <c r="O134" s="123">
        <f t="shared" si="52"/>
        <v>1.1499999999999999</v>
      </c>
      <c r="P134" s="123">
        <f t="shared" si="52"/>
        <v>1.1499999999999999</v>
      </c>
      <c r="Q134" s="123">
        <f t="shared" si="52"/>
        <v>1.1499999999999999</v>
      </c>
      <c r="R134" s="123">
        <f t="shared" si="52"/>
        <v>1.1499999999999999</v>
      </c>
      <c r="S134" s="123">
        <f t="shared" si="52"/>
        <v>1.1499999999999999</v>
      </c>
      <c r="T134" s="123">
        <f t="shared" si="53"/>
        <v>1.1499999999999999</v>
      </c>
      <c r="U134" s="123">
        <f t="shared" si="53"/>
        <v>1.1499999999999999</v>
      </c>
      <c r="V134" s="123">
        <f t="shared" si="53"/>
        <v>1.1499999999999999</v>
      </c>
      <c r="W134" s="123">
        <f t="shared" si="53"/>
        <v>1.1499999999999999</v>
      </c>
      <c r="X134" s="123">
        <f t="shared" si="53"/>
        <v>1.1499999999999999</v>
      </c>
      <c r="Y134" s="123">
        <f t="shared" si="53"/>
        <v>1.1499999999999999</v>
      </c>
      <c r="Z134" s="123">
        <f t="shared" si="53"/>
        <v>1.1499999999999999</v>
      </c>
      <c r="AA134" s="123">
        <f t="shared" si="53"/>
        <v>1.1499999999999999</v>
      </c>
      <c r="AB134" s="123">
        <f t="shared" si="53"/>
        <v>1.1499999999999999</v>
      </c>
      <c r="AC134" s="123">
        <f t="shared" si="53"/>
        <v>1.1499999999999999</v>
      </c>
      <c r="AD134" s="123">
        <f t="shared" si="53"/>
        <v>1.1499999999999999</v>
      </c>
      <c r="AE134" s="123">
        <f t="shared" si="53"/>
        <v>1.1499999999999999</v>
      </c>
      <c r="AF134" s="123">
        <f t="shared" si="53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51"/>
        <v>2.133</v>
      </c>
      <c r="C135" s="124">
        <v>2.133</v>
      </c>
      <c r="D135" s="123">
        <f t="shared" si="52"/>
        <v>2.133</v>
      </c>
      <c r="E135" s="123">
        <f t="shared" si="52"/>
        <v>2.133</v>
      </c>
      <c r="F135" s="123">
        <f t="shared" si="52"/>
        <v>2.133</v>
      </c>
      <c r="G135" s="123">
        <f t="shared" si="52"/>
        <v>2.133</v>
      </c>
      <c r="H135" s="123">
        <f t="shared" si="52"/>
        <v>2.133</v>
      </c>
      <c r="I135" s="123">
        <f t="shared" si="52"/>
        <v>2.133</v>
      </c>
      <c r="J135" s="123">
        <f t="shared" si="52"/>
        <v>2.133</v>
      </c>
      <c r="K135" s="123">
        <f t="shared" si="52"/>
        <v>2.133</v>
      </c>
      <c r="L135" s="123">
        <f t="shared" si="52"/>
        <v>2.133</v>
      </c>
      <c r="M135" s="123">
        <f t="shared" si="52"/>
        <v>2.133</v>
      </c>
      <c r="N135" s="123">
        <f t="shared" si="52"/>
        <v>2.133</v>
      </c>
      <c r="O135" s="123">
        <f t="shared" si="52"/>
        <v>2.133</v>
      </c>
      <c r="P135" s="123">
        <f t="shared" si="52"/>
        <v>2.133</v>
      </c>
      <c r="Q135" s="123">
        <f t="shared" si="52"/>
        <v>2.133</v>
      </c>
      <c r="R135" s="123">
        <f t="shared" si="52"/>
        <v>2.133</v>
      </c>
      <c r="S135" s="123">
        <f t="shared" si="52"/>
        <v>2.133</v>
      </c>
      <c r="T135" s="123">
        <f t="shared" si="53"/>
        <v>2.133</v>
      </c>
      <c r="U135" s="123">
        <f t="shared" si="53"/>
        <v>2.133</v>
      </c>
      <c r="V135" s="123">
        <f t="shared" si="53"/>
        <v>2.133</v>
      </c>
      <c r="W135" s="123">
        <f t="shared" si="53"/>
        <v>2.133</v>
      </c>
      <c r="X135" s="123">
        <f t="shared" si="53"/>
        <v>2.133</v>
      </c>
      <c r="Y135" s="123">
        <f t="shared" si="53"/>
        <v>2.133</v>
      </c>
      <c r="Z135" s="123">
        <f t="shared" si="53"/>
        <v>2.133</v>
      </c>
      <c r="AA135" s="123">
        <f t="shared" si="53"/>
        <v>2.133</v>
      </c>
      <c r="AB135" s="123">
        <f t="shared" si="53"/>
        <v>2.133</v>
      </c>
      <c r="AC135" s="123">
        <f t="shared" si="53"/>
        <v>2.133</v>
      </c>
      <c r="AD135" s="123">
        <f t="shared" si="53"/>
        <v>2.133</v>
      </c>
      <c r="AE135" s="123">
        <f t="shared" si="53"/>
        <v>2.133</v>
      </c>
      <c r="AF135" s="123">
        <f t="shared" si="53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51"/>
        <v>2.09</v>
      </c>
      <c r="C136" s="124">
        <v>2.09</v>
      </c>
      <c r="D136" s="123">
        <f t="shared" si="52"/>
        <v>2.09</v>
      </c>
      <c r="E136" s="123">
        <f t="shared" si="52"/>
        <v>2.09</v>
      </c>
      <c r="F136" s="123">
        <f t="shared" si="52"/>
        <v>2.09</v>
      </c>
      <c r="G136" s="123">
        <f t="shared" si="52"/>
        <v>2.09</v>
      </c>
      <c r="H136" s="123">
        <f t="shared" si="52"/>
        <v>2.09</v>
      </c>
      <c r="I136" s="123">
        <f t="shared" si="52"/>
        <v>2.09</v>
      </c>
      <c r="J136" s="123">
        <f t="shared" si="52"/>
        <v>2.09</v>
      </c>
      <c r="K136" s="123">
        <f t="shared" si="52"/>
        <v>2.09</v>
      </c>
      <c r="L136" s="123">
        <f t="shared" si="52"/>
        <v>2.09</v>
      </c>
      <c r="M136" s="123">
        <f t="shared" si="52"/>
        <v>2.09</v>
      </c>
      <c r="N136" s="123">
        <f t="shared" si="52"/>
        <v>2.09</v>
      </c>
      <c r="O136" s="123">
        <f t="shared" si="52"/>
        <v>2.09</v>
      </c>
      <c r="P136" s="123">
        <f t="shared" si="52"/>
        <v>2.09</v>
      </c>
      <c r="Q136" s="123">
        <f t="shared" si="52"/>
        <v>2.09</v>
      </c>
      <c r="R136" s="123">
        <f t="shared" si="52"/>
        <v>2.09</v>
      </c>
      <c r="S136" s="123">
        <f t="shared" si="52"/>
        <v>2.09</v>
      </c>
      <c r="T136" s="123">
        <f t="shared" si="53"/>
        <v>2.09</v>
      </c>
      <c r="U136" s="123">
        <f t="shared" si="53"/>
        <v>2.09</v>
      </c>
      <c r="V136" s="123">
        <f t="shared" si="53"/>
        <v>2.09</v>
      </c>
      <c r="W136" s="123">
        <f t="shared" si="53"/>
        <v>2.09</v>
      </c>
      <c r="X136" s="123">
        <f t="shared" si="53"/>
        <v>2.09</v>
      </c>
      <c r="Y136" s="123">
        <f t="shared" si="53"/>
        <v>2.09</v>
      </c>
      <c r="Z136" s="123">
        <f t="shared" si="53"/>
        <v>2.09</v>
      </c>
      <c r="AA136" s="123">
        <f t="shared" si="53"/>
        <v>2.09</v>
      </c>
      <c r="AB136" s="123">
        <f t="shared" si="53"/>
        <v>2.09</v>
      </c>
      <c r="AC136" s="123">
        <f t="shared" si="53"/>
        <v>2.09</v>
      </c>
      <c r="AD136" s="123">
        <f t="shared" si="53"/>
        <v>2.09</v>
      </c>
      <c r="AE136" s="123">
        <f t="shared" si="53"/>
        <v>2.09</v>
      </c>
      <c r="AF136" s="123">
        <f t="shared" si="53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51"/>
        <v>1.1399999999999999</v>
      </c>
      <c r="C137" s="124">
        <v>1.1399999999999999</v>
      </c>
      <c r="D137" s="123">
        <f t="shared" si="52"/>
        <v>1.1399999999999999</v>
      </c>
      <c r="E137" s="123">
        <f t="shared" si="52"/>
        <v>1.1399999999999999</v>
      </c>
      <c r="F137" s="123">
        <f t="shared" si="52"/>
        <v>1.1399999999999999</v>
      </c>
      <c r="G137" s="123">
        <f t="shared" si="52"/>
        <v>1.1399999999999999</v>
      </c>
      <c r="H137" s="123">
        <f t="shared" si="52"/>
        <v>1.1399999999999999</v>
      </c>
      <c r="I137" s="123">
        <f t="shared" si="52"/>
        <v>1.1399999999999999</v>
      </c>
      <c r="J137" s="123">
        <f t="shared" si="52"/>
        <v>1.1399999999999999</v>
      </c>
      <c r="K137" s="123">
        <f t="shared" si="52"/>
        <v>1.1399999999999999</v>
      </c>
      <c r="L137" s="123">
        <f t="shared" si="52"/>
        <v>1.1399999999999999</v>
      </c>
      <c r="M137" s="123">
        <f t="shared" si="52"/>
        <v>1.1399999999999999</v>
      </c>
      <c r="N137" s="123">
        <f t="shared" si="52"/>
        <v>1.1399999999999999</v>
      </c>
      <c r="O137" s="123">
        <f t="shared" si="52"/>
        <v>1.1399999999999999</v>
      </c>
      <c r="P137" s="123">
        <f t="shared" si="52"/>
        <v>1.1399999999999999</v>
      </c>
      <c r="Q137" s="123">
        <f t="shared" si="52"/>
        <v>1.1399999999999999</v>
      </c>
      <c r="R137" s="123">
        <f t="shared" si="52"/>
        <v>1.1399999999999999</v>
      </c>
      <c r="S137" s="123">
        <f t="shared" si="52"/>
        <v>1.1399999999999999</v>
      </c>
      <c r="T137" s="123">
        <f t="shared" si="53"/>
        <v>1.1399999999999999</v>
      </c>
      <c r="U137" s="123">
        <f t="shared" si="53"/>
        <v>1.1399999999999999</v>
      </c>
      <c r="V137" s="123">
        <f t="shared" si="53"/>
        <v>1.1399999999999999</v>
      </c>
      <c r="W137" s="123">
        <f t="shared" si="53"/>
        <v>1.1399999999999999</v>
      </c>
      <c r="X137" s="123">
        <f t="shared" si="53"/>
        <v>1.1399999999999999</v>
      </c>
      <c r="Y137" s="123">
        <f t="shared" si="53"/>
        <v>1.1399999999999999</v>
      </c>
      <c r="Z137" s="123">
        <f t="shared" si="53"/>
        <v>1.1399999999999999</v>
      </c>
      <c r="AA137" s="123">
        <f t="shared" si="53"/>
        <v>1.1399999999999999</v>
      </c>
      <c r="AB137" s="123">
        <f t="shared" si="53"/>
        <v>1.1399999999999999</v>
      </c>
      <c r="AC137" s="123">
        <f t="shared" si="53"/>
        <v>1.1399999999999999</v>
      </c>
      <c r="AD137" s="123">
        <f t="shared" si="53"/>
        <v>1.1399999999999999</v>
      </c>
      <c r="AE137" s="123">
        <f t="shared" si="53"/>
        <v>1.1399999999999999</v>
      </c>
      <c r="AF137" s="123">
        <f t="shared" si="53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51"/>
        <v>0.82</v>
      </c>
      <c r="C138" s="124">
        <v>0.82</v>
      </c>
      <c r="D138" s="123">
        <f t="shared" si="52"/>
        <v>0.82</v>
      </c>
      <c r="E138" s="123">
        <f t="shared" si="52"/>
        <v>0.82</v>
      </c>
      <c r="F138" s="123">
        <f t="shared" si="52"/>
        <v>0.82</v>
      </c>
      <c r="G138" s="123">
        <f t="shared" si="52"/>
        <v>0.82</v>
      </c>
      <c r="H138" s="123">
        <f t="shared" si="52"/>
        <v>0.82</v>
      </c>
      <c r="I138" s="123">
        <f t="shared" si="52"/>
        <v>0.82</v>
      </c>
      <c r="J138" s="123">
        <f t="shared" si="52"/>
        <v>0.82</v>
      </c>
      <c r="K138" s="123">
        <f t="shared" si="52"/>
        <v>0.82</v>
      </c>
      <c r="L138" s="123">
        <f t="shared" si="52"/>
        <v>0.82</v>
      </c>
      <c r="M138" s="123">
        <f t="shared" si="52"/>
        <v>0.82</v>
      </c>
      <c r="N138" s="123">
        <f t="shared" si="52"/>
        <v>0.82</v>
      </c>
      <c r="O138" s="123">
        <f t="shared" si="52"/>
        <v>0.82</v>
      </c>
      <c r="P138" s="123">
        <f t="shared" si="52"/>
        <v>0.82</v>
      </c>
      <c r="Q138" s="123">
        <f t="shared" si="52"/>
        <v>0.82</v>
      </c>
      <c r="R138" s="123">
        <f t="shared" si="52"/>
        <v>0.82</v>
      </c>
      <c r="S138" s="123">
        <f t="shared" si="52"/>
        <v>0.82</v>
      </c>
      <c r="T138" s="123">
        <f t="shared" si="53"/>
        <v>0.82</v>
      </c>
      <c r="U138" s="123">
        <f t="shared" si="53"/>
        <v>0.82</v>
      </c>
      <c r="V138" s="123">
        <f t="shared" si="53"/>
        <v>0.82</v>
      </c>
      <c r="W138" s="123">
        <f t="shared" si="53"/>
        <v>0.82</v>
      </c>
      <c r="X138" s="123">
        <f t="shared" si="53"/>
        <v>0.82</v>
      </c>
      <c r="Y138" s="123">
        <f t="shared" si="53"/>
        <v>0.82</v>
      </c>
      <c r="Z138" s="123">
        <f t="shared" si="53"/>
        <v>0.82</v>
      </c>
      <c r="AA138" s="123">
        <f t="shared" si="53"/>
        <v>0.82</v>
      </c>
      <c r="AB138" s="123">
        <f t="shared" si="53"/>
        <v>0.82</v>
      </c>
      <c r="AC138" s="123">
        <f t="shared" si="53"/>
        <v>0.82</v>
      </c>
      <c r="AD138" s="123">
        <f t="shared" si="53"/>
        <v>0.82</v>
      </c>
      <c r="AE138" s="123">
        <f t="shared" si="53"/>
        <v>0.82</v>
      </c>
      <c r="AF138" s="123">
        <f t="shared" si="53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4">AF140</f>
        <v>2</v>
      </c>
      <c r="C140" s="124">
        <v>2</v>
      </c>
      <c r="D140" s="123">
        <f t="shared" ref="D140:S146" si="55">C140</f>
        <v>2</v>
      </c>
      <c r="E140" s="123">
        <f t="shared" si="55"/>
        <v>2</v>
      </c>
      <c r="F140" s="123">
        <f t="shared" si="55"/>
        <v>2</v>
      </c>
      <c r="G140" s="123">
        <f t="shared" si="55"/>
        <v>2</v>
      </c>
      <c r="H140" s="123">
        <f t="shared" si="55"/>
        <v>2</v>
      </c>
      <c r="I140" s="123">
        <f t="shared" si="55"/>
        <v>2</v>
      </c>
      <c r="J140" s="123">
        <f t="shared" si="55"/>
        <v>2</v>
      </c>
      <c r="K140" s="123">
        <f t="shared" si="55"/>
        <v>2</v>
      </c>
      <c r="L140" s="123">
        <f t="shared" si="55"/>
        <v>2</v>
      </c>
      <c r="M140" s="123">
        <f t="shared" si="55"/>
        <v>2</v>
      </c>
      <c r="N140" s="123">
        <f t="shared" si="55"/>
        <v>2</v>
      </c>
      <c r="O140" s="123">
        <f t="shared" si="55"/>
        <v>2</v>
      </c>
      <c r="P140" s="123">
        <f t="shared" si="55"/>
        <v>2</v>
      </c>
      <c r="Q140" s="123">
        <f t="shared" si="55"/>
        <v>2</v>
      </c>
      <c r="R140" s="123">
        <f t="shared" si="55"/>
        <v>2</v>
      </c>
      <c r="S140" s="123">
        <f t="shared" si="55"/>
        <v>2</v>
      </c>
      <c r="T140" s="123">
        <f t="shared" ref="T140:AF146" si="56">S140</f>
        <v>2</v>
      </c>
      <c r="U140" s="123">
        <f t="shared" si="56"/>
        <v>2</v>
      </c>
      <c r="V140" s="123">
        <f t="shared" si="56"/>
        <v>2</v>
      </c>
      <c r="W140" s="123">
        <f t="shared" si="56"/>
        <v>2</v>
      </c>
      <c r="X140" s="123">
        <f t="shared" si="56"/>
        <v>2</v>
      </c>
      <c r="Y140" s="123">
        <f t="shared" si="56"/>
        <v>2</v>
      </c>
      <c r="Z140" s="123">
        <f t="shared" si="56"/>
        <v>2</v>
      </c>
      <c r="AA140" s="123">
        <f t="shared" si="56"/>
        <v>2</v>
      </c>
      <c r="AB140" s="123">
        <f t="shared" si="56"/>
        <v>2</v>
      </c>
      <c r="AC140" s="123">
        <f t="shared" si="56"/>
        <v>2</v>
      </c>
      <c r="AD140" s="123">
        <f t="shared" si="56"/>
        <v>2</v>
      </c>
      <c r="AE140" s="123">
        <f t="shared" si="56"/>
        <v>2</v>
      </c>
      <c r="AF140" s="123">
        <f t="shared" si="56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4"/>
        <v>5.61</v>
      </c>
      <c r="C141" s="124">
        <v>5.61</v>
      </c>
      <c r="D141" s="123">
        <f t="shared" si="55"/>
        <v>5.61</v>
      </c>
      <c r="E141" s="123">
        <f t="shared" si="55"/>
        <v>5.61</v>
      </c>
      <c r="F141" s="123">
        <f t="shared" si="55"/>
        <v>5.61</v>
      </c>
      <c r="G141" s="123">
        <f t="shared" si="55"/>
        <v>5.61</v>
      </c>
      <c r="H141" s="123">
        <f t="shared" si="55"/>
        <v>5.61</v>
      </c>
      <c r="I141" s="123">
        <f t="shared" si="55"/>
        <v>5.61</v>
      </c>
      <c r="J141" s="123">
        <f t="shared" si="55"/>
        <v>5.61</v>
      </c>
      <c r="K141" s="123">
        <f t="shared" si="55"/>
        <v>5.61</v>
      </c>
      <c r="L141" s="123">
        <f t="shared" si="55"/>
        <v>5.61</v>
      </c>
      <c r="M141" s="123">
        <f t="shared" si="55"/>
        <v>5.61</v>
      </c>
      <c r="N141" s="123">
        <f t="shared" si="55"/>
        <v>5.61</v>
      </c>
      <c r="O141" s="123">
        <f t="shared" si="55"/>
        <v>5.61</v>
      </c>
      <c r="P141" s="123">
        <f t="shared" si="55"/>
        <v>5.61</v>
      </c>
      <c r="Q141" s="123">
        <f t="shared" si="55"/>
        <v>5.61</v>
      </c>
      <c r="R141" s="123">
        <f t="shared" si="55"/>
        <v>5.61</v>
      </c>
      <c r="S141" s="123">
        <f t="shared" si="55"/>
        <v>5.61</v>
      </c>
      <c r="T141" s="123">
        <f t="shared" si="56"/>
        <v>5.61</v>
      </c>
      <c r="U141" s="123">
        <f t="shared" si="56"/>
        <v>5.61</v>
      </c>
      <c r="V141" s="123">
        <f t="shared" si="56"/>
        <v>5.61</v>
      </c>
      <c r="W141" s="123">
        <f t="shared" si="56"/>
        <v>5.61</v>
      </c>
      <c r="X141" s="123">
        <f t="shared" si="56"/>
        <v>5.61</v>
      </c>
      <c r="Y141" s="123">
        <f t="shared" si="56"/>
        <v>5.61</v>
      </c>
      <c r="Z141" s="123">
        <f t="shared" si="56"/>
        <v>5.61</v>
      </c>
      <c r="AA141" s="123">
        <f t="shared" si="56"/>
        <v>5.61</v>
      </c>
      <c r="AB141" s="123">
        <f t="shared" si="56"/>
        <v>5.61</v>
      </c>
      <c r="AC141" s="123">
        <f t="shared" si="56"/>
        <v>5.61</v>
      </c>
      <c r="AD141" s="123">
        <f t="shared" si="56"/>
        <v>5.61</v>
      </c>
      <c r="AE141" s="123">
        <f t="shared" si="56"/>
        <v>5.61</v>
      </c>
      <c r="AF141" s="123">
        <f t="shared" si="56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4"/>
        <v>1.25</v>
      </c>
      <c r="C142" s="124">
        <v>1.25</v>
      </c>
      <c r="D142" s="123">
        <f t="shared" si="55"/>
        <v>1.25</v>
      </c>
      <c r="E142" s="123">
        <f t="shared" si="55"/>
        <v>1.25</v>
      </c>
      <c r="F142" s="123">
        <f t="shared" si="55"/>
        <v>1.25</v>
      </c>
      <c r="G142" s="123">
        <f t="shared" si="55"/>
        <v>1.25</v>
      </c>
      <c r="H142" s="123">
        <f t="shared" si="55"/>
        <v>1.25</v>
      </c>
      <c r="I142" s="123">
        <f t="shared" si="55"/>
        <v>1.25</v>
      </c>
      <c r="J142" s="123">
        <f t="shared" si="55"/>
        <v>1.25</v>
      </c>
      <c r="K142" s="123">
        <f t="shared" si="55"/>
        <v>1.25</v>
      </c>
      <c r="L142" s="123">
        <f t="shared" si="55"/>
        <v>1.25</v>
      </c>
      <c r="M142" s="123">
        <f t="shared" si="55"/>
        <v>1.25</v>
      </c>
      <c r="N142" s="123">
        <f t="shared" si="55"/>
        <v>1.25</v>
      </c>
      <c r="O142" s="123">
        <f t="shared" si="55"/>
        <v>1.25</v>
      </c>
      <c r="P142" s="123">
        <f t="shared" si="55"/>
        <v>1.25</v>
      </c>
      <c r="Q142" s="123">
        <f t="shared" si="55"/>
        <v>1.25</v>
      </c>
      <c r="R142" s="123">
        <f t="shared" si="55"/>
        <v>1.25</v>
      </c>
      <c r="S142" s="123">
        <f t="shared" si="55"/>
        <v>1.25</v>
      </c>
      <c r="T142" s="123">
        <f t="shared" si="56"/>
        <v>1.25</v>
      </c>
      <c r="U142" s="123">
        <f t="shared" si="56"/>
        <v>1.25</v>
      </c>
      <c r="V142" s="123">
        <f t="shared" si="56"/>
        <v>1.25</v>
      </c>
      <c r="W142" s="123">
        <f t="shared" si="56"/>
        <v>1.25</v>
      </c>
      <c r="X142" s="123">
        <f t="shared" si="56"/>
        <v>1.25</v>
      </c>
      <c r="Y142" s="123">
        <f t="shared" si="56"/>
        <v>1.25</v>
      </c>
      <c r="Z142" s="123">
        <f t="shared" si="56"/>
        <v>1.25</v>
      </c>
      <c r="AA142" s="123">
        <f t="shared" si="56"/>
        <v>1.25</v>
      </c>
      <c r="AB142" s="123">
        <f t="shared" si="56"/>
        <v>1.25</v>
      </c>
      <c r="AC142" s="123">
        <f t="shared" si="56"/>
        <v>1.25</v>
      </c>
      <c r="AD142" s="123">
        <f t="shared" si="56"/>
        <v>1.25</v>
      </c>
      <c r="AE142" s="123">
        <f t="shared" si="56"/>
        <v>1.25</v>
      </c>
      <c r="AF142" s="123">
        <f t="shared" si="56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4"/>
        <v>1.25</v>
      </c>
      <c r="C143" s="124">
        <v>1.25</v>
      </c>
      <c r="D143" s="123">
        <f t="shared" si="55"/>
        <v>1.25</v>
      </c>
      <c r="E143" s="123">
        <f t="shared" si="55"/>
        <v>1.25</v>
      </c>
      <c r="F143" s="123">
        <f t="shared" si="55"/>
        <v>1.25</v>
      </c>
      <c r="G143" s="123">
        <f t="shared" si="55"/>
        <v>1.25</v>
      </c>
      <c r="H143" s="123">
        <f t="shared" si="55"/>
        <v>1.25</v>
      </c>
      <c r="I143" s="123">
        <f t="shared" si="55"/>
        <v>1.25</v>
      </c>
      <c r="J143" s="123">
        <f t="shared" si="55"/>
        <v>1.25</v>
      </c>
      <c r="K143" s="123">
        <f t="shared" si="55"/>
        <v>1.25</v>
      </c>
      <c r="L143" s="123">
        <f t="shared" si="55"/>
        <v>1.25</v>
      </c>
      <c r="M143" s="123">
        <f t="shared" si="55"/>
        <v>1.25</v>
      </c>
      <c r="N143" s="123">
        <f t="shared" si="55"/>
        <v>1.25</v>
      </c>
      <c r="O143" s="123">
        <f t="shared" si="55"/>
        <v>1.25</v>
      </c>
      <c r="P143" s="123">
        <f t="shared" si="55"/>
        <v>1.25</v>
      </c>
      <c r="Q143" s="123">
        <f t="shared" si="55"/>
        <v>1.25</v>
      </c>
      <c r="R143" s="123">
        <f t="shared" si="55"/>
        <v>1.25</v>
      </c>
      <c r="S143" s="123">
        <f t="shared" si="55"/>
        <v>1.25</v>
      </c>
      <c r="T143" s="123">
        <f t="shared" si="56"/>
        <v>1.25</v>
      </c>
      <c r="U143" s="123">
        <f t="shared" si="56"/>
        <v>1.25</v>
      </c>
      <c r="V143" s="123">
        <f t="shared" si="56"/>
        <v>1.25</v>
      </c>
      <c r="W143" s="123">
        <f t="shared" si="56"/>
        <v>1.25</v>
      </c>
      <c r="X143" s="123">
        <f t="shared" si="56"/>
        <v>1.25</v>
      </c>
      <c r="Y143" s="123">
        <f t="shared" si="56"/>
        <v>1.25</v>
      </c>
      <c r="Z143" s="123">
        <f t="shared" si="56"/>
        <v>1.25</v>
      </c>
      <c r="AA143" s="123">
        <f t="shared" si="56"/>
        <v>1.25</v>
      </c>
      <c r="AB143" s="123">
        <f t="shared" si="56"/>
        <v>1.25</v>
      </c>
      <c r="AC143" s="123">
        <f t="shared" si="56"/>
        <v>1.25</v>
      </c>
      <c r="AD143" s="123">
        <f t="shared" si="56"/>
        <v>1.25</v>
      </c>
      <c r="AE143" s="123">
        <f t="shared" si="56"/>
        <v>1.25</v>
      </c>
      <c r="AF143" s="123">
        <f t="shared" si="56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4"/>
        <v>1.46</v>
      </c>
      <c r="C144" s="124">
        <v>1.46</v>
      </c>
      <c r="D144" s="123">
        <f t="shared" si="55"/>
        <v>1.46</v>
      </c>
      <c r="E144" s="123">
        <f t="shared" si="55"/>
        <v>1.46</v>
      </c>
      <c r="F144" s="123">
        <f t="shared" si="55"/>
        <v>1.46</v>
      </c>
      <c r="G144" s="123">
        <f t="shared" si="55"/>
        <v>1.46</v>
      </c>
      <c r="H144" s="123">
        <f t="shared" si="55"/>
        <v>1.46</v>
      </c>
      <c r="I144" s="123">
        <f t="shared" si="55"/>
        <v>1.46</v>
      </c>
      <c r="J144" s="123">
        <f t="shared" si="55"/>
        <v>1.46</v>
      </c>
      <c r="K144" s="123">
        <f t="shared" si="55"/>
        <v>1.46</v>
      </c>
      <c r="L144" s="123">
        <f t="shared" si="55"/>
        <v>1.46</v>
      </c>
      <c r="M144" s="123">
        <f t="shared" si="55"/>
        <v>1.46</v>
      </c>
      <c r="N144" s="123">
        <f t="shared" si="55"/>
        <v>1.46</v>
      </c>
      <c r="O144" s="123">
        <f t="shared" si="55"/>
        <v>1.46</v>
      </c>
      <c r="P144" s="123">
        <f t="shared" si="55"/>
        <v>1.46</v>
      </c>
      <c r="Q144" s="123">
        <f t="shared" si="55"/>
        <v>1.46</v>
      </c>
      <c r="R144" s="123">
        <f t="shared" si="55"/>
        <v>1.46</v>
      </c>
      <c r="S144" s="123">
        <f t="shared" si="55"/>
        <v>1.46</v>
      </c>
      <c r="T144" s="123">
        <f t="shared" si="56"/>
        <v>1.46</v>
      </c>
      <c r="U144" s="123">
        <f t="shared" si="56"/>
        <v>1.46</v>
      </c>
      <c r="V144" s="123">
        <f t="shared" si="56"/>
        <v>1.46</v>
      </c>
      <c r="W144" s="123">
        <f t="shared" si="56"/>
        <v>1.46</v>
      </c>
      <c r="X144" s="123">
        <f t="shared" si="56"/>
        <v>1.46</v>
      </c>
      <c r="Y144" s="123">
        <f t="shared" si="56"/>
        <v>1.46</v>
      </c>
      <c r="Z144" s="123">
        <f t="shared" si="56"/>
        <v>1.46</v>
      </c>
      <c r="AA144" s="123">
        <f t="shared" si="56"/>
        <v>1.46</v>
      </c>
      <c r="AB144" s="123">
        <f t="shared" si="56"/>
        <v>1.46</v>
      </c>
      <c r="AC144" s="123">
        <f t="shared" si="56"/>
        <v>1.46</v>
      </c>
      <c r="AD144" s="123">
        <f t="shared" si="56"/>
        <v>1.46</v>
      </c>
      <c r="AE144" s="123">
        <f t="shared" si="56"/>
        <v>1.46</v>
      </c>
      <c r="AF144" s="123">
        <f t="shared" si="56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4"/>
        <v>3</v>
      </c>
      <c r="C145" s="124">
        <v>3</v>
      </c>
      <c r="D145" s="123">
        <f t="shared" si="55"/>
        <v>3</v>
      </c>
      <c r="E145" s="123">
        <f t="shared" si="55"/>
        <v>3</v>
      </c>
      <c r="F145" s="123">
        <f t="shared" si="55"/>
        <v>3</v>
      </c>
      <c r="G145" s="123">
        <f t="shared" si="55"/>
        <v>3</v>
      </c>
      <c r="H145" s="123">
        <f t="shared" si="55"/>
        <v>3</v>
      </c>
      <c r="I145" s="123">
        <f t="shared" si="55"/>
        <v>3</v>
      </c>
      <c r="J145" s="123">
        <f t="shared" si="55"/>
        <v>3</v>
      </c>
      <c r="K145" s="123">
        <f t="shared" si="55"/>
        <v>3</v>
      </c>
      <c r="L145" s="123">
        <f t="shared" si="55"/>
        <v>3</v>
      </c>
      <c r="M145" s="123">
        <f t="shared" si="55"/>
        <v>3</v>
      </c>
      <c r="N145" s="123">
        <f t="shared" si="55"/>
        <v>3</v>
      </c>
      <c r="O145" s="123">
        <f t="shared" si="55"/>
        <v>3</v>
      </c>
      <c r="P145" s="123">
        <f t="shared" si="55"/>
        <v>3</v>
      </c>
      <c r="Q145" s="123">
        <f t="shared" si="55"/>
        <v>3</v>
      </c>
      <c r="R145" s="123">
        <f t="shared" si="55"/>
        <v>3</v>
      </c>
      <c r="S145" s="123">
        <f t="shared" si="55"/>
        <v>3</v>
      </c>
      <c r="T145" s="123">
        <f t="shared" si="56"/>
        <v>3</v>
      </c>
      <c r="U145" s="123">
        <f t="shared" si="56"/>
        <v>3</v>
      </c>
      <c r="V145" s="123">
        <f t="shared" si="56"/>
        <v>3</v>
      </c>
      <c r="W145" s="123">
        <f t="shared" si="56"/>
        <v>3</v>
      </c>
      <c r="X145" s="123">
        <f t="shared" si="56"/>
        <v>3</v>
      </c>
      <c r="Y145" s="123">
        <f t="shared" si="56"/>
        <v>3</v>
      </c>
      <c r="Z145" s="123">
        <f t="shared" si="56"/>
        <v>3</v>
      </c>
      <c r="AA145" s="123">
        <f t="shared" si="56"/>
        <v>3</v>
      </c>
      <c r="AB145" s="123">
        <f t="shared" si="56"/>
        <v>3</v>
      </c>
      <c r="AC145" s="123">
        <f t="shared" si="56"/>
        <v>3</v>
      </c>
      <c r="AD145" s="123">
        <f t="shared" si="56"/>
        <v>3</v>
      </c>
      <c r="AE145" s="123">
        <f t="shared" si="56"/>
        <v>3</v>
      </c>
      <c r="AF145" s="123">
        <f t="shared" si="56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4"/>
        <v>3.3</v>
      </c>
      <c r="C146" s="124">
        <v>3.3</v>
      </c>
      <c r="D146" s="123">
        <f t="shared" si="55"/>
        <v>3.3</v>
      </c>
      <c r="E146" s="123">
        <f t="shared" si="55"/>
        <v>3.3</v>
      </c>
      <c r="F146" s="123">
        <f t="shared" si="55"/>
        <v>3.3</v>
      </c>
      <c r="G146" s="123">
        <f t="shared" si="55"/>
        <v>3.3</v>
      </c>
      <c r="H146" s="123">
        <f t="shared" si="55"/>
        <v>3.3</v>
      </c>
      <c r="I146" s="123">
        <f t="shared" si="55"/>
        <v>3.3</v>
      </c>
      <c r="J146" s="123">
        <f t="shared" si="55"/>
        <v>3.3</v>
      </c>
      <c r="K146" s="123">
        <f t="shared" si="55"/>
        <v>3.3</v>
      </c>
      <c r="L146" s="123">
        <f t="shared" si="55"/>
        <v>3.3</v>
      </c>
      <c r="M146" s="123">
        <f t="shared" si="55"/>
        <v>3.3</v>
      </c>
      <c r="N146" s="123">
        <f t="shared" si="55"/>
        <v>3.3</v>
      </c>
      <c r="O146" s="123">
        <f t="shared" si="55"/>
        <v>3.3</v>
      </c>
      <c r="P146" s="123">
        <f t="shared" si="55"/>
        <v>3.3</v>
      </c>
      <c r="Q146" s="123">
        <f t="shared" si="55"/>
        <v>3.3</v>
      </c>
      <c r="R146" s="123">
        <f t="shared" si="55"/>
        <v>3.3</v>
      </c>
      <c r="S146" s="123">
        <f t="shared" si="55"/>
        <v>3.3</v>
      </c>
      <c r="T146" s="123">
        <f t="shared" si="56"/>
        <v>3.3</v>
      </c>
      <c r="U146" s="123">
        <f t="shared" si="56"/>
        <v>3.3</v>
      </c>
      <c r="V146" s="123">
        <f t="shared" si="56"/>
        <v>3.3</v>
      </c>
      <c r="W146" s="123">
        <f t="shared" si="56"/>
        <v>3.3</v>
      </c>
      <c r="X146" s="123">
        <f t="shared" si="56"/>
        <v>3.3</v>
      </c>
      <c r="Y146" s="123">
        <f t="shared" si="56"/>
        <v>3.3</v>
      </c>
      <c r="Z146" s="123">
        <f t="shared" si="56"/>
        <v>3.3</v>
      </c>
      <c r="AA146" s="123">
        <f t="shared" si="56"/>
        <v>3.3</v>
      </c>
      <c r="AB146" s="123">
        <f t="shared" si="56"/>
        <v>3.3</v>
      </c>
      <c r="AC146" s="123">
        <f t="shared" si="56"/>
        <v>3.3</v>
      </c>
      <c r="AD146" s="123">
        <f t="shared" si="56"/>
        <v>3.3</v>
      </c>
      <c r="AE146" s="123">
        <f t="shared" si="56"/>
        <v>3.3</v>
      </c>
      <c r="AF146" s="123">
        <f t="shared" si="56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7">C148</f>
        <v>1.76</v>
      </c>
      <c r="E148" s="123">
        <f t="shared" si="57"/>
        <v>1.76</v>
      </c>
      <c r="F148" s="123">
        <f t="shared" si="57"/>
        <v>1.76</v>
      </c>
      <c r="G148" s="123">
        <f t="shared" si="57"/>
        <v>1.76</v>
      </c>
      <c r="H148" s="123">
        <f t="shared" si="57"/>
        <v>1.76</v>
      </c>
      <c r="I148" s="123">
        <f t="shared" si="57"/>
        <v>1.76</v>
      </c>
      <c r="J148" s="123">
        <f t="shared" si="57"/>
        <v>1.76</v>
      </c>
      <c r="K148" s="123">
        <f t="shared" si="57"/>
        <v>1.76</v>
      </c>
      <c r="L148" s="123">
        <f t="shared" si="57"/>
        <v>1.76</v>
      </c>
      <c r="M148" s="123">
        <f t="shared" si="57"/>
        <v>1.76</v>
      </c>
      <c r="N148" s="123">
        <f t="shared" si="57"/>
        <v>1.76</v>
      </c>
      <c r="O148" s="123">
        <f t="shared" si="57"/>
        <v>1.76</v>
      </c>
      <c r="P148" s="123">
        <f t="shared" si="57"/>
        <v>1.76</v>
      </c>
      <c r="Q148" s="123">
        <f t="shared" si="57"/>
        <v>1.76</v>
      </c>
      <c r="R148" s="123">
        <f t="shared" si="57"/>
        <v>1.76</v>
      </c>
      <c r="S148" s="123">
        <f t="shared" si="57"/>
        <v>1.76</v>
      </c>
      <c r="T148" s="123">
        <f t="shared" ref="T148:AF149" si="58">S148</f>
        <v>1.76</v>
      </c>
      <c r="U148" s="123">
        <f t="shared" si="58"/>
        <v>1.76</v>
      </c>
      <c r="V148" s="123">
        <f t="shared" si="58"/>
        <v>1.76</v>
      </c>
      <c r="W148" s="123">
        <f t="shared" si="58"/>
        <v>1.76</v>
      </c>
      <c r="X148" s="123">
        <f t="shared" si="58"/>
        <v>1.76</v>
      </c>
      <c r="Y148" s="123">
        <f t="shared" si="58"/>
        <v>1.76</v>
      </c>
      <c r="Z148" s="123">
        <f t="shared" si="58"/>
        <v>1.76</v>
      </c>
      <c r="AA148" s="123">
        <f t="shared" si="58"/>
        <v>1.76</v>
      </c>
      <c r="AB148" s="123">
        <f t="shared" si="58"/>
        <v>1.76</v>
      </c>
      <c r="AC148" s="123">
        <f t="shared" si="58"/>
        <v>1.76</v>
      </c>
      <c r="AD148" s="123">
        <f t="shared" si="58"/>
        <v>1.76</v>
      </c>
      <c r="AE148" s="123">
        <f t="shared" si="58"/>
        <v>1.76</v>
      </c>
      <c r="AF148" s="123">
        <f t="shared" si="58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7"/>
        <v>0</v>
      </c>
      <c r="E149" s="123">
        <f t="shared" si="57"/>
        <v>0</v>
      </c>
      <c r="F149" s="123">
        <f t="shared" si="57"/>
        <v>0</v>
      </c>
      <c r="G149" s="123">
        <f t="shared" si="57"/>
        <v>0</v>
      </c>
      <c r="H149" s="123">
        <f t="shared" si="57"/>
        <v>0</v>
      </c>
      <c r="I149" s="123">
        <f t="shared" si="57"/>
        <v>0</v>
      </c>
      <c r="J149" s="123">
        <f t="shared" si="57"/>
        <v>0</v>
      </c>
      <c r="K149" s="123">
        <f t="shared" si="57"/>
        <v>0</v>
      </c>
      <c r="L149" s="123">
        <f t="shared" si="57"/>
        <v>0</v>
      </c>
      <c r="M149" s="123">
        <f t="shared" si="57"/>
        <v>0</v>
      </c>
      <c r="N149" s="123">
        <f t="shared" si="57"/>
        <v>0</v>
      </c>
      <c r="O149" s="123">
        <f t="shared" si="57"/>
        <v>0</v>
      </c>
      <c r="P149" s="123">
        <f t="shared" si="57"/>
        <v>0</v>
      </c>
      <c r="Q149" s="123">
        <f t="shared" si="57"/>
        <v>0</v>
      </c>
      <c r="R149" s="123">
        <f t="shared" si="57"/>
        <v>0</v>
      </c>
      <c r="S149" s="123">
        <f t="shared" si="57"/>
        <v>0</v>
      </c>
      <c r="T149" s="123">
        <f t="shared" si="58"/>
        <v>0</v>
      </c>
      <c r="U149" s="123">
        <f t="shared" si="58"/>
        <v>0</v>
      </c>
      <c r="V149" s="123">
        <f t="shared" si="58"/>
        <v>0</v>
      </c>
      <c r="W149" s="123">
        <f t="shared" si="58"/>
        <v>0</v>
      </c>
      <c r="X149" s="123">
        <f t="shared" si="58"/>
        <v>0</v>
      </c>
      <c r="Y149" s="123">
        <f t="shared" si="58"/>
        <v>0</v>
      </c>
      <c r="Z149" s="123">
        <f t="shared" si="58"/>
        <v>0</v>
      </c>
      <c r="AA149" s="123">
        <f t="shared" si="58"/>
        <v>0</v>
      </c>
      <c r="AB149" s="123">
        <f t="shared" si="58"/>
        <v>0</v>
      </c>
      <c r="AC149" s="123">
        <f t="shared" si="58"/>
        <v>0</v>
      </c>
      <c r="AD149" s="123">
        <f t="shared" si="58"/>
        <v>0</v>
      </c>
      <c r="AE149" s="123">
        <f t="shared" si="58"/>
        <v>0</v>
      </c>
      <c r="AF149" s="123">
        <f t="shared" si="58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59">C151</f>
        <v>0.1</v>
      </c>
      <c r="E151" s="123">
        <f t="shared" si="59"/>
        <v>0.1</v>
      </c>
      <c r="F151" s="123">
        <f t="shared" si="59"/>
        <v>0.1</v>
      </c>
      <c r="G151" s="123">
        <f t="shared" si="59"/>
        <v>0.1</v>
      </c>
      <c r="H151" s="123">
        <f t="shared" si="59"/>
        <v>0.1</v>
      </c>
      <c r="I151" s="123">
        <f t="shared" si="59"/>
        <v>0.1</v>
      </c>
      <c r="J151" s="123">
        <f t="shared" si="59"/>
        <v>0.1</v>
      </c>
      <c r="K151" s="123">
        <f t="shared" si="59"/>
        <v>0.1</v>
      </c>
      <c r="L151" s="123">
        <f t="shared" si="59"/>
        <v>0.1</v>
      </c>
      <c r="M151" s="123">
        <f t="shared" si="59"/>
        <v>0.1</v>
      </c>
      <c r="N151" s="123">
        <f t="shared" si="59"/>
        <v>0.1</v>
      </c>
      <c r="O151" s="123">
        <f t="shared" si="59"/>
        <v>0.1</v>
      </c>
      <c r="P151" s="123">
        <f t="shared" si="59"/>
        <v>0.1</v>
      </c>
      <c r="Q151" s="123">
        <f t="shared" si="59"/>
        <v>0.1</v>
      </c>
      <c r="R151" s="123">
        <f t="shared" si="59"/>
        <v>0.1</v>
      </c>
      <c r="S151" s="123">
        <f t="shared" si="59"/>
        <v>0.1</v>
      </c>
      <c r="T151" s="123">
        <f t="shared" ref="T151:AF154" si="60">S151</f>
        <v>0.1</v>
      </c>
      <c r="U151" s="123">
        <f t="shared" si="60"/>
        <v>0.1</v>
      </c>
      <c r="V151" s="123">
        <f t="shared" si="60"/>
        <v>0.1</v>
      </c>
      <c r="W151" s="123">
        <f t="shared" si="60"/>
        <v>0.1</v>
      </c>
      <c r="X151" s="123">
        <f t="shared" si="60"/>
        <v>0.1</v>
      </c>
      <c r="Y151" s="123">
        <f t="shared" si="60"/>
        <v>0.1</v>
      </c>
      <c r="Z151" s="123">
        <f t="shared" si="60"/>
        <v>0.1</v>
      </c>
      <c r="AA151" s="123">
        <f t="shared" si="60"/>
        <v>0.1</v>
      </c>
      <c r="AB151" s="123">
        <f t="shared" si="60"/>
        <v>0.1</v>
      </c>
      <c r="AC151" s="123">
        <f t="shared" si="60"/>
        <v>0.1</v>
      </c>
      <c r="AD151" s="123">
        <f t="shared" si="60"/>
        <v>0.1</v>
      </c>
      <c r="AE151" s="123">
        <f t="shared" si="60"/>
        <v>0.1</v>
      </c>
      <c r="AF151" s="123">
        <f t="shared" si="60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59"/>
        <v>2.0499999999999998</v>
      </c>
      <c r="E152" s="123">
        <f t="shared" si="59"/>
        <v>2.0499999999999998</v>
      </c>
      <c r="F152" s="123">
        <f t="shared" si="59"/>
        <v>2.0499999999999998</v>
      </c>
      <c r="G152" s="123">
        <f t="shared" si="59"/>
        <v>2.0499999999999998</v>
      </c>
      <c r="H152" s="123">
        <f t="shared" si="59"/>
        <v>2.0499999999999998</v>
      </c>
      <c r="I152" s="123">
        <f t="shared" si="59"/>
        <v>2.0499999999999998</v>
      </c>
      <c r="J152" s="123">
        <f t="shared" si="59"/>
        <v>2.0499999999999998</v>
      </c>
      <c r="K152" s="123">
        <f t="shared" si="59"/>
        <v>2.0499999999999998</v>
      </c>
      <c r="L152" s="123">
        <f t="shared" si="59"/>
        <v>2.0499999999999998</v>
      </c>
      <c r="M152" s="123">
        <f t="shared" si="59"/>
        <v>2.0499999999999998</v>
      </c>
      <c r="N152" s="123">
        <f t="shared" si="59"/>
        <v>2.0499999999999998</v>
      </c>
      <c r="O152" s="123">
        <f t="shared" si="59"/>
        <v>2.0499999999999998</v>
      </c>
      <c r="P152" s="123">
        <f t="shared" si="59"/>
        <v>2.0499999999999998</v>
      </c>
      <c r="Q152" s="123">
        <f t="shared" si="59"/>
        <v>2.0499999999999998</v>
      </c>
      <c r="R152" s="123">
        <f t="shared" si="59"/>
        <v>2.0499999999999998</v>
      </c>
      <c r="S152" s="123">
        <f t="shared" si="59"/>
        <v>2.0499999999999998</v>
      </c>
      <c r="T152" s="123">
        <f t="shared" si="60"/>
        <v>2.0499999999999998</v>
      </c>
      <c r="U152" s="123">
        <f t="shared" si="60"/>
        <v>2.0499999999999998</v>
      </c>
      <c r="V152" s="123">
        <f t="shared" si="60"/>
        <v>2.0499999999999998</v>
      </c>
      <c r="W152" s="123">
        <f t="shared" si="60"/>
        <v>2.0499999999999998</v>
      </c>
      <c r="X152" s="123">
        <f t="shared" si="60"/>
        <v>2.0499999999999998</v>
      </c>
      <c r="Y152" s="123">
        <f t="shared" si="60"/>
        <v>2.0499999999999998</v>
      </c>
      <c r="Z152" s="123">
        <f t="shared" si="60"/>
        <v>2.0499999999999998</v>
      </c>
      <c r="AA152" s="123">
        <f t="shared" si="60"/>
        <v>2.0499999999999998</v>
      </c>
      <c r="AB152" s="123">
        <f t="shared" si="60"/>
        <v>2.0499999999999998</v>
      </c>
      <c r="AC152" s="123">
        <f t="shared" si="60"/>
        <v>2.0499999999999998</v>
      </c>
      <c r="AD152" s="123">
        <f t="shared" si="60"/>
        <v>2.0499999999999998</v>
      </c>
      <c r="AE152" s="123">
        <f t="shared" si="60"/>
        <v>2.0499999999999998</v>
      </c>
      <c r="AF152" s="123">
        <f t="shared" si="60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59"/>
        <v>2.7</v>
      </c>
      <c r="E153" s="123">
        <f t="shared" si="59"/>
        <v>2.7</v>
      </c>
      <c r="F153" s="123">
        <f t="shared" si="59"/>
        <v>2.7</v>
      </c>
      <c r="G153" s="123">
        <f t="shared" si="59"/>
        <v>2.7</v>
      </c>
      <c r="H153" s="123">
        <f t="shared" si="59"/>
        <v>2.7</v>
      </c>
      <c r="I153" s="123">
        <f t="shared" si="59"/>
        <v>2.7</v>
      </c>
      <c r="J153" s="123">
        <f t="shared" si="59"/>
        <v>2.7</v>
      </c>
      <c r="K153" s="123">
        <f t="shared" si="59"/>
        <v>2.7</v>
      </c>
      <c r="L153" s="123">
        <f t="shared" si="59"/>
        <v>2.7</v>
      </c>
      <c r="M153" s="123">
        <f t="shared" si="59"/>
        <v>2.7</v>
      </c>
      <c r="N153" s="123">
        <f t="shared" si="59"/>
        <v>2.7</v>
      </c>
      <c r="O153" s="123">
        <f t="shared" si="59"/>
        <v>2.7</v>
      </c>
      <c r="P153" s="123">
        <f t="shared" si="59"/>
        <v>2.7</v>
      </c>
      <c r="Q153" s="123">
        <f t="shared" si="59"/>
        <v>2.7</v>
      </c>
      <c r="R153" s="123">
        <f t="shared" si="59"/>
        <v>2.7</v>
      </c>
      <c r="S153" s="123">
        <f t="shared" si="59"/>
        <v>2.7</v>
      </c>
      <c r="T153" s="123">
        <f t="shared" si="60"/>
        <v>2.7</v>
      </c>
      <c r="U153" s="123">
        <f t="shared" si="60"/>
        <v>2.7</v>
      </c>
      <c r="V153" s="123">
        <f t="shared" si="60"/>
        <v>2.7</v>
      </c>
      <c r="W153" s="123">
        <f t="shared" si="60"/>
        <v>2.7</v>
      </c>
      <c r="X153" s="123">
        <f t="shared" si="60"/>
        <v>2.7</v>
      </c>
      <c r="Y153" s="123">
        <f t="shared" si="60"/>
        <v>2.7</v>
      </c>
      <c r="Z153" s="123">
        <f t="shared" si="60"/>
        <v>2.7</v>
      </c>
      <c r="AA153" s="123">
        <f t="shared" si="60"/>
        <v>2.7</v>
      </c>
      <c r="AB153" s="123">
        <f t="shared" si="60"/>
        <v>2.7</v>
      </c>
      <c r="AC153" s="123">
        <f t="shared" si="60"/>
        <v>2.7</v>
      </c>
      <c r="AD153" s="123">
        <f t="shared" si="60"/>
        <v>2.7</v>
      </c>
      <c r="AE153" s="123">
        <f t="shared" si="60"/>
        <v>2.7</v>
      </c>
      <c r="AF153" s="123">
        <f t="shared" si="60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59"/>
        <v>2.15</v>
      </c>
      <c r="E154" s="123">
        <f t="shared" si="59"/>
        <v>2.15</v>
      </c>
      <c r="F154" s="123">
        <f t="shared" si="59"/>
        <v>2.15</v>
      </c>
      <c r="G154" s="123">
        <f t="shared" si="59"/>
        <v>2.15</v>
      </c>
      <c r="H154" s="123">
        <f t="shared" si="59"/>
        <v>2.15</v>
      </c>
      <c r="I154" s="123">
        <f t="shared" si="59"/>
        <v>2.15</v>
      </c>
      <c r="J154" s="123">
        <f t="shared" si="59"/>
        <v>2.15</v>
      </c>
      <c r="K154" s="123">
        <f t="shared" si="59"/>
        <v>2.15</v>
      </c>
      <c r="L154" s="123">
        <f t="shared" si="59"/>
        <v>2.15</v>
      </c>
      <c r="M154" s="123">
        <f t="shared" si="59"/>
        <v>2.15</v>
      </c>
      <c r="N154" s="123">
        <f t="shared" si="59"/>
        <v>2.15</v>
      </c>
      <c r="O154" s="123">
        <f t="shared" si="59"/>
        <v>2.15</v>
      </c>
      <c r="P154" s="123">
        <f t="shared" si="59"/>
        <v>2.15</v>
      </c>
      <c r="Q154" s="123">
        <f t="shared" si="59"/>
        <v>2.15</v>
      </c>
      <c r="R154" s="123">
        <f t="shared" si="59"/>
        <v>2.15</v>
      </c>
      <c r="S154" s="123">
        <f t="shared" si="59"/>
        <v>2.15</v>
      </c>
      <c r="T154" s="123">
        <f t="shared" si="60"/>
        <v>2.15</v>
      </c>
      <c r="U154" s="123">
        <f t="shared" si="60"/>
        <v>2.15</v>
      </c>
      <c r="V154" s="123">
        <f t="shared" si="60"/>
        <v>2.15</v>
      </c>
      <c r="W154" s="123">
        <f t="shared" si="60"/>
        <v>2.15</v>
      </c>
      <c r="X154" s="123">
        <f t="shared" si="60"/>
        <v>2.15</v>
      </c>
      <c r="Y154" s="123">
        <f t="shared" si="60"/>
        <v>2.15</v>
      </c>
      <c r="Z154" s="123">
        <f t="shared" si="60"/>
        <v>2.15</v>
      </c>
      <c r="AA154" s="123">
        <f t="shared" si="60"/>
        <v>2.15</v>
      </c>
      <c r="AB154" s="123">
        <f t="shared" si="60"/>
        <v>2.15</v>
      </c>
      <c r="AC154" s="123">
        <f t="shared" si="60"/>
        <v>2.15</v>
      </c>
      <c r="AD154" s="123">
        <f t="shared" si="60"/>
        <v>2.15</v>
      </c>
      <c r="AE154" s="123">
        <f t="shared" si="60"/>
        <v>2.15</v>
      </c>
      <c r="AF154" s="123">
        <f t="shared" si="60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61">AF156</f>
        <v>0.9</v>
      </c>
      <c r="C156" s="124">
        <v>0.9</v>
      </c>
      <c r="D156" s="123">
        <f t="shared" ref="D156:S168" si="62">C156</f>
        <v>0.9</v>
      </c>
      <c r="E156" s="123">
        <f t="shared" si="62"/>
        <v>0.9</v>
      </c>
      <c r="F156" s="123">
        <f t="shared" si="62"/>
        <v>0.9</v>
      </c>
      <c r="G156" s="123">
        <f t="shared" si="62"/>
        <v>0.9</v>
      </c>
      <c r="H156" s="123">
        <f t="shared" si="62"/>
        <v>0.9</v>
      </c>
      <c r="I156" s="123">
        <f t="shared" si="62"/>
        <v>0.9</v>
      </c>
      <c r="J156" s="123">
        <f t="shared" si="62"/>
        <v>0.9</v>
      </c>
      <c r="K156" s="123">
        <f t="shared" si="62"/>
        <v>0.9</v>
      </c>
      <c r="L156" s="123">
        <f t="shared" si="62"/>
        <v>0.9</v>
      </c>
      <c r="M156" s="123">
        <f t="shared" si="62"/>
        <v>0.9</v>
      </c>
      <c r="N156" s="123">
        <f t="shared" si="62"/>
        <v>0.9</v>
      </c>
      <c r="O156" s="123">
        <f t="shared" si="62"/>
        <v>0.9</v>
      </c>
      <c r="P156" s="123">
        <f t="shared" si="62"/>
        <v>0.9</v>
      </c>
      <c r="Q156" s="123">
        <f t="shared" si="62"/>
        <v>0.9</v>
      </c>
      <c r="R156" s="123">
        <f t="shared" si="62"/>
        <v>0.9</v>
      </c>
      <c r="S156" s="123">
        <f t="shared" si="62"/>
        <v>0.9</v>
      </c>
      <c r="T156" s="123">
        <f t="shared" ref="S156:AF168" si="63">S156</f>
        <v>0.9</v>
      </c>
      <c r="U156" s="123">
        <f t="shared" si="63"/>
        <v>0.9</v>
      </c>
      <c r="V156" s="123">
        <f t="shared" si="63"/>
        <v>0.9</v>
      </c>
      <c r="W156" s="123">
        <f t="shared" si="63"/>
        <v>0.9</v>
      </c>
      <c r="X156" s="123">
        <f t="shared" si="63"/>
        <v>0.9</v>
      </c>
      <c r="Y156" s="123">
        <f t="shared" si="63"/>
        <v>0.9</v>
      </c>
      <c r="Z156" s="123">
        <f t="shared" si="63"/>
        <v>0.9</v>
      </c>
      <c r="AA156" s="123">
        <f t="shared" si="63"/>
        <v>0.9</v>
      </c>
      <c r="AB156" s="123">
        <f t="shared" si="63"/>
        <v>0.9</v>
      </c>
      <c r="AC156" s="123">
        <f t="shared" si="63"/>
        <v>0.9</v>
      </c>
      <c r="AD156" s="123">
        <f t="shared" si="63"/>
        <v>0.9</v>
      </c>
      <c r="AE156" s="123">
        <f t="shared" si="63"/>
        <v>0.9</v>
      </c>
      <c r="AF156" s="123">
        <f t="shared" si="63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61"/>
        <v>1.08</v>
      </c>
      <c r="C157" s="124">
        <v>1.08</v>
      </c>
      <c r="D157" s="123">
        <f t="shared" si="62"/>
        <v>1.08</v>
      </c>
      <c r="E157" s="123">
        <f t="shared" si="62"/>
        <v>1.08</v>
      </c>
      <c r="F157" s="123">
        <f t="shared" si="62"/>
        <v>1.08</v>
      </c>
      <c r="G157" s="123">
        <f t="shared" si="62"/>
        <v>1.08</v>
      </c>
      <c r="H157" s="123">
        <f t="shared" si="62"/>
        <v>1.08</v>
      </c>
      <c r="I157" s="123">
        <f t="shared" si="62"/>
        <v>1.08</v>
      </c>
      <c r="J157" s="123">
        <f t="shared" si="62"/>
        <v>1.08</v>
      </c>
      <c r="K157" s="123">
        <f t="shared" si="62"/>
        <v>1.08</v>
      </c>
      <c r="L157" s="123">
        <f t="shared" si="62"/>
        <v>1.08</v>
      </c>
      <c r="M157" s="123">
        <f t="shared" si="62"/>
        <v>1.08</v>
      </c>
      <c r="N157" s="123">
        <f t="shared" si="62"/>
        <v>1.08</v>
      </c>
      <c r="O157" s="123">
        <f t="shared" si="62"/>
        <v>1.08</v>
      </c>
      <c r="P157" s="123">
        <f t="shared" si="62"/>
        <v>1.08</v>
      </c>
      <c r="Q157" s="123">
        <f t="shared" si="62"/>
        <v>1.08</v>
      </c>
      <c r="R157" s="123">
        <f t="shared" si="62"/>
        <v>1.08</v>
      </c>
      <c r="S157" s="123">
        <f t="shared" si="62"/>
        <v>1.08</v>
      </c>
      <c r="T157" s="123">
        <f t="shared" si="63"/>
        <v>1.08</v>
      </c>
      <c r="U157" s="123">
        <f t="shared" si="63"/>
        <v>1.08</v>
      </c>
      <c r="V157" s="123">
        <f t="shared" si="63"/>
        <v>1.08</v>
      </c>
      <c r="W157" s="123">
        <f t="shared" si="63"/>
        <v>1.08</v>
      </c>
      <c r="X157" s="123">
        <f t="shared" si="63"/>
        <v>1.08</v>
      </c>
      <c r="Y157" s="123">
        <f t="shared" si="63"/>
        <v>1.08</v>
      </c>
      <c r="Z157" s="123">
        <f t="shared" si="63"/>
        <v>1.08</v>
      </c>
      <c r="AA157" s="123">
        <f t="shared" si="63"/>
        <v>1.08</v>
      </c>
      <c r="AB157" s="123">
        <f t="shared" si="63"/>
        <v>1.08</v>
      </c>
      <c r="AC157" s="123">
        <f t="shared" si="63"/>
        <v>1.08</v>
      </c>
      <c r="AD157" s="123">
        <f t="shared" si="63"/>
        <v>1.08</v>
      </c>
      <c r="AE157" s="123">
        <f t="shared" si="63"/>
        <v>1.08</v>
      </c>
      <c r="AF157" s="123">
        <f t="shared" si="63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61"/>
        <v>2.37</v>
      </c>
      <c r="C158" s="124">
        <v>2.37</v>
      </c>
      <c r="D158" s="123">
        <f t="shared" si="62"/>
        <v>2.37</v>
      </c>
      <c r="E158" s="123">
        <f t="shared" si="62"/>
        <v>2.37</v>
      </c>
      <c r="F158" s="123">
        <f t="shared" si="62"/>
        <v>2.37</v>
      </c>
      <c r="G158" s="123">
        <f t="shared" si="62"/>
        <v>2.37</v>
      </c>
      <c r="H158" s="123">
        <f t="shared" si="62"/>
        <v>2.37</v>
      </c>
      <c r="I158" s="123">
        <f t="shared" si="62"/>
        <v>2.37</v>
      </c>
      <c r="J158" s="123">
        <f t="shared" si="62"/>
        <v>2.37</v>
      </c>
      <c r="K158" s="123">
        <f t="shared" si="62"/>
        <v>2.37</v>
      </c>
      <c r="L158" s="123">
        <f t="shared" si="62"/>
        <v>2.37</v>
      </c>
      <c r="M158" s="123">
        <f t="shared" si="62"/>
        <v>2.37</v>
      </c>
      <c r="N158" s="123">
        <f t="shared" si="62"/>
        <v>2.37</v>
      </c>
      <c r="O158" s="123">
        <f t="shared" si="62"/>
        <v>2.37</v>
      </c>
      <c r="P158" s="123">
        <f t="shared" si="62"/>
        <v>2.37</v>
      </c>
      <c r="Q158" s="123">
        <f t="shared" si="62"/>
        <v>2.37</v>
      </c>
      <c r="R158" s="123">
        <f t="shared" si="62"/>
        <v>2.37</v>
      </c>
      <c r="S158" s="123">
        <f t="shared" si="62"/>
        <v>2.37</v>
      </c>
      <c r="T158" s="123">
        <f t="shared" si="63"/>
        <v>2.37</v>
      </c>
      <c r="U158" s="123">
        <f t="shared" si="63"/>
        <v>2.37</v>
      </c>
      <c r="V158" s="123">
        <f t="shared" si="63"/>
        <v>2.37</v>
      </c>
      <c r="W158" s="123">
        <f t="shared" si="63"/>
        <v>2.37</v>
      </c>
      <c r="X158" s="123">
        <f t="shared" si="63"/>
        <v>2.37</v>
      </c>
      <c r="Y158" s="123">
        <f t="shared" si="63"/>
        <v>2.37</v>
      </c>
      <c r="Z158" s="123">
        <f t="shared" si="63"/>
        <v>2.37</v>
      </c>
      <c r="AA158" s="123">
        <f t="shared" si="63"/>
        <v>2.37</v>
      </c>
      <c r="AB158" s="123">
        <f t="shared" si="63"/>
        <v>2.37</v>
      </c>
      <c r="AC158" s="123">
        <f t="shared" si="63"/>
        <v>2.37</v>
      </c>
      <c r="AD158" s="123">
        <f t="shared" si="63"/>
        <v>2.37</v>
      </c>
      <c r="AE158" s="123">
        <f t="shared" si="63"/>
        <v>2.37</v>
      </c>
      <c r="AF158" s="123">
        <f t="shared" si="63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61"/>
        <v>1.81</v>
      </c>
      <c r="C159" s="124">
        <v>1.81</v>
      </c>
      <c r="D159" s="123">
        <f t="shared" si="62"/>
        <v>1.81</v>
      </c>
      <c r="E159" s="123">
        <f t="shared" si="62"/>
        <v>1.81</v>
      </c>
      <c r="F159" s="123">
        <f t="shared" si="62"/>
        <v>1.81</v>
      </c>
      <c r="G159" s="123">
        <f t="shared" si="62"/>
        <v>1.81</v>
      </c>
      <c r="H159" s="123">
        <f t="shared" si="62"/>
        <v>1.81</v>
      </c>
      <c r="I159" s="123">
        <f t="shared" si="62"/>
        <v>1.81</v>
      </c>
      <c r="J159" s="123">
        <f t="shared" si="62"/>
        <v>1.81</v>
      </c>
      <c r="K159" s="123">
        <f t="shared" si="62"/>
        <v>1.81</v>
      </c>
      <c r="L159" s="123">
        <f t="shared" si="62"/>
        <v>1.81</v>
      </c>
      <c r="M159" s="123">
        <f t="shared" si="62"/>
        <v>1.81</v>
      </c>
      <c r="N159" s="123">
        <f t="shared" si="62"/>
        <v>1.81</v>
      </c>
      <c r="O159" s="123">
        <f t="shared" si="62"/>
        <v>1.81</v>
      </c>
      <c r="P159" s="123">
        <f t="shared" si="62"/>
        <v>1.81</v>
      </c>
      <c r="Q159" s="123">
        <f t="shared" si="62"/>
        <v>1.81</v>
      </c>
      <c r="R159" s="123">
        <f t="shared" si="62"/>
        <v>1.81</v>
      </c>
      <c r="S159" s="123">
        <f t="shared" si="62"/>
        <v>1.81</v>
      </c>
      <c r="T159" s="123">
        <f t="shared" si="63"/>
        <v>1.81</v>
      </c>
      <c r="U159" s="123">
        <f t="shared" si="63"/>
        <v>1.81</v>
      </c>
      <c r="V159" s="123">
        <f t="shared" si="63"/>
        <v>1.81</v>
      </c>
      <c r="W159" s="123">
        <f t="shared" si="63"/>
        <v>1.81</v>
      </c>
      <c r="X159" s="123">
        <f t="shared" si="63"/>
        <v>1.81</v>
      </c>
      <c r="Y159" s="123">
        <f t="shared" si="63"/>
        <v>1.81</v>
      </c>
      <c r="Z159" s="123">
        <f t="shared" si="63"/>
        <v>1.81</v>
      </c>
      <c r="AA159" s="123">
        <f t="shared" si="63"/>
        <v>1.81</v>
      </c>
      <c r="AB159" s="123">
        <f t="shared" si="63"/>
        <v>1.81</v>
      </c>
      <c r="AC159" s="123">
        <f t="shared" si="63"/>
        <v>1.81</v>
      </c>
      <c r="AD159" s="123">
        <f t="shared" si="63"/>
        <v>1.81</v>
      </c>
      <c r="AE159" s="123">
        <f t="shared" si="63"/>
        <v>1.81</v>
      </c>
      <c r="AF159" s="123">
        <f t="shared" si="63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61"/>
        <v>1.0900000000000001</v>
      </c>
      <c r="C160" s="124">
        <v>1.0900000000000001</v>
      </c>
      <c r="D160" s="123">
        <f t="shared" si="62"/>
        <v>1.0900000000000001</v>
      </c>
      <c r="E160" s="123">
        <f t="shared" si="62"/>
        <v>1.0900000000000001</v>
      </c>
      <c r="F160" s="123">
        <f t="shared" si="62"/>
        <v>1.0900000000000001</v>
      </c>
      <c r="G160" s="123">
        <f t="shared" si="62"/>
        <v>1.0900000000000001</v>
      </c>
      <c r="H160" s="123">
        <f t="shared" si="62"/>
        <v>1.0900000000000001</v>
      </c>
      <c r="I160" s="123">
        <f t="shared" si="62"/>
        <v>1.0900000000000001</v>
      </c>
      <c r="J160" s="123">
        <f t="shared" si="62"/>
        <v>1.0900000000000001</v>
      </c>
      <c r="K160" s="123">
        <f t="shared" si="62"/>
        <v>1.0900000000000001</v>
      </c>
      <c r="L160" s="123">
        <f t="shared" si="62"/>
        <v>1.0900000000000001</v>
      </c>
      <c r="M160" s="123">
        <f t="shared" si="62"/>
        <v>1.0900000000000001</v>
      </c>
      <c r="N160" s="123">
        <f t="shared" si="62"/>
        <v>1.0900000000000001</v>
      </c>
      <c r="O160" s="123">
        <f t="shared" si="62"/>
        <v>1.0900000000000001</v>
      </c>
      <c r="P160" s="123">
        <f t="shared" si="62"/>
        <v>1.0900000000000001</v>
      </c>
      <c r="Q160" s="123">
        <f t="shared" si="62"/>
        <v>1.0900000000000001</v>
      </c>
      <c r="R160" s="123">
        <f t="shared" si="62"/>
        <v>1.0900000000000001</v>
      </c>
      <c r="S160" s="123">
        <f t="shared" si="62"/>
        <v>1.0900000000000001</v>
      </c>
      <c r="T160" s="123">
        <f t="shared" si="63"/>
        <v>1.0900000000000001</v>
      </c>
      <c r="U160" s="123">
        <f t="shared" si="63"/>
        <v>1.0900000000000001</v>
      </c>
      <c r="V160" s="123">
        <f t="shared" si="63"/>
        <v>1.0900000000000001</v>
      </c>
      <c r="W160" s="123">
        <f t="shared" si="63"/>
        <v>1.0900000000000001</v>
      </c>
      <c r="X160" s="123">
        <f t="shared" si="63"/>
        <v>1.0900000000000001</v>
      </c>
      <c r="Y160" s="123">
        <f t="shared" si="63"/>
        <v>1.0900000000000001</v>
      </c>
      <c r="Z160" s="123">
        <f t="shared" si="63"/>
        <v>1.0900000000000001</v>
      </c>
      <c r="AA160" s="123">
        <f t="shared" si="63"/>
        <v>1.0900000000000001</v>
      </c>
      <c r="AB160" s="123">
        <f t="shared" si="63"/>
        <v>1.0900000000000001</v>
      </c>
      <c r="AC160" s="123">
        <f t="shared" si="63"/>
        <v>1.0900000000000001</v>
      </c>
      <c r="AD160" s="123">
        <f t="shared" si="63"/>
        <v>1.0900000000000001</v>
      </c>
      <c r="AE160" s="123">
        <f t="shared" si="63"/>
        <v>1.0900000000000001</v>
      </c>
      <c r="AF160" s="123">
        <f t="shared" si="63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61"/>
        <v>1.58</v>
      </c>
      <c r="C161" s="124">
        <v>1.58</v>
      </c>
      <c r="D161" s="123">
        <f t="shared" si="62"/>
        <v>1.58</v>
      </c>
      <c r="E161" s="123">
        <f t="shared" si="62"/>
        <v>1.58</v>
      </c>
      <c r="F161" s="123">
        <f t="shared" si="62"/>
        <v>1.58</v>
      </c>
      <c r="G161" s="123">
        <f t="shared" si="62"/>
        <v>1.58</v>
      </c>
      <c r="H161" s="123">
        <f t="shared" si="62"/>
        <v>1.58</v>
      </c>
      <c r="I161" s="123">
        <f t="shared" si="62"/>
        <v>1.58</v>
      </c>
      <c r="J161" s="123">
        <f t="shared" si="62"/>
        <v>1.58</v>
      </c>
      <c r="K161" s="123">
        <f t="shared" si="62"/>
        <v>1.58</v>
      </c>
      <c r="L161" s="123">
        <f t="shared" si="62"/>
        <v>1.58</v>
      </c>
      <c r="M161" s="123">
        <f t="shared" si="62"/>
        <v>1.58</v>
      </c>
      <c r="N161" s="123">
        <f t="shared" si="62"/>
        <v>1.58</v>
      </c>
      <c r="O161" s="123">
        <f t="shared" si="62"/>
        <v>1.58</v>
      </c>
      <c r="P161" s="123">
        <f t="shared" si="62"/>
        <v>1.58</v>
      </c>
      <c r="Q161" s="123">
        <f t="shared" si="62"/>
        <v>1.58</v>
      </c>
      <c r="R161" s="123">
        <f t="shared" si="62"/>
        <v>1.58</v>
      </c>
      <c r="S161" s="123">
        <f t="shared" si="62"/>
        <v>1.58</v>
      </c>
      <c r="T161" s="123">
        <f t="shared" si="63"/>
        <v>1.58</v>
      </c>
      <c r="U161" s="123">
        <f t="shared" si="63"/>
        <v>1.58</v>
      </c>
      <c r="V161" s="123">
        <f t="shared" si="63"/>
        <v>1.58</v>
      </c>
      <c r="W161" s="123">
        <f t="shared" si="63"/>
        <v>1.58</v>
      </c>
      <c r="X161" s="123">
        <f t="shared" si="63"/>
        <v>1.58</v>
      </c>
      <c r="Y161" s="123">
        <f t="shared" si="63"/>
        <v>1.58</v>
      </c>
      <c r="Z161" s="123">
        <f t="shared" si="63"/>
        <v>1.58</v>
      </c>
      <c r="AA161" s="123">
        <f t="shared" si="63"/>
        <v>1.58</v>
      </c>
      <c r="AB161" s="123">
        <f t="shared" si="63"/>
        <v>1.58</v>
      </c>
      <c r="AC161" s="123">
        <f t="shared" si="63"/>
        <v>1.58</v>
      </c>
      <c r="AD161" s="123">
        <f t="shared" si="63"/>
        <v>1.58</v>
      </c>
      <c r="AE161" s="123">
        <f t="shared" si="63"/>
        <v>1.58</v>
      </c>
      <c r="AF161" s="123">
        <f t="shared" si="63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61"/>
        <v>2</v>
      </c>
      <c r="C162" s="124">
        <v>2</v>
      </c>
      <c r="D162" s="123">
        <f t="shared" si="62"/>
        <v>2</v>
      </c>
      <c r="E162" s="123">
        <f t="shared" si="62"/>
        <v>2</v>
      </c>
      <c r="F162" s="123">
        <f t="shared" si="62"/>
        <v>2</v>
      </c>
      <c r="G162" s="123">
        <f t="shared" si="62"/>
        <v>2</v>
      </c>
      <c r="H162" s="123">
        <f t="shared" si="62"/>
        <v>2</v>
      </c>
      <c r="I162" s="123">
        <f t="shared" si="62"/>
        <v>2</v>
      </c>
      <c r="J162" s="123">
        <f t="shared" si="62"/>
        <v>2</v>
      </c>
      <c r="K162" s="123">
        <f t="shared" si="62"/>
        <v>2</v>
      </c>
      <c r="L162" s="123">
        <f t="shared" si="62"/>
        <v>2</v>
      </c>
      <c r="M162" s="123">
        <f t="shared" si="62"/>
        <v>2</v>
      </c>
      <c r="N162" s="123">
        <f t="shared" si="62"/>
        <v>2</v>
      </c>
      <c r="O162" s="123">
        <f t="shared" si="62"/>
        <v>2</v>
      </c>
      <c r="P162" s="123">
        <f t="shared" si="62"/>
        <v>2</v>
      </c>
      <c r="Q162" s="123">
        <f t="shared" si="62"/>
        <v>2</v>
      </c>
      <c r="R162" s="123">
        <f t="shared" si="62"/>
        <v>2</v>
      </c>
      <c r="S162" s="123">
        <f t="shared" si="62"/>
        <v>2</v>
      </c>
      <c r="T162" s="123">
        <f t="shared" si="63"/>
        <v>2</v>
      </c>
      <c r="U162" s="123">
        <f t="shared" si="63"/>
        <v>2</v>
      </c>
      <c r="V162" s="123">
        <f t="shared" si="63"/>
        <v>2</v>
      </c>
      <c r="W162" s="123">
        <f t="shared" si="63"/>
        <v>2</v>
      </c>
      <c r="X162" s="123">
        <f t="shared" si="63"/>
        <v>2</v>
      </c>
      <c r="Y162" s="123">
        <f t="shared" si="63"/>
        <v>2</v>
      </c>
      <c r="Z162" s="123">
        <f t="shared" si="63"/>
        <v>2</v>
      </c>
      <c r="AA162" s="123">
        <f t="shared" si="63"/>
        <v>2</v>
      </c>
      <c r="AB162" s="123">
        <f t="shared" si="63"/>
        <v>2</v>
      </c>
      <c r="AC162" s="123">
        <f t="shared" si="63"/>
        <v>2</v>
      </c>
      <c r="AD162" s="123">
        <f t="shared" si="63"/>
        <v>2</v>
      </c>
      <c r="AE162" s="123">
        <f t="shared" si="63"/>
        <v>2</v>
      </c>
      <c r="AF162" s="123">
        <f t="shared" si="63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61"/>
        <v>0.47</v>
      </c>
      <c r="C163" s="124">
        <v>0.47</v>
      </c>
      <c r="D163" s="123">
        <f t="shared" si="62"/>
        <v>0.47</v>
      </c>
      <c r="E163" s="123">
        <f t="shared" si="62"/>
        <v>0.47</v>
      </c>
      <c r="F163" s="123">
        <f t="shared" si="62"/>
        <v>0.47</v>
      </c>
      <c r="G163" s="123">
        <f t="shared" si="62"/>
        <v>0.47</v>
      </c>
      <c r="H163" s="123">
        <f t="shared" si="62"/>
        <v>0.47</v>
      </c>
      <c r="I163" s="123">
        <f t="shared" si="62"/>
        <v>0.47</v>
      </c>
      <c r="J163" s="123">
        <f t="shared" si="62"/>
        <v>0.47</v>
      </c>
      <c r="K163" s="123">
        <f t="shared" si="62"/>
        <v>0.47</v>
      </c>
      <c r="L163" s="123">
        <f t="shared" si="62"/>
        <v>0.47</v>
      </c>
      <c r="M163" s="123">
        <f t="shared" si="62"/>
        <v>0.47</v>
      </c>
      <c r="N163" s="123">
        <f t="shared" si="62"/>
        <v>0.47</v>
      </c>
      <c r="O163" s="123">
        <f t="shared" si="62"/>
        <v>0.47</v>
      </c>
      <c r="P163" s="123">
        <f t="shared" si="62"/>
        <v>0.47</v>
      </c>
      <c r="Q163" s="123">
        <f t="shared" si="62"/>
        <v>0.47</v>
      </c>
      <c r="R163" s="123">
        <f t="shared" si="62"/>
        <v>0.47</v>
      </c>
      <c r="S163" s="123">
        <f t="shared" si="62"/>
        <v>0.47</v>
      </c>
      <c r="T163" s="123">
        <f t="shared" si="63"/>
        <v>0.47</v>
      </c>
      <c r="U163" s="123">
        <f t="shared" si="63"/>
        <v>0.47</v>
      </c>
      <c r="V163" s="123">
        <f t="shared" si="63"/>
        <v>0.47</v>
      </c>
      <c r="W163" s="123">
        <f t="shared" si="63"/>
        <v>0.47</v>
      </c>
      <c r="X163" s="123">
        <f t="shared" si="63"/>
        <v>0.47</v>
      </c>
      <c r="Y163" s="123">
        <f t="shared" si="63"/>
        <v>0.47</v>
      </c>
      <c r="Z163" s="123">
        <f t="shared" si="63"/>
        <v>0.47</v>
      </c>
      <c r="AA163" s="123">
        <f t="shared" si="63"/>
        <v>0.47</v>
      </c>
      <c r="AB163" s="123">
        <f t="shared" si="63"/>
        <v>0.47</v>
      </c>
      <c r="AC163" s="123">
        <f t="shared" si="63"/>
        <v>0.47</v>
      </c>
      <c r="AD163" s="123">
        <f t="shared" si="63"/>
        <v>0.47</v>
      </c>
      <c r="AE163" s="123">
        <f t="shared" si="63"/>
        <v>0.47</v>
      </c>
      <c r="AF163" s="123">
        <f t="shared" si="63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61"/>
        <v>0</v>
      </c>
      <c r="C164" s="124">
        <v>0</v>
      </c>
      <c r="D164" s="123">
        <f t="shared" si="62"/>
        <v>0</v>
      </c>
      <c r="E164" s="123">
        <f t="shared" si="62"/>
        <v>0</v>
      </c>
      <c r="F164" s="123">
        <f t="shared" si="62"/>
        <v>0</v>
      </c>
      <c r="G164" s="123">
        <f t="shared" si="62"/>
        <v>0</v>
      </c>
      <c r="H164" s="123">
        <f t="shared" si="62"/>
        <v>0</v>
      </c>
      <c r="I164" s="123">
        <f t="shared" si="62"/>
        <v>0</v>
      </c>
      <c r="J164" s="123">
        <f t="shared" si="62"/>
        <v>0</v>
      </c>
      <c r="K164" s="123">
        <f t="shared" si="62"/>
        <v>0</v>
      </c>
      <c r="L164" s="123">
        <f t="shared" si="62"/>
        <v>0</v>
      </c>
      <c r="M164" s="123">
        <f t="shared" si="62"/>
        <v>0</v>
      </c>
      <c r="N164" s="123">
        <f t="shared" si="62"/>
        <v>0</v>
      </c>
      <c r="O164" s="123">
        <f t="shared" si="62"/>
        <v>0</v>
      </c>
      <c r="P164" s="123">
        <f t="shared" si="62"/>
        <v>0</v>
      </c>
      <c r="Q164" s="123">
        <f t="shared" si="62"/>
        <v>0</v>
      </c>
      <c r="R164" s="123">
        <f t="shared" si="62"/>
        <v>0</v>
      </c>
      <c r="S164" s="123">
        <f t="shared" si="62"/>
        <v>0</v>
      </c>
      <c r="T164" s="123">
        <f t="shared" si="63"/>
        <v>0</v>
      </c>
      <c r="U164" s="123">
        <f t="shared" si="63"/>
        <v>0</v>
      </c>
      <c r="V164" s="123">
        <f t="shared" si="63"/>
        <v>0</v>
      </c>
      <c r="W164" s="123">
        <f t="shared" si="63"/>
        <v>0</v>
      </c>
      <c r="X164" s="123">
        <f t="shared" si="63"/>
        <v>0</v>
      </c>
      <c r="Y164" s="123">
        <f t="shared" si="63"/>
        <v>0</v>
      </c>
      <c r="Z164" s="123">
        <f t="shared" si="63"/>
        <v>0</v>
      </c>
      <c r="AA164" s="123">
        <f t="shared" si="63"/>
        <v>0</v>
      </c>
      <c r="AB164" s="123">
        <f t="shared" si="63"/>
        <v>0</v>
      </c>
      <c r="AC164" s="123">
        <f t="shared" si="63"/>
        <v>0</v>
      </c>
      <c r="AD164" s="123">
        <f t="shared" si="63"/>
        <v>0</v>
      </c>
      <c r="AE164" s="123">
        <f t="shared" si="63"/>
        <v>0</v>
      </c>
      <c r="AF164" s="123">
        <f t="shared" si="63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61"/>
        <v>0</v>
      </c>
      <c r="C165" s="124">
        <v>0</v>
      </c>
      <c r="D165" s="123">
        <f t="shared" si="62"/>
        <v>0</v>
      </c>
      <c r="E165" s="123">
        <f t="shared" si="62"/>
        <v>0</v>
      </c>
      <c r="F165" s="123">
        <f t="shared" si="62"/>
        <v>0</v>
      </c>
      <c r="G165" s="123">
        <f t="shared" si="62"/>
        <v>0</v>
      </c>
      <c r="H165" s="123">
        <f t="shared" si="62"/>
        <v>0</v>
      </c>
      <c r="I165" s="123">
        <f t="shared" si="62"/>
        <v>0</v>
      </c>
      <c r="J165" s="123">
        <f t="shared" si="62"/>
        <v>0</v>
      </c>
      <c r="K165" s="123">
        <f t="shared" si="62"/>
        <v>0</v>
      </c>
      <c r="L165" s="123">
        <f t="shared" si="62"/>
        <v>0</v>
      </c>
      <c r="M165" s="123">
        <f t="shared" si="62"/>
        <v>0</v>
      </c>
      <c r="N165" s="123">
        <f t="shared" si="62"/>
        <v>0</v>
      </c>
      <c r="O165" s="123">
        <f t="shared" si="62"/>
        <v>0</v>
      </c>
      <c r="P165" s="123">
        <f t="shared" si="62"/>
        <v>0</v>
      </c>
      <c r="Q165" s="123">
        <f t="shared" si="62"/>
        <v>0</v>
      </c>
      <c r="R165" s="123">
        <f t="shared" si="62"/>
        <v>0</v>
      </c>
      <c r="S165" s="123">
        <f t="shared" si="63"/>
        <v>0</v>
      </c>
      <c r="T165" s="123">
        <f t="shared" si="63"/>
        <v>0</v>
      </c>
      <c r="U165" s="123">
        <f t="shared" si="63"/>
        <v>0</v>
      </c>
      <c r="V165" s="123">
        <f t="shared" si="63"/>
        <v>0</v>
      </c>
      <c r="W165" s="123">
        <f t="shared" si="63"/>
        <v>0</v>
      </c>
      <c r="X165" s="123">
        <f t="shared" si="63"/>
        <v>0</v>
      </c>
      <c r="Y165" s="123">
        <f t="shared" si="63"/>
        <v>0</v>
      </c>
      <c r="Z165" s="123">
        <f t="shared" si="63"/>
        <v>0</v>
      </c>
      <c r="AA165" s="123">
        <f t="shared" si="63"/>
        <v>0</v>
      </c>
      <c r="AB165" s="123">
        <f t="shared" si="63"/>
        <v>0</v>
      </c>
      <c r="AC165" s="123">
        <f t="shared" si="63"/>
        <v>0</v>
      </c>
      <c r="AD165" s="123">
        <f t="shared" si="63"/>
        <v>0</v>
      </c>
      <c r="AE165" s="123">
        <f t="shared" si="63"/>
        <v>0</v>
      </c>
      <c r="AF165" s="123">
        <f t="shared" si="63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61"/>
        <v>0.8</v>
      </c>
      <c r="C166" s="124">
        <v>0.8</v>
      </c>
      <c r="D166" s="123">
        <f t="shared" si="62"/>
        <v>0.8</v>
      </c>
      <c r="E166" s="123">
        <f t="shared" si="62"/>
        <v>0.8</v>
      </c>
      <c r="F166" s="123">
        <f t="shared" si="62"/>
        <v>0.8</v>
      </c>
      <c r="G166" s="123">
        <f t="shared" si="62"/>
        <v>0.8</v>
      </c>
      <c r="H166" s="123">
        <f t="shared" si="62"/>
        <v>0.8</v>
      </c>
      <c r="I166" s="123">
        <f t="shared" si="62"/>
        <v>0.8</v>
      </c>
      <c r="J166" s="123">
        <f t="shared" si="62"/>
        <v>0.8</v>
      </c>
      <c r="K166" s="123">
        <f t="shared" si="62"/>
        <v>0.8</v>
      </c>
      <c r="L166" s="123">
        <f t="shared" si="62"/>
        <v>0.8</v>
      </c>
      <c r="M166" s="123">
        <f t="shared" si="62"/>
        <v>0.8</v>
      </c>
      <c r="N166" s="123">
        <f t="shared" si="62"/>
        <v>0.8</v>
      </c>
      <c r="O166" s="123">
        <f t="shared" si="62"/>
        <v>0.8</v>
      </c>
      <c r="P166" s="123">
        <f t="shared" si="62"/>
        <v>0.8</v>
      </c>
      <c r="Q166" s="123">
        <f t="shared" si="62"/>
        <v>0.8</v>
      </c>
      <c r="R166" s="123">
        <f t="shared" si="62"/>
        <v>0.8</v>
      </c>
      <c r="S166" s="123">
        <f t="shared" si="63"/>
        <v>0.8</v>
      </c>
      <c r="T166" s="123">
        <f t="shared" si="63"/>
        <v>0.8</v>
      </c>
      <c r="U166" s="123">
        <f t="shared" si="63"/>
        <v>0.8</v>
      </c>
      <c r="V166" s="123">
        <f t="shared" si="63"/>
        <v>0.8</v>
      </c>
      <c r="W166" s="123">
        <f t="shared" si="63"/>
        <v>0.8</v>
      </c>
      <c r="X166" s="123">
        <f t="shared" si="63"/>
        <v>0.8</v>
      </c>
      <c r="Y166" s="123">
        <f t="shared" si="63"/>
        <v>0.8</v>
      </c>
      <c r="Z166" s="123">
        <f t="shared" si="63"/>
        <v>0.8</v>
      </c>
      <c r="AA166" s="123">
        <f t="shared" si="63"/>
        <v>0.8</v>
      </c>
      <c r="AB166" s="123">
        <f t="shared" si="63"/>
        <v>0.8</v>
      </c>
      <c r="AC166" s="123">
        <f t="shared" si="63"/>
        <v>0.8</v>
      </c>
      <c r="AD166" s="123">
        <f t="shared" si="63"/>
        <v>0.8</v>
      </c>
      <c r="AE166" s="123">
        <f t="shared" si="63"/>
        <v>0.8</v>
      </c>
      <c r="AF166" s="123">
        <f t="shared" si="63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61"/>
        <v>1.5</v>
      </c>
      <c r="C167" s="124">
        <v>1.5</v>
      </c>
      <c r="D167" s="123">
        <f t="shared" si="62"/>
        <v>1.5</v>
      </c>
      <c r="E167" s="123">
        <f t="shared" si="62"/>
        <v>1.5</v>
      </c>
      <c r="F167" s="123">
        <f t="shared" si="62"/>
        <v>1.5</v>
      </c>
      <c r="G167" s="123">
        <f t="shared" si="62"/>
        <v>1.5</v>
      </c>
      <c r="H167" s="123">
        <f t="shared" si="62"/>
        <v>1.5</v>
      </c>
      <c r="I167" s="123">
        <f t="shared" si="62"/>
        <v>1.5</v>
      </c>
      <c r="J167" s="123">
        <f t="shared" si="62"/>
        <v>1.5</v>
      </c>
      <c r="K167" s="123">
        <f t="shared" si="62"/>
        <v>1.5</v>
      </c>
      <c r="L167" s="123">
        <f t="shared" si="62"/>
        <v>1.5</v>
      </c>
      <c r="M167" s="123">
        <f t="shared" si="62"/>
        <v>1.5</v>
      </c>
      <c r="N167" s="123">
        <f t="shared" si="62"/>
        <v>1.5</v>
      </c>
      <c r="O167" s="123">
        <f t="shared" si="62"/>
        <v>1.5</v>
      </c>
      <c r="P167" s="123">
        <f t="shared" si="62"/>
        <v>1.5</v>
      </c>
      <c r="Q167" s="123">
        <f t="shared" si="62"/>
        <v>1.5</v>
      </c>
      <c r="R167" s="123">
        <f t="shared" si="62"/>
        <v>1.5</v>
      </c>
      <c r="S167" s="123">
        <f t="shared" si="63"/>
        <v>1.5</v>
      </c>
      <c r="T167" s="123">
        <f t="shared" si="63"/>
        <v>1.5</v>
      </c>
      <c r="U167" s="123">
        <f t="shared" si="63"/>
        <v>1.5</v>
      </c>
      <c r="V167" s="123">
        <f t="shared" si="63"/>
        <v>1.5</v>
      </c>
      <c r="W167" s="123">
        <f t="shared" si="63"/>
        <v>1.5</v>
      </c>
      <c r="X167" s="123">
        <f t="shared" si="63"/>
        <v>1.5</v>
      </c>
      <c r="Y167" s="123">
        <f t="shared" si="63"/>
        <v>1.5</v>
      </c>
      <c r="Z167" s="123">
        <f t="shared" si="63"/>
        <v>1.5</v>
      </c>
      <c r="AA167" s="123">
        <f t="shared" si="63"/>
        <v>1.5</v>
      </c>
      <c r="AB167" s="123">
        <f t="shared" si="63"/>
        <v>1.5</v>
      </c>
      <c r="AC167" s="123">
        <f t="shared" si="63"/>
        <v>1.5</v>
      </c>
      <c r="AD167" s="123">
        <f t="shared" si="63"/>
        <v>1.5</v>
      </c>
      <c r="AE167" s="123">
        <f t="shared" si="63"/>
        <v>1.5</v>
      </c>
      <c r="AF167" s="123">
        <f t="shared" si="63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61"/>
        <v>1</v>
      </c>
      <c r="C168" s="124">
        <v>1</v>
      </c>
      <c r="D168" s="123">
        <f t="shared" si="62"/>
        <v>1</v>
      </c>
      <c r="E168" s="123">
        <f t="shared" si="62"/>
        <v>1</v>
      </c>
      <c r="F168" s="123">
        <f t="shared" si="62"/>
        <v>1</v>
      </c>
      <c r="G168" s="123">
        <f t="shared" si="62"/>
        <v>1</v>
      </c>
      <c r="H168" s="123">
        <f t="shared" si="62"/>
        <v>1</v>
      </c>
      <c r="I168" s="123">
        <f t="shared" si="62"/>
        <v>1</v>
      </c>
      <c r="J168" s="123">
        <f t="shared" si="62"/>
        <v>1</v>
      </c>
      <c r="K168" s="123">
        <f t="shared" si="62"/>
        <v>1</v>
      </c>
      <c r="L168" s="123">
        <f t="shared" si="62"/>
        <v>1</v>
      </c>
      <c r="M168" s="123">
        <f t="shared" si="62"/>
        <v>1</v>
      </c>
      <c r="N168" s="123">
        <f t="shared" si="62"/>
        <v>1</v>
      </c>
      <c r="O168" s="123">
        <f t="shared" si="62"/>
        <v>1</v>
      </c>
      <c r="P168" s="123">
        <f t="shared" si="62"/>
        <v>1</v>
      </c>
      <c r="Q168" s="123">
        <f t="shared" si="62"/>
        <v>1</v>
      </c>
      <c r="R168" s="123">
        <f t="shared" si="62"/>
        <v>1</v>
      </c>
      <c r="S168" s="123">
        <f t="shared" si="63"/>
        <v>1</v>
      </c>
      <c r="T168" s="123">
        <f t="shared" si="63"/>
        <v>1</v>
      </c>
      <c r="U168" s="123">
        <f t="shared" si="63"/>
        <v>1</v>
      </c>
      <c r="V168" s="123">
        <f t="shared" si="63"/>
        <v>1</v>
      </c>
      <c r="W168" s="123">
        <f t="shared" si="63"/>
        <v>1</v>
      </c>
      <c r="X168" s="123">
        <f t="shared" si="63"/>
        <v>1</v>
      </c>
      <c r="Y168" s="123">
        <f t="shared" si="63"/>
        <v>1</v>
      </c>
      <c r="Z168" s="123">
        <f t="shared" si="63"/>
        <v>1</v>
      </c>
      <c r="AA168" s="123">
        <f t="shared" si="63"/>
        <v>1</v>
      </c>
      <c r="AB168" s="123">
        <f t="shared" si="63"/>
        <v>1</v>
      </c>
      <c r="AC168" s="123">
        <f t="shared" si="63"/>
        <v>1</v>
      </c>
      <c r="AD168" s="123">
        <f t="shared" si="63"/>
        <v>1</v>
      </c>
      <c r="AE168" s="123">
        <f t="shared" si="63"/>
        <v>1</v>
      </c>
      <c r="AF168" s="123">
        <f t="shared" si="63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4">AF170</f>
        <v>1</v>
      </c>
      <c r="C170" s="124">
        <v>1</v>
      </c>
      <c r="D170" s="123">
        <f t="shared" ref="D170:S177" si="65">C170</f>
        <v>1</v>
      </c>
      <c r="E170" s="123">
        <f t="shared" si="65"/>
        <v>1</v>
      </c>
      <c r="F170" s="123">
        <f t="shared" si="65"/>
        <v>1</v>
      </c>
      <c r="G170" s="123">
        <f t="shared" si="65"/>
        <v>1</v>
      </c>
      <c r="H170" s="123">
        <f t="shared" si="65"/>
        <v>1</v>
      </c>
      <c r="I170" s="123">
        <f t="shared" si="65"/>
        <v>1</v>
      </c>
      <c r="J170" s="123">
        <f t="shared" si="65"/>
        <v>1</v>
      </c>
      <c r="K170" s="123">
        <f t="shared" si="65"/>
        <v>1</v>
      </c>
      <c r="L170" s="123">
        <f t="shared" si="65"/>
        <v>1</v>
      </c>
      <c r="M170" s="123">
        <f t="shared" si="65"/>
        <v>1</v>
      </c>
      <c r="N170" s="123">
        <f t="shared" si="65"/>
        <v>1</v>
      </c>
      <c r="O170" s="123">
        <f t="shared" si="65"/>
        <v>1</v>
      </c>
      <c r="P170" s="123">
        <f t="shared" si="65"/>
        <v>1</v>
      </c>
      <c r="Q170" s="123">
        <f t="shared" si="65"/>
        <v>1</v>
      </c>
      <c r="R170" s="123">
        <f t="shared" si="65"/>
        <v>1</v>
      </c>
      <c r="S170" s="123">
        <f t="shared" si="65"/>
        <v>1</v>
      </c>
      <c r="T170" s="123">
        <f t="shared" ref="S170:AF177" si="66">S170</f>
        <v>1</v>
      </c>
      <c r="U170" s="123">
        <f t="shared" si="66"/>
        <v>1</v>
      </c>
      <c r="V170" s="123">
        <f t="shared" si="66"/>
        <v>1</v>
      </c>
      <c r="W170" s="123">
        <f t="shared" si="66"/>
        <v>1</v>
      </c>
      <c r="X170" s="123">
        <f t="shared" si="66"/>
        <v>1</v>
      </c>
      <c r="Y170" s="123">
        <f t="shared" si="66"/>
        <v>1</v>
      </c>
      <c r="Z170" s="123">
        <f t="shared" si="66"/>
        <v>1</v>
      </c>
      <c r="AA170" s="123">
        <f t="shared" si="66"/>
        <v>1</v>
      </c>
      <c r="AB170" s="123">
        <f t="shared" si="66"/>
        <v>1</v>
      </c>
      <c r="AC170" s="123">
        <f t="shared" si="66"/>
        <v>1</v>
      </c>
      <c r="AD170" s="123">
        <f t="shared" si="66"/>
        <v>1</v>
      </c>
      <c r="AE170" s="123">
        <f t="shared" si="66"/>
        <v>1</v>
      </c>
      <c r="AF170" s="123">
        <f t="shared" si="66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4"/>
        <v>0.42</v>
      </c>
      <c r="C171" s="124">
        <v>0.42</v>
      </c>
      <c r="D171" s="123">
        <f t="shared" si="65"/>
        <v>0.42</v>
      </c>
      <c r="E171" s="123">
        <f t="shared" si="65"/>
        <v>0.42</v>
      </c>
      <c r="F171" s="123">
        <f t="shared" si="65"/>
        <v>0.42</v>
      </c>
      <c r="G171" s="123">
        <f t="shared" si="65"/>
        <v>0.42</v>
      </c>
      <c r="H171" s="123">
        <f t="shared" si="65"/>
        <v>0.42</v>
      </c>
      <c r="I171" s="123">
        <f t="shared" si="65"/>
        <v>0.42</v>
      </c>
      <c r="J171" s="123">
        <f t="shared" si="65"/>
        <v>0.42</v>
      </c>
      <c r="K171" s="123">
        <f t="shared" si="65"/>
        <v>0.42</v>
      </c>
      <c r="L171" s="123">
        <f t="shared" si="65"/>
        <v>0.42</v>
      </c>
      <c r="M171" s="123">
        <f t="shared" si="65"/>
        <v>0.42</v>
      </c>
      <c r="N171" s="123">
        <f t="shared" si="65"/>
        <v>0.42</v>
      </c>
      <c r="O171" s="123">
        <f t="shared" si="65"/>
        <v>0.42</v>
      </c>
      <c r="P171" s="123">
        <f t="shared" si="65"/>
        <v>0.42</v>
      </c>
      <c r="Q171" s="123">
        <f t="shared" si="65"/>
        <v>0.42</v>
      </c>
      <c r="R171" s="123">
        <f t="shared" si="65"/>
        <v>0.42</v>
      </c>
      <c r="S171" s="123">
        <f t="shared" si="66"/>
        <v>0.42</v>
      </c>
      <c r="T171" s="123">
        <f t="shared" si="66"/>
        <v>0.42</v>
      </c>
      <c r="U171" s="123">
        <f t="shared" si="66"/>
        <v>0.42</v>
      </c>
      <c r="V171" s="123">
        <f t="shared" si="66"/>
        <v>0.42</v>
      </c>
      <c r="W171" s="123">
        <f t="shared" si="66"/>
        <v>0.42</v>
      </c>
      <c r="X171" s="123">
        <f t="shared" si="66"/>
        <v>0.42</v>
      </c>
      <c r="Y171" s="123">
        <f t="shared" si="66"/>
        <v>0.42</v>
      </c>
      <c r="Z171" s="123">
        <f t="shared" si="66"/>
        <v>0.42</v>
      </c>
      <c r="AA171" s="123">
        <f t="shared" si="66"/>
        <v>0.42</v>
      </c>
      <c r="AB171" s="123">
        <f t="shared" si="66"/>
        <v>0.42</v>
      </c>
      <c r="AC171" s="123">
        <f t="shared" si="66"/>
        <v>0.42</v>
      </c>
      <c r="AD171" s="123">
        <f t="shared" si="66"/>
        <v>0.42</v>
      </c>
      <c r="AE171" s="123">
        <f t="shared" si="66"/>
        <v>0.42</v>
      </c>
      <c r="AF171" s="123">
        <f t="shared" si="66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4"/>
        <v>0.46</v>
      </c>
      <c r="C172" s="124">
        <v>0.46</v>
      </c>
      <c r="D172" s="123">
        <f t="shared" si="65"/>
        <v>0.46</v>
      </c>
      <c r="E172" s="123">
        <f t="shared" si="65"/>
        <v>0.46</v>
      </c>
      <c r="F172" s="123">
        <f t="shared" si="65"/>
        <v>0.46</v>
      </c>
      <c r="G172" s="123">
        <f t="shared" si="65"/>
        <v>0.46</v>
      </c>
      <c r="H172" s="123">
        <f t="shared" si="65"/>
        <v>0.46</v>
      </c>
      <c r="I172" s="123">
        <f t="shared" si="65"/>
        <v>0.46</v>
      </c>
      <c r="J172" s="123">
        <f t="shared" si="65"/>
        <v>0.46</v>
      </c>
      <c r="K172" s="123">
        <f t="shared" si="65"/>
        <v>0.46</v>
      </c>
      <c r="L172" s="123">
        <f t="shared" si="65"/>
        <v>0.46</v>
      </c>
      <c r="M172" s="123">
        <f t="shared" si="65"/>
        <v>0.46</v>
      </c>
      <c r="N172" s="123">
        <f t="shared" si="65"/>
        <v>0.46</v>
      </c>
      <c r="O172" s="123">
        <f t="shared" si="65"/>
        <v>0.46</v>
      </c>
      <c r="P172" s="123">
        <f t="shared" si="65"/>
        <v>0.46</v>
      </c>
      <c r="Q172" s="123">
        <f t="shared" si="65"/>
        <v>0.46</v>
      </c>
      <c r="R172" s="123">
        <f t="shared" si="65"/>
        <v>0.46</v>
      </c>
      <c r="S172" s="123">
        <f t="shared" si="66"/>
        <v>0.46</v>
      </c>
      <c r="T172" s="123">
        <f t="shared" si="66"/>
        <v>0.46</v>
      </c>
      <c r="U172" s="123">
        <f t="shared" si="66"/>
        <v>0.46</v>
      </c>
      <c r="V172" s="123">
        <f t="shared" si="66"/>
        <v>0.46</v>
      </c>
      <c r="W172" s="123">
        <f t="shared" si="66"/>
        <v>0.46</v>
      </c>
      <c r="X172" s="123">
        <f t="shared" si="66"/>
        <v>0.46</v>
      </c>
      <c r="Y172" s="123">
        <f t="shared" si="66"/>
        <v>0.46</v>
      </c>
      <c r="Z172" s="123">
        <f t="shared" si="66"/>
        <v>0.46</v>
      </c>
      <c r="AA172" s="123">
        <f t="shared" si="66"/>
        <v>0.46</v>
      </c>
      <c r="AB172" s="123">
        <f t="shared" si="66"/>
        <v>0.46</v>
      </c>
      <c r="AC172" s="123">
        <f t="shared" si="66"/>
        <v>0.46</v>
      </c>
      <c r="AD172" s="123">
        <f t="shared" si="66"/>
        <v>0.46</v>
      </c>
      <c r="AE172" s="123">
        <f t="shared" si="66"/>
        <v>0.46</v>
      </c>
      <c r="AF172" s="123">
        <f t="shared" si="66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4"/>
        <v>0.85</v>
      </c>
      <c r="C173" s="124">
        <v>0.85</v>
      </c>
      <c r="D173" s="123">
        <f t="shared" si="65"/>
        <v>0.85</v>
      </c>
      <c r="E173" s="123">
        <f t="shared" si="65"/>
        <v>0.85</v>
      </c>
      <c r="F173" s="123">
        <f t="shared" si="65"/>
        <v>0.85</v>
      </c>
      <c r="G173" s="123">
        <f t="shared" si="65"/>
        <v>0.85</v>
      </c>
      <c r="H173" s="123">
        <f t="shared" si="65"/>
        <v>0.85</v>
      </c>
      <c r="I173" s="123">
        <f t="shared" si="65"/>
        <v>0.85</v>
      </c>
      <c r="J173" s="123">
        <f t="shared" si="65"/>
        <v>0.85</v>
      </c>
      <c r="K173" s="123">
        <f t="shared" si="65"/>
        <v>0.85</v>
      </c>
      <c r="L173" s="123">
        <f t="shared" si="65"/>
        <v>0.85</v>
      </c>
      <c r="M173" s="123">
        <f t="shared" si="65"/>
        <v>0.85</v>
      </c>
      <c r="N173" s="123">
        <f t="shared" si="65"/>
        <v>0.85</v>
      </c>
      <c r="O173" s="123">
        <f t="shared" si="65"/>
        <v>0.85</v>
      </c>
      <c r="P173" s="123">
        <f t="shared" si="65"/>
        <v>0.85</v>
      </c>
      <c r="Q173" s="123">
        <f t="shared" si="65"/>
        <v>0.85</v>
      </c>
      <c r="R173" s="123">
        <f t="shared" si="65"/>
        <v>0.85</v>
      </c>
      <c r="S173" s="123">
        <f t="shared" si="66"/>
        <v>0.85</v>
      </c>
      <c r="T173" s="123">
        <f t="shared" si="66"/>
        <v>0.85</v>
      </c>
      <c r="U173" s="123">
        <f t="shared" si="66"/>
        <v>0.85</v>
      </c>
      <c r="V173" s="123">
        <f t="shared" si="66"/>
        <v>0.85</v>
      </c>
      <c r="W173" s="123">
        <f t="shared" si="66"/>
        <v>0.85</v>
      </c>
      <c r="X173" s="123">
        <f t="shared" si="66"/>
        <v>0.85</v>
      </c>
      <c r="Y173" s="123">
        <f t="shared" si="66"/>
        <v>0.85</v>
      </c>
      <c r="Z173" s="123">
        <f t="shared" si="66"/>
        <v>0.85</v>
      </c>
      <c r="AA173" s="123">
        <f t="shared" si="66"/>
        <v>0.85</v>
      </c>
      <c r="AB173" s="123">
        <f t="shared" si="66"/>
        <v>0.85</v>
      </c>
      <c r="AC173" s="123">
        <f t="shared" si="66"/>
        <v>0.85</v>
      </c>
      <c r="AD173" s="123">
        <f t="shared" si="66"/>
        <v>0.85</v>
      </c>
      <c r="AE173" s="123">
        <f t="shared" si="66"/>
        <v>0.85</v>
      </c>
      <c r="AF173" s="123">
        <f t="shared" si="66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4"/>
        <v>0.9</v>
      </c>
      <c r="C174" s="124">
        <v>0.9</v>
      </c>
      <c r="D174" s="123">
        <f t="shared" si="65"/>
        <v>0.9</v>
      </c>
      <c r="E174" s="123">
        <f t="shared" si="65"/>
        <v>0.9</v>
      </c>
      <c r="F174" s="123">
        <f t="shared" si="65"/>
        <v>0.9</v>
      </c>
      <c r="G174" s="123">
        <f t="shared" si="65"/>
        <v>0.9</v>
      </c>
      <c r="H174" s="123">
        <f t="shared" si="65"/>
        <v>0.9</v>
      </c>
      <c r="I174" s="123">
        <f t="shared" si="65"/>
        <v>0.9</v>
      </c>
      <c r="J174" s="123">
        <f t="shared" si="65"/>
        <v>0.9</v>
      </c>
      <c r="K174" s="123">
        <f t="shared" si="65"/>
        <v>0.9</v>
      </c>
      <c r="L174" s="123">
        <f t="shared" si="65"/>
        <v>0.9</v>
      </c>
      <c r="M174" s="123">
        <f t="shared" si="65"/>
        <v>0.9</v>
      </c>
      <c r="N174" s="123">
        <f t="shared" si="65"/>
        <v>0.9</v>
      </c>
      <c r="O174" s="123">
        <f t="shared" si="65"/>
        <v>0.9</v>
      </c>
      <c r="P174" s="123">
        <f t="shared" si="65"/>
        <v>0.9</v>
      </c>
      <c r="Q174" s="123">
        <f t="shared" si="65"/>
        <v>0.9</v>
      </c>
      <c r="R174" s="123">
        <f t="shared" si="65"/>
        <v>0.9</v>
      </c>
      <c r="S174" s="123">
        <f t="shared" si="66"/>
        <v>0.9</v>
      </c>
      <c r="T174" s="123">
        <f t="shared" si="66"/>
        <v>0.9</v>
      </c>
      <c r="U174" s="123">
        <f t="shared" si="66"/>
        <v>0.9</v>
      </c>
      <c r="V174" s="123">
        <f t="shared" si="66"/>
        <v>0.9</v>
      </c>
      <c r="W174" s="123">
        <f t="shared" si="66"/>
        <v>0.9</v>
      </c>
      <c r="X174" s="123">
        <f t="shared" si="66"/>
        <v>0.9</v>
      </c>
      <c r="Y174" s="123">
        <f t="shared" si="66"/>
        <v>0.9</v>
      </c>
      <c r="Z174" s="123">
        <f t="shared" si="66"/>
        <v>0.9</v>
      </c>
      <c r="AA174" s="123">
        <f t="shared" si="66"/>
        <v>0.9</v>
      </c>
      <c r="AB174" s="123">
        <f t="shared" si="66"/>
        <v>0.9</v>
      </c>
      <c r="AC174" s="123">
        <f t="shared" si="66"/>
        <v>0.9</v>
      </c>
      <c r="AD174" s="123">
        <f t="shared" si="66"/>
        <v>0.9</v>
      </c>
      <c r="AE174" s="123">
        <f t="shared" si="66"/>
        <v>0.9</v>
      </c>
      <c r="AF174" s="123">
        <f t="shared" si="66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4"/>
        <v>0.44</v>
      </c>
      <c r="C175" s="124">
        <v>0.44</v>
      </c>
      <c r="D175" s="123">
        <f t="shared" si="65"/>
        <v>0.44</v>
      </c>
      <c r="E175" s="123">
        <f t="shared" si="65"/>
        <v>0.44</v>
      </c>
      <c r="F175" s="123">
        <f t="shared" si="65"/>
        <v>0.44</v>
      </c>
      <c r="G175" s="123">
        <f t="shared" si="65"/>
        <v>0.44</v>
      </c>
      <c r="H175" s="123">
        <f t="shared" si="65"/>
        <v>0.44</v>
      </c>
      <c r="I175" s="123">
        <f t="shared" si="65"/>
        <v>0.44</v>
      </c>
      <c r="J175" s="123">
        <f t="shared" si="65"/>
        <v>0.44</v>
      </c>
      <c r="K175" s="123">
        <f t="shared" si="65"/>
        <v>0.44</v>
      </c>
      <c r="L175" s="123">
        <f t="shared" si="65"/>
        <v>0.44</v>
      </c>
      <c r="M175" s="123">
        <f t="shared" si="65"/>
        <v>0.44</v>
      </c>
      <c r="N175" s="123">
        <f t="shared" si="65"/>
        <v>0.44</v>
      </c>
      <c r="O175" s="123">
        <f t="shared" si="65"/>
        <v>0.44</v>
      </c>
      <c r="P175" s="123">
        <f t="shared" si="65"/>
        <v>0.44</v>
      </c>
      <c r="Q175" s="123">
        <f t="shared" si="65"/>
        <v>0.44</v>
      </c>
      <c r="R175" s="123">
        <f t="shared" si="65"/>
        <v>0.44</v>
      </c>
      <c r="S175" s="123">
        <f t="shared" si="66"/>
        <v>0.44</v>
      </c>
      <c r="T175" s="123">
        <f t="shared" si="66"/>
        <v>0.44</v>
      </c>
      <c r="U175" s="123">
        <f t="shared" si="66"/>
        <v>0.44</v>
      </c>
      <c r="V175" s="123">
        <f t="shared" si="66"/>
        <v>0.44</v>
      </c>
      <c r="W175" s="123">
        <f t="shared" si="66"/>
        <v>0.44</v>
      </c>
      <c r="X175" s="123">
        <f t="shared" si="66"/>
        <v>0.44</v>
      </c>
      <c r="Y175" s="123">
        <f t="shared" si="66"/>
        <v>0.44</v>
      </c>
      <c r="Z175" s="123">
        <f t="shared" si="66"/>
        <v>0.44</v>
      </c>
      <c r="AA175" s="123">
        <f t="shared" si="66"/>
        <v>0.44</v>
      </c>
      <c r="AB175" s="123">
        <f t="shared" si="66"/>
        <v>0.44</v>
      </c>
      <c r="AC175" s="123">
        <f t="shared" si="66"/>
        <v>0.44</v>
      </c>
      <c r="AD175" s="123">
        <f t="shared" si="66"/>
        <v>0.44</v>
      </c>
      <c r="AE175" s="123">
        <f t="shared" si="66"/>
        <v>0.44</v>
      </c>
      <c r="AF175" s="123">
        <f t="shared" si="66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4"/>
        <v>2.1</v>
      </c>
      <c r="C176" s="124">
        <v>2.1</v>
      </c>
      <c r="D176" s="123">
        <f t="shared" si="65"/>
        <v>2.1</v>
      </c>
      <c r="E176" s="123">
        <f t="shared" si="65"/>
        <v>2.1</v>
      </c>
      <c r="F176" s="123">
        <f t="shared" si="65"/>
        <v>2.1</v>
      </c>
      <c r="G176" s="123">
        <f t="shared" si="65"/>
        <v>2.1</v>
      </c>
      <c r="H176" s="123">
        <f t="shared" si="65"/>
        <v>2.1</v>
      </c>
      <c r="I176" s="123">
        <f t="shared" si="65"/>
        <v>2.1</v>
      </c>
      <c r="J176" s="123">
        <f t="shared" si="65"/>
        <v>2.1</v>
      </c>
      <c r="K176" s="123">
        <f t="shared" si="65"/>
        <v>2.1</v>
      </c>
      <c r="L176" s="123">
        <f t="shared" si="65"/>
        <v>2.1</v>
      </c>
      <c r="M176" s="123">
        <f t="shared" si="65"/>
        <v>2.1</v>
      </c>
      <c r="N176" s="123">
        <f t="shared" si="65"/>
        <v>2.1</v>
      </c>
      <c r="O176" s="123">
        <f t="shared" si="65"/>
        <v>2.1</v>
      </c>
      <c r="P176" s="123">
        <f t="shared" si="65"/>
        <v>2.1</v>
      </c>
      <c r="Q176" s="123">
        <f t="shared" si="65"/>
        <v>2.1</v>
      </c>
      <c r="R176" s="123">
        <f t="shared" si="65"/>
        <v>2.1</v>
      </c>
      <c r="S176" s="123">
        <f t="shared" si="66"/>
        <v>2.1</v>
      </c>
      <c r="T176" s="123">
        <f t="shared" si="66"/>
        <v>2.1</v>
      </c>
      <c r="U176" s="123">
        <f t="shared" si="66"/>
        <v>2.1</v>
      </c>
      <c r="V176" s="123">
        <f t="shared" si="66"/>
        <v>2.1</v>
      </c>
      <c r="W176" s="123">
        <f t="shared" si="66"/>
        <v>2.1</v>
      </c>
      <c r="X176" s="123">
        <f t="shared" si="66"/>
        <v>2.1</v>
      </c>
      <c r="Y176" s="123">
        <f t="shared" si="66"/>
        <v>2.1</v>
      </c>
      <c r="Z176" s="123">
        <f t="shared" si="66"/>
        <v>2.1</v>
      </c>
      <c r="AA176" s="123">
        <f t="shared" si="66"/>
        <v>2.1</v>
      </c>
      <c r="AB176" s="123">
        <f t="shared" si="66"/>
        <v>2.1</v>
      </c>
      <c r="AC176" s="123">
        <f t="shared" si="66"/>
        <v>2.1</v>
      </c>
      <c r="AD176" s="123">
        <f t="shared" si="66"/>
        <v>2.1</v>
      </c>
      <c r="AE176" s="123">
        <f t="shared" si="66"/>
        <v>2.1</v>
      </c>
      <c r="AF176" s="123">
        <f t="shared" si="66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4"/>
        <v>0.9</v>
      </c>
      <c r="C177" s="124">
        <v>0.9</v>
      </c>
      <c r="D177" s="123">
        <f t="shared" si="65"/>
        <v>0.9</v>
      </c>
      <c r="E177" s="123">
        <f t="shared" si="65"/>
        <v>0.9</v>
      </c>
      <c r="F177" s="123">
        <f t="shared" si="65"/>
        <v>0.9</v>
      </c>
      <c r="G177" s="123">
        <f t="shared" si="65"/>
        <v>0.9</v>
      </c>
      <c r="H177" s="123">
        <f t="shared" si="65"/>
        <v>0.9</v>
      </c>
      <c r="I177" s="123">
        <f t="shared" si="65"/>
        <v>0.9</v>
      </c>
      <c r="J177" s="123">
        <f t="shared" si="65"/>
        <v>0.9</v>
      </c>
      <c r="K177" s="123">
        <f t="shared" si="65"/>
        <v>0.9</v>
      </c>
      <c r="L177" s="123">
        <f t="shared" si="65"/>
        <v>0.9</v>
      </c>
      <c r="M177" s="123">
        <f t="shared" si="65"/>
        <v>0.9</v>
      </c>
      <c r="N177" s="123">
        <f t="shared" si="65"/>
        <v>0.9</v>
      </c>
      <c r="O177" s="123">
        <f t="shared" si="65"/>
        <v>0.9</v>
      </c>
      <c r="P177" s="123">
        <f t="shared" si="65"/>
        <v>0.9</v>
      </c>
      <c r="Q177" s="123">
        <f t="shared" si="65"/>
        <v>0.9</v>
      </c>
      <c r="R177" s="123">
        <f t="shared" si="65"/>
        <v>0.9</v>
      </c>
      <c r="S177" s="123">
        <f t="shared" si="66"/>
        <v>0.9</v>
      </c>
      <c r="T177" s="123">
        <f t="shared" si="66"/>
        <v>0.9</v>
      </c>
      <c r="U177" s="123">
        <f t="shared" si="66"/>
        <v>0.9</v>
      </c>
      <c r="V177" s="123">
        <f t="shared" si="66"/>
        <v>0.9</v>
      </c>
      <c r="W177" s="123">
        <f t="shared" si="66"/>
        <v>0.9</v>
      </c>
      <c r="X177" s="123">
        <f t="shared" si="66"/>
        <v>0.9</v>
      </c>
      <c r="Y177" s="123">
        <f t="shared" si="66"/>
        <v>0.9</v>
      </c>
      <c r="Z177" s="123">
        <f t="shared" si="66"/>
        <v>0.9</v>
      </c>
      <c r="AA177" s="123">
        <f t="shared" si="66"/>
        <v>0.9</v>
      </c>
      <c r="AB177" s="123">
        <f t="shared" si="66"/>
        <v>0.9</v>
      </c>
      <c r="AC177" s="123">
        <f t="shared" si="66"/>
        <v>0.9</v>
      </c>
      <c r="AD177" s="123">
        <f t="shared" si="66"/>
        <v>0.9</v>
      </c>
      <c r="AE177" s="123">
        <f t="shared" si="66"/>
        <v>0.9</v>
      </c>
      <c r="AF177" s="123">
        <f t="shared" si="66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7">AF179</f>
        <v>0.57999999999999996</v>
      </c>
      <c r="C179" s="124">
        <v>0.57999999999999996</v>
      </c>
      <c r="D179" s="123">
        <f t="shared" ref="D179:S191" si="68">C179</f>
        <v>0.57999999999999996</v>
      </c>
      <c r="E179" s="123">
        <f t="shared" si="68"/>
        <v>0.57999999999999996</v>
      </c>
      <c r="F179" s="123">
        <f t="shared" si="68"/>
        <v>0.57999999999999996</v>
      </c>
      <c r="G179" s="123">
        <f t="shared" si="68"/>
        <v>0.57999999999999996</v>
      </c>
      <c r="H179" s="123">
        <f t="shared" si="68"/>
        <v>0.57999999999999996</v>
      </c>
      <c r="I179" s="123">
        <f t="shared" si="68"/>
        <v>0.57999999999999996</v>
      </c>
      <c r="J179" s="123">
        <f t="shared" si="68"/>
        <v>0.57999999999999996</v>
      </c>
      <c r="K179" s="123">
        <f t="shared" si="68"/>
        <v>0.57999999999999996</v>
      </c>
      <c r="L179" s="123">
        <f t="shared" si="68"/>
        <v>0.57999999999999996</v>
      </c>
      <c r="M179" s="123">
        <f t="shared" si="68"/>
        <v>0.57999999999999996</v>
      </c>
      <c r="N179" s="123">
        <f t="shared" si="68"/>
        <v>0.57999999999999996</v>
      </c>
      <c r="O179" s="123">
        <f t="shared" si="68"/>
        <v>0.57999999999999996</v>
      </c>
      <c r="P179" s="123">
        <f t="shared" si="68"/>
        <v>0.57999999999999996</v>
      </c>
      <c r="Q179" s="123">
        <f t="shared" si="68"/>
        <v>0.57999999999999996</v>
      </c>
      <c r="R179" s="123">
        <f t="shared" si="68"/>
        <v>0.57999999999999996</v>
      </c>
      <c r="S179" s="123">
        <f t="shared" si="68"/>
        <v>0.57999999999999996</v>
      </c>
      <c r="T179" s="123">
        <f t="shared" ref="S179:AF191" si="69">S179</f>
        <v>0.57999999999999996</v>
      </c>
      <c r="U179" s="123">
        <f t="shared" si="69"/>
        <v>0.57999999999999996</v>
      </c>
      <c r="V179" s="123">
        <f t="shared" si="69"/>
        <v>0.57999999999999996</v>
      </c>
      <c r="W179" s="123">
        <f t="shared" si="69"/>
        <v>0.57999999999999996</v>
      </c>
      <c r="X179" s="123">
        <f t="shared" si="69"/>
        <v>0.57999999999999996</v>
      </c>
      <c r="Y179" s="123">
        <f t="shared" si="69"/>
        <v>0.57999999999999996</v>
      </c>
      <c r="Z179" s="123">
        <f t="shared" si="69"/>
        <v>0.57999999999999996</v>
      </c>
      <c r="AA179" s="123">
        <f t="shared" si="69"/>
        <v>0.57999999999999996</v>
      </c>
      <c r="AB179" s="123">
        <f t="shared" si="69"/>
        <v>0.57999999999999996</v>
      </c>
      <c r="AC179" s="123">
        <f t="shared" si="69"/>
        <v>0.57999999999999996</v>
      </c>
      <c r="AD179" s="123">
        <f t="shared" si="69"/>
        <v>0.57999999999999996</v>
      </c>
      <c r="AE179" s="123">
        <f t="shared" si="69"/>
        <v>0.57999999999999996</v>
      </c>
      <c r="AF179" s="123">
        <f t="shared" si="69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7"/>
        <v>0.8</v>
      </c>
      <c r="C180" s="124">
        <v>0.8</v>
      </c>
      <c r="D180" s="123">
        <f t="shared" si="68"/>
        <v>0.8</v>
      </c>
      <c r="E180" s="123">
        <f t="shared" si="68"/>
        <v>0.8</v>
      </c>
      <c r="F180" s="123">
        <f t="shared" si="68"/>
        <v>0.8</v>
      </c>
      <c r="G180" s="123">
        <f t="shared" si="68"/>
        <v>0.8</v>
      </c>
      <c r="H180" s="123">
        <f t="shared" si="68"/>
        <v>0.8</v>
      </c>
      <c r="I180" s="123">
        <f t="shared" si="68"/>
        <v>0.8</v>
      </c>
      <c r="J180" s="123">
        <f t="shared" si="68"/>
        <v>0.8</v>
      </c>
      <c r="K180" s="123">
        <f t="shared" si="68"/>
        <v>0.8</v>
      </c>
      <c r="L180" s="123">
        <f t="shared" si="68"/>
        <v>0.8</v>
      </c>
      <c r="M180" s="123">
        <f t="shared" si="68"/>
        <v>0.8</v>
      </c>
      <c r="N180" s="123">
        <f t="shared" si="68"/>
        <v>0.8</v>
      </c>
      <c r="O180" s="123">
        <f t="shared" si="68"/>
        <v>0.8</v>
      </c>
      <c r="P180" s="123">
        <f t="shared" si="68"/>
        <v>0.8</v>
      </c>
      <c r="Q180" s="123">
        <f t="shared" si="68"/>
        <v>0.8</v>
      </c>
      <c r="R180" s="123">
        <f t="shared" si="68"/>
        <v>0.8</v>
      </c>
      <c r="S180" s="123">
        <f t="shared" si="68"/>
        <v>0.8</v>
      </c>
      <c r="T180" s="123">
        <f t="shared" si="69"/>
        <v>0.8</v>
      </c>
      <c r="U180" s="123">
        <f t="shared" si="69"/>
        <v>0.8</v>
      </c>
      <c r="V180" s="123">
        <f t="shared" si="69"/>
        <v>0.8</v>
      </c>
      <c r="W180" s="123">
        <f t="shared" si="69"/>
        <v>0.8</v>
      </c>
      <c r="X180" s="123">
        <f t="shared" si="69"/>
        <v>0.8</v>
      </c>
      <c r="Y180" s="123">
        <f t="shared" si="69"/>
        <v>0.8</v>
      </c>
      <c r="Z180" s="123">
        <f t="shared" si="69"/>
        <v>0.8</v>
      </c>
      <c r="AA180" s="123">
        <f t="shared" si="69"/>
        <v>0.8</v>
      </c>
      <c r="AB180" s="123">
        <f t="shared" si="69"/>
        <v>0.8</v>
      </c>
      <c r="AC180" s="123">
        <f t="shared" si="69"/>
        <v>0.8</v>
      </c>
      <c r="AD180" s="123">
        <f t="shared" si="69"/>
        <v>0.8</v>
      </c>
      <c r="AE180" s="123">
        <f t="shared" si="69"/>
        <v>0.8</v>
      </c>
      <c r="AF180" s="123">
        <f t="shared" si="69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7"/>
        <v>0</v>
      </c>
      <c r="C181" s="124">
        <v>0</v>
      </c>
      <c r="D181" s="123">
        <f t="shared" si="68"/>
        <v>0</v>
      </c>
      <c r="E181" s="123">
        <f t="shared" si="68"/>
        <v>0</v>
      </c>
      <c r="F181" s="123">
        <f t="shared" si="68"/>
        <v>0</v>
      </c>
      <c r="G181" s="123">
        <f t="shared" si="68"/>
        <v>0</v>
      </c>
      <c r="H181" s="123">
        <f t="shared" si="68"/>
        <v>0</v>
      </c>
      <c r="I181" s="123">
        <f t="shared" si="68"/>
        <v>0</v>
      </c>
      <c r="J181" s="123">
        <f t="shared" si="68"/>
        <v>0</v>
      </c>
      <c r="K181" s="123">
        <f t="shared" si="68"/>
        <v>0</v>
      </c>
      <c r="L181" s="123">
        <f t="shared" si="68"/>
        <v>0</v>
      </c>
      <c r="M181" s="123">
        <f t="shared" si="68"/>
        <v>0</v>
      </c>
      <c r="N181" s="123">
        <f t="shared" si="68"/>
        <v>0</v>
      </c>
      <c r="O181" s="123">
        <f t="shared" si="68"/>
        <v>0</v>
      </c>
      <c r="P181" s="123">
        <f t="shared" si="68"/>
        <v>0</v>
      </c>
      <c r="Q181" s="123">
        <f t="shared" si="68"/>
        <v>0</v>
      </c>
      <c r="R181" s="123">
        <f t="shared" si="68"/>
        <v>0</v>
      </c>
      <c r="S181" s="123">
        <f t="shared" si="68"/>
        <v>0</v>
      </c>
      <c r="T181" s="123">
        <f t="shared" si="69"/>
        <v>0</v>
      </c>
      <c r="U181" s="123">
        <f t="shared" si="69"/>
        <v>0</v>
      </c>
      <c r="V181" s="123">
        <f t="shared" si="69"/>
        <v>0</v>
      </c>
      <c r="W181" s="123">
        <f t="shared" si="69"/>
        <v>0</v>
      </c>
      <c r="X181" s="123">
        <f t="shared" si="69"/>
        <v>0</v>
      </c>
      <c r="Y181" s="123">
        <f t="shared" si="69"/>
        <v>0</v>
      </c>
      <c r="Z181" s="123">
        <f t="shared" si="69"/>
        <v>0</v>
      </c>
      <c r="AA181" s="123">
        <f t="shared" si="69"/>
        <v>0</v>
      </c>
      <c r="AB181" s="123">
        <f t="shared" si="69"/>
        <v>0</v>
      </c>
      <c r="AC181" s="123">
        <f t="shared" si="69"/>
        <v>0</v>
      </c>
      <c r="AD181" s="123">
        <f t="shared" si="69"/>
        <v>0</v>
      </c>
      <c r="AE181" s="123">
        <f t="shared" si="69"/>
        <v>0</v>
      </c>
      <c r="AF181" s="123">
        <f t="shared" si="69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7"/>
        <v>0.6</v>
      </c>
      <c r="C182" s="124">
        <v>0.6</v>
      </c>
      <c r="D182" s="123">
        <f t="shared" si="68"/>
        <v>0.6</v>
      </c>
      <c r="E182" s="123">
        <f t="shared" si="68"/>
        <v>0.6</v>
      </c>
      <c r="F182" s="123">
        <f t="shared" si="68"/>
        <v>0.6</v>
      </c>
      <c r="G182" s="123">
        <f t="shared" si="68"/>
        <v>0.6</v>
      </c>
      <c r="H182" s="123">
        <f t="shared" si="68"/>
        <v>0.6</v>
      </c>
      <c r="I182" s="123">
        <f t="shared" si="68"/>
        <v>0.6</v>
      </c>
      <c r="J182" s="123">
        <f t="shared" si="68"/>
        <v>0.6</v>
      </c>
      <c r="K182" s="123">
        <f t="shared" si="68"/>
        <v>0.6</v>
      </c>
      <c r="L182" s="123">
        <f t="shared" si="68"/>
        <v>0.6</v>
      </c>
      <c r="M182" s="123">
        <f t="shared" si="68"/>
        <v>0.6</v>
      </c>
      <c r="N182" s="123">
        <f t="shared" si="68"/>
        <v>0.6</v>
      </c>
      <c r="O182" s="123">
        <f t="shared" si="68"/>
        <v>0.6</v>
      </c>
      <c r="P182" s="123">
        <f t="shared" si="68"/>
        <v>0.6</v>
      </c>
      <c r="Q182" s="123">
        <f t="shared" si="68"/>
        <v>0.6</v>
      </c>
      <c r="R182" s="123">
        <f t="shared" si="68"/>
        <v>0.6</v>
      </c>
      <c r="S182" s="123">
        <f t="shared" si="68"/>
        <v>0.6</v>
      </c>
      <c r="T182" s="123">
        <f t="shared" si="69"/>
        <v>0.6</v>
      </c>
      <c r="U182" s="123">
        <f t="shared" si="69"/>
        <v>0.6</v>
      </c>
      <c r="V182" s="123">
        <f t="shared" si="69"/>
        <v>0.6</v>
      </c>
      <c r="W182" s="123">
        <f t="shared" si="69"/>
        <v>0.6</v>
      </c>
      <c r="X182" s="123">
        <f t="shared" si="69"/>
        <v>0.6</v>
      </c>
      <c r="Y182" s="123">
        <f t="shared" si="69"/>
        <v>0.6</v>
      </c>
      <c r="Z182" s="123">
        <f t="shared" si="69"/>
        <v>0.6</v>
      </c>
      <c r="AA182" s="123">
        <f t="shared" si="69"/>
        <v>0.6</v>
      </c>
      <c r="AB182" s="123">
        <f t="shared" si="69"/>
        <v>0.6</v>
      </c>
      <c r="AC182" s="123">
        <f t="shared" si="69"/>
        <v>0.6</v>
      </c>
      <c r="AD182" s="123">
        <f t="shared" si="69"/>
        <v>0.6</v>
      </c>
      <c r="AE182" s="123">
        <f t="shared" si="69"/>
        <v>0.6</v>
      </c>
      <c r="AF182" s="123">
        <f t="shared" si="69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7"/>
        <v>0.6</v>
      </c>
      <c r="C183" s="124">
        <v>0.6</v>
      </c>
      <c r="D183" s="123">
        <f t="shared" si="68"/>
        <v>0.6</v>
      </c>
      <c r="E183" s="123">
        <f t="shared" si="68"/>
        <v>0.6</v>
      </c>
      <c r="F183" s="123">
        <f t="shared" si="68"/>
        <v>0.6</v>
      </c>
      <c r="G183" s="123">
        <f t="shared" si="68"/>
        <v>0.6</v>
      </c>
      <c r="H183" s="123">
        <f t="shared" si="68"/>
        <v>0.6</v>
      </c>
      <c r="I183" s="123">
        <f t="shared" si="68"/>
        <v>0.6</v>
      </c>
      <c r="J183" s="123">
        <f t="shared" si="68"/>
        <v>0.6</v>
      </c>
      <c r="K183" s="123">
        <f t="shared" si="68"/>
        <v>0.6</v>
      </c>
      <c r="L183" s="123">
        <f t="shared" si="68"/>
        <v>0.6</v>
      </c>
      <c r="M183" s="123">
        <f t="shared" si="68"/>
        <v>0.6</v>
      </c>
      <c r="N183" s="123">
        <f t="shared" si="68"/>
        <v>0.6</v>
      </c>
      <c r="O183" s="123">
        <f t="shared" si="68"/>
        <v>0.6</v>
      </c>
      <c r="P183" s="123">
        <f t="shared" si="68"/>
        <v>0.6</v>
      </c>
      <c r="Q183" s="123">
        <f t="shared" si="68"/>
        <v>0.6</v>
      </c>
      <c r="R183" s="123">
        <f t="shared" si="68"/>
        <v>0.6</v>
      </c>
      <c r="S183" s="123">
        <f t="shared" si="68"/>
        <v>0.6</v>
      </c>
      <c r="T183" s="123">
        <f t="shared" si="69"/>
        <v>0.6</v>
      </c>
      <c r="U183" s="123">
        <f t="shared" si="69"/>
        <v>0.6</v>
      </c>
      <c r="V183" s="123">
        <f t="shared" si="69"/>
        <v>0.6</v>
      </c>
      <c r="W183" s="123">
        <f t="shared" si="69"/>
        <v>0.6</v>
      </c>
      <c r="X183" s="123">
        <f t="shared" si="69"/>
        <v>0.6</v>
      </c>
      <c r="Y183" s="123">
        <f t="shared" si="69"/>
        <v>0.6</v>
      </c>
      <c r="Z183" s="123">
        <f t="shared" si="69"/>
        <v>0.6</v>
      </c>
      <c r="AA183" s="123">
        <f t="shared" si="69"/>
        <v>0.6</v>
      </c>
      <c r="AB183" s="123">
        <f t="shared" si="69"/>
        <v>0.6</v>
      </c>
      <c r="AC183" s="123">
        <f t="shared" si="69"/>
        <v>0.6</v>
      </c>
      <c r="AD183" s="123">
        <f t="shared" si="69"/>
        <v>0.6</v>
      </c>
      <c r="AE183" s="123">
        <f t="shared" si="69"/>
        <v>0.6</v>
      </c>
      <c r="AF183" s="123">
        <f t="shared" si="69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7"/>
        <v>0.35</v>
      </c>
      <c r="C184" s="124">
        <v>0.35</v>
      </c>
      <c r="D184" s="123">
        <f t="shared" si="68"/>
        <v>0.35</v>
      </c>
      <c r="E184" s="123">
        <f t="shared" si="68"/>
        <v>0.35</v>
      </c>
      <c r="F184" s="123">
        <f t="shared" si="68"/>
        <v>0.35</v>
      </c>
      <c r="G184" s="123">
        <f t="shared" si="68"/>
        <v>0.35</v>
      </c>
      <c r="H184" s="123">
        <f t="shared" si="68"/>
        <v>0.35</v>
      </c>
      <c r="I184" s="123">
        <f t="shared" si="68"/>
        <v>0.35</v>
      </c>
      <c r="J184" s="123">
        <f t="shared" si="68"/>
        <v>0.35</v>
      </c>
      <c r="K184" s="123">
        <f t="shared" si="68"/>
        <v>0.35</v>
      </c>
      <c r="L184" s="123">
        <f t="shared" si="68"/>
        <v>0.35</v>
      </c>
      <c r="M184" s="123">
        <f t="shared" si="68"/>
        <v>0.35</v>
      </c>
      <c r="N184" s="123">
        <f t="shared" si="68"/>
        <v>0.35</v>
      </c>
      <c r="O184" s="123">
        <f t="shared" si="68"/>
        <v>0.35</v>
      </c>
      <c r="P184" s="123">
        <f t="shared" si="68"/>
        <v>0.35</v>
      </c>
      <c r="Q184" s="123">
        <f t="shared" si="68"/>
        <v>0.35</v>
      </c>
      <c r="R184" s="123">
        <f t="shared" si="68"/>
        <v>0.35</v>
      </c>
      <c r="S184" s="123">
        <f t="shared" si="68"/>
        <v>0.35</v>
      </c>
      <c r="T184" s="123">
        <f t="shared" si="69"/>
        <v>0.35</v>
      </c>
      <c r="U184" s="123">
        <f t="shared" si="69"/>
        <v>0.35</v>
      </c>
      <c r="V184" s="123">
        <f t="shared" si="69"/>
        <v>0.35</v>
      </c>
      <c r="W184" s="123">
        <f t="shared" si="69"/>
        <v>0.35</v>
      </c>
      <c r="X184" s="123">
        <f t="shared" si="69"/>
        <v>0.35</v>
      </c>
      <c r="Y184" s="123">
        <f t="shared" si="69"/>
        <v>0.35</v>
      </c>
      <c r="Z184" s="123">
        <f t="shared" si="69"/>
        <v>0.35</v>
      </c>
      <c r="AA184" s="123">
        <f t="shared" si="69"/>
        <v>0.35</v>
      </c>
      <c r="AB184" s="123">
        <f t="shared" si="69"/>
        <v>0.35</v>
      </c>
      <c r="AC184" s="123">
        <f t="shared" si="69"/>
        <v>0.35</v>
      </c>
      <c r="AD184" s="123">
        <f t="shared" si="69"/>
        <v>0.35</v>
      </c>
      <c r="AE184" s="123">
        <f t="shared" si="69"/>
        <v>0.35</v>
      </c>
      <c r="AF184" s="123">
        <f t="shared" si="69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7"/>
        <v>0.28999999999999998</v>
      </c>
      <c r="C185" s="124">
        <v>0.28999999999999998</v>
      </c>
      <c r="D185" s="123">
        <f t="shared" si="68"/>
        <v>0.28999999999999998</v>
      </c>
      <c r="E185" s="123">
        <f t="shared" si="68"/>
        <v>0.28999999999999998</v>
      </c>
      <c r="F185" s="123">
        <f t="shared" si="68"/>
        <v>0.28999999999999998</v>
      </c>
      <c r="G185" s="123">
        <f t="shared" si="68"/>
        <v>0.28999999999999998</v>
      </c>
      <c r="H185" s="123">
        <f t="shared" si="68"/>
        <v>0.28999999999999998</v>
      </c>
      <c r="I185" s="123">
        <f t="shared" si="68"/>
        <v>0.28999999999999998</v>
      </c>
      <c r="J185" s="123">
        <f t="shared" si="68"/>
        <v>0.28999999999999998</v>
      </c>
      <c r="K185" s="123">
        <f t="shared" si="68"/>
        <v>0.28999999999999998</v>
      </c>
      <c r="L185" s="123">
        <f t="shared" si="68"/>
        <v>0.28999999999999998</v>
      </c>
      <c r="M185" s="123">
        <f t="shared" si="68"/>
        <v>0.28999999999999998</v>
      </c>
      <c r="N185" s="123">
        <f t="shared" si="68"/>
        <v>0.28999999999999998</v>
      </c>
      <c r="O185" s="123">
        <f t="shared" si="68"/>
        <v>0.28999999999999998</v>
      </c>
      <c r="P185" s="123">
        <f t="shared" si="68"/>
        <v>0.28999999999999998</v>
      </c>
      <c r="Q185" s="123">
        <f t="shared" si="68"/>
        <v>0.28999999999999998</v>
      </c>
      <c r="R185" s="123">
        <f t="shared" si="68"/>
        <v>0.28999999999999998</v>
      </c>
      <c r="S185" s="123">
        <f t="shared" si="68"/>
        <v>0.28999999999999998</v>
      </c>
      <c r="T185" s="123">
        <f t="shared" si="69"/>
        <v>0.28999999999999998</v>
      </c>
      <c r="U185" s="123">
        <f t="shared" si="69"/>
        <v>0.28999999999999998</v>
      </c>
      <c r="V185" s="123">
        <f t="shared" si="69"/>
        <v>0.28999999999999998</v>
      </c>
      <c r="W185" s="123">
        <f t="shared" si="69"/>
        <v>0.28999999999999998</v>
      </c>
      <c r="X185" s="123">
        <f t="shared" si="69"/>
        <v>0.28999999999999998</v>
      </c>
      <c r="Y185" s="123">
        <f t="shared" si="69"/>
        <v>0.28999999999999998</v>
      </c>
      <c r="Z185" s="123">
        <f t="shared" si="69"/>
        <v>0.28999999999999998</v>
      </c>
      <c r="AA185" s="123">
        <f t="shared" si="69"/>
        <v>0.28999999999999998</v>
      </c>
      <c r="AB185" s="123">
        <f t="shared" si="69"/>
        <v>0.28999999999999998</v>
      </c>
      <c r="AC185" s="123">
        <f t="shared" si="69"/>
        <v>0.28999999999999998</v>
      </c>
      <c r="AD185" s="123">
        <f t="shared" si="69"/>
        <v>0.28999999999999998</v>
      </c>
      <c r="AE185" s="123">
        <f t="shared" si="69"/>
        <v>0.28999999999999998</v>
      </c>
      <c r="AF185" s="123">
        <f t="shared" si="69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7"/>
        <v>0.06</v>
      </c>
      <c r="C186" s="124">
        <v>0.06</v>
      </c>
      <c r="D186" s="123">
        <f t="shared" si="68"/>
        <v>0.06</v>
      </c>
      <c r="E186" s="123">
        <f t="shared" si="68"/>
        <v>0.06</v>
      </c>
      <c r="F186" s="123">
        <f t="shared" si="68"/>
        <v>0.06</v>
      </c>
      <c r="G186" s="123">
        <f t="shared" si="68"/>
        <v>0.06</v>
      </c>
      <c r="H186" s="123">
        <f t="shared" si="68"/>
        <v>0.06</v>
      </c>
      <c r="I186" s="123">
        <f t="shared" si="68"/>
        <v>0.06</v>
      </c>
      <c r="J186" s="123">
        <f t="shared" si="68"/>
        <v>0.06</v>
      </c>
      <c r="K186" s="123">
        <f t="shared" si="68"/>
        <v>0.06</v>
      </c>
      <c r="L186" s="123">
        <f t="shared" si="68"/>
        <v>0.06</v>
      </c>
      <c r="M186" s="123">
        <f t="shared" si="68"/>
        <v>0.06</v>
      </c>
      <c r="N186" s="123">
        <f t="shared" si="68"/>
        <v>0.06</v>
      </c>
      <c r="O186" s="123">
        <f t="shared" si="68"/>
        <v>0.06</v>
      </c>
      <c r="P186" s="123">
        <f t="shared" si="68"/>
        <v>0.06</v>
      </c>
      <c r="Q186" s="123">
        <f t="shared" si="68"/>
        <v>0.06</v>
      </c>
      <c r="R186" s="123">
        <f t="shared" si="68"/>
        <v>0.06</v>
      </c>
      <c r="S186" s="123">
        <f t="shared" si="68"/>
        <v>0.06</v>
      </c>
      <c r="T186" s="123">
        <f t="shared" si="69"/>
        <v>0.06</v>
      </c>
      <c r="U186" s="123">
        <f t="shared" si="69"/>
        <v>0.06</v>
      </c>
      <c r="V186" s="123">
        <f t="shared" si="69"/>
        <v>0.06</v>
      </c>
      <c r="W186" s="123">
        <f t="shared" si="69"/>
        <v>0.06</v>
      </c>
      <c r="X186" s="123">
        <f t="shared" si="69"/>
        <v>0.06</v>
      </c>
      <c r="Y186" s="123">
        <f t="shared" si="69"/>
        <v>0.06</v>
      </c>
      <c r="Z186" s="123">
        <f t="shared" si="69"/>
        <v>0.06</v>
      </c>
      <c r="AA186" s="123">
        <f t="shared" si="69"/>
        <v>0.06</v>
      </c>
      <c r="AB186" s="123">
        <f t="shared" si="69"/>
        <v>0.06</v>
      </c>
      <c r="AC186" s="123">
        <f t="shared" si="69"/>
        <v>0.06</v>
      </c>
      <c r="AD186" s="123">
        <f t="shared" si="69"/>
        <v>0.06</v>
      </c>
      <c r="AE186" s="123">
        <f t="shared" si="69"/>
        <v>0.06</v>
      </c>
      <c r="AF186" s="123">
        <f t="shared" si="69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7"/>
        <v>0.11</v>
      </c>
      <c r="C187" s="124">
        <v>0.11</v>
      </c>
      <c r="D187" s="123">
        <f t="shared" si="68"/>
        <v>0.11</v>
      </c>
      <c r="E187" s="123">
        <f t="shared" si="68"/>
        <v>0.11</v>
      </c>
      <c r="F187" s="123">
        <f t="shared" si="68"/>
        <v>0.11</v>
      </c>
      <c r="G187" s="123">
        <f t="shared" si="68"/>
        <v>0.11</v>
      </c>
      <c r="H187" s="123">
        <f t="shared" si="68"/>
        <v>0.11</v>
      </c>
      <c r="I187" s="123">
        <f t="shared" si="68"/>
        <v>0.11</v>
      </c>
      <c r="J187" s="123">
        <f t="shared" si="68"/>
        <v>0.11</v>
      </c>
      <c r="K187" s="123">
        <f t="shared" si="68"/>
        <v>0.11</v>
      </c>
      <c r="L187" s="123">
        <f t="shared" si="68"/>
        <v>0.11</v>
      </c>
      <c r="M187" s="123">
        <f t="shared" si="68"/>
        <v>0.11</v>
      </c>
      <c r="N187" s="123">
        <f t="shared" si="68"/>
        <v>0.11</v>
      </c>
      <c r="O187" s="123">
        <f t="shared" si="68"/>
        <v>0.11</v>
      </c>
      <c r="P187" s="123">
        <f t="shared" si="68"/>
        <v>0.11</v>
      </c>
      <c r="Q187" s="123">
        <f t="shared" si="68"/>
        <v>0.11</v>
      </c>
      <c r="R187" s="123">
        <f t="shared" si="68"/>
        <v>0.11</v>
      </c>
      <c r="S187" s="123">
        <f t="shared" si="68"/>
        <v>0.11</v>
      </c>
      <c r="T187" s="123">
        <f t="shared" si="69"/>
        <v>0.11</v>
      </c>
      <c r="U187" s="123">
        <f t="shared" si="69"/>
        <v>0.11</v>
      </c>
      <c r="V187" s="123">
        <f t="shared" si="69"/>
        <v>0.11</v>
      </c>
      <c r="W187" s="123">
        <f t="shared" si="69"/>
        <v>0.11</v>
      </c>
      <c r="X187" s="123">
        <f t="shared" si="69"/>
        <v>0.11</v>
      </c>
      <c r="Y187" s="123">
        <f t="shared" si="69"/>
        <v>0.11</v>
      </c>
      <c r="Z187" s="123">
        <f t="shared" si="69"/>
        <v>0.11</v>
      </c>
      <c r="AA187" s="123">
        <f t="shared" si="69"/>
        <v>0.11</v>
      </c>
      <c r="AB187" s="123">
        <f t="shared" si="69"/>
        <v>0.11</v>
      </c>
      <c r="AC187" s="123">
        <f t="shared" si="69"/>
        <v>0.11</v>
      </c>
      <c r="AD187" s="123">
        <f t="shared" si="69"/>
        <v>0.11</v>
      </c>
      <c r="AE187" s="123">
        <f t="shared" si="69"/>
        <v>0.11</v>
      </c>
      <c r="AF187" s="123">
        <f t="shared" si="69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7"/>
        <v>0.1</v>
      </c>
      <c r="C188" s="124">
        <v>0.1</v>
      </c>
      <c r="D188" s="123">
        <f t="shared" si="68"/>
        <v>0.1</v>
      </c>
      <c r="E188" s="123">
        <f t="shared" si="68"/>
        <v>0.1</v>
      </c>
      <c r="F188" s="123">
        <f t="shared" si="68"/>
        <v>0.1</v>
      </c>
      <c r="G188" s="123">
        <f t="shared" si="68"/>
        <v>0.1</v>
      </c>
      <c r="H188" s="123">
        <f t="shared" si="68"/>
        <v>0.1</v>
      </c>
      <c r="I188" s="123">
        <f t="shared" si="68"/>
        <v>0.1</v>
      </c>
      <c r="J188" s="123">
        <f t="shared" si="68"/>
        <v>0.1</v>
      </c>
      <c r="K188" s="123">
        <f t="shared" si="68"/>
        <v>0.1</v>
      </c>
      <c r="L188" s="123">
        <f t="shared" si="68"/>
        <v>0.1</v>
      </c>
      <c r="M188" s="123">
        <f t="shared" si="68"/>
        <v>0.1</v>
      </c>
      <c r="N188" s="123">
        <f t="shared" si="68"/>
        <v>0.1</v>
      </c>
      <c r="O188" s="123">
        <f t="shared" si="68"/>
        <v>0.1</v>
      </c>
      <c r="P188" s="123">
        <f t="shared" si="68"/>
        <v>0.1</v>
      </c>
      <c r="Q188" s="123">
        <f t="shared" si="68"/>
        <v>0.1</v>
      </c>
      <c r="R188" s="123">
        <f t="shared" si="68"/>
        <v>0.1</v>
      </c>
      <c r="S188" s="123">
        <f t="shared" si="69"/>
        <v>0.1</v>
      </c>
      <c r="T188" s="123">
        <f t="shared" si="69"/>
        <v>0.1</v>
      </c>
      <c r="U188" s="123">
        <f t="shared" si="69"/>
        <v>0.1</v>
      </c>
      <c r="V188" s="123">
        <f t="shared" si="69"/>
        <v>0.1</v>
      </c>
      <c r="W188" s="123">
        <f t="shared" si="69"/>
        <v>0.1</v>
      </c>
      <c r="X188" s="123">
        <f t="shared" si="69"/>
        <v>0.1</v>
      </c>
      <c r="Y188" s="123">
        <f t="shared" si="69"/>
        <v>0.1</v>
      </c>
      <c r="Z188" s="123">
        <f t="shared" si="69"/>
        <v>0.1</v>
      </c>
      <c r="AA188" s="123">
        <f t="shared" si="69"/>
        <v>0.1</v>
      </c>
      <c r="AB188" s="123">
        <f t="shared" si="69"/>
        <v>0.1</v>
      </c>
      <c r="AC188" s="123">
        <f t="shared" si="69"/>
        <v>0.1</v>
      </c>
      <c r="AD188" s="123">
        <f t="shared" si="69"/>
        <v>0.1</v>
      </c>
      <c r="AE188" s="123">
        <f t="shared" si="69"/>
        <v>0.1</v>
      </c>
      <c r="AF188" s="123">
        <f t="shared" si="69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7"/>
        <v>0.09</v>
      </c>
      <c r="C189" s="124">
        <v>0.09</v>
      </c>
      <c r="D189" s="123">
        <f t="shared" si="68"/>
        <v>0.09</v>
      </c>
      <c r="E189" s="123">
        <f t="shared" si="68"/>
        <v>0.09</v>
      </c>
      <c r="F189" s="123">
        <f t="shared" si="68"/>
        <v>0.09</v>
      </c>
      <c r="G189" s="123">
        <f t="shared" si="68"/>
        <v>0.09</v>
      </c>
      <c r="H189" s="123">
        <f t="shared" si="68"/>
        <v>0.09</v>
      </c>
      <c r="I189" s="123">
        <f t="shared" si="68"/>
        <v>0.09</v>
      </c>
      <c r="J189" s="123">
        <f t="shared" si="68"/>
        <v>0.09</v>
      </c>
      <c r="K189" s="123">
        <f t="shared" si="68"/>
        <v>0.09</v>
      </c>
      <c r="L189" s="123">
        <f t="shared" si="68"/>
        <v>0.09</v>
      </c>
      <c r="M189" s="123">
        <f t="shared" si="68"/>
        <v>0.09</v>
      </c>
      <c r="N189" s="123">
        <f t="shared" si="68"/>
        <v>0.09</v>
      </c>
      <c r="O189" s="123">
        <f t="shared" si="68"/>
        <v>0.09</v>
      </c>
      <c r="P189" s="123">
        <f t="shared" si="68"/>
        <v>0.09</v>
      </c>
      <c r="Q189" s="123">
        <f t="shared" si="68"/>
        <v>0.09</v>
      </c>
      <c r="R189" s="123">
        <f t="shared" si="68"/>
        <v>0.09</v>
      </c>
      <c r="S189" s="123">
        <f t="shared" si="69"/>
        <v>0.09</v>
      </c>
      <c r="T189" s="123">
        <f t="shared" si="69"/>
        <v>0.09</v>
      </c>
      <c r="U189" s="123">
        <f t="shared" si="69"/>
        <v>0.09</v>
      </c>
      <c r="V189" s="123">
        <f t="shared" si="69"/>
        <v>0.09</v>
      </c>
      <c r="W189" s="123">
        <f t="shared" si="69"/>
        <v>0.09</v>
      </c>
      <c r="X189" s="123">
        <f t="shared" si="69"/>
        <v>0.09</v>
      </c>
      <c r="Y189" s="123">
        <f t="shared" si="69"/>
        <v>0.09</v>
      </c>
      <c r="Z189" s="123">
        <f t="shared" si="69"/>
        <v>0.09</v>
      </c>
      <c r="AA189" s="123">
        <f t="shared" si="69"/>
        <v>0.09</v>
      </c>
      <c r="AB189" s="123">
        <f t="shared" si="69"/>
        <v>0.09</v>
      </c>
      <c r="AC189" s="123">
        <f t="shared" si="69"/>
        <v>0.09</v>
      </c>
      <c r="AD189" s="123">
        <f t="shared" si="69"/>
        <v>0.09</v>
      </c>
      <c r="AE189" s="123">
        <f t="shared" si="69"/>
        <v>0.09</v>
      </c>
      <c r="AF189" s="123">
        <f t="shared" si="69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7"/>
        <v>0.04</v>
      </c>
      <c r="C190" s="54">
        <v>0.04</v>
      </c>
      <c r="D190" s="123">
        <f t="shared" si="68"/>
        <v>0.04</v>
      </c>
      <c r="E190" s="123">
        <f t="shared" si="68"/>
        <v>0.04</v>
      </c>
      <c r="F190" s="123">
        <f t="shared" si="68"/>
        <v>0.04</v>
      </c>
      <c r="G190" s="123">
        <f t="shared" si="68"/>
        <v>0.04</v>
      </c>
      <c r="H190" s="123">
        <f t="shared" si="68"/>
        <v>0.04</v>
      </c>
      <c r="I190" s="123">
        <f t="shared" si="68"/>
        <v>0.04</v>
      </c>
      <c r="J190" s="123">
        <f t="shared" si="68"/>
        <v>0.04</v>
      </c>
      <c r="K190" s="123">
        <f t="shared" si="68"/>
        <v>0.04</v>
      </c>
      <c r="L190" s="123">
        <f t="shared" si="68"/>
        <v>0.04</v>
      </c>
      <c r="M190" s="123">
        <f t="shared" si="68"/>
        <v>0.04</v>
      </c>
      <c r="N190" s="123">
        <f t="shared" si="68"/>
        <v>0.04</v>
      </c>
      <c r="O190" s="123">
        <f t="shared" si="68"/>
        <v>0.04</v>
      </c>
      <c r="P190" s="123">
        <f t="shared" si="68"/>
        <v>0.04</v>
      </c>
      <c r="Q190" s="123">
        <f t="shared" si="68"/>
        <v>0.04</v>
      </c>
      <c r="R190" s="123">
        <f t="shared" si="68"/>
        <v>0.04</v>
      </c>
      <c r="S190" s="123">
        <f t="shared" si="69"/>
        <v>0.04</v>
      </c>
      <c r="T190" s="123">
        <f t="shared" si="69"/>
        <v>0.04</v>
      </c>
      <c r="U190" s="123">
        <f t="shared" si="69"/>
        <v>0.04</v>
      </c>
      <c r="V190" s="123">
        <f t="shared" si="69"/>
        <v>0.04</v>
      </c>
      <c r="W190" s="123">
        <f t="shared" si="69"/>
        <v>0.04</v>
      </c>
      <c r="X190" s="123">
        <f t="shared" si="69"/>
        <v>0.04</v>
      </c>
      <c r="Y190" s="123">
        <f t="shared" si="69"/>
        <v>0.04</v>
      </c>
      <c r="Z190" s="123">
        <f t="shared" si="69"/>
        <v>0.04</v>
      </c>
      <c r="AA190" s="123">
        <f t="shared" si="69"/>
        <v>0.04</v>
      </c>
      <c r="AB190" s="123">
        <f t="shared" si="69"/>
        <v>0.04</v>
      </c>
      <c r="AC190" s="123">
        <f t="shared" si="69"/>
        <v>0.04</v>
      </c>
      <c r="AD190" s="123">
        <f t="shared" si="69"/>
        <v>0.04</v>
      </c>
      <c r="AE190" s="123">
        <f t="shared" si="69"/>
        <v>0.04</v>
      </c>
      <c r="AF190" s="123">
        <f t="shared" si="69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7"/>
        <v>2.3E-2</v>
      </c>
      <c r="C191" s="54">
        <v>2.3E-2</v>
      </c>
      <c r="D191" s="123">
        <f>C191</f>
        <v>2.3E-2</v>
      </c>
      <c r="E191" s="123">
        <f t="shared" si="68"/>
        <v>2.3E-2</v>
      </c>
      <c r="F191" s="123">
        <f t="shared" si="68"/>
        <v>2.3E-2</v>
      </c>
      <c r="G191" s="123">
        <f t="shared" si="68"/>
        <v>2.3E-2</v>
      </c>
      <c r="H191" s="123">
        <f t="shared" si="68"/>
        <v>2.3E-2</v>
      </c>
      <c r="I191" s="123">
        <f t="shared" si="68"/>
        <v>2.3E-2</v>
      </c>
      <c r="J191" s="123">
        <f t="shared" si="68"/>
        <v>2.3E-2</v>
      </c>
      <c r="K191" s="123">
        <f t="shared" si="68"/>
        <v>2.3E-2</v>
      </c>
      <c r="L191" s="123">
        <f t="shared" si="68"/>
        <v>2.3E-2</v>
      </c>
      <c r="M191" s="123">
        <f t="shared" si="68"/>
        <v>2.3E-2</v>
      </c>
      <c r="N191" s="123">
        <f t="shared" si="68"/>
        <v>2.3E-2</v>
      </c>
      <c r="O191" s="123">
        <f t="shared" si="68"/>
        <v>2.3E-2</v>
      </c>
      <c r="P191" s="123">
        <f t="shared" si="68"/>
        <v>2.3E-2</v>
      </c>
      <c r="Q191" s="123">
        <f t="shared" si="68"/>
        <v>2.3E-2</v>
      </c>
      <c r="R191" s="123">
        <f t="shared" si="68"/>
        <v>2.3E-2</v>
      </c>
      <c r="S191" s="123">
        <f t="shared" si="69"/>
        <v>2.3E-2</v>
      </c>
      <c r="T191" s="123">
        <f t="shared" si="69"/>
        <v>2.3E-2</v>
      </c>
      <c r="U191" s="123">
        <f t="shared" si="69"/>
        <v>2.3E-2</v>
      </c>
      <c r="V191" s="123">
        <f t="shared" si="69"/>
        <v>2.3E-2</v>
      </c>
      <c r="W191" s="123">
        <f t="shared" si="69"/>
        <v>2.3E-2</v>
      </c>
      <c r="X191" s="123">
        <f t="shared" si="69"/>
        <v>2.3E-2</v>
      </c>
      <c r="Y191" s="123">
        <f t="shared" si="69"/>
        <v>2.3E-2</v>
      </c>
      <c r="Z191" s="123">
        <f t="shared" si="69"/>
        <v>2.3E-2</v>
      </c>
      <c r="AA191" s="123">
        <f t="shared" si="69"/>
        <v>2.3E-2</v>
      </c>
      <c r="AB191" s="123">
        <f t="shared" si="69"/>
        <v>2.3E-2</v>
      </c>
      <c r="AC191" s="123">
        <f t="shared" si="69"/>
        <v>2.3E-2</v>
      </c>
      <c r="AD191" s="123">
        <f t="shared" si="69"/>
        <v>2.3E-2</v>
      </c>
      <c r="AE191" s="123">
        <f t="shared" si="69"/>
        <v>2.3E-2</v>
      </c>
      <c r="AF191" s="123">
        <f t="shared" si="69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70">SUM(C102:C191)</f>
        <v>194.70600000000002</v>
      </c>
      <c r="D192" s="128">
        <f t="shared" si="70"/>
        <v>194.70600000000002</v>
      </c>
      <c r="E192" s="128">
        <f t="shared" si="70"/>
        <v>194.70600000000002</v>
      </c>
      <c r="F192" s="128">
        <f t="shared" si="70"/>
        <v>194.70600000000002</v>
      </c>
      <c r="G192" s="128">
        <f t="shared" si="70"/>
        <v>194.70600000000002</v>
      </c>
      <c r="H192" s="128">
        <f t="shared" si="70"/>
        <v>194.70600000000002</v>
      </c>
      <c r="I192" s="128">
        <f t="shared" si="70"/>
        <v>189.70600000000005</v>
      </c>
      <c r="J192" s="128">
        <f t="shared" si="70"/>
        <v>187.10600000000005</v>
      </c>
      <c r="K192" s="128">
        <f t="shared" si="70"/>
        <v>187.10600000000005</v>
      </c>
      <c r="L192" s="128">
        <f t="shared" si="70"/>
        <v>187.10600000000005</v>
      </c>
      <c r="M192" s="128">
        <f t="shared" si="70"/>
        <v>187.10600000000005</v>
      </c>
      <c r="N192" s="128">
        <f t="shared" si="70"/>
        <v>187.10600000000005</v>
      </c>
      <c r="O192" s="128">
        <f t="shared" si="70"/>
        <v>187.10600000000005</v>
      </c>
      <c r="P192" s="128">
        <f t="shared" si="70"/>
        <v>187.10600000000005</v>
      </c>
      <c r="Q192" s="128">
        <f t="shared" si="70"/>
        <v>187.10600000000005</v>
      </c>
      <c r="R192" s="128">
        <f t="shared" si="70"/>
        <v>187.10600000000005</v>
      </c>
      <c r="S192" s="128">
        <f t="shared" si="70"/>
        <v>187.10600000000005</v>
      </c>
      <c r="T192" s="128">
        <f t="shared" si="70"/>
        <v>187.10600000000005</v>
      </c>
      <c r="U192" s="128">
        <f t="shared" si="70"/>
        <v>187.10600000000005</v>
      </c>
      <c r="V192" s="128">
        <f t="shared" si="70"/>
        <v>187.10600000000005</v>
      </c>
      <c r="W192" s="128">
        <f t="shared" si="70"/>
        <v>187.10600000000005</v>
      </c>
      <c r="X192" s="128">
        <f t="shared" si="70"/>
        <v>187.10600000000005</v>
      </c>
      <c r="Y192" s="128">
        <f t="shared" si="70"/>
        <v>187.10600000000005</v>
      </c>
      <c r="Z192" s="128">
        <f t="shared" si="70"/>
        <v>187.10600000000005</v>
      </c>
      <c r="AA192" s="128">
        <f t="shared" si="70"/>
        <v>187.10600000000005</v>
      </c>
      <c r="AB192" s="128">
        <f t="shared" si="70"/>
        <v>187.10600000000005</v>
      </c>
      <c r="AC192" s="128">
        <f t="shared" si="70"/>
        <v>187.10600000000005</v>
      </c>
      <c r="AD192" s="128">
        <f t="shared" si="70"/>
        <v>187.10600000000005</v>
      </c>
      <c r="AE192" s="128">
        <f t="shared" si="70"/>
        <v>187.10600000000005</v>
      </c>
      <c r="AF192" s="128">
        <f t="shared" si="70"/>
        <v>187.10600000000005</v>
      </c>
      <c r="AG192" s="129">
        <f t="shared" si="70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71">AF194</f>
        <v>0.3</v>
      </c>
      <c r="C194" s="130">
        <v>0.3</v>
      </c>
      <c r="D194" s="130">
        <f t="shared" ref="D194:S199" si="72">C194</f>
        <v>0.3</v>
      </c>
      <c r="E194" s="130">
        <f t="shared" si="72"/>
        <v>0.3</v>
      </c>
      <c r="F194" s="130">
        <f t="shared" si="72"/>
        <v>0.3</v>
      </c>
      <c r="G194" s="130">
        <f t="shared" si="72"/>
        <v>0.3</v>
      </c>
      <c r="H194" s="130">
        <f t="shared" si="72"/>
        <v>0.3</v>
      </c>
      <c r="I194" s="130">
        <f t="shared" si="72"/>
        <v>0.3</v>
      </c>
      <c r="J194" s="130">
        <f t="shared" si="72"/>
        <v>0.3</v>
      </c>
      <c r="K194" s="130">
        <f t="shared" si="72"/>
        <v>0.3</v>
      </c>
      <c r="L194" s="130">
        <f t="shared" si="72"/>
        <v>0.3</v>
      </c>
      <c r="M194" s="130">
        <f t="shared" si="72"/>
        <v>0.3</v>
      </c>
      <c r="N194" s="130">
        <f t="shared" si="72"/>
        <v>0.3</v>
      </c>
      <c r="O194" s="130">
        <f t="shared" si="72"/>
        <v>0.3</v>
      </c>
      <c r="P194" s="130">
        <f t="shared" si="72"/>
        <v>0.3</v>
      </c>
      <c r="Q194" s="130">
        <f t="shared" si="72"/>
        <v>0.3</v>
      </c>
      <c r="R194" s="130">
        <f t="shared" si="72"/>
        <v>0.3</v>
      </c>
      <c r="S194" s="130">
        <f t="shared" si="72"/>
        <v>0.3</v>
      </c>
      <c r="T194" s="130">
        <f t="shared" ref="T194:AF199" si="73">S194</f>
        <v>0.3</v>
      </c>
      <c r="U194" s="130">
        <f t="shared" si="73"/>
        <v>0.3</v>
      </c>
      <c r="V194" s="130">
        <f t="shared" si="73"/>
        <v>0.3</v>
      </c>
      <c r="W194" s="130">
        <f t="shared" si="73"/>
        <v>0.3</v>
      </c>
      <c r="X194" s="130">
        <f t="shared" si="73"/>
        <v>0.3</v>
      </c>
      <c r="Y194" s="130">
        <f t="shared" si="73"/>
        <v>0.3</v>
      </c>
      <c r="Z194" s="130">
        <f t="shared" si="73"/>
        <v>0.3</v>
      </c>
      <c r="AA194" s="130">
        <f t="shared" si="73"/>
        <v>0.3</v>
      </c>
      <c r="AB194" s="130">
        <f t="shared" si="73"/>
        <v>0.3</v>
      </c>
      <c r="AC194" s="130">
        <f t="shared" si="73"/>
        <v>0.3</v>
      </c>
      <c r="AD194" s="130">
        <f t="shared" si="73"/>
        <v>0.3</v>
      </c>
      <c r="AE194" s="130">
        <f t="shared" si="73"/>
        <v>0.3</v>
      </c>
      <c r="AF194" s="130">
        <f t="shared" si="73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71"/>
        <v>0.4</v>
      </c>
      <c r="C195" s="123">
        <v>0.4</v>
      </c>
      <c r="D195" s="123">
        <f t="shared" si="72"/>
        <v>0.4</v>
      </c>
      <c r="E195" s="123">
        <f t="shared" si="72"/>
        <v>0.4</v>
      </c>
      <c r="F195" s="123">
        <f t="shared" si="72"/>
        <v>0.4</v>
      </c>
      <c r="G195" s="123">
        <f t="shared" si="72"/>
        <v>0.4</v>
      </c>
      <c r="H195" s="123">
        <f t="shared" si="72"/>
        <v>0.4</v>
      </c>
      <c r="I195" s="123">
        <f t="shared" si="72"/>
        <v>0.4</v>
      </c>
      <c r="J195" s="123">
        <f t="shared" si="72"/>
        <v>0.4</v>
      </c>
      <c r="K195" s="123">
        <f t="shared" si="72"/>
        <v>0.4</v>
      </c>
      <c r="L195" s="123">
        <f t="shared" si="72"/>
        <v>0.4</v>
      </c>
      <c r="M195" s="123">
        <f t="shared" si="72"/>
        <v>0.4</v>
      </c>
      <c r="N195" s="123">
        <f t="shared" si="72"/>
        <v>0.4</v>
      </c>
      <c r="O195" s="123">
        <f t="shared" si="72"/>
        <v>0.4</v>
      </c>
      <c r="P195" s="123">
        <f t="shared" si="72"/>
        <v>0.4</v>
      </c>
      <c r="Q195" s="123">
        <f t="shared" si="72"/>
        <v>0.4</v>
      </c>
      <c r="R195" s="123">
        <f t="shared" si="72"/>
        <v>0.4</v>
      </c>
      <c r="S195" s="123">
        <f t="shared" si="72"/>
        <v>0.4</v>
      </c>
      <c r="T195" s="123">
        <f t="shared" si="73"/>
        <v>0.4</v>
      </c>
      <c r="U195" s="123">
        <f t="shared" si="73"/>
        <v>0.4</v>
      </c>
      <c r="V195" s="123">
        <f t="shared" si="73"/>
        <v>0.4</v>
      </c>
      <c r="W195" s="123">
        <f>V195</f>
        <v>0.4</v>
      </c>
      <c r="X195" s="123">
        <f>W195</f>
        <v>0.4</v>
      </c>
      <c r="Y195" s="123">
        <f t="shared" si="73"/>
        <v>0.4</v>
      </c>
      <c r="Z195" s="123">
        <f t="shared" si="73"/>
        <v>0.4</v>
      </c>
      <c r="AA195" s="123">
        <f t="shared" si="73"/>
        <v>0.4</v>
      </c>
      <c r="AB195" s="123">
        <f t="shared" si="73"/>
        <v>0.4</v>
      </c>
      <c r="AC195" s="123">
        <f t="shared" si="73"/>
        <v>0.4</v>
      </c>
      <c r="AD195" s="123">
        <f t="shared" si="73"/>
        <v>0.4</v>
      </c>
      <c r="AE195" s="123">
        <f t="shared" si="73"/>
        <v>0.4</v>
      </c>
      <c r="AF195" s="123">
        <f t="shared" si="73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71"/>
        <v>1.5</v>
      </c>
      <c r="C196" s="123">
        <v>1.5</v>
      </c>
      <c r="D196" s="123">
        <f t="shared" si="72"/>
        <v>1.5</v>
      </c>
      <c r="E196" s="123">
        <f t="shared" si="72"/>
        <v>1.5</v>
      </c>
      <c r="F196" s="123">
        <f t="shared" si="72"/>
        <v>1.5</v>
      </c>
      <c r="G196" s="123">
        <f t="shared" si="72"/>
        <v>1.5</v>
      </c>
      <c r="H196" s="123">
        <f t="shared" si="72"/>
        <v>1.5</v>
      </c>
      <c r="I196" s="123">
        <f t="shared" si="72"/>
        <v>1.5</v>
      </c>
      <c r="J196" s="123">
        <f t="shared" si="72"/>
        <v>1.5</v>
      </c>
      <c r="K196" s="123">
        <f t="shared" si="72"/>
        <v>1.5</v>
      </c>
      <c r="L196" s="123">
        <f t="shared" si="72"/>
        <v>1.5</v>
      </c>
      <c r="M196" s="123">
        <f t="shared" si="72"/>
        <v>1.5</v>
      </c>
      <c r="N196" s="123">
        <f t="shared" si="72"/>
        <v>1.5</v>
      </c>
      <c r="O196" s="123">
        <f t="shared" si="72"/>
        <v>1.5</v>
      </c>
      <c r="P196" s="123">
        <f t="shared" si="72"/>
        <v>1.5</v>
      </c>
      <c r="Q196" s="123">
        <f t="shared" si="72"/>
        <v>1.5</v>
      </c>
      <c r="R196" s="123">
        <f t="shared" si="72"/>
        <v>1.5</v>
      </c>
      <c r="S196" s="123">
        <f t="shared" si="72"/>
        <v>1.5</v>
      </c>
      <c r="T196" s="123">
        <f t="shared" si="73"/>
        <v>1.5</v>
      </c>
      <c r="U196" s="123">
        <f t="shared" si="73"/>
        <v>1.5</v>
      </c>
      <c r="V196" s="123">
        <f t="shared" si="73"/>
        <v>1.5</v>
      </c>
      <c r="W196" s="123">
        <f t="shared" si="73"/>
        <v>1.5</v>
      </c>
      <c r="X196" s="123">
        <f t="shared" si="73"/>
        <v>1.5</v>
      </c>
      <c r="Y196" s="123">
        <f t="shared" si="73"/>
        <v>1.5</v>
      </c>
      <c r="Z196" s="123">
        <f t="shared" si="73"/>
        <v>1.5</v>
      </c>
      <c r="AA196" s="123">
        <f t="shared" si="73"/>
        <v>1.5</v>
      </c>
      <c r="AB196" s="123">
        <f t="shared" si="73"/>
        <v>1.5</v>
      </c>
      <c r="AC196" s="123">
        <f t="shared" si="73"/>
        <v>1.5</v>
      </c>
      <c r="AD196" s="123">
        <f t="shared" si="73"/>
        <v>1.5</v>
      </c>
      <c r="AE196" s="123">
        <f t="shared" si="73"/>
        <v>1.5</v>
      </c>
      <c r="AF196" s="123">
        <f t="shared" si="73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71"/>
        <v>0.3</v>
      </c>
      <c r="C197" s="123">
        <v>0.3</v>
      </c>
      <c r="D197" s="123">
        <f t="shared" si="72"/>
        <v>0.3</v>
      </c>
      <c r="E197" s="123">
        <f t="shared" si="72"/>
        <v>0.3</v>
      </c>
      <c r="F197" s="123">
        <f t="shared" si="72"/>
        <v>0.3</v>
      </c>
      <c r="G197" s="123">
        <f t="shared" si="72"/>
        <v>0.3</v>
      </c>
      <c r="H197" s="123">
        <f t="shared" si="72"/>
        <v>0.3</v>
      </c>
      <c r="I197" s="123">
        <f t="shared" si="72"/>
        <v>0.3</v>
      </c>
      <c r="J197" s="123">
        <f t="shared" si="72"/>
        <v>0.3</v>
      </c>
      <c r="K197" s="123">
        <f t="shared" si="72"/>
        <v>0.3</v>
      </c>
      <c r="L197" s="123">
        <f t="shared" si="72"/>
        <v>0.3</v>
      </c>
      <c r="M197" s="123">
        <f t="shared" si="72"/>
        <v>0.3</v>
      </c>
      <c r="N197" s="123">
        <f t="shared" si="72"/>
        <v>0.3</v>
      </c>
      <c r="O197" s="123">
        <f t="shared" si="72"/>
        <v>0.3</v>
      </c>
      <c r="P197" s="123">
        <f t="shared" si="72"/>
        <v>0.3</v>
      </c>
      <c r="Q197" s="123">
        <f t="shared" si="72"/>
        <v>0.3</v>
      </c>
      <c r="R197" s="123">
        <f t="shared" si="72"/>
        <v>0.3</v>
      </c>
      <c r="S197" s="123">
        <f t="shared" si="72"/>
        <v>0.3</v>
      </c>
      <c r="T197" s="123">
        <f t="shared" si="73"/>
        <v>0.3</v>
      </c>
      <c r="U197" s="123">
        <f t="shared" si="73"/>
        <v>0.3</v>
      </c>
      <c r="V197" s="123">
        <f t="shared" si="73"/>
        <v>0.3</v>
      </c>
      <c r="W197" s="123">
        <f t="shared" si="73"/>
        <v>0.3</v>
      </c>
      <c r="X197" s="123">
        <f t="shared" si="73"/>
        <v>0.3</v>
      </c>
      <c r="Y197" s="123">
        <f t="shared" si="73"/>
        <v>0.3</v>
      </c>
      <c r="Z197" s="123">
        <f t="shared" si="73"/>
        <v>0.3</v>
      </c>
      <c r="AA197" s="123">
        <f t="shared" si="73"/>
        <v>0.3</v>
      </c>
      <c r="AB197" s="123">
        <f t="shared" si="73"/>
        <v>0.3</v>
      </c>
      <c r="AC197" s="123">
        <f t="shared" si="73"/>
        <v>0.3</v>
      </c>
      <c r="AD197" s="123">
        <f t="shared" si="73"/>
        <v>0.3</v>
      </c>
      <c r="AE197" s="123">
        <f t="shared" si="73"/>
        <v>0.3</v>
      </c>
      <c r="AF197" s="123">
        <f t="shared" si="73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71"/>
        <v>0.4</v>
      </c>
      <c r="C198" s="123">
        <v>0.4</v>
      </c>
      <c r="D198" s="123">
        <f t="shared" si="72"/>
        <v>0.4</v>
      </c>
      <c r="E198" s="123">
        <f t="shared" si="72"/>
        <v>0.4</v>
      </c>
      <c r="F198" s="123">
        <f t="shared" si="72"/>
        <v>0.4</v>
      </c>
      <c r="G198" s="123">
        <f t="shared" si="72"/>
        <v>0.4</v>
      </c>
      <c r="H198" s="123">
        <f t="shared" si="72"/>
        <v>0.4</v>
      </c>
      <c r="I198" s="123">
        <f t="shared" si="72"/>
        <v>0.4</v>
      </c>
      <c r="J198" s="123">
        <f t="shared" si="72"/>
        <v>0.4</v>
      </c>
      <c r="K198" s="123">
        <f t="shared" si="72"/>
        <v>0.4</v>
      </c>
      <c r="L198" s="123">
        <f t="shared" si="72"/>
        <v>0.4</v>
      </c>
      <c r="M198" s="123">
        <f t="shared" si="72"/>
        <v>0.4</v>
      </c>
      <c r="N198" s="123">
        <f t="shared" si="72"/>
        <v>0.4</v>
      </c>
      <c r="O198" s="123">
        <f t="shared" si="72"/>
        <v>0.4</v>
      </c>
      <c r="P198" s="123">
        <f t="shared" si="72"/>
        <v>0.4</v>
      </c>
      <c r="Q198" s="123">
        <f t="shared" si="72"/>
        <v>0.4</v>
      </c>
      <c r="R198" s="123">
        <f t="shared" si="72"/>
        <v>0.4</v>
      </c>
      <c r="S198" s="123">
        <f t="shared" si="72"/>
        <v>0.4</v>
      </c>
      <c r="T198" s="123">
        <f t="shared" si="73"/>
        <v>0.4</v>
      </c>
      <c r="U198" s="123">
        <f t="shared" si="73"/>
        <v>0.4</v>
      </c>
      <c r="V198" s="123">
        <f t="shared" si="73"/>
        <v>0.4</v>
      </c>
      <c r="W198" s="123">
        <f t="shared" si="73"/>
        <v>0.4</v>
      </c>
      <c r="X198" s="123">
        <f t="shared" si="73"/>
        <v>0.4</v>
      </c>
      <c r="Y198" s="123">
        <f t="shared" si="73"/>
        <v>0.4</v>
      </c>
      <c r="Z198" s="123">
        <f t="shared" si="73"/>
        <v>0.4</v>
      </c>
      <c r="AA198" s="123">
        <f t="shared" si="73"/>
        <v>0.4</v>
      </c>
      <c r="AB198" s="123">
        <f t="shared" si="73"/>
        <v>0.4</v>
      </c>
      <c r="AC198" s="123">
        <f t="shared" si="73"/>
        <v>0.4</v>
      </c>
      <c r="AD198" s="123">
        <f t="shared" si="73"/>
        <v>0.4</v>
      </c>
      <c r="AE198" s="123">
        <f t="shared" si="73"/>
        <v>0.4</v>
      </c>
      <c r="AF198" s="123">
        <f t="shared" si="73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71"/>
        <v>0.64</v>
      </c>
      <c r="C199" s="133">
        <v>0.64</v>
      </c>
      <c r="D199" s="133">
        <f t="shared" si="72"/>
        <v>0.64</v>
      </c>
      <c r="E199" s="133">
        <f t="shared" si="72"/>
        <v>0.64</v>
      </c>
      <c r="F199" s="133">
        <f t="shared" si="72"/>
        <v>0.64</v>
      </c>
      <c r="G199" s="133">
        <f t="shared" si="72"/>
        <v>0.64</v>
      </c>
      <c r="H199" s="133">
        <f t="shared" si="72"/>
        <v>0.64</v>
      </c>
      <c r="I199" s="133">
        <f t="shared" si="72"/>
        <v>0.64</v>
      </c>
      <c r="J199" s="133">
        <f t="shared" si="72"/>
        <v>0.64</v>
      </c>
      <c r="K199" s="133">
        <f t="shared" si="72"/>
        <v>0.64</v>
      </c>
      <c r="L199" s="133">
        <f t="shared" si="72"/>
        <v>0.64</v>
      </c>
      <c r="M199" s="133">
        <f t="shared" si="72"/>
        <v>0.64</v>
      </c>
      <c r="N199" s="133">
        <f t="shared" si="72"/>
        <v>0.64</v>
      </c>
      <c r="O199" s="133">
        <f t="shared" si="72"/>
        <v>0.64</v>
      </c>
      <c r="P199" s="133">
        <f t="shared" si="72"/>
        <v>0.64</v>
      </c>
      <c r="Q199" s="133">
        <f t="shared" si="72"/>
        <v>0.64</v>
      </c>
      <c r="R199" s="133">
        <f t="shared" si="72"/>
        <v>0.64</v>
      </c>
      <c r="S199" s="133">
        <f t="shared" si="72"/>
        <v>0.64</v>
      </c>
      <c r="T199" s="133">
        <f t="shared" si="73"/>
        <v>0.64</v>
      </c>
      <c r="U199" s="133">
        <f t="shared" si="73"/>
        <v>0.64</v>
      </c>
      <c r="V199" s="133">
        <f t="shared" si="73"/>
        <v>0.64</v>
      </c>
      <c r="W199" s="133">
        <f t="shared" si="73"/>
        <v>0.64</v>
      </c>
      <c r="X199" s="133">
        <f t="shared" si="73"/>
        <v>0.64</v>
      </c>
      <c r="Y199" s="133">
        <f t="shared" si="73"/>
        <v>0.64</v>
      </c>
      <c r="Z199" s="133">
        <f t="shared" si="73"/>
        <v>0.64</v>
      </c>
      <c r="AA199" s="133">
        <f t="shared" si="73"/>
        <v>0.64</v>
      </c>
      <c r="AB199" s="133">
        <f t="shared" si="73"/>
        <v>0.64</v>
      </c>
      <c r="AC199" s="133">
        <f t="shared" si="73"/>
        <v>0.64</v>
      </c>
      <c r="AD199" s="133">
        <f t="shared" si="73"/>
        <v>0.64</v>
      </c>
      <c r="AE199" s="133">
        <f t="shared" si="73"/>
        <v>0.64</v>
      </c>
      <c r="AF199" s="133">
        <f t="shared" si="73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4">SUM(D194:D199)</f>
        <v>3.54</v>
      </c>
      <c r="E200" s="136">
        <f t="shared" si="74"/>
        <v>3.54</v>
      </c>
      <c r="F200" s="136">
        <f t="shared" si="74"/>
        <v>3.54</v>
      </c>
      <c r="G200" s="136">
        <f t="shared" si="74"/>
        <v>3.54</v>
      </c>
      <c r="H200" s="136">
        <f t="shared" si="74"/>
        <v>3.54</v>
      </c>
      <c r="I200" s="136">
        <f t="shared" si="74"/>
        <v>3.54</v>
      </c>
      <c r="J200" s="136">
        <f t="shared" si="74"/>
        <v>3.54</v>
      </c>
      <c r="K200" s="136">
        <f t="shared" si="74"/>
        <v>3.54</v>
      </c>
      <c r="L200" s="136">
        <f t="shared" si="74"/>
        <v>3.54</v>
      </c>
      <c r="M200" s="136">
        <f>SUM(M194:M199)</f>
        <v>3.54</v>
      </c>
      <c r="N200" s="136">
        <f t="shared" ref="N200:S200" si="75">SUM(N194:N199)</f>
        <v>3.54</v>
      </c>
      <c r="O200" s="136">
        <f t="shared" si="75"/>
        <v>3.54</v>
      </c>
      <c r="P200" s="136">
        <f t="shared" si="75"/>
        <v>3.54</v>
      </c>
      <c r="Q200" s="136">
        <f t="shared" si="75"/>
        <v>3.54</v>
      </c>
      <c r="R200" s="136">
        <f t="shared" si="75"/>
        <v>3.54</v>
      </c>
      <c r="S200" s="136">
        <f t="shared" si="75"/>
        <v>3.54</v>
      </c>
      <c r="T200" s="136">
        <f>SUM(T194:T199)</f>
        <v>3.54</v>
      </c>
      <c r="U200" s="136">
        <f t="shared" ref="U200:AG200" si="76">SUM(U194:U199)</f>
        <v>3.54</v>
      </c>
      <c r="V200" s="136">
        <f t="shared" si="76"/>
        <v>3.54</v>
      </c>
      <c r="W200" s="136">
        <f t="shared" si="76"/>
        <v>3.54</v>
      </c>
      <c r="X200" s="136">
        <f t="shared" si="76"/>
        <v>3.54</v>
      </c>
      <c r="Y200" s="136">
        <f t="shared" si="76"/>
        <v>3.54</v>
      </c>
      <c r="Z200" s="136">
        <f t="shared" si="76"/>
        <v>3.54</v>
      </c>
      <c r="AA200" s="136">
        <f t="shared" si="76"/>
        <v>3.54</v>
      </c>
      <c r="AB200" s="136">
        <f t="shared" si="76"/>
        <v>3.54</v>
      </c>
      <c r="AC200" s="136">
        <f t="shared" si="76"/>
        <v>3.54</v>
      </c>
      <c r="AD200" s="136">
        <f t="shared" si="76"/>
        <v>3.54</v>
      </c>
      <c r="AE200" s="136">
        <f t="shared" si="76"/>
        <v>3.54</v>
      </c>
      <c r="AF200" s="136">
        <f t="shared" si="76"/>
        <v>3.54</v>
      </c>
      <c r="AG200" s="137">
        <f t="shared" si="76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1699.37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25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2079/02/25)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2079/02/25)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7">B75</f>
        <v>1760.7399999999998</v>
      </c>
      <c r="U214" s="161">
        <f t="shared" si="77"/>
        <v>1743.0399999999997</v>
      </c>
      <c r="V214" s="161">
        <f t="shared" si="77"/>
        <v>1752.54</v>
      </c>
      <c r="W214" s="161">
        <f t="shared" si="77"/>
        <v>1714.1399999999999</v>
      </c>
      <c r="X214" s="161">
        <f t="shared" si="77"/>
        <v>1669.04</v>
      </c>
      <c r="Y214" s="161">
        <f t="shared" si="77"/>
        <v>1642.04</v>
      </c>
      <c r="Z214" s="161">
        <f t="shared" si="77"/>
        <v>1687.4399999999998</v>
      </c>
      <c r="AA214" s="161">
        <f t="shared" si="77"/>
        <v>1653.54</v>
      </c>
      <c r="AB214" s="161">
        <f t="shared" si="77"/>
        <v>1653.9399999999998</v>
      </c>
      <c r="AC214" s="161">
        <f t="shared" si="77"/>
        <v>1615.6399999999999</v>
      </c>
      <c r="AD214" s="161">
        <f t="shared" si="77"/>
        <v>1619.4399999999998</v>
      </c>
      <c r="AE214" s="161">
        <f t="shared" si="77"/>
        <v>1605.54</v>
      </c>
      <c r="AF214" s="161">
        <f t="shared" si="77"/>
        <v>1699.37</v>
      </c>
      <c r="AG214" s="161">
        <f t="shared" si="77"/>
        <v>1711.84</v>
      </c>
      <c r="AH214" s="161">
        <f t="shared" si="77"/>
        <v>1739.34</v>
      </c>
      <c r="AI214" s="161">
        <f t="shared" si="77"/>
        <v>1752.3400000000001</v>
      </c>
      <c r="AJ214" s="161">
        <f t="shared" si="77"/>
        <v>1712.0400000000004</v>
      </c>
      <c r="AK214" s="161">
        <f t="shared" si="77"/>
        <v>1716.5400000000004</v>
      </c>
      <c r="AL214" s="161">
        <f t="shared" si="77"/>
        <v>1727.8400000000004</v>
      </c>
      <c r="AM214" s="161">
        <f t="shared" si="77"/>
        <v>1719.8400000000001</v>
      </c>
      <c r="AN214" s="161">
        <f t="shared" si="77"/>
        <v>1729.44</v>
      </c>
      <c r="AO214" s="161">
        <f t="shared" si="77"/>
        <v>1723.74</v>
      </c>
      <c r="AP214" s="161">
        <f t="shared" si="77"/>
        <v>1662.0400000000002</v>
      </c>
      <c r="AQ214" s="161">
        <f t="shared" si="77"/>
        <v>1680.8400000000001</v>
      </c>
      <c r="AR214" s="161">
        <f t="shared" si="77"/>
        <v>1668.4399999999998</v>
      </c>
      <c r="AS214" s="161">
        <f t="shared" si="77"/>
        <v>1715.24</v>
      </c>
      <c r="AT214" s="161">
        <f t="shared" si="77"/>
        <v>1764.3400000000001</v>
      </c>
      <c r="AU214" s="161">
        <f t="shared" si="77"/>
        <v>1769.5400000000002</v>
      </c>
      <c r="AV214" s="161">
        <f t="shared" si="77"/>
        <v>1779.4400000000003</v>
      </c>
      <c r="AW214" s="161">
        <f t="shared" si="77"/>
        <v>1781.3400000000001</v>
      </c>
      <c r="AX214" s="161">
        <f t="shared" si="77"/>
        <v>1766.04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8">C199</f>
        <v>0.64</v>
      </c>
      <c r="C235" s="164">
        <f t="shared" si="78"/>
        <v>0.64</v>
      </c>
      <c r="D235" s="164">
        <f t="shared" si="78"/>
        <v>0.64</v>
      </c>
      <c r="E235" s="164">
        <f t="shared" si="78"/>
        <v>0.64</v>
      </c>
      <c r="F235" s="164">
        <f t="shared" si="78"/>
        <v>0.64</v>
      </c>
      <c r="G235" s="164">
        <f t="shared" si="78"/>
        <v>0.64</v>
      </c>
      <c r="H235" s="164">
        <f t="shared" si="78"/>
        <v>0.64</v>
      </c>
      <c r="I235" s="164">
        <f t="shared" si="78"/>
        <v>0.64</v>
      </c>
      <c r="J235" s="164">
        <f t="shared" si="78"/>
        <v>0.64</v>
      </c>
      <c r="K235" s="164">
        <f t="shared" si="78"/>
        <v>0.64</v>
      </c>
      <c r="L235" s="164">
        <f t="shared" si="78"/>
        <v>0.64</v>
      </c>
      <c r="M235" s="164">
        <f t="shared" si="78"/>
        <v>0.64</v>
      </c>
      <c r="N235" s="164">
        <f t="shared" si="78"/>
        <v>0.64</v>
      </c>
      <c r="O235" s="164">
        <f t="shared" si="78"/>
        <v>0.64</v>
      </c>
      <c r="P235" s="164">
        <f t="shared" si="78"/>
        <v>0.64</v>
      </c>
      <c r="Q235" s="164">
        <f t="shared" si="78"/>
        <v>0.64</v>
      </c>
      <c r="R235" s="164">
        <f t="shared" si="78"/>
        <v>0.64</v>
      </c>
      <c r="S235" s="164">
        <f t="shared" si="78"/>
        <v>0.64</v>
      </c>
      <c r="T235" s="164">
        <f t="shared" si="78"/>
        <v>0.64</v>
      </c>
      <c r="U235" s="164">
        <f t="shared" si="78"/>
        <v>0.64</v>
      </c>
      <c r="V235" s="164">
        <f t="shared" si="78"/>
        <v>0.64</v>
      </c>
      <c r="W235" s="164">
        <f t="shared" si="78"/>
        <v>0.64</v>
      </c>
      <c r="X235" s="164">
        <f t="shared" si="78"/>
        <v>0.64</v>
      </c>
      <c r="Y235" s="164">
        <f t="shared" si="78"/>
        <v>0.64</v>
      </c>
      <c r="Z235" s="164">
        <f t="shared" si="78"/>
        <v>0.64</v>
      </c>
      <c r="AA235" s="164">
        <f t="shared" si="78"/>
        <v>0.64</v>
      </c>
      <c r="AB235" s="164">
        <f t="shared" si="78"/>
        <v>0.64</v>
      </c>
      <c r="AC235" s="164">
        <f t="shared" si="78"/>
        <v>0.64</v>
      </c>
      <c r="AD235" s="164">
        <f t="shared" si="78"/>
        <v>0.64</v>
      </c>
      <c r="AE235" s="164">
        <f t="shared" si="78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79">IF(C203&lt;100,"",C203-520)</f>
        <v/>
      </c>
      <c r="D236" s="107" t="str">
        <f t="shared" si="79"/>
        <v/>
      </c>
      <c r="E236" s="107" t="str">
        <f t="shared" si="79"/>
        <v/>
      </c>
      <c r="F236" s="107" t="str">
        <f t="shared" si="79"/>
        <v/>
      </c>
      <c r="G236" s="107" t="str">
        <f t="shared" si="79"/>
        <v/>
      </c>
      <c r="H236" s="107" t="str">
        <f t="shared" si="79"/>
        <v/>
      </c>
      <c r="I236" s="107" t="str">
        <f t="shared" si="79"/>
        <v/>
      </c>
      <c r="J236" s="107" t="str">
        <f t="shared" si="79"/>
        <v/>
      </c>
      <c r="K236" s="107" t="str">
        <f t="shared" si="79"/>
        <v/>
      </c>
      <c r="L236" s="107" t="str">
        <f t="shared" si="79"/>
        <v/>
      </c>
      <c r="M236" s="107" t="str">
        <f t="shared" si="79"/>
        <v/>
      </c>
      <c r="N236" s="107" t="str">
        <f t="shared" si="79"/>
        <v/>
      </c>
      <c r="O236" s="107" t="str">
        <f t="shared" si="79"/>
        <v/>
      </c>
      <c r="P236" s="107" t="str">
        <f t="shared" si="79"/>
        <v/>
      </c>
      <c r="Q236" s="107" t="str">
        <f t="shared" si="79"/>
        <v/>
      </c>
      <c r="R236" s="107" t="str">
        <f t="shared" si="79"/>
        <v/>
      </c>
      <c r="S236" s="107" t="str">
        <f t="shared" si="79"/>
        <v/>
      </c>
      <c r="T236" s="107" t="str">
        <f t="shared" si="79"/>
        <v/>
      </c>
      <c r="U236" s="107" t="str">
        <f t="shared" si="79"/>
        <v/>
      </c>
      <c r="V236" s="107" t="str">
        <f t="shared" si="79"/>
        <v/>
      </c>
      <c r="W236" s="107" t="str">
        <f t="shared" si="79"/>
        <v/>
      </c>
      <c r="X236" s="107" t="str">
        <f t="shared" si="79"/>
        <v/>
      </c>
      <c r="Y236" s="107" t="str">
        <f t="shared" si="79"/>
        <v/>
      </c>
      <c r="Z236" s="107" t="str">
        <f t="shared" si="79"/>
        <v/>
      </c>
      <c r="AA236" s="107" t="str">
        <f t="shared" si="79"/>
        <v/>
      </c>
      <c r="AB236" s="107" t="str">
        <f t="shared" si="79"/>
        <v/>
      </c>
      <c r="AC236" s="107" t="str">
        <f t="shared" si="79"/>
        <v/>
      </c>
      <c r="AD236" s="107" t="str">
        <f t="shared" si="79"/>
        <v/>
      </c>
      <c r="AE236" s="107" t="str">
        <f t="shared" si="79"/>
        <v/>
      </c>
      <c r="AF236" s="107" t="str">
        <f t="shared" si="79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80">IF(B204&lt;100,"",B204-620)</f>
        <v/>
      </c>
      <c r="C237" s="107" t="str">
        <f t="shared" si="80"/>
        <v/>
      </c>
      <c r="D237" s="107" t="str">
        <f t="shared" si="80"/>
        <v/>
      </c>
      <c r="E237" s="107" t="str">
        <f t="shared" si="80"/>
        <v/>
      </c>
      <c r="F237" s="107" t="str">
        <f t="shared" si="80"/>
        <v/>
      </c>
      <c r="G237" s="107" t="str">
        <f t="shared" si="80"/>
        <v/>
      </c>
      <c r="H237" s="107" t="str">
        <f t="shared" si="80"/>
        <v/>
      </c>
      <c r="I237" s="107" t="str">
        <f t="shared" si="80"/>
        <v/>
      </c>
      <c r="J237" s="107" t="str">
        <f t="shared" si="80"/>
        <v/>
      </c>
      <c r="K237" s="107" t="str">
        <f t="shared" si="80"/>
        <v/>
      </c>
      <c r="L237" s="107" t="str">
        <f t="shared" si="80"/>
        <v/>
      </c>
      <c r="M237" s="107" t="str">
        <f t="shared" si="80"/>
        <v/>
      </c>
      <c r="N237" s="107" t="str">
        <f t="shared" si="80"/>
        <v/>
      </c>
      <c r="O237" s="107" t="str">
        <f t="shared" si="80"/>
        <v/>
      </c>
      <c r="P237" s="107" t="str">
        <f t="shared" si="80"/>
        <v/>
      </c>
      <c r="Q237" s="107" t="str">
        <f t="shared" si="80"/>
        <v/>
      </c>
      <c r="R237" s="107" t="str">
        <f t="shared" si="80"/>
        <v/>
      </c>
      <c r="S237" s="107" t="str">
        <f t="shared" si="80"/>
        <v/>
      </c>
      <c r="T237" s="107" t="str">
        <f t="shared" si="80"/>
        <v/>
      </c>
      <c r="U237" s="107" t="str">
        <f t="shared" si="80"/>
        <v/>
      </c>
      <c r="V237" s="107" t="str">
        <f t="shared" si="80"/>
        <v/>
      </c>
      <c r="W237" s="107" t="str">
        <f t="shared" si="80"/>
        <v/>
      </c>
      <c r="X237" s="107" t="str">
        <f t="shared" si="80"/>
        <v/>
      </c>
      <c r="Y237" s="107" t="str">
        <f t="shared" si="80"/>
        <v/>
      </c>
      <c r="Z237" s="107" t="str">
        <f t="shared" si="80"/>
        <v/>
      </c>
      <c r="AA237" s="107" t="str">
        <f t="shared" si="80"/>
        <v/>
      </c>
      <c r="AB237" s="107" t="str">
        <f t="shared" si="80"/>
        <v/>
      </c>
      <c r="AC237" s="107" t="str">
        <f t="shared" si="80"/>
        <v/>
      </c>
      <c r="AD237" s="107" t="str">
        <f t="shared" si="80"/>
        <v/>
      </c>
      <c r="AE237" s="107" t="str">
        <f t="shared" si="80"/>
        <v/>
      </c>
      <c r="AF237" s="107" t="str">
        <f t="shared" si="80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81">IF(B205&lt;100,"",B205-330)</f>
        <v/>
      </c>
      <c r="C238" s="107" t="str">
        <f t="shared" si="81"/>
        <v/>
      </c>
      <c r="D238" s="107" t="str">
        <f t="shared" si="81"/>
        <v/>
      </c>
      <c r="E238" s="107" t="str">
        <f t="shared" si="81"/>
        <v/>
      </c>
      <c r="F238" s="107" t="str">
        <f t="shared" si="81"/>
        <v/>
      </c>
      <c r="G238" s="107" t="str">
        <f t="shared" si="81"/>
        <v/>
      </c>
      <c r="H238" s="107" t="str">
        <f t="shared" si="81"/>
        <v/>
      </c>
      <c r="I238" s="107" t="str">
        <f t="shared" si="81"/>
        <v/>
      </c>
      <c r="J238" s="107" t="str">
        <f t="shared" si="81"/>
        <v/>
      </c>
      <c r="K238" s="107" t="str">
        <f t="shared" si="81"/>
        <v/>
      </c>
      <c r="L238" s="107" t="str">
        <f t="shared" si="81"/>
        <v/>
      </c>
      <c r="M238" s="107" t="str">
        <f t="shared" si="81"/>
        <v/>
      </c>
      <c r="N238" s="107" t="str">
        <f t="shared" si="81"/>
        <v/>
      </c>
      <c r="O238" s="107" t="str">
        <f t="shared" si="81"/>
        <v/>
      </c>
      <c r="P238" s="107" t="str">
        <f t="shared" si="81"/>
        <v/>
      </c>
      <c r="Q238" s="107" t="str">
        <f t="shared" si="81"/>
        <v/>
      </c>
      <c r="R238" s="107" t="str">
        <f t="shared" si="81"/>
        <v/>
      </c>
      <c r="S238" s="107" t="str">
        <f t="shared" si="81"/>
        <v/>
      </c>
      <c r="T238" s="107" t="str">
        <f t="shared" si="81"/>
        <v/>
      </c>
      <c r="U238" s="107" t="str">
        <f t="shared" si="81"/>
        <v/>
      </c>
      <c r="V238" s="107" t="str">
        <f t="shared" si="81"/>
        <v/>
      </c>
      <c r="W238" s="107" t="str">
        <f t="shared" si="81"/>
        <v/>
      </c>
      <c r="X238" s="107" t="str">
        <f t="shared" si="81"/>
        <v/>
      </c>
      <c r="Y238" s="107" t="str">
        <f t="shared" si="81"/>
        <v/>
      </c>
      <c r="Z238" s="107" t="str">
        <f t="shared" si="81"/>
        <v/>
      </c>
      <c r="AA238" s="107" t="str">
        <f t="shared" si="81"/>
        <v/>
      </c>
      <c r="AB238" s="107" t="str">
        <f t="shared" si="81"/>
        <v/>
      </c>
      <c r="AC238" s="107" t="str">
        <f t="shared" si="81"/>
        <v/>
      </c>
      <c r="AD238" s="107" t="str">
        <f t="shared" si="81"/>
        <v/>
      </c>
      <c r="AE238" s="107" t="str">
        <f t="shared" si="81"/>
        <v/>
      </c>
      <c r="AF238" s="107" t="str">
        <f t="shared" si="81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2">IF(C206&lt;100,"",C206-1500)</f>
        <v/>
      </c>
      <c r="D239" s="107" t="str">
        <f t="shared" si="82"/>
        <v/>
      </c>
      <c r="E239" s="107" t="str">
        <f t="shared" si="82"/>
        <v/>
      </c>
      <c r="F239" s="107" t="str">
        <f t="shared" si="82"/>
        <v/>
      </c>
      <c r="G239" s="107" t="str">
        <f t="shared" si="82"/>
        <v/>
      </c>
      <c r="H239" s="107" t="str">
        <f t="shared" si="82"/>
        <v/>
      </c>
      <c r="I239" s="107" t="str">
        <f t="shared" si="82"/>
        <v/>
      </c>
      <c r="J239" s="107" t="str">
        <f t="shared" si="82"/>
        <v/>
      </c>
      <c r="K239" s="107" t="str">
        <f t="shared" si="82"/>
        <v/>
      </c>
      <c r="L239" s="107" t="str">
        <f t="shared" si="82"/>
        <v/>
      </c>
      <c r="M239" s="107" t="str">
        <f t="shared" si="82"/>
        <v/>
      </c>
      <c r="N239" s="107" t="str">
        <f t="shared" si="82"/>
        <v/>
      </c>
      <c r="O239" s="107" t="str">
        <f t="shared" si="82"/>
        <v/>
      </c>
      <c r="P239" s="107" t="str">
        <f t="shared" si="82"/>
        <v/>
      </c>
      <c r="Q239" s="107" t="str">
        <f t="shared" si="82"/>
        <v/>
      </c>
      <c r="R239" s="107" t="str">
        <f t="shared" si="82"/>
        <v/>
      </c>
      <c r="S239" s="107" t="str">
        <f t="shared" si="82"/>
        <v/>
      </c>
      <c r="T239" s="107" t="str">
        <f t="shared" si="82"/>
        <v/>
      </c>
      <c r="U239" s="107" t="str">
        <f t="shared" si="82"/>
        <v/>
      </c>
      <c r="V239" s="107" t="str">
        <f t="shared" si="82"/>
        <v/>
      </c>
      <c r="W239" s="107" t="str">
        <f t="shared" si="82"/>
        <v/>
      </c>
      <c r="X239" s="107" t="str">
        <f t="shared" si="82"/>
        <v/>
      </c>
      <c r="Y239" s="107" t="str">
        <f t="shared" si="82"/>
        <v/>
      </c>
      <c r="Z239" s="107" t="str">
        <f t="shared" si="82"/>
        <v/>
      </c>
      <c r="AA239" s="107" t="str">
        <f t="shared" si="82"/>
        <v/>
      </c>
      <c r="AB239" s="107" t="str">
        <f t="shared" si="82"/>
        <v/>
      </c>
      <c r="AC239" s="107" t="str">
        <f t="shared" si="82"/>
        <v/>
      </c>
      <c r="AD239" s="107" t="str">
        <f t="shared" si="82"/>
        <v/>
      </c>
      <c r="AE239" s="107" t="str">
        <f t="shared" si="82"/>
        <v/>
      </c>
      <c r="AF239" s="107" t="str">
        <f t="shared" si="82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D94:AF100 AB11:AF11">
    <cfRule type="expression" dxfId="1810" priority="360">
      <formula>B$9&gt;=20/24</formula>
    </cfRule>
    <cfRule type="expression" dxfId="1809" priority="361">
      <formula>AND(B$9&gt;=14/24,B$9&lt;20/24)</formula>
    </cfRule>
    <cfRule type="expression" dxfId="1808" priority="362">
      <formula>AND(B$9&gt;=8/24,B$9&lt;14/24)</formula>
    </cfRule>
    <cfRule type="expression" dxfId="1807" priority="363">
      <formula>B$9&lt;8/24</formula>
    </cfRule>
  </conditionalFormatting>
  <conditionalFormatting sqref="AL4:AL6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1806" priority="355">
      <formula>T$9&gt;=20/24</formula>
    </cfRule>
    <cfRule type="expression" dxfId="1805" priority="356">
      <formula>AND(T$9&gt;=14/24,T$9&lt;20/24)</formula>
    </cfRule>
    <cfRule type="expression" dxfId="1804" priority="357">
      <formula>AND(T$9&gt;=8/24,T$9&lt;14/24)</formula>
    </cfRule>
    <cfRule type="expression" dxfId="1803" priority="358">
      <formula>T$9&lt;8/24</formula>
    </cfRule>
  </conditionalFormatting>
  <conditionalFormatting sqref="AG51 M11:P11 M16:P16 T37:AF37 Q11:AF16">
    <cfRule type="expression" dxfId="1802" priority="354">
      <formula>M11&gt;$AG11</formula>
    </cfRule>
  </conditionalFormatting>
  <conditionalFormatting sqref="A101:A157 A84:A97 A11:A14 A45:A72 A80:A82 A74:A78 A35:A43 A170:A200 A16:A32">
    <cfRule type="expression" dxfId="1801" priority="353">
      <formula>$AH11=0</formula>
    </cfRule>
  </conditionalFormatting>
  <conditionalFormatting sqref="A98">
    <cfRule type="expression" dxfId="1800" priority="352">
      <formula>$AH98=0</formula>
    </cfRule>
  </conditionalFormatting>
  <conditionalFormatting sqref="AL32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799" priority="350">
      <formula>$AH34=0</formula>
    </cfRule>
  </conditionalFormatting>
  <conditionalFormatting sqref="A83">
    <cfRule type="expression" dxfId="1798" priority="349">
      <formula>$AH83=0</formula>
    </cfRule>
  </conditionalFormatting>
  <conditionalFormatting sqref="A15">
    <cfRule type="expression" dxfId="1797" priority="348">
      <formula>$AH15=0</formula>
    </cfRule>
  </conditionalFormatting>
  <conditionalFormatting sqref="A164:A169">
    <cfRule type="expression" dxfId="1796" priority="347">
      <formula>$AH164=0</formula>
    </cfRule>
  </conditionalFormatting>
  <conditionalFormatting sqref="A158:A163">
    <cfRule type="expression" dxfId="1795" priority="346">
      <formula>$AH158=0</formula>
    </cfRule>
  </conditionalFormatting>
  <conditionalFormatting sqref="A44">
    <cfRule type="expression" dxfId="1794" priority="345">
      <formula>$AH44=0</formula>
    </cfRule>
  </conditionalFormatting>
  <conditionalFormatting sqref="A79">
    <cfRule type="expression" dxfId="1793" priority="344">
      <formula>$AH79=0</formula>
    </cfRule>
  </conditionalFormatting>
  <conditionalFormatting sqref="A73">
    <cfRule type="expression" dxfId="1792" priority="343">
      <formula>$AH73=0</formula>
    </cfRule>
  </conditionalFormatting>
  <conditionalFormatting sqref="AL34:AL35 AL7:AL31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1791" priority="339">
      <formula>D$9&gt;=20/24</formula>
    </cfRule>
    <cfRule type="expression" dxfId="1790" priority="340">
      <formula>AND(D$9&gt;=14/24,D$9&lt;20/24)</formula>
    </cfRule>
    <cfRule type="expression" dxfId="1789" priority="341">
      <formula>AND(D$9&gt;=8/24,D$9&lt;14/24)</formula>
    </cfRule>
    <cfRule type="expression" dxfId="1788" priority="342">
      <formula>D$9&lt;8/24</formula>
    </cfRule>
  </conditionalFormatting>
  <conditionalFormatting sqref="AL33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787" priority="367">
      <formula>C$9&gt;=20/24</formula>
    </cfRule>
    <cfRule type="expression" dxfId="1786" priority="368">
      <formula>AND(C$9&gt;=14/24,C$9&lt;20/24)</formula>
    </cfRule>
    <cfRule type="expression" dxfId="1785" priority="369">
      <formula>AND(C$9&gt;=8/24,C$9&lt;14/24)</formula>
    </cfRule>
    <cfRule type="expression" dxfId="1784" priority="370">
      <formula>C$9&lt;8/24</formula>
    </cfRule>
  </conditionalFormatting>
  <conditionalFormatting sqref="A201">
    <cfRule type="expression" dxfId="1783" priority="371">
      <formula>$AH201=0</formula>
    </cfRule>
  </conditionalFormatting>
  <conditionalFormatting sqref="AG213">
    <cfRule type="expression" dxfId="1782" priority="372">
      <formula>B$9&gt;=20/24</formula>
    </cfRule>
    <cfRule type="expression" dxfId="1781" priority="373">
      <formula>AND(B$9&gt;=14/24,B$9&lt;20/24)</formula>
    </cfRule>
    <cfRule type="expression" dxfId="1780" priority="374">
      <formula>AND(B$9&gt;=8/24,B$9&lt;14/24)</formula>
    </cfRule>
    <cfRule type="expression" dxfId="1779" priority="375">
      <formula>B$9&lt;8/24</formula>
    </cfRule>
  </conditionalFormatting>
  <conditionalFormatting sqref="S8">
    <cfRule type="expression" dxfId="1778" priority="334">
      <formula>U$9&gt;=20/24</formula>
    </cfRule>
    <cfRule type="expression" dxfId="1777" priority="335">
      <formula>AND(U$9&gt;=14/24,U$9&lt;20/24)</formula>
    </cfRule>
    <cfRule type="expression" dxfId="1776" priority="336">
      <formula>AND(U$9&gt;=8/24,U$9&lt;14/24)</formula>
    </cfRule>
    <cfRule type="expression" dxfId="1775" priority="337">
      <formula>U$9&lt;8/24</formula>
    </cfRule>
  </conditionalFormatting>
  <conditionalFormatting sqref="AB8">
    <cfRule type="expression" dxfId="1774" priority="330">
      <formula>AD$9&gt;=20/24</formula>
    </cfRule>
    <cfRule type="expression" dxfId="1773" priority="331">
      <formula>AND(AD$9&gt;=14/24,AD$9&lt;20/24)</formula>
    </cfRule>
    <cfRule type="expression" dxfId="1772" priority="332">
      <formula>AND(AD$9&gt;=8/24,AD$9&lt;14/24)</formula>
    </cfRule>
    <cfRule type="expression" dxfId="1771" priority="333">
      <formula>AD$9&lt;8/24</formula>
    </cfRule>
  </conditionalFormatting>
  <conditionalFormatting sqref="AH213:AX213">
    <cfRule type="expression" dxfId="1770" priority="376">
      <formula>AG$9&gt;=20/24</formula>
    </cfRule>
    <cfRule type="expression" dxfId="1769" priority="377">
      <formula>AND(AG$9&gt;=14/24,AG$9&lt;20/24)</formula>
    </cfRule>
    <cfRule type="expression" dxfId="1768" priority="378">
      <formula>AND(AG$9&gt;=8/24,AG$9&lt;14/24)</formula>
    </cfRule>
    <cfRule type="expression" dxfId="1767" priority="379">
      <formula>AG$9&lt;8/24</formula>
    </cfRule>
  </conditionalFormatting>
  <conditionalFormatting sqref="T213">
    <cfRule type="expression" dxfId="1766" priority="380">
      <formula>AX$9&gt;=20/24</formula>
    </cfRule>
    <cfRule type="expression" dxfId="1765" priority="381">
      <formula>AND(AX$9&gt;=14/24,AX$9&lt;20/24)</formula>
    </cfRule>
    <cfRule type="expression" dxfId="1764" priority="382">
      <formula>AND(AX$9&gt;=8/24,AX$9&lt;14/24)</formula>
    </cfRule>
    <cfRule type="expression" dxfId="1763" priority="383">
      <formula>AX$9&lt;8/24</formula>
    </cfRule>
  </conditionalFormatting>
  <conditionalFormatting sqref="A99:A100">
    <cfRule type="expression" dxfId="1762" priority="329">
      <formula>$AH99=0</formula>
    </cfRule>
  </conditionalFormatting>
  <conditionalFormatting sqref="D57:AF57 AB36:AF36 Z40:AF41">
    <cfRule type="expression" dxfId="1761" priority="325">
      <formula>D$9&gt;=20/24</formula>
    </cfRule>
    <cfRule type="expression" dxfId="1760" priority="326">
      <formula>AND(D$9&gt;=14/24,D$9&lt;20/24)</formula>
    </cfRule>
    <cfRule type="expression" dxfId="1759" priority="327">
      <formula>AND(D$9&gt;=8/24,D$9&lt;14/24)</formula>
    </cfRule>
    <cfRule type="expression" dxfId="1758" priority="328">
      <formula>D$9&lt;8/24</formula>
    </cfRule>
  </conditionalFormatting>
  <conditionalFormatting sqref="W39:AF39">
    <cfRule type="expression" dxfId="1757" priority="321">
      <formula>W$9&gt;=20/24</formula>
    </cfRule>
    <cfRule type="expression" dxfId="1756" priority="322">
      <formula>AND(W$9&gt;=14/24,W$9&lt;20/24)</formula>
    </cfRule>
    <cfRule type="expression" dxfId="1755" priority="323">
      <formula>AND(W$9&gt;=8/24,W$9&lt;14/24)</formula>
    </cfRule>
    <cfRule type="expression" dxfId="1754" priority="324">
      <formula>W$9&lt;8/24</formula>
    </cfRule>
  </conditionalFormatting>
  <conditionalFormatting sqref="W39:Y39 AB36:AF36 Z39:AF41">
    <cfRule type="expression" dxfId="1753" priority="320">
      <formula>W36&gt;$AG36</formula>
    </cfRule>
  </conditionalFormatting>
  <conditionalFormatting sqref="D81:AF81 D58:T59 D69:AF72 D53:AF56 D60:L63 D67:L67 D85:AF91 M36:S37 M60:T67 T36:AA36 M11:AA14 U58:AF67 AB12:AF14 M16:AF16 M28:AF31 M18:AF22 M24:AF26">
    <cfRule type="expression" dxfId="1752" priority="316">
      <formula>D$9&gt;=20/24</formula>
    </cfRule>
    <cfRule type="expression" dxfId="1751" priority="317">
      <formula>AND(D$9&gt;=14/24,D$9&lt;20/24)</formula>
    </cfRule>
    <cfRule type="expression" dxfId="1750" priority="318">
      <formula>AND(D$9&gt;=8/24,D$9&lt;14/24)</formula>
    </cfRule>
    <cfRule type="expression" dxfId="1749" priority="319">
      <formula>D$9&lt;8/24</formula>
    </cfRule>
  </conditionalFormatting>
  <conditionalFormatting sqref="M32:AF32">
    <cfRule type="expression" dxfId="1748" priority="312">
      <formula>M$9&gt;=20/24</formula>
    </cfRule>
    <cfRule type="expression" dxfId="1747" priority="313">
      <formula>AND(M$9&gt;=14/24,M$9&lt;20/24)</formula>
    </cfRule>
    <cfRule type="expression" dxfId="1746" priority="314">
      <formula>AND(M$9&gt;=8/24,M$9&lt;14/24)</formula>
    </cfRule>
    <cfRule type="expression" dxfId="1745" priority="315">
      <formula>M$9&lt;8/24</formula>
    </cfRule>
  </conditionalFormatting>
  <conditionalFormatting sqref="M35:AF35">
    <cfRule type="expression" dxfId="1744" priority="308">
      <formula>M$9&gt;=20/24</formula>
    </cfRule>
    <cfRule type="expression" dxfId="1743" priority="309">
      <formula>AND(M$9&gt;=14/24,M$9&lt;20/24)</formula>
    </cfRule>
    <cfRule type="expression" dxfId="1742" priority="310">
      <formula>AND(M$9&gt;=8/24,M$9&lt;14/24)</formula>
    </cfRule>
    <cfRule type="expression" dxfId="1741" priority="311">
      <formula>M$9&lt;8/24</formula>
    </cfRule>
  </conditionalFormatting>
  <conditionalFormatting sqref="M34:M36 D51:AF51 E37:M37 D53:AF56 M11:P15 N34:S37 T34:AA36 Q11:AA11 AB34:AF35 M18:AF22 M24:AF32 AB42:AF43">
    <cfRule type="expression" dxfId="1740" priority="307">
      <formula>D11&gt;$AG11</formula>
    </cfRule>
  </conditionalFormatting>
  <conditionalFormatting sqref="M34:AF34">
    <cfRule type="expression" dxfId="1739" priority="303">
      <formula>M$9&gt;=20/24</formula>
    </cfRule>
    <cfRule type="expression" dxfId="1738" priority="304">
      <formula>AND(M$9&gt;=14/24,M$9&lt;20/24)</formula>
    </cfRule>
    <cfRule type="expression" dxfId="1737" priority="305">
      <formula>AND(M$9&gt;=8/24,M$9&lt;14/24)</formula>
    </cfRule>
    <cfRule type="expression" dxfId="1736" priority="306">
      <formula>M$9&lt;8/24</formula>
    </cfRule>
  </conditionalFormatting>
  <conditionalFormatting sqref="M15:AF15">
    <cfRule type="expression" dxfId="1735" priority="299">
      <formula>M$9&gt;=20/24</formula>
    </cfRule>
    <cfRule type="expression" dxfId="1734" priority="300">
      <formula>AND(M$9&gt;=14/24,M$9&lt;20/24)</formula>
    </cfRule>
    <cfRule type="expression" dxfId="1733" priority="301">
      <formula>AND(M$9&gt;=8/24,M$9&lt;14/24)</formula>
    </cfRule>
    <cfRule type="expression" dxfId="1732" priority="302">
      <formula>M$9&lt;8/24</formula>
    </cfRule>
  </conditionalFormatting>
  <conditionalFormatting sqref="M33:AF33">
    <cfRule type="expression" dxfId="1731" priority="295">
      <formula>M$9&gt;=20/24</formula>
    </cfRule>
    <cfRule type="expression" dxfId="1730" priority="296">
      <formula>AND(M$9&gt;=14/24,M$9&lt;20/24)</formula>
    </cfRule>
    <cfRule type="expression" dxfId="1729" priority="297">
      <formula>AND(M$9&gt;=8/24,M$9&lt;14/24)</formula>
    </cfRule>
    <cfRule type="expression" dxfId="1728" priority="298">
      <formula>M$9&lt;8/24</formula>
    </cfRule>
  </conditionalFormatting>
  <conditionalFormatting sqref="M33:AF33">
    <cfRule type="expression" dxfId="1727" priority="294">
      <formula>M33&gt;$AG33</formula>
    </cfRule>
  </conditionalFormatting>
  <conditionalFormatting sqref="Z42:AA43 AB44:AF50">
    <cfRule type="expression" dxfId="1726" priority="286">
      <formula>Z$9&gt;=20/24</formula>
    </cfRule>
    <cfRule type="expression" dxfId="1725" priority="287">
      <formula>AND(Z$9&gt;=14/24,Z$9&lt;20/24)</formula>
    </cfRule>
    <cfRule type="expression" dxfId="1724" priority="288">
      <formula>AND(Z$9&gt;=8/24,Z$9&lt;14/24)</formula>
    </cfRule>
    <cfRule type="expression" dxfId="1723" priority="289">
      <formula>Z$9&lt;8/24</formula>
    </cfRule>
  </conditionalFormatting>
  <conditionalFormatting sqref="Z42:AA43 AB44:AF50">
    <cfRule type="expression" dxfId="1722" priority="285">
      <formula>Z42&gt;$AG42</formula>
    </cfRule>
  </conditionalFormatting>
  <conditionalFormatting sqref="M39:V50 W40:Y50 Z44:AA50">
    <cfRule type="expression" dxfId="1721" priority="281">
      <formula>M$9&gt;=20/24</formula>
    </cfRule>
    <cfRule type="expression" dxfId="1720" priority="282">
      <formula>AND(M$9&gt;=14/24,M$9&lt;20/24)</formula>
    </cfRule>
    <cfRule type="expression" dxfId="1719" priority="283">
      <formula>AND(M$9&gt;=8/24,M$9&lt;14/24)</formula>
    </cfRule>
    <cfRule type="expression" dxfId="1718" priority="284">
      <formula>M$9&lt;8/24</formula>
    </cfRule>
  </conditionalFormatting>
  <conditionalFormatting sqref="M39:V50 W40:Y50 Z44:AA50">
    <cfRule type="expression" dxfId="1717" priority="280">
      <formula>M39&gt;$AG39</formula>
    </cfRule>
  </conditionalFormatting>
  <conditionalFormatting sqref="M27:AF27">
    <cfRule type="expression" dxfId="1716" priority="276">
      <formula>M$9&gt;=20/24</formula>
    </cfRule>
    <cfRule type="expression" dxfId="1715" priority="277">
      <formula>AND(M$9&gt;=14/24,M$9&lt;20/24)</formula>
    </cfRule>
    <cfRule type="expression" dxfId="1714" priority="278">
      <formula>AND(M$9&gt;=8/24,M$9&lt;14/24)</formula>
    </cfRule>
    <cfRule type="expression" dxfId="1713" priority="279">
      <formula>M$9&lt;8/24</formula>
    </cfRule>
  </conditionalFormatting>
  <conditionalFormatting sqref="M17:AF17 M23:AF23">
    <cfRule type="expression" dxfId="1712" priority="272">
      <formula>M$9&gt;=20/24</formula>
    </cfRule>
    <cfRule type="expression" dxfId="1711" priority="273">
      <formula>AND(M$9&gt;=14/24,M$9&lt;20/24)</formula>
    </cfRule>
    <cfRule type="expression" dxfId="1710" priority="274">
      <formula>AND(M$9&gt;=8/24,M$9&lt;14/24)</formula>
    </cfRule>
    <cfRule type="expression" dxfId="1709" priority="275">
      <formula>M$9&lt;8/24</formula>
    </cfRule>
  </conditionalFormatting>
  <conditionalFormatting sqref="M17:AF17 M23:AF23">
    <cfRule type="expression" dxfId="1708" priority="263">
      <formula>M17&gt;$AG17</formula>
    </cfRule>
  </conditionalFormatting>
  <conditionalFormatting sqref="D40:L41">
    <cfRule type="expression" dxfId="1707" priority="246">
      <formula>D$9&gt;=20/24</formula>
    </cfRule>
    <cfRule type="expression" dxfId="1706" priority="247">
      <formula>AND(D$9&gt;=14/24,D$9&lt;20/24)</formula>
    </cfRule>
    <cfRule type="expression" dxfId="1705" priority="248">
      <formula>AND(D$9&gt;=8/24,D$9&lt;14/24)</formula>
    </cfRule>
    <cfRule type="expression" dxfId="1704" priority="249">
      <formula>D$9&lt;8/24</formula>
    </cfRule>
  </conditionalFormatting>
  <conditionalFormatting sqref="D39:L39">
    <cfRule type="expression" dxfId="1703" priority="242">
      <formula>D$9&gt;=20/24</formula>
    </cfRule>
    <cfRule type="expression" dxfId="1702" priority="243">
      <formula>AND(D$9&gt;=14/24,D$9&lt;20/24)</formula>
    </cfRule>
    <cfRule type="expression" dxfId="1701" priority="244">
      <formula>AND(D$9&gt;=8/24,D$9&lt;14/24)</formula>
    </cfRule>
    <cfRule type="expression" dxfId="1700" priority="245">
      <formula>D$9&lt;8/24</formula>
    </cfRule>
  </conditionalFormatting>
  <conditionalFormatting sqref="D39:L41">
    <cfRule type="expression" dxfId="1699" priority="241">
      <formula>D39&gt;$AG39</formula>
    </cfRule>
  </conditionalFormatting>
  <conditionalFormatting sqref="D64:L66">
    <cfRule type="expression" dxfId="1698" priority="237">
      <formula>D$9&gt;=20/24</formula>
    </cfRule>
    <cfRule type="expression" dxfId="1697" priority="238">
      <formula>AND(D$9&gt;=14/24,D$9&lt;20/24)</formula>
    </cfRule>
    <cfRule type="expression" dxfId="1696" priority="239">
      <formula>AND(D$9&gt;=8/24,D$9&lt;14/24)</formula>
    </cfRule>
    <cfRule type="expression" dxfId="1695" priority="240">
      <formula>D$9&lt;8/24</formula>
    </cfRule>
  </conditionalFormatting>
  <conditionalFormatting sqref="D42:L43">
    <cfRule type="expression" dxfId="1694" priority="236">
      <formula>D42&gt;$AG42</formula>
    </cfRule>
  </conditionalFormatting>
  <conditionalFormatting sqref="D44:L50">
    <cfRule type="expression" dxfId="1693" priority="232">
      <formula>D$9&gt;=20/24</formula>
    </cfRule>
    <cfRule type="expression" dxfId="1692" priority="233">
      <formula>AND(D$9&gt;=14/24,D$9&lt;20/24)</formula>
    </cfRule>
    <cfRule type="expression" dxfId="1691" priority="234">
      <formula>AND(D$9&gt;=8/24,D$9&lt;14/24)</formula>
    </cfRule>
    <cfRule type="expression" dxfId="1690" priority="235">
      <formula>D$9&lt;8/24</formula>
    </cfRule>
  </conditionalFormatting>
  <conditionalFormatting sqref="D44:L50">
    <cfRule type="expression" dxfId="1689" priority="231">
      <formula>D44&gt;$AG44</formula>
    </cfRule>
  </conditionalFormatting>
  <conditionalFormatting sqref="D74:AF74 D82:AF82">
    <cfRule type="expression" dxfId="1688" priority="218">
      <formula>D$9&gt;=20/24</formula>
    </cfRule>
    <cfRule type="expression" dxfId="1687" priority="219">
      <formula>AND(D$9&gt;=14/24,D$9&lt;20/24)</formula>
    </cfRule>
    <cfRule type="expression" dxfId="1686" priority="220">
      <formula>AND(D$9&gt;=8/24,D$9&lt;14/24)</formula>
    </cfRule>
    <cfRule type="expression" dxfId="1685" priority="221">
      <formula>D$9&lt;8/24</formula>
    </cfRule>
  </conditionalFormatting>
  <conditionalFormatting sqref="D75:AF75 D73:AF73 D83:AF83">
    <cfRule type="expression" dxfId="1684" priority="196">
      <formula>D$9&gt;=20/24</formula>
    </cfRule>
    <cfRule type="expression" dxfId="1683" priority="197">
      <formula>AND(D$9&gt;=14/24,D$9&lt;20/24)</formula>
    </cfRule>
    <cfRule type="expression" dxfId="1682" priority="198">
      <formula>AND(D$9&gt;=8/24,D$9&lt;14/24)</formula>
    </cfRule>
    <cfRule type="expression" dxfId="1681" priority="199">
      <formula>D$9&lt;8/24</formula>
    </cfRule>
  </conditionalFormatting>
  <conditionalFormatting sqref="D52:AF52 D38:AF38">
    <cfRule type="expression" dxfId="1680" priority="187">
      <formula>D38&gt;$AG38</formula>
    </cfRule>
  </conditionalFormatting>
  <conditionalFormatting sqref="A33">
    <cfRule type="expression" dxfId="1679" priority="159">
      <formula>$AH33=0</formula>
    </cfRule>
  </conditionalFormatting>
  <conditionalFormatting sqref="D68:AF68">
    <cfRule type="expression" dxfId="1678" priority="155">
      <formula>D$9&gt;=20/24</formula>
    </cfRule>
    <cfRule type="expression" dxfId="1677" priority="156">
      <formula>AND(D$9&gt;=14/24,D$9&lt;20/24)</formula>
    </cfRule>
    <cfRule type="expression" dxfId="1676" priority="157">
      <formula>AND(D$9&gt;=8/24,D$9&lt;14/24)</formula>
    </cfRule>
    <cfRule type="expression" dxfId="1675" priority="158">
      <formula>D$9&lt;8/24</formula>
    </cfRule>
  </conditionalFormatting>
  <conditionalFormatting sqref="D76:AF80">
    <cfRule type="expression" dxfId="1674" priority="151">
      <formula>D$9&gt;=20/24</formula>
    </cfRule>
    <cfRule type="expression" dxfId="1673" priority="152">
      <formula>AND(D$9&gt;=14/24,D$9&lt;20/24)</formula>
    </cfRule>
    <cfRule type="expression" dxfId="1672" priority="153">
      <formula>AND(D$9&gt;=8/24,D$9&lt;14/24)</formula>
    </cfRule>
    <cfRule type="expression" dxfId="1671" priority="154">
      <formula>D$9&lt;8/24</formula>
    </cfRule>
  </conditionalFormatting>
  <conditionalFormatting sqref="B94:B100 B11">
    <cfRule type="expression" dxfId="1670" priority="147">
      <formula>B$9&gt;=20/24</formula>
    </cfRule>
    <cfRule type="expression" dxfId="1669" priority="148">
      <formula>AND(B$9&gt;=14/24,B$9&lt;20/24)</formula>
    </cfRule>
    <cfRule type="expression" dxfId="1668" priority="149">
      <formula>AND(B$9&gt;=8/24,B$9&lt;14/24)</formula>
    </cfRule>
    <cfRule type="expression" dxfId="1667" priority="150">
      <formula>B$9&lt;8/24</formula>
    </cfRule>
  </conditionalFormatting>
  <conditionalFormatting sqref="B37">
    <cfRule type="expression" dxfId="1666" priority="143">
      <formula>B$9&gt;=20/24</formula>
    </cfRule>
    <cfRule type="expression" dxfId="1665" priority="144">
      <formula>AND(B$9&gt;=14/24,B$9&lt;20/24)</formula>
    </cfRule>
    <cfRule type="expression" dxfId="1664" priority="145">
      <formula>AND(B$9&gt;=8/24,B$9&lt;14/24)</formula>
    </cfRule>
    <cfRule type="expression" dxfId="1663" priority="146">
      <formula>B$9&lt;8/24</formula>
    </cfRule>
  </conditionalFormatting>
  <conditionalFormatting sqref="B37 B11 B16">
    <cfRule type="expression" dxfId="1662" priority="142">
      <formula>B11&gt;$AG11</formula>
    </cfRule>
  </conditionalFormatting>
  <conditionalFormatting sqref="B84">
    <cfRule type="expression" dxfId="1661" priority="138">
      <formula>B$9&gt;=20/24</formula>
    </cfRule>
    <cfRule type="expression" dxfId="1660" priority="139">
      <formula>AND(B$9&gt;=14/24,B$9&lt;20/24)</formula>
    </cfRule>
    <cfRule type="expression" dxfId="1659" priority="140">
      <formula>AND(B$9&gt;=8/24,B$9&lt;14/24)</formula>
    </cfRule>
    <cfRule type="expression" dxfId="1658" priority="141">
      <formula>B$9&lt;8/24</formula>
    </cfRule>
  </conditionalFormatting>
  <conditionalFormatting sqref="B57 B40:B41">
    <cfRule type="expression" dxfId="1657" priority="134">
      <formula>B$9&gt;=20/24</formula>
    </cfRule>
    <cfRule type="expression" dxfId="1656" priority="135">
      <formula>AND(B$9&gt;=14/24,B$9&lt;20/24)</formula>
    </cfRule>
    <cfRule type="expression" dxfId="1655" priority="136">
      <formula>AND(B$9&gt;=8/24,B$9&lt;14/24)</formula>
    </cfRule>
    <cfRule type="expression" dxfId="1654" priority="137">
      <formula>B$9&lt;8/24</formula>
    </cfRule>
  </conditionalFormatting>
  <conditionalFormatting sqref="B39">
    <cfRule type="expression" dxfId="1653" priority="130">
      <formula>B$9&gt;=20/24</formula>
    </cfRule>
    <cfRule type="expression" dxfId="1652" priority="131">
      <formula>AND(B$9&gt;=14/24,B$9&lt;20/24)</formula>
    </cfRule>
    <cfRule type="expression" dxfId="1651" priority="132">
      <formula>AND(B$9&gt;=8/24,B$9&lt;14/24)</formula>
    </cfRule>
    <cfRule type="expression" dxfId="1650" priority="133">
      <formula>B$9&lt;8/24</formula>
    </cfRule>
  </conditionalFormatting>
  <conditionalFormatting sqref="B39:B41">
    <cfRule type="expression" dxfId="1649" priority="129">
      <formula>B39&gt;$AG39</formula>
    </cfRule>
  </conditionalFormatting>
  <conditionalFormatting sqref="B81 B69:B72 B53:B56 B58:B67 B85:B91 B36 B12:B14">
    <cfRule type="expression" dxfId="1648" priority="125">
      <formula>B$9&gt;=20/24</formula>
    </cfRule>
    <cfRule type="expression" dxfId="1647" priority="126">
      <formula>AND(B$9&gt;=14/24,B$9&lt;20/24)</formula>
    </cfRule>
    <cfRule type="expression" dxfId="1646" priority="127">
      <formula>AND(B$9&gt;=8/24,B$9&lt;14/24)</formula>
    </cfRule>
    <cfRule type="expression" dxfId="1645" priority="128">
      <formula>B$9&lt;8/24</formula>
    </cfRule>
  </conditionalFormatting>
  <conditionalFormatting sqref="B42:B43 B51 B53:B56 B36 B12:B15">
    <cfRule type="expression" dxfId="1644" priority="124">
      <formula>B12&gt;$AG12</formula>
    </cfRule>
  </conditionalFormatting>
  <conditionalFormatting sqref="B15">
    <cfRule type="expression" dxfId="1643" priority="120">
      <formula>B$9&gt;=20/24</formula>
    </cfRule>
    <cfRule type="expression" dxfId="1642" priority="121">
      <formula>AND(B$9&gt;=14/24,B$9&lt;20/24)</formula>
    </cfRule>
    <cfRule type="expression" dxfId="1641" priority="122">
      <formula>AND(B$9&gt;=8/24,B$9&lt;14/24)</formula>
    </cfRule>
    <cfRule type="expression" dxfId="1640" priority="123">
      <formula>B$9&lt;8/24</formula>
    </cfRule>
  </conditionalFormatting>
  <conditionalFormatting sqref="B44:B50">
    <cfRule type="expression" dxfId="1639" priority="116">
      <formula>B$9&gt;=20/24</formula>
    </cfRule>
    <cfRule type="expression" dxfId="1638" priority="117">
      <formula>AND(B$9&gt;=14/24,B$9&lt;20/24)</formula>
    </cfRule>
    <cfRule type="expression" dxfId="1637" priority="118">
      <formula>AND(B$9&gt;=8/24,B$9&lt;14/24)</formula>
    </cfRule>
    <cfRule type="expression" dxfId="1636" priority="119">
      <formula>B$9&lt;8/24</formula>
    </cfRule>
  </conditionalFormatting>
  <conditionalFormatting sqref="B44:B50">
    <cfRule type="expression" dxfId="1635" priority="115">
      <formula>B44&gt;$AG44</formula>
    </cfRule>
  </conditionalFormatting>
  <conditionalFormatting sqref="B16:B31">
    <cfRule type="expression" dxfId="1634" priority="111">
      <formula>B$9&gt;=20/24</formula>
    </cfRule>
    <cfRule type="expression" dxfId="1633" priority="112">
      <formula>AND(B$9&gt;=14/24,B$9&lt;20/24)</formula>
    </cfRule>
    <cfRule type="expression" dxfId="1632" priority="113">
      <formula>AND(B$9&gt;=8/24,B$9&lt;14/24)</formula>
    </cfRule>
    <cfRule type="expression" dxfId="1631" priority="114">
      <formula>B$9&lt;8/24</formula>
    </cfRule>
  </conditionalFormatting>
  <conditionalFormatting sqref="B32">
    <cfRule type="expression" dxfId="1630" priority="107">
      <formula>B$9&gt;=20/24</formula>
    </cfRule>
    <cfRule type="expression" dxfId="1629" priority="108">
      <formula>AND(B$9&gt;=14/24,B$9&lt;20/24)</formula>
    </cfRule>
    <cfRule type="expression" dxfId="1628" priority="109">
      <formula>AND(B$9&gt;=8/24,B$9&lt;14/24)</formula>
    </cfRule>
    <cfRule type="expression" dxfId="1627" priority="110">
      <formula>B$9&lt;8/24</formula>
    </cfRule>
  </conditionalFormatting>
  <conditionalFormatting sqref="B35">
    <cfRule type="expression" dxfId="1626" priority="103">
      <formula>B$9&gt;=20/24</formula>
    </cfRule>
    <cfRule type="expression" dxfId="1625" priority="104">
      <formula>AND(B$9&gt;=14/24,B$9&lt;20/24)</formula>
    </cfRule>
    <cfRule type="expression" dxfId="1624" priority="105">
      <formula>AND(B$9&gt;=8/24,B$9&lt;14/24)</formula>
    </cfRule>
    <cfRule type="expression" dxfId="1623" priority="106">
      <formula>B$9&lt;8/24</formula>
    </cfRule>
  </conditionalFormatting>
  <conditionalFormatting sqref="B34:B35 B17:B32">
    <cfRule type="expression" dxfId="1622" priority="102">
      <formula>B17&gt;$AG17</formula>
    </cfRule>
  </conditionalFormatting>
  <conditionalFormatting sqref="B34">
    <cfRule type="expression" dxfId="1621" priority="98">
      <formula>B$9&gt;=20/24</formula>
    </cfRule>
    <cfRule type="expression" dxfId="1620" priority="99">
      <formula>AND(B$9&gt;=14/24,B$9&lt;20/24)</formula>
    </cfRule>
    <cfRule type="expression" dxfId="1619" priority="100">
      <formula>AND(B$9&gt;=8/24,B$9&lt;14/24)</formula>
    </cfRule>
    <cfRule type="expression" dxfId="1618" priority="101">
      <formula>B$9&lt;8/24</formula>
    </cfRule>
  </conditionalFormatting>
  <conditionalFormatting sqref="B33">
    <cfRule type="expression" dxfId="1617" priority="94">
      <formula>B$9&gt;=20/24</formula>
    </cfRule>
    <cfRule type="expression" dxfId="1616" priority="95">
      <formula>AND(B$9&gt;=14/24,B$9&lt;20/24)</formula>
    </cfRule>
    <cfRule type="expression" dxfId="1615" priority="96">
      <formula>AND(B$9&gt;=8/24,B$9&lt;14/24)</formula>
    </cfRule>
    <cfRule type="expression" dxfId="1614" priority="97">
      <formula>B$9&lt;8/24</formula>
    </cfRule>
  </conditionalFormatting>
  <conditionalFormatting sqref="B33">
    <cfRule type="expression" dxfId="1613" priority="93">
      <formula>B33&gt;$AG33</formula>
    </cfRule>
  </conditionalFormatting>
  <conditionalFormatting sqref="B74 B82">
    <cfRule type="expression" dxfId="1612" priority="89">
      <formula>B$9&gt;=20/24</formula>
    </cfRule>
    <cfRule type="expression" dxfId="1611" priority="90">
      <formula>AND(B$9&gt;=14/24,B$9&lt;20/24)</formula>
    </cfRule>
    <cfRule type="expression" dxfId="1610" priority="91">
      <formula>AND(B$9&gt;=8/24,B$9&lt;14/24)</formula>
    </cfRule>
    <cfRule type="expression" dxfId="1609" priority="92">
      <formula>B$9&lt;8/24</formula>
    </cfRule>
  </conditionalFormatting>
  <conditionalFormatting sqref="B75 B73 B83">
    <cfRule type="expression" dxfId="1608" priority="85">
      <formula>B$9&gt;=20/24</formula>
    </cfRule>
    <cfRule type="expression" dxfId="1607" priority="86">
      <formula>AND(B$9&gt;=14/24,B$9&lt;20/24)</formula>
    </cfRule>
    <cfRule type="expression" dxfId="1606" priority="87">
      <formula>AND(B$9&gt;=8/24,B$9&lt;14/24)</formula>
    </cfRule>
    <cfRule type="expression" dxfId="1605" priority="88">
      <formula>B$9&lt;8/24</formula>
    </cfRule>
  </conditionalFormatting>
  <conditionalFormatting sqref="B52 B38">
    <cfRule type="expression" dxfId="1604" priority="84">
      <formula>B38&gt;$AG38</formula>
    </cfRule>
  </conditionalFormatting>
  <conditionalFormatting sqref="B68">
    <cfRule type="expression" dxfId="1603" priority="80">
      <formula>B$9&gt;=20/24</formula>
    </cfRule>
    <cfRule type="expression" dxfId="1602" priority="81">
      <formula>AND(B$9&gt;=14/24,B$9&lt;20/24)</formula>
    </cfRule>
    <cfRule type="expression" dxfId="1601" priority="82">
      <formula>AND(B$9&gt;=8/24,B$9&lt;14/24)</formula>
    </cfRule>
    <cfRule type="expression" dxfId="1600" priority="83">
      <formula>B$9&lt;8/24</formula>
    </cfRule>
  </conditionalFormatting>
  <conditionalFormatting sqref="B76:B80">
    <cfRule type="expression" dxfId="1599" priority="76">
      <formula>B$9&gt;=20/24</formula>
    </cfRule>
    <cfRule type="expression" dxfId="1598" priority="77">
      <formula>AND(B$9&gt;=14/24,B$9&lt;20/24)</formula>
    </cfRule>
    <cfRule type="expression" dxfId="1597" priority="78">
      <formula>AND(B$9&gt;=8/24,B$9&lt;14/24)</formula>
    </cfRule>
    <cfRule type="expression" dxfId="1596" priority="79">
      <formula>B$9&lt;8/24</formula>
    </cfRule>
  </conditionalFormatting>
  <conditionalFormatting sqref="C94:C100 C11:L11">
    <cfRule type="expression" dxfId="1595" priority="72">
      <formula>C$9&gt;=20/24</formula>
    </cfRule>
    <cfRule type="expression" dxfId="1594" priority="73">
      <formula>AND(C$9&gt;=14/24,C$9&lt;20/24)</formula>
    </cfRule>
    <cfRule type="expression" dxfId="1593" priority="74">
      <formula>AND(C$9&gt;=8/24,C$9&lt;14/24)</formula>
    </cfRule>
    <cfRule type="expression" dxfId="1592" priority="75">
      <formula>C$9&lt;8/24</formula>
    </cfRule>
  </conditionalFormatting>
  <conditionalFormatting sqref="C37:D37">
    <cfRule type="expression" dxfId="1591" priority="68">
      <formula>C$9&gt;=20/24</formula>
    </cfRule>
    <cfRule type="expression" dxfId="1590" priority="69">
      <formula>AND(C$9&gt;=14/24,C$9&lt;20/24)</formula>
    </cfRule>
    <cfRule type="expression" dxfId="1589" priority="70">
      <formula>AND(C$9&gt;=8/24,C$9&lt;14/24)</formula>
    </cfRule>
    <cfRule type="expression" dxfId="1588" priority="71">
      <formula>C$9&lt;8/24</formula>
    </cfRule>
  </conditionalFormatting>
  <conditionalFormatting sqref="C37:D37 C11:L11 C16:L16">
    <cfRule type="expression" dxfId="1587" priority="67">
      <formula>C11&gt;$AG11</formula>
    </cfRule>
  </conditionalFormatting>
  <conditionalFormatting sqref="C84">
    <cfRule type="expression" dxfId="1586" priority="63">
      <formula>C$9&gt;=20/24</formula>
    </cfRule>
    <cfRule type="expression" dxfId="1585" priority="64">
      <formula>AND(C$9&gt;=14/24,C$9&lt;20/24)</formula>
    </cfRule>
    <cfRule type="expression" dxfId="1584" priority="65">
      <formula>AND(C$9&gt;=8/24,C$9&lt;14/24)</formula>
    </cfRule>
    <cfRule type="expression" dxfId="1583" priority="66">
      <formula>C$9&lt;8/24</formula>
    </cfRule>
  </conditionalFormatting>
  <conditionalFormatting sqref="C57 C40:C41">
    <cfRule type="expression" dxfId="1582" priority="59">
      <formula>C$9&gt;=20/24</formula>
    </cfRule>
    <cfRule type="expression" dxfId="1581" priority="60">
      <formula>AND(C$9&gt;=14/24,C$9&lt;20/24)</formula>
    </cfRule>
    <cfRule type="expression" dxfId="1580" priority="61">
      <formula>AND(C$9&gt;=8/24,C$9&lt;14/24)</formula>
    </cfRule>
    <cfRule type="expression" dxfId="1579" priority="62">
      <formula>C$9&lt;8/24</formula>
    </cfRule>
  </conditionalFormatting>
  <conditionalFormatting sqref="C39">
    <cfRule type="expression" dxfId="1578" priority="55">
      <formula>C$9&gt;=20/24</formula>
    </cfRule>
    <cfRule type="expression" dxfId="1577" priority="56">
      <formula>AND(C$9&gt;=14/24,C$9&lt;20/24)</formula>
    </cfRule>
    <cfRule type="expression" dxfId="1576" priority="57">
      <formula>AND(C$9&gt;=8/24,C$9&lt;14/24)</formula>
    </cfRule>
    <cfRule type="expression" dxfId="1575" priority="58">
      <formula>C$9&lt;8/24</formula>
    </cfRule>
  </conditionalFormatting>
  <conditionalFormatting sqref="C39:C41">
    <cfRule type="expression" dxfId="1574" priority="54">
      <formula>C39&gt;$AG39</formula>
    </cfRule>
  </conditionalFormatting>
  <conditionalFormatting sqref="C81 C69:C72 C53:C56 C58:C67 C85:C91 C36:L36 C12:L14">
    <cfRule type="expression" dxfId="1573" priority="50">
      <formula>C$9&gt;=20/24</formula>
    </cfRule>
    <cfRule type="expression" dxfId="1572" priority="51">
      <formula>AND(C$9&gt;=14/24,C$9&lt;20/24)</formula>
    </cfRule>
    <cfRule type="expression" dxfId="1571" priority="52">
      <formula>AND(C$9&gt;=8/24,C$9&lt;14/24)</formula>
    </cfRule>
    <cfRule type="expression" dxfId="1570" priority="53">
      <formula>C$9&lt;8/24</formula>
    </cfRule>
  </conditionalFormatting>
  <conditionalFormatting sqref="C42:C43 C51 C53:C56 C36:L36 C12:L15">
    <cfRule type="expression" dxfId="1569" priority="49">
      <formula>C12&gt;$AG12</formula>
    </cfRule>
  </conditionalFormatting>
  <conditionalFormatting sqref="C15:L15">
    <cfRule type="expression" dxfId="1568" priority="45">
      <formula>C$9&gt;=20/24</formula>
    </cfRule>
    <cfRule type="expression" dxfId="1567" priority="46">
      <formula>AND(C$9&gt;=14/24,C$9&lt;20/24)</formula>
    </cfRule>
    <cfRule type="expression" dxfId="1566" priority="47">
      <formula>AND(C$9&gt;=8/24,C$9&lt;14/24)</formula>
    </cfRule>
    <cfRule type="expression" dxfId="1565" priority="48">
      <formula>C$9&lt;8/24</formula>
    </cfRule>
  </conditionalFormatting>
  <conditionalFormatting sqref="C44:C50">
    <cfRule type="expression" dxfId="1564" priority="41">
      <formula>C$9&gt;=20/24</formula>
    </cfRule>
    <cfRule type="expression" dxfId="1563" priority="42">
      <formula>AND(C$9&gt;=14/24,C$9&lt;20/24)</formula>
    </cfRule>
    <cfRule type="expression" dxfId="1562" priority="43">
      <formula>AND(C$9&gt;=8/24,C$9&lt;14/24)</formula>
    </cfRule>
    <cfRule type="expression" dxfId="1561" priority="44">
      <formula>C$9&lt;8/24</formula>
    </cfRule>
  </conditionalFormatting>
  <conditionalFormatting sqref="C44:C50">
    <cfRule type="expression" dxfId="1560" priority="40">
      <formula>C44&gt;$AG44</formula>
    </cfRule>
  </conditionalFormatting>
  <conditionalFormatting sqref="C16:L31">
    <cfRule type="expression" dxfId="1559" priority="36">
      <formula>C$9&gt;=20/24</formula>
    </cfRule>
    <cfRule type="expression" dxfId="1558" priority="37">
      <formula>AND(C$9&gt;=14/24,C$9&lt;20/24)</formula>
    </cfRule>
    <cfRule type="expression" dxfId="1557" priority="38">
      <formula>AND(C$9&gt;=8/24,C$9&lt;14/24)</formula>
    </cfRule>
    <cfRule type="expression" dxfId="1556" priority="39">
      <formula>C$9&lt;8/24</formula>
    </cfRule>
  </conditionalFormatting>
  <conditionalFormatting sqref="C32:L32">
    <cfRule type="expression" dxfId="1555" priority="32">
      <formula>C$9&gt;=20/24</formula>
    </cfRule>
    <cfRule type="expression" dxfId="1554" priority="33">
      <formula>AND(C$9&gt;=14/24,C$9&lt;20/24)</formula>
    </cfRule>
    <cfRule type="expression" dxfId="1553" priority="34">
      <formula>AND(C$9&gt;=8/24,C$9&lt;14/24)</formula>
    </cfRule>
    <cfRule type="expression" dxfId="1552" priority="35">
      <formula>C$9&lt;8/24</formula>
    </cfRule>
  </conditionalFormatting>
  <conditionalFormatting sqref="C35:L35">
    <cfRule type="expression" dxfId="1551" priority="28">
      <formula>C$9&gt;=20/24</formula>
    </cfRule>
    <cfRule type="expression" dxfId="1550" priority="29">
      <formula>AND(C$9&gt;=14/24,C$9&lt;20/24)</formula>
    </cfRule>
    <cfRule type="expression" dxfId="1549" priority="30">
      <formula>AND(C$9&gt;=8/24,C$9&lt;14/24)</formula>
    </cfRule>
    <cfRule type="expression" dxfId="1548" priority="31">
      <formula>C$9&lt;8/24</formula>
    </cfRule>
  </conditionalFormatting>
  <conditionalFormatting sqref="C34:L35 C17:L32">
    <cfRule type="expression" dxfId="1547" priority="27">
      <formula>C17&gt;$AG17</formula>
    </cfRule>
  </conditionalFormatting>
  <conditionalFormatting sqref="C34:L34">
    <cfRule type="expression" dxfId="1546" priority="23">
      <formula>C$9&gt;=20/24</formula>
    </cfRule>
    <cfRule type="expression" dxfId="1545" priority="24">
      <formula>AND(C$9&gt;=14/24,C$9&lt;20/24)</formula>
    </cfRule>
    <cfRule type="expression" dxfId="1544" priority="25">
      <formula>AND(C$9&gt;=8/24,C$9&lt;14/24)</formula>
    </cfRule>
    <cfRule type="expression" dxfId="1543" priority="26">
      <formula>C$9&lt;8/24</formula>
    </cfRule>
  </conditionalFormatting>
  <conditionalFormatting sqref="C33:L33">
    <cfRule type="expression" dxfId="1542" priority="19">
      <formula>C$9&gt;=20/24</formula>
    </cfRule>
    <cfRule type="expression" dxfId="1541" priority="20">
      <formula>AND(C$9&gt;=14/24,C$9&lt;20/24)</formula>
    </cfRule>
    <cfRule type="expression" dxfId="1540" priority="21">
      <formula>AND(C$9&gt;=8/24,C$9&lt;14/24)</formula>
    </cfRule>
    <cfRule type="expression" dxfId="1539" priority="22">
      <formula>C$9&lt;8/24</formula>
    </cfRule>
  </conditionalFormatting>
  <conditionalFormatting sqref="C33:L33">
    <cfRule type="expression" dxfId="1538" priority="18">
      <formula>C33&gt;$AG33</formula>
    </cfRule>
  </conditionalFormatting>
  <conditionalFormatting sqref="C74 C82">
    <cfRule type="expression" dxfId="1537" priority="14">
      <formula>C$9&gt;=20/24</formula>
    </cfRule>
    <cfRule type="expression" dxfId="1536" priority="15">
      <formula>AND(C$9&gt;=14/24,C$9&lt;20/24)</formula>
    </cfRule>
    <cfRule type="expression" dxfId="1535" priority="16">
      <formula>AND(C$9&gt;=8/24,C$9&lt;14/24)</formula>
    </cfRule>
    <cfRule type="expression" dxfId="1534" priority="17">
      <formula>C$9&lt;8/24</formula>
    </cfRule>
  </conditionalFormatting>
  <conditionalFormatting sqref="C75 C73 C83">
    <cfRule type="expression" dxfId="1533" priority="10">
      <formula>C$9&gt;=20/24</formula>
    </cfRule>
    <cfRule type="expression" dxfId="1532" priority="11">
      <formula>AND(C$9&gt;=14/24,C$9&lt;20/24)</formula>
    </cfRule>
    <cfRule type="expression" dxfId="1531" priority="12">
      <formula>AND(C$9&gt;=8/24,C$9&lt;14/24)</formula>
    </cfRule>
    <cfRule type="expression" dxfId="1530" priority="13">
      <formula>C$9&lt;8/24</formula>
    </cfRule>
  </conditionalFormatting>
  <conditionalFormatting sqref="C52 C38">
    <cfRule type="expression" dxfId="1529" priority="9">
      <formula>C38&gt;$AG38</formula>
    </cfRule>
  </conditionalFormatting>
  <conditionalFormatting sqref="C68">
    <cfRule type="expression" dxfId="1528" priority="5">
      <formula>C$9&gt;=20/24</formula>
    </cfRule>
    <cfRule type="expression" dxfId="1527" priority="6">
      <formula>AND(C$9&gt;=14/24,C$9&lt;20/24)</formula>
    </cfRule>
    <cfRule type="expression" dxfId="1526" priority="7">
      <formula>AND(C$9&gt;=8/24,C$9&lt;14/24)</formula>
    </cfRule>
    <cfRule type="expression" dxfId="1525" priority="8">
      <formula>C$9&lt;8/24</formula>
    </cfRule>
  </conditionalFormatting>
  <conditionalFormatting sqref="C76:C80">
    <cfRule type="expression" dxfId="1524" priority="1">
      <formula>C$9&gt;=20/24</formula>
    </cfRule>
    <cfRule type="expression" dxfId="1523" priority="2">
      <formula>AND(C$9&gt;=14/24,C$9&lt;20/24)</formula>
    </cfRule>
    <cfRule type="expression" dxfId="1522" priority="3">
      <formula>AND(C$9&gt;=8/24,C$9&lt;14/24)</formula>
    </cfRule>
    <cfRule type="expression" dxfId="1521" priority="4">
      <formula>C$9&lt;8/24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B26" sqref="B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2079/02/26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28</v>
      </c>
      <c r="C5" s="32">
        <f t="shared" si="0"/>
        <v>34.799999999999997</v>
      </c>
      <c r="D5" s="32">
        <f t="shared" si="0"/>
        <v>23</v>
      </c>
      <c r="E5" s="32">
        <f t="shared" si="0"/>
        <v>19.8</v>
      </c>
      <c r="F5" s="32">
        <f t="shared" si="0"/>
        <v>18.3</v>
      </c>
      <c r="G5" s="32">
        <f t="shared" si="0"/>
        <v>13</v>
      </c>
      <c r="H5" s="32">
        <f t="shared" si="0"/>
        <v>19</v>
      </c>
      <c r="I5" s="32">
        <f t="shared" si="0"/>
        <v>18.899999999999999</v>
      </c>
      <c r="J5" s="32">
        <f t="shared" si="0"/>
        <v>18.3</v>
      </c>
      <c r="K5" s="32">
        <f t="shared" si="0"/>
        <v>20</v>
      </c>
      <c r="L5" s="32">
        <f t="shared" si="0"/>
        <v>17.3</v>
      </c>
      <c r="M5" s="32">
        <f t="shared" si="0"/>
        <v>47</v>
      </c>
      <c r="N5" s="32">
        <f t="shared" si="0"/>
        <v>56.1</v>
      </c>
      <c r="O5" s="32">
        <f t="shared" si="0"/>
        <v>55.4</v>
      </c>
      <c r="P5" s="32">
        <f t="shared" si="0"/>
        <v>49.5</v>
      </c>
      <c r="Q5" s="32">
        <f t="shared" si="0"/>
        <v>74.400000000000006</v>
      </c>
      <c r="R5" s="32">
        <f t="shared" si="0"/>
        <v>73.8</v>
      </c>
      <c r="S5" s="32">
        <f t="shared" si="0"/>
        <v>8</v>
      </c>
      <c r="T5" s="32">
        <f t="shared" si="0"/>
        <v>8</v>
      </c>
      <c r="U5" s="32">
        <f t="shared" si="0"/>
        <v>0</v>
      </c>
      <c r="V5" s="32">
        <f t="shared" si="0"/>
        <v>8</v>
      </c>
      <c r="W5" s="32">
        <f t="shared" si="0"/>
        <v>8</v>
      </c>
      <c r="X5" s="32">
        <f t="shared" si="0"/>
        <v>8</v>
      </c>
      <c r="Y5" s="32">
        <f t="shared" si="0"/>
        <v>8</v>
      </c>
      <c r="Z5" s="32">
        <f t="shared" si="0"/>
        <v>8</v>
      </c>
      <c r="AA5" s="32">
        <f t="shared" si="0"/>
        <v>71.599999999999994</v>
      </c>
      <c r="AB5" s="32">
        <f t="shared" si="0"/>
        <v>72.900000000000006</v>
      </c>
      <c r="AC5" s="32">
        <f t="shared" si="0"/>
        <v>57.4</v>
      </c>
      <c r="AD5" s="32">
        <f t="shared" si="0"/>
        <v>78.7</v>
      </c>
      <c r="AE5" s="32">
        <f t="shared" si="0"/>
        <v>75.099999999999994</v>
      </c>
      <c r="AF5" s="32">
        <f>B68</f>
        <v>65.8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1740MW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Load=1597</v>
      </c>
      <c r="B7" s="37">
        <f>B75</f>
        <v>1754.8400000000001</v>
      </c>
      <c r="C7" s="37">
        <f t="shared" ref="C7:AF7" si="1">C75</f>
        <v>1732.94</v>
      </c>
      <c r="D7" s="37">
        <f t="shared" si="1"/>
        <v>1738.74</v>
      </c>
      <c r="E7" s="37">
        <f t="shared" si="1"/>
        <v>1730.2400000000002</v>
      </c>
      <c r="F7" s="37">
        <f t="shared" si="1"/>
        <v>1727.14</v>
      </c>
      <c r="G7" s="37">
        <f t="shared" si="1"/>
        <v>1708.7400000000002</v>
      </c>
      <c r="H7" s="37">
        <f t="shared" si="1"/>
        <v>1684.8400000000001</v>
      </c>
      <c r="I7" s="37">
        <f t="shared" si="1"/>
        <v>1699.24</v>
      </c>
      <c r="J7" s="37">
        <f t="shared" si="1"/>
        <v>1704.14</v>
      </c>
      <c r="K7" s="37">
        <f t="shared" si="1"/>
        <v>1718.54</v>
      </c>
      <c r="L7" s="37">
        <f t="shared" si="1"/>
        <v>1720.24</v>
      </c>
      <c r="M7" s="37">
        <f t="shared" si="1"/>
        <v>1705.9399999999998</v>
      </c>
      <c r="N7" s="37">
        <f t="shared" si="1"/>
        <v>1739.5400000000002</v>
      </c>
      <c r="O7" s="37">
        <f t="shared" si="1"/>
        <v>1783.3400000000001</v>
      </c>
      <c r="P7" s="37">
        <f t="shared" si="1"/>
        <v>1775.2400000000002</v>
      </c>
      <c r="Q7" s="37">
        <f t="shared" si="1"/>
        <v>1765.94</v>
      </c>
      <c r="R7" s="37">
        <f t="shared" si="1"/>
        <v>1803.3400000000001</v>
      </c>
      <c r="S7" s="37">
        <f t="shared" si="1"/>
        <v>1802.34</v>
      </c>
      <c r="T7" s="37">
        <f t="shared" si="1"/>
        <v>1597.04</v>
      </c>
      <c r="U7" s="37">
        <f t="shared" si="1"/>
        <v>1675.6399999999999</v>
      </c>
      <c r="V7" s="37">
        <f t="shared" si="1"/>
        <v>1667.6399999999999</v>
      </c>
      <c r="W7" s="37">
        <f t="shared" si="1"/>
        <v>1675.6399999999999</v>
      </c>
      <c r="X7" s="37">
        <f t="shared" si="1"/>
        <v>1675.6399999999999</v>
      </c>
      <c r="Y7" s="37">
        <f t="shared" si="1"/>
        <v>1711.6399999999999</v>
      </c>
      <c r="Z7" s="37">
        <f t="shared" si="1"/>
        <v>1711.6399999999999</v>
      </c>
      <c r="AA7" s="37">
        <f t="shared" si="1"/>
        <v>1728.84</v>
      </c>
      <c r="AB7" s="37">
        <f t="shared" si="1"/>
        <v>1801.54</v>
      </c>
      <c r="AC7" s="37">
        <f t="shared" si="1"/>
        <v>1802.8400000000001</v>
      </c>
      <c r="AD7" s="37">
        <f t="shared" si="1"/>
        <v>1786.3400000000001</v>
      </c>
      <c r="AE7" s="37">
        <f t="shared" si="1"/>
        <v>1805.14</v>
      </c>
      <c r="AF7" s="37">
        <f t="shared" si="1"/>
        <v>1793.4399999999998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51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1">
        <v>456</v>
      </c>
      <c r="L11" s="51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1">
        <v>456</v>
      </c>
      <c r="Y11" s="51">
        <v>456</v>
      </c>
      <c r="Z11" s="51">
        <v>456</v>
      </c>
      <c r="AA11" s="51">
        <v>456</v>
      </c>
      <c r="AB11" s="51">
        <v>456</v>
      </c>
      <c r="AC11" s="51">
        <v>456</v>
      </c>
      <c r="AD11" s="51">
        <v>456</v>
      </c>
      <c r="AE11" s="51">
        <v>456</v>
      </c>
      <c r="AF11" s="51">
        <v>456</v>
      </c>
      <c r="AG11" s="54">
        <v>456</v>
      </c>
      <c r="AH11" s="55">
        <f>MAX(B11:AF11)</f>
        <v>456</v>
      </c>
      <c r="AI11" s="56">
        <f>MIN(B11:AF11)</f>
        <v>456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54.2</v>
      </c>
      <c r="C13" s="51">
        <v>54.2</v>
      </c>
      <c r="D13" s="51">
        <v>54.2</v>
      </c>
      <c r="E13" s="51">
        <v>54.2</v>
      </c>
      <c r="F13" s="51">
        <v>54.2</v>
      </c>
      <c r="G13" s="51">
        <v>54.2</v>
      </c>
      <c r="H13" s="51">
        <v>54.2</v>
      </c>
      <c r="I13" s="51">
        <v>54.2</v>
      </c>
      <c r="J13" s="51">
        <v>54.2</v>
      </c>
      <c r="K13" s="51">
        <v>54.2</v>
      </c>
      <c r="L13" s="51">
        <v>54.2</v>
      </c>
      <c r="M13" s="51">
        <v>54</v>
      </c>
      <c r="N13" s="51">
        <v>54</v>
      </c>
      <c r="O13" s="51">
        <v>54</v>
      </c>
      <c r="P13" s="51">
        <v>54</v>
      </c>
      <c r="Q13" s="51">
        <v>54</v>
      </c>
      <c r="R13" s="51">
        <v>54</v>
      </c>
      <c r="S13" s="51">
        <v>54</v>
      </c>
      <c r="T13" s="51">
        <v>54</v>
      </c>
      <c r="U13" s="51">
        <v>54</v>
      </c>
      <c r="V13" s="51">
        <v>54</v>
      </c>
      <c r="W13" s="51">
        <v>54</v>
      </c>
      <c r="X13" s="51">
        <v>54</v>
      </c>
      <c r="Y13" s="51">
        <v>54</v>
      </c>
      <c r="Z13" s="51">
        <v>54</v>
      </c>
      <c r="AA13" s="51">
        <v>54</v>
      </c>
      <c r="AB13" s="51">
        <v>54</v>
      </c>
      <c r="AC13" s="51">
        <v>54</v>
      </c>
      <c r="AD13" s="51">
        <v>54</v>
      </c>
      <c r="AE13" s="51">
        <v>54</v>
      </c>
      <c r="AF13" s="51">
        <v>54</v>
      </c>
      <c r="AG13" s="59">
        <v>52.4</v>
      </c>
      <c r="AH13" s="55">
        <f t="shared" si="2"/>
        <v>54.2</v>
      </c>
      <c r="AI13" s="56">
        <f t="shared" si="3"/>
        <v>54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50.4</v>
      </c>
      <c r="N14" s="51">
        <v>50.4</v>
      </c>
      <c r="O14" s="51">
        <v>50.4</v>
      </c>
      <c r="P14" s="51">
        <v>50.4</v>
      </c>
      <c r="Q14" s="51">
        <v>50.6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50.6</v>
      </c>
      <c r="AD14" s="51">
        <v>50.6</v>
      </c>
      <c r="AE14" s="51">
        <v>50.6</v>
      </c>
      <c r="AF14" s="51">
        <v>50.6</v>
      </c>
      <c r="AG14" s="59">
        <v>50</v>
      </c>
      <c r="AH14" s="55">
        <f t="shared" si="2"/>
        <v>50.6</v>
      </c>
      <c r="AI14" s="56">
        <f t="shared" si="3"/>
        <v>50.4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45.7</v>
      </c>
      <c r="E15" s="51">
        <v>45.6</v>
      </c>
      <c r="F15" s="51">
        <v>45.6</v>
      </c>
      <c r="G15" s="51">
        <v>45.6</v>
      </c>
      <c r="H15" s="51">
        <v>45.3</v>
      </c>
      <c r="I15" s="51">
        <v>45.3</v>
      </c>
      <c r="J15" s="51">
        <v>45.3</v>
      </c>
      <c r="K15" s="51">
        <v>45.3</v>
      </c>
      <c r="L15" s="51">
        <v>45.3</v>
      </c>
      <c r="M15" s="51">
        <v>45.3</v>
      </c>
      <c r="N15" s="51">
        <v>45.3</v>
      </c>
      <c r="O15" s="51">
        <v>45.3</v>
      </c>
      <c r="P15" s="51">
        <v>45.3</v>
      </c>
      <c r="Q15" s="51">
        <v>45.7</v>
      </c>
      <c r="R15" s="51">
        <v>45.7</v>
      </c>
      <c r="S15" s="51">
        <v>45.7</v>
      </c>
      <c r="T15" s="51">
        <v>45.7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60">
        <v>45</v>
      </c>
      <c r="AH15" s="55">
        <f t="shared" si="2"/>
        <v>45.7</v>
      </c>
      <c r="AI15" s="56">
        <f t="shared" si="3"/>
        <v>45.3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30</v>
      </c>
      <c r="C16" s="51">
        <v>30</v>
      </c>
      <c r="D16" s="51">
        <v>30</v>
      </c>
      <c r="E16" s="51">
        <v>30</v>
      </c>
      <c r="F16" s="51">
        <v>30</v>
      </c>
      <c r="G16" s="51">
        <v>30</v>
      </c>
      <c r="H16" s="51">
        <v>30</v>
      </c>
      <c r="I16" s="51">
        <v>30</v>
      </c>
      <c r="J16" s="51">
        <v>30</v>
      </c>
      <c r="K16" s="51">
        <v>30</v>
      </c>
      <c r="L16" s="51">
        <v>30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39</v>
      </c>
      <c r="AE16" s="51">
        <v>39</v>
      </c>
      <c r="AF16" s="51">
        <v>36</v>
      </c>
      <c r="AG16" s="59">
        <v>45</v>
      </c>
      <c r="AH16" s="55">
        <f t="shared" si="2"/>
        <v>40</v>
      </c>
      <c r="AI16" s="56">
        <f t="shared" si="3"/>
        <v>30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26.2</v>
      </c>
      <c r="D19" s="51">
        <v>26.1</v>
      </c>
      <c r="E19" s="51">
        <v>25</v>
      </c>
      <c r="F19" s="51">
        <v>25</v>
      </c>
      <c r="G19" s="51">
        <v>25</v>
      </c>
      <c r="H19" s="51">
        <v>25</v>
      </c>
      <c r="I19" s="51">
        <v>25</v>
      </c>
      <c r="J19" s="51">
        <v>25</v>
      </c>
      <c r="K19" s="51">
        <v>25</v>
      </c>
      <c r="L19" s="51">
        <v>25</v>
      </c>
      <c r="M19" s="51">
        <v>26.1</v>
      </c>
      <c r="N19" s="51">
        <v>0</v>
      </c>
      <c r="O19" s="51">
        <v>25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23</v>
      </c>
      <c r="C20" s="51">
        <v>23</v>
      </c>
      <c r="D20" s="51">
        <v>23</v>
      </c>
      <c r="E20" s="51">
        <v>23</v>
      </c>
      <c r="F20" s="51">
        <v>23</v>
      </c>
      <c r="G20" s="51">
        <v>23</v>
      </c>
      <c r="H20" s="51">
        <v>23</v>
      </c>
      <c r="I20" s="51">
        <v>23</v>
      </c>
      <c r="J20" s="51">
        <v>23</v>
      </c>
      <c r="K20" s="51">
        <v>23</v>
      </c>
      <c r="L20" s="51">
        <v>23</v>
      </c>
      <c r="M20" s="51">
        <v>23</v>
      </c>
      <c r="N20" s="51">
        <v>23</v>
      </c>
      <c r="O20" s="51">
        <v>23</v>
      </c>
      <c r="P20" s="51">
        <v>23</v>
      </c>
      <c r="Q20" s="51">
        <v>23</v>
      </c>
      <c r="R20" s="51">
        <v>23</v>
      </c>
      <c r="S20" s="51">
        <v>23</v>
      </c>
      <c r="T20" s="51">
        <v>23</v>
      </c>
      <c r="U20" s="51">
        <v>23</v>
      </c>
      <c r="V20" s="51">
        <v>23</v>
      </c>
      <c r="W20" s="51">
        <v>23</v>
      </c>
      <c r="X20" s="51">
        <v>23</v>
      </c>
      <c r="Y20" s="51">
        <v>23</v>
      </c>
      <c r="Z20" s="51">
        <v>23</v>
      </c>
      <c r="AA20" s="51">
        <v>23</v>
      </c>
      <c r="AB20" s="51">
        <v>23</v>
      </c>
      <c r="AC20" s="51">
        <v>23</v>
      </c>
      <c r="AD20" s="51">
        <v>23</v>
      </c>
      <c r="AE20" s="51">
        <v>23</v>
      </c>
      <c r="AF20" s="51">
        <v>23</v>
      </c>
      <c r="AG20" s="59">
        <v>27</v>
      </c>
      <c r="AH20" s="55">
        <f t="shared" si="2"/>
        <v>23</v>
      </c>
      <c r="AI20" s="56">
        <f t="shared" si="3"/>
        <v>23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>
        <v>11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59">
        <v>25</v>
      </c>
      <c r="AH21" s="55">
        <f t="shared" si="2"/>
        <v>11</v>
      </c>
      <c r="AI21" s="56">
        <f t="shared" si="3"/>
        <v>11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5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0</v>
      </c>
      <c r="Q26" s="51">
        <v>0</v>
      </c>
      <c r="R26" s="51">
        <v>10.5</v>
      </c>
      <c r="S26" s="51">
        <v>10.5</v>
      </c>
      <c r="T26" s="51">
        <v>10.5</v>
      </c>
      <c r="U26" s="51">
        <v>10.5</v>
      </c>
      <c r="V26" s="51">
        <v>10.5</v>
      </c>
      <c r="W26" s="51">
        <v>10.5</v>
      </c>
      <c r="X26" s="51">
        <v>10.5</v>
      </c>
      <c r="Y26" s="51">
        <v>10.5</v>
      </c>
      <c r="Z26" s="51">
        <v>10.5</v>
      </c>
      <c r="AA26" s="51">
        <v>10.5</v>
      </c>
      <c r="AB26" s="51">
        <v>10.5</v>
      </c>
      <c r="AC26" s="51">
        <v>10.5</v>
      </c>
      <c r="AD26" s="51">
        <v>10.5</v>
      </c>
      <c r="AE26" s="51">
        <v>8</v>
      </c>
      <c r="AF26" s="51">
        <v>5</v>
      </c>
      <c r="AG26" s="59">
        <v>20</v>
      </c>
      <c r="AH26" s="55">
        <f t="shared" si="2"/>
        <v>10.5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12</v>
      </c>
      <c r="C28" s="51">
        <v>12</v>
      </c>
      <c r="D28" s="51">
        <v>12</v>
      </c>
      <c r="E28" s="51">
        <v>12</v>
      </c>
      <c r="F28" s="51">
        <v>12</v>
      </c>
      <c r="G28" s="51">
        <v>12</v>
      </c>
      <c r="H28" s="51">
        <v>12</v>
      </c>
      <c r="I28" s="51">
        <v>12</v>
      </c>
      <c r="J28" s="51">
        <v>12</v>
      </c>
      <c r="K28" s="51">
        <v>12</v>
      </c>
      <c r="L28" s="51">
        <v>12</v>
      </c>
      <c r="M28" s="51">
        <v>12</v>
      </c>
      <c r="N28" s="51">
        <v>12</v>
      </c>
      <c r="O28" s="51">
        <v>12</v>
      </c>
      <c r="P28" s="51">
        <v>12</v>
      </c>
      <c r="Q28" s="51">
        <v>12</v>
      </c>
      <c r="R28" s="51">
        <v>12</v>
      </c>
      <c r="S28" s="51">
        <v>12</v>
      </c>
      <c r="T28" s="51">
        <v>12</v>
      </c>
      <c r="U28" s="51">
        <v>12</v>
      </c>
      <c r="V28" s="51">
        <v>12</v>
      </c>
      <c r="W28" s="51">
        <v>12</v>
      </c>
      <c r="X28" s="51">
        <v>12</v>
      </c>
      <c r="Y28" s="51">
        <v>12</v>
      </c>
      <c r="Z28" s="51">
        <v>12</v>
      </c>
      <c r="AA28" s="51">
        <v>12</v>
      </c>
      <c r="AB28" s="51">
        <v>12</v>
      </c>
      <c r="AC28" s="51">
        <v>12</v>
      </c>
      <c r="AD28" s="51">
        <v>12</v>
      </c>
      <c r="AE28" s="51">
        <v>12</v>
      </c>
      <c r="AF28" s="51">
        <v>12</v>
      </c>
      <c r="AG28" s="59">
        <v>22.2</v>
      </c>
      <c r="AH28" s="55">
        <f t="shared" si="2"/>
        <v>12</v>
      </c>
      <c r="AI28" s="56">
        <f t="shared" si="3"/>
        <v>12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13</v>
      </c>
      <c r="C29" s="51">
        <v>13</v>
      </c>
      <c r="D29" s="51">
        <v>13</v>
      </c>
      <c r="E29" s="51">
        <v>13</v>
      </c>
      <c r="F29" s="51">
        <v>13</v>
      </c>
      <c r="G29" s="51">
        <v>13</v>
      </c>
      <c r="H29" s="51">
        <v>13</v>
      </c>
      <c r="I29" s="51">
        <v>13</v>
      </c>
      <c r="J29" s="51">
        <v>13</v>
      </c>
      <c r="K29" s="51">
        <v>13</v>
      </c>
      <c r="L29" s="51">
        <v>13</v>
      </c>
      <c r="M29" s="51">
        <v>11</v>
      </c>
      <c r="N29" s="51">
        <v>11</v>
      </c>
      <c r="O29" s="51">
        <v>11</v>
      </c>
      <c r="P29" s="51">
        <v>11</v>
      </c>
      <c r="Q29" s="51">
        <v>11</v>
      </c>
      <c r="R29" s="51">
        <v>11</v>
      </c>
      <c r="S29" s="51">
        <v>11</v>
      </c>
      <c r="T29" s="51">
        <v>11</v>
      </c>
      <c r="U29" s="51">
        <v>11</v>
      </c>
      <c r="V29" s="51">
        <v>11</v>
      </c>
      <c r="W29" s="51">
        <v>11</v>
      </c>
      <c r="X29" s="51">
        <v>11</v>
      </c>
      <c r="Y29" s="51">
        <v>11</v>
      </c>
      <c r="Z29" s="51">
        <v>11</v>
      </c>
      <c r="AA29" s="51">
        <v>11</v>
      </c>
      <c r="AB29" s="51">
        <v>11</v>
      </c>
      <c r="AC29" s="51">
        <v>11</v>
      </c>
      <c r="AD29" s="51">
        <v>11</v>
      </c>
      <c r="AE29" s="51">
        <v>11</v>
      </c>
      <c r="AF29" s="51">
        <v>11</v>
      </c>
      <c r="AG29" s="59">
        <v>22.1</v>
      </c>
      <c r="AH29" s="55">
        <f t="shared" si="2"/>
        <v>13</v>
      </c>
      <c r="AI29" s="56">
        <f t="shared" si="3"/>
        <v>11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12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11</v>
      </c>
      <c r="U32" s="51">
        <v>11</v>
      </c>
      <c r="V32" s="51">
        <v>11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11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4.2</v>
      </c>
      <c r="N34" s="51">
        <v>4.2</v>
      </c>
      <c r="O34" s="51">
        <v>4.2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4">
        <v>20</v>
      </c>
      <c r="AH34" s="55">
        <f t="shared" si="2"/>
        <v>9</v>
      </c>
      <c r="AI34" s="56">
        <f t="shared" si="3"/>
        <v>4.2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8</v>
      </c>
      <c r="L35" s="51">
        <v>8</v>
      </c>
      <c r="M35" s="51">
        <v>8</v>
      </c>
      <c r="N35" s="51">
        <v>8</v>
      </c>
      <c r="O35" s="51">
        <v>8</v>
      </c>
      <c r="P35" s="51">
        <v>8</v>
      </c>
      <c r="Q35" s="51">
        <v>8</v>
      </c>
      <c r="R35" s="51">
        <v>8</v>
      </c>
      <c r="S35" s="51">
        <v>8</v>
      </c>
      <c r="T35" s="51">
        <v>8</v>
      </c>
      <c r="U35" s="51">
        <v>8</v>
      </c>
      <c r="V35" s="51">
        <v>8</v>
      </c>
      <c r="W35" s="51">
        <v>8</v>
      </c>
      <c r="X35" s="51">
        <v>8</v>
      </c>
      <c r="Y35" s="51">
        <v>8</v>
      </c>
      <c r="Z35" s="51">
        <v>8</v>
      </c>
      <c r="AA35" s="51">
        <v>8</v>
      </c>
      <c r="AB35" s="51">
        <v>8</v>
      </c>
      <c r="AC35" s="51">
        <v>8</v>
      </c>
      <c r="AD35" s="51">
        <v>8</v>
      </c>
      <c r="AE35" s="51">
        <v>8</v>
      </c>
      <c r="AF35" s="51">
        <v>8</v>
      </c>
      <c r="AG35" s="64">
        <v>15.33</v>
      </c>
      <c r="AH35" s="55">
        <f t="shared" si="2"/>
        <v>8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290</v>
      </c>
      <c r="N36" s="66">
        <v>290</v>
      </c>
      <c r="O36" s="66">
        <v>290</v>
      </c>
      <c r="P36" s="66">
        <v>290</v>
      </c>
      <c r="Q36" s="66">
        <v>290</v>
      </c>
      <c r="R36" s="66">
        <v>290</v>
      </c>
      <c r="S36" s="66">
        <v>290</v>
      </c>
      <c r="T36" s="66">
        <v>290</v>
      </c>
      <c r="U36" s="66">
        <v>290</v>
      </c>
      <c r="V36" s="66">
        <v>290</v>
      </c>
      <c r="W36" s="66">
        <v>290</v>
      </c>
      <c r="X36" s="66">
        <v>290</v>
      </c>
      <c r="Y36" s="66">
        <v>290</v>
      </c>
      <c r="Z36" s="66">
        <v>290</v>
      </c>
      <c r="AA36" s="66">
        <v>290</v>
      </c>
      <c r="AB36" s="66">
        <v>290</v>
      </c>
      <c r="AC36" s="66">
        <v>290</v>
      </c>
      <c r="AD36" s="66">
        <v>290</v>
      </c>
      <c r="AE36" s="66">
        <v>290</v>
      </c>
      <c r="AF36" s="66">
        <v>290</v>
      </c>
      <c r="AG36" s="64">
        <v>85</v>
      </c>
      <c r="AH36" s="55">
        <f t="shared" si="2"/>
        <v>300</v>
      </c>
      <c r="AI36" s="56">
        <f t="shared" si="3"/>
        <v>290</v>
      </c>
      <c r="AK36" s="57"/>
    </row>
    <row r="37" spans="1:88" ht="15.75" thickBot="1" x14ac:dyDescent="0.3">
      <c r="A37" s="67" t="s">
        <v>45</v>
      </c>
      <c r="B37" s="68">
        <f>69.6+99.7</f>
        <v>169.3</v>
      </c>
      <c r="C37" s="66">
        <f>68.2+100.2</f>
        <v>168.4</v>
      </c>
      <c r="D37" s="66">
        <f>68.3+99</f>
        <v>167.3</v>
      </c>
      <c r="E37" s="66">
        <v>168.4</v>
      </c>
      <c r="F37" s="66">
        <v>168.4</v>
      </c>
      <c r="G37" s="66">
        <v>169</v>
      </c>
      <c r="H37" s="66">
        <v>168</v>
      </c>
      <c r="I37" s="66">
        <v>168</v>
      </c>
      <c r="J37" s="66">
        <v>168</v>
      </c>
      <c r="K37" s="66">
        <v>166</v>
      </c>
      <c r="L37" s="66">
        <v>166</v>
      </c>
      <c r="M37" s="66">
        <f>89.7+67.7</f>
        <v>157.4</v>
      </c>
      <c r="N37" s="66">
        <f>70.5+60.6</f>
        <v>131.1</v>
      </c>
      <c r="O37" s="66">
        <v>120</v>
      </c>
      <c r="P37" s="66">
        <f>82.3+60.4</f>
        <v>142.69999999999999</v>
      </c>
      <c r="Q37" s="66">
        <f>94.4+63</f>
        <v>157.4</v>
      </c>
      <c r="R37" s="66">
        <f>96.3+69.5</f>
        <v>165.8</v>
      </c>
      <c r="S37" s="66">
        <f>63.2+96.8</f>
        <v>160</v>
      </c>
      <c r="T37" s="66">
        <f>63.2+96.8</f>
        <v>160</v>
      </c>
      <c r="U37" s="66">
        <f>63.2+96.8</f>
        <v>160</v>
      </c>
      <c r="V37" s="66">
        <f>63.6+98.6</f>
        <v>162.19999999999999</v>
      </c>
      <c r="W37" s="66">
        <f>63.6+98.6</f>
        <v>162.19999999999999</v>
      </c>
      <c r="X37" s="66">
        <f t="shared" ref="X37" si="4">63.6+98.6</f>
        <v>162.19999999999999</v>
      </c>
      <c r="Y37" s="66">
        <f>61.6+97.6</f>
        <v>159.19999999999999</v>
      </c>
      <c r="Z37" s="66">
        <f>63.6+90</f>
        <v>153.6</v>
      </c>
      <c r="AA37" s="66">
        <f>64.7+96.5</f>
        <v>161.19999999999999</v>
      </c>
      <c r="AB37" s="68">
        <f>65.2+96.4</f>
        <v>161.60000000000002</v>
      </c>
      <c r="AC37" s="68">
        <f>67.6+96</f>
        <v>163.6</v>
      </c>
      <c r="AD37" s="68">
        <f>66.9+96.7</f>
        <v>163.60000000000002</v>
      </c>
      <c r="AE37" s="68">
        <f>66.9+96.7</f>
        <v>163.60000000000002</v>
      </c>
      <c r="AF37" s="68"/>
      <c r="AG37" s="64">
        <v>240</v>
      </c>
      <c r="AH37" s="55">
        <f t="shared" si="2"/>
        <v>169.3</v>
      </c>
      <c r="AI37" s="56">
        <f t="shared" si="3"/>
        <v>120</v>
      </c>
      <c r="AK37" s="57"/>
    </row>
    <row r="38" spans="1:88" ht="15.75" thickBot="1" x14ac:dyDescent="0.3">
      <c r="A38" s="69" t="s">
        <v>46</v>
      </c>
      <c r="B38" s="70">
        <f t="shared" ref="B38:L38" si="5">SUM(B11:B36)</f>
        <v>1277.1000000000001</v>
      </c>
      <c r="C38" s="70">
        <f t="shared" si="5"/>
        <v>1277.1000000000001</v>
      </c>
      <c r="D38" s="70">
        <f t="shared" si="5"/>
        <v>1277</v>
      </c>
      <c r="E38" s="70">
        <f t="shared" si="5"/>
        <v>1275.8000000000002</v>
      </c>
      <c r="F38" s="70">
        <f t="shared" si="5"/>
        <v>1275.8000000000002</v>
      </c>
      <c r="G38" s="70">
        <f t="shared" si="5"/>
        <v>1275.8000000000002</v>
      </c>
      <c r="H38" s="70">
        <f t="shared" si="5"/>
        <v>1275.5</v>
      </c>
      <c r="I38" s="70">
        <f t="shared" si="5"/>
        <v>1275.5</v>
      </c>
      <c r="J38" s="70">
        <f t="shared" si="5"/>
        <v>1280.5</v>
      </c>
      <c r="K38" s="70">
        <f t="shared" si="5"/>
        <v>1293.5</v>
      </c>
      <c r="L38" s="70">
        <f t="shared" si="5"/>
        <v>1293.5</v>
      </c>
      <c r="M38" s="70">
        <f t="shared" ref="M38:S38" si="6">SUM(M11:M36)</f>
        <v>1287.5</v>
      </c>
      <c r="N38" s="70">
        <f t="shared" si="6"/>
        <v>1261.4000000000001</v>
      </c>
      <c r="O38" s="70">
        <f t="shared" si="6"/>
        <v>1286.4000000000001</v>
      </c>
      <c r="P38" s="70">
        <f t="shared" si="6"/>
        <v>1282.4000000000001</v>
      </c>
      <c r="Q38" s="70">
        <f t="shared" si="6"/>
        <v>1283</v>
      </c>
      <c r="R38" s="70">
        <f t="shared" si="6"/>
        <v>1293.5</v>
      </c>
      <c r="S38" s="70">
        <f t="shared" si="6"/>
        <v>1293.5</v>
      </c>
      <c r="T38" s="70">
        <f t="shared" ref="T38:AF38" si="7">SUM(T11:T36)</f>
        <v>1293.5</v>
      </c>
      <c r="U38" s="70">
        <f t="shared" si="7"/>
        <v>1293.5</v>
      </c>
      <c r="V38" s="70">
        <f t="shared" si="7"/>
        <v>1293.5</v>
      </c>
      <c r="W38" s="70">
        <f t="shared" si="7"/>
        <v>1293.5</v>
      </c>
      <c r="X38" s="70">
        <f t="shared" si="7"/>
        <v>1293.5</v>
      </c>
      <c r="Y38" s="70">
        <f t="shared" si="7"/>
        <v>1293.5</v>
      </c>
      <c r="Z38" s="70">
        <f t="shared" si="7"/>
        <v>1293.5</v>
      </c>
      <c r="AA38" s="70">
        <f t="shared" si="7"/>
        <v>1293.5</v>
      </c>
      <c r="AB38" s="70">
        <f t="shared" si="7"/>
        <v>1293.5</v>
      </c>
      <c r="AC38" s="70">
        <f t="shared" si="7"/>
        <v>1293.5</v>
      </c>
      <c r="AD38" s="70">
        <f t="shared" si="7"/>
        <v>1292.5</v>
      </c>
      <c r="AE38" s="70">
        <f t="shared" si="7"/>
        <v>1290</v>
      </c>
      <c r="AF38" s="70">
        <f t="shared" si="7"/>
        <v>1284</v>
      </c>
      <c r="AG38" s="64">
        <f>SUM(AG11:AG37)</f>
        <v>1492.8299999999997</v>
      </c>
      <c r="AH38" s="55">
        <f t="shared" si="2"/>
        <v>1293.5</v>
      </c>
      <c r="AI38" s="56">
        <f t="shared" si="3"/>
        <v>1261.4000000000001</v>
      </c>
      <c r="AK38" s="57"/>
    </row>
    <row r="39" spans="1:88" x14ac:dyDescent="0.25">
      <c r="A39" s="58" t="s">
        <v>47</v>
      </c>
      <c r="B39" s="51">
        <v>140.80000000000001</v>
      </c>
      <c r="C39" s="51">
        <v>141</v>
      </c>
      <c r="D39" s="51">
        <v>140</v>
      </c>
      <c r="E39" s="51">
        <v>140.19999999999999</v>
      </c>
      <c r="F39" s="51">
        <v>140</v>
      </c>
      <c r="G39" s="51">
        <v>125</v>
      </c>
      <c r="H39" s="51">
        <v>126.9</v>
      </c>
      <c r="I39" s="51">
        <v>140.19999999999999</v>
      </c>
      <c r="J39" s="51">
        <v>140.19999999999999</v>
      </c>
      <c r="K39" s="51">
        <v>141.30000000000001</v>
      </c>
      <c r="L39" s="51">
        <v>141.30000000000001</v>
      </c>
      <c r="M39" s="51">
        <v>140</v>
      </c>
      <c r="N39" s="51">
        <v>140</v>
      </c>
      <c r="O39" s="51">
        <v>140.9</v>
      </c>
      <c r="P39" s="51">
        <v>140.4</v>
      </c>
      <c r="Q39" s="51">
        <v>140.5</v>
      </c>
      <c r="R39" s="51">
        <v>141.5</v>
      </c>
      <c r="S39" s="51">
        <v>141</v>
      </c>
      <c r="T39" s="51">
        <v>0</v>
      </c>
      <c r="U39" s="51">
        <v>140</v>
      </c>
      <c r="V39" s="51">
        <v>140</v>
      </c>
      <c r="W39" s="51">
        <v>140</v>
      </c>
      <c r="X39" s="51">
        <v>140</v>
      </c>
      <c r="Y39" s="51">
        <v>140</v>
      </c>
      <c r="Z39" s="51">
        <v>140</v>
      </c>
      <c r="AA39" s="51">
        <v>140</v>
      </c>
      <c r="AB39" s="51">
        <v>143.19999999999999</v>
      </c>
      <c r="AC39" s="51">
        <v>143.19999999999999</v>
      </c>
      <c r="AD39" s="51">
        <v>143.19999999999999</v>
      </c>
      <c r="AE39" s="51">
        <v>143.19999999999999</v>
      </c>
      <c r="AF39" s="51">
        <v>143.19999999999999</v>
      </c>
      <c r="AG39" s="60">
        <v>144</v>
      </c>
      <c r="AH39" s="55">
        <f t="shared" si="2"/>
        <v>143.19999999999999</v>
      </c>
      <c r="AI39" s="56">
        <f t="shared" si="3"/>
        <v>0</v>
      </c>
      <c r="AK39" s="57"/>
    </row>
    <row r="40" spans="1:88" x14ac:dyDescent="0.25">
      <c r="A40" s="63" t="s">
        <v>48</v>
      </c>
      <c r="B40" s="49">
        <v>72</v>
      </c>
      <c r="C40" s="49">
        <v>70.099999999999994</v>
      </c>
      <c r="D40" s="49">
        <v>70</v>
      </c>
      <c r="E40" s="49">
        <v>70.099999999999994</v>
      </c>
      <c r="F40" s="49">
        <v>70</v>
      </c>
      <c r="G40" s="49">
        <v>70</v>
      </c>
      <c r="H40" s="49">
        <v>60.2</v>
      </c>
      <c r="I40" s="49">
        <v>70.5</v>
      </c>
      <c r="J40" s="49">
        <v>70.5</v>
      </c>
      <c r="K40" s="49">
        <v>71.3</v>
      </c>
      <c r="L40" s="49">
        <v>71.3</v>
      </c>
      <c r="M40" s="51">
        <v>71.099999999999994</v>
      </c>
      <c r="N40" s="51">
        <v>70.3</v>
      </c>
      <c r="O40" s="51">
        <v>70.400000000000006</v>
      </c>
      <c r="P40" s="51">
        <v>70.3</v>
      </c>
      <c r="Q40" s="51">
        <v>70.7</v>
      </c>
      <c r="R40" s="51">
        <v>71</v>
      </c>
      <c r="S40" s="51">
        <v>70.599999999999994</v>
      </c>
      <c r="T40" s="51">
        <v>72.099999999999994</v>
      </c>
      <c r="U40" s="51">
        <v>72.099999999999994</v>
      </c>
      <c r="V40" s="51">
        <v>72.099999999999994</v>
      </c>
      <c r="W40" s="51">
        <v>72.099999999999994</v>
      </c>
      <c r="X40" s="51">
        <v>72.099999999999994</v>
      </c>
      <c r="Y40" s="51">
        <v>72.099999999999994</v>
      </c>
      <c r="Z40" s="51">
        <v>72.099999999999994</v>
      </c>
      <c r="AA40" s="51">
        <v>70.5</v>
      </c>
      <c r="AB40" s="49">
        <v>72.599999999999994</v>
      </c>
      <c r="AC40" s="49">
        <v>72.599999999999994</v>
      </c>
      <c r="AD40" s="49">
        <v>72.599999999999994</v>
      </c>
      <c r="AE40" s="49">
        <v>72.599999999999994</v>
      </c>
      <c r="AF40" s="49">
        <v>72.599999999999994</v>
      </c>
      <c r="AG40" s="64">
        <v>70</v>
      </c>
      <c r="AH40" s="55">
        <f t="shared" si="2"/>
        <v>72.599999999999994</v>
      </c>
      <c r="AI40" s="56">
        <f t="shared" si="3"/>
        <v>60.2</v>
      </c>
      <c r="AK40" s="57"/>
    </row>
    <row r="41" spans="1:88" x14ac:dyDescent="0.25">
      <c r="A41" s="63" t="s">
        <v>49</v>
      </c>
      <c r="B41" s="49">
        <v>45.1</v>
      </c>
      <c r="C41" s="49">
        <v>63.5</v>
      </c>
      <c r="D41" s="49">
        <v>63.7</v>
      </c>
      <c r="E41" s="49">
        <v>63</v>
      </c>
      <c r="F41" s="49">
        <v>63.2</v>
      </c>
      <c r="G41" s="49">
        <v>61.3</v>
      </c>
      <c r="H41" s="49">
        <v>61</v>
      </c>
      <c r="I41" s="49">
        <v>64.2</v>
      </c>
      <c r="J41" s="49">
        <v>64.2</v>
      </c>
      <c r="K41" s="49">
        <v>64</v>
      </c>
      <c r="L41" s="49">
        <v>64</v>
      </c>
      <c r="M41" s="51">
        <v>64.400000000000006</v>
      </c>
      <c r="N41" s="51">
        <v>64.3</v>
      </c>
      <c r="O41" s="51">
        <v>64.5</v>
      </c>
      <c r="P41" s="51">
        <v>64.400000000000006</v>
      </c>
      <c r="Q41" s="51">
        <v>64.900000000000006</v>
      </c>
      <c r="R41" s="51">
        <v>64.400000000000006</v>
      </c>
      <c r="S41" s="51">
        <v>64.400000000000006</v>
      </c>
      <c r="T41" s="51">
        <v>64.400000000000006</v>
      </c>
      <c r="U41" s="51">
        <v>64.400000000000006</v>
      </c>
      <c r="V41" s="51">
        <v>64.400000000000006</v>
      </c>
      <c r="W41" s="51">
        <v>64.400000000000006</v>
      </c>
      <c r="X41" s="51">
        <v>64.400000000000006</v>
      </c>
      <c r="Y41" s="51">
        <v>64.400000000000006</v>
      </c>
      <c r="Z41" s="51">
        <v>64.400000000000006</v>
      </c>
      <c r="AA41" s="51">
        <v>64.400000000000006</v>
      </c>
      <c r="AB41" s="49">
        <v>64.7</v>
      </c>
      <c r="AC41" s="49">
        <v>64.7</v>
      </c>
      <c r="AD41" s="49">
        <v>64.7</v>
      </c>
      <c r="AE41" s="49">
        <v>64.7</v>
      </c>
      <c r="AF41" s="49">
        <v>64.7</v>
      </c>
      <c r="AG41" s="64">
        <v>69</v>
      </c>
      <c r="AH41" s="55">
        <f t="shared" si="2"/>
        <v>64.900000000000006</v>
      </c>
      <c r="AI41" s="56">
        <f t="shared" si="3"/>
        <v>45.1</v>
      </c>
      <c r="AK41" s="57"/>
    </row>
    <row r="42" spans="1:88" x14ac:dyDescent="0.25">
      <c r="A42" s="63" t="s">
        <v>50</v>
      </c>
      <c r="B42" s="66">
        <v>60.9</v>
      </c>
      <c r="C42" s="66">
        <v>60.7</v>
      </c>
      <c r="D42" s="66">
        <v>60.7</v>
      </c>
      <c r="E42" s="66">
        <v>60.3</v>
      </c>
      <c r="F42" s="66">
        <v>60.3</v>
      </c>
      <c r="G42" s="66">
        <v>60.3</v>
      </c>
      <c r="H42" s="66">
        <v>50</v>
      </c>
      <c r="I42" s="66">
        <v>61.2</v>
      </c>
      <c r="J42" s="66">
        <v>61.2</v>
      </c>
      <c r="K42" s="66">
        <v>61.2</v>
      </c>
      <c r="L42" s="66">
        <v>61.2</v>
      </c>
      <c r="M42" s="51">
        <v>61.2</v>
      </c>
      <c r="N42" s="51">
        <v>61.2</v>
      </c>
      <c r="O42" s="51">
        <v>60.7</v>
      </c>
      <c r="P42" s="51">
        <v>61.2</v>
      </c>
      <c r="Q42" s="51">
        <v>60.9</v>
      </c>
      <c r="R42" s="51">
        <v>60.9</v>
      </c>
      <c r="S42" s="51">
        <v>61.4</v>
      </c>
      <c r="T42" s="51">
        <v>61.4</v>
      </c>
      <c r="U42" s="51">
        <v>0</v>
      </c>
      <c r="V42" s="51">
        <v>0</v>
      </c>
      <c r="W42" s="51">
        <v>0</v>
      </c>
      <c r="X42" s="51">
        <v>0</v>
      </c>
      <c r="Y42" s="51">
        <v>36</v>
      </c>
      <c r="Z42" s="51">
        <v>36</v>
      </c>
      <c r="AA42" s="51">
        <v>54.8</v>
      </c>
      <c r="AB42" s="66">
        <v>61.2</v>
      </c>
      <c r="AC42" s="66">
        <v>61.2</v>
      </c>
      <c r="AD42" s="66">
        <v>61.2</v>
      </c>
      <c r="AE42" s="66">
        <v>61.2</v>
      </c>
      <c r="AF42" s="66">
        <v>61.2</v>
      </c>
      <c r="AG42" s="64">
        <v>60</v>
      </c>
      <c r="AH42" s="55">
        <f t="shared" si="2"/>
        <v>61.4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29.1</v>
      </c>
      <c r="C43" s="66">
        <v>29</v>
      </c>
      <c r="D43" s="66">
        <v>29</v>
      </c>
      <c r="E43" s="66">
        <v>29.2</v>
      </c>
      <c r="F43" s="66">
        <v>29.3</v>
      </c>
      <c r="G43" s="66">
        <v>29.3</v>
      </c>
      <c r="H43" s="66">
        <v>29.3</v>
      </c>
      <c r="I43" s="66">
        <v>0</v>
      </c>
      <c r="J43" s="66">
        <v>0</v>
      </c>
      <c r="K43" s="66">
        <v>0</v>
      </c>
      <c r="L43" s="66">
        <v>0</v>
      </c>
      <c r="M43" s="51">
        <v>0</v>
      </c>
      <c r="N43" s="51">
        <v>20.7</v>
      </c>
      <c r="O43" s="51">
        <v>25</v>
      </c>
      <c r="P43" s="51">
        <v>25</v>
      </c>
      <c r="Q43" s="51">
        <v>28.8</v>
      </c>
      <c r="R43" s="51">
        <v>28</v>
      </c>
      <c r="S43" s="51">
        <v>27.9</v>
      </c>
      <c r="T43" s="51">
        <v>27.9</v>
      </c>
      <c r="U43" s="51">
        <v>27.9</v>
      </c>
      <c r="V43" s="51">
        <v>27.9</v>
      </c>
      <c r="W43" s="51">
        <v>27.9</v>
      </c>
      <c r="X43" s="51">
        <v>27.9</v>
      </c>
      <c r="Y43" s="51">
        <v>27.9</v>
      </c>
      <c r="Z43" s="51">
        <v>27.9</v>
      </c>
      <c r="AA43" s="51">
        <v>27.9</v>
      </c>
      <c r="AB43" s="66">
        <v>30</v>
      </c>
      <c r="AC43" s="66">
        <v>30</v>
      </c>
      <c r="AD43" s="66">
        <v>30</v>
      </c>
      <c r="AE43" s="66">
        <v>30</v>
      </c>
      <c r="AF43" s="66">
        <v>30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51">
        <v>0</v>
      </c>
      <c r="N44" s="51">
        <v>5</v>
      </c>
      <c r="O44" s="51">
        <v>7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16.399999999999999</v>
      </c>
      <c r="C45" s="49">
        <v>16.3</v>
      </c>
      <c r="D45" s="49">
        <v>16.3</v>
      </c>
      <c r="E45" s="49">
        <v>16.3</v>
      </c>
      <c r="F45" s="49">
        <v>16.3</v>
      </c>
      <c r="G45" s="49">
        <v>16.3</v>
      </c>
      <c r="H45" s="49">
        <v>16.3</v>
      </c>
      <c r="I45" s="49">
        <v>16.3</v>
      </c>
      <c r="J45" s="49">
        <v>16.3</v>
      </c>
      <c r="K45" s="49">
        <v>16.3</v>
      </c>
      <c r="L45" s="49">
        <v>16.3</v>
      </c>
      <c r="M45" s="51">
        <v>17</v>
      </c>
      <c r="N45" s="51">
        <v>17</v>
      </c>
      <c r="O45" s="51">
        <v>17</v>
      </c>
      <c r="P45" s="51">
        <v>15</v>
      </c>
      <c r="Q45" s="51">
        <v>15</v>
      </c>
      <c r="R45" s="51">
        <v>17</v>
      </c>
      <c r="S45" s="51">
        <v>17.100000000000001</v>
      </c>
      <c r="T45" s="51">
        <v>17.100000000000001</v>
      </c>
      <c r="U45" s="51">
        <v>17.100000000000001</v>
      </c>
      <c r="V45" s="51">
        <v>17.100000000000001</v>
      </c>
      <c r="W45" s="51">
        <v>17.100000000000001</v>
      </c>
      <c r="X45" s="51">
        <v>17.100000000000001</v>
      </c>
      <c r="Y45" s="51">
        <v>17.100000000000001</v>
      </c>
      <c r="Z45" s="51">
        <v>17.100000000000001</v>
      </c>
      <c r="AA45" s="51">
        <v>17.100000000000001</v>
      </c>
      <c r="AB45" s="51">
        <v>17.100000000000001</v>
      </c>
      <c r="AC45" s="51">
        <v>17.100000000000001</v>
      </c>
      <c r="AD45" s="51">
        <v>17.100000000000001</v>
      </c>
      <c r="AE45" s="51">
        <v>17.100000000000001</v>
      </c>
      <c r="AF45" s="51">
        <v>15</v>
      </c>
      <c r="AG45" s="64">
        <v>24</v>
      </c>
      <c r="AH45" s="55">
        <f t="shared" si="2"/>
        <v>17.100000000000001</v>
      </c>
      <c r="AI45" s="56">
        <f t="shared" si="3"/>
        <v>15</v>
      </c>
      <c r="AK45" s="57"/>
    </row>
    <row r="46" spans="1:88" x14ac:dyDescent="0.25">
      <c r="A46" s="63" t="s">
        <v>54</v>
      </c>
      <c r="B46" s="49">
        <v>2.2000000000000002</v>
      </c>
      <c r="C46" s="49">
        <v>2.2000000000000002</v>
      </c>
      <c r="D46" s="49">
        <v>2.2000000000000002</v>
      </c>
      <c r="E46" s="49">
        <v>2.2000000000000002</v>
      </c>
      <c r="F46" s="49">
        <v>2.2000000000000002</v>
      </c>
      <c r="G46" s="49">
        <v>2.2000000000000002</v>
      </c>
      <c r="H46" s="49">
        <v>2.2000000000000002</v>
      </c>
      <c r="I46" s="49">
        <v>2.2000000000000002</v>
      </c>
      <c r="J46" s="49">
        <v>2.2000000000000002</v>
      </c>
      <c r="K46" s="49">
        <v>2.2000000000000002</v>
      </c>
      <c r="L46" s="49">
        <v>2.2000000000000002</v>
      </c>
      <c r="M46" s="51">
        <v>2.2000000000000002</v>
      </c>
      <c r="N46" s="51">
        <v>2.2000000000000002</v>
      </c>
      <c r="O46" s="51">
        <v>2.2000000000000002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3</v>
      </c>
      <c r="AC46" s="51">
        <v>3</v>
      </c>
      <c r="AD46" s="51">
        <v>3</v>
      </c>
      <c r="AE46" s="51">
        <v>3</v>
      </c>
      <c r="AF46" s="51">
        <v>3</v>
      </c>
      <c r="AG46" s="64">
        <v>15</v>
      </c>
      <c r="AH46" s="55">
        <f t="shared" si="2"/>
        <v>3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12.5</v>
      </c>
      <c r="C47" s="49">
        <v>12.1</v>
      </c>
      <c r="D47" s="49">
        <v>12.1</v>
      </c>
      <c r="E47" s="49">
        <v>12.3</v>
      </c>
      <c r="F47" s="49">
        <v>12.4</v>
      </c>
      <c r="G47" s="49">
        <v>12.4</v>
      </c>
      <c r="H47" s="49">
        <v>12.6</v>
      </c>
      <c r="I47" s="49">
        <v>12.3</v>
      </c>
      <c r="J47" s="49">
        <v>12.3</v>
      </c>
      <c r="K47" s="49">
        <v>12.6</v>
      </c>
      <c r="L47" s="49">
        <v>12.6</v>
      </c>
      <c r="M47" s="51">
        <v>12.4</v>
      </c>
      <c r="N47" s="51">
        <v>12.6</v>
      </c>
      <c r="O47" s="51">
        <v>13.1</v>
      </c>
      <c r="P47" s="51">
        <v>13</v>
      </c>
      <c r="Q47" s="51">
        <v>11.5</v>
      </c>
      <c r="R47" s="51">
        <v>11.5</v>
      </c>
      <c r="S47" s="51">
        <v>11.5</v>
      </c>
      <c r="T47" s="51">
        <v>11.5</v>
      </c>
      <c r="U47" s="51">
        <v>11.5</v>
      </c>
      <c r="V47" s="51">
        <v>11.5</v>
      </c>
      <c r="W47" s="51">
        <v>11.5</v>
      </c>
      <c r="X47" s="51">
        <v>11.5</v>
      </c>
      <c r="Y47" s="51">
        <v>11.5</v>
      </c>
      <c r="Z47" s="51">
        <v>11.5</v>
      </c>
      <c r="AA47" s="51">
        <v>11.5</v>
      </c>
      <c r="AB47" s="51">
        <v>11.5</v>
      </c>
      <c r="AC47" s="51">
        <v>11.5</v>
      </c>
      <c r="AD47" s="51">
        <v>11.5</v>
      </c>
      <c r="AE47" s="51">
        <v>11.5</v>
      </c>
      <c r="AF47" s="51">
        <v>11.5</v>
      </c>
      <c r="AG47" s="64">
        <v>14.1</v>
      </c>
      <c r="AH47" s="55">
        <f t="shared" si="2"/>
        <v>13.1</v>
      </c>
      <c r="AI47" s="56">
        <f t="shared" si="3"/>
        <v>11.5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13.7</v>
      </c>
      <c r="C48" s="49">
        <v>13.7</v>
      </c>
      <c r="D48" s="49">
        <v>13.7</v>
      </c>
      <c r="E48" s="49">
        <v>13.6</v>
      </c>
      <c r="F48" s="49">
        <v>13.6</v>
      </c>
      <c r="G48" s="49">
        <v>13.6</v>
      </c>
      <c r="H48" s="49">
        <v>13.6</v>
      </c>
      <c r="I48" s="49">
        <v>13.6</v>
      </c>
      <c r="J48" s="49">
        <v>13.6</v>
      </c>
      <c r="K48" s="49">
        <v>13.6</v>
      </c>
      <c r="L48" s="49">
        <v>13.6</v>
      </c>
      <c r="M48" s="51">
        <v>13.6</v>
      </c>
      <c r="N48" s="51">
        <v>13.6</v>
      </c>
      <c r="O48" s="51">
        <v>13.8</v>
      </c>
      <c r="P48" s="51">
        <v>13.9</v>
      </c>
      <c r="Q48" s="51">
        <v>13.9</v>
      </c>
      <c r="R48" s="51">
        <v>13.9</v>
      </c>
      <c r="S48" s="51">
        <v>13.9</v>
      </c>
      <c r="T48" s="51">
        <v>13.9</v>
      </c>
      <c r="U48" s="51">
        <v>13.9</v>
      </c>
      <c r="V48" s="51">
        <v>13.9</v>
      </c>
      <c r="W48" s="51">
        <v>13.9</v>
      </c>
      <c r="X48" s="51">
        <v>13.9</v>
      </c>
      <c r="Y48" s="51">
        <v>13.9</v>
      </c>
      <c r="Z48" s="51">
        <v>13.9</v>
      </c>
      <c r="AA48" s="51">
        <v>13.9</v>
      </c>
      <c r="AB48" s="51">
        <v>13.9</v>
      </c>
      <c r="AC48" s="51">
        <v>13.9</v>
      </c>
      <c r="AD48" s="51">
        <v>13.9</v>
      </c>
      <c r="AE48" s="51">
        <v>13.9</v>
      </c>
      <c r="AF48" s="51">
        <v>13.9</v>
      </c>
      <c r="AG48" s="64">
        <v>14</v>
      </c>
      <c r="AH48" s="55">
        <f t="shared" si="2"/>
        <v>13.9</v>
      </c>
      <c r="AI48" s="56">
        <f t="shared" si="3"/>
        <v>13.6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9.5</v>
      </c>
      <c r="F49" s="49">
        <v>9.5</v>
      </c>
      <c r="G49" s="49">
        <v>9.5</v>
      </c>
      <c r="H49" s="49">
        <v>9.5</v>
      </c>
      <c r="I49" s="49">
        <v>9.5</v>
      </c>
      <c r="J49" s="49">
        <v>9.5</v>
      </c>
      <c r="K49" s="49">
        <v>9.5</v>
      </c>
      <c r="L49" s="49">
        <v>9.5</v>
      </c>
      <c r="M49" s="51">
        <v>9.5</v>
      </c>
      <c r="N49" s="51">
        <v>9.5</v>
      </c>
      <c r="O49" s="51">
        <v>9.5</v>
      </c>
      <c r="P49" s="51">
        <v>9.5</v>
      </c>
      <c r="Q49" s="51">
        <v>9.5</v>
      </c>
      <c r="R49" s="51">
        <v>9.5</v>
      </c>
      <c r="S49" s="51">
        <v>9.5</v>
      </c>
      <c r="T49" s="51">
        <v>9.5</v>
      </c>
      <c r="U49" s="51">
        <v>9.5</v>
      </c>
      <c r="V49" s="51">
        <v>9.5</v>
      </c>
      <c r="W49" s="51">
        <v>9.5</v>
      </c>
      <c r="X49" s="51">
        <v>9.5</v>
      </c>
      <c r="Y49" s="51">
        <v>9.5</v>
      </c>
      <c r="Z49" s="51">
        <v>9.5</v>
      </c>
      <c r="AA49" s="51">
        <v>9.5</v>
      </c>
      <c r="AB49" s="51">
        <v>9.5</v>
      </c>
      <c r="AC49" s="51">
        <v>9.5</v>
      </c>
      <c r="AD49" s="51">
        <v>9.5</v>
      </c>
      <c r="AE49" s="51">
        <v>9.5</v>
      </c>
      <c r="AF49" s="51">
        <v>9.5</v>
      </c>
      <c r="AG49" s="64">
        <v>10.050000000000001</v>
      </c>
      <c r="AH49" s="55">
        <f t="shared" si="2"/>
        <v>9.5</v>
      </c>
      <c r="AI49" s="56">
        <f t="shared" si="3"/>
        <v>9.5</v>
      </c>
      <c r="AK49" s="57"/>
    </row>
    <row r="50" spans="1:37" x14ac:dyDescent="0.25">
      <c r="A50" s="63" t="s">
        <v>58</v>
      </c>
      <c r="B50" s="49">
        <v>6.2</v>
      </c>
      <c r="C50" s="49">
        <v>6.2</v>
      </c>
      <c r="D50" s="49">
        <v>6.2</v>
      </c>
      <c r="E50" s="49">
        <v>6.2</v>
      </c>
      <c r="F50" s="49">
        <v>6.2</v>
      </c>
      <c r="G50" s="49">
        <v>6.2</v>
      </c>
      <c r="H50" s="49">
        <v>6.2</v>
      </c>
      <c r="I50" s="49">
        <v>6.2</v>
      </c>
      <c r="J50" s="49">
        <v>6.2</v>
      </c>
      <c r="K50" s="49">
        <v>6.2</v>
      </c>
      <c r="L50" s="49">
        <v>6.2</v>
      </c>
      <c r="M50" s="51">
        <v>6.2</v>
      </c>
      <c r="N50" s="51">
        <v>6.2</v>
      </c>
      <c r="O50" s="51">
        <v>6.2</v>
      </c>
      <c r="P50" s="51">
        <v>6.2</v>
      </c>
      <c r="Q50" s="51">
        <v>6.2</v>
      </c>
      <c r="R50" s="51">
        <v>6.2</v>
      </c>
      <c r="S50" s="51">
        <v>6.2</v>
      </c>
      <c r="T50" s="51">
        <v>6.2</v>
      </c>
      <c r="U50" s="51">
        <v>6.2</v>
      </c>
      <c r="V50" s="51">
        <v>6.2</v>
      </c>
      <c r="W50" s="51">
        <v>6.2</v>
      </c>
      <c r="X50" s="51">
        <v>6.2</v>
      </c>
      <c r="Y50" s="51">
        <v>6.2</v>
      </c>
      <c r="Z50" s="51">
        <v>6.2</v>
      </c>
      <c r="AA50" s="51">
        <v>6.2</v>
      </c>
      <c r="AB50" s="51">
        <v>6.2</v>
      </c>
      <c r="AC50" s="51">
        <v>6.2</v>
      </c>
      <c r="AD50" s="51">
        <v>6.2</v>
      </c>
      <c r="AE50" s="51">
        <v>6.2</v>
      </c>
      <c r="AF50" s="51">
        <v>6.2</v>
      </c>
      <c r="AG50" s="64">
        <v>6.2</v>
      </c>
      <c r="AH50" s="55">
        <f t="shared" si="2"/>
        <v>6.2</v>
      </c>
      <c r="AI50" s="56">
        <f t="shared" si="3"/>
        <v>6.2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8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411.94</v>
      </c>
      <c r="C52" s="70">
        <f t="shared" ref="C52:AF52" si="9">SUM(C39:C51)</f>
        <v>427.84000000000003</v>
      </c>
      <c r="D52" s="70">
        <f t="shared" si="9"/>
        <v>426.94</v>
      </c>
      <c r="E52" s="70">
        <f t="shared" si="9"/>
        <v>426.44</v>
      </c>
      <c r="F52" s="70">
        <f t="shared" si="9"/>
        <v>426.54</v>
      </c>
      <c r="G52" s="70">
        <f t="shared" si="9"/>
        <v>409.64000000000004</v>
      </c>
      <c r="H52" s="70">
        <f t="shared" si="9"/>
        <v>391.34000000000009</v>
      </c>
      <c r="I52" s="70">
        <f t="shared" si="9"/>
        <v>399.74</v>
      </c>
      <c r="J52" s="70">
        <f t="shared" si="9"/>
        <v>399.74</v>
      </c>
      <c r="K52" s="70">
        <f t="shared" si="9"/>
        <v>401.74000000000007</v>
      </c>
      <c r="L52" s="70">
        <f t="shared" si="9"/>
        <v>401.74000000000007</v>
      </c>
      <c r="M52" s="70">
        <f t="shared" si="9"/>
        <v>401.14</v>
      </c>
      <c r="N52" s="70">
        <f t="shared" si="9"/>
        <v>426.14000000000004</v>
      </c>
      <c r="O52" s="70">
        <f t="shared" si="9"/>
        <v>433.84000000000003</v>
      </c>
      <c r="P52" s="70">
        <f t="shared" si="9"/>
        <v>430.44</v>
      </c>
      <c r="Q52" s="70">
        <f t="shared" si="9"/>
        <v>433.44</v>
      </c>
      <c r="R52" s="70">
        <f t="shared" si="9"/>
        <v>435.43999999999994</v>
      </c>
      <c r="S52" s="70">
        <f t="shared" si="9"/>
        <v>435.03999999999996</v>
      </c>
      <c r="T52" s="70">
        <f t="shared" si="9"/>
        <v>295.53999999999996</v>
      </c>
      <c r="U52" s="70">
        <f t="shared" si="9"/>
        <v>374.14</v>
      </c>
      <c r="V52" s="70">
        <f t="shared" si="9"/>
        <v>374.14</v>
      </c>
      <c r="W52" s="70">
        <f t="shared" si="9"/>
        <v>374.14</v>
      </c>
      <c r="X52" s="70">
        <f t="shared" si="9"/>
        <v>374.14</v>
      </c>
      <c r="Y52" s="70">
        <f t="shared" si="9"/>
        <v>410.14</v>
      </c>
      <c r="Z52" s="70">
        <f t="shared" si="9"/>
        <v>410.14</v>
      </c>
      <c r="AA52" s="70">
        <f t="shared" si="9"/>
        <v>427.34</v>
      </c>
      <c r="AB52" s="70">
        <f t="shared" si="9"/>
        <v>436.44</v>
      </c>
      <c r="AC52" s="70">
        <f t="shared" si="9"/>
        <v>436.44</v>
      </c>
      <c r="AD52" s="70">
        <f t="shared" si="9"/>
        <v>436.44</v>
      </c>
      <c r="AE52" s="70">
        <f t="shared" si="9"/>
        <v>436.44</v>
      </c>
      <c r="AF52" s="70">
        <f t="shared" si="9"/>
        <v>434.34</v>
      </c>
      <c r="AG52" s="74">
        <f>SUM(AG39:AG51)</f>
        <v>489.91</v>
      </c>
      <c r="AH52" s="55">
        <f t="shared" si="2"/>
        <v>436.44</v>
      </c>
      <c r="AI52" s="56">
        <f t="shared" si="3"/>
        <v>295.53999999999996</v>
      </c>
      <c r="AK52" s="57"/>
    </row>
    <row r="53" spans="1:37" x14ac:dyDescent="0.25">
      <c r="A53" s="58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10.6</v>
      </c>
      <c r="M53" s="51">
        <v>20</v>
      </c>
      <c r="N53" s="51">
        <v>0</v>
      </c>
      <c r="O53" s="51">
        <v>30</v>
      </c>
      <c r="P53" s="51">
        <v>25.5</v>
      </c>
      <c r="Q53" s="51">
        <v>34.1</v>
      </c>
      <c r="R53" s="51">
        <v>24.2</v>
      </c>
      <c r="S53" s="51">
        <v>28.9</v>
      </c>
      <c r="T53" s="51">
        <v>10</v>
      </c>
      <c r="U53" s="51">
        <v>42.4</v>
      </c>
      <c r="V53" s="51">
        <v>30</v>
      </c>
      <c r="W53" s="51">
        <v>60</v>
      </c>
      <c r="X53" s="51">
        <v>60</v>
      </c>
      <c r="Y53" s="51">
        <v>29.8</v>
      </c>
      <c r="Z53" s="51">
        <v>45</v>
      </c>
      <c r="AA53" s="51">
        <v>59.8</v>
      </c>
      <c r="AB53" s="51">
        <v>48.5</v>
      </c>
      <c r="AC53" s="51">
        <v>60</v>
      </c>
      <c r="AD53" s="51">
        <v>60</v>
      </c>
      <c r="AE53" s="51">
        <v>40</v>
      </c>
      <c r="AF53" s="51">
        <v>20.100000000000001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5.0999999999999996</v>
      </c>
      <c r="M54" s="49">
        <v>11.3</v>
      </c>
      <c r="N54" s="49">
        <v>0</v>
      </c>
      <c r="O54" s="49">
        <v>14.1</v>
      </c>
      <c r="P54" s="49">
        <v>12.5</v>
      </c>
      <c r="Q54" s="49">
        <v>22</v>
      </c>
      <c r="R54" s="49">
        <v>11.9</v>
      </c>
      <c r="S54" s="49">
        <v>12.9</v>
      </c>
      <c r="T54" s="49">
        <v>6.3</v>
      </c>
      <c r="U54" s="49">
        <v>10.3</v>
      </c>
      <c r="V54" s="49">
        <v>15</v>
      </c>
      <c r="W54" s="49">
        <v>31.2</v>
      </c>
      <c r="X54" s="49">
        <v>31.2</v>
      </c>
      <c r="Y54" s="49">
        <v>16</v>
      </c>
      <c r="Z54" s="49">
        <v>15</v>
      </c>
      <c r="AA54" s="49">
        <v>30.9</v>
      </c>
      <c r="AB54" s="49">
        <v>25.9</v>
      </c>
      <c r="AC54" s="49">
        <v>19.8</v>
      </c>
      <c r="AD54" s="49">
        <v>32</v>
      </c>
      <c r="AE54" s="49">
        <v>26.3</v>
      </c>
      <c r="AF54" s="49">
        <v>11.1</v>
      </c>
      <c r="AG54" s="64">
        <v>32</v>
      </c>
      <c r="AH54" s="55">
        <f t="shared" si="2"/>
        <v>32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1.8</v>
      </c>
      <c r="M55" s="75">
        <v>4.0999999999999996</v>
      </c>
      <c r="N55" s="75">
        <v>0</v>
      </c>
      <c r="O55" s="75">
        <v>5.0999999999999996</v>
      </c>
      <c r="P55" s="75">
        <v>4.5999999999999996</v>
      </c>
      <c r="Q55" s="75">
        <v>8</v>
      </c>
      <c r="R55" s="75">
        <v>4.3</v>
      </c>
      <c r="S55" s="75">
        <v>4.7</v>
      </c>
      <c r="T55" s="75">
        <v>2.2999999999999998</v>
      </c>
      <c r="U55" s="75">
        <v>3.7</v>
      </c>
      <c r="V55" s="75">
        <v>10</v>
      </c>
      <c r="W55" s="75">
        <v>11.4</v>
      </c>
      <c r="X55" s="75">
        <v>11.4</v>
      </c>
      <c r="Y55" s="75">
        <v>5.8</v>
      </c>
      <c r="Z55" s="75">
        <v>7.6</v>
      </c>
      <c r="AA55" s="75">
        <v>11.3</v>
      </c>
      <c r="AB55" s="75">
        <v>9.5</v>
      </c>
      <c r="AC55" s="75">
        <v>7.2</v>
      </c>
      <c r="AD55" s="75">
        <v>11.7</v>
      </c>
      <c r="AE55" s="75">
        <v>9.6</v>
      </c>
      <c r="AF55" s="75">
        <v>4</v>
      </c>
      <c r="AG55" s="76">
        <v>14</v>
      </c>
      <c r="AH55" s="55">
        <f t="shared" si="2"/>
        <v>11.7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10">SUM(B53:B55)</f>
        <v>0</v>
      </c>
      <c r="C56" s="70">
        <f t="shared" si="10"/>
        <v>0</v>
      </c>
      <c r="D56" s="70">
        <f t="shared" si="10"/>
        <v>0</v>
      </c>
      <c r="E56" s="70">
        <f t="shared" si="10"/>
        <v>0</v>
      </c>
      <c r="F56" s="70">
        <f t="shared" si="10"/>
        <v>0</v>
      </c>
      <c r="G56" s="70">
        <f t="shared" si="10"/>
        <v>0</v>
      </c>
      <c r="H56" s="70">
        <f t="shared" si="10"/>
        <v>0</v>
      </c>
      <c r="I56" s="70">
        <f t="shared" si="10"/>
        <v>0</v>
      </c>
      <c r="J56" s="70">
        <f t="shared" si="10"/>
        <v>0</v>
      </c>
      <c r="K56" s="70">
        <f t="shared" si="10"/>
        <v>0</v>
      </c>
      <c r="L56" s="70">
        <f t="shared" si="10"/>
        <v>17.5</v>
      </c>
      <c r="M56" s="70">
        <f t="shared" si="10"/>
        <v>35.4</v>
      </c>
      <c r="N56" s="70">
        <f t="shared" si="10"/>
        <v>0</v>
      </c>
      <c r="O56" s="70">
        <f t="shared" si="10"/>
        <v>49.2</v>
      </c>
      <c r="P56" s="70">
        <f t="shared" si="10"/>
        <v>42.6</v>
      </c>
      <c r="Q56" s="70">
        <f t="shared" si="10"/>
        <v>64.099999999999994</v>
      </c>
      <c r="R56" s="70">
        <f t="shared" si="10"/>
        <v>40.4</v>
      </c>
      <c r="S56" s="70">
        <f t="shared" si="10"/>
        <v>46.5</v>
      </c>
      <c r="T56" s="70">
        <f t="shared" si="10"/>
        <v>18.600000000000001</v>
      </c>
      <c r="U56" s="70">
        <f t="shared" si="10"/>
        <v>56.400000000000006</v>
      </c>
      <c r="V56" s="70">
        <f t="shared" si="10"/>
        <v>55</v>
      </c>
      <c r="W56" s="70">
        <f t="shared" si="10"/>
        <v>102.60000000000001</v>
      </c>
      <c r="X56" s="70">
        <f t="shared" si="10"/>
        <v>102.60000000000001</v>
      </c>
      <c r="Y56" s="70">
        <f t="shared" si="10"/>
        <v>51.599999999999994</v>
      </c>
      <c r="Z56" s="70">
        <f t="shared" si="10"/>
        <v>67.599999999999994</v>
      </c>
      <c r="AA56" s="70">
        <f t="shared" si="10"/>
        <v>101.99999999999999</v>
      </c>
      <c r="AB56" s="70">
        <f t="shared" si="10"/>
        <v>83.9</v>
      </c>
      <c r="AC56" s="70">
        <f t="shared" si="10"/>
        <v>87</v>
      </c>
      <c r="AD56" s="70">
        <f t="shared" si="10"/>
        <v>103.7</v>
      </c>
      <c r="AE56" s="70">
        <f t="shared" si="10"/>
        <v>75.899999999999991</v>
      </c>
      <c r="AF56" s="70">
        <f t="shared" si="10"/>
        <v>35.200000000000003</v>
      </c>
      <c r="AG56" s="74">
        <f>SUM(AG53:AG55)</f>
        <v>106</v>
      </c>
      <c r="AH56" s="55">
        <f t="shared" si="2"/>
        <v>103.7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62.3</v>
      </c>
      <c r="C57" s="51">
        <v>24.5</v>
      </c>
      <c r="D57" s="51">
        <v>31.3</v>
      </c>
      <c r="E57" s="51">
        <v>20</v>
      </c>
      <c r="F57" s="51">
        <v>16.3</v>
      </c>
      <c r="G57" s="51">
        <v>15.3</v>
      </c>
      <c r="H57" s="51">
        <v>10</v>
      </c>
      <c r="I57" s="51">
        <v>19</v>
      </c>
      <c r="J57" s="51">
        <v>18.899999999999999</v>
      </c>
      <c r="K57" s="51">
        <v>18.3</v>
      </c>
      <c r="L57" s="51">
        <v>20</v>
      </c>
      <c r="M57" s="51">
        <v>17.3</v>
      </c>
      <c r="N57" s="51">
        <v>47</v>
      </c>
      <c r="O57" s="51">
        <v>56.1</v>
      </c>
      <c r="P57" s="51">
        <v>55.4</v>
      </c>
      <c r="Q57" s="51">
        <v>49.5</v>
      </c>
      <c r="R57" s="51">
        <v>66.400000000000006</v>
      </c>
      <c r="S57" s="51">
        <v>65.8</v>
      </c>
      <c r="T57" s="51"/>
      <c r="U57" s="51"/>
      <c r="V57" s="51"/>
      <c r="W57" s="51"/>
      <c r="X57" s="51"/>
      <c r="Y57" s="51"/>
      <c r="Z57" s="51"/>
      <c r="AA57" s="51"/>
      <c r="AB57" s="51">
        <v>63.6</v>
      </c>
      <c r="AC57" s="51">
        <v>64.900000000000006</v>
      </c>
      <c r="AD57" s="51">
        <v>52.4</v>
      </c>
      <c r="AE57" s="51">
        <v>73.7</v>
      </c>
      <c r="AF57" s="51">
        <v>70.099999999999994</v>
      </c>
      <c r="AG57" s="60"/>
      <c r="AH57" s="55">
        <f t="shared" si="2"/>
        <v>73.7</v>
      </c>
      <c r="AI57" s="56">
        <f t="shared" si="3"/>
        <v>10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-338</v>
      </c>
      <c r="C59" s="49">
        <v>-359</v>
      </c>
      <c r="D59" s="49">
        <v>-385.7</v>
      </c>
      <c r="E59" s="49">
        <v>-400</v>
      </c>
      <c r="F59" s="49">
        <v>-399</v>
      </c>
      <c r="G59" s="49">
        <v>-400</v>
      </c>
      <c r="H59" s="49">
        <v>-418</v>
      </c>
      <c r="I59" s="49">
        <v>-390</v>
      </c>
      <c r="J59" s="49">
        <v>-336</v>
      </c>
      <c r="K59" s="49">
        <v>-310</v>
      </c>
      <c r="L59" s="49">
        <v>-305</v>
      </c>
      <c r="M59" s="49">
        <v>-336.3</v>
      </c>
      <c r="N59" s="49">
        <v>-300.2</v>
      </c>
      <c r="O59" s="49">
        <v>-288.3</v>
      </c>
      <c r="P59" s="49">
        <v>-276</v>
      </c>
      <c r="Q59" s="49">
        <v>-306.10000000000002</v>
      </c>
      <c r="R59" s="49">
        <v>-302.89999999999998</v>
      </c>
      <c r="S59" s="49">
        <v>-315</v>
      </c>
      <c r="T59" s="49">
        <v>-333</v>
      </c>
      <c r="U59" s="49">
        <v>-302</v>
      </c>
      <c r="V59" s="49">
        <v>-290</v>
      </c>
      <c r="W59" s="49">
        <v>-352</v>
      </c>
      <c r="X59" s="49">
        <v>-385</v>
      </c>
      <c r="Y59" s="49">
        <v>-365</v>
      </c>
      <c r="Z59" s="49">
        <v>-363</v>
      </c>
      <c r="AA59" s="49">
        <v>-248</v>
      </c>
      <c r="AB59" s="49">
        <v>-262</v>
      </c>
      <c r="AC59" s="49">
        <v>-274</v>
      </c>
      <c r="AD59" s="49">
        <v>-277</v>
      </c>
      <c r="AE59" s="49">
        <v>-303</v>
      </c>
      <c r="AF59" s="49">
        <v>-324</v>
      </c>
      <c r="AG59" s="77"/>
      <c r="AH59" s="55">
        <f t="shared" si="2"/>
        <v>-248</v>
      </c>
      <c r="AI59" s="56">
        <f t="shared" si="3"/>
        <v>-418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3.5</v>
      </c>
      <c r="C62" s="79">
        <v>3.5</v>
      </c>
      <c r="D62" s="79">
        <v>3.5</v>
      </c>
      <c r="E62" s="79">
        <v>3</v>
      </c>
      <c r="F62" s="79">
        <v>3.5</v>
      </c>
      <c r="G62" s="79">
        <v>3</v>
      </c>
      <c r="H62" s="79">
        <v>3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8</v>
      </c>
      <c r="S62" s="79">
        <v>8</v>
      </c>
      <c r="T62" s="79">
        <v>8</v>
      </c>
      <c r="U62" s="79">
        <v>8</v>
      </c>
      <c r="V62" s="79"/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5</v>
      </c>
      <c r="AE62" s="79">
        <v>5</v>
      </c>
      <c r="AF62" s="79">
        <v>5</v>
      </c>
      <c r="AG62" s="77"/>
      <c r="AH62" s="55">
        <f t="shared" si="2"/>
        <v>8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/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/>
      <c r="W64" s="79">
        <v>0</v>
      </c>
      <c r="X64" s="79">
        <v>0</v>
      </c>
      <c r="Y64" s="79">
        <v>0</v>
      </c>
      <c r="Z64" s="79">
        <v>0</v>
      </c>
      <c r="AA64" s="79">
        <v>0</v>
      </c>
      <c r="AB64" s="79">
        <v>0</v>
      </c>
      <c r="AC64" s="79">
        <v>0</v>
      </c>
      <c r="AD64" s="79">
        <v>0</v>
      </c>
      <c r="AE64" s="79">
        <v>0</v>
      </c>
      <c r="AF64" s="79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/>
      <c r="W65" s="79">
        <v>0</v>
      </c>
      <c r="X65" s="79">
        <v>0</v>
      </c>
      <c r="Y65" s="79">
        <v>0</v>
      </c>
      <c r="Z65" s="79">
        <v>0</v>
      </c>
      <c r="AA65" s="79">
        <v>0</v>
      </c>
      <c r="AB65" s="79">
        <v>0</v>
      </c>
      <c r="AC65" s="79">
        <v>0</v>
      </c>
      <c r="AD65" s="79">
        <v>0</v>
      </c>
      <c r="AE65" s="79">
        <v>0</v>
      </c>
      <c r="AF65" s="79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/>
      <c r="W66" s="79">
        <v>0</v>
      </c>
      <c r="X66" s="79">
        <v>0</v>
      </c>
      <c r="Y66" s="79">
        <v>0</v>
      </c>
      <c r="Z66" s="79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/>
      <c r="W67" s="79">
        <v>0</v>
      </c>
      <c r="X67" s="79">
        <v>0</v>
      </c>
      <c r="Y67" s="79">
        <v>0</v>
      </c>
      <c r="Z67" s="79">
        <v>0</v>
      </c>
      <c r="AA67" s="79">
        <v>0</v>
      </c>
      <c r="AB67" s="79">
        <v>0</v>
      </c>
      <c r="AC67" s="79">
        <v>0</v>
      </c>
      <c r="AD67" s="79">
        <v>0</v>
      </c>
      <c r="AE67" s="79">
        <v>0</v>
      </c>
      <c r="AF67" s="79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65.8</v>
      </c>
      <c r="C68" s="70">
        <f t="shared" ref="C68:AF68" si="11">SUMIF(C57:C67,"&gt;0")</f>
        <v>28</v>
      </c>
      <c r="D68" s="70">
        <f t="shared" si="11"/>
        <v>34.799999999999997</v>
      </c>
      <c r="E68" s="70">
        <f t="shared" si="11"/>
        <v>23</v>
      </c>
      <c r="F68" s="70">
        <f t="shared" si="11"/>
        <v>19.8</v>
      </c>
      <c r="G68" s="70">
        <f t="shared" si="11"/>
        <v>18.3</v>
      </c>
      <c r="H68" s="70">
        <f t="shared" si="11"/>
        <v>13</v>
      </c>
      <c r="I68" s="70">
        <f t="shared" si="11"/>
        <v>19</v>
      </c>
      <c r="J68" s="70">
        <f t="shared" si="11"/>
        <v>18.899999999999999</v>
      </c>
      <c r="K68" s="70">
        <f t="shared" si="11"/>
        <v>18.3</v>
      </c>
      <c r="L68" s="70">
        <f t="shared" si="11"/>
        <v>20</v>
      </c>
      <c r="M68" s="70">
        <f t="shared" si="11"/>
        <v>17.3</v>
      </c>
      <c r="N68" s="70">
        <f t="shared" si="11"/>
        <v>47</v>
      </c>
      <c r="O68" s="70">
        <f t="shared" si="11"/>
        <v>56.1</v>
      </c>
      <c r="P68" s="70">
        <f t="shared" si="11"/>
        <v>55.4</v>
      </c>
      <c r="Q68" s="70">
        <f t="shared" si="11"/>
        <v>49.5</v>
      </c>
      <c r="R68" s="70">
        <f t="shared" si="11"/>
        <v>74.400000000000006</v>
      </c>
      <c r="S68" s="70">
        <f t="shared" si="11"/>
        <v>73.8</v>
      </c>
      <c r="T68" s="70">
        <f t="shared" si="11"/>
        <v>8</v>
      </c>
      <c r="U68" s="70">
        <f t="shared" si="11"/>
        <v>8</v>
      </c>
      <c r="V68" s="70">
        <f t="shared" si="11"/>
        <v>0</v>
      </c>
      <c r="W68" s="70">
        <f t="shared" si="11"/>
        <v>8</v>
      </c>
      <c r="X68" s="70">
        <f t="shared" si="11"/>
        <v>8</v>
      </c>
      <c r="Y68" s="70">
        <f t="shared" si="11"/>
        <v>8</v>
      </c>
      <c r="Z68" s="70">
        <f t="shared" si="11"/>
        <v>8</v>
      </c>
      <c r="AA68" s="70">
        <f t="shared" si="11"/>
        <v>8</v>
      </c>
      <c r="AB68" s="70">
        <f t="shared" si="11"/>
        <v>71.599999999999994</v>
      </c>
      <c r="AC68" s="70">
        <f t="shared" si="11"/>
        <v>72.900000000000006</v>
      </c>
      <c r="AD68" s="70">
        <f t="shared" si="11"/>
        <v>57.4</v>
      </c>
      <c r="AE68" s="70">
        <f t="shared" si="11"/>
        <v>78.7</v>
      </c>
      <c r="AF68" s="70">
        <f t="shared" si="11"/>
        <v>75.099999999999994</v>
      </c>
      <c r="AG68" s="74">
        <f>SUM(AG57:AG67)</f>
        <v>0</v>
      </c>
      <c r="AH68" s="55">
        <f t="shared" si="2"/>
        <v>78.7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1754.8400000000001</v>
      </c>
      <c r="C73" s="84">
        <f t="shared" ref="C73:AF73" si="12">C38+C52+C68+C72</f>
        <v>1732.94</v>
      </c>
      <c r="D73" s="84">
        <f t="shared" si="12"/>
        <v>1738.74</v>
      </c>
      <c r="E73" s="84">
        <f t="shared" si="12"/>
        <v>1725.2400000000002</v>
      </c>
      <c r="F73" s="84">
        <f t="shared" si="12"/>
        <v>1722.14</v>
      </c>
      <c r="G73" s="84">
        <f t="shared" si="12"/>
        <v>1703.7400000000002</v>
      </c>
      <c r="H73" s="84">
        <f t="shared" si="12"/>
        <v>1679.8400000000001</v>
      </c>
      <c r="I73" s="84">
        <f t="shared" si="12"/>
        <v>1694.24</v>
      </c>
      <c r="J73" s="84">
        <f t="shared" si="12"/>
        <v>1699.14</v>
      </c>
      <c r="K73" s="84">
        <f t="shared" si="12"/>
        <v>1713.54</v>
      </c>
      <c r="L73" s="84">
        <f t="shared" si="12"/>
        <v>1715.24</v>
      </c>
      <c r="M73" s="84">
        <f t="shared" si="12"/>
        <v>1705.9399999999998</v>
      </c>
      <c r="N73" s="84">
        <f t="shared" si="12"/>
        <v>1734.5400000000002</v>
      </c>
      <c r="O73" s="84">
        <f t="shared" si="12"/>
        <v>1776.3400000000001</v>
      </c>
      <c r="P73" s="84">
        <f t="shared" si="12"/>
        <v>1768.2400000000002</v>
      </c>
      <c r="Q73" s="84">
        <f t="shared" si="12"/>
        <v>1765.94</v>
      </c>
      <c r="R73" s="84">
        <f t="shared" si="12"/>
        <v>1803.3400000000001</v>
      </c>
      <c r="S73" s="84">
        <f t="shared" si="12"/>
        <v>1802.34</v>
      </c>
      <c r="T73" s="84">
        <f t="shared" si="12"/>
        <v>1597.04</v>
      </c>
      <c r="U73" s="84">
        <f t="shared" si="12"/>
        <v>1675.6399999999999</v>
      </c>
      <c r="V73" s="84">
        <f t="shared" si="12"/>
        <v>1667.6399999999999</v>
      </c>
      <c r="W73" s="84">
        <f t="shared" si="12"/>
        <v>1675.6399999999999</v>
      </c>
      <c r="X73" s="84">
        <f t="shared" si="12"/>
        <v>1675.6399999999999</v>
      </c>
      <c r="Y73" s="84">
        <f t="shared" si="12"/>
        <v>1711.6399999999999</v>
      </c>
      <c r="Z73" s="84">
        <f t="shared" si="12"/>
        <v>1711.6399999999999</v>
      </c>
      <c r="AA73" s="84">
        <f t="shared" si="12"/>
        <v>1728.84</v>
      </c>
      <c r="AB73" s="84">
        <f t="shared" si="12"/>
        <v>1801.54</v>
      </c>
      <c r="AC73" s="84">
        <f t="shared" si="12"/>
        <v>1802.8400000000001</v>
      </c>
      <c r="AD73" s="84">
        <f t="shared" si="12"/>
        <v>1786.3400000000001</v>
      </c>
      <c r="AE73" s="84">
        <f t="shared" si="12"/>
        <v>1805.14</v>
      </c>
      <c r="AF73" s="84">
        <f t="shared" si="12"/>
        <v>1793.4399999999998</v>
      </c>
      <c r="AG73" s="84">
        <f t="shared" ref="AG73" si="13">AG68+AG56+AG52+AG38+AG72</f>
        <v>2144.14</v>
      </c>
      <c r="AH73" s="55">
        <f t="shared" si="2"/>
        <v>1805.14</v>
      </c>
      <c r="AI73" s="56">
        <f t="shared" si="3"/>
        <v>1597.04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>
        <v>5</v>
      </c>
      <c r="F74" s="86">
        <v>5</v>
      </c>
      <c r="G74" s="86">
        <v>5</v>
      </c>
      <c r="H74" s="86">
        <v>5</v>
      </c>
      <c r="I74" s="86">
        <v>5</v>
      </c>
      <c r="J74" s="86">
        <v>5</v>
      </c>
      <c r="K74" s="86">
        <v>5</v>
      </c>
      <c r="L74" s="86">
        <v>5</v>
      </c>
      <c r="M74" s="86"/>
      <c r="N74" s="86">
        <v>5</v>
      </c>
      <c r="O74" s="86">
        <v>7</v>
      </c>
      <c r="P74" s="86">
        <v>7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7</v>
      </c>
      <c r="AI74" s="56">
        <f t="shared" si="3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1754.8400000000001</v>
      </c>
      <c r="C75" s="84">
        <f t="shared" ref="C75:AF75" si="14">C73+C74</f>
        <v>1732.94</v>
      </c>
      <c r="D75" s="84">
        <f t="shared" si="14"/>
        <v>1738.74</v>
      </c>
      <c r="E75" s="84">
        <f t="shared" si="14"/>
        <v>1730.2400000000002</v>
      </c>
      <c r="F75" s="84">
        <f t="shared" si="14"/>
        <v>1727.14</v>
      </c>
      <c r="G75" s="84">
        <f t="shared" si="14"/>
        <v>1708.7400000000002</v>
      </c>
      <c r="H75" s="84">
        <f t="shared" si="14"/>
        <v>1684.8400000000001</v>
      </c>
      <c r="I75" s="84">
        <f t="shared" si="14"/>
        <v>1699.24</v>
      </c>
      <c r="J75" s="84">
        <f t="shared" si="14"/>
        <v>1704.14</v>
      </c>
      <c r="K75" s="84">
        <f t="shared" si="14"/>
        <v>1718.54</v>
      </c>
      <c r="L75" s="84">
        <f t="shared" si="14"/>
        <v>1720.24</v>
      </c>
      <c r="M75" s="84">
        <f t="shared" si="14"/>
        <v>1705.9399999999998</v>
      </c>
      <c r="N75" s="84">
        <f t="shared" si="14"/>
        <v>1739.5400000000002</v>
      </c>
      <c r="O75" s="84">
        <f t="shared" si="14"/>
        <v>1783.3400000000001</v>
      </c>
      <c r="P75" s="84">
        <f t="shared" si="14"/>
        <v>1775.2400000000002</v>
      </c>
      <c r="Q75" s="84">
        <f t="shared" si="14"/>
        <v>1765.94</v>
      </c>
      <c r="R75" s="84">
        <f t="shared" si="14"/>
        <v>1803.3400000000001</v>
      </c>
      <c r="S75" s="84">
        <f t="shared" si="14"/>
        <v>1802.34</v>
      </c>
      <c r="T75" s="84">
        <f t="shared" si="14"/>
        <v>1597.04</v>
      </c>
      <c r="U75" s="84">
        <f t="shared" si="14"/>
        <v>1675.6399999999999</v>
      </c>
      <c r="V75" s="84">
        <f t="shared" si="14"/>
        <v>1667.6399999999999</v>
      </c>
      <c r="W75" s="84">
        <f t="shared" si="14"/>
        <v>1675.6399999999999</v>
      </c>
      <c r="X75" s="84">
        <f t="shared" si="14"/>
        <v>1675.6399999999999</v>
      </c>
      <c r="Y75" s="84">
        <f t="shared" si="14"/>
        <v>1711.6399999999999</v>
      </c>
      <c r="Z75" s="84">
        <f t="shared" si="14"/>
        <v>1711.6399999999999</v>
      </c>
      <c r="AA75" s="84">
        <f t="shared" si="14"/>
        <v>1728.84</v>
      </c>
      <c r="AB75" s="84">
        <f t="shared" si="14"/>
        <v>1801.54</v>
      </c>
      <c r="AC75" s="84">
        <f t="shared" si="14"/>
        <v>1802.8400000000001</v>
      </c>
      <c r="AD75" s="84">
        <f t="shared" si="14"/>
        <v>1786.3400000000001</v>
      </c>
      <c r="AE75" s="84">
        <f t="shared" si="14"/>
        <v>1805.14</v>
      </c>
      <c r="AF75" s="84">
        <f t="shared" si="14"/>
        <v>1793.4399999999998</v>
      </c>
      <c r="AG75" s="74">
        <f>AG72+AG68+AG56+AG52+AG38+AG74</f>
        <v>2144.14</v>
      </c>
      <c r="AH75" s="55">
        <f t="shared" si="2"/>
        <v>1805.14</v>
      </c>
      <c r="AI75" s="56">
        <f t="shared" si="3"/>
        <v>1597.04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5">IF(C60&lt;0,C60*-1,0)</f>
        <v>0</v>
      </c>
      <c r="D76" s="78">
        <f t="shared" si="15"/>
        <v>0</v>
      </c>
      <c r="E76" s="78">
        <f t="shared" si="15"/>
        <v>0</v>
      </c>
      <c r="F76" s="78">
        <f t="shared" si="15"/>
        <v>0</v>
      </c>
      <c r="G76" s="78">
        <f t="shared" si="15"/>
        <v>0</v>
      </c>
      <c r="H76" s="78">
        <f t="shared" si="15"/>
        <v>0</v>
      </c>
      <c r="I76" s="78">
        <f t="shared" si="15"/>
        <v>0</v>
      </c>
      <c r="J76" s="78">
        <f t="shared" si="15"/>
        <v>0</v>
      </c>
      <c r="K76" s="78">
        <f t="shared" si="15"/>
        <v>0</v>
      </c>
      <c r="L76" s="78">
        <f t="shared" si="15"/>
        <v>0</v>
      </c>
      <c r="M76" s="78">
        <f t="shared" si="15"/>
        <v>0</v>
      </c>
      <c r="N76" s="78">
        <f t="shared" si="15"/>
        <v>0</v>
      </c>
      <c r="O76" s="78">
        <f t="shared" si="15"/>
        <v>0</v>
      </c>
      <c r="P76" s="78">
        <f t="shared" si="15"/>
        <v>0</v>
      </c>
      <c r="Q76" s="78">
        <f t="shared" si="15"/>
        <v>0</v>
      </c>
      <c r="R76" s="78">
        <f t="shared" si="15"/>
        <v>0</v>
      </c>
      <c r="S76" s="78">
        <f t="shared" si="15"/>
        <v>0</v>
      </c>
      <c r="T76" s="78">
        <f t="shared" si="15"/>
        <v>0</v>
      </c>
      <c r="U76" s="78">
        <f t="shared" si="15"/>
        <v>0</v>
      </c>
      <c r="V76" s="78">
        <f t="shared" si="15"/>
        <v>0</v>
      </c>
      <c r="W76" s="78">
        <f t="shared" si="15"/>
        <v>0</v>
      </c>
      <c r="X76" s="78">
        <f t="shared" si="15"/>
        <v>0</v>
      </c>
      <c r="Y76" s="78">
        <f t="shared" si="15"/>
        <v>0</v>
      </c>
      <c r="Z76" s="78">
        <f t="shared" si="15"/>
        <v>0</v>
      </c>
      <c r="AA76" s="78">
        <f t="shared" si="15"/>
        <v>0</v>
      </c>
      <c r="AB76" s="78">
        <f t="shared" si="15"/>
        <v>0</v>
      </c>
      <c r="AC76" s="78">
        <f t="shared" si="15"/>
        <v>0</v>
      </c>
      <c r="AD76" s="78">
        <f t="shared" si="15"/>
        <v>0</v>
      </c>
      <c r="AE76" s="78">
        <f t="shared" si="15"/>
        <v>0</v>
      </c>
      <c r="AF76" s="78">
        <f t="shared" si="15"/>
        <v>0</v>
      </c>
      <c r="AG76" s="60"/>
      <c r="AH76" s="55">
        <f t="shared" ref="AH76:AH91" si="16">MAX(B76:AF76)</f>
        <v>0</v>
      </c>
      <c r="AI76" s="56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8">IF(C58&lt;0,C58*-1,0)</f>
        <v>0</v>
      </c>
      <c r="D77" s="78">
        <f t="shared" si="18"/>
        <v>0</v>
      </c>
      <c r="E77" s="78">
        <f t="shared" si="18"/>
        <v>0</v>
      </c>
      <c r="F77" s="78">
        <f t="shared" si="18"/>
        <v>0</v>
      </c>
      <c r="G77" s="78">
        <f t="shared" si="18"/>
        <v>0</v>
      </c>
      <c r="H77" s="78">
        <f t="shared" si="18"/>
        <v>0</v>
      </c>
      <c r="I77" s="78">
        <f t="shared" si="18"/>
        <v>0</v>
      </c>
      <c r="J77" s="78">
        <f t="shared" si="18"/>
        <v>0</v>
      </c>
      <c r="K77" s="78">
        <f t="shared" si="18"/>
        <v>0</v>
      </c>
      <c r="L77" s="78">
        <f t="shared" si="18"/>
        <v>0</v>
      </c>
      <c r="M77" s="78">
        <f t="shared" si="18"/>
        <v>0</v>
      </c>
      <c r="N77" s="78">
        <f t="shared" si="18"/>
        <v>0</v>
      </c>
      <c r="O77" s="78">
        <f t="shared" si="18"/>
        <v>0</v>
      </c>
      <c r="P77" s="78">
        <f t="shared" si="18"/>
        <v>0</v>
      </c>
      <c r="Q77" s="78">
        <f t="shared" si="18"/>
        <v>0</v>
      </c>
      <c r="R77" s="78">
        <f t="shared" si="18"/>
        <v>0</v>
      </c>
      <c r="S77" s="78">
        <f t="shared" si="18"/>
        <v>0</v>
      </c>
      <c r="T77" s="78">
        <f t="shared" si="18"/>
        <v>0</v>
      </c>
      <c r="U77" s="78">
        <f t="shared" si="18"/>
        <v>0</v>
      </c>
      <c r="V77" s="78">
        <f t="shared" si="18"/>
        <v>0</v>
      </c>
      <c r="W77" s="78">
        <f t="shared" si="18"/>
        <v>0</v>
      </c>
      <c r="X77" s="78">
        <f t="shared" si="18"/>
        <v>0</v>
      </c>
      <c r="Y77" s="78">
        <f t="shared" si="18"/>
        <v>0</v>
      </c>
      <c r="Z77" s="78">
        <f t="shared" si="18"/>
        <v>0</v>
      </c>
      <c r="AA77" s="78">
        <f t="shared" si="18"/>
        <v>0</v>
      </c>
      <c r="AB77" s="78">
        <f t="shared" si="18"/>
        <v>0</v>
      </c>
      <c r="AC77" s="78">
        <f t="shared" si="18"/>
        <v>0</v>
      </c>
      <c r="AD77" s="78">
        <f t="shared" si="18"/>
        <v>0</v>
      </c>
      <c r="AE77" s="78">
        <f t="shared" si="18"/>
        <v>0</v>
      </c>
      <c r="AF77" s="78">
        <f t="shared" si="18"/>
        <v>0</v>
      </c>
      <c r="AG77" s="64"/>
      <c r="AH77" s="55">
        <f t="shared" si="16"/>
        <v>0</v>
      </c>
      <c r="AI77" s="56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9">IF(C61&lt;0,C61*-1,0)</f>
        <v>0</v>
      </c>
      <c r="D78" s="78">
        <f t="shared" si="19"/>
        <v>0</v>
      </c>
      <c r="E78" s="78">
        <f t="shared" si="19"/>
        <v>0</v>
      </c>
      <c r="F78" s="78">
        <f t="shared" si="19"/>
        <v>0</v>
      </c>
      <c r="G78" s="78">
        <f t="shared" si="19"/>
        <v>0</v>
      </c>
      <c r="H78" s="78">
        <f t="shared" si="19"/>
        <v>0</v>
      </c>
      <c r="I78" s="78">
        <f t="shared" si="19"/>
        <v>0</v>
      </c>
      <c r="J78" s="78">
        <f t="shared" si="19"/>
        <v>0</v>
      </c>
      <c r="K78" s="78">
        <f t="shared" si="19"/>
        <v>0</v>
      </c>
      <c r="L78" s="78">
        <f t="shared" si="19"/>
        <v>0</v>
      </c>
      <c r="M78" s="78">
        <f t="shared" si="19"/>
        <v>0</v>
      </c>
      <c r="N78" s="78">
        <f t="shared" si="19"/>
        <v>0</v>
      </c>
      <c r="O78" s="78">
        <f t="shared" si="19"/>
        <v>0</v>
      </c>
      <c r="P78" s="78">
        <f t="shared" si="19"/>
        <v>0</v>
      </c>
      <c r="Q78" s="78">
        <f t="shared" si="19"/>
        <v>0</v>
      </c>
      <c r="R78" s="78">
        <f t="shared" si="19"/>
        <v>0</v>
      </c>
      <c r="S78" s="78">
        <f t="shared" si="19"/>
        <v>0</v>
      </c>
      <c r="T78" s="78">
        <f t="shared" si="19"/>
        <v>0</v>
      </c>
      <c r="U78" s="78">
        <f t="shared" si="19"/>
        <v>0</v>
      </c>
      <c r="V78" s="78">
        <f t="shared" si="19"/>
        <v>0</v>
      </c>
      <c r="W78" s="78">
        <f t="shared" si="19"/>
        <v>0</v>
      </c>
      <c r="X78" s="78">
        <f t="shared" si="19"/>
        <v>0</v>
      </c>
      <c r="Y78" s="78">
        <f t="shared" si="19"/>
        <v>0</v>
      </c>
      <c r="Z78" s="78">
        <f t="shared" si="19"/>
        <v>0</v>
      </c>
      <c r="AA78" s="78">
        <f t="shared" si="19"/>
        <v>0</v>
      </c>
      <c r="AB78" s="78">
        <f t="shared" si="19"/>
        <v>0</v>
      </c>
      <c r="AC78" s="78">
        <f t="shared" si="19"/>
        <v>0</v>
      </c>
      <c r="AD78" s="78">
        <f t="shared" si="19"/>
        <v>0</v>
      </c>
      <c r="AE78" s="78">
        <f t="shared" si="19"/>
        <v>0</v>
      </c>
      <c r="AF78" s="78">
        <f t="shared" si="19"/>
        <v>0</v>
      </c>
      <c r="AG78" s="87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338</v>
      </c>
      <c r="C79" s="78">
        <f t="shared" ref="C79:AF79" si="20">IF(C59&lt;0,C59*-1,0)</f>
        <v>359</v>
      </c>
      <c r="D79" s="78">
        <f t="shared" si="20"/>
        <v>385.7</v>
      </c>
      <c r="E79" s="78">
        <f t="shared" si="20"/>
        <v>400</v>
      </c>
      <c r="F79" s="78">
        <f t="shared" si="20"/>
        <v>399</v>
      </c>
      <c r="G79" s="78">
        <f t="shared" si="20"/>
        <v>400</v>
      </c>
      <c r="H79" s="78">
        <f t="shared" si="20"/>
        <v>418</v>
      </c>
      <c r="I79" s="78">
        <f t="shared" si="20"/>
        <v>390</v>
      </c>
      <c r="J79" s="78">
        <f t="shared" si="20"/>
        <v>336</v>
      </c>
      <c r="K79" s="78">
        <f t="shared" si="20"/>
        <v>310</v>
      </c>
      <c r="L79" s="78">
        <f t="shared" si="20"/>
        <v>305</v>
      </c>
      <c r="M79" s="78">
        <f t="shared" si="20"/>
        <v>336.3</v>
      </c>
      <c r="N79" s="78">
        <f t="shared" si="20"/>
        <v>300.2</v>
      </c>
      <c r="O79" s="78">
        <f t="shared" si="20"/>
        <v>288.3</v>
      </c>
      <c r="P79" s="78">
        <f t="shared" si="20"/>
        <v>276</v>
      </c>
      <c r="Q79" s="78">
        <f t="shared" si="20"/>
        <v>306.10000000000002</v>
      </c>
      <c r="R79" s="78">
        <f t="shared" si="20"/>
        <v>302.89999999999998</v>
      </c>
      <c r="S79" s="78">
        <f t="shared" si="20"/>
        <v>315</v>
      </c>
      <c r="T79" s="78">
        <f t="shared" si="20"/>
        <v>333</v>
      </c>
      <c r="U79" s="78">
        <f t="shared" si="20"/>
        <v>302</v>
      </c>
      <c r="V79" s="78">
        <f t="shared" si="20"/>
        <v>290</v>
      </c>
      <c r="W79" s="78">
        <f t="shared" si="20"/>
        <v>352</v>
      </c>
      <c r="X79" s="78">
        <f t="shared" si="20"/>
        <v>385</v>
      </c>
      <c r="Y79" s="78">
        <f t="shared" si="20"/>
        <v>365</v>
      </c>
      <c r="Z79" s="78">
        <f t="shared" si="20"/>
        <v>363</v>
      </c>
      <c r="AA79" s="78">
        <f t="shared" si="20"/>
        <v>248</v>
      </c>
      <c r="AB79" s="78">
        <f t="shared" si="20"/>
        <v>262</v>
      </c>
      <c r="AC79" s="78">
        <f t="shared" si="20"/>
        <v>274</v>
      </c>
      <c r="AD79" s="78">
        <f t="shared" si="20"/>
        <v>277</v>
      </c>
      <c r="AE79" s="78">
        <f t="shared" si="20"/>
        <v>303</v>
      </c>
      <c r="AF79" s="78">
        <f t="shared" si="20"/>
        <v>324</v>
      </c>
      <c r="AG79" s="87"/>
      <c r="AH79" s="55">
        <f t="shared" si="16"/>
        <v>418</v>
      </c>
      <c r="AI79" s="56">
        <f t="shared" si="17"/>
        <v>248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1">IF(C57&lt;0,C57*-1,0)</f>
        <v>0</v>
      </c>
      <c r="D80" s="78">
        <f t="shared" si="21"/>
        <v>0</v>
      </c>
      <c r="E80" s="78">
        <f t="shared" si="21"/>
        <v>0</v>
      </c>
      <c r="F80" s="78">
        <f t="shared" si="21"/>
        <v>0</v>
      </c>
      <c r="G80" s="78">
        <f t="shared" si="21"/>
        <v>0</v>
      </c>
      <c r="H80" s="78">
        <f t="shared" si="21"/>
        <v>0</v>
      </c>
      <c r="I80" s="78">
        <f t="shared" si="21"/>
        <v>0</v>
      </c>
      <c r="J80" s="78">
        <f t="shared" si="21"/>
        <v>0</v>
      </c>
      <c r="K80" s="78">
        <f t="shared" si="21"/>
        <v>0</v>
      </c>
      <c r="L80" s="78">
        <f t="shared" si="21"/>
        <v>0</v>
      </c>
      <c r="M80" s="78">
        <f t="shared" si="21"/>
        <v>0</v>
      </c>
      <c r="N80" s="78">
        <f t="shared" si="21"/>
        <v>0</v>
      </c>
      <c r="O80" s="78">
        <f t="shared" si="21"/>
        <v>0</v>
      </c>
      <c r="P80" s="78">
        <f t="shared" si="21"/>
        <v>0</v>
      </c>
      <c r="Q80" s="78">
        <f t="shared" si="21"/>
        <v>0</v>
      </c>
      <c r="R80" s="78">
        <f t="shared" si="21"/>
        <v>0</v>
      </c>
      <c r="S80" s="78">
        <f t="shared" si="21"/>
        <v>0</v>
      </c>
      <c r="T80" s="78">
        <f t="shared" si="21"/>
        <v>0</v>
      </c>
      <c r="U80" s="78">
        <f t="shared" si="21"/>
        <v>0</v>
      </c>
      <c r="V80" s="78">
        <f t="shared" si="21"/>
        <v>0</v>
      </c>
      <c r="W80" s="78">
        <f t="shared" si="21"/>
        <v>0</v>
      </c>
      <c r="X80" s="78">
        <f t="shared" si="21"/>
        <v>0</v>
      </c>
      <c r="Y80" s="78">
        <f t="shared" si="21"/>
        <v>0</v>
      </c>
      <c r="Z80" s="78">
        <f t="shared" si="21"/>
        <v>0</v>
      </c>
      <c r="AA80" s="78">
        <f t="shared" si="21"/>
        <v>0</v>
      </c>
      <c r="AB80" s="78">
        <f t="shared" si="21"/>
        <v>0</v>
      </c>
      <c r="AC80" s="78">
        <f t="shared" si="21"/>
        <v>0</v>
      </c>
      <c r="AD80" s="78">
        <f t="shared" si="21"/>
        <v>0</v>
      </c>
      <c r="AE80" s="78">
        <f t="shared" si="21"/>
        <v>0</v>
      </c>
      <c r="AF80" s="78">
        <f t="shared" si="21"/>
        <v>0</v>
      </c>
      <c r="AG80" s="87"/>
      <c r="AH80" s="55">
        <f t="shared" si="16"/>
        <v>0</v>
      </c>
      <c r="AI80" s="56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6"/>
        <v>0</v>
      </c>
      <c r="AI81" s="56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338</v>
      </c>
      <c r="C82" s="70">
        <f t="shared" ref="C82:AG82" si="22">SUM(C76:C81)</f>
        <v>359</v>
      </c>
      <c r="D82" s="70">
        <f t="shared" si="22"/>
        <v>385.7</v>
      </c>
      <c r="E82" s="70">
        <f t="shared" si="22"/>
        <v>400</v>
      </c>
      <c r="F82" s="70">
        <f t="shared" si="22"/>
        <v>399</v>
      </c>
      <c r="G82" s="70">
        <f t="shared" si="22"/>
        <v>400</v>
      </c>
      <c r="H82" s="70">
        <f t="shared" si="22"/>
        <v>418</v>
      </c>
      <c r="I82" s="70">
        <f t="shared" si="22"/>
        <v>390</v>
      </c>
      <c r="J82" s="70">
        <f t="shared" si="22"/>
        <v>336</v>
      </c>
      <c r="K82" s="70">
        <f t="shared" si="22"/>
        <v>310</v>
      </c>
      <c r="L82" s="70">
        <f t="shared" si="22"/>
        <v>305</v>
      </c>
      <c r="M82" s="70">
        <f t="shared" si="22"/>
        <v>336.3</v>
      </c>
      <c r="N82" s="70">
        <f t="shared" si="22"/>
        <v>300.2</v>
      </c>
      <c r="O82" s="70">
        <f t="shared" si="22"/>
        <v>288.3</v>
      </c>
      <c r="P82" s="70">
        <f t="shared" si="22"/>
        <v>276</v>
      </c>
      <c r="Q82" s="70">
        <f t="shared" si="22"/>
        <v>306.10000000000002</v>
      </c>
      <c r="R82" s="70">
        <f t="shared" si="22"/>
        <v>302.89999999999998</v>
      </c>
      <c r="S82" s="70">
        <f t="shared" si="22"/>
        <v>315</v>
      </c>
      <c r="T82" s="70">
        <f t="shared" si="22"/>
        <v>333</v>
      </c>
      <c r="U82" s="70">
        <f t="shared" si="22"/>
        <v>302</v>
      </c>
      <c r="V82" s="70">
        <f t="shared" si="22"/>
        <v>290</v>
      </c>
      <c r="W82" s="70">
        <f t="shared" si="22"/>
        <v>352</v>
      </c>
      <c r="X82" s="70">
        <f t="shared" si="22"/>
        <v>385</v>
      </c>
      <c r="Y82" s="70">
        <f t="shared" si="22"/>
        <v>365</v>
      </c>
      <c r="Z82" s="70">
        <f t="shared" si="22"/>
        <v>363</v>
      </c>
      <c r="AA82" s="70">
        <f t="shared" si="22"/>
        <v>248</v>
      </c>
      <c r="AB82" s="70">
        <f t="shared" si="22"/>
        <v>262</v>
      </c>
      <c r="AC82" s="70">
        <f t="shared" si="22"/>
        <v>274</v>
      </c>
      <c r="AD82" s="70">
        <f t="shared" si="22"/>
        <v>277</v>
      </c>
      <c r="AE82" s="70">
        <f t="shared" si="22"/>
        <v>303</v>
      </c>
      <c r="AF82" s="70">
        <f t="shared" si="22"/>
        <v>324</v>
      </c>
      <c r="AG82" s="74">
        <f t="shared" si="22"/>
        <v>0</v>
      </c>
      <c r="AH82" s="55">
        <f t="shared" si="16"/>
        <v>418</v>
      </c>
      <c r="AI82" s="56">
        <f t="shared" si="17"/>
        <v>248</v>
      </c>
      <c r="AK82" s="57"/>
    </row>
    <row r="83" spans="1:88" s="1" customFormat="1" ht="15.75" thickBot="1" x14ac:dyDescent="0.3">
      <c r="A83" s="69" t="s">
        <v>88</v>
      </c>
      <c r="B83" s="70">
        <f>B68-B82</f>
        <v>-272.2</v>
      </c>
      <c r="C83" s="70">
        <f t="shared" ref="C83:AF83" si="23">C68-C82</f>
        <v>-331</v>
      </c>
      <c r="D83" s="70">
        <f t="shared" si="23"/>
        <v>-350.9</v>
      </c>
      <c r="E83" s="70">
        <f t="shared" si="23"/>
        <v>-377</v>
      </c>
      <c r="F83" s="70">
        <f t="shared" si="23"/>
        <v>-379.2</v>
      </c>
      <c r="G83" s="70">
        <f t="shared" si="23"/>
        <v>-381.7</v>
      </c>
      <c r="H83" s="70">
        <f t="shared" si="23"/>
        <v>-405</v>
      </c>
      <c r="I83" s="70">
        <f t="shared" si="23"/>
        <v>-371</v>
      </c>
      <c r="J83" s="70">
        <f t="shared" si="23"/>
        <v>-317.10000000000002</v>
      </c>
      <c r="K83" s="70">
        <f t="shared" si="23"/>
        <v>-291.7</v>
      </c>
      <c r="L83" s="70">
        <f t="shared" si="23"/>
        <v>-285</v>
      </c>
      <c r="M83" s="70">
        <f t="shared" si="23"/>
        <v>-319</v>
      </c>
      <c r="N83" s="70">
        <f t="shared" si="23"/>
        <v>-253.2</v>
      </c>
      <c r="O83" s="70">
        <f t="shared" si="23"/>
        <v>-232.20000000000002</v>
      </c>
      <c r="P83" s="70">
        <f t="shared" si="23"/>
        <v>-220.6</v>
      </c>
      <c r="Q83" s="70">
        <f t="shared" si="23"/>
        <v>-256.60000000000002</v>
      </c>
      <c r="R83" s="70">
        <f t="shared" si="23"/>
        <v>-228.49999999999997</v>
      </c>
      <c r="S83" s="70">
        <f t="shared" si="23"/>
        <v>-241.2</v>
      </c>
      <c r="T83" s="70">
        <f t="shared" si="23"/>
        <v>-325</v>
      </c>
      <c r="U83" s="70">
        <f t="shared" si="23"/>
        <v>-294</v>
      </c>
      <c r="V83" s="70">
        <f t="shared" si="23"/>
        <v>-290</v>
      </c>
      <c r="W83" s="70">
        <f t="shared" si="23"/>
        <v>-344</v>
      </c>
      <c r="X83" s="70">
        <f t="shared" si="23"/>
        <v>-377</v>
      </c>
      <c r="Y83" s="70">
        <f t="shared" si="23"/>
        <v>-357</v>
      </c>
      <c r="Z83" s="70">
        <f t="shared" si="23"/>
        <v>-355</v>
      </c>
      <c r="AA83" s="70">
        <f t="shared" si="23"/>
        <v>-240</v>
      </c>
      <c r="AB83" s="70">
        <f t="shared" si="23"/>
        <v>-190.4</v>
      </c>
      <c r="AC83" s="70">
        <f t="shared" si="23"/>
        <v>-201.1</v>
      </c>
      <c r="AD83" s="70">
        <f t="shared" si="23"/>
        <v>-219.6</v>
      </c>
      <c r="AE83" s="70">
        <f t="shared" si="23"/>
        <v>-224.3</v>
      </c>
      <c r="AF83" s="70">
        <f t="shared" si="23"/>
        <v>-248.9</v>
      </c>
      <c r="AG83" s="74">
        <f t="shared" ref="AG83" si="24">SUM(AG70:AG82)</f>
        <v>4360.08</v>
      </c>
      <c r="AH83" s="55">
        <f t="shared" si="16"/>
        <v>-190.4</v>
      </c>
      <c r="AI83" s="56">
        <f t="shared" si="17"/>
        <v>-405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50.034999999999997</v>
      </c>
      <c r="C84" s="90">
        <v>50.042999999999999</v>
      </c>
      <c r="D84" s="90">
        <v>50.042000000000002</v>
      </c>
      <c r="E84" s="90">
        <v>50.04</v>
      </c>
      <c r="F84" s="90">
        <v>50.018999999999998</v>
      </c>
      <c r="G84" s="90">
        <v>50.046999999999997</v>
      </c>
      <c r="H84" s="90">
        <v>50.033999999999999</v>
      </c>
      <c r="I84" s="90">
        <v>50.061</v>
      </c>
      <c r="J84" s="90">
        <v>49.941000000000003</v>
      </c>
      <c r="K84" s="90">
        <v>50.027999999999999</v>
      </c>
      <c r="L84" s="90">
        <v>49.993000000000002</v>
      </c>
      <c r="M84" s="90">
        <v>50.031999999999996</v>
      </c>
      <c r="N84" s="90">
        <v>50.16</v>
      </c>
      <c r="O84" s="90">
        <v>50.139000000000003</v>
      </c>
      <c r="P84" s="90">
        <v>50.075000000000003</v>
      </c>
      <c r="Q84" s="90">
        <v>50.042999999999999</v>
      </c>
      <c r="R84" s="90">
        <v>50.091999999999999</v>
      </c>
      <c r="S84" s="90">
        <v>50.05</v>
      </c>
      <c r="T84" s="90">
        <v>49.92</v>
      </c>
      <c r="U84" s="90">
        <v>50.2</v>
      </c>
      <c r="V84" s="90">
        <v>50.07</v>
      </c>
      <c r="W84" s="90">
        <f>50.02</f>
        <v>50.02</v>
      </c>
      <c r="X84" s="90">
        <f t="shared" ref="X84" si="25">50.02</f>
        <v>50.02</v>
      </c>
      <c r="Y84" s="90">
        <v>50.06</v>
      </c>
      <c r="Z84" s="90">
        <v>49.96</v>
      </c>
      <c r="AA84" s="90">
        <v>49.97</v>
      </c>
      <c r="AB84" s="90">
        <v>50.021000000000001</v>
      </c>
      <c r="AC84" s="90">
        <v>50.024999999999999</v>
      </c>
      <c r="AD84" s="90">
        <v>50.031999999999996</v>
      </c>
      <c r="AE84" s="90">
        <v>50.1</v>
      </c>
      <c r="AF84" s="90">
        <v>50.045999999999999</v>
      </c>
      <c r="AG84" s="91"/>
      <c r="AH84" s="55">
        <f t="shared" si="16"/>
        <v>50.2</v>
      </c>
      <c r="AI84" s="56">
        <f t="shared" si="17"/>
        <v>49.92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123.6</v>
      </c>
      <c r="C85" s="49">
        <v>123.4</v>
      </c>
      <c r="D85" s="49">
        <v>123.7</v>
      </c>
      <c r="E85" s="49">
        <v>124.5</v>
      </c>
      <c r="F85" s="49">
        <v>125.5</v>
      </c>
      <c r="G85" s="49">
        <v>124.8</v>
      </c>
      <c r="H85" s="49">
        <v>125.8</v>
      </c>
      <c r="I85" s="49">
        <v>123.9</v>
      </c>
      <c r="J85" s="49">
        <v>123.5</v>
      </c>
      <c r="K85" s="49">
        <v>123.9</v>
      </c>
      <c r="L85" s="49">
        <v>125.4</v>
      </c>
      <c r="M85" s="49">
        <v>123.8</v>
      </c>
      <c r="N85" s="49">
        <v>122.7</v>
      </c>
      <c r="O85" s="49">
        <v>120.8</v>
      </c>
      <c r="P85" s="49">
        <v>121.3</v>
      </c>
      <c r="Q85" s="49">
        <v>123</v>
      </c>
      <c r="R85" s="49">
        <v>120.5</v>
      </c>
      <c r="S85" s="49">
        <v>121.8</v>
      </c>
      <c r="T85" s="49">
        <v>121.8</v>
      </c>
      <c r="U85" s="49">
        <v>121.5</v>
      </c>
      <c r="V85" s="49">
        <v>121</v>
      </c>
      <c r="W85" s="49">
        <v>123.4</v>
      </c>
      <c r="X85" s="49">
        <v>123.4</v>
      </c>
      <c r="Y85" s="49">
        <v>31.3</v>
      </c>
      <c r="Z85" s="49">
        <v>124.9</v>
      </c>
      <c r="AA85" s="49">
        <v>124.2</v>
      </c>
      <c r="AB85" s="49">
        <v>124.5</v>
      </c>
      <c r="AC85" s="49">
        <v>124.5</v>
      </c>
      <c r="AD85" s="49">
        <v>124.5</v>
      </c>
      <c r="AE85" s="49">
        <v>124.6</v>
      </c>
      <c r="AF85" s="49">
        <v>123.4</v>
      </c>
      <c r="AG85" s="93"/>
      <c r="AH85" s="55">
        <f t="shared" si="16"/>
        <v>125.8</v>
      </c>
      <c r="AI85" s="56">
        <f t="shared" si="17"/>
        <v>31.3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128.69999999999999</v>
      </c>
      <c r="C86" s="49">
        <v>128.19999999999999</v>
      </c>
      <c r="D86" s="49">
        <v>128.19999999999999</v>
      </c>
      <c r="E86" s="49">
        <v>129.19999999999999</v>
      </c>
      <c r="F86" s="49">
        <v>129.80000000000001</v>
      </c>
      <c r="G86" s="49">
        <v>130.5</v>
      </c>
      <c r="H86" s="49">
        <v>129.4</v>
      </c>
      <c r="I86" s="49">
        <v>128</v>
      </c>
      <c r="J86" s="49">
        <v>127</v>
      </c>
      <c r="K86" s="49">
        <v>127.6</v>
      </c>
      <c r="L86" s="49">
        <v>128.5</v>
      </c>
      <c r="M86" s="49">
        <v>127.3</v>
      </c>
      <c r="N86" s="49">
        <v>126.1</v>
      </c>
      <c r="O86" s="49">
        <v>125.4</v>
      </c>
      <c r="P86" s="49">
        <v>125.9</v>
      </c>
      <c r="Q86" s="49">
        <v>127</v>
      </c>
      <c r="R86" s="49">
        <v>125.3</v>
      </c>
      <c r="S86" s="49">
        <v>126</v>
      </c>
      <c r="T86" s="49">
        <v>126</v>
      </c>
      <c r="U86" s="49">
        <v>124.9</v>
      </c>
      <c r="V86" s="49">
        <v>124.8</v>
      </c>
      <c r="W86" s="49">
        <v>126.8</v>
      </c>
      <c r="X86" s="49">
        <v>126.8</v>
      </c>
      <c r="Y86" s="49">
        <v>128.4</v>
      </c>
      <c r="Z86" s="49">
        <v>128.19999999999999</v>
      </c>
      <c r="AA86" s="49">
        <v>127.7</v>
      </c>
      <c r="AB86" s="49">
        <v>128.69999999999999</v>
      </c>
      <c r="AC86" s="49">
        <v>128.69999999999999</v>
      </c>
      <c r="AD86" s="49">
        <v>129</v>
      </c>
      <c r="AE86" s="49">
        <v>129.6</v>
      </c>
      <c r="AF86" s="49">
        <v>128.80000000000001</v>
      </c>
      <c r="AG86" s="93"/>
      <c r="AH86" s="55">
        <f t="shared" si="16"/>
        <v>130.5</v>
      </c>
      <c r="AI86" s="56">
        <f t="shared" si="17"/>
        <v>124.8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127.2</v>
      </c>
      <c r="C87" s="49">
        <v>126</v>
      </c>
      <c r="D87" s="49">
        <v>126.2</v>
      </c>
      <c r="E87" s="49">
        <v>128.5</v>
      </c>
      <c r="F87" s="49">
        <v>128.69999999999999</v>
      </c>
      <c r="G87" s="49">
        <v>129.6</v>
      </c>
      <c r="H87" s="49">
        <v>128</v>
      </c>
      <c r="I87" s="49">
        <v>125.9</v>
      </c>
      <c r="J87" s="49">
        <v>125</v>
      </c>
      <c r="K87" s="49">
        <v>126.1</v>
      </c>
      <c r="L87" s="49">
        <v>125.5</v>
      </c>
      <c r="M87" s="49">
        <v>122.3</v>
      </c>
      <c r="N87" s="49">
        <v>120.4</v>
      </c>
      <c r="O87" s="49">
        <v>117.7</v>
      </c>
      <c r="P87" s="49">
        <v>122.2</v>
      </c>
      <c r="Q87" s="49">
        <v>123.8</v>
      </c>
      <c r="R87" s="49">
        <v>122.8</v>
      </c>
      <c r="S87" s="49">
        <v>120.9</v>
      </c>
      <c r="T87" s="49">
        <v>120.9</v>
      </c>
      <c r="U87" s="49">
        <v>125.9</v>
      </c>
      <c r="V87" s="49">
        <v>125.9</v>
      </c>
      <c r="W87" s="49">
        <v>128.80000000000001</v>
      </c>
      <c r="X87" s="49">
        <v>128.80000000000001</v>
      </c>
      <c r="Y87" s="49">
        <v>129.6</v>
      </c>
      <c r="Z87" s="49">
        <v>124.7</v>
      </c>
      <c r="AA87" s="49">
        <v>124.9</v>
      </c>
      <c r="AB87" s="49">
        <v>125.3</v>
      </c>
      <c r="AC87" s="49">
        <v>124.6</v>
      </c>
      <c r="AD87" s="49">
        <v>125.4</v>
      </c>
      <c r="AE87" s="49">
        <v>128.4</v>
      </c>
      <c r="AF87" s="49"/>
      <c r="AG87" s="93"/>
      <c r="AH87" s="55">
        <f t="shared" si="16"/>
        <v>129.6</v>
      </c>
      <c r="AI87" s="56">
        <f t="shared" si="17"/>
        <v>117.7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6"/>
        <v>0</v>
      </c>
      <c r="AI88" s="56">
        <f t="shared" si="17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134.6</v>
      </c>
      <c r="C89" s="95">
        <v>130.80000000000001</v>
      </c>
      <c r="D89" s="95">
        <v>134.5</v>
      </c>
      <c r="E89" s="95">
        <v>134.4</v>
      </c>
      <c r="F89" s="95">
        <v>135.19999999999999</v>
      </c>
      <c r="G89" s="95">
        <v>132.80000000000001</v>
      </c>
      <c r="H89" s="95">
        <v>135.30000000000001</v>
      </c>
      <c r="I89" s="95">
        <v>131.69999999999999</v>
      </c>
      <c r="J89" s="95">
        <v>133.1</v>
      </c>
      <c r="K89" s="95">
        <v>135.30000000000001</v>
      </c>
      <c r="L89" s="95">
        <v>134.80000000000001</v>
      </c>
      <c r="M89" s="95">
        <v>134.4</v>
      </c>
      <c r="N89" s="95">
        <v>130.80000000000001</v>
      </c>
      <c r="O89" s="95">
        <v>134.4</v>
      </c>
      <c r="P89" s="95">
        <v>133.19999999999999</v>
      </c>
      <c r="Q89" s="95">
        <v>130.6</v>
      </c>
      <c r="R89" s="95">
        <v>130.1</v>
      </c>
      <c r="S89" s="95">
        <v>129.9</v>
      </c>
      <c r="T89" s="95">
        <v>129.9</v>
      </c>
      <c r="U89" s="95"/>
      <c r="V89" s="95"/>
      <c r="W89" s="95"/>
      <c r="X89" s="95"/>
      <c r="Y89" s="95"/>
      <c r="Z89" s="95"/>
      <c r="AA89" s="95"/>
      <c r="AB89" s="95">
        <v>133.5</v>
      </c>
      <c r="AC89" s="95">
        <v>132.30000000000001</v>
      </c>
      <c r="AD89" s="95">
        <v>133.1</v>
      </c>
      <c r="AE89" s="95">
        <v>134</v>
      </c>
      <c r="AF89" s="95">
        <v>130.6</v>
      </c>
      <c r="AG89" s="96"/>
      <c r="AH89" s="55">
        <f t="shared" si="16"/>
        <v>135.30000000000001</v>
      </c>
      <c r="AI89" s="56">
        <f t="shared" si="17"/>
        <v>129.9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127.8</v>
      </c>
      <c r="C90" s="49">
        <v>126.5</v>
      </c>
      <c r="D90" s="49">
        <v>129.4</v>
      </c>
      <c r="E90" s="49">
        <v>129.4</v>
      </c>
      <c r="F90" s="49">
        <v>130.6</v>
      </c>
      <c r="G90" s="49">
        <v>124</v>
      </c>
      <c r="H90" s="49">
        <v>136</v>
      </c>
      <c r="I90" s="49">
        <v>130.9</v>
      </c>
      <c r="J90" s="49">
        <v>127.8</v>
      </c>
      <c r="K90" s="49">
        <v>133.1</v>
      </c>
      <c r="L90" s="49">
        <v>132.1</v>
      </c>
      <c r="M90" s="49">
        <v>131.9</v>
      </c>
      <c r="N90" s="49">
        <v>128.69999999999999</v>
      </c>
      <c r="O90" s="49">
        <v>131.9</v>
      </c>
      <c r="P90" s="49">
        <v>124.7</v>
      </c>
      <c r="Q90" s="49">
        <v>126.3</v>
      </c>
      <c r="R90" s="49">
        <v>127.9</v>
      </c>
      <c r="S90" s="49">
        <v>129.5</v>
      </c>
      <c r="T90" s="49">
        <v>129.5</v>
      </c>
      <c r="U90" s="49">
        <v>131.5</v>
      </c>
      <c r="V90" s="49">
        <v>131.5</v>
      </c>
      <c r="W90" s="49">
        <v>132</v>
      </c>
      <c r="X90" s="49">
        <v>131.80000000000001</v>
      </c>
      <c r="Y90" s="49">
        <v>131.80000000000001</v>
      </c>
      <c r="Z90" s="49">
        <v>132</v>
      </c>
      <c r="AA90" s="49">
        <v>131.19999999999999</v>
      </c>
      <c r="AB90" s="49">
        <v>132.5</v>
      </c>
      <c r="AC90" s="49">
        <v>131</v>
      </c>
      <c r="AD90" s="49">
        <v>126.1</v>
      </c>
      <c r="AE90" s="49">
        <v>131.69999999999999</v>
      </c>
      <c r="AF90" s="49">
        <v>128.9</v>
      </c>
      <c r="AG90" s="93"/>
      <c r="AH90" s="55">
        <f t="shared" si="16"/>
        <v>136</v>
      </c>
      <c r="AI90" s="56">
        <f t="shared" si="17"/>
        <v>124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65.099999999999994</v>
      </c>
      <c r="C91" s="97">
        <v>64.900000000000006</v>
      </c>
      <c r="D91" s="97">
        <v>65</v>
      </c>
      <c r="E91" s="97">
        <v>65.400000000000006</v>
      </c>
      <c r="F91" s="97">
        <v>65.8</v>
      </c>
      <c r="G91" s="97">
        <v>65.599999999999994</v>
      </c>
      <c r="H91" s="97">
        <v>65.400000000000006</v>
      </c>
      <c r="I91" s="97">
        <v>64.7</v>
      </c>
      <c r="J91" s="97">
        <v>64.099999999999994</v>
      </c>
      <c r="K91" s="97">
        <v>64.2</v>
      </c>
      <c r="L91" s="97">
        <v>64.7</v>
      </c>
      <c r="M91" s="97">
        <v>64.2</v>
      </c>
      <c r="N91" s="97">
        <v>63.4</v>
      </c>
      <c r="O91" s="97">
        <v>64.2</v>
      </c>
      <c r="P91" s="97">
        <v>63.3</v>
      </c>
      <c r="Q91" s="97">
        <v>64</v>
      </c>
      <c r="R91" s="97">
        <v>62.9</v>
      </c>
      <c r="S91" s="97">
        <v>63.2</v>
      </c>
      <c r="T91" s="97">
        <v>63.2</v>
      </c>
      <c r="U91" s="97">
        <v>63.1</v>
      </c>
      <c r="V91" s="97">
        <v>63.1</v>
      </c>
      <c r="W91" s="97">
        <v>64</v>
      </c>
      <c r="X91" s="97">
        <v>64</v>
      </c>
      <c r="Y91" s="97">
        <v>64</v>
      </c>
      <c r="Z91" s="97">
        <v>64</v>
      </c>
      <c r="AA91" s="97">
        <v>64.2</v>
      </c>
      <c r="AB91" s="97">
        <v>65</v>
      </c>
      <c r="AC91" s="97">
        <v>65</v>
      </c>
      <c r="AD91" s="97">
        <v>65.2</v>
      </c>
      <c r="AE91" s="97">
        <v>65.7</v>
      </c>
      <c r="AF91" s="97">
        <v>65.099999999999994</v>
      </c>
      <c r="AG91" s="98"/>
      <c r="AH91" s="55">
        <f t="shared" si="16"/>
        <v>65.8</v>
      </c>
      <c r="AI91" s="56">
        <f t="shared" si="17"/>
        <v>62.9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6">SUM(B15,B18,B21:B22,B42,B44:B45,B47,B49,B94:B97,B103,B109,B115,B124,B126,B138,B145,B148:B149,B156,B158,B160,B164:B166,B168:B170,B175,B181:B182,B184:B186,B194,B199)</f>
        <v>244.33999999999997</v>
      </c>
      <c r="C93" s="103">
        <f t="shared" si="26"/>
        <v>239.04</v>
      </c>
      <c r="D93" s="103">
        <f t="shared" si="26"/>
        <v>241.14</v>
      </c>
      <c r="E93" s="103">
        <f t="shared" si="26"/>
        <v>240.14</v>
      </c>
      <c r="F93" s="103">
        <f t="shared" si="26"/>
        <v>238.93999999999997</v>
      </c>
      <c r="G93" s="103">
        <f t="shared" si="26"/>
        <v>243.63999999999996</v>
      </c>
      <c r="H93" s="103">
        <f t="shared" si="26"/>
        <v>239.94</v>
      </c>
      <c r="I93" s="103">
        <f t="shared" si="26"/>
        <v>292.24000000000007</v>
      </c>
      <c r="J93" s="103">
        <f t="shared" si="26"/>
        <v>307.34000000000009</v>
      </c>
      <c r="K93" s="103">
        <f t="shared" si="26"/>
        <v>326.44000000000005</v>
      </c>
      <c r="L93" s="103">
        <f t="shared" si="26"/>
        <v>324.84000000000003</v>
      </c>
      <c r="M93" s="103">
        <f t="shared" si="26"/>
        <v>223.83999999999997</v>
      </c>
      <c r="N93" s="103">
        <f t="shared" si="26"/>
        <v>321.84000000000003</v>
      </c>
      <c r="O93" s="103">
        <f t="shared" si="26"/>
        <v>331.44000000000005</v>
      </c>
      <c r="P93" s="103">
        <f t="shared" si="26"/>
        <v>332.84000000000003</v>
      </c>
      <c r="Q93" s="103">
        <f t="shared" si="26"/>
        <v>329.04</v>
      </c>
      <c r="R93" s="103">
        <f t="shared" si="26"/>
        <v>327.74</v>
      </c>
      <c r="S93" s="103">
        <f t="shared" si="26"/>
        <v>320.54000000000002</v>
      </c>
      <c r="T93" s="103">
        <f t="shared" si="26"/>
        <v>320.54000000000002</v>
      </c>
      <c r="U93" s="103">
        <f t="shared" si="26"/>
        <v>386.14000000000004</v>
      </c>
      <c r="V93" s="103">
        <f t="shared" si="26"/>
        <v>174.04</v>
      </c>
      <c r="W93" s="103">
        <f t="shared" si="26"/>
        <v>171.23999999999995</v>
      </c>
      <c r="X93" s="103">
        <f t="shared" si="26"/>
        <v>172.23999999999995</v>
      </c>
      <c r="Y93" s="103">
        <f t="shared" si="26"/>
        <v>218.53999999999996</v>
      </c>
      <c r="Z93" s="103">
        <f t="shared" si="26"/>
        <v>212.73999999999995</v>
      </c>
      <c r="AA93" s="103">
        <f t="shared" si="26"/>
        <v>254.44</v>
      </c>
      <c r="AB93" s="103">
        <f t="shared" si="26"/>
        <v>339.24</v>
      </c>
      <c r="AC93" s="103">
        <f t="shared" si="26"/>
        <v>341.14000000000004</v>
      </c>
      <c r="AD93" s="103">
        <f t="shared" si="26"/>
        <v>293.84000000000003</v>
      </c>
      <c r="AE93" s="103">
        <f t="shared" si="26"/>
        <v>277.64000000000004</v>
      </c>
      <c r="AF93" s="103">
        <f t="shared" si="26"/>
        <v>254.64</v>
      </c>
      <c r="AG93" s="104"/>
      <c r="AH93" s="55">
        <f>MAX(C93:AF93)</f>
        <v>386.14000000000004</v>
      </c>
      <c r="AI93" s="56">
        <f>MIN(C93:AF93)</f>
        <v>171.23999999999995</v>
      </c>
    </row>
    <row r="94" spans="1:88" x14ac:dyDescent="0.25">
      <c r="A94" s="105" t="s">
        <v>98</v>
      </c>
      <c r="B94" s="106">
        <v>10.6</v>
      </c>
      <c r="C94" s="106">
        <v>9.1</v>
      </c>
      <c r="D94" s="106">
        <v>13</v>
      </c>
      <c r="E94" s="106">
        <v>11.9</v>
      </c>
      <c r="F94" s="106">
        <v>8.3000000000000007</v>
      </c>
      <c r="G94" s="106">
        <v>12.7</v>
      </c>
      <c r="H94" s="106">
        <v>14.9</v>
      </c>
      <c r="I94" s="106">
        <v>16</v>
      </c>
      <c r="J94" s="106">
        <v>23.5</v>
      </c>
      <c r="K94" s="106">
        <v>19.899999999999999</v>
      </c>
      <c r="L94" s="106">
        <v>20.399999999999999</v>
      </c>
      <c r="M94" s="106">
        <v>24.7</v>
      </c>
      <c r="N94" s="106">
        <v>27</v>
      </c>
      <c r="O94" s="106">
        <v>25.3</v>
      </c>
      <c r="P94" s="106">
        <v>25.3</v>
      </c>
      <c r="Q94" s="106">
        <v>18.5</v>
      </c>
      <c r="R94" s="106">
        <v>21.2</v>
      </c>
      <c r="S94" s="106">
        <v>18.100000000000001</v>
      </c>
      <c r="T94" s="106">
        <v>18.100000000000001</v>
      </c>
      <c r="U94" s="106">
        <v>23.3</v>
      </c>
      <c r="V94" s="106">
        <v>27.5</v>
      </c>
      <c r="W94" s="106">
        <v>28.6</v>
      </c>
      <c r="X94" s="106">
        <v>29.6</v>
      </c>
      <c r="Y94" s="106">
        <v>30.6</v>
      </c>
      <c r="Z94" s="106">
        <v>23.2</v>
      </c>
      <c r="AA94" s="106">
        <v>17.899999999999999</v>
      </c>
      <c r="AB94" s="106">
        <v>18.7</v>
      </c>
      <c r="AC94" s="106">
        <v>19.5</v>
      </c>
      <c r="AD94" s="106">
        <v>14.8</v>
      </c>
      <c r="AE94" s="106">
        <v>15.9</v>
      </c>
      <c r="AF94" s="106">
        <v>13.8</v>
      </c>
      <c r="AG94" s="107">
        <v>75</v>
      </c>
      <c r="AH94" s="55">
        <f t="shared" ref="AH94:AH100" si="27">IF(ABS(MAX(C94:AF94))&gt;ABS(MIN(C94:AF94)),MAX(C94:AF94),MIN(C94:AF94))</f>
        <v>30.6</v>
      </c>
      <c r="AI94" s="108">
        <f t="shared" ref="AI94:AI100" si="28">INDEX($C$9:$AF$9,1,MATCH(AH94,C94:AF94,0))</f>
        <v>0.77083333333333337</v>
      </c>
    </row>
    <row r="95" spans="1:88" x14ac:dyDescent="0.25">
      <c r="A95" s="109" t="s">
        <v>99</v>
      </c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>
        <v>-100</v>
      </c>
      <c r="N95" s="110"/>
      <c r="O95" s="110"/>
      <c r="P95" s="110"/>
      <c r="Q95" s="110"/>
      <c r="R95" s="110"/>
      <c r="S95" s="110"/>
      <c r="T95" s="110"/>
      <c r="U95" s="110">
        <f>50.4+40.1</f>
        <v>90.5</v>
      </c>
      <c r="V95" s="110">
        <f>-73.6-41.9</f>
        <v>-115.5</v>
      </c>
      <c r="W95" s="110">
        <f>-75.7-43.7</f>
        <v>-119.4</v>
      </c>
      <c r="X95" s="110">
        <f t="shared" ref="X95" si="29">-75.7-43.7</f>
        <v>-119.4</v>
      </c>
      <c r="Y95" s="110">
        <f>-59-44.6</f>
        <v>-103.6</v>
      </c>
      <c r="Z95" s="110">
        <f>-74.6-43.8</f>
        <v>-118.39999999999999</v>
      </c>
      <c r="AA95" s="110">
        <f>-71.7-40</f>
        <v>-111.7</v>
      </c>
      <c r="AB95" s="110"/>
      <c r="AC95" s="110"/>
      <c r="AD95" s="110"/>
      <c r="AE95" s="110"/>
      <c r="AF95" s="110"/>
      <c r="AG95" s="107">
        <v>240</v>
      </c>
      <c r="AH95" s="55">
        <f t="shared" si="27"/>
        <v>-119.4</v>
      </c>
      <c r="AI95" s="108">
        <f t="shared" si="28"/>
        <v>0.72916666666666663</v>
      </c>
    </row>
    <row r="96" spans="1:88" x14ac:dyDescent="0.25">
      <c r="A96" s="109" t="s">
        <v>100</v>
      </c>
      <c r="B96" s="110">
        <v>-4.0999999999999996</v>
      </c>
      <c r="C96" s="110">
        <v>-7.2</v>
      </c>
      <c r="D96" s="110">
        <v>-9</v>
      </c>
      <c r="E96" s="110">
        <v>-8.6</v>
      </c>
      <c r="F96" s="110">
        <v>-6.3</v>
      </c>
      <c r="G96" s="110">
        <v>-6</v>
      </c>
      <c r="H96" s="110">
        <v>-1.5</v>
      </c>
      <c r="I96" s="110">
        <v>1.2</v>
      </c>
      <c r="J96" s="110">
        <v>3.8</v>
      </c>
      <c r="K96" s="110">
        <v>5.9</v>
      </c>
      <c r="L96" s="110">
        <v>12.9</v>
      </c>
      <c r="M96" s="110">
        <v>18.600000000000001</v>
      </c>
      <c r="N96" s="110">
        <v>6.8</v>
      </c>
      <c r="O96" s="110">
        <v>15.5</v>
      </c>
      <c r="P96" s="110">
        <v>18.100000000000001</v>
      </c>
      <c r="Q96" s="110">
        <v>22.6</v>
      </c>
      <c r="R96" s="110">
        <v>19</v>
      </c>
      <c r="S96" s="110">
        <v>18.5</v>
      </c>
      <c r="T96" s="110">
        <v>18.5</v>
      </c>
      <c r="U96" s="110">
        <v>30.7</v>
      </c>
      <c r="V96" s="110">
        <v>42.5</v>
      </c>
      <c r="W96" s="110">
        <v>41.1</v>
      </c>
      <c r="X96" s="110">
        <v>41.1</v>
      </c>
      <c r="Y96" s="110">
        <v>25.5</v>
      </c>
      <c r="Z96" s="110">
        <v>44.3</v>
      </c>
      <c r="AA96" s="110">
        <v>43.6</v>
      </c>
      <c r="AB96" s="110">
        <v>35.4</v>
      </c>
      <c r="AC96" s="110">
        <v>39.299999999999997</v>
      </c>
      <c r="AD96" s="110">
        <v>41.2</v>
      </c>
      <c r="AE96" s="110">
        <v>23.9</v>
      </c>
      <c r="AF96" s="110">
        <v>5.0999999999999996</v>
      </c>
      <c r="AG96" s="107">
        <v>60</v>
      </c>
      <c r="AH96" s="55">
        <f t="shared" si="27"/>
        <v>44.3</v>
      </c>
      <c r="AI96" s="108">
        <f t="shared" si="28"/>
        <v>0.79166666666666663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37.6</v>
      </c>
      <c r="J97" s="112">
        <v>42.6</v>
      </c>
      <c r="K97" s="112">
        <v>62.9</v>
      </c>
      <c r="L97" s="112">
        <v>53.8</v>
      </c>
      <c r="M97" s="112">
        <v>42.3</v>
      </c>
      <c r="N97" s="112">
        <v>44.6</v>
      </c>
      <c r="O97" s="112">
        <v>45.2</v>
      </c>
      <c r="P97" s="112">
        <v>44.6</v>
      </c>
      <c r="Q97" s="112">
        <v>44.5</v>
      </c>
      <c r="R97" s="112">
        <v>42.1</v>
      </c>
      <c r="S97" s="112">
        <v>37.9</v>
      </c>
      <c r="T97" s="112">
        <v>37.9</v>
      </c>
      <c r="U97" s="112">
        <v>57</v>
      </c>
      <c r="V97" s="112">
        <v>34.9</v>
      </c>
      <c r="W97" s="112">
        <v>36.299999999999997</v>
      </c>
      <c r="X97" s="112">
        <v>36.299999999999997</v>
      </c>
      <c r="Y97" s="112">
        <v>45.4</v>
      </c>
      <c r="Z97" s="112">
        <v>43</v>
      </c>
      <c r="AA97" s="112">
        <v>65.2</v>
      </c>
      <c r="AB97" s="112">
        <v>47.3</v>
      </c>
      <c r="AC97" s="112">
        <v>44.5</v>
      </c>
      <c r="AD97" s="112">
        <v>0</v>
      </c>
      <c r="AE97" s="112">
        <v>0</v>
      </c>
      <c r="AF97" s="112">
        <v>0</v>
      </c>
      <c r="AG97" s="113">
        <v>120</v>
      </c>
      <c r="AH97" s="55">
        <f t="shared" si="27"/>
        <v>65.2</v>
      </c>
      <c r="AI97" s="108">
        <f t="shared" si="28"/>
        <v>0.8125</v>
      </c>
    </row>
    <row r="98" spans="1:37" x14ac:dyDescent="0.25">
      <c r="A98" s="111" t="s">
        <v>102</v>
      </c>
      <c r="B98" s="112">
        <v>40.299999999999997</v>
      </c>
      <c r="C98" s="112">
        <v>36.5</v>
      </c>
      <c r="D98" s="112">
        <v>31.7</v>
      </c>
      <c r="E98" s="112">
        <v>25</v>
      </c>
      <c r="F98" s="112">
        <v>32.299999999999997</v>
      </c>
      <c r="G98" s="112">
        <v>18</v>
      </c>
      <c r="H98" s="112">
        <v>32.9</v>
      </c>
      <c r="I98" s="112">
        <v>40.200000000000003</v>
      </c>
      <c r="J98" s="112">
        <v>48</v>
      </c>
      <c r="K98" s="112">
        <v>62.8</v>
      </c>
      <c r="L98" s="112">
        <v>53.5</v>
      </c>
      <c r="M98" s="112">
        <v>46.6</v>
      </c>
      <c r="N98" s="112">
        <v>47.2</v>
      </c>
      <c r="O98" s="112">
        <v>50.5</v>
      </c>
      <c r="P98" s="112">
        <v>54.5</v>
      </c>
      <c r="Q98" s="112">
        <v>50.4</v>
      </c>
      <c r="R98" s="112">
        <v>51.2</v>
      </c>
      <c r="S98" s="112">
        <v>42.5</v>
      </c>
      <c r="T98" s="112">
        <v>42.5</v>
      </c>
      <c r="U98" s="112">
        <v>31.9</v>
      </c>
      <c r="V98" s="112">
        <v>34.700000000000003</v>
      </c>
      <c r="W98" s="112">
        <v>35.4</v>
      </c>
      <c r="X98" s="112">
        <v>35.4</v>
      </c>
      <c r="Y98" s="112">
        <v>43.5</v>
      </c>
      <c r="Z98" s="112">
        <v>35.799999999999997</v>
      </c>
      <c r="AA98" s="112">
        <v>58.4</v>
      </c>
      <c r="AB98" s="112">
        <v>44.2</v>
      </c>
      <c r="AC98" s="112">
        <v>44.5</v>
      </c>
      <c r="AD98" s="112">
        <v>59.6</v>
      </c>
      <c r="AE98" s="112">
        <v>59</v>
      </c>
      <c r="AF98" s="112">
        <v>47</v>
      </c>
      <c r="AG98" s="113"/>
      <c r="AH98" s="55">
        <f t="shared" si="27"/>
        <v>62.8</v>
      </c>
      <c r="AI98" s="108">
        <f t="shared" si="28"/>
        <v>0.29166666666666669</v>
      </c>
    </row>
    <row r="99" spans="1:37" x14ac:dyDescent="0.25">
      <c r="A99" s="111" t="s">
        <v>253</v>
      </c>
      <c r="B99" s="112">
        <v>13.5</v>
      </c>
      <c r="C99" s="112">
        <v>40.5</v>
      </c>
      <c r="D99" s="112">
        <v>30</v>
      </c>
      <c r="E99" s="112">
        <v>45.8</v>
      </c>
      <c r="F99" s="112">
        <v>52</v>
      </c>
      <c r="G99" s="112">
        <v>44.5</v>
      </c>
      <c r="H99" s="112">
        <v>19.7</v>
      </c>
      <c r="I99" s="112">
        <v>35.9</v>
      </c>
      <c r="J99" s="112">
        <v>43.1</v>
      </c>
      <c r="K99" s="112">
        <v>34.1</v>
      </c>
      <c r="L99" s="112">
        <v>62</v>
      </c>
      <c r="M99" s="112">
        <v>20.5</v>
      </c>
      <c r="N99" s="112">
        <v>0</v>
      </c>
      <c r="O99" s="112">
        <v>10.4</v>
      </c>
      <c r="P99" s="112">
        <v>11.2</v>
      </c>
      <c r="Q99" s="112">
        <v>30.1</v>
      </c>
      <c r="R99" s="112">
        <v>25.2</v>
      </c>
      <c r="S99" s="112">
        <v>16.399999999999999</v>
      </c>
      <c r="T99" s="112">
        <v>16.399999999999999</v>
      </c>
      <c r="U99" s="112">
        <v>15.5</v>
      </c>
      <c r="V99" s="112">
        <v>0</v>
      </c>
      <c r="W99" s="112">
        <v>0</v>
      </c>
      <c r="X99" s="112">
        <v>0</v>
      </c>
      <c r="Y99" s="112">
        <v>0</v>
      </c>
      <c r="Z99" s="112">
        <v>0</v>
      </c>
      <c r="AA99" s="112">
        <v>0</v>
      </c>
      <c r="AB99" s="112">
        <v>32.4</v>
      </c>
      <c r="AC99" s="112">
        <v>28</v>
      </c>
      <c r="AD99" s="112">
        <v>48.5</v>
      </c>
      <c r="AE99" s="112">
        <v>40.1</v>
      </c>
      <c r="AF99" s="112">
        <v>42.7</v>
      </c>
      <c r="AG99" s="114"/>
      <c r="AH99" s="55">
        <f t="shared" si="27"/>
        <v>62</v>
      </c>
      <c r="AI99" s="108">
        <f t="shared" si="28"/>
        <v>0.3125</v>
      </c>
    </row>
    <row r="100" spans="1:37" ht="15.75" thickBot="1" x14ac:dyDescent="0.3">
      <c r="A100" s="115" t="s">
        <v>259</v>
      </c>
      <c r="B100" s="95">
        <v>97.6</v>
      </c>
      <c r="C100" s="95">
        <v>100.3</v>
      </c>
      <c r="D100" s="95">
        <v>100.8</v>
      </c>
      <c r="E100" s="95">
        <v>103</v>
      </c>
      <c r="F100" s="95">
        <v>101.7</v>
      </c>
      <c r="G100" s="95">
        <v>105.8</v>
      </c>
      <c r="H100" s="95">
        <v>106.39</v>
      </c>
      <c r="I100" s="95">
        <v>103.3</v>
      </c>
      <c r="J100" s="95">
        <v>96.7</v>
      </c>
      <c r="K100" s="95">
        <v>98.3</v>
      </c>
      <c r="L100" s="95">
        <v>91.1</v>
      </c>
      <c r="M100" s="95">
        <v>91.1</v>
      </c>
      <c r="N100" s="95">
        <v>73.400000000000006</v>
      </c>
      <c r="O100" s="95">
        <v>74</v>
      </c>
      <c r="P100" s="95">
        <v>66.900000000000006</v>
      </c>
      <c r="Q100" s="95">
        <v>75.3</v>
      </c>
      <c r="R100" s="95">
        <v>87.4</v>
      </c>
      <c r="S100" s="95">
        <v>77.599999999999994</v>
      </c>
      <c r="T100" s="95">
        <v>77.599999999999994</v>
      </c>
      <c r="U100" s="95">
        <v>87.7</v>
      </c>
      <c r="V100" s="95">
        <v>87.9</v>
      </c>
      <c r="W100" s="95">
        <v>87.5</v>
      </c>
      <c r="X100" s="95">
        <v>87.5</v>
      </c>
      <c r="Y100" s="95">
        <v>86.2</v>
      </c>
      <c r="Z100" s="95">
        <v>40.299999999999997</v>
      </c>
      <c r="AA100" s="95">
        <v>76.8</v>
      </c>
      <c r="AB100" s="95">
        <v>77.7</v>
      </c>
      <c r="AC100" s="95">
        <v>80</v>
      </c>
      <c r="AD100" s="95">
        <v>84</v>
      </c>
      <c r="AE100" s="95">
        <v>89.8</v>
      </c>
      <c r="AF100" s="95"/>
      <c r="AG100" s="114"/>
      <c r="AH100" s="55">
        <f t="shared" si="27"/>
        <v>106.39</v>
      </c>
      <c r="AI100" s="108">
        <f t="shared" si="28"/>
        <v>0.22916666666666666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30">AF102</f>
        <v>9.9</v>
      </c>
      <c r="C102" s="54">
        <v>9.9</v>
      </c>
      <c r="D102" s="121">
        <f t="shared" ref="D102:S107" si="31">C102</f>
        <v>9.9</v>
      </c>
      <c r="E102" s="121">
        <f t="shared" si="31"/>
        <v>9.9</v>
      </c>
      <c r="F102" s="121">
        <f t="shared" si="31"/>
        <v>9.9</v>
      </c>
      <c r="G102" s="121">
        <f t="shared" si="31"/>
        <v>9.9</v>
      </c>
      <c r="H102" s="121">
        <f t="shared" si="31"/>
        <v>9.9</v>
      </c>
      <c r="I102" s="121">
        <f t="shared" si="31"/>
        <v>9.9</v>
      </c>
      <c r="J102" s="121">
        <f t="shared" si="31"/>
        <v>9.9</v>
      </c>
      <c r="K102" s="121">
        <f t="shared" si="31"/>
        <v>9.9</v>
      </c>
      <c r="L102" s="121">
        <f t="shared" si="31"/>
        <v>9.9</v>
      </c>
      <c r="M102" s="121">
        <f t="shared" si="31"/>
        <v>9.9</v>
      </c>
      <c r="N102" s="121">
        <f t="shared" si="31"/>
        <v>9.9</v>
      </c>
      <c r="O102" s="121">
        <f t="shared" si="31"/>
        <v>9.9</v>
      </c>
      <c r="P102" s="121">
        <f t="shared" si="31"/>
        <v>9.9</v>
      </c>
      <c r="Q102" s="121">
        <f t="shared" si="31"/>
        <v>9.9</v>
      </c>
      <c r="R102" s="121">
        <f t="shared" si="31"/>
        <v>9.9</v>
      </c>
      <c r="S102" s="121">
        <f t="shared" si="31"/>
        <v>9.9</v>
      </c>
      <c r="T102" s="121">
        <f t="shared" ref="T102:AF107" si="32">S102</f>
        <v>9.9</v>
      </c>
      <c r="U102" s="121">
        <f t="shared" si="32"/>
        <v>9.9</v>
      </c>
      <c r="V102" s="121">
        <f t="shared" si="32"/>
        <v>9.9</v>
      </c>
      <c r="W102" s="121">
        <f t="shared" si="32"/>
        <v>9.9</v>
      </c>
      <c r="X102" s="121">
        <f t="shared" si="32"/>
        <v>9.9</v>
      </c>
      <c r="Y102" s="121">
        <f t="shared" si="32"/>
        <v>9.9</v>
      </c>
      <c r="Z102" s="121">
        <f t="shared" si="32"/>
        <v>9.9</v>
      </c>
      <c r="AA102" s="121">
        <f t="shared" si="32"/>
        <v>9.9</v>
      </c>
      <c r="AB102" s="121">
        <f t="shared" si="32"/>
        <v>9.9</v>
      </c>
      <c r="AC102" s="121">
        <f t="shared" si="32"/>
        <v>9.9</v>
      </c>
      <c r="AD102" s="121">
        <f t="shared" si="32"/>
        <v>9.9</v>
      </c>
      <c r="AE102" s="121">
        <f t="shared" si="32"/>
        <v>9.9</v>
      </c>
      <c r="AF102" s="121">
        <f t="shared" si="32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30"/>
        <v>9.6</v>
      </c>
      <c r="C103" s="124">
        <v>9.6</v>
      </c>
      <c r="D103" s="123">
        <f t="shared" si="31"/>
        <v>9.6</v>
      </c>
      <c r="E103" s="123">
        <f t="shared" si="31"/>
        <v>9.6</v>
      </c>
      <c r="F103" s="123">
        <f t="shared" si="31"/>
        <v>9.6</v>
      </c>
      <c r="G103" s="123">
        <f t="shared" si="31"/>
        <v>9.6</v>
      </c>
      <c r="H103" s="123">
        <f t="shared" si="31"/>
        <v>9.6</v>
      </c>
      <c r="I103" s="123">
        <f t="shared" si="31"/>
        <v>9.6</v>
      </c>
      <c r="J103" s="123">
        <f t="shared" si="31"/>
        <v>9.6</v>
      </c>
      <c r="K103" s="123">
        <f t="shared" si="31"/>
        <v>9.6</v>
      </c>
      <c r="L103" s="123">
        <f t="shared" si="31"/>
        <v>9.6</v>
      </c>
      <c r="M103" s="123">
        <f t="shared" si="31"/>
        <v>9.6</v>
      </c>
      <c r="N103" s="123">
        <f t="shared" si="31"/>
        <v>9.6</v>
      </c>
      <c r="O103" s="123">
        <f t="shared" si="31"/>
        <v>9.6</v>
      </c>
      <c r="P103" s="123">
        <f t="shared" si="31"/>
        <v>9.6</v>
      </c>
      <c r="Q103" s="123">
        <f t="shared" si="31"/>
        <v>9.6</v>
      </c>
      <c r="R103" s="123">
        <f t="shared" si="31"/>
        <v>9.6</v>
      </c>
      <c r="S103" s="123">
        <f t="shared" si="31"/>
        <v>9.6</v>
      </c>
      <c r="T103" s="123">
        <f t="shared" si="32"/>
        <v>9.6</v>
      </c>
      <c r="U103" s="123">
        <f t="shared" si="32"/>
        <v>9.6</v>
      </c>
      <c r="V103" s="123">
        <f t="shared" si="32"/>
        <v>9.6</v>
      </c>
      <c r="W103" s="123">
        <f t="shared" si="32"/>
        <v>9.6</v>
      </c>
      <c r="X103" s="123">
        <f t="shared" si="32"/>
        <v>9.6</v>
      </c>
      <c r="Y103" s="123">
        <f t="shared" si="32"/>
        <v>9.6</v>
      </c>
      <c r="Z103" s="123">
        <f t="shared" si="32"/>
        <v>9.6</v>
      </c>
      <c r="AA103" s="123">
        <f t="shared" si="32"/>
        <v>9.6</v>
      </c>
      <c r="AB103" s="123">
        <f t="shared" si="32"/>
        <v>9.6</v>
      </c>
      <c r="AC103" s="123">
        <f t="shared" si="32"/>
        <v>9.6</v>
      </c>
      <c r="AD103" s="123">
        <f t="shared" si="32"/>
        <v>9.6</v>
      </c>
      <c r="AE103" s="123">
        <f t="shared" si="32"/>
        <v>9.6</v>
      </c>
      <c r="AF103" s="123">
        <f t="shared" si="32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30"/>
        <v>9.98</v>
      </c>
      <c r="C104" s="124">
        <v>9.98</v>
      </c>
      <c r="D104" s="123">
        <f t="shared" si="31"/>
        <v>9.98</v>
      </c>
      <c r="E104" s="123">
        <f t="shared" si="31"/>
        <v>9.98</v>
      </c>
      <c r="F104" s="123">
        <f t="shared" si="31"/>
        <v>9.98</v>
      </c>
      <c r="G104" s="123">
        <f t="shared" si="31"/>
        <v>9.98</v>
      </c>
      <c r="H104" s="123">
        <f t="shared" si="31"/>
        <v>9.98</v>
      </c>
      <c r="I104" s="123">
        <f t="shared" si="31"/>
        <v>9.98</v>
      </c>
      <c r="J104" s="123">
        <f t="shared" si="31"/>
        <v>9.98</v>
      </c>
      <c r="K104" s="123">
        <f t="shared" si="31"/>
        <v>9.98</v>
      </c>
      <c r="L104" s="123">
        <f t="shared" si="31"/>
        <v>9.98</v>
      </c>
      <c r="M104" s="123">
        <f t="shared" si="31"/>
        <v>9.98</v>
      </c>
      <c r="N104" s="123">
        <f t="shared" si="31"/>
        <v>9.98</v>
      </c>
      <c r="O104" s="123">
        <f t="shared" si="31"/>
        <v>9.98</v>
      </c>
      <c r="P104" s="123">
        <f t="shared" si="31"/>
        <v>9.98</v>
      </c>
      <c r="Q104" s="123">
        <f t="shared" si="31"/>
        <v>9.98</v>
      </c>
      <c r="R104" s="123">
        <f t="shared" si="31"/>
        <v>9.98</v>
      </c>
      <c r="S104" s="123">
        <f t="shared" si="31"/>
        <v>9.98</v>
      </c>
      <c r="T104" s="123">
        <f t="shared" si="32"/>
        <v>9.98</v>
      </c>
      <c r="U104" s="123">
        <f t="shared" si="32"/>
        <v>9.98</v>
      </c>
      <c r="V104" s="123">
        <f t="shared" si="32"/>
        <v>9.98</v>
      </c>
      <c r="W104" s="123">
        <f t="shared" si="32"/>
        <v>9.98</v>
      </c>
      <c r="X104" s="123">
        <f t="shared" si="32"/>
        <v>9.98</v>
      </c>
      <c r="Y104" s="123">
        <f t="shared" si="32"/>
        <v>9.98</v>
      </c>
      <c r="Z104" s="123">
        <f t="shared" si="32"/>
        <v>9.98</v>
      </c>
      <c r="AA104" s="123">
        <f t="shared" si="32"/>
        <v>9.98</v>
      </c>
      <c r="AB104" s="123">
        <f t="shared" si="32"/>
        <v>9.98</v>
      </c>
      <c r="AC104" s="123">
        <f t="shared" si="32"/>
        <v>9.98</v>
      </c>
      <c r="AD104" s="123">
        <f t="shared" si="32"/>
        <v>9.98</v>
      </c>
      <c r="AE104" s="123">
        <f t="shared" si="32"/>
        <v>9.98</v>
      </c>
      <c r="AF104" s="123">
        <f t="shared" si="32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30"/>
        <v>9.1</v>
      </c>
      <c r="C105" s="124">
        <v>9.1</v>
      </c>
      <c r="D105" s="123">
        <f t="shared" si="31"/>
        <v>9.1</v>
      </c>
      <c r="E105" s="123">
        <f t="shared" si="31"/>
        <v>9.1</v>
      </c>
      <c r="F105" s="123">
        <f t="shared" si="31"/>
        <v>9.1</v>
      </c>
      <c r="G105" s="123">
        <f t="shared" si="31"/>
        <v>9.1</v>
      </c>
      <c r="H105" s="123">
        <f t="shared" si="31"/>
        <v>9.1</v>
      </c>
      <c r="I105" s="123">
        <f t="shared" si="31"/>
        <v>9.1</v>
      </c>
      <c r="J105" s="123">
        <f t="shared" si="31"/>
        <v>9.1</v>
      </c>
      <c r="K105" s="123">
        <f t="shared" si="31"/>
        <v>9.1</v>
      </c>
      <c r="L105" s="123">
        <f t="shared" si="31"/>
        <v>9.1</v>
      </c>
      <c r="M105" s="123">
        <f t="shared" si="31"/>
        <v>9.1</v>
      </c>
      <c r="N105" s="123">
        <f t="shared" si="31"/>
        <v>9.1</v>
      </c>
      <c r="O105" s="123">
        <f t="shared" si="31"/>
        <v>9.1</v>
      </c>
      <c r="P105" s="123">
        <f t="shared" si="31"/>
        <v>9.1</v>
      </c>
      <c r="Q105" s="123">
        <f t="shared" si="31"/>
        <v>9.1</v>
      </c>
      <c r="R105" s="123">
        <f t="shared" si="31"/>
        <v>9.1</v>
      </c>
      <c r="S105" s="123">
        <f t="shared" si="31"/>
        <v>9.1</v>
      </c>
      <c r="T105" s="123">
        <f t="shared" si="32"/>
        <v>9.1</v>
      </c>
      <c r="U105" s="123">
        <f t="shared" si="32"/>
        <v>9.1</v>
      </c>
      <c r="V105" s="123">
        <f t="shared" si="32"/>
        <v>9.1</v>
      </c>
      <c r="W105" s="123">
        <f t="shared" si="32"/>
        <v>9.1</v>
      </c>
      <c r="X105" s="123">
        <f t="shared" si="32"/>
        <v>9.1</v>
      </c>
      <c r="Y105" s="123">
        <f t="shared" si="32"/>
        <v>9.1</v>
      </c>
      <c r="Z105" s="123">
        <f t="shared" si="32"/>
        <v>9.1</v>
      </c>
      <c r="AA105" s="123">
        <f t="shared" si="32"/>
        <v>9.1</v>
      </c>
      <c r="AB105" s="123">
        <f t="shared" si="32"/>
        <v>9.1</v>
      </c>
      <c r="AC105" s="123">
        <f t="shared" si="32"/>
        <v>9.1</v>
      </c>
      <c r="AD105" s="123">
        <f t="shared" si="32"/>
        <v>9.1</v>
      </c>
      <c r="AE105" s="123">
        <f t="shared" si="32"/>
        <v>9.1</v>
      </c>
      <c r="AF105" s="123">
        <f t="shared" si="32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30"/>
        <v>9.18</v>
      </c>
      <c r="C106" s="124">
        <v>9.18</v>
      </c>
      <c r="D106" s="123">
        <f t="shared" si="31"/>
        <v>9.18</v>
      </c>
      <c r="E106" s="123">
        <f t="shared" si="31"/>
        <v>9.18</v>
      </c>
      <c r="F106" s="123">
        <f t="shared" si="31"/>
        <v>9.18</v>
      </c>
      <c r="G106" s="123">
        <f t="shared" si="31"/>
        <v>9.18</v>
      </c>
      <c r="H106" s="123">
        <f t="shared" si="31"/>
        <v>9.18</v>
      </c>
      <c r="I106" s="123">
        <f t="shared" si="31"/>
        <v>9.18</v>
      </c>
      <c r="J106" s="123">
        <f t="shared" si="31"/>
        <v>9.18</v>
      </c>
      <c r="K106" s="123">
        <f t="shared" si="31"/>
        <v>9.18</v>
      </c>
      <c r="L106" s="123">
        <f t="shared" si="31"/>
        <v>9.18</v>
      </c>
      <c r="M106" s="123">
        <f t="shared" si="31"/>
        <v>9.18</v>
      </c>
      <c r="N106" s="123">
        <f t="shared" si="31"/>
        <v>9.18</v>
      </c>
      <c r="O106" s="123">
        <f t="shared" si="31"/>
        <v>9.18</v>
      </c>
      <c r="P106" s="123">
        <f t="shared" si="31"/>
        <v>9.18</v>
      </c>
      <c r="Q106" s="123">
        <f t="shared" si="31"/>
        <v>9.18</v>
      </c>
      <c r="R106" s="123">
        <f t="shared" si="31"/>
        <v>9.18</v>
      </c>
      <c r="S106" s="123">
        <f t="shared" si="31"/>
        <v>9.18</v>
      </c>
      <c r="T106" s="123">
        <f t="shared" si="32"/>
        <v>9.18</v>
      </c>
      <c r="U106" s="123">
        <f t="shared" si="32"/>
        <v>9.18</v>
      </c>
      <c r="V106" s="123">
        <f t="shared" si="32"/>
        <v>9.18</v>
      </c>
      <c r="W106" s="123">
        <f t="shared" si="32"/>
        <v>9.18</v>
      </c>
      <c r="X106" s="123">
        <f t="shared" si="32"/>
        <v>9.18</v>
      </c>
      <c r="Y106" s="123">
        <f t="shared" si="32"/>
        <v>9.18</v>
      </c>
      <c r="Z106" s="123">
        <f t="shared" si="32"/>
        <v>9.18</v>
      </c>
      <c r="AA106" s="123">
        <f t="shared" si="32"/>
        <v>9.18</v>
      </c>
      <c r="AB106" s="123">
        <f t="shared" si="32"/>
        <v>9.18</v>
      </c>
      <c r="AC106" s="123">
        <f t="shared" si="32"/>
        <v>9.18</v>
      </c>
      <c r="AD106" s="123">
        <f t="shared" si="32"/>
        <v>9.18</v>
      </c>
      <c r="AE106" s="123">
        <f t="shared" si="32"/>
        <v>9.18</v>
      </c>
      <c r="AF106" s="123">
        <f t="shared" si="32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30"/>
        <v>7</v>
      </c>
      <c r="C107" s="124">
        <v>7</v>
      </c>
      <c r="D107" s="123">
        <f t="shared" si="31"/>
        <v>7</v>
      </c>
      <c r="E107" s="123">
        <f t="shared" si="31"/>
        <v>7</v>
      </c>
      <c r="F107" s="123">
        <f t="shared" si="31"/>
        <v>7</v>
      </c>
      <c r="G107" s="123">
        <f t="shared" si="31"/>
        <v>7</v>
      </c>
      <c r="H107" s="123">
        <f t="shared" si="31"/>
        <v>7</v>
      </c>
      <c r="I107" s="123">
        <f t="shared" si="31"/>
        <v>7</v>
      </c>
      <c r="J107" s="123">
        <f t="shared" si="31"/>
        <v>7</v>
      </c>
      <c r="K107" s="123">
        <f t="shared" si="31"/>
        <v>7</v>
      </c>
      <c r="L107" s="123">
        <f t="shared" si="31"/>
        <v>7</v>
      </c>
      <c r="M107" s="123">
        <f t="shared" si="31"/>
        <v>7</v>
      </c>
      <c r="N107" s="123">
        <f t="shared" si="31"/>
        <v>7</v>
      </c>
      <c r="O107" s="123">
        <f t="shared" si="31"/>
        <v>7</v>
      </c>
      <c r="P107" s="123">
        <f t="shared" si="31"/>
        <v>7</v>
      </c>
      <c r="Q107" s="123">
        <f t="shared" si="31"/>
        <v>7</v>
      </c>
      <c r="R107" s="123">
        <f t="shared" si="31"/>
        <v>7</v>
      </c>
      <c r="S107" s="123">
        <f t="shared" si="31"/>
        <v>7</v>
      </c>
      <c r="T107" s="123">
        <f t="shared" si="32"/>
        <v>7</v>
      </c>
      <c r="U107" s="123">
        <f t="shared" si="32"/>
        <v>7</v>
      </c>
      <c r="V107" s="123">
        <f t="shared" si="32"/>
        <v>7</v>
      </c>
      <c r="W107" s="123">
        <f t="shared" si="32"/>
        <v>7</v>
      </c>
      <c r="X107" s="123">
        <f t="shared" si="32"/>
        <v>7</v>
      </c>
      <c r="Y107" s="123">
        <f t="shared" si="32"/>
        <v>7</v>
      </c>
      <c r="Z107" s="123">
        <f t="shared" si="32"/>
        <v>7</v>
      </c>
      <c r="AA107" s="123">
        <f t="shared" si="32"/>
        <v>7</v>
      </c>
      <c r="AB107" s="123">
        <f t="shared" si="32"/>
        <v>7</v>
      </c>
      <c r="AC107" s="123">
        <f t="shared" si="32"/>
        <v>7</v>
      </c>
      <c r="AD107" s="123">
        <f t="shared" si="32"/>
        <v>7</v>
      </c>
      <c r="AE107" s="123">
        <f t="shared" si="32"/>
        <v>7</v>
      </c>
      <c r="AF107" s="123">
        <f t="shared" si="32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3">C109</f>
        <v>2.25</v>
      </c>
      <c r="E109" s="123">
        <f t="shared" si="33"/>
        <v>2.25</v>
      </c>
      <c r="F109" s="123">
        <f t="shared" si="33"/>
        <v>2.25</v>
      </c>
      <c r="G109" s="123">
        <f t="shared" si="33"/>
        <v>2.25</v>
      </c>
      <c r="H109" s="123">
        <f t="shared" si="33"/>
        <v>2.25</v>
      </c>
      <c r="I109" s="123">
        <f t="shared" si="33"/>
        <v>2.25</v>
      </c>
      <c r="J109" s="123">
        <f t="shared" si="33"/>
        <v>2.25</v>
      </c>
      <c r="K109" s="123">
        <f t="shared" si="33"/>
        <v>2.25</v>
      </c>
      <c r="L109" s="123">
        <f t="shared" si="33"/>
        <v>2.25</v>
      </c>
      <c r="M109" s="123">
        <f t="shared" si="33"/>
        <v>2.25</v>
      </c>
      <c r="N109" s="123">
        <f t="shared" si="33"/>
        <v>2.25</v>
      </c>
      <c r="O109" s="123">
        <f t="shared" si="33"/>
        <v>2.25</v>
      </c>
      <c r="P109" s="123">
        <f t="shared" si="33"/>
        <v>2.25</v>
      </c>
      <c r="Q109" s="123">
        <f t="shared" si="33"/>
        <v>2.25</v>
      </c>
      <c r="R109" s="123">
        <f t="shared" si="33"/>
        <v>2.25</v>
      </c>
      <c r="S109" s="123">
        <f t="shared" si="33"/>
        <v>2.25</v>
      </c>
      <c r="T109" s="123">
        <f t="shared" ref="T109:AF110" si="34">S109</f>
        <v>2.25</v>
      </c>
      <c r="U109" s="123">
        <f t="shared" si="34"/>
        <v>2.25</v>
      </c>
      <c r="V109" s="123">
        <f t="shared" si="34"/>
        <v>2.25</v>
      </c>
      <c r="W109" s="123">
        <f t="shared" si="34"/>
        <v>2.25</v>
      </c>
      <c r="X109" s="123">
        <f t="shared" si="34"/>
        <v>2.25</v>
      </c>
      <c r="Y109" s="123">
        <f t="shared" si="34"/>
        <v>2.25</v>
      </c>
      <c r="Z109" s="123">
        <f t="shared" si="34"/>
        <v>2.25</v>
      </c>
      <c r="AA109" s="123">
        <f t="shared" si="34"/>
        <v>2.25</v>
      </c>
      <c r="AB109" s="123">
        <f t="shared" si="34"/>
        <v>2.25</v>
      </c>
      <c r="AC109" s="123">
        <f t="shared" si="34"/>
        <v>2.25</v>
      </c>
      <c r="AD109" s="123">
        <f t="shared" si="34"/>
        <v>2.25</v>
      </c>
      <c r="AE109" s="123">
        <f t="shared" si="34"/>
        <v>2.25</v>
      </c>
      <c r="AF109" s="123">
        <f t="shared" si="34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3"/>
        <v>1.64</v>
      </c>
      <c r="E110" s="123">
        <f t="shared" si="33"/>
        <v>1.64</v>
      </c>
      <c r="F110" s="123">
        <f t="shared" si="33"/>
        <v>1.64</v>
      </c>
      <c r="G110" s="123">
        <f t="shared" si="33"/>
        <v>1.64</v>
      </c>
      <c r="H110" s="123">
        <f t="shared" si="33"/>
        <v>1.64</v>
      </c>
      <c r="I110" s="123">
        <f t="shared" si="33"/>
        <v>1.64</v>
      </c>
      <c r="J110" s="123">
        <f t="shared" si="33"/>
        <v>1.64</v>
      </c>
      <c r="K110" s="123">
        <f t="shared" si="33"/>
        <v>1.64</v>
      </c>
      <c r="L110" s="123">
        <f t="shared" si="33"/>
        <v>1.64</v>
      </c>
      <c r="M110" s="123">
        <f t="shared" si="33"/>
        <v>1.64</v>
      </c>
      <c r="N110" s="123">
        <f t="shared" si="33"/>
        <v>1.64</v>
      </c>
      <c r="O110" s="123">
        <f t="shared" si="33"/>
        <v>1.64</v>
      </c>
      <c r="P110" s="123">
        <f t="shared" si="33"/>
        <v>1.64</v>
      </c>
      <c r="Q110" s="123">
        <f t="shared" si="33"/>
        <v>1.64</v>
      </c>
      <c r="R110" s="123">
        <f t="shared" si="33"/>
        <v>1.64</v>
      </c>
      <c r="S110" s="123">
        <f t="shared" si="33"/>
        <v>1.64</v>
      </c>
      <c r="T110" s="123">
        <f t="shared" si="34"/>
        <v>1.64</v>
      </c>
      <c r="U110" s="123">
        <f t="shared" si="34"/>
        <v>1.64</v>
      </c>
      <c r="V110" s="123">
        <f t="shared" si="34"/>
        <v>1.64</v>
      </c>
      <c r="W110" s="123">
        <f t="shared" si="34"/>
        <v>1.64</v>
      </c>
      <c r="X110" s="123">
        <f t="shared" si="34"/>
        <v>1.64</v>
      </c>
      <c r="Y110" s="123">
        <f t="shared" si="34"/>
        <v>1.64</v>
      </c>
      <c r="Z110" s="123">
        <f t="shared" si="34"/>
        <v>1.64</v>
      </c>
      <c r="AA110" s="123">
        <f t="shared" si="34"/>
        <v>1.64</v>
      </c>
      <c r="AB110" s="123">
        <f t="shared" si="34"/>
        <v>1.64</v>
      </c>
      <c r="AC110" s="123">
        <f t="shared" si="34"/>
        <v>1.64</v>
      </c>
      <c r="AD110" s="123">
        <f t="shared" si="34"/>
        <v>1.64</v>
      </c>
      <c r="AE110" s="123">
        <f t="shared" si="34"/>
        <v>1.64</v>
      </c>
      <c r="AF110" s="123">
        <f t="shared" si="34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5">AF112</f>
        <v>1.62</v>
      </c>
      <c r="C112" s="124">
        <v>1.62</v>
      </c>
      <c r="D112" s="123">
        <f t="shared" ref="D112:S119" si="36">C112</f>
        <v>1.62</v>
      </c>
      <c r="E112" s="123">
        <f t="shared" si="36"/>
        <v>1.62</v>
      </c>
      <c r="F112" s="123">
        <f t="shared" si="36"/>
        <v>1.62</v>
      </c>
      <c r="G112" s="123">
        <f t="shared" si="36"/>
        <v>1.62</v>
      </c>
      <c r="H112" s="123">
        <f t="shared" si="36"/>
        <v>1.62</v>
      </c>
      <c r="I112" s="123">
        <f t="shared" si="36"/>
        <v>1.62</v>
      </c>
      <c r="J112" s="123">
        <f t="shared" si="36"/>
        <v>1.62</v>
      </c>
      <c r="K112" s="123">
        <f t="shared" si="36"/>
        <v>1.62</v>
      </c>
      <c r="L112" s="123">
        <f t="shared" si="36"/>
        <v>1.62</v>
      </c>
      <c r="M112" s="123">
        <f t="shared" si="36"/>
        <v>1.62</v>
      </c>
      <c r="N112" s="123">
        <f t="shared" si="36"/>
        <v>1.62</v>
      </c>
      <c r="O112" s="123">
        <f t="shared" si="36"/>
        <v>1.62</v>
      </c>
      <c r="P112" s="123">
        <f t="shared" si="36"/>
        <v>1.62</v>
      </c>
      <c r="Q112" s="123">
        <f t="shared" si="36"/>
        <v>1.62</v>
      </c>
      <c r="R112" s="123">
        <f t="shared" si="36"/>
        <v>1.62</v>
      </c>
      <c r="S112" s="123">
        <f t="shared" si="36"/>
        <v>1.62</v>
      </c>
      <c r="T112" s="123">
        <f t="shared" ref="T112:AF127" si="37">S112</f>
        <v>1.62</v>
      </c>
      <c r="U112" s="123">
        <f t="shared" si="37"/>
        <v>1.62</v>
      </c>
      <c r="V112" s="123">
        <f t="shared" si="37"/>
        <v>1.62</v>
      </c>
      <c r="W112" s="123">
        <f t="shared" si="37"/>
        <v>1.62</v>
      </c>
      <c r="X112" s="123">
        <f t="shared" si="37"/>
        <v>1.62</v>
      </c>
      <c r="Y112" s="123">
        <f t="shared" si="37"/>
        <v>1.62</v>
      </c>
      <c r="Z112" s="123">
        <f t="shared" si="37"/>
        <v>1.62</v>
      </c>
      <c r="AA112" s="123">
        <f t="shared" si="37"/>
        <v>1.62</v>
      </c>
      <c r="AB112" s="123">
        <f t="shared" si="37"/>
        <v>1.62</v>
      </c>
      <c r="AC112" s="123">
        <f t="shared" si="37"/>
        <v>1.62</v>
      </c>
      <c r="AD112" s="123">
        <f t="shared" si="37"/>
        <v>1.62</v>
      </c>
      <c r="AE112" s="123">
        <f t="shared" si="37"/>
        <v>1.62</v>
      </c>
      <c r="AF112" s="123">
        <f t="shared" si="37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5"/>
        <v>8.36</v>
      </c>
      <c r="C113" s="124">
        <v>8.36</v>
      </c>
      <c r="D113" s="123">
        <f t="shared" si="36"/>
        <v>8.36</v>
      </c>
      <c r="E113" s="123">
        <f t="shared" si="36"/>
        <v>8.36</v>
      </c>
      <c r="F113" s="123">
        <f t="shared" si="36"/>
        <v>8.36</v>
      </c>
      <c r="G113" s="123">
        <f t="shared" si="36"/>
        <v>8.36</v>
      </c>
      <c r="H113" s="123">
        <f t="shared" si="36"/>
        <v>8.36</v>
      </c>
      <c r="I113" s="123">
        <f t="shared" si="36"/>
        <v>8.36</v>
      </c>
      <c r="J113" s="123">
        <f t="shared" si="36"/>
        <v>8.36</v>
      </c>
      <c r="K113" s="123">
        <f t="shared" si="36"/>
        <v>8.36</v>
      </c>
      <c r="L113" s="123">
        <f t="shared" si="36"/>
        <v>8.36</v>
      </c>
      <c r="M113" s="123">
        <f t="shared" si="36"/>
        <v>8.36</v>
      </c>
      <c r="N113" s="123">
        <f t="shared" si="36"/>
        <v>8.36</v>
      </c>
      <c r="O113" s="123">
        <f t="shared" si="36"/>
        <v>8.36</v>
      </c>
      <c r="P113" s="123">
        <f t="shared" si="36"/>
        <v>8.36</v>
      </c>
      <c r="Q113" s="123">
        <f t="shared" si="36"/>
        <v>8.36</v>
      </c>
      <c r="R113" s="123">
        <f t="shared" si="36"/>
        <v>8.36</v>
      </c>
      <c r="S113" s="123">
        <f t="shared" si="36"/>
        <v>8.36</v>
      </c>
      <c r="T113" s="123">
        <f t="shared" si="37"/>
        <v>8.36</v>
      </c>
      <c r="U113" s="123">
        <f t="shared" si="37"/>
        <v>8.36</v>
      </c>
      <c r="V113" s="123">
        <f t="shared" si="37"/>
        <v>8.36</v>
      </c>
      <c r="W113" s="123">
        <f t="shared" si="37"/>
        <v>8.36</v>
      </c>
      <c r="X113" s="123">
        <f t="shared" si="37"/>
        <v>8.36</v>
      </c>
      <c r="Y113" s="123">
        <f t="shared" si="37"/>
        <v>8.36</v>
      </c>
      <c r="Z113" s="123">
        <f t="shared" si="37"/>
        <v>8.36</v>
      </c>
      <c r="AA113" s="123">
        <f t="shared" si="37"/>
        <v>8.36</v>
      </c>
      <c r="AB113" s="123">
        <f t="shared" si="37"/>
        <v>8.36</v>
      </c>
      <c r="AC113" s="123">
        <f t="shared" si="37"/>
        <v>8.36</v>
      </c>
      <c r="AD113" s="123">
        <f t="shared" si="37"/>
        <v>8.36</v>
      </c>
      <c r="AE113" s="123">
        <f t="shared" si="37"/>
        <v>8.36</v>
      </c>
      <c r="AF113" s="123">
        <f t="shared" si="37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5"/>
        <v>5.4</v>
      </c>
      <c r="C114" s="124">
        <v>8</v>
      </c>
      <c r="D114" s="123">
        <f t="shared" si="36"/>
        <v>8</v>
      </c>
      <c r="E114" s="123">
        <f t="shared" si="36"/>
        <v>8</v>
      </c>
      <c r="F114" s="123">
        <f t="shared" si="36"/>
        <v>8</v>
      </c>
      <c r="G114" s="123">
        <f t="shared" si="36"/>
        <v>8</v>
      </c>
      <c r="H114" s="123">
        <f t="shared" si="36"/>
        <v>8</v>
      </c>
      <c r="I114" s="123">
        <f t="shared" si="36"/>
        <v>8</v>
      </c>
      <c r="J114" s="123">
        <v>5.4</v>
      </c>
      <c r="K114" s="123">
        <f t="shared" si="36"/>
        <v>5.4</v>
      </c>
      <c r="L114" s="123">
        <f t="shared" si="36"/>
        <v>5.4</v>
      </c>
      <c r="M114" s="123">
        <f t="shared" si="36"/>
        <v>5.4</v>
      </c>
      <c r="N114" s="123">
        <f t="shared" si="36"/>
        <v>5.4</v>
      </c>
      <c r="O114" s="123">
        <f t="shared" si="36"/>
        <v>5.4</v>
      </c>
      <c r="P114" s="123">
        <f t="shared" si="36"/>
        <v>5.4</v>
      </c>
      <c r="Q114" s="123">
        <f t="shared" si="36"/>
        <v>5.4</v>
      </c>
      <c r="R114" s="123">
        <f t="shared" si="36"/>
        <v>5.4</v>
      </c>
      <c r="S114" s="123">
        <f t="shared" si="36"/>
        <v>5.4</v>
      </c>
      <c r="T114" s="123">
        <f t="shared" si="37"/>
        <v>5.4</v>
      </c>
      <c r="U114" s="123">
        <f t="shared" si="37"/>
        <v>5.4</v>
      </c>
      <c r="V114" s="123">
        <f t="shared" si="37"/>
        <v>5.4</v>
      </c>
      <c r="W114" s="123">
        <f t="shared" si="37"/>
        <v>5.4</v>
      </c>
      <c r="X114" s="123">
        <f t="shared" si="37"/>
        <v>5.4</v>
      </c>
      <c r="Y114" s="123">
        <f t="shared" si="37"/>
        <v>5.4</v>
      </c>
      <c r="Z114" s="123">
        <f t="shared" si="37"/>
        <v>5.4</v>
      </c>
      <c r="AA114" s="123">
        <f t="shared" si="37"/>
        <v>5.4</v>
      </c>
      <c r="AB114" s="123">
        <f t="shared" si="37"/>
        <v>5.4</v>
      </c>
      <c r="AC114" s="123">
        <f t="shared" si="37"/>
        <v>5.4</v>
      </c>
      <c r="AD114" s="123">
        <f t="shared" si="37"/>
        <v>5.4</v>
      </c>
      <c r="AE114" s="123">
        <f t="shared" si="37"/>
        <v>5.4</v>
      </c>
      <c r="AF114" s="123">
        <f t="shared" si="37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5"/>
        <v>6.57</v>
      </c>
      <c r="C115" s="124">
        <v>6.57</v>
      </c>
      <c r="D115" s="123">
        <f t="shared" si="36"/>
        <v>6.57</v>
      </c>
      <c r="E115" s="123">
        <f t="shared" si="36"/>
        <v>6.57</v>
      </c>
      <c r="F115" s="123">
        <f t="shared" si="36"/>
        <v>6.57</v>
      </c>
      <c r="G115" s="123">
        <f t="shared" si="36"/>
        <v>6.57</v>
      </c>
      <c r="H115" s="123">
        <f t="shared" si="36"/>
        <v>6.57</v>
      </c>
      <c r="I115" s="123">
        <f t="shared" si="36"/>
        <v>6.57</v>
      </c>
      <c r="J115" s="123">
        <f t="shared" si="36"/>
        <v>6.57</v>
      </c>
      <c r="K115" s="123">
        <f t="shared" si="36"/>
        <v>6.57</v>
      </c>
      <c r="L115" s="123">
        <f t="shared" si="36"/>
        <v>6.57</v>
      </c>
      <c r="M115" s="123">
        <f t="shared" si="36"/>
        <v>6.57</v>
      </c>
      <c r="N115" s="123">
        <f t="shared" si="36"/>
        <v>6.57</v>
      </c>
      <c r="O115" s="123">
        <f t="shared" si="36"/>
        <v>6.57</v>
      </c>
      <c r="P115" s="123">
        <f t="shared" si="36"/>
        <v>6.57</v>
      </c>
      <c r="Q115" s="123">
        <f t="shared" si="36"/>
        <v>6.57</v>
      </c>
      <c r="R115" s="123">
        <f t="shared" si="36"/>
        <v>6.57</v>
      </c>
      <c r="S115" s="123">
        <f t="shared" si="36"/>
        <v>6.57</v>
      </c>
      <c r="T115" s="123">
        <f t="shared" si="37"/>
        <v>6.57</v>
      </c>
      <c r="U115" s="123">
        <f t="shared" si="37"/>
        <v>6.57</v>
      </c>
      <c r="V115" s="123">
        <f t="shared" si="37"/>
        <v>6.57</v>
      </c>
      <c r="W115" s="123">
        <f t="shared" si="37"/>
        <v>6.57</v>
      </c>
      <c r="X115" s="123">
        <f t="shared" si="37"/>
        <v>6.57</v>
      </c>
      <c r="Y115" s="123">
        <f t="shared" si="37"/>
        <v>6.57</v>
      </c>
      <c r="Z115" s="123">
        <f t="shared" si="37"/>
        <v>6.57</v>
      </c>
      <c r="AA115" s="123">
        <f t="shared" si="37"/>
        <v>6.57</v>
      </c>
      <c r="AB115" s="123">
        <f t="shared" si="37"/>
        <v>6.57</v>
      </c>
      <c r="AC115" s="123">
        <f t="shared" si="37"/>
        <v>6.57</v>
      </c>
      <c r="AD115" s="123">
        <f t="shared" si="37"/>
        <v>6.57</v>
      </c>
      <c r="AE115" s="123">
        <f t="shared" si="37"/>
        <v>6.57</v>
      </c>
      <c r="AF115" s="123">
        <f t="shared" si="37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5"/>
        <v>3.43</v>
      </c>
      <c r="C116" s="124">
        <v>3.43</v>
      </c>
      <c r="D116" s="123">
        <f t="shared" si="36"/>
        <v>3.43</v>
      </c>
      <c r="E116" s="123">
        <f t="shared" si="36"/>
        <v>3.43</v>
      </c>
      <c r="F116" s="123">
        <f t="shared" si="36"/>
        <v>3.43</v>
      </c>
      <c r="G116" s="123">
        <f t="shared" si="36"/>
        <v>3.43</v>
      </c>
      <c r="H116" s="123">
        <f t="shared" si="36"/>
        <v>3.43</v>
      </c>
      <c r="I116" s="123">
        <f t="shared" si="36"/>
        <v>3.43</v>
      </c>
      <c r="J116" s="123">
        <f t="shared" si="36"/>
        <v>3.43</v>
      </c>
      <c r="K116" s="123">
        <f t="shared" si="36"/>
        <v>3.43</v>
      </c>
      <c r="L116" s="123">
        <f t="shared" si="36"/>
        <v>3.43</v>
      </c>
      <c r="M116" s="123">
        <f t="shared" si="36"/>
        <v>3.43</v>
      </c>
      <c r="N116" s="123">
        <f t="shared" si="36"/>
        <v>3.43</v>
      </c>
      <c r="O116" s="123">
        <f t="shared" si="36"/>
        <v>3.43</v>
      </c>
      <c r="P116" s="123">
        <f t="shared" si="36"/>
        <v>3.43</v>
      </c>
      <c r="Q116" s="123">
        <f t="shared" si="36"/>
        <v>3.43</v>
      </c>
      <c r="R116" s="123">
        <f t="shared" si="36"/>
        <v>3.43</v>
      </c>
      <c r="S116" s="123">
        <f t="shared" si="36"/>
        <v>3.43</v>
      </c>
      <c r="T116" s="123">
        <f t="shared" si="37"/>
        <v>3.43</v>
      </c>
      <c r="U116" s="123">
        <f t="shared" si="37"/>
        <v>3.43</v>
      </c>
      <c r="V116" s="123">
        <f t="shared" si="37"/>
        <v>3.43</v>
      </c>
      <c r="W116" s="123">
        <f t="shared" si="37"/>
        <v>3.43</v>
      </c>
      <c r="X116" s="123">
        <f t="shared" si="37"/>
        <v>3.43</v>
      </c>
      <c r="Y116" s="123">
        <f t="shared" si="37"/>
        <v>3.43</v>
      </c>
      <c r="Z116" s="123">
        <f t="shared" si="37"/>
        <v>3.43</v>
      </c>
      <c r="AA116" s="123">
        <f t="shared" si="37"/>
        <v>3.43</v>
      </c>
      <c r="AB116" s="123">
        <f t="shared" si="37"/>
        <v>3.43</v>
      </c>
      <c r="AC116" s="123">
        <f t="shared" si="37"/>
        <v>3.43</v>
      </c>
      <c r="AD116" s="123">
        <f t="shared" si="37"/>
        <v>3.43</v>
      </c>
      <c r="AE116" s="123">
        <f t="shared" si="37"/>
        <v>3.43</v>
      </c>
      <c r="AF116" s="123">
        <f t="shared" si="37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5"/>
        <v>2.96</v>
      </c>
      <c r="C117" s="124">
        <v>2.96</v>
      </c>
      <c r="D117" s="123">
        <f t="shared" si="36"/>
        <v>2.96</v>
      </c>
      <c r="E117" s="123">
        <f t="shared" si="36"/>
        <v>2.96</v>
      </c>
      <c r="F117" s="123">
        <f t="shared" si="36"/>
        <v>2.96</v>
      </c>
      <c r="G117" s="123">
        <f t="shared" si="36"/>
        <v>2.96</v>
      </c>
      <c r="H117" s="123">
        <f t="shared" si="36"/>
        <v>2.96</v>
      </c>
      <c r="I117" s="123">
        <f t="shared" si="36"/>
        <v>2.96</v>
      </c>
      <c r="J117" s="123">
        <f t="shared" si="36"/>
        <v>2.96</v>
      </c>
      <c r="K117" s="123">
        <f t="shared" si="36"/>
        <v>2.96</v>
      </c>
      <c r="L117" s="123">
        <f t="shared" si="36"/>
        <v>2.96</v>
      </c>
      <c r="M117" s="123">
        <f t="shared" si="36"/>
        <v>2.96</v>
      </c>
      <c r="N117" s="123">
        <f t="shared" si="36"/>
        <v>2.96</v>
      </c>
      <c r="O117" s="123">
        <f t="shared" si="36"/>
        <v>2.96</v>
      </c>
      <c r="P117" s="123">
        <f t="shared" si="36"/>
        <v>2.96</v>
      </c>
      <c r="Q117" s="123">
        <f t="shared" si="36"/>
        <v>2.96</v>
      </c>
      <c r="R117" s="123">
        <f t="shared" si="36"/>
        <v>2.96</v>
      </c>
      <c r="S117" s="123">
        <f t="shared" si="36"/>
        <v>2.96</v>
      </c>
      <c r="T117" s="123">
        <f t="shared" si="37"/>
        <v>2.96</v>
      </c>
      <c r="U117" s="123">
        <f t="shared" si="37"/>
        <v>2.96</v>
      </c>
      <c r="V117" s="123">
        <f t="shared" si="37"/>
        <v>2.96</v>
      </c>
      <c r="W117" s="123">
        <f t="shared" si="37"/>
        <v>2.96</v>
      </c>
      <c r="X117" s="123">
        <f t="shared" si="37"/>
        <v>2.96</v>
      </c>
      <c r="Y117" s="123">
        <f t="shared" si="37"/>
        <v>2.96</v>
      </c>
      <c r="Z117" s="123">
        <f t="shared" si="37"/>
        <v>2.96</v>
      </c>
      <c r="AA117" s="123">
        <f t="shared" si="37"/>
        <v>2.96</v>
      </c>
      <c r="AB117" s="123">
        <f t="shared" si="37"/>
        <v>2.96</v>
      </c>
      <c r="AC117" s="123">
        <f t="shared" si="37"/>
        <v>2.96</v>
      </c>
      <c r="AD117" s="123">
        <f t="shared" si="37"/>
        <v>2.96</v>
      </c>
      <c r="AE117" s="123">
        <f t="shared" si="37"/>
        <v>2.96</v>
      </c>
      <c r="AF117" s="123">
        <f t="shared" si="37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5"/>
        <v>8</v>
      </c>
      <c r="C118" s="124">
        <v>8</v>
      </c>
      <c r="D118" s="123">
        <f t="shared" si="36"/>
        <v>8</v>
      </c>
      <c r="E118" s="123">
        <f t="shared" si="36"/>
        <v>8</v>
      </c>
      <c r="F118" s="123">
        <f t="shared" si="36"/>
        <v>8</v>
      </c>
      <c r="G118" s="123">
        <f t="shared" si="36"/>
        <v>8</v>
      </c>
      <c r="H118" s="123">
        <f t="shared" si="36"/>
        <v>8</v>
      </c>
      <c r="I118" s="123">
        <f t="shared" si="36"/>
        <v>8</v>
      </c>
      <c r="J118" s="123">
        <f t="shared" si="36"/>
        <v>8</v>
      </c>
      <c r="K118" s="123">
        <f t="shared" si="36"/>
        <v>8</v>
      </c>
      <c r="L118" s="123">
        <f t="shared" si="36"/>
        <v>8</v>
      </c>
      <c r="M118" s="123">
        <f t="shared" si="36"/>
        <v>8</v>
      </c>
      <c r="N118" s="123">
        <f t="shared" si="36"/>
        <v>8</v>
      </c>
      <c r="O118" s="123">
        <f t="shared" si="36"/>
        <v>8</v>
      </c>
      <c r="P118" s="123">
        <f t="shared" si="36"/>
        <v>8</v>
      </c>
      <c r="Q118" s="123">
        <f t="shared" si="36"/>
        <v>8</v>
      </c>
      <c r="R118" s="123">
        <f t="shared" si="36"/>
        <v>8</v>
      </c>
      <c r="S118" s="123">
        <f t="shared" si="36"/>
        <v>8</v>
      </c>
      <c r="T118" s="123">
        <f t="shared" si="37"/>
        <v>8</v>
      </c>
      <c r="U118" s="123">
        <f t="shared" si="37"/>
        <v>8</v>
      </c>
      <c r="V118" s="123">
        <f t="shared" si="37"/>
        <v>8</v>
      </c>
      <c r="W118" s="123">
        <f t="shared" si="37"/>
        <v>8</v>
      </c>
      <c r="X118" s="123">
        <f t="shared" si="37"/>
        <v>8</v>
      </c>
      <c r="Y118" s="123">
        <f t="shared" si="37"/>
        <v>8</v>
      </c>
      <c r="Z118" s="123">
        <f t="shared" si="37"/>
        <v>8</v>
      </c>
      <c r="AA118" s="123">
        <f t="shared" si="37"/>
        <v>8</v>
      </c>
      <c r="AB118" s="123">
        <f t="shared" si="37"/>
        <v>8</v>
      </c>
      <c r="AC118" s="123">
        <f t="shared" si="37"/>
        <v>8</v>
      </c>
      <c r="AD118" s="123">
        <f t="shared" si="37"/>
        <v>8</v>
      </c>
      <c r="AE118" s="123">
        <f t="shared" si="37"/>
        <v>8</v>
      </c>
      <c r="AF118" s="123">
        <f t="shared" si="37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5"/>
        <v>7</v>
      </c>
      <c r="C119" s="124">
        <v>7</v>
      </c>
      <c r="D119" s="123">
        <f>C119</f>
        <v>7</v>
      </c>
      <c r="E119" s="123">
        <f t="shared" si="36"/>
        <v>7</v>
      </c>
      <c r="F119" s="123">
        <f t="shared" si="36"/>
        <v>7</v>
      </c>
      <c r="G119" s="123">
        <f t="shared" si="36"/>
        <v>7</v>
      </c>
      <c r="H119" s="123">
        <f t="shared" si="36"/>
        <v>7</v>
      </c>
      <c r="I119" s="123">
        <f t="shared" si="36"/>
        <v>7</v>
      </c>
      <c r="J119" s="123">
        <f t="shared" si="36"/>
        <v>7</v>
      </c>
      <c r="K119" s="123">
        <f t="shared" si="36"/>
        <v>7</v>
      </c>
      <c r="L119" s="123">
        <f t="shared" si="36"/>
        <v>7</v>
      </c>
      <c r="M119" s="123">
        <f t="shared" si="36"/>
        <v>7</v>
      </c>
      <c r="N119" s="123">
        <f t="shared" si="36"/>
        <v>7</v>
      </c>
      <c r="O119" s="123">
        <f t="shared" si="36"/>
        <v>7</v>
      </c>
      <c r="P119" s="123">
        <f t="shared" si="36"/>
        <v>7</v>
      </c>
      <c r="Q119" s="123">
        <f t="shared" si="36"/>
        <v>7</v>
      </c>
      <c r="R119" s="123">
        <f t="shared" si="36"/>
        <v>7</v>
      </c>
      <c r="S119" s="123">
        <f t="shared" si="36"/>
        <v>7</v>
      </c>
      <c r="T119" s="123">
        <f t="shared" si="37"/>
        <v>7</v>
      </c>
      <c r="U119" s="123">
        <f t="shared" si="37"/>
        <v>7</v>
      </c>
      <c r="V119" s="123">
        <f t="shared" si="37"/>
        <v>7</v>
      </c>
      <c r="W119" s="123">
        <f t="shared" si="37"/>
        <v>7</v>
      </c>
      <c r="X119" s="123">
        <f t="shared" si="37"/>
        <v>7</v>
      </c>
      <c r="Y119" s="123">
        <f t="shared" si="37"/>
        <v>7</v>
      </c>
      <c r="Z119" s="123">
        <f t="shared" si="37"/>
        <v>7</v>
      </c>
      <c r="AA119" s="123">
        <f t="shared" si="37"/>
        <v>7</v>
      </c>
      <c r="AB119" s="123">
        <f t="shared" si="37"/>
        <v>7</v>
      </c>
      <c r="AC119" s="123">
        <f t="shared" si="37"/>
        <v>7</v>
      </c>
      <c r="AD119" s="123">
        <f t="shared" si="37"/>
        <v>7</v>
      </c>
      <c r="AE119" s="123">
        <f t="shared" si="37"/>
        <v>7</v>
      </c>
      <c r="AF119" s="123">
        <f t="shared" si="37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5"/>
        <v>3.47</v>
      </c>
      <c r="C120" s="124">
        <v>3.47</v>
      </c>
      <c r="D120" s="123">
        <f t="shared" ref="D120:S129" si="38">C120</f>
        <v>3.47</v>
      </c>
      <c r="E120" s="123">
        <f t="shared" si="38"/>
        <v>3.47</v>
      </c>
      <c r="F120" s="123">
        <f t="shared" si="38"/>
        <v>3.47</v>
      </c>
      <c r="G120" s="123">
        <f t="shared" si="38"/>
        <v>3.47</v>
      </c>
      <c r="H120" s="123">
        <f t="shared" si="38"/>
        <v>3.47</v>
      </c>
      <c r="I120" s="123">
        <f t="shared" si="38"/>
        <v>3.47</v>
      </c>
      <c r="J120" s="123">
        <f t="shared" si="38"/>
        <v>3.47</v>
      </c>
      <c r="K120" s="123">
        <f t="shared" si="38"/>
        <v>3.47</v>
      </c>
      <c r="L120" s="123">
        <f t="shared" si="38"/>
        <v>3.47</v>
      </c>
      <c r="M120" s="123">
        <f t="shared" si="38"/>
        <v>3.47</v>
      </c>
      <c r="N120" s="123">
        <f t="shared" si="38"/>
        <v>3.47</v>
      </c>
      <c r="O120" s="123">
        <f t="shared" si="38"/>
        <v>3.47</v>
      </c>
      <c r="P120" s="123">
        <f t="shared" si="38"/>
        <v>3.47</v>
      </c>
      <c r="Q120" s="123">
        <f t="shared" si="38"/>
        <v>3.47</v>
      </c>
      <c r="R120" s="123">
        <f t="shared" si="38"/>
        <v>3.47</v>
      </c>
      <c r="S120" s="123">
        <f t="shared" si="38"/>
        <v>3.47</v>
      </c>
      <c r="T120" s="123">
        <f t="shared" si="37"/>
        <v>3.47</v>
      </c>
      <c r="U120" s="123">
        <f t="shared" si="37"/>
        <v>3.47</v>
      </c>
      <c r="V120" s="123">
        <f t="shared" si="37"/>
        <v>3.47</v>
      </c>
      <c r="W120" s="123">
        <f t="shared" si="37"/>
        <v>3.47</v>
      </c>
      <c r="X120" s="123">
        <f t="shared" si="37"/>
        <v>3.47</v>
      </c>
      <c r="Y120" s="123">
        <f t="shared" si="37"/>
        <v>3.47</v>
      </c>
      <c r="Z120" s="123">
        <f t="shared" si="37"/>
        <v>3.47</v>
      </c>
      <c r="AA120" s="123">
        <f t="shared" si="37"/>
        <v>3.47</v>
      </c>
      <c r="AB120" s="123">
        <f t="shared" si="37"/>
        <v>3.47</v>
      </c>
      <c r="AC120" s="123">
        <f t="shared" si="37"/>
        <v>3.47</v>
      </c>
      <c r="AD120" s="123">
        <f t="shared" si="37"/>
        <v>3.47</v>
      </c>
      <c r="AE120" s="123">
        <f t="shared" si="37"/>
        <v>3.47</v>
      </c>
      <c r="AF120" s="123">
        <f t="shared" si="37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5"/>
        <v>2.1</v>
      </c>
      <c r="C121" s="124">
        <v>2.1</v>
      </c>
      <c r="D121" s="123">
        <f t="shared" si="38"/>
        <v>2.1</v>
      </c>
      <c r="E121" s="123">
        <f t="shared" si="38"/>
        <v>2.1</v>
      </c>
      <c r="F121" s="123">
        <f t="shared" si="38"/>
        <v>2.1</v>
      </c>
      <c r="G121" s="123">
        <f t="shared" si="38"/>
        <v>2.1</v>
      </c>
      <c r="H121" s="123">
        <f t="shared" si="38"/>
        <v>2.1</v>
      </c>
      <c r="I121" s="123">
        <f t="shared" si="38"/>
        <v>2.1</v>
      </c>
      <c r="J121" s="123">
        <f t="shared" si="38"/>
        <v>2.1</v>
      </c>
      <c r="K121" s="123">
        <f t="shared" si="38"/>
        <v>2.1</v>
      </c>
      <c r="L121" s="123">
        <f t="shared" si="38"/>
        <v>2.1</v>
      </c>
      <c r="M121" s="123">
        <f t="shared" si="38"/>
        <v>2.1</v>
      </c>
      <c r="N121" s="123">
        <f t="shared" si="38"/>
        <v>2.1</v>
      </c>
      <c r="O121" s="123">
        <f t="shared" si="38"/>
        <v>2.1</v>
      </c>
      <c r="P121" s="123">
        <f t="shared" si="38"/>
        <v>2.1</v>
      </c>
      <c r="Q121" s="123">
        <f t="shared" si="38"/>
        <v>2.1</v>
      </c>
      <c r="R121" s="123">
        <f t="shared" si="38"/>
        <v>2.1</v>
      </c>
      <c r="S121" s="123">
        <f t="shared" si="38"/>
        <v>2.1</v>
      </c>
      <c r="T121" s="123">
        <f t="shared" si="37"/>
        <v>2.1</v>
      </c>
      <c r="U121" s="123">
        <f t="shared" si="37"/>
        <v>2.1</v>
      </c>
      <c r="V121" s="123">
        <f t="shared" si="37"/>
        <v>2.1</v>
      </c>
      <c r="W121" s="123">
        <f t="shared" si="37"/>
        <v>2.1</v>
      </c>
      <c r="X121" s="123">
        <f t="shared" si="37"/>
        <v>2.1</v>
      </c>
      <c r="Y121" s="123">
        <f t="shared" si="37"/>
        <v>2.1</v>
      </c>
      <c r="Z121" s="123">
        <f t="shared" si="37"/>
        <v>2.1</v>
      </c>
      <c r="AA121" s="123">
        <f t="shared" si="37"/>
        <v>2.1</v>
      </c>
      <c r="AB121" s="123">
        <f t="shared" si="37"/>
        <v>2.1</v>
      </c>
      <c r="AC121" s="123">
        <f t="shared" si="37"/>
        <v>2.1</v>
      </c>
      <c r="AD121" s="123">
        <f t="shared" si="37"/>
        <v>2.1</v>
      </c>
      <c r="AE121" s="123">
        <f t="shared" si="37"/>
        <v>2.1</v>
      </c>
      <c r="AF121" s="123">
        <f t="shared" si="37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5"/>
        <v>9.3000000000000007</v>
      </c>
      <c r="C122" s="124">
        <v>9.3000000000000007</v>
      </c>
      <c r="D122" s="123">
        <f t="shared" si="38"/>
        <v>9.3000000000000007</v>
      </c>
      <c r="E122" s="123">
        <f t="shared" si="38"/>
        <v>9.3000000000000007</v>
      </c>
      <c r="F122" s="123">
        <f t="shared" si="38"/>
        <v>9.3000000000000007</v>
      </c>
      <c r="G122" s="123">
        <f t="shared" si="38"/>
        <v>9.3000000000000007</v>
      </c>
      <c r="H122" s="123">
        <f t="shared" si="38"/>
        <v>9.3000000000000007</v>
      </c>
      <c r="I122" s="123">
        <f t="shared" si="38"/>
        <v>9.3000000000000007</v>
      </c>
      <c r="J122" s="123">
        <f t="shared" si="38"/>
        <v>9.3000000000000007</v>
      </c>
      <c r="K122" s="123">
        <f t="shared" si="38"/>
        <v>9.3000000000000007</v>
      </c>
      <c r="L122" s="123">
        <f t="shared" si="38"/>
        <v>9.3000000000000007</v>
      </c>
      <c r="M122" s="123">
        <f t="shared" si="38"/>
        <v>9.3000000000000007</v>
      </c>
      <c r="N122" s="123">
        <f t="shared" si="38"/>
        <v>9.3000000000000007</v>
      </c>
      <c r="O122" s="123">
        <f t="shared" si="38"/>
        <v>9.3000000000000007</v>
      </c>
      <c r="P122" s="123">
        <f t="shared" si="38"/>
        <v>9.3000000000000007</v>
      </c>
      <c r="Q122" s="123">
        <f t="shared" si="38"/>
        <v>9.3000000000000007</v>
      </c>
      <c r="R122" s="123">
        <f t="shared" si="38"/>
        <v>9.3000000000000007</v>
      </c>
      <c r="S122" s="123">
        <f t="shared" si="38"/>
        <v>9.3000000000000007</v>
      </c>
      <c r="T122" s="123">
        <f t="shared" si="37"/>
        <v>9.3000000000000007</v>
      </c>
      <c r="U122" s="123">
        <f t="shared" si="37"/>
        <v>9.3000000000000007</v>
      </c>
      <c r="V122" s="123">
        <f t="shared" si="37"/>
        <v>9.3000000000000007</v>
      </c>
      <c r="W122" s="123">
        <f t="shared" si="37"/>
        <v>9.3000000000000007</v>
      </c>
      <c r="X122" s="123">
        <f t="shared" si="37"/>
        <v>9.3000000000000007</v>
      </c>
      <c r="Y122" s="123">
        <f t="shared" si="37"/>
        <v>9.3000000000000007</v>
      </c>
      <c r="Z122" s="123">
        <f t="shared" si="37"/>
        <v>9.3000000000000007</v>
      </c>
      <c r="AA122" s="123">
        <f t="shared" si="37"/>
        <v>9.3000000000000007</v>
      </c>
      <c r="AB122" s="123">
        <f t="shared" si="37"/>
        <v>9.3000000000000007</v>
      </c>
      <c r="AC122" s="123">
        <f t="shared" si="37"/>
        <v>9.3000000000000007</v>
      </c>
      <c r="AD122" s="123">
        <f t="shared" si="37"/>
        <v>9.3000000000000007</v>
      </c>
      <c r="AE122" s="123">
        <f t="shared" si="37"/>
        <v>9.3000000000000007</v>
      </c>
      <c r="AF122" s="123">
        <f t="shared" si="37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5"/>
        <v>0</v>
      </c>
      <c r="C123" s="124">
        <v>0</v>
      </c>
      <c r="D123" s="123">
        <f t="shared" si="38"/>
        <v>0</v>
      </c>
      <c r="E123" s="123">
        <f t="shared" si="38"/>
        <v>0</v>
      </c>
      <c r="F123" s="123">
        <f t="shared" si="38"/>
        <v>0</v>
      </c>
      <c r="G123" s="123">
        <f t="shared" si="38"/>
        <v>0</v>
      </c>
      <c r="H123" s="123">
        <f t="shared" si="38"/>
        <v>0</v>
      </c>
      <c r="I123" s="123">
        <f t="shared" si="38"/>
        <v>0</v>
      </c>
      <c r="J123" s="123">
        <f t="shared" si="38"/>
        <v>0</v>
      </c>
      <c r="K123" s="123">
        <f t="shared" si="38"/>
        <v>0</v>
      </c>
      <c r="L123" s="123">
        <f t="shared" si="38"/>
        <v>0</v>
      </c>
      <c r="M123" s="123">
        <f t="shared" si="38"/>
        <v>0</v>
      </c>
      <c r="N123" s="123">
        <f t="shared" si="38"/>
        <v>0</v>
      </c>
      <c r="O123" s="123">
        <f t="shared" si="38"/>
        <v>0</v>
      </c>
      <c r="P123" s="123">
        <f t="shared" si="38"/>
        <v>0</v>
      </c>
      <c r="Q123" s="123">
        <f t="shared" si="38"/>
        <v>0</v>
      </c>
      <c r="R123" s="123">
        <f t="shared" si="38"/>
        <v>0</v>
      </c>
      <c r="S123" s="123">
        <f t="shared" si="38"/>
        <v>0</v>
      </c>
      <c r="T123" s="123">
        <f t="shared" si="37"/>
        <v>0</v>
      </c>
      <c r="U123" s="123">
        <f t="shared" si="37"/>
        <v>0</v>
      </c>
      <c r="V123" s="123">
        <f t="shared" si="37"/>
        <v>0</v>
      </c>
      <c r="W123" s="123">
        <f t="shared" si="37"/>
        <v>0</v>
      </c>
      <c r="X123" s="123">
        <f t="shared" si="37"/>
        <v>0</v>
      </c>
      <c r="Y123" s="123">
        <f t="shared" si="37"/>
        <v>0</v>
      </c>
      <c r="Z123" s="123">
        <f t="shared" si="37"/>
        <v>0</v>
      </c>
      <c r="AA123" s="123">
        <f t="shared" si="37"/>
        <v>0</v>
      </c>
      <c r="AB123" s="123">
        <f t="shared" si="37"/>
        <v>0</v>
      </c>
      <c r="AC123" s="123">
        <f t="shared" si="37"/>
        <v>0</v>
      </c>
      <c r="AD123" s="123">
        <f t="shared" si="37"/>
        <v>0</v>
      </c>
      <c r="AE123" s="123">
        <f t="shared" si="37"/>
        <v>0</v>
      </c>
      <c r="AF123" s="123">
        <f t="shared" si="37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5"/>
        <v>0</v>
      </c>
      <c r="C124" s="124">
        <v>0</v>
      </c>
      <c r="D124" s="123">
        <f t="shared" si="38"/>
        <v>0</v>
      </c>
      <c r="E124" s="123">
        <f t="shared" si="38"/>
        <v>0</v>
      </c>
      <c r="F124" s="123">
        <f t="shared" si="38"/>
        <v>0</v>
      </c>
      <c r="G124" s="123">
        <f t="shared" si="38"/>
        <v>0</v>
      </c>
      <c r="H124" s="123">
        <f t="shared" si="38"/>
        <v>0</v>
      </c>
      <c r="I124" s="123">
        <f t="shared" si="38"/>
        <v>0</v>
      </c>
      <c r="J124" s="123">
        <f t="shared" si="38"/>
        <v>0</v>
      </c>
      <c r="K124" s="123">
        <f t="shared" si="38"/>
        <v>0</v>
      </c>
      <c r="L124" s="123">
        <f t="shared" si="38"/>
        <v>0</v>
      </c>
      <c r="M124" s="123">
        <f t="shared" si="38"/>
        <v>0</v>
      </c>
      <c r="N124" s="123">
        <f t="shared" si="38"/>
        <v>0</v>
      </c>
      <c r="O124" s="123">
        <f t="shared" si="38"/>
        <v>0</v>
      </c>
      <c r="P124" s="123">
        <f t="shared" si="38"/>
        <v>0</v>
      </c>
      <c r="Q124" s="123">
        <f t="shared" si="38"/>
        <v>0</v>
      </c>
      <c r="R124" s="123">
        <f t="shared" si="38"/>
        <v>0</v>
      </c>
      <c r="S124" s="123">
        <f t="shared" si="38"/>
        <v>0</v>
      </c>
      <c r="T124" s="123">
        <f t="shared" si="37"/>
        <v>0</v>
      </c>
      <c r="U124" s="123">
        <f t="shared" si="37"/>
        <v>0</v>
      </c>
      <c r="V124" s="123">
        <f t="shared" si="37"/>
        <v>0</v>
      </c>
      <c r="W124" s="123">
        <f t="shared" si="37"/>
        <v>0</v>
      </c>
      <c r="X124" s="123">
        <f t="shared" si="37"/>
        <v>0</v>
      </c>
      <c r="Y124" s="123">
        <f t="shared" si="37"/>
        <v>0</v>
      </c>
      <c r="Z124" s="123">
        <f t="shared" si="37"/>
        <v>0</v>
      </c>
      <c r="AA124" s="123">
        <f t="shared" si="37"/>
        <v>0</v>
      </c>
      <c r="AB124" s="123">
        <f t="shared" si="37"/>
        <v>0</v>
      </c>
      <c r="AC124" s="123">
        <f t="shared" si="37"/>
        <v>0</v>
      </c>
      <c r="AD124" s="123">
        <f t="shared" si="37"/>
        <v>0</v>
      </c>
      <c r="AE124" s="123">
        <f t="shared" si="37"/>
        <v>0</v>
      </c>
      <c r="AF124" s="123">
        <f t="shared" si="37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5"/>
        <v>;/</v>
      </c>
      <c r="C125" s="124">
        <v>5</v>
      </c>
      <c r="D125" s="123">
        <f t="shared" si="38"/>
        <v>5</v>
      </c>
      <c r="E125" s="123">
        <f t="shared" si="38"/>
        <v>5</v>
      </c>
      <c r="F125" s="123">
        <f t="shared" si="38"/>
        <v>5</v>
      </c>
      <c r="G125" s="123">
        <f t="shared" si="38"/>
        <v>5</v>
      </c>
      <c r="H125" s="123">
        <f t="shared" si="38"/>
        <v>5</v>
      </c>
      <c r="I125" s="123" t="s">
        <v>130</v>
      </c>
      <c r="J125" s="123" t="str">
        <f t="shared" si="38"/>
        <v>;/</v>
      </c>
      <c r="K125" s="123" t="str">
        <f t="shared" si="38"/>
        <v>;/</v>
      </c>
      <c r="L125" s="123" t="str">
        <f t="shared" si="38"/>
        <v>;/</v>
      </c>
      <c r="M125" s="123" t="str">
        <f t="shared" si="38"/>
        <v>;/</v>
      </c>
      <c r="N125" s="123" t="str">
        <f t="shared" si="38"/>
        <v>;/</v>
      </c>
      <c r="O125" s="123" t="str">
        <f t="shared" si="38"/>
        <v>;/</v>
      </c>
      <c r="P125" s="123" t="str">
        <f t="shared" si="38"/>
        <v>;/</v>
      </c>
      <c r="Q125" s="123" t="str">
        <f t="shared" si="38"/>
        <v>;/</v>
      </c>
      <c r="R125" s="123" t="str">
        <f t="shared" si="38"/>
        <v>;/</v>
      </c>
      <c r="S125" s="123" t="str">
        <f t="shared" si="38"/>
        <v>;/</v>
      </c>
      <c r="T125" s="123" t="str">
        <f t="shared" si="37"/>
        <v>;/</v>
      </c>
      <c r="U125" s="123" t="str">
        <f t="shared" si="37"/>
        <v>;/</v>
      </c>
      <c r="V125" s="123" t="str">
        <f t="shared" si="37"/>
        <v>;/</v>
      </c>
      <c r="W125" s="123" t="str">
        <f t="shared" si="37"/>
        <v>;/</v>
      </c>
      <c r="X125" s="123" t="str">
        <f t="shared" si="37"/>
        <v>;/</v>
      </c>
      <c r="Y125" s="123" t="str">
        <f t="shared" si="37"/>
        <v>;/</v>
      </c>
      <c r="Z125" s="123" t="str">
        <f t="shared" si="37"/>
        <v>;/</v>
      </c>
      <c r="AA125" s="123" t="str">
        <f t="shared" si="37"/>
        <v>;/</v>
      </c>
      <c r="AB125" s="123" t="str">
        <f t="shared" si="37"/>
        <v>;/</v>
      </c>
      <c r="AC125" s="123" t="str">
        <f t="shared" si="37"/>
        <v>;/</v>
      </c>
      <c r="AD125" s="123" t="str">
        <f t="shared" si="37"/>
        <v>;/</v>
      </c>
      <c r="AE125" s="123" t="str">
        <f t="shared" si="37"/>
        <v>;/</v>
      </c>
      <c r="AF125" s="123" t="str">
        <f t="shared" si="37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5"/>
        <v>1</v>
      </c>
      <c r="C126" s="124">
        <v>1</v>
      </c>
      <c r="D126" s="123">
        <f t="shared" si="38"/>
        <v>1</v>
      </c>
      <c r="E126" s="123">
        <f t="shared" si="38"/>
        <v>1</v>
      </c>
      <c r="F126" s="123">
        <f t="shared" si="38"/>
        <v>1</v>
      </c>
      <c r="G126" s="123">
        <f t="shared" si="38"/>
        <v>1</v>
      </c>
      <c r="H126" s="123">
        <f t="shared" si="38"/>
        <v>1</v>
      </c>
      <c r="I126" s="123">
        <f t="shared" si="38"/>
        <v>1</v>
      </c>
      <c r="J126" s="123">
        <f t="shared" si="38"/>
        <v>1</v>
      </c>
      <c r="K126" s="123">
        <f t="shared" si="38"/>
        <v>1</v>
      </c>
      <c r="L126" s="123">
        <f t="shared" si="38"/>
        <v>1</v>
      </c>
      <c r="M126" s="123">
        <f t="shared" si="38"/>
        <v>1</v>
      </c>
      <c r="N126" s="123">
        <f t="shared" si="38"/>
        <v>1</v>
      </c>
      <c r="O126" s="123">
        <f t="shared" si="38"/>
        <v>1</v>
      </c>
      <c r="P126" s="123">
        <f t="shared" si="38"/>
        <v>1</v>
      </c>
      <c r="Q126" s="123">
        <f t="shared" si="38"/>
        <v>1</v>
      </c>
      <c r="R126" s="123">
        <f t="shared" si="38"/>
        <v>1</v>
      </c>
      <c r="S126" s="123">
        <f t="shared" si="38"/>
        <v>1</v>
      </c>
      <c r="T126" s="123">
        <f t="shared" si="37"/>
        <v>1</v>
      </c>
      <c r="U126" s="123">
        <f t="shared" si="37"/>
        <v>1</v>
      </c>
      <c r="V126" s="123">
        <f t="shared" si="37"/>
        <v>1</v>
      </c>
      <c r="W126" s="123">
        <f t="shared" si="37"/>
        <v>1</v>
      </c>
      <c r="X126" s="123">
        <f t="shared" si="37"/>
        <v>1</v>
      </c>
      <c r="Y126" s="123">
        <f t="shared" si="37"/>
        <v>1</v>
      </c>
      <c r="Z126" s="123">
        <f t="shared" si="37"/>
        <v>1</v>
      </c>
      <c r="AA126" s="123">
        <f t="shared" si="37"/>
        <v>1</v>
      </c>
      <c r="AB126" s="123">
        <f t="shared" si="37"/>
        <v>1</v>
      </c>
      <c r="AC126" s="123">
        <f t="shared" si="37"/>
        <v>1</v>
      </c>
      <c r="AD126" s="123">
        <f t="shared" si="37"/>
        <v>1</v>
      </c>
      <c r="AE126" s="123">
        <f t="shared" si="37"/>
        <v>1</v>
      </c>
      <c r="AF126" s="123">
        <f t="shared" si="37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5"/>
        <v>1.58</v>
      </c>
      <c r="C127" s="124">
        <v>1.58</v>
      </c>
      <c r="D127" s="123">
        <f t="shared" si="38"/>
        <v>1.58</v>
      </c>
      <c r="E127" s="123">
        <f t="shared" si="38"/>
        <v>1.58</v>
      </c>
      <c r="F127" s="123">
        <f t="shared" si="38"/>
        <v>1.58</v>
      </c>
      <c r="G127" s="123">
        <f t="shared" si="38"/>
        <v>1.58</v>
      </c>
      <c r="H127" s="123">
        <f t="shared" si="38"/>
        <v>1.58</v>
      </c>
      <c r="I127" s="123">
        <f t="shared" si="38"/>
        <v>1.58</v>
      </c>
      <c r="J127" s="123">
        <f t="shared" si="38"/>
        <v>1.58</v>
      </c>
      <c r="K127" s="123">
        <f t="shared" si="38"/>
        <v>1.58</v>
      </c>
      <c r="L127" s="123">
        <f t="shared" si="38"/>
        <v>1.58</v>
      </c>
      <c r="M127" s="123">
        <f t="shared" si="38"/>
        <v>1.58</v>
      </c>
      <c r="N127" s="123">
        <f t="shared" si="38"/>
        <v>1.58</v>
      </c>
      <c r="O127" s="123">
        <f t="shared" si="38"/>
        <v>1.58</v>
      </c>
      <c r="P127" s="123">
        <f t="shared" si="38"/>
        <v>1.58</v>
      </c>
      <c r="Q127" s="123">
        <f t="shared" si="38"/>
        <v>1.58</v>
      </c>
      <c r="R127" s="123">
        <f t="shared" si="38"/>
        <v>1.58</v>
      </c>
      <c r="S127" s="123">
        <f t="shared" si="38"/>
        <v>1.58</v>
      </c>
      <c r="T127" s="123">
        <f t="shared" si="37"/>
        <v>1.58</v>
      </c>
      <c r="U127" s="123">
        <f t="shared" si="37"/>
        <v>1.58</v>
      </c>
      <c r="V127" s="123">
        <f t="shared" si="37"/>
        <v>1.58</v>
      </c>
      <c r="W127" s="123">
        <f t="shared" si="37"/>
        <v>1.58</v>
      </c>
      <c r="X127" s="123">
        <f t="shared" si="37"/>
        <v>1.58</v>
      </c>
      <c r="Y127" s="123">
        <f t="shared" si="37"/>
        <v>1.58</v>
      </c>
      <c r="Z127" s="123">
        <f t="shared" si="37"/>
        <v>1.58</v>
      </c>
      <c r="AA127" s="123">
        <f t="shared" si="37"/>
        <v>1.58</v>
      </c>
      <c r="AB127" s="123">
        <f t="shared" si="37"/>
        <v>1.58</v>
      </c>
      <c r="AC127" s="123">
        <f t="shared" si="37"/>
        <v>1.58</v>
      </c>
      <c r="AD127" s="123">
        <f t="shared" si="37"/>
        <v>1.58</v>
      </c>
      <c r="AE127" s="123">
        <f t="shared" si="37"/>
        <v>1.58</v>
      </c>
      <c r="AF127" s="123">
        <f t="shared" si="37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5"/>
        <v>1.46</v>
      </c>
      <c r="C128" s="124">
        <v>1.46</v>
      </c>
      <c r="D128" s="123">
        <f t="shared" si="38"/>
        <v>1.46</v>
      </c>
      <c r="E128" s="123">
        <f t="shared" si="38"/>
        <v>1.46</v>
      </c>
      <c r="F128" s="123">
        <f t="shared" si="38"/>
        <v>1.46</v>
      </c>
      <c r="G128" s="123">
        <f t="shared" si="38"/>
        <v>1.46</v>
      </c>
      <c r="H128" s="123">
        <f t="shared" si="38"/>
        <v>1.46</v>
      </c>
      <c r="I128" s="123">
        <f t="shared" si="38"/>
        <v>1.46</v>
      </c>
      <c r="J128" s="123">
        <f t="shared" si="38"/>
        <v>1.46</v>
      </c>
      <c r="K128" s="123">
        <f t="shared" si="38"/>
        <v>1.46</v>
      </c>
      <c r="L128" s="123">
        <f t="shared" si="38"/>
        <v>1.46</v>
      </c>
      <c r="M128" s="123">
        <f t="shared" si="38"/>
        <v>1.46</v>
      </c>
      <c r="N128" s="123">
        <f t="shared" si="38"/>
        <v>1.46</v>
      </c>
      <c r="O128" s="123">
        <f t="shared" si="38"/>
        <v>1.46</v>
      </c>
      <c r="P128" s="123">
        <f t="shared" si="38"/>
        <v>1.46</v>
      </c>
      <c r="Q128" s="123">
        <f t="shared" si="38"/>
        <v>1.46</v>
      </c>
      <c r="R128" s="123">
        <f t="shared" si="38"/>
        <v>1.46</v>
      </c>
      <c r="S128" s="123">
        <f t="shared" si="38"/>
        <v>1.46</v>
      </c>
      <c r="T128" s="123">
        <f t="shared" ref="T128:AF129" si="39">S128</f>
        <v>1.46</v>
      </c>
      <c r="U128" s="123">
        <f t="shared" si="39"/>
        <v>1.46</v>
      </c>
      <c r="V128" s="123">
        <f t="shared" si="39"/>
        <v>1.46</v>
      </c>
      <c r="W128" s="123">
        <f t="shared" si="39"/>
        <v>1.46</v>
      </c>
      <c r="X128" s="123">
        <f t="shared" si="39"/>
        <v>1.46</v>
      </c>
      <c r="Y128" s="123">
        <f t="shared" si="39"/>
        <v>1.46</v>
      </c>
      <c r="Z128" s="123">
        <f t="shared" si="39"/>
        <v>1.46</v>
      </c>
      <c r="AA128" s="123">
        <f t="shared" si="39"/>
        <v>1.46</v>
      </c>
      <c r="AB128" s="123">
        <f t="shared" si="39"/>
        <v>1.46</v>
      </c>
      <c r="AC128" s="123">
        <f t="shared" si="39"/>
        <v>1.46</v>
      </c>
      <c r="AD128" s="123">
        <f t="shared" si="39"/>
        <v>1.46</v>
      </c>
      <c r="AE128" s="123">
        <f t="shared" si="39"/>
        <v>1.46</v>
      </c>
      <c r="AF128" s="123">
        <f t="shared" si="39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5"/>
        <v>1.48</v>
      </c>
      <c r="C129" s="124">
        <v>1.48</v>
      </c>
      <c r="D129" s="123">
        <f t="shared" si="38"/>
        <v>1.48</v>
      </c>
      <c r="E129" s="123">
        <f t="shared" si="38"/>
        <v>1.48</v>
      </c>
      <c r="F129" s="123">
        <f t="shared" si="38"/>
        <v>1.48</v>
      </c>
      <c r="G129" s="123">
        <f t="shared" si="38"/>
        <v>1.48</v>
      </c>
      <c r="H129" s="123">
        <f t="shared" si="38"/>
        <v>1.48</v>
      </c>
      <c r="I129" s="123">
        <f t="shared" si="38"/>
        <v>1.48</v>
      </c>
      <c r="J129" s="123">
        <f t="shared" si="38"/>
        <v>1.48</v>
      </c>
      <c r="K129" s="123">
        <f t="shared" si="38"/>
        <v>1.48</v>
      </c>
      <c r="L129" s="123">
        <f t="shared" si="38"/>
        <v>1.48</v>
      </c>
      <c r="M129" s="123">
        <f t="shared" si="38"/>
        <v>1.48</v>
      </c>
      <c r="N129" s="123">
        <f t="shared" si="38"/>
        <v>1.48</v>
      </c>
      <c r="O129" s="123">
        <f t="shared" si="38"/>
        <v>1.48</v>
      </c>
      <c r="P129" s="123">
        <f t="shared" si="38"/>
        <v>1.48</v>
      </c>
      <c r="Q129" s="123">
        <f t="shared" si="38"/>
        <v>1.48</v>
      </c>
      <c r="R129" s="123">
        <f t="shared" si="38"/>
        <v>1.48</v>
      </c>
      <c r="S129" s="123">
        <f t="shared" si="38"/>
        <v>1.48</v>
      </c>
      <c r="T129" s="123">
        <f t="shared" si="39"/>
        <v>1.48</v>
      </c>
      <c r="U129" s="123">
        <f t="shared" si="39"/>
        <v>1.48</v>
      </c>
      <c r="V129" s="123">
        <f t="shared" si="39"/>
        <v>1.48</v>
      </c>
      <c r="W129" s="123">
        <f t="shared" si="39"/>
        <v>1.48</v>
      </c>
      <c r="X129" s="123">
        <f t="shared" si="39"/>
        <v>1.48</v>
      </c>
      <c r="Y129" s="123">
        <f t="shared" si="39"/>
        <v>1.48</v>
      </c>
      <c r="Z129" s="123">
        <f t="shared" si="39"/>
        <v>1.48</v>
      </c>
      <c r="AA129" s="123">
        <f t="shared" si="39"/>
        <v>1.48</v>
      </c>
      <c r="AB129" s="123">
        <f t="shared" si="39"/>
        <v>1.48</v>
      </c>
      <c r="AC129" s="123">
        <f t="shared" si="39"/>
        <v>1.48</v>
      </c>
      <c r="AD129" s="123">
        <f t="shared" si="39"/>
        <v>1.48</v>
      </c>
      <c r="AE129" s="123">
        <f t="shared" si="39"/>
        <v>1.48</v>
      </c>
      <c r="AF129" s="123">
        <f t="shared" si="39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40">AF131</f>
        <v>2.2000000000000002</v>
      </c>
      <c r="C131" s="124">
        <v>2.2000000000000002</v>
      </c>
      <c r="D131" s="123">
        <f t="shared" ref="D131:S138" si="41">C131</f>
        <v>2.2000000000000002</v>
      </c>
      <c r="E131" s="123">
        <f t="shared" si="41"/>
        <v>2.2000000000000002</v>
      </c>
      <c r="F131" s="123">
        <f t="shared" si="41"/>
        <v>2.2000000000000002</v>
      </c>
      <c r="G131" s="123">
        <f t="shared" si="41"/>
        <v>2.2000000000000002</v>
      </c>
      <c r="H131" s="123">
        <f t="shared" si="41"/>
        <v>2.2000000000000002</v>
      </c>
      <c r="I131" s="123">
        <f t="shared" si="41"/>
        <v>2.2000000000000002</v>
      </c>
      <c r="J131" s="123">
        <f t="shared" si="41"/>
        <v>2.2000000000000002</v>
      </c>
      <c r="K131" s="123">
        <f t="shared" si="41"/>
        <v>2.2000000000000002</v>
      </c>
      <c r="L131" s="123">
        <f t="shared" si="41"/>
        <v>2.2000000000000002</v>
      </c>
      <c r="M131" s="123">
        <f t="shared" si="41"/>
        <v>2.2000000000000002</v>
      </c>
      <c r="N131" s="123">
        <f t="shared" si="41"/>
        <v>2.2000000000000002</v>
      </c>
      <c r="O131" s="123">
        <f t="shared" si="41"/>
        <v>2.2000000000000002</v>
      </c>
      <c r="P131" s="123">
        <f t="shared" si="41"/>
        <v>2.2000000000000002</v>
      </c>
      <c r="Q131" s="123">
        <f t="shared" si="41"/>
        <v>2.2000000000000002</v>
      </c>
      <c r="R131" s="123">
        <f t="shared" si="41"/>
        <v>2.2000000000000002</v>
      </c>
      <c r="S131" s="123">
        <f t="shared" si="41"/>
        <v>2.2000000000000002</v>
      </c>
      <c r="T131" s="123">
        <f t="shared" ref="T131:AF138" si="42">S131</f>
        <v>2.2000000000000002</v>
      </c>
      <c r="U131" s="123">
        <f t="shared" si="42"/>
        <v>2.2000000000000002</v>
      </c>
      <c r="V131" s="123">
        <f t="shared" si="42"/>
        <v>2.2000000000000002</v>
      </c>
      <c r="W131" s="123">
        <f t="shared" si="42"/>
        <v>2.2000000000000002</v>
      </c>
      <c r="X131" s="123">
        <f t="shared" si="42"/>
        <v>2.2000000000000002</v>
      </c>
      <c r="Y131" s="123">
        <f t="shared" si="42"/>
        <v>2.2000000000000002</v>
      </c>
      <c r="Z131" s="123">
        <f t="shared" si="42"/>
        <v>2.2000000000000002</v>
      </c>
      <c r="AA131" s="123">
        <f t="shared" si="42"/>
        <v>2.2000000000000002</v>
      </c>
      <c r="AB131" s="123">
        <f t="shared" si="42"/>
        <v>2.2000000000000002</v>
      </c>
      <c r="AC131" s="123">
        <f t="shared" si="42"/>
        <v>2.2000000000000002</v>
      </c>
      <c r="AD131" s="123">
        <f t="shared" si="42"/>
        <v>2.2000000000000002</v>
      </c>
      <c r="AE131" s="123">
        <f t="shared" si="42"/>
        <v>2.2000000000000002</v>
      </c>
      <c r="AF131" s="123">
        <f t="shared" si="42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40"/>
        <v>2</v>
      </c>
      <c r="C132" s="124">
        <v>2</v>
      </c>
      <c r="D132" s="123">
        <f t="shared" si="41"/>
        <v>2</v>
      </c>
      <c r="E132" s="123">
        <f t="shared" si="41"/>
        <v>2</v>
      </c>
      <c r="F132" s="123">
        <f t="shared" si="41"/>
        <v>2</v>
      </c>
      <c r="G132" s="123">
        <f t="shared" si="41"/>
        <v>2</v>
      </c>
      <c r="H132" s="123">
        <f t="shared" si="41"/>
        <v>2</v>
      </c>
      <c r="I132" s="123">
        <f t="shared" si="41"/>
        <v>2</v>
      </c>
      <c r="J132" s="123">
        <f t="shared" si="41"/>
        <v>2</v>
      </c>
      <c r="K132" s="123">
        <f t="shared" si="41"/>
        <v>2</v>
      </c>
      <c r="L132" s="123">
        <f t="shared" si="41"/>
        <v>2</v>
      </c>
      <c r="M132" s="123">
        <f t="shared" si="41"/>
        <v>2</v>
      </c>
      <c r="N132" s="123">
        <f t="shared" si="41"/>
        <v>2</v>
      </c>
      <c r="O132" s="123">
        <f t="shared" si="41"/>
        <v>2</v>
      </c>
      <c r="P132" s="123">
        <f t="shared" si="41"/>
        <v>2</v>
      </c>
      <c r="Q132" s="123">
        <f t="shared" si="41"/>
        <v>2</v>
      </c>
      <c r="R132" s="123">
        <f t="shared" si="41"/>
        <v>2</v>
      </c>
      <c r="S132" s="123">
        <f t="shared" si="41"/>
        <v>2</v>
      </c>
      <c r="T132" s="123">
        <f t="shared" si="42"/>
        <v>2</v>
      </c>
      <c r="U132" s="123">
        <f t="shared" si="42"/>
        <v>2</v>
      </c>
      <c r="V132" s="123">
        <f t="shared" si="42"/>
        <v>2</v>
      </c>
      <c r="W132" s="123">
        <f t="shared" si="42"/>
        <v>2</v>
      </c>
      <c r="X132" s="123">
        <f t="shared" si="42"/>
        <v>2</v>
      </c>
      <c r="Y132" s="123">
        <f t="shared" si="42"/>
        <v>2</v>
      </c>
      <c r="Z132" s="123">
        <f t="shared" si="42"/>
        <v>2</v>
      </c>
      <c r="AA132" s="123">
        <f t="shared" si="42"/>
        <v>2</v>
      </c>
      <c r="AB132" s="123">
        <f t="shared" si="42"/>
        <v>2</v>
      </c>
      <c r="AC132" s="123">
        <f t="shared" si="42"/>
        <v>2</v>
      </c>
      <c r="AD132" s="123">
        <f t="shared" si="42"/>
        <v>2</v>
      </c>
      <c r="AE132" s="123">
        <f t="shared" si="42"/>
        <v>2</v>
      </c>
      <c r="AF132" s="123">
        <f t="shared" si="42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40"/>
        <v>1.25</v>
      </c>
      <c r="C133" s="124">
        <v>1.25</v>
      </c>
      <c r="D133" s="123">
        <f t="shared" si="41"/>
        <v>1.25</v>
      </c>
      <c r="E133" s="123">
        <f t="shared" si="41"/>
        <v>1.25</v>
      </c>
      <c r="F133" s="123">
        <f t="shared" si="41"/>
        <v>1.25</v>
      </c>
      <c r="G133" s="123">
        <f t="shared" si="41"/>
        <v>1.25</v>
      </c>
      <c r="H133" s="123">
        <f t="shared" si="41"/>
        <v>1.25</v>
      </c>
      <c r="I133" s="123">
        <f t="shared" si="41"/>
        <v>1.25</v>
      </c>
      <c r="J133" s="123">
        <f t="shared" si="41"/>
        <v>1.25</v>
      </c>
      <c r="K133" s="123">
        <f t="shared" si="41"/>
        <v>1.25</v>
      </c>
      <c r="L133" s="123">
        <f t="shared" si="41"/>
        <v>1.25</v>
      </c>
      <c r="M133" s="123">
        <f t="shared" si="41"/>
        <v>1.25</v>
      </c>
      <c r="N133" s="123">
        <f t="shared" si="41"/>
        <v>1.25</v>
      </c>
      <c r="O133" s="123">
        <f t="shared" si="41"/>
        <v>1.25</v>
      </c>
      <c r="P133" s="123">
        <f t="shared" si="41"/>
        <v>1.25</v>
      </c>
      <c r="Q133" s="123">
        <f t="shared" si="41"/>
        <v>1.25</v>
      </c>
      <c r="R133" s="123">
        <f t="shared" si="41"/>
        <v>1.25</v>
      </c>
      <c r="S133" s="123">
        <f t="shared" si="41"/>
        <v>1.25</v>
      </c>
      <c r="T133" s="123">
        <f t="shared" si="42"/>
        <v>1.25</v>
      </c>
      <c r="U133" s="123">
        <f t="shared" si="42"/>
        <v>1.25</v>
      </c>
      <c r="V133" s="123">
        <f t="shared" si="42"/>
        <v>1.25</v>
      </c>
      <c r="W133" s="123">
        <f t="shared" si="42"/>
        <v>1.25</v>
      </c>
      <c r="X133" s="123">
        <f t="shared" si="42"/>
        <v>1.25</v>
      </c>
      <c r="Y133" s="123">
        <f t="shared" si="42"/>
        <v>1.25</v>
      </c>
      <c r="Z133" s="123">
        <f t="shared" si="42"/>
        <v>1.25</v>
      </c>
      <c r="AA133" s="123">
        <f t="shared" si="42"/>
        <v>1.25</v>
      </c>
      <c r="AB133" s="123">
        <f t="shared" si="42"/>
        <v>1.25</v>
      </c>
      <c r="AC133" s="123">
        <f t="shared" si="42"/>
        <v>1.25</v>
      </c>
      <c r="AD133" s="123">
        <f t="shared" si="42"/>
        <v>1.25</v>
      </c>
      <c r="AE133" s="123">
        <f t="shared" si="42"/>
        <v>1.25</v>
      </c>
      <c r="AF133" s="123">
        <f t="shared" si="42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40"/>
        <v>1.1499999999999999</v>
      </c>
      <c r="C134" s="124">
        <v>1.1499999999999999</v>
      </c>
      <c r="D134" s="123">
        <f t="shared" si="41"/>
        <v>1.1499999999999999</v>
      </c>
      <c r="E134" s="123">
        <f t="shared" si="41"/>
        <v>1.1499999999999999</v>
      </c>
      <c r="F134" s="123">
        <f t="shared" si="41"/>
        <v>1.1499999999999999</v>
      </c>
      <c r="G134" s="123">
        <f t="shared" si="41"/>
        <v>1.1499999999999999</v>
      </c>
      <c r="H134" s="123">
        <f t="shared" si="41"/>
        <v>1.1499999999999999</v>
      </c>
      <c r="I134" s="123">
        <f t="shared" si="41"/>
        <v>1.1499999999999999</v>
      </c>
      <c r="J134" s="123">
        <f t="shared" si="41"/>
        <v>1.1499999999999999</v>
      </c>
      <c r="K134" s="123">
        <f t="shared" si="41"/>
        <v>1.1499999999999999</v>
      </c>
      <c r="L134" s="123">
        <f t="shared" si="41"/>
        <v>1.1499999999999999</v>
      </c>
      <c r="M134" s="123">
        <f t="shared" si="41"/>
        <v>1.1499999999999999</v>
      </c>
      <c r="N134" s="123">
        <f t="shared" si="41"/>
        <v>1.1499999999999999</v>
      </c>
      <c r="O134" s="123">
        <f t="shared" si="41"/>
        <v>1.1499999999999999</v>
      </c>
      <c r="P134" s="123">
        <f t="shared" si="41"/>
        <v>1.1499999999999999</v>
      </c>
      <c r="Q134" s="123">
        <f t="shared" si="41"/>
        <v>1.1499999999999999</v>
      </c>
      <c r="R134" s="123">
        <f t="shared" si="41"/>
        <v>1.1499999999999999</v>
      </c>
      <c r="S134" s="123">
        <f t="shared" si="41"/>
        <v>1.1499999999999999</v>
      </c>
      <c r="T134" s="123">
        <f t="shared" si="42"/>
        <v>1.1499999999999999</v>
      </c>
      <c r="U134" s="123">
        <f t="shared" si="42"/>
        <v>1.1499999999999999</v>
      </c>
      <c r="V134" s="123">
        <f t="shared" si="42"/>
        <v>1.1499999999999999</v>
      </c>
      <c r="W134" s="123">
        <f t="shared" si="42"/>
        <v>1.1499999999999999</v>
      </c>
      <c r="X134" s="123">
        <f t="shared" si="42"/>
        <v>1.1499999999999999</v>
      </c>
      <c r="Y134" s="123">
        <f t="shared" si="42"/>
        <v>1.1499999999999999</v>
      </c>
      <c r="Z134" s="123">
        <f t="shared" si="42"/>
        <v>1.1499999999999999</v>
      </c>
      <c r="AA134" s="123">
        <f t="shared" si="42"/>
        <v>1.1499999999999999</v>
      </c>
      <c r="AB134" s="123">
        <f t="shared" si="42"/>
        <v>1.1499999999999999</v>
      </c>
      <c r="AC134" s="123">
        <f t="shared" si="42"/>
        <v>1.1499999999999999</v>
      </c>
      <c r="AD134" s="123">
        <f t="shared" si="42"/>
        <v>1.1499999999999999</v>
      </c>
      <c r="AE134" s="123">
        <f t="shared" si="42"/>
        <v>1.1499999999999999</v>
      </c>
      <c r="AF134" s="123">
        <f t="shared" si="42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40"/>
        <v>2.133</v>
      </c>
      <c r="C135" s="124">
        <v>2.133</v>
      </c>
      <c r="D135" s="123">
        <f t="shared" si="41"/>
        <v>2.133</v>
      </c>
      <c r="E135" s="123">
        <f t="shared" si="41"/>
        <v>2.133</v>
      </c>
      <c r="F135" s="123">
        <f t="shared" si="41"/>
        <v>2.133</v>
      </c>
      <c r="G135" s="123">
        <f t="shared" si="41"/>
        <v>2.133</v>
      </c>
      <c r="H135" s="123">
        <f t="shared" si="41"/>
        <v>2.133</v>
      </c>
      <c r="I135" s="123">
        <f t="shared" si="41"/>
        <v>2.133</v>
      </c>
      <c r="J135" s="123">
        <f t="shared" si="41"/>
        <v>2.133</v>
      </c>
      <c r="K135" s="123">
        <f t="shared" si="41"/>
        <v>2.133</v>
      </c>
      <c r="L135" s="123">
        <f t="shared" si="41"/>
        <v>2.133</v>
      </c>
      <c r="M135" s="123">
        <f t="shared" si="41"/>
        <v>2.133</v>
      </c>
      <c r="N135" s="123">
        <f t="shared" si="41"/>
        <v>2.133</v>
      </c>
      <c r="O135" s="123">
        <f t="shared" si="41"/>
        <v>2.133</v>
      </c>
      <c r="P135" s="123">
        <f t="shared" si="41"/>
        <v>2.133</v>
      </c>
      <c r="Q135" s="123">
        <f t="shared" si="41"/>
        <v>2.133</v>
      </c>
      <c r="R135" s="123">
        <f t="shared" si="41"/>
        <v>2.133</v>
      </c>
      <c r="S135" s="123">
        <f t="shared" si="41"/>
        <v>2.133</v>
      </c>
      <c r="T135" s="123">
        <f t="shared" si="42"/>
        <v>2.133</v>
      </c>
      <c r="U135" s="123">
        <f t="shared" si="42"/>
        <v>2.133</v>
      </c>
      <c r="V135" s="123">
        <f t="shared" si="42"/>
        <v>2.133</v>
      </c>
      <c r="W135" s="123">
        <f t="shared" si="42"/>
        <v>2.133</v>
      </c>
      <c r="X135" s="123">
        <f t="shared" si="42"/>
        <v>2.133</v>
      </c>
      <c r="Y135" s="123">
        <f t="shared" si="42"/>
        <v>2.133</v>
      </c>
      <c r="Z135" s="123">
        <f t="shared" si="42"/>
        <v>2.133</v>
      </c>
      <c r="AA135" s="123">
        <f t="shared" si="42"/>
        <v>2.133</v>
      </c>
      <c r="AB135" s="123">
        <f t="shared" si="42"/>
        <v>2.133</v>
      </c>
      <c r="AC135" s="123">
        <f t="shared" si="42"/>
        <v>2.133</v>
      </c>
      <c r="AD135" s="123">
        <f t="shared" si="42"/>
        <v>2.133</v>
      </c>
      <c r="AE135" s="123">
        <f t="shared" si="42"/>
        <v>2.133</v>
      </c>
      <c r="AF135" s="123">
        <f t="shared" si="42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40"/>
        <v>2.09</v>
      </c>
      <c r="C136" s="124">
        <v>2.09</v>
      </c>
      <c r="D136" s="123">
        <f t="shared" si="41"/>
        <v>2.09</v>
      </c>
      <c r="E136" s="123">
        <f t="shared" si="41"/>
        <v>2.09</v>
      </c>
      <c r="F136" s="123">
        <f t="shared" si="41"/>
        <v>2.09</v>
      </c>
      <c r="G136" s="123">
        <f t="shared" si="41"/>
        <v>2.09</v>
      </c>
      <c r="H136" s="123">
        <f t="shared" si="41"/>
        <v>2.09</v>
      </c>
      <c r="I136" s="123">
        <f t="shared" si="41"/>
        <v>2.09</v>
      </c>
      <c r="J136" s="123">
        <f t="shared" si="41"/>
        <v>2.09</v>
      </c>
      <c r="K136" s="123">
        <f t="shared" si="41"/>
        <v>2.09</v>
      </c>
      <c r="L136" s="123">
        <f t="shared" si="41"/>
        <v>2.09</v>
      </c>
      <c r="M136" s="123">
        <f t="shared" si="41"/>
        <v>2.09</v>
      </c>
      <c r="N136" s="123">
        <f t="shared" si="41"/>
        <v>2.09</v>
      </c>
      <c r="O136" s="123">
        <f t="shared" si="41"/>
        <v>2.09</v>
      </c>
      <c r="P136" s="123">
        <f t="shared" si="41"/>
        <v>2.09</v>
      </c>
      <c r="Q136" s="123">
        <f t="shared" si="41"/>
        <v>2.09</v>
      </c>
      <c r="R136" s="123">
        <f t="shared" si="41"/>
        <v>2.09</v>
      </c>
      <c r="S136" s="123">
        <f t="shared" si="41"/>
        <v>2.09</v>
      </c>
      <c r="T136" s="123">
        <f t="shared" si="42"/>
        <v>2.09</v>
      </c>
      <c r="U136" s="123">
        <f t="shared" si="42"/>
        <v>2.09</v>
      </c>
      <c r="V136" s="123">
        <f t="shared" si="42"/>
        <v>2.09</v>
      </c>
      <c r="W136" s="123">
        <f t="shared" si="42"/>
        <v>2.09</v>
      </c>
      <c r="X136" s="123">
        <f t="shared" si="42"/>
        <v>2.09</v>
      </c>
      <c r="Y136" s="123">
        <f t="shared" si="42"/>
        <v>2.09</v>
      </c>
      <c r="Z136" s="123">
        <f t="shared" si="42"/>
        <v>2.09</v>
      </c>
      <c r="AA136" s="123">
        <f t="shared" si="42"/>
        <v>2.09</v>
      </c>
      <c r="AB136" s="123">
        <f t="shared" si="42"/>
        <v>2.09</v>
      </c>
      <c r="AC136" s="123">
        <f t="shared" si="42"/>
        <v>2.09</v>
      </c>
      <c r="AD136" s="123">
        <f t="shared" si="42"/>
        <v>2.09</v>
      </c>
      <c r="AE136" s="123">
        <f t="shared" si="42"/>
        <v>2.09</v>
      </c>
      <c r="AF136" s="123">
        <f t="shared" si="42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40"/>
        <v>1.1399999999999999</v>
      </c>
      <c r="C137" s="124">
        <v>1.1399999999999999</v>
      </c>
      <c r="D137" s="123">
        <f t="shared" si="41"/>
        <v>1.1399999999999999</v>
      </c>
      <c r="E137" s="123">
        <f t="shared" si="41"/>
        <v>1.1399999999999999</v>
      </c>
      <c r="F137" s="123">
        <f t="shared" si="41"/>
        <v>1.1399999999999999</v>
      </c>
      <c r="G137" s="123">
        <f t="shared" si="41"/>
        <v>1.1399999999999999</v>
      </c>
      <c r="H137" s="123">
        <f t="shared" si="41"/>
        <v>1.1399999999999999</v>
      </c>
      <c r="I137" s="123">
        <f t="shared" si="41"/>
        <v>1.1399999999999999</v>
      </c>
      <c r="J137" s="123">
        <f t="shared" si="41"/>
        <v>1.1399999999999999</v>
      </c>
      <c r="K137" s="123">
        <f t="shared" si="41"/>
        <v>1.1399999999999999</v>
      </c>
      <c r="L137" s="123">
        <f t="shared" si="41"/>
        <v>1.1399999999999999</v>
      </c>
      <c r="M137" s="123">
        <f t="shared" si="41"/>
        <v>1.1399999999999999</v>
      </c>
      <c r="N137" s="123">
        <f t="shared" si="41"/>
        <v>1.1399999999999999</v>
      </c>
      <c r="O137" s="123">
        <f t="shared" si="41"/>
        <v>1.1399999999999999</v>
      </c>
      <c r="P137" s="123">
        <f t="shared" si="41"/>
        <v>1.1399999999999999</v>
      </c>
      <c r="Q137" s="123">
        <f t="shared" si="41"/>
        <v>1.1399999999999999</v>
      </c>
      <c r="R137" s="123">
        <f t="shared" si="41"/>
        <v>1.1399999999999999</v>
      </c>
      <c r="S137" s="123">
        <f t="shared" si="41"/>
        <v>1.1399999999999999</v>
      </c>
      <c r="T137" s="123">
        <f t="shared" si="42"/>
        <v>1.1399999999999999</v>
      </c>
      <c r="U137" s="123">
        <f t="shared" si="42"/>
        <v>1.1399999999999999</v>
      </c>
      <c r="V137" s="123">
        <f t="shared" si="42"/>
        <v>1.1399999999999999</v>
      </c>
      <c r="W137" s="123">
        <f t="shared" si="42"/>
        <v>1.1399999999999999</v>
      </c>
      <c r="X137" s="123">
        <f t="shared" si="42"/>
        <v>1.1399999999999999</v>
      </c>
      <c r="Y137" s="123">
        <f t="shared" si="42"/>
        <v>1.1399999999999999</v>
      </c>
      <c r="Z137" s="123">
        <f t="shared" si="42"/>
        <v>1.1399999999999999</v>
      </c>
      <c r="AA137" s="123">
        <f t="shared" si="42"/>
        <v>1.1399999999999999</v>
      </c>
      <c r="AB137" s="123">
        <f t="shared" si="42"/>
        <v>1.1399999999999999</v>
      </c>
      <c r="AC137" s="123">
        <f t="shared" si="42"/>
        <v>1.1399999999999999</v>
      </c>
      <c r="AD137" s="123">
        <f t="shared" si="42"/>
        <v>1.1399999999999999</v>
      </c>
      <c r="AE137" s="123">
        <f t="shared" si="42"/>
        <v>1.1399999999999999</v>
      </c>
      <c r="AF137" s="123">
        <f t="shared" si="42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40"/>
        <v>0.82</v>
      </c>
      <c r="C138" s="124">
        <v>0.82</v>
      </c>
      <c r="D138" s="123">
        <f t="shared" si="41"/>
        <v>0.82</v>
      </c>
      <c r="E138" s="123">
        <f t="shared" si="41"/>
        <v>0.82</v>
      </c>
      <c r="F138" s="123">
        <f t="shared" si="41"/>
        <v>0.82</v>
      </c>
      <c r="G138" s="123">
        <f t="shared" si="41"/>
        <v>0.82</v>
      </c>
      <c r="H138" s="123">
        <f t="shared" si="41"/>
        <v>0.82</v>
      </c>
      <c r="I138" s="123">
        <f t="shared" si="41"/>
        <v>0.82</v>
      </c>
      <c r="J138" s="123">
        <f t="shared" si="41"/>
        <v>0.82</v>
      </c>
      <c r="K138" s="123">
        <f t="shared" si="41"/>
        <v>0.82</v>
      </c>
      <c r="L138" s="123">
        <f t="shared" si="41"/>
        <v>0.82</v>
      </c>
      <c r="M138" s="123">
        <f t="shared" si="41"/>
        <v>0.82</v>
      </c>
      <c r="N138" s="123">
        <f t="shared" si="41"/>
        <v>0.82</v>
      </c>
      <c r="O138" s="123">
        <f t="shared" si="41"/>
        <v>0.82</v>
      </c>
      <c r="P138" s="123">
        <f t="shared" si="41"/>
        <v>0.82</v>
      </c>
      <c r="Q138" s="123">
        <f t="shared" si="41"/>
        <v>0.82</v>
      </c>
      <c r="R138" s="123">
        <f t="shared" si="41"/>
        <v>0.82</v>
      </c>
      <c r="S138" s="123">
        <f t="shared" si="41"/>
        <v>0.82</v>
      </c>
      <c r="T138" s="123">
        <f t="shared" si="42"/>
        <v>0.82</v>
      </c>
      <c r="U138" s="123">
        <f t="shared" si="42"/>
        <v>0.82</v>
      </c>
      <c r="V138" s="123">
        <f t="shared" si="42"/>
        <v>0.82</v>
      </c>
      <c r="W138" s="123">
        <f t="shared" si="42"/>
        <v>0.82</v>
      </c>
      <c r="X138" s="123">
        <f t="shared" si="42"/>
        <v>0.82</v>
      </c>
      <c r="Y138" s="123">
        <f t="shared" si="42"/>
        <v>0.82</v>
      </c>
      <c r="Z138" s="123">
        <f t="shared" si="42"/>
        <v>0.82</v>
      </c>
      <c r="AA138" s="123">
        <f t="shared" si="42"/>
        <v>0.82</v>
      </c>
      <c r="AB138" s="123">
        <f t="shared" si="42"/>
        <v>0.82</v>
      </c>
      <c r="AC138" s="123">
        <f t="shared" si="42"/>
        <v>0.82</v>
      </c>
      <c r="AD138" s="123">
        <f t="shared" si="42"/>
        <v>0.82</v>
      </c>
      <c r="AE138" s="123">
        <f t="shared" si="42"/>
        <v>0.82</v>
      </c>
      <c r="AF138" s="123">
        <f t="shared" si="42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3">AF140</f>
        <v>2</v>
      </c>
      <c r="C140" s="124">
        <v>2</v>
      </c>
      <c r="D140" s="123">
        <f t="shared" ref="D140:S146" si="44">C140</f>
        <v>2</v>
      </c>
      <c r="E140" s="123">
        <f t="shared" si="44"/>
        <v>2</v>
      </c>
      <c r="F140" s="123">
        <f t="shared" si="44"/>
        <v>2</v>
      </c>
      <c r="G140" s="123">
        <f t="shared" si="44"/>
        <v>2</v>
      </c>
      <c r="H140" s="123">
        <f t="shared" si="44"/>
        <v>2</v>
      </c>
      <c r="I140" s="123">
        <f t="shared" si="44"/>
        <v>2</v>
      </c>
      <c r="J140" s="123">
        <f t="shared" si="44"/>
        <v>2</v>
      </c>
      <c r="K140" s="123">
        <f t="shared" si="44"/>
        <v>2</v>
      </c>
      <c r="L140" s="123">
        <f t="shared" si="44"/>
        <v>2</v>
      </c>
      <c r="M140" s="123">
        <f t="shared" si="44"/>
        <v>2</v>
      </c>
      <c r="N140" s="123">
        <f t="shared" si="44"/>
        <v>2</v>
      </c>
      <c r="O140" s="123">
        <f t="shared" si="44"/>
        <v>2</v>
      </c>
      <c r="P140" s="123">
        <f t="shared" si="44"/>
        <v>2</v>
      </c>
      <c r="Q140" s="123">
        <f t="shared" si="44"/>
        <v>2</v>
      </c>
      <c r="R140" s="123">
        <f t="shared" si="44"/>
        <v>2</v>
      </c>
      <c r="S140" s="123">
        <f t="shared" si="44"/>
        <v>2</v>
      </c>
      <c r="T140" s="123">
        <f t="shared" ref="T140:AF146" si="45">S140</f>
        <v>2</v>
      </c>
      <c r="U140" s="123">
        <f t="shared" si="45"/>
        <v>2</v>
      </c>
      <c r="V140" s="123">
        <f t="shared" si="45"/>
        <v>2</v>
      </c>
      <c r="W140" s="123">
        <f t="shared" si="45"/>
        <v>2</v>
      </c>
      <c r="X140" s="123">
        <f t="shared" si="45"/>
        <v>2</v>
      </c>
      <c r="Y140" s="123">
        <f t="shared" si="45"/>
        <v>2</v>
      </c>
      <c r="Z140" s="123">
        <f t="shared" si="45"/>
        <v>2</v>
      </c>
      <c r="AA140" s="123">
        <f t="shared" si="45"/>
        <v>2</v>
      </c>
      <c r="AB140" s="123">
        <f t="shared" si="45"/>
        <v>2</v>
      </c>
      <c r="AC140" s="123">
        <f t="shared" si="45"/>
        <v>2</v>
      </c>
      <c r="AD140" s="123">
        <f t="shared" si="45"/>
        <v>2</v>
      </c>
      <c r="AE140" s="123">
        <f t="shared" si="45"/>
        <v>2</v>
      </c>
      <c r="AF140" s="123">
        <f t="shared" si="45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3"/>
        <v>5.61</v>
      </c>
      <c r="C141" s="124">
        <v>5.61</v>
      </c>
      <c r="D141" s="123">
        <f t="shared" si="44"/>
        <v>5.61</v>
      </c>
      <c r="E141" s="123">
        <f t="shared" si="44"/>
        <v>5.61</v>
      </c>
      <c r="F141" s="123">
        <f t="shared" si="44"/>
        <v>5.61</v>
      </c>
      <c r="G141" s="123">
        <f t="shared" si="44"/>
        <v>5.61</v>
      </c>
      <c r="H141" s="123">
        <f t="shared" si="44"/>
        <v>5.61</v>
      </c>
      <c r="I141" s="123">
        <f t="shared" si="44"/>
        <v>5.61</v>
      </c>
      <c r="J141" s="123">
        <f t="shared" si="44"/>
        <v>5.61</v>
      </c>
      <c r="K141" s="123">
        <f t="shared" si="44"/>
        <v>5.61</v>
      </c>
      <c r="L141" s="123">
        <f t="shared" si="44"/>
        <v>5.61</v>
      </c>
      <c r="M141" s="123">
        <f t="shared" si="44"/>
        <v>5.61</v>
      </c>
      <c r="N141" s="123">
        <f t="shared" si="44"/>
        <v>5.61</v>
      </c>
      <c r="O141" s="123">
        <f t="shared" si="44"/>
        <v>5.61</v>
      </c>
      <c r="P141" s="123">
        <f t="shared" si="44"/>
        <v>5.61</v>
      </c>
      <c r="Q141" s="123">
        <f t="shared" si="44"/>
        <v>5.61</v>
      </c>
      <c r="R141" s="123">
        <f t="shared" si="44"/>
        <v>5.61</v>
      </c>
      <c r="S141" s="123">
        <f t="shared" si="44"/>
        <v>5.61</v>
      </c>
      <c r="T141" s="123">
        <f t="shared" si="45"/>
        <v>5.61</v>
      </c>
      <c r="U141" s="123">
        <f t="shared" si="45"/>
        <v>5.61</v>
      </c>
      <c r="V141" s="123">
        <f t="shared" si="45"/>
        <v>5.61</v>
      </c>
      <c r="W141" s="123">
        <f t="shared" si="45"/>
        <v>5.61</v>
      </c>
      <c r="X141" s="123">
        <f t="shared" si="45"/>
        <v>5.61</v>
      </c>
      <c r="Y141" s="123">
        <f t="shared" si="45"/>
        <v>5.61</v>
      </c>
      <c r="Z141" s="123">
        <f t="shared" si="45"/>
        <v>5.61</v>
      </c>
      <c r="AA141" s="123">
        <f t="shared" si="45"/>
        <v>5.61</v>
      </c>
      <c r="AB141" s="123">
        <f t="shared" si="45"/>
        <v>5.61</v>
      </c>
      <c r="AC141" s="123">
        <f t="shared" si="45"/>
        <v>5.61</v>
      </c>
      <c r="AD141" s="123">
        <f t="shared" si="45"/>
        <v>5.61</v>
      </c>
      <c r="AE141" s="123">
        <f t="shared" si="45"/>
        <v>5.61</v>
      </c>
      <c r="AF141" s="123">
        <f t="shared" si="45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3"/>
        <v>1.25</v>
      </c>
      <c r="C142" s="124">
        <v>1.25</v>
      </c>
      <c r="D142" s="123">
        <f t="shared" si="44"/>
        <v>1.25</v>
      </c>
      <c r="E142" s="123">
        <f t="shared" si="44"/>
        <v>1.25</v>
      </c>
      <c r="F142" s="123">
        <f t="shared" si="44"/>
        <v>1.25</v>
      </c>
      <c r="G142" s="123">
        <f t="shared" si="44"/>
        <v>1.25</v>
      </c>
      <c r="H142" s="123">
        <f t="shared" si="44"/>
        <v>1.25</v>
      </c>
      <c r="I142" s="123">
        <f t="shared" si="44"/>
        <v>1.25</v>
      </c>
      <c r="J142" s="123">
        <f t="shared" si="44"/>
        <v>1.25</v>
      </c>
      <c r="K142" s="123">
        <f t="shared" si="44"/>
        <v>1.25</v>
      </c>
      <c r="L142" s="123">
        <f t="shared" si="44"/>
        <v>1.25</v>
      </c>
      <c r="M142" s="123">
        <f t="shared" si="44"/>
        <v>1.25</v>
      </c>
      <c r="N142" s="123">
        <f t="shared" si="44"/>
        <v>1.25</v>
      </c>
      <c r="O142" s="123">
        <f t="shared" si="44"/>
        <v>1.25</v>
      </c>
      <c r="P142" s="123">
        <f t="shared" si="44"/>
        <v>1.25</v>
      </c>
      <c r="Q142" s="123">
        <f t="shared" si="44"/>
        <v>1.25</v>
      </c>
      <c r="R142" s="123">
        <f t="shared" si="44"/>
        <v>1.25</v>
      </c>
      <c r="S142" s="123">
        <f t="shared" si="44"/>
        <v>1.25</v>
      </c>
      <c r="T142" s="123">
        <f t="shared" si="45"/>
        <v>1.25</v>
      </c>
      <c r="U142" s="123">
        <f t="shared" si="45"/>
        <v>1.25</v>
      </c>
      <c r="V142" s="123">
        <f t="shared" si="45"/>
        <v>1.25</v>
      </c>
      <c r="W142" s="123">
        <f t="shared" si="45"/>
        <v>1.25</v>
      </c>
      <c r="X142" s="123">
        <f t="shared" si="45"/>
        <v>1.25</v>
      </c>
      <c r="Y142" s="123">
        <f t="shared" si="45"/>
        <v>1.25</v>
      </c>
      <c r="Z142" s="123">
        <f t="shared" si="45"/>
        <v>1.25</v>
      </c>
      <c r="AA142" s="123">
        <f t="shared" si="45"/>
        <v>1.25</v>
      </c>
      <c r="AB142" s="123">
        <f t="shared" si="45"/>
        <v>1.25</v>
      </c>
      <c r="AC142" s="123">
        <f t="shared" si="45"/>
        <v>1.25</v>
      </c>
      <c r="AD142" s="123">
        <f t="shared" si="45"/>
        <v>1.25</v>
      </c>
      <c r="AE142" s="123">
        <f t="shared" si="45"/>
        <v>1.25</v>
      </c>
      <c r="AF142" s="123">
        <f t="shared" si="45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3"/>
        <v>1.25</v>
      </c>
      <c r="C143" s="124">
        <v>1.25</v>
      </c>
      <c r="D143" s="123">
        <f t="shared" si="44"/>
        <v>1.25</v>
      </c>
      <c r="E143" s="123">
        <f t="shared" si="44"/>
        <v>1.25</v>
      </c>
      <c r="F143" s="123">
        <f t="shared" si="44"/>
        <v>1.25</v>
      </c>
      <c r="G143" s="123">
        <f t="shared" si="44"/>
        <v>1.25</v>
      </c>
      <c r="H143" s="123">
        <f t="shared" si="44"/>
        <v>1.25</v>
      </c>
      <c r="I143" s="123">
        <f t="shared" si="44"/>
        <v>1.25</v>
      </c>
      <c r="J143" s="123">
        <f t="shared" si="44"/>
        <v>1.25</v>
      </c>
      <c r="K143" s="123">
        <f t="shared" si="44"/>
        <v>1.25</v>
      </c>
      <c r="L143" s="123">
        <f t="shared" si="44"/>
        <v>1.25</v>
      </c>
      <c r="M143" s="123">
        <f t="shared" si="44"/>
        <v>1.25</v>
      </c>
      <c r="N143" s="123">
        <f t="shared" si="44"/>
        <v>1.25</v>
      </c>
      <c r="O143" s="123">
        <f t="shared" si="44"/>
        <v>1.25</v>
      </c>
      <c r="P143" s="123">
        <f t="shared" si="44"/>
        <v>1.25</v>
      </c>
      <c r="Q143" s="123">
        <f t="shared" si="44"/>
        <v>1.25</v>
      </c>
      <c r="R143" s="123">
        <f t="shared" si="44"/>
        <v>1.25</v>
      </c>
      <c r="S143" s="123">
        <f t="shared" si="44"/>
        <v>1.25</v>
      </c>
      <c r="T143" s="123">
        <f t="shared" si="45"/>
        <v>1.25</v>
      </c>
      <c r="U143" s="123">
        <f t="shared" si="45"/>
        <v>1.25</v>
      </c>
      <c r="V143" s="123">
        <f t="shared" si="45"/>
        <v>1.25</v>
      </c>
      <c r="W143" s="123">
        <f t="shared" si="45"/>
        <v>1.25</v>
      </c>
      <c r="X143" s="123">
        <f t="shared" si="45"/>
        <v>1.25</v>
      </c>
      <c r="Y143" s="123">
        <f t="shared" si="45"/>
        <v>1.25</v>
      </c>
      <c r="Z143" s="123">
        <f t="shared" si="45"/>
        <v>1.25</v>
      </c>
      <c r="AA143" s="123">
        <f t="shared" si="45"/>
        <v>1.25</v>
      </c>
      <c r="AB143" s="123">
        <f t="shared" si="45"/>
        <v>1.25</v>
      </c>
      <c r="AC143" s="123">
        <f t="shared" si="45"/>
        <v>1.25</v>
      </c>
      <c r="AD143" s="123">
        <f t="shared" si="45"/>
        <v>1.25</v>
      </c>
      <c r="AE143" s="123">
        <f t="shared" si="45"/>
        <v>1.25</v>
      </c>
      <c r="AF143" s="123">
        <f t="shared" si="45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3"/>
        <v>1.46</v>
      </c>
      <c r="C144" s="124">
        <v>1.46</v>
      </c>
      <c r="D144" s="123">
        <f t="shared" si="44"/>
        <v>1.46</v>
      </c>
      <c r="E144" s="123">
        <f t="shared" si="44"/>
        <v>1.46</v>
      </c>
      <c r="F144" s="123">
        <f t="shared" si="44"/>
        <v>1.46</v>
      </c>
      <c r="G144" s="123">
        <f t="shared" si="44"/>
        <v>1.46</v>
      </c>
      <c r="H144" s="123">
        <f t="shared" si="44"/>
        <v>1.46</v>
      </c>
      <c r="I144" s="123">
        <f t="shared" si="44"/>
        <v>1.46</v>
      </c>
      <c r="J144" s="123">
        <f t="shared" si="44"/>
        <v>1.46</v>
      </c>
      <c r="K144" s="123">
        <f t="shared" si="44"/>
        <v>1.46</v>
      </c>
      <c r="L144" s="123">
        <f t="shared" si="44"/>
        <v>1.46</v>
      </c>
      <c r="M144" s="123">
        <f t="shared" si="44"/>
        <v>1.46</v>
      </c>
      <c r="N144" s="123">
        <f t="shared" si="44"/>
        <v>1.46</v>
      </c>
      <c r="O144" s="123">
        <f t="shared" si="44"/>
        <v>1.46</v>
      </c>
      <c r="P144" s="123">
        <f t="shared" si="44"/>
        <v>1.46</v>
      </c>
      <c r="Q144" s="123">
        <f t="shared" si="44"/>
        <v>1.46</v>
      </c>
      <c r="R144" s="123">
        <f t="shared" si="44"/>
        <v>1.46</v>
      </c>
      <c r="S144" s="123">
        <f t="shared" si="44"/>
        <v>1.46</v>
      </c>
      <c r="T144" s="123">
        <f t="shared" si="45"/>
        <v>1.46</v>
      </c>
      <c r="U144" s="123">
        <f t="shared" si="45"/>
        <v>1.46</v>
      </c>
      <c r="V144" s="123">
        <f t="shared" si="45"/>
        <v>1.46</v>
      </c>
      <c r="W144" s="123">
        <f t="shared" si="45"/>
        <v>1.46</v>
      </c>
      <c r="X144" s="123">
        <f t="shared" si="45"/>
        <v>1.46</v>
      </c>
      <c r="Y144" s="123">
        <f t="shared" si="45"/>
        <v>1.46</v>
      </c>
      <c r="Z144" s="123">
        <f t="shared" si="45"/>
        <v>1.46</v>
      </c>
      <c r="AA144" s="123">
        <f t="shared" si="45"/>
        <v>1.46</v>
      </c>
      <c r="AB144" s="123">
        <f t="shared" si="45"/>
        <v>1.46</v>
      </c>
      <c r="AC144" s="123">
        <f t="shared" si="45"/>
        <v>1.46</v>
      </c>
      <c r="AD144" s="123">
        <f t="shared" si="45"/>
        <v>1.46</v>
      </c>
      <c r="AE144" s="123">
        <f t="shared" si="45"/>
        <v>1.46</v>
      </c>
      <c r="AF144" s="123">
        <f t="shared" si="45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3"/>
        <v>3</v>
      </c>
      <c r="C145" s="124">
        <v>3</v>
      </c>
      <c r="D145" s="123">
        <f t="shared" si="44"/>
        <v>3</v>
      </c>
      <c r="E145" s="123">
        <f t="shared" si="44"/>
        <v>3</v>
      </c>
      <c r="F145" s="123">
        <f t="shared" si="44"/>
        <v>3</v>
      </c>
      <c r="G145" s="123">
        <f t="shared" si="44"/>
        <v>3</v>
      </c>
      <c r="H145" s="123">
        <f t="shared" si="44"/>
        <v>3</v>
      </c>
      <c r="I145" s="123">
        <f t="shared" si="44"/>
        <v>3</v>
      </c>
      <c r="J145" s="123">
        <f t="shared" si="44"/>
        <v>3</v>
      </c>
      <c r="K145" s="123">
        <f t="shared" si="44"/>
        <v>3</v>
      </c>
      <c r="L145" s="123">
        <f t="shared" si="44"/>
        <v>3</v>
      </c>
      <c r="M145" s="123">
        <f t="shared" si="44"/>
        <v>3</v>
      </c>
      <c r="N145" s="123">
        <f t="shared" si="44"/>
        <v>3</v>
      </c>
      <c r="O145" s="123">
        <f t="shared" si="44"/>
        <v>3</v>
      </c>
      <c r="P145" s="123">
        <f t="shared" si="44"/>
        <v>3</v>
      </c>
      <c r="Q145" s="123">
        <f t="shared" si="44"/>
        <v>3</v>
      </c>
      <c r="R145" s="123">
        <f t="shared" si="44"/>
        <v>3</v>
      </c>
      <c r="S145" s="123">
        <f t="shared" si="44"/>
        <v>3</v>
      </c>
      <c r="T145" s="123">
        <f t="shared" si="45"/>
        <v>3</v>
      </c>
      <c r="U145" s="123">
        <f t="shared" si="45"/>
        <v>3</v>
      </c>
      <c r="V145" s="123">
        <f t="shared" si="45"/>
        <v>3</v>
      </c>
      <c r="W145" s="123">
        <f t="shared" si="45"/>
        <v>3</v>
      </c>
      <c r="X145" s="123">
        <f t="shared" si="45"/>
        <v>3</v>
      </c>
      <c r="Y145" s="123">
        <f t="shared" si="45"/>
        <v>3</v>
      </c>
      <c r="Z145" s="123">
        <f t="shared" si="45"/>
        <v>3</v>
      </c>
      <c r="AA145" s="123">
        <f t="shared" si="45"/>
        <v>3</v>
      </c>
      <c r="AB145" s="123">
        <f t="shared" si="45"/>
        <v>3</v>
      </c>
      <c r="AC145" s="123">
        <f t="shared" si="45"/>
        <v>3</v>
      </c>
      <c r="AD145" s="123">
        <f t="shared" si="45"/>
        <v>3</v>
      </c>
      <c r="AE145" s="123">
        <f t="shared" si="45"/>
        <v>3</v>
      </c>
      <c r="AF145" s="123">
        <f t="shared" si="45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3"/>
        <v>3.3</v>
      </c>
      <c r="C146" s="124">
        <v>3.3</v>
      </c>
      <c r="D146" s="123">
        <f t="shared" si="44"/>
        <v>3.3</v>
      </c>
      <c r="E146" s="123">
        <f t="shared" si="44"/>
        <v>3.3</v>
      </c>
      <c r="F146" s="123">
        <f t="shared" si="44"/>
        <v>3.3</v>
      </c>
      <c r="G146" s="123">
        <f t="shared" si="44"/>
        <v>3.3</v>
      </c>
      <c r="H146" s="123">
        <f t="shared" si="44"/>
        <v>3.3</v>
      </c>
      <c r="I146" s="123">
        <f t="shared" si="44"/>
        <v>3.3</v>
      </c>
      <c r="J146" s="123">
        <f t="shared" si="44"/>
        <v>3.3</v>
      </c>
      <c r="K146" s="123">
        <f t="shared" si="44"/>
        <v>3.3</v>
      </c>
      <c r="L146" s="123">
        <f t="shared" si="44"/>
        <v>3.3</v>
      </c>
      <c r="M146" s="123">
        <f t="shared" si="44"/>
        <v>3.3</v>
      </c>
      <c r="N146" s="123">
        <f t="shared" si="44"/>
        <v>3.3</v>
      </c>
      <c r="O146" s="123">
        <f t="shared" si="44"/>
        <v>3.3</v>
      </c>
      <c r="P146" s="123">
        <f t="shared" si="44"/>
        <v>3.3</v>
      </c>
      <c r="Q146" s="123">
        <f t="shared" si="44"/>
        <v>3.3</v>
      </c>
      <c r="R146" s="123">
        <f t="shared" si="44"/>
        <v>3.3</v>
      </c>
      <c r="S146" s="123">
        <f t="shared" si="44"/>
        <v>3.3</v>
      </c>
      <c r="T146" s="123">
        <f t="shared" si="45"/>
        <v>3.3</v>
      </c>
      <c r="U146" s="123">
        <f t="shared" si="45"/>
        <v>3.3</v>
      </c>
      <c r="V146" s="123">
        <f t="shared" si="45"/>
        <v>3.3</v>
      </c>
      <c r="W146" s="123">
        <f t="shared" si="45"/>
        <v>3.3</v>
      </c>
      <c r="X146" s="123">
        <f t="shared" si="45"/>
        <v>3.3</v>
      </c>
      <c r="Y146" s="123">
        <f t="shared" si="45"/>
        <v>3.3</v>
      </c>
      <c r="Z146" s="123">
        <f t="shared" si="45"/>
        <v>3.3</v>
      </c>
      <c r="AA146" s="123">
        <f t="shared" si="45"/>
        <v>3.3</v>
      </c>
      <c r="AB146" s="123">
        <f t="shared" si="45"/>
        <v>3.3</v>
      </c>
      <c r="AC146" s="123">
        <f t="shared" si="45"/>
        <v>3.3</v>
      </c>
      <c r="AD146" s="123">
        <f t="shared" si="45"/>
        <v>3.3</v>
      </c>
      <c r="AE146" s="123">
        <f t="shared" si="45"/>
        <v>3.3</v>
      </c>
      <c r="AF146" s="123">
        <f t="shared" si="45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6">C148</f>
        <v>1.76</v>
      </c>
      <c r="E148" s="123">
        <f t="shared" si="46"/>
        <v>1.76</v>
      </c>
      <c r="F148" s="123">
        <f t="shared" si="46"/>
        <v>1.76</v>
      </c>
      <c r="G148" s="123">
        <f t="shared" si="46"/>
        <v>1.76</v>
      </c>
      <c r="H148" s="123">
        <f t="shared" si="46"/>
        <v>1.76</v>
      </c>
      <c r="I148" s="123">
        <f t="shared" si="46"/>
        <v>1.76</v>
      </c>
      <c r="J148" s="123">
        <f t="shared" si="46"/>
        <v>1.76</v>
      </c>
      <c r="K148" s="123">
        <f t="shared" si="46"/>
        <v>1.76</v>
      </c>
      <c r="L148" s="123">
        <f t="shared" si="46"/>
        <v>1.76</v>
      </c>
      <c r="M148" s="123">
        <f t="shared" si="46"/>
        <v>1.76</v>
      </c>
      <c r="N148" s="123">
        <f t="shared" si="46"/>
        <v>1.76</v>
      </c>
      <c r="O148" s="123">
        <f t="shared" si="46"/>
        <v>1.76</v>
      </c>
      <c r="P148" s="123">
        <f t="shared" si="46"/>
        <v>1.76</v>
      </c>
      <c r="Q148" s="123">
        <f t="shared" si="46"/>
        <v>1.76</v>
      </c>
      <c r="R148" s="123">
        <f t="shared" si="46"/>
        <v>1.76</v>
      </c>
      <c r="S148" s="123">
        <f t="shared" si="46"/>
        <v>1.76</v>
      </c>
      <c r="T148" s="123">
        <f t="shared" ref="T148:AF149" si="47">S148</f>
        <v>1.76</v>
      </c>
      <c r="U148" s="123">
        <f t="shared" si="47"/>
        <v>1.76</v>
      </c>
      <c r="V148" s="123">
        <f t="shared" si="47"/>
        <v>1.76</v>
      </c>
      <c r="W148" s="123">
        <f t="shared" si="47"/>
        <v>1.76</v>
      </c>
      <c r="X148" s="123">
        <f t="shared" si="47"/>
        <v>1.76</v>
      </c>
      <c r="Y148" s="123">
        <f t="shared" si="47"/>
        <v>1.76</v>
      </c>
      <c r="Z148" s="123">
        <f t="shared" si="47"/>
        <v>1.76</v>
      </c>
      <c r="AA148" s="123">
        <f t="shared" si="47"/>
        <v>1.76</v>
      </c>
      <c r="AB148" s="123">
        <f t="shared" si="47"/>
        <v>1.76</v>
      </c>
      <c r="AC148" s="123">
        <f t="shared" si="47"/>
        <v>1.76</v>
      </c>
      <c r="AD148" s="123">
        <f t="shared" si="47"/>
        <v>1.76</v>
      </c>
      <c r="AE148" s="123">
        <f t="shared" si="47"/>
        <v>1.76</v>
      </c>
      <c r="AF148" s="123">
        <f t="shared" si="47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6"/>
        <v>0</v>
      </c>
      <c r="E149" s="123">
        <f t="shared" si="46"/>
        <v>0</v>
      </c>
      <c r="F149" s="123">
        <f t="shared" si="46"/>
        <v>0</v>
      </c>
      <c r="G149" s="123">
        <f t="shared" si="46"/>
        <v>0</v>
      </c>
      <c r="H149" s="123">
        <f t="shared" si="46"/>
        <v>0</v>
      </c>
      <c r="I149" s="123">
        <f t="shared" si="46"/>
        <v>0</v>
      </c>
      <c r="J149" s="123">
        <f t="shared" si="46"/>
        <v>0</v>
      </c>
      <c r="K149" s="123">
        <f t="shared" si="46"/>
        <v>0</v>
      </c>
      <c r="L149" s="123">
        <f t="shared" si="46"/>
        <v>0</v>
      </c>
      <c r="M149" s="123">
        <f t="shared" si="46"/>
        <v>0</v>
      </c>
      <c r="N149" s="123">
        <f t="shared" si="46"/>
        <v>0</v>
      </c>
      <c r="O149" s="123">
        <f t="shared" si="46"/>
        <v>0</v>
      </c>
      <c r="P149" s="123">
        <f t="shared" si="46"/>
        <v>0</v>
      </c>
      <c r="Q149" s="123">
        <f t="shared" si="46"/>
        <v>0</v>
      </c>
      <c r="R149" s="123">
        <f t="shared" si="46"/>
        <v>0</v>
      </c>
      <c r="S149" s="123">
        <f t="shared" si="46"/>
        <v>0</v>
      </c>
      <c r="T149" s="123">
        <f t="shared" si="47"/>
        <v>0</v>
      </c>
      <c r="U149" s="123">
        <f t="shared" si="47"/>
        <v>0</v>
      </c>
      <c r="V149" s="123">
        <f t="shared" si="47"/>
        <v>0</v>
      </c>
      <c r="W149" s="123">
        <f t="shared" si="47"/>
        <v>0</v>
      </c>
      <c r="X149" s="123">
        <f t="shared" si="47"/>
        <v>0</v>
      </c>
      <c r="Y149" s="123">
        <f t="shared" si="47"/>
        <v>0</v>
      </c>
      <c r="Z149" s="123">
        <f t="shared" si="47"/>
        <v>0</v>
      </c>
      <c r="AA149" s="123">
        <f t="shared" si="47"/>
        <v>0</v>
      </c>
      <c r="AB149" s="123">
        <f t="shared" si="47"/>
        <v>0</v>
      </c>
      <c r="AC149" s="123">
        <f t="shared" si="47"/>
        <v>0</v>
      </c>
      <c r="AD149" s="123">
        <f t="shared" si="47"/>
        <v>0</v>
      </c>
      <c r="AE149" s="123">
        <f t="shared" si="47"/>
        <v>0</v>
      </c>
      <c r="AF149" s="123">
        <f t="shared" si="47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8">C151</f>
        <v>0.1</v>
      </c>
      <c r="E151" s="123">
        <f t="shared" si="48"/>
        <v>0.1</v>
      </c>
      <c r="F151" s="123">
        <f t="shared" si="48"/>
        <v>0.1</v>
      </c>
      <c r="G151" s="123">
        <f t="shared" si="48"/>
        <v>0.1</v>
      </c>
      <c r="H151" s="123">
        <f t="shared" si="48"/>
        <v>0.1</v>
      </c>
      <c r="I151" s="123">
        <f t="shared" si="48"/>
        <v>0.1</v>
      </c>
      <c r="J151" s="123">
        <f t="shared" si="48"/>
        <v>0.1</v>
      </c>
      <c r="K151" s="123">
        <f t="shared" si="48"/>
        <v>0.1</v>
      </c>
      <c r="L151" s="123">
        <f t="shared" si="48"/>
        <v>0.1</v>
      </c>
      <c r="M151" s="123">
        <f t="shared" si="48"/>
        <v>0.1</v>
      </c>
      <c r="N151" s="123">
        <f t="shared" si="48"/>
        <v>0.1</v>
      </c>
      <c r="O151" s="123">
        <f t="shared" si="48"/>
        <v>0.1</v>
      </c>
      <c r="P151" s="123">
        <f t="shared" si="48"/>
        <v>0.1</v>
      </c>
      <c r="Q151" s="123">
        <f t="shared" si="48"/>
        <v>0.1</v>
      </c>
      <c r="R151" s="123">
        <f t="shared" si="48"/>
        <v>0.1</v>
      </c>
      <c r="S151" s="123">
        <f t="shared" si="48"/>
        <v>0.1</v>
      </c>
      <c r="T151" s="123">
        <f t="shared" ref="T151:AF154" si="49">S151</f>
        <v>0.1</v>
      </c>
      <c r="U151" s="123">
        <f t="shared" si="49"/>
        <v>0.1</v>
      </c>
      <c r="V151" s="123">
        <f t="shared" si="49"/>
        <v>0.1</v>
      </c>
      <c r="W151" s="123">
        <f t="shared" si="49"/>
        <v>0.1</v>
      </c>
      <c r="X151" s="123">
        <f t="shared" si="49"/>
        <v>0.1</v>
      </c>
      <c r="Y151" s="123">
        <f t="shared" si="49"/>
        <v>0.1</v>
      </c>
      <c r="Z151" s="123">
        <f t="shared" si="49"/>
        <v>0.1</v>
      </c>
      <c r="AA151" s="123">
        <f t="shared" si="49"/>
        <v>0.1</v>
      </c>
      <c r="AB151" s="123">
        <f t="shared" si="49"/>
        <v>0.1</v>
      </c>
      <c r="AC151" s="123">
        <f t="shared" si="49"/>
        <v>0.1</v>
      </c>
      <c r="AD151" s="123">
        <f t="shared" si="49"/>
        <v>0.1</v>
      </c>
      <c r="AE151" s="123">
        <f t="shared" si="49"/>
        <v>0.1</v>
      </c>
      <c r="AF151" s="123">
        <f t="shared" si="49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8"/>
        <v>2.0499999999999998</v>
      </c>
      <c r="E152" s="123">
        <f t="shared" si="48"/>
        <v>2.0499999999999998</v>
      </c>
      <c r="F152" s="123">
        <f t="shared" si="48"/>
        <v>2.0499999999999998</v>
      </c>
      <c r="G152" s="123">
        <f t="shared" si="48"/>
        <v>2.0499999999999998</v>
      </c>
      <c r="H152" s="123">
        <f t="shared" si="48"/>
        <v>2.0499999999999998</v>
      </c>
      <c r="I152" s="123">
        <f t="shared" si="48"/>
        <v>2.0499999999999998</v>
      </c>
      <c r="J152" s="123">
        <f t="shared" si="48"/>
        <v>2.0499999999999998</v>
      </c>
      <c r="K152" s="123">
        <f t="shared" si="48"/>
        <v>2.0499999999999998</v>
      </c>
      <c r="L152" s="123">
        <f t="shared" si="48"/>
        <v>2.0499999999999998</v>
      </c>
      <c r="M152" s="123">
        <f t="shared" si="48"/>
        <v>2.0499999999999998</v>
      </c>
      <c r="N152" s="123">
        <f t="shared" si="48"/>
        <v>2.0499999999999998</v>
      </c>
      <c r="O152" s="123">
        <f t="shared" si="48"/>
        <v>2.0499999999999998</v>
      </c>
      <c r="P152" s="123">
        <f t="shared" si="48"/>
        <v>2.0499999999999998</v>
      </c>
      <c r="Q152" s="123">
        <f t="shared" si="48"/>
        <v>2.0499999999999998</v>
      </c>
      <c r="R152" s="123">
        <f t="shared" si="48"/>
        <v>2.0499999999999998</v>
      </c>
      <c r="S152" s="123">
        <f t="shared" si="48"/>
        <v>2.0499999999999998</v>
      </c>
      <c r="T152" s="123">
        <f t="shared" si="49"/>
        <v>2.0499999999999998</v>
      </c>
      <c r="U152" s="123">
        <f t="shared" si="49"/>
        <v>2.0499999999999998</v>
      </c>
      <c r="V152" s="123">
        <f t="shared" si="49"/>
        <v>2.0499999999999998</v>
      </c>
      <c r="W152" s="123">
        <f t="shared" si="49"/>
        <v>2.0499999999999998</v>
      </c>
      <c r="X152" s="123">
        <f t="shared" si="49"/>
        <v>2.0499999999999998</v>
      </c>
      <c r="Y152" s="123">
        <f t="shared" si="49"/>
        <v>2.0499999999999998</v>
      </c>
      <c r="Z152" s="123">
        <f t="shared" si="49"/>
        <v>2.0499999999999998</v>
      </c>
      <c r="AA152" s="123">
        <f t="shared" si="49"/>
        <v>2.0499999999999998</v>
      </c>
      <c r="AB152" s="123">
        <f t="shared" si="49"/>
        <v>2.0499999999999998</v>
      </c>
      <c r="AC152" s="123">
        <f t="shared" si="49"/>
        <v>2.0499999999999998</v>
      </c>
      <c r="AD152" s="123">
        <f t="shared" si="49"/>
        <v>2.0499999999999998</v>
      </c>
      <c r="AE152" s="123">
        <f t="shared" si="49"/>
        <v>2.0499999999999998</v>
      </c>
      <c r="AF152" s="123">
        <f t="shared" si="49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8"/>
        <v>2.7</v>
      </c>
      <c r="E153" s="123">
        <f t="shared" si="48"/>
        <v>2.7</v>
      </c>
      <c r="F153" s="123">
        <f t="shared" si="48"/>
        <v>2.7</v>
      </c>
      <c r="G153" s="123">
        <f t="shared" si="48"/>
        <v>2.7</v>
      </c>
      <c r="H153" s="123">
        <f t="shared" si="48"/>
        <v>2.7</v>
      </c>
      <c r="I153" s="123">
        <f t="shared" si="48"/>
        <v>2.7</v>
      </c>
      <c r="J153" s="123">
        <f t="shared" si="48"/>
        <v>2.7</v>
      </c>
      <c r="K153" s="123">
        <f t="shared" si="48"/>
        <v>2.7</v>
      </c>
      <c r="L153" s="123">
        <f t="shared" si="48"/>
        <v>2.7</v>
      </c>
      <c r="M153" s="123">
        <f t="shared" si="48"/>
        <v>2.7</v>
      </c>
      <c r="N153" s="123">
        <f t="shared" si="48"/>
        <v>2.7</v>
      </c>
      <c r="O153" s="123">
        <f t="shared" si="48"/>
        <v>2.7</v>
      </c>
      <c r="P153" s="123">
        <f t="shared" si="48"/>
        <v>2.7</v>
      </c>
      <c r="Q153" s="123">
        <f t="shared" si="48"/>
        <v>2.7</v>
      </c>
      <c r="R153" s="123">
        <f t="shared" si="48"/>
        <v>2.7</v>
      </c>
      <c r="S153" s="123">
        <f t="shared" si="48"/>
        <v>2.7</v>
      </c>
      <c r="T153" s="123">
        <f t="shared" si="49"/>
        <v>2.7</v>
      </c>
      <c r="U153" s="123">
        <f t="shared" si="49"/>
        <v>2.7</v>
      </c>
      <c r="V153" s="123">
        <f t="shared" si="49"/>
        <v>2.7</v>
      </c>
      <c r="W153" s="123">
        <f t="shared" si="49"/>
        <v>2.7</v>
      </c>
      <c r="X153" s="123">
        <f t="shared" si="49"/>
        <v>2.7</v>
      </c>
      <c r="Y153" s="123">
        <f t="shared" si="49"/>
        <v>2.7</v>
      </c>
      <c r="Z153" s="123">
        <f t="shared" si="49"/>
        <v>2.7</v>
      </c>
      <c r="AA153" s="123">
        <f t="shared" si="49"/>
        <v>2.7</v>
      </c>
      <c r="AB153" s="123">
        <f t="shared" si="49"/>
        <v>2.7</v>
      </c>
      <c r="AC153" s="123">
        <f t="shared" si="49"/>
        <v>2.7</v>
      </c>
      <c r="AD153" s="123">
        <f t="shared" si="49"/>
        <v>2.7</v>
      </c>
      <c r="AE153" s="123">
        <f t="shared" si="49"/>
        <v>2.7</v>
      </c>
      <c r="AF153" s="123">
        <f t="shared" si="49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8"/>
        <v>2.15</v>
      </c>
      <c r="E154" s="123">
        <f t="shared" si="48"/>
        <v>2.15</v>
      </c>
      <c r="F154" s="123">
        <f t="shared" si="48"/>
        <v>2.15</v>
      </c>
      <c r="G154" s="123">
        <f t="shared" si="48"/>
        <v>2.15</v>
      </c>
      <c r="H154" s="123">
        <f t="shared" si="48"/>
        <v>2.15</v>
      </c>
      <c r="I154" s="123">
        <f t="shared" si="48"/>
        <v>2.15</v>
      </c>
      <c r="J154" s="123">
        <f t="shared" si="48"/>
        <v>2.15</v>
      </c>
      <c r="K154" s="123">
        <f t="shared" si="48"/>
        <v>2.15</v>
      </c>
      <c r="L154" s="123">
        <f t="shared" si="48"/>
        <v>2.15</v>
      </c>
      <c r="M154" s="123">
        <f t="shared" si="48"/>
        <v>2.15</v>
      </c>
      <c r="N154" s="123">
        <f t="shared" si="48"/>
        <v>2.15</v>
      </c>
      <c r="O154" s="123">
        <f t="shared" si="48"/>
        <v>2.15</v>
      </c>
      <c r="P154" s="123">
        <f t="shared" si="48"/>
        <v>2.15</v>
      </c>
      <c r="Q154" s="123">
        <f t="shared" si="48"/>
        <v>2.15</v>
      </c>
      <c r="R154" s="123">
        <f t="shared" si="48"/>
        <v>2.15</v>
      </c>
      <c r="S154" s="123">
        <f t="shared" si="48"/>
        <v>2.15</v>
      </c>
      <c r="T154" s="123">
        <f t="shared" si="49"/>
        <v>2.15</v>
      </c>
      <c r="U154" s="123">
        <f t="shared" si="49"/>
        <v>2.15</v>
      </c>
      <c r="V154" s="123">
        <f t="shared" si="49"/>
        <v>2.15</v>
      </c>
      <c r="W154" s="123">
        <f t="shared" si="49"/>
        <v>2.15</v>
      </c>
      <c r="X154" s="123">
        <f t="shared" si="49"/>
        <v>2.15</v>
      </c>
      <c r="Y154" s="123">
        <f t="shared" si="49"/>
        <v>2.15</v>
      </c>
      <c r="Z154" s="123">
        <f t="shared" si="49"/>
        <v>2.15</v>
      </c>
      <c r="AA154" s="123">
        <f t="shared" si="49"/>
        <v>2.15</v>
      </c>
      <c r="AB154" s="123">
        <f t="shared" si="49"/>
        <v>2.15</v>
      </c>
      <c r="AC154" s="123">
        <f t="shared" si="49"/>
        <v>2.15</v>
      </c>
      <c r="AD154" s="123">
        <f t="shared" si="49"/>
        <v>2.15</v>
      </c>
      <c r="AE154" s="123">
        <f t="shared" si="49"/>
        <v>2.15</v>
      </c>
      <c r="AF154" s="123">
        <f t="shared" si="49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50">AF156</f>
        <v>0.9</v>
      </c>
      <c r="C156" s="124">
        <v>0.9</v>
      </c>
      <c r="D156" s="123">
        <f t="shared" ref="D156:S168" si="51">C156</f>
        <v>0.9</v>
      </c>
      <c r="E156" s="123">
        <f t="shared" si="51"/>
        <v>0.9</v>
      </c>
      <c r="F156" s="123">
        <f t="shared" si="51"/>
        <v>0.9</v>
      </c>
      <c r="G156" s="123">
        <f t="shared" si="51"/>
        <v>0.9</v>
      </c>
      <c r="H156" s="123">
        <f t="shared" si="51"/>
        <v>0.9</v>
      </c>
      <c r="I156" s="123">
        <f t="shared" si="51"/>
        <v>0.9</v>
      </c>
      <c r="J156" s="123">
        <f t="shared" si="51"/>
        <v>0.9</v>
      </c>
      <c r="K156" s="123">
        <f t="shared" si="51"/>
        <v>0.9</v>
      </c>
      <c r="L156" s="123">
        <f t="shared" si="51"/>
        <v>0.9</v>
      </c>
      <c r="M156" s="123">
        <f t="shared" si="51"/>
        <v>0.9</v>
      </c>
      <c r="N156" s="123">
        <f t="shared" si="51"/>
        <v>0.9</v>
      </c>
      <c r="O156" s="123">
        <f t="shared" si="51"/>
        <v>0.9</v>
      </c>
      <c r="P156" s="123">
        <f t="shared" si="51"/>
        <v>0.9</v>
      </c>
      <c r="Q156" s="123">
        <f t="shared" si="51"/>
        <v>0.9</v>
      </c>
      <c r="R156" s="123">
        <f t="shared" si="51"/>
        <v>0.9</v>
      </c>
      <c r="S156" s="123">
        <f t="shared" si="51"/>
        <v>0.9</v>
      </c>
      <c r="T156" s="123">
        <f t="shared" ref="S156:AF168" si="52">S156</f>
        <v>0.9</v>
      </c>
      <c r="U156" s="123">
        <f t="shared" si="52"/>
        <v>0.9</v>
      </c>
      <c r="V156" s="123">
        <f t="shared" si="52"/>
        <v>0.9</v>
      </c>
      <c r="W156" s="123">
        <f t="shared" si="52"/>
        <v>0.9</v>
      </c>
      <c r="X156" s="123">
        <f t="shared" si="52"/>
        <v>0.9</v>
      </c>
      <c r="Y156" s="123">
        <f t="shared" si="52"/>
        <v>0.9</v>
      </c>
      <c r="Z156" s="123">
        <f t="shared" si="52"/>
        <v>0.9</v>
      </c>
      <c r="AA156" s="123">
        <f t="shared" si="52"/>
        <v>0.9</v>
      </c>
      <c r="AB156" s="123">
        <f t="shared" si="52"/>
        <v>0.9</v>
      </c>
      <c r="AC156" s="123">
        <f t="shared" si="52"/>
        <v>0.9</v>
      </c>
      <c r="AD156" s="123">
        <f t="shared" si="52"/>
        <v>0.9</v>
      </c>
      <c r="AE156" s="123">
        <f t="shared" si="52"/>
        <v>0.9</v>
      </c>
      <c r="AF156" s="123">
        <f t="shared" si="52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50"/>
        <v>1.08</v>
      </c>
      <c r="C157" s="124">
        <v>1.08</v>
      </c>
      <c r="D157" s="123">
        <f t="shared" si="51"/>
        <v>1.08</v>
      </c>
      <c r="E157" s="123">
        <f t="shared" si="51"/>
        <v>1.08</v>
      </c>
      <c r="F157" s="123">
        <f t="shared" si="51"/>
        <v>1.08</v>
      </c>
      <c r="G157" s="123">
        <f t="shared" si="51"/>
        <v>1.08</v>
      </c>
      <c r="H157" s="123">
        <f t="shared" si="51"/>
        <v>1.08</v>
      </c>
      <c r="I157" s="123">
        <f t="shared" si="51"/>
        <v>1.08</v>
      </c>
      <c r="J157" s="123">
        <f t="shared" si="51"/>
        <v>1.08</v>
      </c>
      <c r="K157" s="123">
        <f t="shared" si="51"/>
        <v>1.08</v>
      </c>
      <c r="L157" s="123">
        <f t="shared" si="51"/>
        <v>1.08</v>
      </c>
      <c r="M157" s="123">
        <f t="shared" si="51"/>
        <v>1.08</v>
      </c>
      <c r="N157" s="123">
        <f t="shared" si="51"/>
        <v>1.08</v>
      </c>
      <c r="O157" s="123">
        <f t="shared" si="51"/>
        <v>1.08</v>
      </c>
      <c r="P157" s="123">
        <f t="shared" si="51"/>
        <v>1.08</v>
      </c>
      <c r="Q157" s="123">
        <f t="shared" si="51"/>
        <v>1.08</v>
      </c>
      <c r="R157" s="123">
        <f t="shared" si="51"/>
        <v>1.08</v>
      </c>
      <c r="S157" s="123">
        <f t="shared" si="51"/>
        <v>1.08</v>
      </c>
      <c r="T157" s="123">
        <f t="shared" si="52"/>
        <v>1.08</v>
      </c>
      <c r="U157" s="123">
        <f t="shared" si="52"/>
        <v>1.08</v>
      </c>
      <c r="V157" s="123">
        <f t="shared" si="52"/>
        <v>1.08</v>
      </c>
      <c r="W157" s="123">
        <f t="shared" si="52"/>
        <v>1.08</v>
      </c>
      <c r="X157" s="123">
        <f t="shared" si="52"/>
        <v>1.08</v>
      </c>
      <c r="Y157" s="123">
        <f t="shared" si="52"/>
        <v>1.08</v>
      </c>
      <c r="Z157" s="123">
        <f t="shared" si="52"/>
        <v>1.08</v>
      </c>
      <c r="AA157" s="123">
        <f t="shared" si="52"/>
        <v>1.08</v>
      </c>
      <c r="AB157" s="123">
        <f t="shared" si="52"/>
        <v>1.08</v>
      </c>
      <c r="AC157" s="123">
        <f t="shared" si="52"/>
        <v>1.08</v>
      </c>
      <c r="AD157" s="123">
        <f t="shared" si="52"/>
        <v>1.08</v>
      </c>
      <c r="AE157" s="123">
        <f t="shared" si="52"/>
        <v>1.08</v>
      </c>
      <c r="AF157" s="123">
        <f t="shared" si="52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50"/>
        <v>2.37</v>
      </c>
      <c r="C158" s="124">
        <v>2.37</v>
      </c>
      <c r="D158" s="123">
        <f t="shared" si="51"/>
        <v>2.37</v>
      </c>
      <c r="E158" s="123">
        <f t="shared" si="51"/>
        <v>2.37</v>
      </c>
      <c r="F158" s="123">
        <f t="shared" si="51"/>
        <v>2.37</v>
      </c>
      <c r="G158" s="123">
        <f t="shared" si="51"/>
        <v>2.37</v>
      </c>
      <c r="H158" s="123">
        <f t="shared" si="51"/>
        <v>2.37</v>
      </c>
      <c r="I158" s="123">
        <f t="shared" si="51"/>
        <v>2.37</v>
      </c>
      <c r="J158" s="123">
        <f t="shared" si="51"/>
        <v>2.37</v>
      </c>
      <c r="K158" s="123">
        <f t="shared" si="51"/>
        <v>2.37</v>
      </c>
      <c r="L158" s="123">
        <f t="shared" si="51"/>
        <v>2.37</v>
      </c>
      <c r="M158" s="123">
        <f t="shared" si="51"/>
        <v>2.37</v>
      </c>
      <c r="N158" s="123">
        <f t="shared" si="51"/>
        <v>2.37</v>
      </c>
      <c r="O158" s="123">
        <f t="shared" si="51"/>
        <v>2.37</v>
      </c>
      <c r="P158" s="123">
        <f t="shared" si="51"/>
        <v>2.37</v>
      </c>
      <c r="Q158" s="123">
        <f t="shared" si="51"/>
        <v>2.37</v>
      </c>
      <c r="R158" s="123">
        <f t="shared" si="51"/>
        <v>2.37</v>
      </c>
      <c r="S158" s="123">
        <f t="shared" si="51"/>
        <v>2.37</v>
      </c>
      <c r="T158" s="123">
        <f t="shared" si="52"/>
        <v>2.37</v>
      </c>
      <c r="U158" s="123">
        <f t="shared" si="52"/>
        <v>2.37</v>
      </c>
      <c r="V158" s="123">
        <f t="shared" si="52"/>
        <v>2.37</v>
      </c>
      <c r="W158" s="123">
        <f t="shared" si="52"/>
        <v>2.37</v>
      </c>
      <c r="X158" s="123">
        <f t="shared" si="52"/>
        <v>2.37</v>
      </c>
      <c r="Y158" s="123">
        <f t="shared" si="52"/>
        <v>2.37</v>
      </c>
      <c r="Z158" s="123">
        <f t="shared" si="52"/>
        <v>2.37</v>
      </c>
      <c r="AA158" s="123">
        <f t="shared" si="52"/>
        <v>2.37</v>
      </c>
      <c r="AB158" s="123">
        <f t="shared" si="52"/>
        <v>2.37</v>
      </c>
      <c r="AC158" s="123">
        <f t="shared" si="52"/>
        <v>2.37</v>
      </c>
      <c r="AD158" s="123">
        <f t="shared" si="52"/>
        <v>2.37</v>
      </c>
      <c r="AE158" s="123">
        <f t="shared" si="52"/>
        <v>2.37</v>
      </c>
      <c r="AF158" s="123">
        <f t="shared" si="52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50"/>
        <v>1.81</v>
      </c>
      <c r="C159" s="124">
        <v>1.81</v>
      </c>
      <c r="D159" s="123">
        <f t="shared" si="51"/>
        <v>1.81</v>
      </c>
      <c r="E159" s="123">
        <f t="shared" si="51"/>
        <v>1.81</v>
      </c>
      <c r="F159" s="123">
        <f t="shared" si="51"/>
        <v>1.81</v>
      </c>
      <c r="G159" s="123">
        <f t="shared" si="51"/>
        <v>1.81</v>
      </c>
      <c r="H159" s="123">
        <f t="shared" si="51"/>
        <v>1.81</v>
      </c>
      <c r="I159" s="123">
        <f t="shared" si="51"/>
        <v>1.81</v>
      </c>
      <c r="J159" s="123">
        <f t="shared" si="51"/>
        <v>1.81</v>
      </c>
      <c r="K159" s="123">
        <f t="shared" si="51"/>
        <v>1.81</v>
      </c>
      <c r="L159" s="123">
        <f t="shared" si="51"/>
        <v>1.81</v>
      </c>
      <c r="M159" s="123">
        <f t="shared" si="51"/>
        <v>1.81</v>
      </c>
      <c r="N159" s="123">
        <f t="shared" si="51"/>
        <v>1.81</v>
      </c>
      <c r="O159" s="123">
        <f t="shared" si="51"/>
        <v>1.81</v>
      </c>
      <c r="P159" s="123">
        <f t="shared" si="51"/>
        <v>1.81</v>
      </c>
      <c r="Q159" s="123">
        <f t="shared" si="51"/>
        <v>1.81</v>
      </c>
      <c r="R159" s="123">
        <f t="shared" si="51"/>
        <v>1.81</v>
      </c>
      <c r="S159" s="123">
        <f t="shared" si="51"/>
        <v>1.81</v>
      </c>
      <c r="T159" s="123">
        <f t="shared" si="52"/>
        <v>1.81</v>
      </c>
      <c r="U159" s="123">
        <f t="shared" si="52"/>
        <v>1.81</v>
      </c>
      <c r="V159" s="123">
        <f t="shared" si="52"/>
        <v>1.81</v>
      </c>
      <c r="W159" s="123">
        <f t="shared" si="52"/>
        <v>1.81</v>
      </c>
      <c r="X159" s="123">
        <f t="shared" si="52"/>
        <v>1.81</v>
      </c>
      <c r="Y159" s="123">
        <f t="shared" si="52"/>
        <v>1.81</v>
      </c>
      <c r="Z159" s="123">
        <f t="shared" si="52"/>
        <v>1.81</v>
      </c>
      <c r="AA159" s="123">
        <f t="shared" si="52"/>
        <v>1.81</v>
      </c>
      <c r="AB159" s="123">
        <f t="shared" si="52"/>
        <v>1.81</v>
      </c>
      <c r="AC159" s="123">
        <f t="shared" si="52"/>
        <v>1.81</v>
      </c>
      <c r="AD159" s="123">
        <f t="shared" si="52"/>
        <v>1.81</v>
      </c>
      <c r="AE159" s="123">
        <f t="shared" si="52"/>
        <v>1.81</v>
      </c>
      <c r="AF159" s="123">
        <f t="shared" si="52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50"/>
        <v>1.0900000000000001</v>
      </c>
      <c r="C160" s="124">
        <v>1.0900000000000001</v>
      </c>
      <c r="D160" s="123">
        <f t="shared" si="51"/>
        <v>1.0900000000000001</v>
      </c>
      <c r="E160" s="123">
        <f t="shared" si="51"/>
        <v>1.0900000000000001</v>
      </c>
      <c r="F160" s="123">
        <f t="shared" si="51"/>
        <v>1.0900000000000001</v>
      </c>
      <c r="G160" s="123">
        <f t="shared" si="51"/>
        <v>1.0900000000000001</v>
      </c>
      <c r="H160" s="123">
        <f t="shared" si="51"/>
        <v>1.0900000000000001</v>
      </c>
      <c r="I160" s="123">
        <f t="shared" si="51"/>
        <v>1.0900000000000001</v>
      </c>
      <c r="J160" s="123">
        <f t="shared" si="51"/>
        <v>1.0900000000000001</v>
      </c>
      <c r="K160" s="123">
        <f t="shared" si="51"/>
        <v>1.0900000000000001</v>
      </c>
      <c r="L160" s="123">
        <f t="shared" si="51"/>
        <v>1.0900000000000001</v>
      </c>
      <c r="M160" s="123">
        <f t="shared" si="51"/>
        <v>1.0900000000000001</v>
      </c>
      <c r="N160" s="123">
        <f t="shared" si="51"/>
        <v>1.0900000000000001</v>
      </c>
      <c r="O160" s="123">
        <f t="shared" si="51"/>
        <v>1.0900000000000001</v>
      </c>
      <c r="P160" s="123">
        <f t="shared" si="51"/>
        <v>1.0900000000000001</v>
      </c>
      <c r="Q160" s="123">
        <f t="shared" si="51"/>
        <v>1.0900000000000001</v>
      </c>
      <c r="R160" s="123">
        <f t="shared" si="51"/>
        <v>1.0900000000000001</v>
      </c>
      <c r="S160" s="123">
        <f t="shared" si="51"/>
        <v>1.0900000000000001</v>
      </c>
      <c r="T160" s="123">
        <f t="shared" si="52"/>
        <v>1.0900000000000001</v>
      </c>
      <c r="U160" s="123">
        <f t="shared" si="52"/>
        <v>1.0900000000000001</v>
      </c>
      <c r="V160" s="123">
        <f t="shared" si="52"/>
        <v>1.0900000000000001</v>
      </c>
      <c r="W160" s="123">
        <f t="shared" si="52"/>
        <v>1.0900000000000001</v>
      </c>
      <c r="X160" s="123">
        <f t="shared" si="52"/>
        <v>1.0900000000000001</v>
      </c>
      <c r="Y160" s="123">
        <f t="shared" si="52"/>
        <v>1.0900000000000001</v>
      </c>
      <c r="Z160" s="123">
        <f t="shared" si="52"/>
        <v>1.0900000000000001</v>
      </c>
      <c r="AA160" s="123">
        <f t="shared" si="52"/>
        <v>1.0900000000000001</v>
      </c>
      <c r="AB160" s="123">
        <f t="shared" si="52"/>
        <v>1.0900000000000001</v>
      </c>
      <c r="AC160" s="123">
        <f t="shared" si="52"/>
        <v>1.0900000000000001</v>
      </c>
      <c r="AD160" s="123">
        <f t="shared" si="52"/>
        <v>1.0900000000000001</v>
      </c>
      <c r="AE160" s="123">
        <f t="shared" si="52"/>
        <v>1.0900000000000001</v>
      </c>
      <c r="AF160" s="123">
        <f t="shared" si="52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50"/>
        <v>1.58</v>
      </c>
      <c r="C161" s="124">
        <v>1.58</v>
      </c>
      <c r="D161" s="123">
        <f t="shared" si="51"/>
        <v>1.58</v>
      </c>
      <c r="E161" s="123">
        <f t="shared" si="51"/>
        <v>1.58</v>
      </c>
      <c r="F161" s="123">
        <f t="shared" si="51"/>
        <v>1.58</v>
      </c>
      <c r="G161" s="123">
        <f t="shared" si="51"/>
        <v>1.58</v>
      </c>
      <c r="H161" s="123">
        <f t="shared" si="51"/>
        <v>1.58</v>
      </c>
      <c r="I161" s="123">
        <f t="shared" si="51"/>
        <v>1.58</v>
      </c>
      <c r="J161" s="123">
        <f t="shared" si="51"/>
        <v>1.58</v>
      </c>
      <c r="K161" s="123">
        <f t="shared" si="51"/>
        <v>1.58</v>
      </c>
      <c r="L161" s="123">
        <f t="shared" si="51"/>
        <v>1.58</v>
      </c>
      <c r="M161" s="123">
        <f t="shared" si="51"/>
        <v>1.58</v>
      </c>
      <c r="N161" s="123">
        <f t="shared" si="51"/>
        <v>1.58</v>
      </c>
      <c r="O161" s="123">
        <f t="shared" si="51"/>
        <v>1.58</v>
      </c>
      <c r="P161" s="123">
        <f t="shared" si="51"/>
        <v>1.58</v>
      </c>
      <c r="Q161" s="123">
        <f t="shared" si="51"/>
        <v>1.58</v>
      </c>
      <c r="R161" s="123">
        <f t="shared" si="51"/>
        <v>1.58</v>
      </c>
      <c r="S161" s="123">
        <f t="shared" si="51"/>
        <v>1.58</v>
      </c>
      <c r="T161" s="123">
        <f t="shared" si="52"/>
        <v>1.58</v>
      </c>
      <c r="U161" s="123">
        <f t="shared" si="52"/>
        <v>1.58</v>
      </c>
      <c r="V161" s="123">
        <f t="shared" si="52"/>
        <v>1.58</v>
      </c>
      <c r="W161" s="123">
        <f t="shared" si="52"/>
        <v>1.58</v>
      </c>
      <c r="X161" s="123">
        <f t="shared" si="52"/>
        <v>1.58</v>
      </c>
      <c r="Y161" s="123">
        <f t="shared" si="52"/>
        <v>1.58</v>
      </c>
      <c r="Z161" s="123">
        <f t="shared" si="52"/>
        <v>1.58</v>
      </c>
      <c r="AA161" s="123">
        <f t="shared" si="52"/>
        <v>1.58</v>
      </c>
      <c r="AB161" s="123">
        <f t="shared" si="52"/>
        <v>1.58</v>
      </c>
      <c r="AC161" s="123">
        <f t="shared" si="52"/>
        <v>1.58</v>
      </c>
      <c r="AD161" s="123">
        <f t="shared" si="52"/>
        <v>1.58</v>
      </c>
      <c r="AE161" s="123">
        <f t="shared" si="52"/>
        <v>1.58</v>
      </c>
      <c r="AF161" s="123">
        <f t="shared" si="52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50"/>
        <v>2</v>
      </c>
      <c r="C162" s="124">
        <v>2</v>
      </c>
      <c r="D162" s="123">
        <f t="shared" si="51"/>
        <v>2</v>
      </c>
      <c r="E162" s="123">
        <f t="shared" si="51"/>
        <v>2</v>
      </c>
      <c r="F162" s="123">
        <f t="shared" si="51"/>
        <v>2</v>
      </c>
      <c r="G162" s="123">
        <f t="shared" si="51"/>
        <v>2</v>
      </c>
      <c r="H162" s="123">
        <f t="shared" si="51"/>
        <v>2</v>
      </c>
      <c r="I162" s="123">
        <f t="shared" si="51"/>
        <v>2</v>
      </c>
      <c r="J162" s="123">
        <f t="shared" si="51"/>
        <v>2</v>
      </c>
      <c r="K162" s="123">
        <f t="shared" si="51"/>
        <v>2</v>
      </c>
      <c r="L162" s="123">
        <f t="shared" si="51"/>
        <v>2</v>
      </c>
      <c r="M162" s="123">
        <f t="shared" si="51"/>
        <v>2</v>
      </c>
      <c r="N162" s="123">
        <f t="shared" si="51"/>
        <v>2</v>
      </c>
      <c r="O162" s="123">
        <f t="shared" si="51"/>
        <v>2</v>
      </c>
      <c r="P162" s="123">
        <f t="shared" si="51"/>
        <v>2</v>
      </c>
      <c r="Q162" s="123">
        <f t="shared" si="51"/>
        <v>2</v>
      </c>
      <c r="R162" s="123">
        <f t="shared" si="51"/>
        <v>2</v>
      </c>
      <c r="S162" s="123">
        <f t="shared" si="51"/>
        <v>2</v>
      </c>
      <c r="T162" s="123">
        <f t="shared" si="52"/>
        <v>2</v>
      </c>
      <c r="U162" s="123">
        <f t="shared" si="52"/>
        <v>2</v>
      </c>
      <c r="V162" s="123">
        <f t="shared" si="52"/>
        <v>2</v>
      </c>
      <c r="W162" s="123">
        <f t="shared" si="52"/>
        <v>2</v>
      </c>
      <c r="X162" s="123">
        <f t="shared" si="52"/>
        <v>2</v>
      </c>
      <c r="Y162" s="123">
        <f t="shared" si="52"/>
        <v>2</v>
      </c>
      <c r="Z162" s="123">
        <f t="shared" si="52"/>
        <v>2</v>
      </c>
      <c r="AA162" s="123">
        <f t="shared" si="52"/>
        <v>2</v>
      </c>
      <c r="AB162" s="123">
        <f t="shared" si="52"/>
        <v>2</v>
      </c>
      <c r="AC162" s="123">
        <f t="shared" si="52"/>
        <v>2</v>
      </c>
      <c r="AD162" s="123">
        <f t="shared" si="52"/>
        <v>2</v>
      </c>
      <c r="AE162" s="123">
        <f t="shared" si="52"/>
        <v>2</v>
      </c>
      <c r="AF162" s="123">
        <f t="shared" si="52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50"/>
        <v>0.47</v>
      </c>
      <c r="C163" s="124">
        <v>0.47</v>
      </c>
      <c r="D163" s="123">
        <f t="shared" si="51"/>
        <v>0.47</v>
      </c>
      <c r="E163" s="123">
        <f t="shared" si="51"/>
        <v>0.47</v>
      </c>
      <c r="F163" s="123">
        <f t="shared" si="51"/>
        <v>0.47</v>
      </c>
      <c r="G163" s="123">
        <f t="shared" si="51"/>
        <v>0.47</v>
      </c>
      <c r="H163" s="123">
        <f t="shared" si="51"/>
        <v>0.47</v>
      </c>
      <c r="I163" s="123">
        <f t="shared" si="51"/>
        <v>0.47</v>
      </c>
      <c r="J163" s="123">
        <f t="shared" si="51"/>
        <v>0.47</v>
      </c>
      <c r="K163" s="123">
        <f t="shared" si="51"/>
        <v>0.47</v>
      </c>
      <c r="L163" s="123">
        <f t="shared" si="51"/>
        <v>0.47</v>
      </c>
      <c r="M163" s="123">
        <f t="shared" si="51"/>
        <v>0.47</v>
      </c>
      <c r="N163" s="123">
        <f t="shared" si="51"/>
        <v>0.47</v>
      </c>
      <c r="O163" s="123">
        <f t="shared" si="51"/>
        <v>0.47</v>
      </c>
      <c r="P163" s="123">
        <f t="shared" si="51"/>
        <v>0.47</v>
      </c>
      <c r="Q163" s="123">
        <f t="shared" si="51"/>
        <v>0.47</v>
      </c>
      <c r="R163" s="123">
        <f t="shared" si="51"/>
        <v>0.47</v>
      </c>
      <c r="S163" s="123">
        <f t="shared" si="51"/>
        <v>0.47</v>
      </c>
      <c r="T163" s="123">
        <f t="shared" si="52"/>
        <v>0.47</v>
      </c>
      <c r="U163" s="123">
        <f t="shared" si="52"/>
        <v>0.47</v>
      </c>
      <c r="V163" s="123">
        <f t="shared" si="52"/>
        <v>0.47</v>
      </c>
      <c r="W163" s="123">
        <f t="shared" si="52"/>
        <v>0.47</v>
      </c>
      <c r="X163" s="123">
        <f t="shared" si="52"/>
        <v>0.47</v>
      </c>
      <c r="Y163" s="123">
        <f t="shared" si="52"/>
        <v>0.47</v>
      </c>
      <c r="Z163" s="123">
        <f t="shared" si="52"/>
        <v>0.47</v>
      </c>
      <c r="AA163" s="123">
        <f t="shared" si="52"/>
        <v>0.47</v>
      </c>
      <c r="AB163" s="123">
        <f t="shared" si="52"/>
        <v>0.47</v>
      </c>
      <c r="AC163" s="123">
        <f t="shared" si="52"/>
        <v>0.47</v>
      </c>
      <c r="AD163" s="123">
        <f t="shared" si="52"/>
        <v>0.47</v>
      </c>
      <c r="AE163" s="123">
        <f t="shared" si="52"/>
        <v>0.47</v>
      </c>
      <c r="AF163" s="123">
        <f t="shared" si="52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50"/>
        <v>0</v>
      </c>
      <c r="C164" s="124">
        <v>0</v>
      </c>
      <c r="D164" s="123">
        <f t="shared" si="51"/>
        <v>0</v>
      </c>
      <c r="E164" s="123">
        <f t="shared" si="51"/>
        <v>0</v>
      </c>
      <c r="F164" s="123">
        <f t="shared" si="51"/>
        <v>0</v>
      </c>
      <c r="G164" s="123">
        <f t="shared" si="51"/>
        <v>0</v>
      </c>
      <c r="H164" s="123">
        <f t="shared" si="51"/>
        <v>0</v>
      </c>
      <c r="I164" s="123">
        <f t="shared" si="51"/>
        <v>0</v>
      </c>
      <c r="J164" s="123">
        <f t="shared" si="51"/>
        <v>0</v>
      </c>
      <c r="K164" s="123">
        <f t="shared" si="51"/>
        <v>0</v>
      </c>
      <c r="L164" s="123">
        <f t="shared" si="51"/>
        <v>0</v>
      </c>
      <c r="M164" s="123">
        <f t="shared" si="51"/>
        <v>0</v>
      </c>
      <c r="N164" s="123">
        <f t="shared" si="51"/>
        <v>0</v>
      </c>
      <c r="O164" s="123">
        <f t="shared" si="51"/>
        <v>0</v>
      </c>
      <c r="P164" s="123">
        <f t="shared" si="51"/>
        <v>0</v>
      </c>
      <c r="Q164" s="123">
        <f t="shared" si="51"/>
        <v>0</v>
      </c>
      <c r="R164" s="123">
        <f t="shared" si="51"/>
        <v>0</v>
      </c>
      <c r="S164" s="123">
        <f t="shared" si="51"/>
        <v>0</v>
      </c>
      <c r="T164" s="123">
        <f t="shared" si="52"/>
        <v>0</v>
      </c>
      <c r="U164" s="123">
        <f t="shared" si="52"/>
        <v>0</v>
      </c>
      <c r="V164" s="123">
        <f t="shared" si="52"/>
        <v>0</v>
      </c>
      <c r="W164" s="123">
        <f t="shared" si="52"/>
        <v>0</v>
      </c>
      <c r="X164" s="123">
        <f t="shared" si="52"/>
        <v>0</v>
      </c>
      <c r="Y164" s="123">
        <f t="shared" si="52"/>
        <v>0</v>
      </c>
      <c r="Z164" s="123">
        <f t="shared" si="52"/>
        <v>0</v>
      </c>
      <c r="AA164" s="123">
        <f t="shared" si="52"/>
        <v>0</v>
      </c>
      <c r="AB164" s="123">
        <f t="shared" si="52"/>
        <v>0</v>
      </c>
      <c r="AC164" s="123">
        <f t="shared" si="52"/>
        <v>0</v>
      </c>
      <c r="AD164" s="123">
        <f t="shared" si="52"/>
        <v>0</v>
      </c>
      <c r="AE164" s="123">
        <f t="shared" si="52"/>
        <v>0</v>
      </c>
      <c r="AF164" s="123">
        <f t="shared" si="52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50"/>
        <v>0</v>
      </c>
      <c r="C165" s="124">
        <v>0</v>
      </c>
      <c r="D165" s="123">
        <f t="shared" si="51"/>
        <v>0</v>
      </c>
      <c r="E165" s="123">
        <f t="shared" si="51"/>
        <v>0</v>
      </c>
      <c r="F165" s="123">
        <f t="shared" si="51"/>
        <v>0</v>
      </c>
      <c r="G165" s="123">
        <f t="shared" si="51"/>
        <v>0</v>
      </c>
      <c r="H165" s="123">
        <f t="shared" si="51"/>
        <v>0</v>
      </c>
      <c r="I165" s="123">
        <f t="shared" si="51"/>
        <v>0</v>
      </c>
      <c r="J165" s="123">
        <f t="shared" si="51"/>
        <v>0</v>
      </c>
      <c r="K165" s="123">
        <f t="shared" si="51"/>
        <v>0</v>
      </c>
      <c r="L165" s="123">
        <f t="shared" si="51"/>
        <v>0</v>
      </c>
      <c r="M165" s="123">
        <f t="shared" si="51"/>
        <v>0</v>
      </c>
      <c r="N165" s="123">
        <f t="shared" si="51"/>
        <v>0</v>
      </c>
      <c r="O165" s="123">
        <f t="shared" si="51"/>
        <v>0</v>
      </c>
      <c r="P165" s="123">
        <f t="shared" si="51"/>
        <v>0</v>
      </c>
      <c r="Q165" s="123">
        <f t="shared" si="51"/>
        <v>0</v>
      </c>
      <c r="R165" s="123">
        <f t="shared" si="51"/>
        <v>0</v>
      </c>
      <c r="S165" s="123">
        <f t="shared" si="52"/>
        <v>0</v>
      </c>
      <c r="T165" s="123">
        <f t="shared" si="52"/>
        <v>0</v>
      </c>
      <c r="U165" s="123">
        <f t="shared" si="52"/>
        <v>0</v>
      </c>
      <c r="V165" s="123">
        <f t="shared" si="52"/>
        <v>0</v>
      </c>
      <c r="W165" s="123">
        <f t="shared" si="52"/>
        <v>0</v>
      </c>
      <c r="X165" s="123">
        <f t="shared" si="52"/>
        <v>0</v>
      </c>
      <c r="Y165" s="123">
        <f t="shared" si="52"/>
        <v>0</v>
      </c>
      <c r="Z165" s="123">
        <f t="shared" si="52"/>
        <v>0</v>
      </c>
      <c r="AA165" s="123">
        <f t="shared" si="52"/>
        <v>0</v>
      </c>
      <c r="AB165" s="123">
        <f t="shared" si="52"/>
        <v>0</v>
      </c>
      <c r="AC165" s="123">
        <f t="shared" si="52"/>
        <v>0</v>
      </c>
      <c r="AD165" s="123">
        <f t="shared" si="52"/>
        <v>0</v>
      </c>
      <c r="AE165" s="123">
        <f t="shared" si="52"/>
        <v>0</v>
      </c>
      <c r="AF165" s="123">
        <f t="shared" si="52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50"/>
        <v>0.8</v>
      </c>
      <c r="C166" s="124">
        <v>0.8</v>
      </c>
      <c r="D166" s="123">
        <f t="shared" si="51"/>
        <v>0.8</v>
      </c>
      <c r="E166" s="123">
        <f t="shared" si="51"/>
        <v>0.8</v>
      </c>
      <c r="F166" s="123">
        <f t="shared" si="51"/>
        <v>0.8</v>
      </c>
      <c r="G166" s="123">
        <f t="shared" si="51"/>
        <v>0.8</v>
      </c>
      <c r="H166" s="123">
        <f t="shared" si="51"/>
        <v>0.8</v>
      </c>
      <c r="I166" s="123">
        <f t="shared" si="51"/>
        <v>0.8</v>
      </c>
      <c r="J166" s="123">
        <f t="shared" si="51"/>
        <v>0.8</v>
      </c>
      <c r="K166" s="123">
        <f t="shared" si="51"/>
        <v>0.8</v>
      </c>
      <c r="L166" s="123">
        <f t="shared" si="51"/>
        <v>0.8</v>
      </c>
      <c r="M166" s="123">
        <f t="shared" si="51"/>
        <v>0.8</v>
      </c>
      <c r="N166" s="123">
        <f t="shared" si="51"/>
        <v>0.8</v>
      </c>
      <c r="O166" s="123">
        <f t="shared" si="51"/>
        <v>0.8</v>
      </c>
      <c r="P166" s="123">
        <f t="shared" si="51"/>
        <v>0.8</v>
      </c>
      <c r="Q166" s="123">
        <f t="shared" si="51"/>
        <v>0.8</v>
      </c>
      <c r="R166" s="123">
        <f t="shared" si="51"/>
        <v>0.8</v>
      </c>
      <c r="S166" s="123">
        <f t="shared" si="52"/>
        <v>0.8</v>
      </c>
      <c r="T166" s="123">
        <f t="shared" si="52"/>
        <v>0.8</v>
      </c>
      <c r="U166" s="123">
        <f t="shared" si="52"/>
        <v>0.8</v>
      </c>
      <c r="V166" s="123">
        <f t="shared" si="52"/>
        <v>0.8</v>
      </c>
      <c r="W166" s="123">
        <f t="shared" si="52"/>
        <v>0.8</v>
      </c>
      <c r="X166" s="123">
        <f t="shared" si="52"/>
        <v>0.8</v>
      </c>
      <c r="Y166" s="123">
        <f t="shared" si="52"/>
        <v>0.8</v>
      </c>
      <c r="Z166" s="123">
        <f t="shared" si="52"/>
        <v>0.8</v>
      </c>
      <c r="AA166" s="123">
        <f t="shared" si="52"/>
        <v>0.8</v>
      </c>
      <c r="AB166" s="123">
        <f t="shared" si="52"/>
        <v>0.8</v>
      </c>
      <c r="AC166" s="123">
        <f t="shared" si="52"/>
        <v>0.8</v>
      </c>
      <c r="AD166" s="123">
        <f t="shared" si="52"/>
        <v>0.8</v>
      </c>
      <c r="AE166" s="123">
        <f t="shared" si="52"/>
        <v>0.8</v>
      </c>
      <c r="AF166" s="123">
        <f t="shared" si="52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50"/>
        <v>1.5</v>
      </c>
      <c r="C167" s="124">
        <v>1.5</v>
      </c>
      <c r="D167" s="123">
        <f t="shared" si="51"/>
        <v>1.5</v>
      </c>
      <c r="E167" s="123">
        <f t="shared" si="51"/>
        <v>1.5</v>
      </c>
      <c r="F167" s="123">
        <f t="shared" si="51"/>
        <v>1.5</v>
      </c>
      <c r="G167" s="123">
        <f t="shared" si="51"/>
        <v>1.5</v>
      </c>
      <c r="H167" s="123">
        <f t="shared" si="51"/>
        <v>1.5</v>
      </c>
      <c r="I167" s="123">
        <f t="shared" si="51"/>
        <v>1.5</v>
      </c>
      <c r="J167" s="123">
        <f t="shared" si="51"/>
        <v>1.5</v>
      </c>
      <c r="K167" s="123">
        <f t="shared" si="51"/>
        <v>1.5</v>
      </c>
      <c r="L167" s="123">
        <f t="shared" si="51"/>
        <v>1.5</v>
      </c>
      <c r="M167" s="123">
        <f t="shared" si="51"/>
        <v>1.5</v>
      </c>
      <c r="N167" s="123">
        <f t="shared" si="51"/>
        <v>1.5</v>
      </c>
      <c r="O167" s="123">
        <f t="shared" si="51"/>
        <v>1.5</v>
      </c>
      <c r="P167" s="123">
        <f t="shared" si="51"/>
        <v>1.5</v>
      </c>
      <c r="Q167" s="123">
        <f t="shared" si="51"/>
        <v>1.5</v>
      </c>
      <c r="R167" s="123">
        <f t="shared" si="51"/>
        <v>1.5</v>
      </c>
      <c r="S167" s="123">
        <f t="shared" si="52"/>
        <v>1.5</v>
      </c>
      <c r="T167" s="123">
        <f t="shared" si="52"/>
        <v>1.5</v>
      </c>
      <c r="U167" s="123">
        <f t="shared" si="52"/>
        <v>1.5</v>
      </c>
      <c r="V167" s="123">
        <f t="shared" si="52"/>
        <v>1.5</v>
      </c>
      <c r="W167" s="123">
        <f t="shared" si="52"/>
        <v>1.5</v>
      </c>
      <c r="X167" s="123">
        <f t="shared" si="52"/>
        <v>1.5</v>
      </c>
      <c r="Y167" s="123">
        <f t="shared" si="52"/>
        <v>1.5</v>
      </c>
      <c r="Z167" s="123">
        <f t="shared" si="52"/>
        <v>1.5</v>
      </c>
      <c r="AA167" s="123">
        <f t="shared" si="52"/>
        <v>1.5</v>
      </c>
      <c r="AB167" s="123">
        <f t="shared" si="52"/>
        <v>1.5</v>
      </c>
      <c r="AC167" s="123">
        <f t="shared" si="52"/>
        <v>1.5</v>
      </c>
      <c r="AD167" s="123">
        <f t="shared" si="52"/>
        <v>1.5</v>
      </c>
      <c r="AE167" s="123">
        <f t="shared" si="52"/>
        <v>1.5</v>
      </c>
      <c r="AF167" s="123">
        <f t="shared" si="52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50"/>
        <v>1</v>
      </c>
      <c r="C168" s="124">
        <v>1</v>
      </c>
      <c r="D168" s="123">
        <f t="shared" si="51"/>
        <v>1</v>
      </c>
      <c r="E168" s="123">
        <f t="shared" si="51"/>
        <v>1</v>
      </c>
      <c r="F168" s="123">
        <f t="shared" si="51"/>
        <v>1</v>
      </c>
      <c r="G168" s="123">
        <f t="shared" si="51"/>
        <v>1</v>
      </c>
      <c r="H168" s="123">
        <f t="shared" si="51"/>
        <v>1</v>
      </c>
      <c r="I168" s="123">
        <f t="shared" si="51"/>
        <v>1</v>
      </c>
      <c r="J168" s="123">
        <f t="shared" si="51"/>
        <v>1</v>
      </c>
      <c r="K168" s="123">
        <f t="shared" si="51"/>
        <v>1</v>
      </c>
      <c r="L168" s="123">
        <f t="shared" si="51"/>
        <v>1</v>
      </c>
      <c r="M168" s="123">
        <f t="shared" si="51"/>
        <v>1</v>
      </c>
      <c r="N168" s="123">
        <f t="shared" si="51"/>
        <v>1</v>
      </c>
      <c r="O168" s="123">
        <f t="shared" si="51"/>
        <v>1</v>
      </c>
      <c r="P168" s="123">
        <f t="shared" si="51"/>
        <v>1</v>
      </c>
      <c r="Q168" s="123">
        <f t="shared" si="51"/>
        <v>1</v>
      </c>
      <c r="R168" s="123">
        <f t="shared" si="51"/>
        <v>1</v>
      </c>
      <c r="S168" s="123">
        <f t="shared" si="52"/>
        <v>1</v>
      </c>
      <c r="T168" s="123">
        <f t="shared" si="52"/>
        <v>1</v>
      </c>
      <c r="U168" s="123">
        <f t="shared" si="52"/>
        <v>1</v>
      </c>
      <c r="V168" s="123">
        <f t="shared" si="52"/>
        <v>1</v>
      </c>
      <c r="W168" s="123">
        <f t="shared" si="52"/>
        <v>1</v>
      </c>
      <c r="X168" s="123">
        <f t="shared" si="52"/>
        <v>1</v>
      </c>
      <c r="Y168" s="123">
        <f t="shared" si="52"/>
        <v>1</v>
      </c>
      <c r="Z168" s="123">
        <f t="shared" si="52"/>
        <v>1</v>
      </c>
      <c r="AA168" s="123">
        <f t="shared" si="52"/>
        <v>1</v>
      </c>
      <c r="AB168" s="123">
        <f t="shared" si="52"/>
        <v>1</v>
      </c>
      <c r="AC168" s="123">
        <f t="shared" si="52"/>
        <v>1</v>
      </c>
      <c r="AD168" s="123">
        <f t="shared" si="52"/>
        <v>1</v>
      </c>
      <c r="AE168" s="123">
        <f t="shared" si="52"/>
        <v>1</v>
      </c>
      <c r="AF168" s="123">
        <f t="shared" si="52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3">AF170</f>
        <v>1</v>
      </c>
      <c r="C170" s="124">
        <v>1</v>
      </c>
      <c r="D170" s="123">
        <f t="shared" ref="D170:S177" si="54">C170</f>
        <v>1</v>
      </c>
      <c r="E170" s="123">
        <f t="shared" si="54"/>
        <v>1</v>
      </c>
      <c r="F170" s="123">
        <f t="shared" si="54"/>
        <v>1</v>
      </c>
      <c r="G170" s="123">
        <f t="shared" si="54"/>
        <v>1</v>
      </c>
      <c r="H170" s="123">
        <f t="shared" si="54"/>
        <v>1</v>
      </c>
      <c r="I170" s="123">
        <f t="shared" si="54"/>
        <v>1</v>
      </c>
      <c r="J170" s="123">
        <f t="shared" si="54"/>
        <v>1</v>
      </c>
      <c r="K170" s="123">
        <f t="shared" si="54"/>
        <v>1</v>
      </c>
      <c r="L170" s="123">
        <f t="shared" si="54"/>
        <v>1</v>
      </c>
      <c r="M170" s="123">
        <f t="shared" si="54"/>
        <v>1</v>
      </c>
      <c r="N170" s="123">
        <f t="shared" si="54"/>
        <v>1</v>
      </c>
      <c r="O170" s="123">
        <f t="shared" si="54"/>
        <v>1</v>
      </c>
      <c r="P170" s="123">
        <f t="shared" si="54"/>
        <v>1</v>
      </c>
      <c r="Q170" s="123">
        <f t="shared" si="54"/>
        <v>1</v>
      </c>
      <c r="R170" s="123">
        <f t="shared" si="54"/>
        <v>1</v>
      </c>
      <c r="S170" s="123">
        <f t="shared" si="54"/>
        <v>1</v>
      </c>
      <c r="T170" s="123">
        <f t="shared" ref="S170:AF177" si="55">S170</f>
        <v>1</v>
      </c>
      <c r="U170" s="123">
        <f t="shared" si="55"/>
        <v>1</v>
      </c>
      <c r="V170" s="123">
        <f t="shared" si="55"/>
        <v>1</v>
      </c>
      <c r="W170" s="123">
        <f t="shared" si="55"/>
        <v>1</v>
      </c>
      <c r="X170" s="123">
        <f t="shared" si="55"/>
        <v>1</v>
      </c>
      <c r="Y170" s="123">
        <f t="shared" si="55"/>
        <v>1</v>
      </c>
      <c r="Z170" s="123">
        <f t="shared" si="55"/>
        <v>1</v>
      </c>
      <c r="AA170" s="123">
        <f t="shared" si="55"/>
        <v>1</v>
      </c>
      <c r="AB170" s="123">
        <f t="shared" si="55"/>
        <v>1</v>
      </c>
      <c r="AC170" s="123">
        <f t="shared" si="55"/>
        <v>1</v>
      </c>
      <c r="AD170" s="123">
        <f t="shared" si="55"/>
        <v>1</v>
      </c>
      <c r="AE170" s="123">
        <f t="shared" si="55"/>
        <v>1</v>
      </c>
      <c r="AF170" s="123">
        <f t="shared" si="55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3"/>
        <v>0.42</v>
      </c>
      <c r="C171" s="124">
        <v>0.42</v>
      </c>
      <c r="D171" s="123">
        <f t="shared" si="54"/>
        <v>0.42</v>
      </c>
      <c r="E171" s="123">
        <f t="shared" si="54"/>
        <v>0.42</v>
      </c>
      <c r="F171" s="123">
        <f t="shared" si="54"/>
        <v>0.42</v>
      </c>
      <c r="G171" s="123">
        <f t="shared" si="54"/>
        <v>0.42</v>
      </c>
      <c r="H171" s="123">
        <f t="shared" si="54"/>
        <v>0.42</v>
      </c>
      <c r="I171" s="123">
        <f t="shared" si="54"/>
        <v>0.42</v>
      </c>
      <c r="J171" s="123">
        <f t="shared" si="54"/>
        <v>0.42</v>
      </c>
      <c r="K171" s="123">
        <f t="shared" si="54"/>
        <v>0.42</v>
      </c>
      <c r="L171" s="123">
        <f t="shared" si="54"/>
        <v>0.42</v>
      </c>
      <c r="M171" s="123">
        <f t="shared" si="54"/>
        <v>0.42</v>
      </c>
      <c r="N171" s="123">
        <f t="shared" si="54"/>
        <v>0.42</v>
      </c>
      <c r="O171" s="123">
        <f t="shared" si="54"/>
        <v>0.42</v>
      </c>
      <c r="P171" s="123">
        <f t="shared" si="54"/>
        <v>0.42</v>
      </c>
      <c r="Q171" s="123">
        <f t="shared" si="54"/>
        <v>0.42</v>
      </c>
      <c r="R171" s="123">
        <f t="shared" si="54"/>
        <v>0.42</v>
      </c>
      <c r="S171" s="123">
        <f t="shared" si="55"/>
        <v>0.42</v>
      </c>
      <c r="T171" s="123">
        <f t="shared" si="55"/>
        <v>0.42</v>
      </c>
      <c r="U171" s="123">
        <f t="shared" si="55"/>
        <v>0.42</v>
      </c>
      <c r="V171" s="123">
        <f t="shared" si="55"/>
        <v>0.42</v>
      </c>
      <c r="W171" s="123">
        <f t="shared" si="55"/>
        <v>0.42</v>
      </c>
      <c r="X171" s="123">
        <f t="shared" si="55"/>
        <v>0.42</v>
      </c>
      <c r="Y171" s="123">
        <f t="shared" si="55"/>
        <v>0.42</v>
      </c>
      <c r="Z171" s="123">
        <f t="shared" si="55"/>
        <v>0.42</v>
      </c>
      <c r="AA171" s="123">
        <f t="shared" si="55"/>
        <v>0.42</v>
      </c>
      <c r="AB171" s="123">
        <f t="shared" si="55"/>
        <v>0.42</v>
      </c>
      <c r="AC171" s="123">
        <f t="shared" si="55"/>
        <v>0.42</v>
      </c>
      <c r="AD171" s="123">
        <f t="shared" si="55"/>
        <v>0.42</v>
      </c>
      <c r="AE171" s="123">
        <f t="shared" si="55"/>
        <v>0.42</v>
      </c>
      <c r="AF171" s="123">
        <f t="shared" si="55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3"/>
        <v>0.46</v>
      </c>
      <c r="C172" s="124">
        <v>0.46</v>
      </c>
      <c r="D172" s="123">
        <f t="shared" si="54"/>
        <v>0.46</v>
      </c>
      <c r="E172" s="123">
        <f t="shared" si="54"/>
        <v>0.46</v>
      </c>
      <c r="F172" s="123">
        <f t="shared" si="54"/>
        <v>0.46</v>
      </c>
      <c r="G172" s="123">
        <f t="shared" si="54"/>
        <v>0.46</v>
      </c>
      <c r="H172" s="123">
        <f t="shared" si="54"/>
        <v>0.46</v>
      </c>
      <c r="I172" s="123">
        <f t="shared" si="54"/>
        <v>0.46</v>
      </c>
      <c r="J172" s="123">
        <f t="shared" si="54"/>
        <v>0.46</v>
      </c>
      <c r="K172" s="123">
        <f t="shared" si="54"/>
        <v>0.46</v>
      </c>
      <c r="L172" s="123">
        <f t="shared" si="54"/>
        <v>0.46</v>
      </c>
      <c r="M172" s="123">
        <f t="shared" si="54"/>
        <v>0.46</v>
      </c>
      <c r="N172" s="123">
        <f t="shared" si="54"/>
        <v>0.46</v>
      </c>
      <c r="O172" s="123">
        <f t="shared" si="54"/>
        <v>0.46</v>
      </c>
      <c r="P172" s="123">
        <f t="shared" si="54"/>
        <v>0.46</v>
      </c>
      <c r="Q172" s="123">
        <f t="shared" si="54"/>
        <v>0.46</v>
      </c>
      <c r="R172" s="123">
        <f t="shared" si="54"/>
        <v>0.46</v>
      </c>
      <c r="S172" s="123">
        <f t="shared" si="55"/>
        <v>0.46</v>
      </c>
      <c r="T172" s="123">
        <f t="shared" si="55"/>
        <v>0.46</v>
      </c>
      <c r="U172" s="123">
        <f t="shared" si="55"/>
        <v>0.46</v>
      </c>
      <c r="V172" s="123">
        <f t="shared" si="55"/>
        <v>0.46</v>
      </c>
      <c r="W172" s="123">
        <f t="shared" si="55"/>
        <v>0.46</v>
      </c>
      <c r="X172" s="123">
        <f t="shared" si="55"/>
        <v>0.46</v>
      </c>
      <c r="Y172" s="123">
        <f t="shared" si="55"/>
        <v>0.46</v>
      </c>
      <c r="Z172" s="123">
        <f t="shared" si="55"/>
        <v>0.46</v>
      </c>
      <c r="AA172" s="123">
        <f t="shared" si="55"/>
        <v>0.46</v>
      </c>
      <c r="AB172" s="123">
        <f t="shared" si="55"/>
        <v>0.46</v>
      </c>
      <c r="AC172" s="123">
        <f t="shared" si="55"/>
        <v>0.46</v>
      </c>
      <c r="AD172" s="123">
        <f t="shared" si="55"/>
        <v>0.46</v>
      </c>
      <c r="AE172" s="123">
        <f t="shared" si="55"/>
        <v>0.46</v>
      </c>
      <c r="AF172" s="123">
        <f t="shared" si="55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3"/>
        <v>0.85</v>
      </c>
      <c r="C173" s="124">
        <v>0.85</v>
      </c>
      <c r="D173" s="123">
        <f t="shared" si="54"/>
        <v>0.85</v>
      </c>
      <c r="E173" s="123">
        <f t="shared" si="54"/>
        <v>0.85</v>
      </c>
      <c r="F173" s="123">
        <f t="shared" si="54"/>
        <v>0.85</v>
      </c>
      <c r="G173" s="123">
        <f t="shared" si="54"/>
        <v>0.85</v>
      </c>
      <c r="H173" s="123">
        <f t="shared" si="54"/>
        <v>0.85</v>
      </c>
      <c r="I173" s="123">
        <f t="shared" si="54"/>
        <v>0.85</v>
      </c>
      <c r="J173" s="123">
        <f t="shared" si="54"/>
        <v>0.85</v>
      </c>
      <c r="K173" s="123">
        <f t="shared" si="54"/>
        <v>0.85</v>
      </c>
      <c r="L173" s="123">
        <f t="shared" si="54"/>
        <v>0.85</v>
      </c>
      <c r="M173" s="123">
        <f t="shared" si="54"/>
        <v>0.85</v>
      </c>
      <c r="N173" s="123">
        <f t="shared" si="54"/>
        <v>0.85</v>
      </c>
      <c r="O173" s="123">
        <f t="shared" si="54"/>
        <v>0.85</v>
      </c>
      <c r="P173" s="123">
        <f t="shared" si="54"/>
        <v>0.85</v>
      </c>
      <c r="Q173" s="123">
        <f t="shared" si="54"/>
        <v>0.85</v>
      </c>
      <c r="R173" s="123">
        <f t="shared" si="54"/>
        <v>0.85</v>
      </c>
      <c r="S173" s="123">
        <f t="shared" si="55"/>
        <v>0.85</v>
      </c>
      <c r="T173" s="123">
        <f t="shared" si="55"/>
        <v>0.85</v>
      </c>
      <c r="U173" s="123">
        <f t="shared" si="55"/>
        <v>0.85</v>
      </c>
      <c r="V173" s="123">
        <f t="shared" si="55"/>
        <v>0.85</v>
      </c>
      <c r="W173" s="123">
        <f t="shared" si="55"/>
        <v>0.85</v>
      </c>
      <c r="X173" s="123">
        <f t="shared" si="55"/>
        <v>0.85</v>
      </c>
      <c r="Y173" s="123">
        <f t="shared" si="55"/>
        <v>0.85</v>
      </c>
      <c r="Z173" s="123">
        <f t="shared" si="55"/>
        <v>0.85</v>
      </c>
      <c r="AA173" s="123">
        <f t="shared" si="55"/>
        <v>0.85</v>
      </c>
      <c r="AB173" s="123">
        <f t="shared" si="55"/>
        <v>0.85</v>
      </c>
      <c r="AC173" s="123">
        <f t="shared" si="55"/>
        <v>0.85</v>
      </c>
      <c r="AD173" s="123">
        <f t="shared" si="55"/>
        <v>0.85</v>
      </c>
      <c r="AE173" s="123">
        <f t="shared" si="55"/>
        <v>0.85</v>
      </c>
      <c r="AF173" s="123">
        <f t="shared" si="55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3"/>
        <v>0.9</v>
      </c>
      <c r="C174" s="124">
        <v>0.9</v>
      </c>
      <c r="D174" s="123">
        <f t="shared" si="54"/>
        <v>0.9</v>
      </c>
      <c r="E174" s="123">
        <f t="shared" si="54"/>
        <v>0.9</v>
      </c>
      <c r="F174" s="123">
        <f t="shared" si="54"/>
        <v>0.9</v>
      </c>
      <c r="G174" s="123">
        <f t="shared" si="54"/>
        <v>0.9</v>
      </c>
      <c r="H174" s="123">
        <f t="shared" si="54"/>
        <v>0.9</v>
      </c>
      <c r="I174" s="123">
        <f t="shared" si="54"/>
        <v>0.9</v>
      </c>
      <c r="J174" s="123">
        <f t="shared" si="54"/>
        <v>0.9</v>
      </c>
      <c r="K174" s="123">
        <f t="shared" si="54"/>
        <v>0.9</v>
      </c>
      <c r="L174" s="123">
        <f t="shared" si="54"/>
        <v>0.9</v>
      </c>
      <c r="M174" s="123">
        <f t="shared" si="54"/>
        <v>0.9</v>
      </c>
      <c r="N174" s="123">
        <f t="shared" si="54"/>
        <v>0.9</v>
      </c>
      <c r="O174" s="123">
        <f t="shared" si="54"/>
        <v>0.9</v>
      </c>
      <c r="P174" s="123">
        <f t="shared" si="54"/>
        <v>0.9</v>
      </c>
      <c r="Q174" s="123">
        <f t="shared" si="54"/>
        <v>0.9</v>
      </c>
      <c r="R174" s="123">
        <f t="shared" si="54"/>
        <v>0.9</v>
      </c>
      <c r="S174" s="123">
        <f t="shared" si="55"/>
        <v>0.9</v>
      </c>
      <c r="T174" s="123">
        <f t="shared" si="55"/>
        <v>0.9</v>
      </c>
      <c r="U174" s="123">
        <f t="shared" si="55"/>
        <v>0.9</v>
      </c>
      <c r="V174" s="123">
        <f t="shared" si="55"/>
        <v>0.9</v>
      </c>
      <c r="W174" s="123">
        <f t="shared" si="55"/>
        <v>0.9</v>
      </c>
      <c r="X174" s="123">
        <f t="shared" si="55"/>
        <v>0.9</v>
      </c>
      <c r="Y174" s="123">
        <f t="shared" si="55"/>
        <v>0.9</v>
      </c>
      <c r="Z174" s="123">
        <f t="shared" si="55"/>
        <v>0.9</v>
      </c>
      <c r="AA174" s="123">
        <f t="shared" si="55"/>
        <v>0.9</v>
      </c>
      <c r="AB174" s="123">
        <f t="shared" si="55"/>
        <v>0.9</v>
      </c>
      <c r="AC174" s="123">
        <f t="shared" si="55"/>
        <v>0.9</v>
      </c>
      <c r="AD174" s="123">
        <f t="shared" si="55"/>
        <v>0.9</v>
      </c>
      <c r="AE174" s="123">
        <f t="shared" si="55"/>
        <v>0.9</v>
      </c>
      <c r="AF174" s="123">
        <f t="shared" si="55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3"/>
        <v>0.44</v>
      </c>
      <c r="C175" s="124">
        <v>0.44</v>
      </c>
      <c r="D175" s="123">
        <f t="shared" si="54"/>
        <v>0.44</v>
      </c>
      <c r="E175" s="123">
        <f t="shared" si="54"/>
        <v>0.44</v>
      </c>
      <c r="F175" s="123">
        <f t="shared" si="54"/>
        <v>0.44</v>
      </c>
      <c r="G175" s="123">
        <f t="shared" si="54"/>
        <v>0.44</v>
      </c>
      <c r="H175" s="123">
        <f t="shared" si="54"/>
        <v>0.44</v>
      </c>
      <c r="I175" s="123">
        <f t="shared" si="54"/>
        <v>0.44</v>
      </c>
      <c r="J175" s="123">
        <f t="shared" si="54"/>
        <v>0.44</v>
      </c>
      <c r="K175" s="123">
        <f t="shared" si="54"/>
        <v>0.44</v>
      </c>
      <c r="L175" s="123">
        <f t="shared" si="54"/>
        <v>0.44</v>
      </c>
      <c r="M175" s="123">
        <f t="shared" si="54"/>
        <v>0.44</v>
      </c>
      <c r="N175" s="123">
        <f t="shared" si="54"/>
        <v>0.44</v>
      </c>
      <c r="O175" s="123">
        <f t="shared" si="54"/>
        <v>0.44</v>
      </c>
      <c r="P175" s="123">
        <f t="shared" si="54"/>
        <v>0.44</v>
      </c>
      <c r="Q175" s="123">
        <f t="shared" si="54"/>
        <v>0.44</v>
      </c>
      <c r="R175" s="123">
        <f t="shared" si="54"/>
        <v>0.44</v>
      </c>
      <c r="S175" s="123">
        <f t="shared" si="55"/>
        <v>0.44</v>
      </c>
      <c r="T175" s="123">
        <f t="shared" si="55"/>
        <v>0.44</v>
      </c>
      <c r="U175" s="123">
        <f t="shared" si="55"/>
        <v>0.44</v>
      </c>
      <c r="V175" s="123">
        <f t="shared" si="55"/>
        <v>0.44</v>
      </c>
      <c r="W175" s="123">
        <f t="shared" si="55"/>
        <v>0.44</v>
      </c>
      <c r="X175" s="123">
        <f t="shared" si="55"/>
        <v>0.44</v>
      </c>
      <c r="Y175" s="123">
        <f t="shared" si="55"/>
        <v>0.44</v>
      </c>
      <c r="Z175" s="123">
        <f t="shared" si="55"/>
        <v>0.44</v>
      </c>
      <c r="AA175" s="123">
        <f t="shared" si="55"/>
        <v>0.44</v>
      </c>
      <c r="AB175" s="123">
        <f t="shared" si="55"/>
        <v>0.44</v>
      </c>
      <c r="AC175" s="123">
        <f t="shared" si="55"/>
        <v>0.44</v>
      </c>
      <c r="AD175" s="123">
        <f t="shared" si="55"/>
        <v>0.44</v>
      </c>
      <c r="AE175" s="123">
        <f t="shared" si="55"/>
        <v>0.44</v>
      </c>
      <c r="AF175" s="123">
        <f t="shared" si="55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3"/>
        <v>2.1</v>
      </c>
      <c r="C176" s="124">
        <v>2.1</v>
      </c>
      <c r="D176" s="123">
        <f t="shared" si="54"/>
        <v>2.1</v>
      </c>
      <c r="E176" s="123">
        <f t="shared" si="54"/>
        <v>2.1</v>
      </c>
      <c r="F176" s="123">
        <f t="shared" si="54"/>
        <v>2.1</v>
      </c>
      <c r="G176" s="123">
        <f t="shared" si="54"/>
        <v>2.1</v>
      </c>
      <c r="H176" s="123">
        <f t="shared" si="54"/>
        <v>2.1</v>
      </c>
      <c r="I176" s="123">
        <f t="shared" si="54"/>
        <v>2.1</v>
      </c>
      <c r="J176" s="123">
        <f t="shared" si="54"/>
        <v>2.1</v>
      </c>
      <c r="K176" s="123">
        <f t="shared" si="54"/>
        <v>2.1</v>
      </c>
      <c r="L176" s="123">
        <f t="shared" si="54"/>
        <v>2.1</v>
      </c>
      <c r="M176" s="123">
        <f t="shared" si="54"/>
        <v>2.1</v>
      </c>
      <c r="N176" s="123">
        <f t="shared" si="54"/>
        <v>2.1</v>
      </c>
      <c r="O176" s="123">
        <f t="shared" si="54"/>
        <v>2.1</v>
      </c>
      <c r="P176" s="123">
        <f t="shared" si="54"/>
        <v>2.1</v>
      </c>
      <c r="Q176" s="123">
        <f t="shared" si="54"/>
        <v>2.1</v>
      </c>
      <c r="R176" s="123">
        <f t="shared" si="54"/>
        <v>2.1</v>
      </c>
      <c r="S176" s="123">
        <f t="shared" si="55"/>
        <v>2.1</v>
      </c>
      <c r="T176" s="123">
        <f t="shared" si="55"/>
        <v>2.1</v>
      </c>
      <c r="U176" s="123">
        <f t="shared" si="55"/>
        <v>2.1</v>
      </c>
      <c r="V176" s="123">
        <f t="shared" si="55"/>
        <v>2.1</v>
      </c>
      <c r="W176" s="123">
        <f t="shared" si="55"/>
        <v>2.1</v>
      </c>
      <c r="X176" s="123">
        <f t="shared" si="55"/>
        <v>2.1</v>
      </c>
      <c r="Y176" s="123">
        <f t="shared" si="55"/>
        <v>2.1</v>
      </c>
      <c r="Z176" s="123">
        <f t="shared" si="55"/>
        <v>2.1</v>
      </c>
      <c r="AA176" s="123">
        <f t="shared" si="55"/>
        <v>2.1</v>
      </c>
      <c r="AB176" s="123">
        <f t="shared" si="55"/>
        <v>2.1</v>
      </c>
      <c r="AC176" s="123">
        <f t="shared" si="55"/>
        <v>2.1</v>
      </c>
      <c r="AD176" s="123">
        <f t="shared" si="55"/>
        <v>2.1</v>
      </c>
      <c r="AE176" s="123">
        <f t="shared" si="55"/>
        <v>2.1</v>
      </c>
      <c r="AF176" s="123">
        <f t="shared" si="55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3"/>
        <v>0.9</v>
      </c>
      <c r="C177" s="124">
        <v>0.9</v>
      </c>
      <c r="D177" s="123">
        <f t="shared" si="54"/>
        <v>0.9</v>
      </c>
      <c r="E177" s="123">
        <f t="shared" si="54"/>
        <v>0.9</v>
      </c>
      <c r="F177" s="123">
        <f t="shared" si="54"/>
        <v>0.9</v>
      </c>
      <c r="G177" s="123">
        <f t="shared" si="54"/>
        <v>0.9</v>
      </c>
      <c r="H177" s="123">
        <f t="shared" si="54"/>
        <v>0.9</v>
      </c>
      <c r="I177" s="123">
        <f t="shared" si="54"/>
        <v>0.9</v>
      </c>
      <c r="J177" s="123">
        <f t="shared" si="54"/>
        <v>0.9</v>
      </c>
      <c r="K177" s="123">
        <f t="shared" si="54"/>
        <v>0.9</v>
      </c>
      <c r="L177" s="123">
        <f t="shared" si="54"/>
        <v>0.9</v>
      </c>
      <c r="M177" s="123">
        <f t="shared" si="54"/>
        <v>0.9</v>
      </c>
      <c r="N177" s="123">
        <f t="shared" si="54"/>
        <v>0.9</v>
      </c>
      <c r="O177" s="123">
        <f t="shared" si="54"/>
        <v>0.9</v>
      </c>
      <c r="P177" s="123">
        <f t="shared" si="54"/>
        <v>0.9</v>
      </c>
      <c r="Q177" s="123">
        <f t="shared" si="54"/>
        <v>0.9</v>
      </c>
      <c r="R177" s="123">
        <f t="shared" si="54"/>
        <v>0.9</v>
      </c>
      <c r="S177" s="123">
        <f t="shared" si="55"/>
        <v>0.9</v>
      </c>
      <c r="T177" s="123">
        <f t="shared" si="55"/>
        <v>0.9</v>
      </c>
      <c r="U177" s="123">
        <f t="shared" si="55"/>
        <v>0.9</v>
      </c>
      <c r="V177" s="123">
        <f t="shared" si="55"/>
        <v>0.9</v>
      </c>
      <c r="W177" s="123">
        <f t="shared" si="55"/>
        <v>0.9</v>
      </c>
      <c r="X177" s="123">
        <f t="shared" si="55"/>
        <v>0.9</v>
      </c>
      <c r="Y177" s="123">
        <f t="shared" si="55"/>
        <v>0.9</v>
      </c>
      <c r="Z177" s="123">
        <f t="shared" si="55"/>
        <v>0.9</v>
      </c>
      <c r="AA177" s="123">
        <f t="shared" si="55"/>
        <v>0.9</v>
      </c>
      <c r="AB177" s="123">
        <f t="shared" si="55"/>
        <v>0.9</v>
      </c>
      <c r="AC177" s="123">
        <f t="shared" si="55"/>
        <v>0.9</v>
      </c>
      <c r="AD177" s="123">
        <f t="shared" si="55"/>
        <v>0.9</v>
      </c>
      <c r="AE177" s="123">
        <f t="shared" si="55"/>
        <v>0.9</v>
      </c>
      <c r="AF177" s="123">
        <f t="shared" si="55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6">AF179</f>
        <v>0.57999999999999996</v>
      </c>
      <c r="C179" s="124">
        <v>0.57999999999999996</v>
      </c>
      <c r="D179" s="123">
        <f t="shared" ref="D179:S191" si="57">C179</f>
        <v>0.57999999999999996</v>
      </c>
      <c r="E179" s="123">
        <f t="shared" si="57"/>
        <v>0.57999999999999996</v>
      </c>
      <c r="F179" s="123">
        <f t="shared" si="57"/>
        <v>0.57999999999999996</v>
      </c>
      <c r="G179" s="123">
        <f t="shared" si="57"/>
        <v>0.57999999999999996</v>
      </c>
      <c r="H179" s="123">
        <f t="shared" si="57"/>
        <v>0.57999999999999996</v>
      </c>
      <c r="I179" s="123">
        <f t="shared" si="57"/>
        <v>0.57999999999999996</v>
      </c>
      <c r="J179" s="123">
        <f t="shared" si="57"/>
        <v>0.57999999999999996</v>
      </c>
      <c r="K179" s="123">
        <f t="shared" si="57"/>
        <v>0.57999999999999996</v>
      </c>
      <c r="L179" s="123">
        <f t="shared" si="57"/>
        <v>0.57999999999999996</v>
      </c>
      <c r="M179" s="123">
        <f t="shared" si="57"/>
        <v>0.57999999999999996</v>
      </c>
      <c r="N179" s="123">
        <f t="shared" si="57"/>
        <v>0.57999999999999996</v>
      </c>
      <c r="O179" s="123">
        <f t="shared" si="57"/>
        <v>0.57999999999999996</v>
      </c>
      <c r="P179" s="123">
        <f t="shared" si="57"/>
        <v>0.57999999999999996</v>
      </c>
      <c r="Q179" s="123">
        <f t="shared" si="57"/>
        <v>0.57999999999999996</v>
      </c>
      <c r="R179" s="123">
        <f t="shared" si="57"/>
        <v>0.57999999999999996</v>
      </c>
      <c r="S179" s="123">
        <f t="shared" si="57"/>
        <v>0.57999999999999996</v>
      </c>
      <c r="T179" s="123">
        <f t="shared" ref="S179:AF191" si="58">S179</f>
        <v>0.57999999999999996</v>
      </c>
      <c r="U179" s="123">
        <f t="shared" si="58"/>
        <v>0.57999999999999996</v>
      </c>
      <c r="V179" s="123">
        <f t="shared" si="58"/>
        <v>0.57999999999999996</v>
      </c>
      <c r="W179" s="123">
        <f t="shared" si="58"/>
        <v>0.57999999999999996</v>
      </c>
      <c r="X179" s="123">
        <f t="shared" si="58"/>
        <v>0.57999999999999996</v>
      </c>
      <c r="Y179" s="123">
        <f t="shared" si="58"/>
        <v>0.57999999999999996</v>
      </c>
      <c r="Z179" s="123">
        <f t="shared" si="58"/>
        <v>0.57999999999999996</v>
      </c>
      <c r="AA179" s="123">
        <f t="shared" si="58"/>
        <v>0.57999999999999996</v>
      </c>
      <c r="AB179" s="123">
        <f t="shared" si="58"/>
        <v>0.57999999999999996</v>
      </c>
      <c r="AC179" s="123">
        <f t="shared" si="58"/>
        <v>0.57999999999999996</v>
      </c>
      <c r="AD179" s="123">
        <f t="shared" si="58"/>
        <v>0.57999999999999996</v>
      </c>
      <c r="AE179" s="123">
        <f t="shared" si="58"/>
        <v>0.57999999999999996</v>
      </c>
      <c r="AF179" s="123">
        <f t="shared" si="58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6"/>
        <v>0.8</v>
      </c>
      <c r="C180" s="124">
        <v>0.8</v>
      </c>
      <c r="D180" s="123">
        <f t="shared" si="57"/>
        <v>0.8</v>
      </c>
      <c r="E180" s="123">
        <f t="shared" si="57"/>
        <v>0.8</v>
      </c>
      <c r="F180" s="123">
        <f t="shared" si="57"/>
        <v>0.8</v>
      </c>
      <c r="G180" s="123">
        <f t="shared" si="57"/>
        <v>0.8</v>
      </c>
      <c r="H180" s="123">
        <f t="shared" si="57"/>
        <v>0.8</v>
      </c>
      <c r="I180" s="123">
        <f t="shared" si="57"/>
        <v>0.8</v>
      </c>
      <c r="J180" s="123">
        <f t="shared" si="57"/>
        <v>0.8</v>
      </c>
      <c r="K180" s="123">
        <f t="shared" si="57"/>
        <v>0.8</v>
      </c>
      <c r="L180" s="123">
        <f t="shared" si="57"/>
        <v>0.8</v>
      </c>
      <c r="M180" s="123">
        <f t="shared" si="57"/>
        <v>0.8</v>
      </c>
      <c r="N180" s="123">
        <f t="shared" si="57"/>
        <v>0.8</v>
      </c>
      <c r="O180" s="123">
        <f t="shared" si="57"/>
        <v>0.8</v>
      </c>
      <c r="P180" s="123">
        <f t="shared" si="57"/>
        <v>0.8</v>
      </c>
      <c r="Q180" s="123">
        <f t="shared" si="57"/>
        <v>0.8</v>
      </c>
      <c r="R180" s="123">
        <f t="shared" si="57"/>
        <v>0.8</v>
      </c>
      <c r="S180" s="123">
        <f t="shared" si="57"/>
        <v>0.8</v>
      </c>
      <c r="T180" s="123">
        <f t="shared" si="58"/>
        <v>0.8</v>
      </c>
      <c r="U180" s="123">
        <f t="shared" si="58"/>
        <v>0.8</v>
      </c>
      <c r="V180" s="123">
        <f t="shared" si="58"/>
        <v>0.8</v>
      </c>
      <c r="W180" s="123">
        <f t="shared" si="58"/>
        <v>0.8</v>
      </c>
      <c r="X180" s="123">
        <f t="shared" si="58"/>
        <v>0.8</v>
      </c>
      <c r="Y180" s="123">
        <f t="shared" si="58"/>
        <v>0.8</v>
      </c>
      <c r="Z180" s="123">
        <f t="shared" si="58"/>
        <v>0.8</v>
      </c>
      <c r="AA180" s="123">
        <f t="shared" si="58"/>
        <v>0.8</v>
      </c>
      <c r="AB180" s="123">
        <f t="shared" si="58"/>
        <v>0.8</v>
      </c>
      <c r="AC180" s="123">
        <f t="shared" si="58"/>
        <v>0.8</v>
      </c>
      <c r="AD180" s="123">
        <f t="shared" si="58"/>
        <v>0.8</v>
      </c>
      <c r="AE180" s="123">
        <f t="shared" si="58"/>
        <v>0.8</v>
      </c>
      <c r="AF180" s="123">
        <f t="shared" si="58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6"/>
        <v>0</v>
      </c>
      <c r="C181" s="124">
        <v>0</v>
      </c>
      <c r="D181" s="123">
        <f t="shared" si="57"/>
        <v>0</v>
      </c>
      <c r="E181" s="123">
        <f t="shared" si="57"/>
        <v>0</v>
      </c>
      <c r="F181" s="123">
        <f t="shared" si="57"/>
        <v>0</v>
      </c>
      <c r="G181" s="123">
        <f t="shared" si="57"/>
        <v>0</v>
      </c>
      <c r="H181" s="123">
        <f t="shared" si="57"/>
        <v>0</v>
      </c>
      <c r="I181" s="123">
        <f t="shared" si="57"/>
        <v>0</v>
      </c>
      <c r="J181" s="123">
        <f t="shared" si="57"/>
        <v>0</v>
      </c>
      <c r="K181" s="123">
        <f t="shared" si="57"/>
        <v>0</v>
      </c>
      <c r="L181" s="123">
        <f t="shared" si="57"/>
        <v>0</v>
      </c>
      <c r="M181" s="123">
        <f t="shared" si="57"/>
        <v>0</v>
      </c>
      <c r="N181" s="123">
        <f t="shared" si="57"/>
        <v>0</v>
      </c>
      <c r="O181" s="123">
        <f t="shared" si="57"/>
        <v>0</v>
      </c>
      <c r="P181" s="123">
        <f t="shared" si="57"/>
        <v>0</v>
      </c>
      <c r="Q181" s="123">
        <f t="shared" si="57"/>
        <v>0</v>
      </c>
      <c r="R181" s="123">
        <f t="shared" si="57"/>
        <v>0</v>
      </c>
      <c r="S181" s="123">
        <f t="shared" si="57"/>
        <v>0</v>
      </c>
      <c r="T181" s="123">
        <f t="shared" si="58"/>
        <v>0</v>
      </c>
      <c r="U181" s="123">
        <f t="shared" si="58"/>
        <v>0</v>
      </c>
      <c r="V181" s="123">
        <f t="shared" si="58"/>
        <v>0</v>
      </c>
      <c r="W181" s="123">
        <f t="shared" si="58"/>
        <v>0</v>
      </c>
      <c r="X181" s="123">
        <f t="shared" si="58"/>
        <v>0</v>
      </c>
      <c r="Y181" s="123">
        <f t="shared" si="58"/>
        <v>0</v>
      </c>
      <c r="Z181" s="123">
        <f t="shared" si="58"/>
        <v>0</v>
      </c>
      <c r="AA181" s="123">
        <f t="shared" si="58"/>
        <v>0</v>
      </c>
      <c r="AB181" s="123">
        <f t="shared" si="58"/>
        <v>0</v>
      </c>
      <c r="AC181" s="123">
        <f t="shared" si="58"/>
        <v>0</v>
      </c>
      <c r="AD181" s="123">
        <f t="shared" si="58"/>
        <v>0</v>
      </c>
      <c r="AE181" s="123">
        <f t="shared" si="58"/>
        <v>0</v>
      </c>
      <c r="AF181" s="123">
        <f t="shared" si="58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6"/>
        <v>0.6</v>
      </c>
      <c r="C182" s="124">
        <v>0.6</v>
      </c>
      <c r="D182" s="123">
        <f t="shared" si="57"/>
        <v>0.6</v>
      </c>
      <c r="E182" s="123">
        <f t="shared" si="57"/>
        <v>0.6</v>
      </c>
      <c r="F182" s="123">
        <f t="shared" si="57"/>
        <v>0.6</v>
      </c>
      <c r="G182" s="123">
        <f t="shared" si="57"/>
        <v>0.6</v>
      </c>
      <c r="H182" s="123">
        <f t="shared" si="57"/>
        <v>0.6</v>
      </c>
      <c r="I182" s="123">
        <f t="shared" si="57"/>
        <v>0.6</v>
      </c>
      <c r="J182" s="123">
        <f t="shared" si="57"/>
        <v>0.6</v>
      </c>
      <c r="K182" s="123">
        <f t="shared" si="57"/>
        <v>0.6</v>
      </c>
      <c r="L182" s="123">
        <f t="shared" si="57"/>
        <v>0.6</v>
      </c>
      <c r="M182" s="123">
        <f t="shared" si="57"/>
        <v>0.6</v>
      </c>
      <c r="N182" s="123">
        <f t="shared" si="57"/>
        <v>0.6</v>
      </c>
      <c r="O182" s="123">
        <f t="shared" si="57"/>
        <v>0.6</v>
      </c>
      <c r="P182" s="123">
        <f t="shared" si="57"/>
        <v>0.6</v>
      </c>
      <c r="Q182" s="123">
        <f t="shared" si="57"/>
        <v>0.6</v>
      </c>
      <c r="R182" s="123">
        <f t="shared" si="57"/>
        <v>0.6</v>
      </c>
      <c r="S182" s="123">
        <f t="shared" si="57"/>
        <v>0.6</v>
      </c>
      <c r="T182" s="123">
        <f t="shared" si="58"/>
        <v>0.6</v>
      </c>
      <c r="U182" s="123">
        <f t="shared" si="58"/>
        <v>0.6</v>
      </c>
      <c r="V182" s="123">
        <f t="shared" si="58"/>
        <v>0.6</v>
      </c>
      <c r="W182" s="123">
        <f t="shared" si="58"/>
        <v>0.6</v>
      </c>
      <c r="X182" s="123">
        <f t="shared" si="58"/>
        <v>0.6</v>
      </c>
      <c r="Y182" s="123">
        <f t="shared" si="58"/>
        <v>0.6</v>
      </c>
      <c r="Z182" s="123">
        <f t="shared" si="58"/>
        <v>0.6</v>
      </c>
      <c r="AA182" s="123">
        <f t="shared" si="58"/>
        <v>0.6</v>
      </c>
      <c r="AB182" s="123">
        <f t="shared" si="58"/>
        <v>0.6</v>
      </c>
      <c r="AC182" s="123">
        <f t="shared" si="58"/>
        <v>0.6</v>
      </c>
      <c r="AD182" s="123">
        <f t="shared" si="58"/>
        <v>0.6</v>
      </c>
      <c r="AE182" s="123">
        <f t="shared" si="58"/>
        <v>0.6</v>
      </c>
      <c r="AF182" s="123">
        <f t="shared" si="58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6"/>
        <v>0.6</v>
      </c>
      <c r="C183" s="124">
        <v>0.6</v>
      </c>
      <c r="D183" s="123">
        <f t="shared" si="57"/>
        <v>0.6</v>
      </c>
      <c r="E183" s="123">
        <f t="shared" si="57"/>
        <v>0.6</v>
      </c>
      <c r="F183" s="123">
        <f t="shared" si="57"/>
        <v>0.6</v>
      </c>
      <c r="G183" s="123">
        <f t="shared" si="57"/>
        <v>0.6</v>
      </c>
      <c r="H183" s="123">
        <f t="shared" si="57"/>
        <v>0.6</v>
      </c>
      <c r="I183" s="123">
        <f t="shared" si="57"/>
        <v>0.6</v>
      </c>
      <c r="J183" s="123">
        <f t="shared" si="57"/>
        <v>0.6</v>
      </c>
      <c r="K183" s="123">
        <f t="shared" si="57"/>
        <v>0.6</v>
      </c>
      <c r="L183" s="123">
        <f t="shared" si="57"/>
        <v>0.6</v>
      </c>
      <c r="M183" s="123">
        <f t="shared" si="57"/>
        <v>0.6</v>
      </c>
      <c r="N183" s="123">
        <f t="shared" si="57"/>
        <v>0.6</v>
      </c>
      <c r="O183" s="123">
        <f t="shared" si="57"/>
        <v>0.6</v>
      </c>
      <c r="P183" s="123">
        <f t="shared" si="57"/>
        <v>0.6</v>
      </c>
      <c r="Q183" s="123">
        <f t="shared" si="57"/>
        <v>0.6</v>
      </c>
      <c r="R183" s="123">
        <f t="shared" si="57"/>
        <v>0.6</v>
      </c>
      <c r="S183" s="123">
        <f t="shared" si="57"/>
        <v>0.6</v>
      </c>
      <c r="T183" s="123">
        <f t="shared" si="58"/>
        <v>0.6</v>
      </c>
      <c r="U183" s="123">
        <f t="shared" si="58"/>
        <v>0.6</v>
      </c>
      <c r="V183" s="123">
        <f t="shared" si="58"/>
        <v>0.6</v>
      </c>
      <c r="W183" s="123">
        <f t="shared" si="58"/>
        <v>0.6</v>
      </c>
      <c r="X183" s="123">
        <f t="shared" si="58"/>
        <v>0.6</v>
      </c>
      <c r="Y183" s="123">
        <f t="shared" si="58"/>
        <v>0.6</v>
      </c>
      <c r="Z183" s="123">
        <f t="shared" si="58"/>
        <v>0.6</v>
      </c>
      <c r="AA183" s="123">
        <f t="shared" si="58"/>
        <v>0.6</v>
      </c>
      <c r="AB183" s="123">
        <f t="shared" si="58"/>
        <v>0.6</v>
      </c>
      <c r="AC183" s="123">
        <f t="shared" si="58"/>
        <v>0.6</v>
      </c>
      <c r="AD183" s="123">
        <f t="shared" si="58"/>
        <v>0.6</v>
      </c>
      <c r="AE183" s="123">
        <f t="shared" si="58"/>
        <v>0.6</v>
      </c>
      <c r="AF183" s="123">
        <f t="shared" si="58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6"/>
        <v>0.35</v>
      </c>
      <c r="C184" s="124">
        <v>0.35</v>
      </c>
      <c r="D184" s="123">
        <f t="shared" si="57"/>
        <v>0.35</v>
      </c>
      <c r="E184" s="123">
        <f t="shared" si="57"/>
        <v>0.35</v>
      </c>
      <c r="F184" s="123">
        <f t="shared" si="57"/>
        <v>0.35</v>
      </c>
      <c r="G184" s="123">
        <f t="shared" si="57"/>
        <v>0.35</v>
      </c>
      <c r="H184" s="123">
        <f t="shared" si="57"/>
        <v>0.35</v>
      </c>
      <c r="I184" s="123">
        <f t="shared" si="57"/>
        <v>0.35</v>
      </c>
      <c r="J184" s="123">
        <f t="shared" si="57"/>
        <v>0.35</v>
      </c>
      <c r="K184" s="123">
        <f t="shared" si="57"/>
        <v>0.35</v>
      </c>
      <c r="L184" s="123">
        <f t="shared" si="57"/>
        <v>0.35</v>
      </c>
      <c r="M184" s="123">
        <f t="shared" si="57"/>
        <v>0.35</v>
      </c>
      <c r="N184" s="123">
        <f t="shared" si="57"/>
        <v>0.35</v>
      </c>
      <c r="O184" s="123">
        <f t="shared" si="57"/>
        <v>0.35</v>
      </c>
      <c r="P184" s="123">
        <f t="shared" si="57"/>
        <v>0.35</v>
      </c>
      <c r="Q184" s="123">
        <f t="shared" si="57"/>
        <v>0.35</v>
      </c>
      <c r="R184" s="123">
        <f t="shared" si="57"/>
        <v>0.35</v>
      </c>
      <c r="S184" s="123">
        <f t="shared" si="57"/>
        <v>0.35</v>
      </c>
      <c r="T184" s="123">
        <f t="shared" si="58"/>
        <v>0.35</v>
      </c>
      <c r="U184" s="123">
        <f t="shared" si="58"/>
        <v>0.35</v>
      </c>
      <c r="V184" s="123">
        <f t="shared" si="58"/>
        <v>0.35</v>
      </c>
      <c r="W184" s="123">
        <f t="shared" si="58"/>
        <v>0.35</v>
      </c>
      <c r="X184" s="123">
        <f t="shared" si="58"/>
        <v>0.35</v>
      </c>
      <c r="Y184" s="123">
        <f t="shared" si="58"/>
        <v>0.35</v>
      </c>
      <c r="Z184" s="123">
        <f t="shared" si="58"/>
        <v>0.35</v>
      </c>
      <c r="AA184" s="123">
        <f t="shared" si="58"/>
        <v>0.35</v>
      </c>
      <c r="AB184" s="123">
        <f t="shared" si="58"/>
        <v>0.35</v>
      </c>
      <c r="AC184" s="123">
        <f t="shared" si="58"/>
        <v>0.35</v>
      </c>
      <c r="AD184" s="123">
        <f t="shared" si="58"/>
        <v>0.35</v>
      </c>
      <c r="AE184" s="123">
        <f t="shared" si="58"/>
        <v>0.35</v>
      </c>
      <c r="AF184" s="123">
        <f t="shared" si="58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6"/>
        <v>0.28999999999999998</v>
      </c>
      <c r="C185" s="124">
        <v>0.28999999999999998</v>
      </c>
      <c r="D185" s="123">
        <f t="shared" si="57"/>
        <v>0.28999999999999998</v>
      </c>
      <c r="E185" s="123">
        <f t="shared" si="57"/>
        <v>0.28999999999999998</v>
      </c>
      <c r="F185" s="123">
        <f t="shared" si="57"/>
        <v>0.28999999999999998</v>
      </c>
      <c r="G185" s="123">
        <f t="shared" si="57"/>
        <v>0.28999999999999998</v>
      </c>
      <c r="H185" s="123">
        <f t="shared" si="57"/>
        <v>0.28999999999999998</v>
      </c>
      <c r="I185" s="123">
        <f t="shared" si="57"/>
        <v>0.28999999999999998</v>
      </c>
      <c r="J185" s="123">
        <f t="shared" si="57"/>
        <v>0.28999999999999998</v>
      </c>
      <c r="K185" s="123">
        <f t="shared" si="57"/>
        <v>0.28999999999999998</v>
      </c>
      <c r="L185" s="123">
        <f t="shared" si="57"/>
        <v>0.28999999999999998</v>
      </c>
      <c r="M185" s="123">
        <f t="shared" si="57"/>
        <v>0.28999999999999998</v>
      </c>
      <c r="N185" s="123">
        <f t="shared" si="57"/>
        <v>0.28999999999999998</v>
      </c>
      <c r="O185" s="123">
        <f t="shared" si="57"/>
        <v>0.28999999999999998</v>
      </c>
      <c r="P185" s="123">
        <f t="shared" si="57"/>
        <v>0.28999999999999998</v>
      </c>
      <c r="Q185" s="123">
        <f t="shared" si="57"/>
        <v>0.28999999999999998</v>
      </c>
      <c r="R185" s="123">
        <f t="shared" si="57"/>
        <v>0.28999999999999998</v>
      </c>
      <c r="S185" s="123">
        <f t="shared" si="57"/>
        <v>0.28999999999999998</v>
      </c>
      <c r="T185" s="123">
        <f t="shared" si="58"/>
        <v>0.28999999999999998</v>
      </c>
      <c r="U185" s="123">
        <f t="shared" si="58"/>
        <v>0.28999999999999998</v>
      </c>
      <c r="V185" s="123">
        <f t="shared" si="58"/>
        <v>0.28999999999999998</v>
      </c>
      <c r="W185" s="123">
        <f t="shared" si="58"/>
        <v>0.28999999999999998</v>
      </c>
      <c r="X185" s="123">
        <f t="shared" si="58"/>
        <v>0.28999999999999998</v>
      </c>
      <c r="Y185" s="123">
        <f t="shared" si="58"/>
        <v>0.28999999999999998</v>
      </c>
      <c r="Z185" s="123">
        <f t="shared" si="58"/>
        <v>0.28999999999999998</v>
      </c>
      <c r="AA185" s="123">
        <f t="shared" si="58"/>
        <v>0.28999999999999998</v>
      </c>
      <c r="AB185" s="123">
        <f t="shared" si="58"/>
        <v>0.28999999999999998</v>
      </c>
      <c r="AC185" s="123">
        <f t="shared" si="58"/>
        <v>0.28999999999999998</v>
      </c>
      <c r="AD185" s="123">
        <f t="shared" si="58"/>
        <v>0.28999999999999998</v>
      </c>
      <c r="AE185" s="123">
        <f t="shared" si="58"/>
        <v>0.28999999999999998</v>
      </c>
      <c r="AF185" s="123">
        <f t="shared" si="58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6"/>
        <v>0.06</v>
      </c>
      <c r="C186" s="124">
        <v>0.06</v>
      </c>
      <c r="D186" s="123">
        <f t="shared" si="57"/>
        <v>0.06</v>
      </c>
      <c r="E186" s="123">
        <f t="shared" si="57"/>
        <v>0.06</v>
      </c>
      <c r="F186" s="123">
        <f t="shared" si="57"/>
        <v>0.06</v>
      </c>
      <c r="G186" s="123">
        <f t="shared" si="57"/>
        <v>0.06</v>
      </c>
      <c r="H186" s="123">
        <f t="shared" si="57"/>
        <v>0.06</v>
      </c>
      <c r="I186" s="123">
        <f t="shared" si="57"/>
        <v>0.06</v>
      </c>
      <c r="J186" s="123">
        <f t="shared" si="57"/>
        <v>0.06</v>
      </c>
      <c r="K186" s="123">
        <f t="shared" si="57"/>
        <v>0.06</v>
      </c>
      <c r="L186" s="123">
        <f t="shared" si="57"/>
        <v>0.06</v>
      </c>
      <c r="M186" s="123">
        <f t="shared" si="57"/>
        <v>0.06</v>
      </c>
      <c r="N186" s="123">
        <f t="shared" si="57"/>
        <v>0.06</v>
      </c>
      <c r="O186" s="123">
        <f t="shared" si="57"/>
        <v>0.06</v>
      </c>
      <c r="P186" s="123">
        <f t="shared" si="57"/>
        <v>0.06</v>
      </c>
      <c r="Q186" s="123">
        <f t="shared" si="57"/>
        <v>0.06</v>
      </c>
      <c r="R186" s="123">
        <f t="shared" si="57"/>
        <v>0.06</v>
      </c>
      <c r="S186" s="123">
        <f t="shared" si="57"/>
        <v>0.06</v>
      </c>
      <c r="T186" s="123">
        <f t="shared" si="58"/>
        <v>0.06</v>
      </c>
      <c r="U186" s="123">
        <f t="shared" si="58"/>
        <v>0.06</v>
      </c>
      <c r="V186" s="123">
        <f t="shared" si="58"/>
        <v>0.06</v>
      </c>
      <c r="W186" s="123">
        <f t="shared" si="58"/>
        <v>0.06</v>
      </c>
      <c r="X186" s="123">
        <f t="shared" si="58"/>
        <v>0.06</v>
      </c>
      <c r="Y186" s="123">
        <f t="shared" si="58"/>
        <v>0.06</v>
      </c>
      <c r="Z186" s="123">
        <f t="shared" si="58"/>
        <v>0.06</v>
      </c>
      <c r="AA186" s="123">
        <f t="shared" si="58"/>
        <v>0.06</v>
      </c>
      <c r="AB186" s="123">
        <f t="shared" si="58"/>
        <v>0.06</v>
      </c>
      <c r="AC186" s="123">
        <f t="shared" si="58"/>
        <v>0.06</v>
      </c>
      <c r="AD186" s="123">
        <f t="shared" si="58"/>
        <v>0.06</v>
      </c>
      <c r="AE186" s="123">
        <f t="shared" si="58"/>
        <v>0.06</v>
      </c>
      <c r="AF186" s="123">
        <f t="shared" si="58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6"/>
        <v>0.11</v>
      </c>
      <c r="C187" s="124">
        <v>0.11</v>
      </c>
      <c r="D187" s="123">
        <f t="shared" si="57"/>
        <v>0.11</v>
      </c>
      <c r="E187" s="123">
        <f t="shared" si="57"/>
        <v>0.11</v>
      </c>
      <c r="F187" s="123">
        <f t="shared" si="57"/>
        <v>0.11</v>
      </c>
      <c r="G187" s="123">
        <f t="shared" si="57"/>
        <v>0.11</v>
      </c>
      <c r="H187" s="123">
        <f t="shared" si="57"/>
        <v>0.11</v>
      </c>
      <c r="I187" s="123">
        <f t="shared" si="57"/>
        <v>0.11</v>
      </c>
      <c r="J187" s="123">
        <f t="shared" si="57"/>
        <v>0.11</v>
      </c>
      <c r="K187" s="123">
        <f t="shared" si="57"/>
        <v>0.11</v>
      </c>
      <c r="L187" s="123">
        <f t="shared" si="57"/>
        <v>0.11</v>
      </c>
      <c r="M187" s="123">
        <f t="shared" si="57"/>
        <v>0.11</v>
      </c>
      <c r="N187" s="123">
        <f t="shared" si="57"/>
        <v>0.11</v>
      </c>
      <c r="O187" s="123">
        <f t="shared" si="57"/>
        <v>0.11</v>
      </c>
      <c r="P187" s="123">
        <f t="shared" si="57"/>
        <v>0.11</v>
      </c>
      <c r="Q187" s="123">
        <f t="shared" si="57"/>
        <v>0.11</v>
      </c>
      <c r="R187" s="123">
        <f t="shared" si="57"/>
        <v>0.11</v>
      </c>
      <c r="S187" s="123">
        <f t="shared" si="57"/>
        <v>0.11</v>
      </c>
      <c r="T187" s="123">
        <f t="shared" si="58"/>
        <v>0.11</v>
      </c>
      <c r="U187" s="123">
        <f t="shared" si="58"/>
        <v>0.11</v>
      </c>
      <c r="V187" s="123">
        <f t="shared" si="58"/>
        <v>0.11</v>
      </c>
      <c r="W187" s="123">
        <f t="shared" si="58"/>
        <v>0.11</v>
      </c>
      <c r="X187" s="123">
        <f t="shared" si="58"/>
        <v>0.11</v>
      </c>
      <c r="Y187" s="123">
        <f t="shared" si="58"/>
        <v>0.11</v>
      </c>
      <c r="Z187" s="123">
        <f t="shared" si="58"/>
        <v>0.11</v>
      </c>
      <c r="AA187" s="123">
        <f t="shared" si="58"/>
        <v>0.11</v>
      </c>
      <c r="AB187" s="123">
        <f t="shared" si="58"/>
        <v>0.11</v>
      </c>
      <c r="AC187" s="123">
        <f t="shared" si="58"/>
        <v>0.11</v>
      </c>
      <c r="AD187" s="123">
        <f t="shared" si="58"/>
        <v>0.11</v>
      </c>
      <c r="AE187" s="123">
        <f t="shared" si="58"/>
        <v>0.11</v>
      </c>
      <c r="AF187" s="123">
        <f t="shared" si="58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6"/>
        <v>0.1</v>
      </c>
      <c r="C188" s="124">
        <v>0.1</v>
      </c>
      <c r="D188" s="123">
        <f t="shared" si="57"/>
        <v>0.1</v>
      </c>
      <c r="E188" s="123">
        <f t="shared" si="57"/>
        <v>0.1</v>
      </c>
      <c r="F188" s="123">
        <f t="shared" si="57"/>
        <v>0.1</v>
      </c>
      <c r="G188" s="123">
        <f t="shared" si="57"/>
        <v>0.1</v>
      </c>
      <c r="H188" s="123">
        <f t="shared" si="57"/>
        <v>0.1</v>
      </c>
      <c r="I188" s="123">
        <f t="shared" si="57"/>
        <v>0.1</v>
      </c>
      <c r="J188" s="123">
        <f t="shared" si="57"/>
        <v>0.1</v>
      </c>
      <c r="K188" s="123">
        <f t="shared" si="57"/>
        <v>0.1</v>
      </c>
      <c r="L188" s="123">
        <f t="shared" si="57"/>
        <v>0.1</v>
      </c>
      <c r="M188" s="123">
        <f t="shared" si="57"/>
        <v>0.1</v>
      </c>
      <c r="N188" s="123">
        <f t="shared" si="57"/>
        <v>0.1</v>
      </c>
      <c r="O188" s="123">
        <f t="shared" si="57"/>
        <v>0.1</v>
      </c>
      <c r="P188" s="123">
        <f t="shared" si="57"/>
        <v>0.1</v>
      </c>
      <c r="Q188" s="123">
        <f t="shared" si="57"/>
        <v>0.1</v>
      </c>
      <c r="R188" s="123">
        <f t="shared" si="57"/>
        <v>0.1</v>
      </c>
      <c r="S188" s="123">
        <f t="shared" si="58"/>
        <v>0.1</v>
      </c>
      <c r="T188" s="123">
        <f t="shared" si="58"/>
        <v>0.1</v>
      </c>
      <c r="U188" s="123">
        <f t="shared" si="58"/>
        <v>0.1</v>
      </c>
      <c r="V188" s="123">
        <f t="shared" si="58"/>
        <v>0.1</v>
      </c>
      <c r="W188" s="123">
        <f t="shared" si="58"/>
        <v>0.1</v>
      </c>
      <c r="X188" s="123">
        <f t="shared" si="58"/>
        <v>0.1</v>
      </c>
      <c r="Y188" s="123">
        <f t="shared" si="58"/>
        <v>0.1</v>
      </c>
      <c r="Z188" s="123">
        <f t="shared" si="58"/>
        <v>0.1</v>
      </c>
      <c r="AA188" s="123">
        <f t="shared" si="58"/>
        <v>0.1</v>
      </c>
      <c r="AB188" s="123">
        <f t="shared" si="58"/>
        <v>0.1</v>
      </c>
      <c r="AC188" s="123">
        <f t="shared" si="58"/>
        <v>0.1</v>
      </c>
      <c r="AD188" s="123">
        <f t="shared" si="58"/>
        <v>0.1</v>
      </c>
      <c r="AE188" s="123">
        <f t="shared" si="58"/>
        <v>0.1</v>
      </c>
      <c r="AF188" s="123">
        <f t="shared" si="58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6"/>
        <v>0.09</v>
      </c>
      <c r="C189" s="124">
        <v>0.09</v>
      </c>
      <c r="D189" s="123">
        <f t="shared" si="57"/>
        <v>0.09</v>
      </c>
      <c r="E189" s="123">
        <f t="shared" si="57"/>
        <v>0.09</v>
      </c>
      <c r="F189" s="123">
        <f t="shared" si="57"/>
        <v>0.09</v>
      </c>
      <c r="G189" s="123">
        <f t="shared" si="57"/>
        <v>0.09</v>
      </c>
      <c r="H189" s="123">
        <f t="shared" si="57"/>
        <v>0.09</v>
      </c>
      <c r="I189" s="123">
        <f t="shared" si="57"/>
        <v>0.09</v>
      </c>
      <c r="J189" s="123">
        <f t="shared" si="57"/>
        <v>0.09</v>
      </c>
      <c r="K189" s="123">
        <f t="shared" si="57"/>
        <v>0.09</v>
      </c>
      <c r="L189" s="123">
        <f t="shared" si="57"/>
        <v>0.09</v>
      </c>
      <c r="M189" s="123">
        <f t="shared" si="57"/>
        <v>0.09</v>
      </c>
      <c r="N189" s="123">
        <f t="shared" si="57"/>
        <v>0.09</v>
      </c>
      <c r="O189" s="123">
        <f t="shared" si="57"/>
        <v>0.09</v>
      </c>
      <c r="P189" s="123">
        <f t="shared" si="57"/>
        <v>0.09</v>
      </c>
      <c r="Q189" s="123">
        <f t="shared" si="57"/>
        <v>0.09</v>
      </c>
      <c r="R189" s="123">
        <f t="shared" si="57"/>
        <v>0.09</v>
      </c>
      <c r="S189" s="123">
        <f t="shared" si="58"/>
        <v>0.09</v>
      </c>
      <c r="T189" s="123">
        <f t="shared" si="58"/>
        <v>0.09</v>
      </c>
      <c r="U189" s="123">
        <f t="shared" si="58"/>
        <v>0.09</v>
      </c>
      <c r="V189" s="123">
        <f t="shared" si="58"/>
        <v>0.09</v>
      </c>
      <c r="W189" s="123">
        <f t="shared" si="58"/>
        <v>0.09</v>
      </c>
      <c r="X189" s="123">
        <f t="shared" si="58"/>
        <v>0.09</v>
      </c>
      <c r="Y189" s="123">
        <f t="shared" si="58"/>
        <v>0.09</v>
      </c>
      <c r="Z189" s="123">
        <f t="shared" si="58"/>
        <v>0.09</v>
      </c>
      <c r="AA189" s="123">
        <f t="shared" si="58"/>
        <v>0.09</v>
      </c>
      <c r="AB189" s="123">
        <f t="shared" si="58"/>
        <v>0.09</v>
      </c>
      <c r="AC189" s="123">
        <f t="shared" si="58"/>
        <v>0.09</v>
      </c>
      <c r="AD189" s="123">
        <f t="shared" si="58"/>
        <v>0.09</v>
      </c>
      <c r="AE189" s="123">
        <f t="shared" si="58"/>
        <v>0.09</v>
      </c>
      <c r="AF189" s="123">
        <f t="shared" si="58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6"/>
        <v>0.04</v>
      </c>
      <c r="C190" s="54">
        <v>0.04</v>
      </c>
      <c r="D190" s="123">
        <f t="shared" si="57"/>
        <v>0.04</v>
      </c>
      <c r="E190" s="123">
        <f t="shared" si="57"/>
        <v>0.04</v>
      </c>
      <c r="F190" s="123">
        <f t="shared" si="57"/>
        <v>0.04</v>
      </c>
      <c r="G190" s="123">
        <f t="shared" si="57"/>
        <v>0.04</v>
      </c>
      <c r="H190" s="123">
        <f t="shared" si="57"/>
        <v>0.04</v>
      </c>
      <c r="I190" s="123">
        <f t="shared" si="57"/>
        <v>0.04</v>
      </c>
      <c r="J190" s="123">
        <f t="shared" si="57"/>
        <v>0.04</v>
      </c>
      <c r="K190" s="123">
        <f t="shared" si="57"/>
        <v>0.04</v>
      </c>
      <c r="L190" s="123">
        <f t="shared" si="57"/>
        <v>0.04</v>
      </c>
      <c r="M190" s="123">
        <f t="shared" si="57"/>
        <v>0.04</v>
      </c>
      <c r="N190" s="123">
        <f t="shared" si="57"/>
        <v>0.04</v>
      </c>
      <c r="O190" s="123">
        <f t="shared" si="57"/>
        <v>0.04</v>
      </c>
      <c r="P190" s="123">
        <f t="shared" si="57"/>
        <v>0.04</v>
      </c>
      <c r="Q190" s="123">
        <f t="shared" si="57"/>
        <v>0.04</v>
      </c>
      <c r="R190" s="123">
        <f t="shared" si="57"/>
        <v>0.04</v>
      </c>
      <c r="S190" s="123">
        <f t="shared" si="58"/>
        <v>0.04</v>
      </c>
      <c r="T190" s="123">
        <f t="shared" si="58"/>
        <v>0.04</v>
      </c>
      <c r="U190" s="123">
        <f t="shared" si="58"/>
        <v>0.04</v>
      </c>
      <c r="V190" s="123">
        <f t="shared" si="58"/>
        <v>0.04</v>
      </c>
      <c r="W190" s="123">
        <f t="shared" si="58"/>
        <v>0.04</v>
      </c>
      <c r="X190" s="123">
        <f t="shared" si="58"/>
        <v>0.04</v>
      </c>
      <c r="Y190" s="123">
        <f t="shared" si="58"/>
        <v>0.04</v>
      </c>
      <c r="Z190" s="123">
        <f t="shared" si="58"/>
        <v>0.04</v>
      </c>
      <c r="AA190" s="123">
        <f t="shared" si="58"/>
        <v>0.04</v>
      </c>
      <c r="AB190" s="123">
        <f t="shared" si="58"/>
        <v>0.04</v>
      </c>
      <c r="AC190" s="123">
        <f t="shared" si="58"/>
        <v>0.04</v>
      </c>
      <c r="AD190" s="123">
        <f t="shared" si="58"/>
        <v>0.04</v>
      </c>
      <c r="AE190" s="123">
        <f t="shared" si="58"/>
        <v>0.04</v>
      </c>
      <c r="AF190" s="123">
        <f t="shared" si="58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6"/>
        <v>2.3E-2</v>
      </c>
      <c r="C191" s="54">
        <v>2.3E-2</v>
      </c>
      <c r="D191" s="123">
        <f>C191</f>
        <v>2.3E-2</v>
      </c>
      <c r="E191" s="123">
        <f t="shared" si="57"/>
        <v>2.3E-2</v>
      </c>
      <c r="F191" s="123">
        <f t="shared" si="57"/>
        <v>2.3E-2</v>
      </c>
      <c r="G191" s="123">
        <f t="shared" si="57"/>
        <v>2.3E-2</v>
      </c>
      <c r="H191" s="123">
        <f t="shared" si="57"/>
        <v>2.3E-2</v>
      </c>
      <c r="I191" s="123">
        <f t="shared" si="57"/>
        <v>2.3E-2</v>
      </c>
      <c r="J191" s="123">
        <f t="shared" si="57"/>
        <v>2.3E-2</v>
      </c>
      <c r="K191" s="123">
        <f t="shared" si="57"/>
        <v>2.3E-2</v>
      </c>
      <c r="L191" s="123">
        <f t="shared" si="57"/>
        <v>2.3E-2</v>
      </c>
      <c r="M191" s="123">
        <f t="shared" si="57"/>
        <v>2.3E-2</v>
      </c>
      <c r="N191" s="123">
        <f t="shared" si="57"/>
        <v>2.3E-2</v>
      </c>
      <c r="O191" s="123">
        <f t="shared" si="57"/>
        <v>2.3E-2</v>
      </c>
      <c r="P191" s="123">
        <f t="shared" si="57"/>
        <v>2.3E-2</v>
      </c>
      <c r="Q191" s="123">
        <f t="shared" si="57"/>
        <v>2.3E-2</v>
      </c>
      <c r="R191" s="123">
        <f t="shared" si="57"/>
        <v>2.3E-2</v>
      </c>
      <c r="S191" s="123">
        <f t="shared" si="58"/>
        <v>2.3E-2</v>
      </c>
      <c r="T191" s="123">
        <f t="shared" si="58"/>
        <v>2.3E-2</v>
      </c>
      <c r="U191" s="123">
        <f t="shared" si="58"/>
        <v>2.3E-2</v>
      </c>
      <c r="V191" s="123">
        <f t="shared" si="58"/>
        <v>2.3E-2</v>
      </c>
      <c r="W191" s="123">
        <f t="shared" si="58"/>
        <v>2.3E-2</v>
      </c>
      <c r="X191" s="123">
        <f t="shared" si="58"/>
        <v>2.3E-2</v>
      </c>
      <c r="Y191" s="123">
        <f t="shared" si="58"/>
        <v>2.3E-2</v>
      </c>
      <c r="Z191" s="123">
        <f t="shared" si="58"/>
        <v>2.3E-2</v>
      </c>
      <c r="AA191" s="123">
        <f t="shared" si="58"/>
        <v>2.3E-2</v>
      </c>
      <c r="AB191" s="123">
        <f t="shared" si="58"/>
        <v>2.3E-2</v>
      </c>
      <c r="AC191" s="123">
        <f t="shared" si="58"/>
        <v>2.3E-2</v>
      </c>
      <c r="AD191" s="123">
        <f t="shared" si="58"/>
        <v>2.3E-2</v>
      </c>
      <c r="AE191" s="123">
        <f t="shared" si="58"/>
        <v>2.3E-2</v>
      </c>
      <c r="AF191" s="123">
        <f t="shared" si="58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9">SUM(C102:C191)</f>
        <v>194.70600000000002</v>
      </c>
      <c r="D192" s="128">
        <f t="shared" si="59"/>
        <v>194.70600000000002</v>
      </c>
      <c r="E192" s="128">
        <f t="shared" si="59"/>
        <v>194.70600000000002</v>
      </c>
      <c r="F192" s="128">
        <f t="shared" si="59"/>
        <v>194.70600000000002</v>
      </c>
      <c r="G192" s="128">
        <f t="shared" si="59"/>
        <v>194.70600000000002</v>
      </c>
      <c r="H192" s="128">
        <f t="shared" si="59"/>
        <v>194.70600000000002</v>
      </c>
      <c r="I192" s="128">
        <f t="shared" si="59"/>
        <v>189.70600000000005</v>
      </c>
      <c r="J192" s="128">
        <f t="shared" si="59"/>
        <v>187.10600000000005</v>
      </c>
      <c r="K192" s="128">
        <f t="shared" si="59"/>
        <v>187.10600000000005</v>
      </c>
      <c r="L192" s="128">
        <f t="shared" si="59"/>
        <v>187.10600000000005</v>
      </c>
      <c r="M192" s="128">
        <f t="shared" si="59"/>
        <v>187.10600000000005</v>
      </c>
      <c r="N192" s="128">
        <f t="shared" si="59"/>
        <v>187.10600000000005</v>
      </c>
      <c r="O192" s="128">
        <f t="shared" si="59"/>
        <v>187.10600000000005</v>
      </c>
      <c r="P192" s="128">
        <f t="shared" si="59"/>
        <v>187.10600000000005</v>
      </c>
      <c r="Q192" s="128">
        <f t="shared" si="59"/>
        <v>187.10600000000005</v>
      </c>
      <c r="R192" s="128">
        <f t="shared" si="59"/>
        <v>187.10600000000005</v>
      </c>
      <c r="S192" s="128">
        <f t="shared" si="59"/>
        <v>187.10600000000005</v>
      </c>
      <c r="T192" s="128">
        <f t="shared" si="59"/>
        <v>187.10600000000005</v>
      </c>
      <c r="U192" s="128">
        <f t="shared" si="59"/>
        <v>187.10600000000005</v>
      </c>
      <c r="V192" s="128">
        <f t="shared" si="59"/>
        <v>187.10600000000005</v>
      </c>
      <c r="W192" s="128">
        <f t="shared" si="59"/>
        <v>187.10600000000005</v>
      </c>
      <c r="X192" s="128">
        <f t="shared" si="59"/>
        <v>187.10600000000005</v>
      </c>
      <c r="Y192" s="128">
        <f t="shared" si="59"/>
        <v>187.10600000000005</v>
      </c>
      <c r="Z192" s="128">
        <f t="shared" si="59"/>
        <v>187.10600000000005</v>
      </c>
      <c r="AA192" s="128">
        <f t="shared" si="59"/>
        <v>187.10600000000005</v>
      </c>
      <c r="AB192" s="128">
        <f t="shared" si="59"/>
        <v>187.10600000000005</v>
      </c>
      <c r="AC192" s="128">
        <f t="shared" si="59"/>
        <v>187.10600000000005</v>
      </c>
      <c r="AD192" s="128">
        <f t="shared" si="59"/>
        <v>187.10600000000005</v>
      </c>
      <c r="AE192" s="128">
        <f t="shared" si="59"/>
        <v>187.10600000000005</v>
      </c>
      <c r="AF192" s="128">
        <f t="shared" si="59"/>
        <v>187.10600000000005</v>
      </c>
      <c r="AG192" s="129">
        <f t="shared" si="59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60">AF194</f>
        <v>0.3</v>
      </c>
      <c r="C194" s="130">
        <v>0.3</v>
      </c>
      <c r="D194" s="130">
        <f t="shared" ref="D194:S199" si="61">C194</f>
        <v>0.3</v>
      </c>
      <c r="E194" s="130">
        <f t="shared" si="61"/>
        <v>0.3</v>
      </c>
      <c r="F194" s="130">
        <f t="shared" si="61"/>
        <v>0.3</v>
      </c>
      <c r="G194" s="130">
        <f t="shared" si="61"/>
        <v>0.3</v>
      </c>
      <c r="H194" s="130">
        <f t="shared" si="61"/>
        <v>0.3</v>
      </c>
      <c r="I194" s="130">
        <f t="shared" si="61"/>
        <v>0.3</v>
      </c>
      <c r="J194" s="130">
        <f t="shared" si="61"/>
        <v>0.3</v>
      </c>
      <c r="K194" s="130">
        <f t="shared" si="61"/>
        <v>0.3</v>
      </c>
      <c r="L194" s="130">
        <f t="shared" si="61"/>
        <v>0.3</v>
      </c>
      <c r="M194" s="130">
        <f t="shared" si="61"/>
        <v>0.3</v>
      </c>
      <c r="N194" s="130">
        <f t="shared" si="61"/>
        <v>0.3</v>
      </c>
      <c r="O194" s="130">
        <f t="shared" si="61"/>
        <v>0.3</v>
      </c>
      <c r="P194" s="130">
        <f t="shared" si="61"/>
        <v>0.3</v>
      </c>
      <c r="Q194" s="130">
        <f t="shared" si="61"/>
        <v>0.3</v>
      </c>
      <c r="R194" s="130">
        <f t="shared" si="61"/>
        <v>0.3</v>
      </c>
      <c r="S194" s="130">
        <f t="shared" si="61"/>
        <v>0.3</v>
      </c>
      <c r="T194" s="130">
        <f t="shared" ref="T194:AF199" si="62">S194</f>
        <v>0.3</v>
      </c>
      <c r="U194" s="130">
        <f t="shared" si="62"/>
        <v>0.3</v>
      </c>
      <c r="V194" s="130">
        <f t="shared" si="62"/>
        <v>0.3</v>
      </c>
      <c r="W194" s="130">
        <f t="shared" si="62"/>
        <v>0.3</v>
      </c>
      <c r="X194" s="130">
        <f t="shared" si="62"/>
        <v>0.3</v>
      </c>
      <c r="Y194" s="130">
        <f t="shared" si="62"/>
        <v>0.3</v>
      </c>
      <c r="Z194" s="130">
        <f t="shared" si="62"/>
        <v>0.3</v>
      </c>
      <c r="AA194" s="130">
        <f t="shared" si="62"/>
        <v>0.3</v>
      </c>
      <c r="AB194" s="130">
        <f t="shared" si="62"/>
        <v>0.3</v>
      </c>
      <c r="AC194" s="130">
        <f t="shared" si="62"/>
        <v>0.3</v>
      </c>
      <c r="AD194" s="130">
        <f t="shared" si="62"/>
        <v>0.3</v>
      </c>
      <c r="AE194" s="130">
        <f t="shared" si="62"/>
        <v>0.3</v>
      </c>
      <c r="AF194" s="130">
        <f t="shared" si="62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60"/>
        <v>0.4</v>
      </c>
      <c r="C195" s="123">
        <v>0.4</v>
      </c>
      <c r="D195" s="123">
        <f t="shared" si="61"/>
        <v>0.4</v>
      </c>
      <c r="E195" s="123">
        <f t="shared" si="61"/>
        <v>0.4</v>
      </c>
      <c r="F195" s="123">
        <f t="shared" si="61"/>
        <v>0.4</v>
      </c>
      <c r="G195" s="123">
        <f t="shared" si="61"/>
        <v>0.4</v>
      </c>
      <c r="H195" s="123">
        <f t="shared" si="61"/>
        <v>0.4</v>
      </c>
      <c r="I195" s="123">
        <f t="shared" si="61"/>
        <v>0.4</v>
      </c>
      <c r="J195" s="123">
        <f t="shared" si="61"/>
        <v>0.4</v>
      </c>
      <c r="K195" s="123">
        <f t="shared" si="61"/>
        <v>0.4</v>
      </c>
      <c r="L195" s="123">
        <f t="shared" si="61"/>
        <v>0.4</v>
      </c>
      <c r="M195" s="123">
        <f t="shared" si="61"/>
        <v>0.4</v>
      </c>
      <c r="N195" s="123">
        <f t="shared" si="61"/>
        <v>0.4</v>
      </c>
      <c r="O195" s="123">
        <f t="shared" si="61"/>
        <v>0.4</v>
      </c>
      <c r="P195" s="123">
        <f t="shared" si="61"/>
        <v>0.4</v>
      </c>
      <c r="Q195" s="123">
        <f t="shared" si="61"/>
        <v>0.4</v>
      </c>
      <c r="R195" s="123">
        <f t="shared" si="61"/>
        <v>0.4</v>
      </c>
      <c r="S195" s="123">
        <f t="shared" si="61"/>
        <v>0.4</v>
      </c>
      <c r="T195" s="123">
        <f t="shared" si="62"/>
        <v>0.4</v>
      </c>
      <c r="U195" s="123">
        <f t="shared" si="62"/>
        <v>0.4</v>
      </c>
      <c r="V195" s="123">
        <f t="shared" si="62"/>
        <v>0.4</v>
      </c>
      <c r="W195" s="123">
        <f>V195</f>
        <v>0.4</v>
      </c>
      <c r="X195" s="123">
        <f>W195</f>
        <v>0.4</v>
      </c>
      <c r="Y195" s="123">
        <f t="shared" si="62"/>
        <v>0.4</v>
      </c>
      <c r="Z195" s="123">
        <f t="shared" si="62"/>
        <v>0.4</v>
      </c>
      <c r="AA195" s="123">
        <f t="shared" si="62"/>
        <v>0.4</v>
      </c>
      <c r="AB195" s="123">
        <f t="shared" si="62"/>
        <v>0.4</v>
      </c>
      <c r="AC195" s="123">
        <f t="shared" si="62"/>
        <v>0.4</v>
      </c>
      <c r="AD195" s="123">
        <f t="shared" si="62"/>
        <v>0.4</v>
      </c>
      <c r="AE195" s="123">
        <f t="shared" si="62"/>
        <v>0.4</v>
      </c>
      <c r="AF195" s="123">
        <f t="shared" si="62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60"/>
        <v>1.5</v>
      </c>
      <c r="C196" s="123">
        <v>1.5</v>
      </c>
      <c r="D196" s="123">
        <f t="shared" si="61"/>
        <v>1.5</v>
      </c>
      <c r="E196" s="123">
        <f t="shared" si="61"/>
        <v>1.5</v>
      </c>
      <c r="F196" s="123">
        <f t="shared" si="61"/>
        <v>1.5</v>
      </c>
      <c r="G196" s="123">
        <f t="shared" si="61"/>
        <v>1.5</v>
      </c>
      <c r="H196" s="123">
        <f t="shared" si="61"/>
        <v>1.5</v>
      </c>
      <c r="I196" s="123">
        <f t="shared" si="61"/>
        <v>1.5</v>
      </c>
      <c r="J196" s="123">
        <f t="shared" si="61"/>
        <v>1.5</v>
      </c>
      <c r="K196" s="123">
        <f t="shared" si="61"/>
        <v>1.5</v>
      </c>
      <c r="L196" s="123">
        <f t="shared" si="61"/>
        <v>1.5</v>
      </c>
      <c r="M196" s="123">
        <f t="shared" si="61"/>
        <v>1.5</v>
      </c>
      <c r="N196" s="123">
        <f t="shared" si="61"/>
        <v>1.5</v>
      </c>
      <c r="O196" s="123">
        <f t="shared" si="61"/>
        <v>1.5</v>
      </c>
      <c r="P196" s="123">
        <f t="shared" si="61"/>
        <v>1.5</v>
      </c>
      <c r="Q196" s="123">
        <f t="shared" si="61"/>
        <v>1.5</v>
      </c>
      <c r="R196" s="123">
        <f t="shared" si="61"/>
        <v>1.5</v>
      </c>
      <c r="S196" s="123">
        <f t="shared" si="61"/>
        <v>1.5</v>
      </c>
      <c r="T196" s="123">
        <f t="shared" si="62"/>
        <v>1.5</v>
      </c>
      <c r="U196" s="123">
        <f t="shared" si="62"/>
        <v>1.5</v>
      </c>
      <c r="V196" s="123">
        <f t="shared" si="62"/>
        <v>1.5</v>
      </c>
      <c r="W196" s="123">
        <f t="shared" si="62"/>
        <v>1.5</v>
      </c>
      <c r="X196" s="123">
        <f t="shared" si="62"/>
        <v>1.5</v>
      </c>
      <c r="Y196" s="123">
        <f t="shared" si="62"/>
        <v>1.5</v>
      </c>
      <c r="Z196" s="123">
        <f t="shared" si="62"/>
        <v>1.5</v>
      </c>
      <c r="AA196" s="123">
        <f t="shared" si="62"/>
        <v>1.5</v>
      </c>
      <c r="AB196" s="123">
        <f t="shared" si="62"/>
        <v>1.5</v>
      </c>
      <c r="AC196" s="123">
        <f t="shared" si="62"/>
        <v>1.5</v>
      </c>
      <c r="AD196" s="123">
        <f t="shared" si="62"/>
        <v>1.5</v>
      </c>
      <c r="AE196" s="123">
        <f t="shared" si="62"/>
        <v>1.5</v>
      </c>
      <c r="AF196" s="123">
        <f t="shared" si="62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60"/>
        <v>0.3</v>
      </c>
      <c r="C197" s="123">
        <v>0.3</v>
      </c>
      <c r="D197" s="123">
        <f t="shared" si="61"/>
        <v>0.3</v>
      </c>
      <c r="E197" s="123">
        <f t="shared" si="61"/>
        <v>0.3</v>
      </c>
      <c r="F197" s="123">
        <f t="shared" si="61"/>
        <v>0.3</v>
      </c>
      <c r="G197" s="123">
        <f t="shared" si="61"/>
        <v>0.3</v>
      </c>
      <c r="H197" s="123">
        <f t="shared" si="61"/>
        <v>0.3</v>
      </c>
      <c r="I197" s="123">
        <f t="shared" si="61"/>
        <v>0.3</v>
      </c>
      <c r="J197" s="123">
        <f t="shared" si="61"/>
        <v>0.3</v>
      </c>
      <c r="K197" s="123">
        <f t="shared" si="61"/>
        <v>0.3</v>
      </c>
      <c r="L197" s="123">
        <f t="shared" si="61"/>
        <v>0.3</v>
      </c>
      <c r="M197" s="123">
        <f t="shared" si="61"/>
        <v>0.3</v>
      </c>
      <c r="N197" s="123">
        <f t="shared" si="61"/>
        <v>0.3</v>
      </c>
      <c r="O197" s="123">
        <f t="shared" si="61"/>
        <v>0.3</v>
      </c>
      <c r="P197" s="123">
        <f t="shared" si="61"/>
        <v>0.3</v>
      </c>
      <c r="Q197" s="123">
        <f t="shared" si="61"/>
        <v>0.3</v>
      </c>
      <c r="R197" s="123">
        <f t="shared" si="61"/>
        <v>0.3</v>
      </c>
      <c r="S197" s="123">
        <f t="shared" si="61"/>
        <v>0.3</v>
      </c>
      <c r="T197" s="123">
        <f t="shared" si="62"/>
        <v>0.3</v>
      </c>
      <c r="U197" s="123">
        <f t="shared" si="62"/>
        <v>0.3</v>
      </c>
      <c r="V197" s="123">
        <f t="shared" si="62"/>
        <v>0.3</v>
      </c>
      <c r="W197" s="123">
        <f t="shared" si="62"/>
        <v>0.3</v>
      </c>
      <c r="X197" s="123">
        <f t="shared" si="62"/>
        <v>0.3</v>
      </c>
      <c r="Y197" s="123">
        <f t="shared" si="62"/>
        <v>0.3</v>
      </c>
      <c r="Z197" s="123">
        <f t="shared" si="62"/>
        <v>0.3</v>
      </c>
      <c r="AA197" s="123">
        <f t="shared" si="62"/>
        <v>0.3</v>
      </c>
      <c r="AB197" s="123">
        <f t="shared" si="62"/>
        <v>0.3</v>
      </c>
      <c r="AC197" s="123">
        <f t="shared" si="62"/>
        <v>0.3</v>
      </c>
      <c r="AD197" s="123">
        <f t="shared" si="62"/>
        <v>0.3</v>
      </c>
      <c r="AE197" s="123">
        <f t="shared" si="62"/>
        <v>0.3</v>
      </c>
      <c r="AF197" s="123">
        <f t="shared" si="62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60"/>
        <v>0.4</v>
      </c>
      <c r="C198" s="123">
        <v>0.4</v>
      </c>
      <c r="D198" s="123">
        <f t="shared" si="61"/>
        <v>0.4</v>
      </c>
      <c r="E198" s="123">
        <f t="shared" si="61"/>
        <v>0.4</v>
      </c>
      <c r="F198" s="123">
        <f t="shared" si="61"/>
        <v>0.4</v>
      </c>
      <c r="G198" s="123">
        <f t="shared" si="61"/>
        <v>0.4</v>
      </c>
      <c r="H198" s="123">
        <f t="shared" si="61"/>
        <v>0.4</v>
      </c>
      <c r="I198" s="123">
        <f t="shared" si="61"/>
        <v>0.4</v>
      </c>
      <c r="J198" s="123">
        <f t="shared" si="61"/>
        <v>0.4</v>
      </c>
      <c r="K198" s="123">
        <f t="shared" si="61"/>
        <v>0.4</v>
      </c>
      <c r="L198" s="123">
        <f t="shared" si="61"/>
        <v>0.4</v>
      </c>
      <c r="M198" s="123">
        <f t="shared" si="61"/>
        <v>0.4</v>
      </c>
      <c r="N198" s="123">
        <f t="shared" si="61"/>
        <v>0.4</v>
      </c>
      <c r="O198" s="123">
        <f t="shared" si="61"/>
        <v>0.4</v>
      </c>
      <c r="P198" s="123">
        <f t="shared" si="61"/>
        <v>0.4</v>
      </c>
      <c r="Q198" s="123">
        <f t="shared" si="61"/>
        <v>0.4</v>
      </c>
      <c r="R198" s="123">
        <f t="shared" si="61"/>
        <v>0.4</v>
      </c>
      <c r="S198" s="123">
        <f t="shared" si="61"/>
        <v>0.4</v>
      </c>
      <c r="T198" s="123">
        <f t="shared" si="62"/>
        <v>0.4</v>
      </c>
      <c r="U198" s="123">
        <f t="shared" si="62"/>
        <v>0.4</v>
      </c>
      <c r="V198" s="123">
        <f t="shared" si="62"/>
        <v>0.4</v>
      </c>
      <c r="W198" s="123">
        <f t="shared" si="62"/>
        <v>0.4</v>
      </c>
      <c r="X198" s="123">
        <f t="shared" si="62"/>
        <v>0.4</v>
      </c>
      <c r="Y198" s="123">
        <f t="shared" si="62"/>
        <v>0.4</v>
      </c>
      <c r="Z198" s="123">
        <f t="shared" si="62"/>
        <v>0.4</v>
      </c>
      <c r="AA198" s="123">
        <f t="shared" si="62"/>
        <v>0.4</v>
      </c>
      <c r="AB198" s="123">
        <f t="shared" si="62"/>
        <v>0.4</v>
      </c>
      <c r="AC198" s="123">
        <f t="shared" si="62"/>
        <v>0.4</v>
      </c>
      <c r="AD198" s="123">
        <f t="shared" si="62"/>
        <v>0.4</v>
      </c>
      <c r="AE198" s="123">
        <f t="shared" si="62"/>
        <v>0.4</v>
      </c>
      <c r="AF198" s="123">
        <f t="shared" si="62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60"/>
        <v>0.64</v>
      </c>
      <c r="C199" s="133">
        <v>0.64</v>
      </c>
      <c r="D199" s="133">
        <f t="shared" si="61"/>
        <v>0.64</v>
      </c>
      <c r="E199" s="133">
        <f t="shared" si="61"/>
        <v>0.64</v>
      </c>
      <c r="F199" s="133">
        <f t="shared" si="61"/>
        <v>0.64</v>
      </c>
      <c r="G199" s="133">
        <f t="shared" si="61"/>
        <v>0.64</v>
      </c>
      <c r="H199" s="133">
        <f t="shared" si="61"/>
        <v>0.64</v>
      </c>
      <c r="I199" s="133">
        <f t="shared" si="61"/>
        <v>0.64</v>
      </c>
      <c r="J199" s="133">
        <f t="shared" si="61"/>
        <v>0.64</v>
      </c>
      <c r="K199" s="133">
        <f t="shared" si="61"/>
        <v>0.64</v>
      </c>
      <c r="L199" s="133">
        <f t="shared" si="61"/>
        <v>0.64</v>
      </c>
      <c r="M199" s="133">
        <f t="shared" si="61"/>
        <v>0.64</v>
      </c>
      <c r="N199" s="133">
        <f t="shared" si="61"/>
        <v>0.64</v>
      </c>
      <c r="O199" s="133">
        <f t="shared" si="61"/>
        <v>0.64</v>
      </c>
      <c r="P199" s="133">
        <f t="shared" si="61"/>
        <v>0.64</v>
      </c>
      <c r="Q199" s="133">
        <f t="shared" si="61"/>
        <v>0.64</v>
      </c>
      <c r="R199" s="133">
        <f t="shared" si="61"/>
        <v>0.64</v>
      </c>
      <c r="S199" s="133">
        <f t="shared" si="61"/>
        <v>0.64</v>
      </c>
      <c r="T199" s="133">
        <f t="shared" si="62"/>
        <v>0.64</v>
      </c>
      <c r="U199" s="133">
        <f t="shared" si="62"/>
        <v>0.64</v>
      </c>
      <c r="V199" s="133">
        <f t="shared" si="62"/>
        <v>0.64</v>
      </c>
      <c r="W199" s="133">
        <f t="shared" si="62"/>
        <v>0.64</v>
      </c>
      <c r="X199" s="133">
        <f t="shared" si="62"/>
        <v>0.64</v>
      </c>
      <c r="Y199" s="133">
        <f t="shared" si="62"/>
        <v>0.64</v>
      </c>
      <c r="Z199" s="133">
        <f t="shared" si="62"/>
        <v>0.64</v>
      </c>
      <c r="AA199" s="133">
        <f t="shared" si="62"/>
        <v>0.64</v>
      </c>
      <c r="AB199" s="133">
        <f t="shared" si="62"/>
        <v>0.64</v>
      </c>
      <c r="AC199" s="133">
        <f t="shared" si="62"/>
        <v>0.64</v>
      </c>
      <c r="AD199" s="133">
        <f t="shared" si="62"/>
        <v>0.64</v>
      </c>
      <c r="AE199" s="133">
        <f t="shared" si="62"/>
        <v>0.64</v>
      </c>
      <c r="AF199" s="133">
        <f t="shared" si="62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3">SUM(D194:D199)</f>
        <v>3.54</v>
      </c>
      <c r="E200" s="136">
        <f t="shared" si="63"/>
        <v>3.54</v>
      </c>
      <c r="F200" s="136">
        <f t="shared" si="63"/>
        <v>3.54</v>
      </c>
      <c r="G200" s="136">
        <f t="shared" si="63"/>
        <v>3.54</v>
      </c>
      <c r="H200" s="136">
        <f t="shared" si="63"/>
        <v>3.54</v>
      </c>
      <c r="I200" s="136">
        <f t="shared" si="63"/>
        <v>3.54</v>
      </c>
      <c r="J200" s="136">
        <f t="shared" si="63"/>
        <v>3.54</v>
      </c>
      <c r="K200" s="136">
        <f t="shared" si="63"/>
        <v>3.54</v>
      </c>
      <c r="L200" s="136">
        <f t="shared" si="63"/>
        <v>3.54</v>
      </c>
      <c r="M200" s="136">
        <f>SUM(M194:M199)</f>
        <v>3.54</v>
      </c>
      <c r="N200" s="136">
        <f t="shared" ref="N200:S200" si="64">SUM(N194:N199)</f>
        <v>3.54</v>
      </c>
      <c r="O200" s="136">
        <f t="shared" si="64"/>
        <v>3.54</v>
      </c>
      <c r="P200" s="136">
        <f t="shared" si="64"/>
        <v>3.54</v>
      </c>
      <c r="Q200" s="136">
        <f t="shared" si="64"/>
        <v>3.54</v>
      </c>
      <c r="R200" s="136">
        <f t="shared" si="64"/>
        <v>3.54</v>
      </c>
      <c r="S200" s="136">
        <f t="shared" si="64"/>
        <v>3.54</v>
      </c>
      <c r="T200" s="136">
        <f>SUM(T194:T199)</f>
        <v>3.54</v>
      </c>
      <c r="U200" s="136">
        <f t="shared" ref="U200:AG200" si="65">SUM(U194:U199)</f>
        <v>3.54</v>
      </c>
      <c r="V200" s="136">
        <f t="shared" si="65"/>
        <v>3.54</v>
      </c>
      <c r="W200" s="136">
        <f t="shared" si="65"/>
        <v>3.54</v>
      </c>
      <c r="X200" s="136">
        <f t="shared" si="65"/>
        <v>3.54</v>
      </c>
      <c r="Y200" s="136">
        <f t="shared" si="65"/>
        <v>3.54</v>
      </c>
      <c r="Z200" s="136">
        <f t="shared" si="65"/>
        <v>3.54</v>
      </c>
      <c r="AA200" s="136">
        <f t="shared" si="65"/>
        <v>3.54</v>
      </c>
      <c r="AB200" s="136">
        <f t="shared" si="65"/>
        <v>3.54</v>
      </c>
      <c r="AC200" s="136">
        <f t="shared" si="65"/>
        <v>3.54</v>
      </c>
      <c r="AD200" s="136">
        <f t="shared" si="65"/>
        <v>3.54</v>
      </c>
      <c r="AE200" s="136">
        <f t="shared" si="65"/>
        <v>3.54</v>
      </c>
      <c r="AF200" s="136">
        <f t="shared" si="65"/>
        <v>3.54</v>
      </c>
      <c r="AG200" s="137">
        <f t="shared" si="65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1739.5400000000002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26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2079/02/26)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2079/02/26)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6">B75</f>
        <v>1754.8400000000001</v>
      </c>
      <c r="U214" s="161">
        <f t="shared" si="66"/>
        <v>1732.94</v>
      </c>
      <c r="V214" s="161">
        <f t="shared" si="66"/>
        <v>1738.74</v>
      </c>
      <c r="W214" s="161">
        <f t="shared" si="66"/>
        <v>1730.2400000000002</v>
      </c>
      <c r="X214" s="161">
        <f t="shared" si="66"/>
        <v>1727.14</v>
      </c>
      <c r="Y214" s="161">
        <f t="shared" si="66"/>
        <v>1708.7400000000002</v>
      </c>
      <c r="Z214" s="161">
        <f t="shared" si="66"/>
        <v>1684.8400000000001</v>
      </c>
      <c r="AA214" s="161">
        <f t="shared" si="66"/>
        <v>1699.24</v>
      </c>
      <c r="AB214" s="161">
        <f t="shared" si="66"/>
        <v>1704.14</v>
      </c>
      <c r="AC214" s="161">
        <f t="shared" si="66"/>
        <v>1718.54</v>
      </c>
      <c r="AD214" s="161">
        <f t="shared" si="66"/>
        <v>1720.24</v>
      </c>
      <c r="AE214" s="161">
        <f t="shared" si="66"/>
        <v>1705.9399999999998</v>
      </c>
      <c r="AF214" s="161">
        <f t="shared" si="66"/>
        <v>1739.5400000000002</v>
      </c>
      <c r="AG214" s="161">
        <f t="shared" si="66"/>
        <v>1783.3400000000001</v>
      </c>
      <c r="AH214" s="161">
        <f t="shared" si="66"/>
        <v>1775.2400000000002</v>
      </c>
      <c r="AI214" s="161">
        <f t="shared" si="66"/>
        <v>1765.94</v>
      </c>
      <c r="AJ214" s="161">
        <f t="shared" si="66"/>
        <v>1803.3400000000001</v>
      </c>
      <c r="AK214" s="161">
        <f t="shared" si="66"/>
        <v>1802.34</v>
      </c>
      <c r="AL214" s="161">
        <f t="shared" si="66"/>
        <v>1597.04</v>
      </c>
      <c r="AM214" s="161">
        <f t="shared" si="66"/>
        <v>1675.6399999999999</v>
      </c>
      <c r="AN214" s="161">
        <f t="shared" si="66"/>
        <v>1667.6399999999999</v>
      </c>
      <c r="AO214" s="161">
        <f t="shared" si="66"/>
        <v>1675.6399999999999</v>
      </c>
      <c r="AP214" s="161">
        <f t="shared" si="66"/>
        <v>1675.6399999999999</v>
      </c>
      <c r="AQ214" s="161">
        <f t="shared" si="66"/>
        <v>1711.6399999999999</v>
      </c>
      <c r="AR214" s="161">
        <f t="shared" si="66"/>
        <v>1711.6399999999999</v>
      </c>
      <c r="AS214" s="161">
        <f t="shared" si="66"/>
        <v>1728.84</v>
      </c>
      <c r="AT214" s="161">
        <f t="shared" si="66"/>
        <v>1801.54</v>
      </c>
      <c r="AU214" s="161">
        <f t="shared" si="66"/>
        <v>1802.8400000000001</v>
      </c>
      <c r="AV214" s="161">
        <f t="shared" si="66"/>
        <v>1786.3400000000001</v>
      </c>
      <c r="AW214" s="161">
        <f t="shared" si="66"/>
        <v>1805.14</v>
      </c>
      <c r="AX214" s="161">
        <f t="shared" si="66"/>
        <v>1793.4399999999998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7">C199</f>
        <v>0.64</v>
      </c>
      <c r="C235" s="164">
        <f t="shared" si="67"/>
        <v>0.64</v>
      </c>
      <c r="D235" s="164">
        <f t="shared" si="67"/>
        <v>0.64</v>
      </c>
      <c r="E235" s="164">
        <f t="shared" si="67"/>
        <v>0.64</v>
      </c>
      <c r="F235" s="164">
        <f t="shared" si="67"/>
        <v>0.64</v>
      </c>
      <c r="G235" s="164">
        <f t="shared" si="67"/>
        <v>0.64</v>
      </c>
      <c r="H235" s="164">
        <f t="shared" si="67"/>
        <v>0.64</v>
      </c>
      <c r="I235" s="164">
        <f t="shared" si="67"/>
        <v>0.64</v>
      </c>
      <c r="J235" s="164">
        <f t="shared" si="67"/>
        <v>0.64</v>
      </c>
      <c r="K235" s="164">
        <f t="shared" si="67"/>
        <v>0.64</v>
      </c>
      <c r="L235" s="164">
        <f t="shared" si="67"/>
        <v>0.64</v>
      </c>
      <c r="M235" s="164">
        <f t="shared" si="67"/>
        <v>0.64</v>
      </c>
      <c r="N235" s="164">
        <f t="shared" si="67"/>
        <v>0.64</v>
      </c>
      <c r="O235" s="164">
        <f t="shared" si="67"/>
        <v>0.64</v>
      </c>
      <c r="P235" s="164">
        <f t="shared" si="67"/>
        <v>0.64</v>
      </c>
      <c r="Q235" s="164">
        <f t="shared" si="67"/>
        <v>0.64</v>
      </c>
      <c r="R235" s="164">
        <f t="shared" si="67"/>
        <v>0.64</v>
      </c>
      <c r="S235" s="164">
        <f t="shared" si="67"/>
        <v>0.64</v>
      </c>
      <c r="T235" s="164">
        <f t="shared" si="67"/>
        <v>0.64</v>
      </c>
      <c r="U235" s="164">
        <f t="shared" si="67"/>
        <v>0.64</v>
      </c>
      <c r="V235" s="164">
        <f t="shared" si="67"/>
        <v>0.64</v>
      </c>
      <c r="W235" s="164">
        <f t="shared" si="67"/>
        <v>0.64</v>
      </c>
      <c r="X235" s="164">
        <f t="shared" si="67"/>
        <v>0.64</v>
      </c>
      <c r="Y235" s="164">
        <f t="shared" si="67"/>
        <v>0.64</v>
      </c>
      <c r="Z235" s="164">
        <f t="shared" si="67"/>
        <v>0.64</v>
      </c>
      <c r="AA235" s="164">
        <f t="shared" si="67"/>
        <v>0.64</v>
      </c>
      <c r="AB235" s="164">
        <f t="shared" si="67"/>
        <v>0.64</v>
      </c>
      <c r="AC235" s="164">
        <f t="shared" si="67"/>
        <v>0.64</v>
      </c>
      <c r="AD235" s="164">
        <f t="shared" si="67"/>
        <v>0.64</v>
      </c>
      <c r="AE235" s="164">
        <f t="shared" si="67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8">IF(C203&lt;100,"",C203-520)</f>
        <v/>
      </c>
      <c r="D236" s="107" t="str">
        <f t="shared" si="68"/>
        <v/>
      </c>
      <c r="E236" s="107" t="str">
        <f t="shared" si="68"/>
        <v/>
      </c>
      <c r="F236" s="107" t="str">
        <f t="shared" si="68"/>
        <v/>
      </c>
      <c r="G236" s="107" t="str">
        <f t="shared" si="68"/>
        <v/>
      </c>
      <c r="H236" s="107" t="str">
        <f t="shared" si="68"/>
        <v/>
      </c>
      <c r="I236" s="107" t="str">
        <f t="shared" si="68"/>
        <v/>
      </c>
      <c r="J236" s="107" t="str">
        <f t="shared" si="68"/>
        <v/>
      </c>
      <c r="K236" s="107" t="str">
        <f t="shared" si="68"/>
        <v/>
      </c>
      <c r="L236" s="107" t="str">
        <f t="shared" si="68"/>
        <v/>
      </c>
      <c r="M236" s="107" t="str">
        <f t="shared" si="68"/>
        <v/>
      </c>
      <c r="N236" s="107" t="str">
        <f t="shared" si="68"/>
        <v/>
      </c>
      <c r="O236" s="107" t="str">
        <f t="shared" si="68"/>
        <v/>
      </c>
      <c r="P236" s="107" t="str">
        <f t="shared" si="68"/>
        <v/>
      </c>
      <c r="Q236" s="107" t="str">
        <f t="shared" si="68"/>
        <v/>
      </c>
      <c r="R236" s="107" t="str">
        <f t="shared" si="68"/>
        <v/>
      </c>
      <c r="S236" s="107" t="str">
        <f t="shared" si="68"/>
        <v/>
      </c>
      <c r="T236" s="107" t="str">
        <f t="shared" si="68"/>
        <v/>
      </c>
      <c r="U236" s="107" t="str">
        <f t="shared" si="68"/>
        <v/>
      </c>
      <c r="V236" s="107" t="str">
        <f t="shared" si="68"/>
        <v/>
      </c>
      <c r="W236" s="107" t="str">
        <f t="shared" si="68"/>
        <v/>
      </c>
      <c r="X236" s="107" t="str">
        <f t="shared" si="68"/>
        <v/>
      </c>
      <c r="Y236" s="107" t="str">
        <f t="shared" si="68"/>
        <v/>
      </c>
      <c r="Z236" s="107" t="str">
        <f t="shared" si="68"/>
        <v/>
      </c>
      <c r="AA236" s="107" t="str">
        <f t="shared" si="68"/>
        <v/>
      </c>
      <c r="AB236" s="107" t="str">
        <f t="shared" si="68"/>
        <v/>
      </c>
      <c r="AC236" s="107" t="str">
        <f t="shared" si="68"/>
        <v/>
      </c>
      <c r="AD236" s="107" t="str">
        <f t="shared" si="68"/>
        <v/>
      </c>
      <c r="AE236" s="107" t="str">
        <f t="shared" si="68"/>
        <v/>
      </c>
      <c r="AF236" s="107" t="str">
        <f t="shared" si="68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9">IF(B204&lt;100,"",B204-620)</f>
        <v/>
      </c>
      <c r="C237" s="107" t="str">
        <f t="shared" si="69"/>
        <v/>
      </c>
      <c r="D237" s="107" t="str">
        <f t="shared" si="69"/>
        <v/>
      </c>
      <c r="E237" s="107" t="str">
        <f t="shared" si="69"/>
        <v/>
      </c>
      <c r="F237" s="107" t="str">
        <f t="shared" si="69"/>
        <v/>
      </c>
      <c r="G237" s="107" t="str">
        <f t="shared" si="69"/>
        <v/>
      </c>
      <c r="H237" s="107" t="str">
        <f t="shared" si="69"/>
        <v/>
      </c>
      <c r="I237" s="107" t="str">
        <f t="shared" si="69"/>
        <v/>
      </c>
      <c r="J237" s="107" t="str">
        <f t="shared" si="69"/>
        <v/>
      </c>
      <c r="K237" s="107" t="str">
        <f t="shared" si="69"/>
        <v/>
      </c>
      <c r="L237" s="107" t="str">
        <f t="shared" si="69"/>
        <v/>
      </c>
      <c r="M237" s="107" t="str">
        <f t="shared" si="69"/>
        <v/>
      </c>
      <c r="N237" s="107" t="str">
        <f t="shared" si="69"/>
        <v/>
      </c>
      <c r="O237" s="107" t="str">
        <f t="shared" si="69"/>
        <v/>
      </c>
      <c r="P237" s="107" t="str">
        <f t="shared" si="69"/>
        <v/>
      </c>
      <c r="Q237" s="107" t="str">
        <f t="shared" si="69"/>
        <v/>
      </c>
      <c r="R237" s="107" t="str">
        <f t="shared" si="69"/>
        <v/>
      </c>
      <c r="S237" s="107" t="str">
        <f t="shared" si="69"/>
        <v/>
      </c>
      <c r="T237" s="107" t="str">
        <f t="shared" si="69"/>
        <v/>
      </c>
      <c r="U237" s="107" t="str">
        <f t="shared" si="69"/>
        <v/>
      </c>
      <c r="V237" s="107" t="str">
        <f t="shared" si="69"/>
        <v/>
      </c>
      <c r="W237" s="107" t="str">
        <f t="shared" si="69"/>
        <v/>
      </c>
      <c r="X237" s="107" t="str">
        <f t="shared" si="69"/>
        <v/>
      </c>
      <c r="Y237" s="107" t="str">
        <f t="shared" si="69"/>
        <v/>
      </c>
      <c r="Z237" s="107" t="str">
        <f t="shared" si="69"/>
        <v/>
      </c>
      <c r="AA237" s="107" t="str">
        <f t="shared" si="69"/>
        <v/>
      </c>
      <c r="AB237" s="107" t="str">
        <f t="shared" si="69"/>
        <v/>
      </c>
      <c r="AC237" s="107" t="str">
        <f t="shared" si="69"/>
        <v/>
      </c>
      <c r="AD237" s="107" t="str">
        <f t="shared" si="69"/>
        <v/>
      </c>
      <c r="AE237" s="107" t="str">
        <f t="shared" si="69"/>
        <v/>
      </c>
      <c r="AF237" s="107" t="str">
        <f t="shared" si="69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70">IF(B205&lt;100,"",B205-330)</f>
        <v/>
      </c>
      <c r="C238" s="107" t="str">
        <f t="shared" si="70"/>
        <v/>
      </c>
      <c r="D238" s="107" t="str">
        <f t="shared" si="70"/>
        <v/>
      </c>
      <c r="E238" s="107" t="str">
        <f t="shared" si="70"/>
        <v/>
      </c>
      <c r="F238" s="107" t="str">
        <f t="shared" si="70"/>
        <v/>
      </c>
      <c r="G238" s="107" t="str">
        <f t="shared" si="70"/>
        <v/>
      </c>
      <c r="H238" s="107" t="str">
        <f t="shared" si="70"/>
        <v/>
      </c>
      <c r="I238" s="107" t="str">
        <f t="shared" si="70"/>
        <v/>
      </c>
      <c r="J238" s="107" t="str">
        <f t="shared" si="70"/>
        <v/>
      </c>
      <c r="K238" s="107" t="str">
        <f t="shared" si="70"/>
        <v/>
      </c>
      <c r="L238" s="107" t="str">
        <f t="shared" si="70"/>
        <v/>
      </c>
      <c r="M238" s="107" t="str">
        <f t="shared" si="70"/>
        <v/>
      </c>
      <c r="N238" s="107" t="str">
        <f t="shared" si="70"/>
        <v/>
      </c>
      <c r="O238" s="107" t="str">
        <f t="shared" si="70"/>
        <v/>
      </c>
      <c r="P238" s="107" t="str">
        <f t="shared" si="70"/>
        <v/>
      </c>
      <c r="Q238" s="107" t="str">
        <f t="shared" si="70"/>
        <v/>
      </c>
      <c r="R238" s="107" t="str">
        <f t="shared" si="70"/>
        <v/>
      </c>
      <c r="S238" s="107" t="str">
        <f t="shared" si="70"/>
        <v/>
      </c>
      <c r="T238" s="107" t="str">
        <f t="shared" si="70"/>
        <v/>
      </c>
      <c r="U238" s="107" t="str">
        <f t="shared" si="70"/>
        <v/>
      </c>
      <c r="V238" s="107" t="str">
        <f t="shared" si="70"/>
        <v/>
      </c>
      <c r="W238" s="107" t="str">
        <f t="shared" si="70"/>
        <v/>
      </c>
      <c r="X238" s="107" t="str">
        <f t="shared" si="70"/>
        <v/>
      </c>
      <c r="Y238" s="107" t="str">
        <f t="shared" si="70"/>
        <v/>
      </c>
      <c r="Z238" s="107" t="str">
        <f t="shared" si="70"/>
        <v/>
      </c>
      <c r="AA238" s="107" t="str">
        <f t="shared" si="70"/>
        <v/>
      </c>
      <c r="AB238" s="107" t="str">
        <f t="shared" si="70"/>
        <v/>
      </c>
      <c r="AC238" s="107" t="str">
        <f t="shared" si="70"/>
        <v/>
      </c>
      <c r="AD238" s="107" t="str">
        <f t="shared" si="70"/>
        <v/>
      </c>
      <c r="AE238" s="107" t="str">
        <f t="shared" si="70"/>
        <v/>
      </c>
      <c r="AF238" s="107" t="str">
        <f t="shared" si="70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71">IF(C206&lt;100,"",C206-1500)</f>
        <v/>
      </c>
      <c r="D239" s="107" t="str">
        <f t="shared" si="71"/>
        <v/>
      </c>
      <c r="E239" s="107" t="str">
        <f t="shared" si="71"/>
        <v/>
      </c>
      <c r="F239" s="107" t="str">
        <f t="shared" si="71"/>
        <v/>
      </c>
      <c r="G239" s="107" t="str">
        <f t="shared" si="71"/>
        <v/>
      </c>
      <c r="H239" s="107" t="str">
        <f t="shared" si="71"/>
        <v/>
      </c>
      <c r="I239" s="107" t="str">
        <f t="shared" si="71"/>
        <v/>
      </c>
      <c r="J239" s="107" t="str">
        <f t="shared" si="71"/>
        <v/>
      </c>
      <c r="K239" s="107" t="str">
        <f t="shared" si="71"/>
        <v/>
      </c>
      <c r="L239" s="107" t="str">
        <f t="shared" si="71"/>
        <v/>
      </c>
      <c r="M239" s="107" t="str">
        <f t="shared" si="71"/>
        <v/>
      </c>
      <c r="N239" s="107" t="str">
        <f t="shared" si="71"/>
        <v/>
      </c>
      <c r="O239" s="107" t="str">
        <f t="shared" si="71"/>
        <v/>
      </c>
      <c r="P239" s="107" t="str">
        <f t="shared" si="71"/>
        <v/>
      </c>
      <c r="Q239" s="107" t="str">
        <f t="shared" si="71"/>
        <v/>
      </c>
      <c r="R239" s="107" t="str">
        <f t="shared" si="71"/>
        <v/>
      </c>
      <c r="S239" s="107" t="str">
        <f t="shared" si="71"/>
        <v/>
      </c>
      <c r="T239" s="107" t="str">
        <f t="shared" si="71"/>
        <v/>
      </c>
      <c r="U239" s="107" t="str">
        <f t="shared" si="71"/>
        <v/>
      </c>
      <c r="V239" s="107" t="str">
        <f t="shared" si="71"/>
        <v/>
      </c>
      <c r="W239" s="107" t="str">
        <f t="shared" si="71"/>
        <v/>
      </c>
      <c r="X239" s="107" t="str">
        <f t="shared" si="71"/>
        <v/>
      </c>
      <c r="Y239" s="107" t="str">
        <f t="shared" si="71"/>
        <v/>
      </c>
      <c r="Z239" s="107" t="str">
        <f t="shared" si="71"/>
        <v/>
      </c>
      <c r="AA239" s="107" t="str">
        <f t="shared" si="71"/>
        <v/>
      </c>
      <c r="AB239" s="107" t="str">
        <f t="shared" si="71"/>
        <v/>
      </c>
      <c r="AC239" s="107" t="str">
        <f t="shared" si="71"/>
        <v/>
      </c>
      <c r="AD239" s="107" t="str">
        <f t="shared" si="71"/>
        <v/>
      </c>
      <c r="AE239" s="107" t="str">
        <f t="shared" si="71"/>
        <v/>
      </c>
      <c r="AF239" s="107" t="str">
        <f t="shared" si="71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">
    <cfRule type="expression" dxfId="1520" priority="210">
      <formula>B$9&gt;=20/24</formula>
    </cfRule>
    <cfRule type="expression" dxfId="1519" priority="211">
      <formula>AND(B$9&gt;=14/24,B$9&lt;20/24)</formula>
    </cfRule>
    <cfRule type="expression" dxfId="1518" priority="212">
      <formula>AND(B$9&gt;=8/24,B$9&lt;14/24)</formula>
    </cfRule>
    <cfRule type="expression" dxfId="1517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1516" priority="205">
      <formula>AB$9&gt;=20/24</formula>
    </cfRule>
    <cfRule type="expression" dxfId="1515" priority="206">
      <formula>AND(AB$9&gt;=14/24,AB$9&lt;20/24)</formula>
    </cfRule>
    <cfRule type="expression" dxfId="1514" priority="207">
      <formula>AND(AB$9&gt;=8/24,AB$9&lt;14/24)</formula>
    </cfRule>
    <cfRule type="expression" dxfId="1513" priority="208">
      <formula>AB$9&lt;8/24</formula>
    </cfRule>
  </conditionalFormatting>
  <conditionalFormatting sqref="AG51 B12:D16 M11:P11 E16:P16 AB37:AF37 Q11:AF16">
    <cfRule type="expression" dxfId="1512" priority="204">
      <formula>B11&gt;$AG11</formula>
    </cfRule>
  </conditionalFormatting>
  <conditionalFormatting sqref="A101:A157 A84:A97 A11:A14 A45:A72 A80:A82 A74:A78 A35:A43 A170:A200 A16:A32">
    <cfRule type="expression" dxfId="1511" priority="203">
      <formula>$AH11=0</formula>
    </cfRule>
  </conditionalFormatting>
  <conditionalFormatting sqref="A98">
    <cfRule type="expression" dxfId="1510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509" priority="200">
      <formula>$AH34=0</formula>
    </cfRule>
  </conditionalFormatting>
  <conditionalFormatting sqref="A83">
    <cfRule type="expression" dxfId="1508" priority="199">
      <formula>$AH83=0</formula>
    </cfRule>
  </conditionalFormatting>
  <conditionalFormatting sqref="A15">
    <cfRule type="expression" dxfId="1507" priority="198">
      <formula>$AH15=0</formula>
    </cfRule>
  </conditionalFormatting>
  <conditionalFormatting sqref="A164:A169">
    <cfRule type="expression" dxfId="1506" priority="197">
      <formula>$AH164=0</formula>
    </cfRule>
  </conditionalFormatting>
  <conditionalFormatting sqref="A158:A163">
    <cfRule type="expression" dxfId="1505" priority="196">
      <formula>$AH158=0</formula>
    </cfRule>
  </conditionalFormatting>
  <conditionalFormatting sqref="A44">
    <cfRule type="expression" dxfId="1504" priority="195">
      <formula>$AH44=0</formula>
    </cfRule>
  </conditionalFormatting>
  <conditionalFormatting sqref="A79">
    <cfRule type="expression" dxfId="1503" priority="194">
      <formula>$AH79=0</formula>
    </cfRule>
  </conditionalFormatting>
  <conditionalFormatting sqref="A73">
    <cfRule type="expression" dxfId="1502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501" priority="189">
      <formula>C$9&gt;=20/24</formula>
    </cfRule>
    <cfRule type="expression" dxfId="1500" priority="190">
      <formula>AND(C$9&gt;=14/24,C$9&lt;20/24)</formula>
    </cfRule>
    <cfRule type="expression" dxfId="1499" priority="191">
      <formula>AND(C$9&gt;=8/24,C$9&lt;14/24)</formula>
    </cfRule>
    <cfRule type="expression" dxfId="1498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97" priority="217">
      <formula>C$9&gt;=20/24</formula>
    </cfRule>
    <cfRule type="expression" dxfId="1496" priority="218">
      <formula>AND(C$9&gt;=14/24,C$9&lt;20/24)</formula>
    </cfRule>
    <cfRule type="expression" dxfId="1495" priority="219">
      <formula>AND(C$9&gt;=8/24,C$9&lt;14/24)</formula>
    </cfRule>
    <cfRule type="expression" dxfId="1494" priority="220">
      <formula>C$9&lt;8/24</formula>
    </cfRule>
  </conditionalFormatting>
  <conditionalFormatting sqref="A201">
    <cfRule type="expression" dxfId="1493" priority="221">
      <formula>$AH201=0</formula>
    </cfRule>
  </conditionalFormatting>
  <conditionalFormatting sqref="AG213">
    <cfRule type="expression" dxfId="1492" priority="222">
      <formula>B$9&gt;=20/24</formula>
    </cfRule>
    <cfRule type="expression" dxfId="1491" priority="223">
      <formula>AND(B$9&gt;=14/24,B$9&lt;20/24)</formula>
    </cfRule>
    <cfRule type="expression" dxfId="1490" priority="224">
      <formula>AND(B$9&gt;=8/24,B$9&lt;14/24)</formula>
    </cfRule>
    <cfRule type="expression" dxfId="1489" priority="225">
      <formula>B$9&lt;8/24</formula>
    </cfRule>
  </conditionalFormatting>
  <conditionalFormatting sqref="S8">
    <cfRule type="expression" dxfId="1488" priority="184">
      <formula>U$9&gt;=20/24</formula>
    </cfRule>
    <cfRule type="expression" dxfId="1487" priority="185">
      <formula>AND(U$9&gt;=14/24,U$9&lt;20/24)</formula>
    </cfRule>
    <cfRule type="expression" dxfId="1486" priority="186">
      <formula>AND(U$9&gt;=8/24,U$9&lt;14/24)</formula>
    </cfRule>
    <cfRule type="expression" dxfId="1485" priority="187">
      <formula>U$9&lt;8/24</formula>
    </cfRule>
  </conditionalFormatting>
  <conditionalFormatting sqref="AB8">
    <cfRule type="expression" dxfId="1484" priority="180">
      <formula>AD$9&gt;=20/24</formula>
    </cfRule>
    <cfRule type="expression" dxfId="1483" priority="181">
      <formula>AND(AD$9&gt;=14/24,AD$9&lt;20/24)</formula>
    </cfRule>
    <cfRule type="expression" dxfId="1482" priority="182">
      <formula>AND(AD$9&gt;=8/24,AD$9&lt;14/24)</formula>
    </cfRule>
    <cfRule type="expression" dxfId="1481" priority="183">
      <formula>AD$9&lt;8/24</formula>
    </cfRule>
  </conditionalFormatting>
  <conditionalFormatting sqref="AH213:AX213">
    <cfRule type="expression" dxfId="1480" priority="226">
      <formula>AG$9&gt;=20/24</formula>
    </cfRule>
    <cfRule type="expression" dxfId="1479" priority="227">
      <formula>AND(AG$9&gt;=14/24,AG$9&lt;20/24)</formula>
    </cfRule>
    <cfRule type="expression" dxfId="1478" priority="228">
      <formula>AND(AG$9&gt;=8/24,AG$9&lt;14/24)</formula>
    </cfRule>
    <cfRule type="expression" dxfId="1477" priority="229">
      <formula>AG$9&lt;8/24</formula>
    </cfRule>
  </conditionalFormatting>
  <conditionalFormatting sqref="T213">
    <cfRule type="expression" dxfId="1476" priority="230">
      <formula>AX$9&gt;=20/24</formula>
    </cfRule>
    <cfRule type="expression" dxfId="1475" priority="231">
      <formula>AND(AX$9&gt;=14/24,AX$9&lt;20/24)</formula>
    </cfRule>
    <cfRule type="expression" dxfId="1474" priority="232">
      <formula>AND(AX$9&gt;=8/24,AX$9&lt;14/24)</formula>
    </cfRule>
    <cfRule type="expression" dxfId="1473" priority="233">
      <formula>AX$9&lt;8/24</formula>
    </cfRule>
  </conditionalFormatting>
  <conditionalFormatting sqref="A99:A100">
    <cfRule type="expression" dxfId="1472" priority="179">
      <formula>$AH99=0</formula>
    </cfRule>
  </conditionalFormatting>
  <conditionalFormatting sqref="E11:L11 E40:L41 AB40:AF41 C57:AF57">
    <cfRule type="expression" dxfId="1471" priority="175">
      <formula>C$9&gt;=20/24</formula>
    </cfRule>
    <cfRule type="expression" dxfId="1470" priority="176">
      <formula>AND(C$9&gt;=14/24,C$9&lt;20/24)</formula>
    </cfRule>
    <cfRule type="expression" dxfId="1469" priority="177">
      <formula>AND(C$9&gt;=8/24,C$9&lt;14/24)</formula>
    </cfRule>
    <cfRule type="expression" dxfId="1468" priority="178">
      <formula>C$9&lt;8/24</formula>
    </cfRule>
  </conditionalFormatting>
  <conditionalFormatting sqref="E39:L39 AB39:AF39">
    <cfRule type="expression" dxfId="1467" priority="171">
      <formula>E$9&gt;=20/24</formula>
    </cfRule>
    <cfRule type="expression" dxfId="1466" priority="172">
      <formula>AND(E$9&gt;=14/24,E$9&lt;20/24)</formula>
    </cfRule>
    <cfRule type="expression" dxfId="1465" priority="173">
      <formula>AND(E$9&gt;=8/24,E$9&lt;14/24)</formula>
    </cfRule>
    <cfRule type="expression" dxfId="1464" priority="174">
      <formula>E$9&lt;8/24</formula>
    </cfRule>
  </conditionalFormatting>
  <conditionalFormatting sqref="E11:L11 E39:L41 AB39:AF41">
    <cfRule type="expression" dxfId="1463" priority="170">
      <formula>E11&gt;$AG11</formula>
    </cfRule>
  </conditionalFormatting>
  <conditionalFormatting sqref="M11:N11 C81:AF81 C58:T59 C69:AF72 M64:M66 C67:M67 C60:M63 M37:R37 E12:N14 E36:R36 N60:T67 C53:AF56 C85:AF91 S36:AA37 M24:AF26 O11:AF14 M16:AF16 M18:AF22 M28:AF31 AB36:AF36 U58:AF67">
    <cfRule type="expression" dxfId="1462" priority="166">
      <formula>C$9&gt;=20/24</formula>
    </cfRule>
    <cfRule type="expression" dxfId="1461" priority="167">
      <formula>AND(C$9&gt;=14/24,C$9&lt;20/24)</formula>
    </cfRule>
    <cfRule type="expression" dxfId="1460" priority="168">
      <formula>AND(C$9&gt;=8/24,C$9&lt;14/24)</formula>
    </cfRule>
    <cfRule type="expression" dxfId="1459" priority="169">
      <formula>C$9&lt;8/24</formula>
    </cfRule>
  </conditionalFormatting>
  <conditionalFormatting sqref="M32:AF32">
    <cfRule type="expression" dxfId="1458" priority="162">
      <formula>M$9&gt;=20/24</formula>
    </cfRule>
    <cfRule type="expression" dxfId="1457" priority="163">
      <formula>AND(M$9&gt;=14/24,M$9&lt;20/24)</formula>
    </cfRule>
    <cfRule type="expression" dxfId="1456" priority="164">
      <formula>AND(M$9&gt;=8/24,M$9&lt;14/24)</formula>
    </cfRule>
    <cfRule type="expression" dxfId="1455" priority="165">
      <formula>M$9&lt;8/24</formula>
    </cfRule>
  </conditionalFormatting>
  <conditionalFormatting sqref="M35:AF35">
    <cfRule type="expression" dxfId="1454" priority="158">
      <formula>M$9&gt;=20/24</formula>
    </cfRule>
    <cfRule type="expression" dxfId="1453" priority="159">
      <formula>AND(M$9&gt;=14/24,M$9&lt;20/24)</formula>
    </cfRule>
    <cfRule type="expression" dxfId="1452" priority="160">
      <formula>AND(M$9&gt;=8/24,M$9&lt;14/24)</formula>
    </cfRule>
    <cfRule type="expression" dxfId="1451" priority="161">
      <formula>M$9&lt;8/24</formula>
    </cfRule>
  </conditionalFormatting>
  <conditionalFormatting sqref="E42:G43 M11:N11 E36 C51:AF51 C37:E37 F44:G44 F36:L37 H42:L44 E12:N15 O11:P15 C53:AF56 M34:AA37 Q11:AF11 M18:AF22 AB34:AF36 M24:AF32 AB42:AF43">
    <cfRule type="expression" dxfId="1450" priority="157">
      <formula>C11&gt;$AG11</formula>
    </cfRule>
  </conditionalFormatting>
  <conditionalFormatting sqref="M34:AF34">
    <cfRule type="expression" dxfId="1449" priority="153">
      <formula>M$9&gt;=20/24</formula>
    </cfRule>
    <cfRule type="expression" dxfId="1448" priority="154">
      <formula>AND(M$9&gt;=14/24,M$9&lt;20/24)</formula>
    </cfRule>
    <cfRule type="expression" dxfId="1447" priority="155">
      <formula>AND(M$9&gt;=8/24,M$9&lt;14/24)</formula>
    </cfRule>
    <cfRule type="expression" dxfId="1446" priority="156">
      <formula>M$9&lt;8/24</formula>
    </cfRule>
  </conditionalFormatting>
  <conditionalFormatting sqref="E15:AF15">
    <cfRule type="expression" dxfId="1445" priority="149">
      <formula>E$9&gt;=20/24</formula>
    </cfRule>
    <cfRule type="expression" dxfId="1444" priority="150">
      <formula>AND(E$9&gt;=14/24,E$9&lt;20/24)</formula>
    </cfRule>
    <cfRule type="expression" dxfId="1443" priority="151">
      <formula>AND(E$9&gt;=8/24,E$9&lt;14/24)</formula>
    </cfRule>
    <cfRule type="expression" dxfId="1442" priority="152">
      <formula>E$9&lt;8/24</formula>
    </cfRule>
  </conditionalFormatting>
  <conditionalFormatting sqref="M33:AF33">
    <cfRule type="expression" dxfId="1441" priority="145">
      <formula>M$9&gt;=20/24</formula>
    </cfRule>
    <cfRule type="expression" dxfId="1440" priority="146">
      <formula>AND(M$9&gt;=14/24,M$9&lt;20/24)</formula>
    </cfRule>
    <cfRule type="expression" dxfId="1439" priority="147">
      <formula>AND(M$9&gt;=8/24,M$9&lt;14/24)</formula>
    </cfRule>
    <cfRule type="expression" dxfId="1438" priority="148">
      <formula>M$9&lt;8/24</formula>
    </cfRule>
  </conditionalFormatting>
  <conditionalFormatting sqref="M33:AF33">
    <cfRule type="expression" dxfId="1437" priority="144">
      <formula>M33&gt;$AG33</formula>
    </cfRule>
  </conditionalFormatting>
  <conditionalFormatting sqref="AB44:AF44">
    <cfRule type="expression" dxfId="1436" priority="136">
      <formula>AB$9&gt;=20/24</formula>
    </cfRule>
    <cfRule type="expression" dxfId="1435" priority="137">
      <formula>AND(AB$9&gt;=14/24,AB$9&lt;20/24)</formula>
    </cfRule>
    <cfRule type="expression" dxfId="1434" priority="138">
      <formula>AND(AB$9&gt;=8/24,AB$9&lt;14/24)</formula>
    </cfRule>
    <cfRule type="expression" dxfId="1433" priority="139">
      <formula>AB$9&lt;8/24</formula>
    </cfRule>
  </conditionalFormatting>
  <conditionalFormatting sqref="AB44:AF44">
    <cfRule type="expression" dxfId="1432" priority="135">
      <formula>AB44&gt;$AG44</formula>
    </cfRule>
  </conditionalFormatting>
  <conditionalFormatting sqref="M39:AA50 AB45:AF50">
    <cfRule type="expression" dxfId="1431" priority="131">
      <formula>M$9&gt;=20/24</formula>
    </cfRule>
    <cfRule type="expression" dxfId="1430" priority="132">
      <formula>AND(M$9&gt;=14/24,M$9&lt;20/24)</formula>
    </cfRule>
    <cfRule type="expression" dxfId="1429" priority="133">
      <formula>AND(M$9&gt;=8/24,M$9&lt;14/24)</formula>
    </cfRule>
    <cfRule type="expression" dxfId="1428" priority="134">
      <formula>M$9&lt;8/24</formula>
    </cfRule>
  </conditionalFormatting>
  <conditionalFormatting sqref="M39:AA50 AB45:AF50">
    <cfRule type="expression" dxfId="1427" priority="130">
      <formula>M39&gt;$AG39</formula>
    </cfRule>
  </conditionalFormatting>
  <conditionalFormatting sqref="M27:AF27">
    <cfRule type="expression" dxfId="1426" priority="126">
      <formula>M$9&gt;=20/24</formula>
    </cfRule>
    <cfRule type="expression" dxfId="1425" priority="127">
      <formula>AND(M$9&gt;=14/24,M$9&lt;20/24)</formula>
    </cfRule>
    <cfRule type="expression" dxfId="1424" priority="128">
      <formula>AND(M$9&gt;=8/24,M$9&lt;14/24)</formula>
    </cfRule>
    <cfRule type="expression" dxfId="1423" priority="129">
      <formula>M$9&lt;8/24</formula>
    </cfRule>
  </conditionalFormatting>
  <conditionalFormatting sqref="E16:L31 M23:AF23 M17:AF17">
    <cfRule type="expression" dxfId="1422" priority="122">
      <formula>E$9&gt;=20/24</formula>
    </cfRule>
    <cfRule type="expression" dxfId="1421" priority="123">
      <formula>AND(E$9&gt;=14/24,E$9&lt;20/24)</formula>
    </cfRule>
    <cfRule type="expression" dxfId="1420" priority="124">
      <formula>AND(E$9&gt;=8/24,E$9&lt;14/24)</formula>
    </cfRule>
    <cfRule type="expression" dxfId="1419" priority="125">
      <formula>E$9&lt;8/24</formula>
    </cfRule>
  </conditionalFormatting>
  <conditionalFormatting sqref="E32:L32">
    <cfRule type="expression" dxfId="1418" priority="118">
      <formula>E$9&gt;=20/24</formula>
    </cfRule>
    <cfRule type="expression" dxfId="1417" priority="119">
      <formula>AND(E$9&gt;=14/24,E$9&lt;20/24)</formula>
    </cfRule>
    <cfRule type="expression" dxfId="1416" priority="120">
      <formula>AND(E$9&gt;=8/24,E$9&lt;14/24)</formula>
    </cfRule>
    <cfRule type="expression" dxfId="1415" priority="121">
      <formula>E$9&lt;8/24</formula>
    </cfRule>
  </conditionalFormatting>
  <conditionalFormatting sqref="B35:L35">
    <cfRule type="expression" dxfId="1414" priority="114">
      <formula>B$9&gt;=20/24</formula>
    </cfRule>
    <cfRule type="expression" dxfId="1413" priority="115">
      <formula>AND(B$9&gt;=14/24,B$9&lt;20/24)</formula>
    </cfRule>
    <cfRule type="expression" dxfId="1412" priority="116">
      <formula>AND(B$9&gt;=8/24,B$9&lt;14/24)</formula>
    </cfRule>
    <cfRule type="expression" dxfId="1411" priority="117">
      <formula>B$9&lt;8/24</formula>
    </cfRule>
  </conditionalFormatting>
  <conditionalFormatting sqref="E17:L32 E34:L34 B35:L35 M23:AF23 M17:AF17">
    <cfRule type="expression" dxfId="1410" priority="113">
      <formula>B17&gt;$AG17</formula>
    </cfRule>
  </conditionalFormatting>
  <conditionalFormatting sqref="E34:L34">
    <cfRule type="expression" dxfId="1409" priority="109">
      <formula>E$9&gt;=20/24</formula>
    </cfRule>
    <cfRule type="expression" dxfId="1408" priority="110">
      <formula>AND(E$9&gt;=14/24,E$9&lt;20/24)</formula>
    </cfRule>
    <cfRule type="expression" dxfId="1407" priority="111">
      <formula>AND(E$9&gt;=8/24,E$9&lt;14/24)</formula>
    </cfRule>
    <cfRule type="expression" dxfId="1406" priority="112">
      <formula>E$9&lt;8/24</formula>
    </cfRule>
  </conditionalFormatting>
  <conditionalFormatting sqref="E33:L33">
    <cfRule type="expression" dxfId="1405" priority="101">
      <formula>E$9&gt;=20/24</formula>
    </cfRule>
    <cfRule type="expression" dxfId="1404" priority="102">
      <formula>AND(E$9&gt;=14/24,E$9&lt;20/24)</formula>
    </cfRule>
    <cfRule type="expression" dxfId="1403" priority="103">
      <formula>AND(E$9&gt;=8/24,E$9&lt;14/24)</formula>
    </cfRule>
    <cfRule type="expression" dxfId="1402" priority="104">
      <formula>E$9&lt;8/24</formula>
    </cfRule>
  </conditionalFormatting>
  <conditionalFormatting sqref="E33:L33">
    <cfRule type="expression" dxfId="1401" priority="100">
      <formula>E33&gt;$AG33</formula>
    </cfRule>
  </conditionalFormatting>
  <conditionalFormatting sqref="C40:D41">
    <cfRule type="expression" dxfId="1400" priority="96">
      <formula>C$9&gt;=20/24</formula>
    </cfRule>
    <cfRule type="expression" dxfId="1399" priority="97">
      <formula>AND(C$9&gt;=14/24,C$9&lt;20/24)</formula>
    </cfRule>
    <cfRule type="expression" dxfId="1398" priority="98">
      <formula>AND(C$9&gt;=8/24,C$9&lt;14/24)</formula>
    </cfRule>
    <cfRule type="expression" dxfId="1397" priority="99">
      <formula>C$9&lt;8/24</formula>
    </cfRule>
  </conditionalFormatting>
  <conditionalFormatting sqref="C39:D39">
    <cfRule type="expression" dxfId="1396" priority="92">
      <formula>C$9&gt;=20/24</formula>
    </cfRule>
    <cfRule type="expression" dxfId="1395" priority="93">
      <formula>AND(C$9&gt;=14/24,C$9&lt;20/24)</formula>
    </cfRule>
    <cfRule type="expression" dxfId="1394" priority="94">
      <formula>AND(C$9&gt;=8/24,C$9&lt;14/24)</formula>
    </cfRule>
    <cfRule type="expression" dxfId="1393" priority="95">
      <formula>C$9&lt;8/24</formula>
    </cfRule>
  </conditionalFormatting>
  <conditionalFormatting sqref="C39:D41">
    <cfRule type="expression" dxfId="1392" priority="91">
      <formula>C39&gt;$AG39</formula>
    </cfRule>
  </conditionalFormatting>
  <conditionalFormatting sqref="C64:L66">
    <cfRule type="expression" dxfId="1391" priority="87">
      <formula>C$9&gt;=20/24</formula>
    </cfRule>
    <cfRule type="expression" dxfId="1390" priority="88">
      <formula>AND(C$9&gt;=14/24,C$9&lt;20/24)</formula>
    </cfRule>
    <cfRule type="expression" dxfId="1389" priority="89">
      <formula>AND(C$9&gt;=8/24,C$9&lt;14/24)</formula>
    </cfRule>
    <cfRule type="expression" dxfId="1388" priority="90">
      <formula>C$9&lt;8/24</formula>
    </cfRule>
  </conditionalFormatting>
  <conditionalFormatting sqref="C42:D43">
    <cfRule type="expression" dxfId="1387" priority="86">
      <formula>C42&gt;$AG42</formula>
    </cfRule>
  </conditionalFormatting>
  <conditionalFormatting sqref="E44:E50 C44:D47 F45:L50">
    <cfRule type="expression" dxfId="1386" priority="82">
      <formula>C$9&gt;=20/24</formula>
    </cfRule>
    <cfRule type="expression" dxfId="1385" priority="83">
      <formula>AND(C$9&gt;=14/24,C$9&lt;20/24)</formula>
    </cfRule>
    <cfRule type="expression" dxfId="1384" priority="84">
      <formula>AND(C$9&gt;=8/24,C$9&lt;14/24)</formula>
    </cfRule>
    <cfRule type="expression" dxfId="1383" priority="85">
      <formula>C$9&lt;8/24</formula>
    </cfRule>
  </conditionalFormatting>
  <conditionalFormatting sqref="E44:E50 C44:D47 F45:L50">
    <cfRule type="expression" dxfId="1382" priority="81">
      <formula>C44&gt;$AG44</formula>
    </cfRule>
  </conditionalFormatting>
  <conditionalFormatting sqref="B94:B100 B82:AF82 B11:D11 B74:AF74">
    <cfRule type="expression" dxfId="1381" priority="68">
      <formula>B$9&gt;=20/24</formula>
    </cfRule>
    <cfRule type="expression" dxfId="1380" priority="69">
      <formula>AND(B$9&gt;=14/24,B$9&lt;20/24)</formula>
    </cfRule>
    <cfRule type="expression" dxfId="1379" priority="70">
      <formula>AND(B$9&gt;=8/24,B$9&lt;14/24)</formula>
    </cfRule>
    <cfRule type="expression" dxfId="1378" priority="71">
      <formula>B$9&lt;8/24</formula>
    </cfRule>
  </conditionalFormatting>
  <conditionalFormatting sqref="B37">
    <cfRule type="expression" dxfId="1377" priority="64">
      <formula>B$9&gt;=20/24</formula>
    </cfRule>
    <cfRule type="expression" dxfId="1376" priority="65">
      <formula>AND(B$9&gt;=14/24,B$9&lt;20/24)</formula>
    </cfRule>
    <cfRule type="expression" dxfId="1375" priority="66">
      <formula>AND(B$9&gt;=8/24,B$9&lt;14/24)</formula>
    </cfRule>
    <cfRule type="expression" dxfId="1374" priority="67">
      <formula>B$9&lt;8/24</formula>
    </cfRule>
  </conditionalFormatting>
  <conditionalFormatting sqref="B37 B11:D11">
    <cfRule type="expression" dxfId="1373" priority="63">
      <formula>B11&gt;$AG11</formula>
    </cfRule>
  </conditionalFormatting>
  <conditionalFormatting sqref="B84">
    <cfRule type="expression" dxfId="1372" priority="59">
      <formula>B$9&gt;=20/24</formula>
    </cfRule>
    <cfRule type="expression" dxfId="1371" priority="60">
      <formula>AND(B$9&gt;=14/24,B$9&lt;20/24)</formula>
    </cfRule>
    <cfRule type="expression" dxfId="1370" priority="61">
      <formula>AND(B$9&gt;=8/24,B$9&lt;14/24)</formula>
    </cfRule>
    <cfRule type="expression" dxfId="1369" priority="62">
      <formula>B$9&lt;8/24</formula>
    </cfRule>
  </conditionalFormatting>
  <conditionalFormatting sqref="B40:B41 B57 B36:D36">
    <cfRule type="expression" dxfId="1368" priority="55">
      <formula>B$9&gt;=20/24</formula>
    </cfRule>
    <cfRule type="expression" dxfId="1367" priority="56">
      <formula>AND(B$9&gt;=14/24,B$9&lt;20/24)</formula>
    </cfRule>
    <cfRule type="expression" dxfId="1366" priority="57">
      <formula>AND(B$9&gt;=8/24,B$9&lt;14/24)</formula>
    </cfRule>
    <cfRule type="expression" dxfId="1365" priority="58">
      <formula>B$9&lt;8/24</formula>
    </cfRule>
  </conditionalFormatting>
  <conditionalFormatting sqref="B39">
    <cfRule type="expression" dxfId="1364" priority="51">
      <formula>B$9&gt;=20/24</formula>
    </cfRule>
    <cfRule type="expression" dxfId="1363" priority="52">
      <formula>AND(B$9&gt;=14/24,B$9&lt;20/24)</formula>
    </cfRule>
    <cfRule type="expression" dxfId="1362" priority="53">
      <formula>AND(B$9&gt;=8/24,B$9&lt;14/24)</formula>
    </cfRule>
    <cfRule type="expression" dxfId="1361" priority="54">
      <formula>B$9&lt;8/24</formula>
    </cfRule>
  </conditionalFormatting>
  <conditionalFormatting sqref="B39:B41 B36:D36">
    <cfRule type="expression" dxfId="1360" priority="50">
      <formula>B36&gt;$AG36</formula>
    </cfRule>
  </conditionalFormatting>
  <conditionalFormatting sqref="B85:B91 B53:B56 B58:B67 B69:B73 B75:AF75 C73:AF73 B81 B83:AF83 B12:D14 B16:D16 B28:D31 B18:D22 B24:D26">
    <cfRule type="expression" dxfId="1359" priority="46">
      <formula>B$9&gt;=20/24</formula>
    </cfRule>
    <cfRule type="expression" dxfId="1358" priority="47">
      <formula>AND(B$9&gt;=14/24,B$9&lt;20/24)</formula>
    </cfRule>
    <cfRule type="expression" dxfId="1357" priority="48">
      <formula>AND(B$9&gt;=8/24,B$9&lt;14/24)</formula>
    </cfRule>
    <cfRule type="expression" dxfId="1356" priority="49">
      <formula>B$9&lt;8/24</formula>
    </cfRule>
  </conditionalFormatting>
  <conditionalFormatting sqref="B32:D32">
    <cfRule type="expression" dxfId="1355" priority="42">
      <formula>B$9&gt;=20/24</formula>
    </cfRule>
    <cfRule type="expression" dxfId="1354" priority="43">
      <formula>AND(B$9&gt;=14/24,B$9&lt;20/24)</formula>
    </cfRule>
    <cfRule type="expression" dxfId="1353" priority="44">
      <formula>AND(B$9&gt;=8/24,B$9&lt;14/24)</formula>
    </cfRule>
    <cfRule type="expression" dxfId="1352" priority="45">
      <formula>B$9&lt;8/24</formula>
    </cfRule>
  </conditionalFormatting>
  <conditionalFormatting sqref="B42:B43 B51:B56 C52:AF52 B38:AF38 B34:D34 B18:D22 B24:D32">
    <cfRule type="expression" dxfId="1351" priority="37">
      <formula>B18&gt;$AG18</formula>
    </cfRule>
  </conditionalFormatting>
  <conditionalFormatting sqref="B34:D34">
    <cfRule type="expression" dxfId="1350" priority="33">
      <formula>B$9&gt;=20/24</formula>
    </cfRule>
    <cfRule type="expression" dxfId="1349" priority="34">
      <formula>AND(B$9&gt;=14/24,B$9&lt;20/24)</formula>
    </cfRule>
    <cfRule type="expression" dxfId="1348" priority="35">
      <formula>AND(B$9&gt;=8/24,B$9&lt;14/24)</formula>
    </cfRule>
    <cfRule type="expression" dxfId="1347" priority="36">
      <formula>B$9&lt;8/24</formula>
    </cfRule>
  </conditionalFormatting>
  <conditionalFormatting sqref="B15:D15">
    <cfRule type="expression" dxfId="1346" priority="29">
      <formula>B$9&gt;=20/24</formula>
    </cfRule>
    <cfRule type="expression" dxfId="1345" priority="30">
      <formula>AND(B$9&gt;=14/24,B$9&lt;20/24)</formula>
    </cfRule>
    <cfRule type="expression" dxfId="1344" priority="31">
      <formula>AND(B$9&gt;=8/24,B$9&lt;14/24)</formula>
    </cfRule>
    <cfRule type="expression" dxfId="1343" priority="32">
      <formula>B$9&lt;8/24</formula>
    </cfRule>
  </conditionalFormatting>
  <conditionalFormatting sqref="B33:D33">
    <cfRule type="expression" dxfId="1342" priority="25">
      <formula>B$9&gt;=20/24</formula>
    </cfRule>
    <cfRule type="expression" dxfId="1341" priority="26">
      <formula>AND(B$9&gt;=14/24,B$9&lt;20/24)</formula>
    </cfRule>
    <cfRule type="expression" dxfId="1340" priority="27">
      <formula>AND(B$9&gt;=8/24,B$9&lt;14/24)</formula>
    </cfRule>
    <cfRule type="expression" dxfId="1339" priority="28">
      <formula>B$9&lt;8/24</formula>
    </cfRule>
  </conditionalFormatting>
  <conditionalFormatting sqref="B33:D33">
    <cfRule type="expression" dxfId="1338" priority="24">
      <formula>B33&gt;$AG33</formula>
    </cfRule>
  </conditionalFormatting>
  <conditionalFormatting sqref="B44:B50 C48:D50">
    <cfRule type="expression" dxfId="1337" priority="20">
      <formula>B$9&gt;=20/24</formula>
    </cfRule>
    <cfRule type="expression" dxfId="1336" priority="21">
      <formula>AND(B$9&gt;=14/24,B$9&lt;20/24)</formula>
    </cfRule>
    <cfRule type="expression" dxfId="1335" priority="22">
      <formula>AND(B$9&gt;=8/24,B$9&lt;14/24)</formula>
    </cfRule>
    <cfRule type="expression" dxfId="1334" priority="23">
      <formula>B$9&lt;8/24</formula>
    </cfRule>
  </conditionalFormatting>
  <conditionalFormatting sqref="B44:B50 C48:D50">
    <cfRule type="expression" dxfId="1333" priority="19">
      <formula>B44&gt;$AG44</formula>
    </cfRule>
  </conditionalFormatting>
  <conditionalFormatting sqref="B27:D27">
    <cfRule type="expression" dxfId="1332" priority="15">
      <formula>B$9&gt;=20/24</formula>
    </cfRule>
    <cfRule type="expression" dxfId="1331" priority="16">
      <formula>AND(B$9&gt;=14/24,B$9&lt;20/24)</formula>
    </cfRule>
    <cfRule type="expression" dxfId="1330" priority="17">
      <formula>AND(B$9&gt;=8/24,B$9&lt;14/24)</formula>
    </cfRule>
    <cfRule type="expression" dxfId="1329" priority="18">
      <formula>B$9&lt;8/24</formula>
    </cfRule>
  </conditionalFormatting>
  <conditionalFormatting sqref="B17:D17 B23:D23">
    <cfRule type="expression" dxfId="1328" priority="11">
      <formula>B$9&gt;=20/24</formula>
    </cfRule>
    <cfRule type="expression" dxfId="1327" priority="12">
      <formula>AND(B$9&gt;=14/24,B$9&lt;20/24)</formula>
    </cfRule>
    <cfRule type="expression" dxfId="1326" priority="13">
      <formula>AND(B$9&gt;=8/24,B$9&lt;14/24)</formula>
    </cfRule>
    <cfRule type="expression" dxfId="1325" priority="14">
      <formula>B$9&lt;8/24</formula>
    </cfRule>
  </conditionalFormatting>
  <conditionalFormatting sqref="B17:D17 B23:D23">
    <cfRule type="expression" dxfId="1324" priority="10">
      <formula>B17&gt;$AG17</formula>
    </cfRule>
  </conditionalFormatting>
  <conditionalFormatting sqref="A33">
    <cfRule type="expression" dxfId="1323" priority="9">
      <formula>$AH33=0</formula>
    </cfRule>
  </conditionalFormatting>
  <conditionalFormatting sqref="B68:AF68">
    <cfRule type="expression" dxfId="1322" priority="5">
      <formula>B$9&gt;=20/24</formula>
    </cfRule>
    <cfRule type="expression" dxfId="1321" priority="6">
      <formula>AND(B$9&gt;=14/24,B$9&lt;20/24)</formula>
    </cfRule>
    <cfRule type="expression" dxfId="1320" priority="7">
      <formula>AND(B$9&gt;=8/24,B$9&lt;14/24)</formula>
    </cfRule>
    <cfRule type="expression" dxfId="1319" priority="8">
      <formula>B$9&lt;8/24</formula>
    </cfRule>
  </conditionalFormatting>
  <conditionalFormatting sqref="B76:AF80">
    <cfRule type="expression" dxfId="1318" priority="1">
      <formula>B$9&gt;=20/24</formula>
    </cfRule>
    <cfRule type="expression" dxfId="1317" priority="2">
      <formula>AND(B$9&gt;=14/24,B$9&lt;20/24)</formula>
    </cfRule>
    <cfRule type="expression" dxfId="1316" priority="3">
      <formula>AND(B$9&gt;=8/24,B$9&lt;14/24)</formula>
    </cfRule>
    <cfRule type="expression" dxfId="1315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I39" sqref="I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2079/02/27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69.400000000000006</v>
      </c>
      <c r="C5" s="32">
        <f t="shared" si="0"/>
        <v>71.900000000000006</v>
      </c>
      <c r="D5" s="32">
        <f t="shared" si="0"/>
        <v>48.5</v>
      </c>
      <c r="E5" s="32">
        <f t="shared" si="0"/>
        <v>47.8</v>
      </c>
      <c r="F5" s="32">
        <f t="shared" si="0"/>
        <v>43</v>
      </c>
      <c r="G5" s="32">
        <f t="shared" si="0"/>
        <v>38.799999999999997</v>
      </c>
      <c r="H5" s="32">
        <f t="shared" si="0"/>
        <v>60.7</v>
      </c>
      <c r="I5" s="32">
        <f t="shared" si="0"/>
        <v>64.400000000000006</v>
      </c>
      <c r="J5" s="32">
        <f t="shared" si="0"/>
        <v>66.099999999999994</v>
      </c>
      <c r="K5" s="32">
        <f t="shared" si="0"/>
        <v>62.9</v>
      </c>
      <c r="L5" s="32">
        <f t="shared" si="0"/>
        <v>55</v>
      </c>
      <c r="M5" s="32">
        <f t="shared" si="0"/>
        <v>72</v>
      </c>
      <c r="N5" s="32">
        <f t="shared" si="0"/>
        <v>68.599999999999994</v>
      </c>
      <c r="O5" s="32">
        <f t="shared" si="0"/>
        <v>85.7</v>
      </c>
      <c r="P5" s="32">
        <f t="shared" si="0"/>
        <v>88.9</v>
      </c>
      <c r="Q5" s="32">
        <f t="shared" si="0"/>
        <v>78.400000000000006</v>
      </c>
      <c r="R5" s="32">
        <f t="shared" si="0"/>
        <v>87.7</v>
      </c>
      <c r="S5" s="32">
        <f t="shared" si="0"/>
        <v>90.2</v>
      </c>
      <c r="T5" s="32">
        <f t="shared" si="0"/>
        <v>69.599999999999994</v>
      </c>
      <c r="U5" s="32">
        <f t="shared" si="0"/>
        <v>56</v>
      </c>
      <c r="V5" s="32">
        <f t="shared" si="0"/>
        <v>36.200000000000003</v>
      </c>
      <c r="W5" s="32">
        <f t="shared" si="0"/>
        <v>49.8</v>
      </c>
      <c r="X5" s="32">
        <f t="shared" si="0"/>
        <v>47</v>
      </c>
      <c r="Y5" s="32">
        <f t="shared" si="0"/>
        <v>49.2</v>
      </c>
      <c r="Z5" s="32">
        <f t="shared" si="0"/>
        <v>60.5</v>
      </c>
      <c r="AA5" s="32">
        <f t="shared" si="0"/>
        <v>71.5</v>
      </c>
      <c r="AB5" s="32">
        <f t="shared" si="0"/>
        <v>69.900000000000006</v>
      </c>
      <c r="AC5" s="32">
        <f t="shared" si="0"/>
        <v>78</v>
      </c>
      <c r="AD5" s="32">
        <f t="shared" si="0"/>
        <v>60.8</v>
      </c>
      <c r="AE5" s="32">
        <f t="shared" si="0"/>
        <v>80.599999999999994</v>
      </c>
      <c r="AF5" s="32">
        <f>B68</f>
        <v>73.099999999999994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1777MW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Load=1684</v>
      </c>
      <c r="B7" s="37">
        <f>B75</f>
        <v>1791.4399999999998</v>
      </c>
      <c r="C7" s="37">
        <f t="shared" ref="C7:AF7" si="1">C75</f>
        <v>1787.74</v>
      </c>
      <c r="D7" s="37">
        <f t="shared" si="1"/>
        <v>1774.2400000000002</v>
      </c>
      <c r="E7" s="37">
        <f t="shared" si="1"/>
        <v>1715.24</v>
      </c>
      <c r="F7" s="37">
        <f t="shared" si="1"/>
        <v>1714.54</v>
      </c>
      <c r="G7" s="37">
        <f t="shared" si="1"/>
        <v>1709.74</v>
      </c>
      <c r="H7" s="37">
        <f t="shared" si="1"/>
        <v>1707.84</v>
      </c>
      <c r="I7" s="37">
        <f t="shared" si="1"/>
        <v>1684.0400000000002</v>
      </c>
      <c r="J7" s="37">
        <f t="shared" si="1"/>
        <v>1713.44</v>
      </c>
      <c r="K7" s="37">
        <f t="shared" si="1"/>
        <v>1703.34</v>
      </c>
      <c r="L7" s="37">
        <f t="shared" si="1"/>
        <v>1777.3400000000004</v>
      </c>
      <c r="M7" s="37">
        <f t="shared" si="1"/>
        <v>1747.0400000000002</v>
      </c>
      <c r="N7" s="37">
        <f t="shared" si="1"/>
        <v>1767.14</v>
      </c>
      <c r="O7" s="37">
        <f t="shared" si="1"/>
        <v>1784.04</v>
      </c>
      <c r="P7" s="37">
        <f t="shared" si="1"/>
        <v>1807.64</v>
      </c>
      <c r="Q7" s="37">
        <f t="shared" si="1"/>
        <v>1806.04</v>
      </c>
      <c r="R7" s="37">
        <f t="shared" si="1"/>
        <v>1793.14</v>
      </c>
      <c r="S7" s="37">
        <f t="shared" si="1"/>
        <v>1804.04</v>
      </c>
      <c r="T7" s="37">
        <f t="shared" si="1"/>
        <v>1806.94</v>
      </c>
      <c r="U7" s="37">
        <f t="shared" si="1"/>
        <v>1752.34</v>
      </c>
      <c r="V7" s="37">
        <f t="shared" si="1"/>
        <v>1758.74</v>
      </c>
      <c r="W7" s="37">
        <f t="shared" si="1"/>
        <v>1735.84</v>
      </c>
      <c r="X7" s="37">
        <f t="shared" si="1"/>
        <v>1747.4399999999998</v>
      </c>
      <c r="Y7" s="37">
        <f t="shared" si="1"/>
        <v>1767.84</v>
      </c>
      <c r="Z7" s="37">
        <f t="shared" si="1"/>
        <v>1769.94</v>
      </c>
      <c r="AA7" s="37">
        <f t="shared" si="1"/>
        <v>1783.34</v>
      </c>
      <c r="AB7" s="37">
        <f t="shared" si="1"/>
        <v>1799.94</v>
      </c>
      <c r="AC7" s="37">
        <f t="shared" si="1"/>
        <v>1798.44</v>
      </c>
      <c r="AD7" s="37">
        <f t="shared" si="1"/>
        <v>1804.94</v>
      </c>
      <c r="AE7" s="37">
        <f t="shared" si="1"/>
        <v>1784.44</v>
      </c>
      <c r="AF7" s="37">
        <f t="shared" si="1"/>
        <v>1799.24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51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1">
        <v>456</v>
      </c>
      <c r="L11" s="51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3">
        <v>456</v>
      </c>
      <c r="T11" s="53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</v>
      </c>
      <c r="C13" s="51">
        <v>54</v>
      </c>
      <c r="D13" s="51">
        <v>54</v>
      </c>
      <c r="E13" s="51">
        <v>54</v>
      </c>
      <c r="F13" s="51">
        <v>54</v>
      </c>
      <c r="G13" s="51">
        <v>54</v>
      </c>
      <c r="H13" s="51">
        <v>54</v>
      </c>
      <c r="I13" s="51">
        <v>54</v>
      </c>
      <c r="J13" s="51">
        <v>54</v>
      </c>
      <c r="K13" s="51">
        <v>54</v>
      </c>
      <c r="L13" s="51">
        <v>54</v>
      </c>
      <c r="M13" s="51">
        <v>53.9</v>
      </c>
      <c r="N13" s="51">
        <v>53.9</v>
      </c>
      <c r="O13" s="51">
        <v>53.9</v>
      </c>
      <c r="P13" s="51">
        <v>53.8</v>
      </c>
      <c r="Q13" s="51">
        <v>53.8</v>
      </c>
      <c r="R13" s="51">
        <v>53.8</v>
      </c>
      <c r="S13" s="51">
        <v>53.8</v>
      </c>
      <c r="T13" s="51">
        <v>53.8</v>
      </c>
      <c r="U13" s="51">
        <v>53.8</v>
      </c>
      <c r="V13" s="51">
        <v>53.8</v>
      </c>
      <c r="W13" s="51">
        <v>53.8</v>
      </c>
      <c r="X13" s="51">
        <v>53.8</v>
      </c>
      <c r="Y13" s="51">
        <v>53.8</v>
      </c>
      <c r="Z13" s="51">
        <v>53.8</v>
      </c>
      <c r="AA13" s="51">
        <v>53.8</v>
      </c>
      <c r="AB13" s="51">
        <v>53.8</v>
      </c>
      <c r="AC13" s="51">
        <v>53.8</v>
      </c>
      <c r="AD13" s="51">
        <v>54</v>
      </c>
      <c r="AE13" s="51">
        <v>53.8</v>
      </c>
      <c r="AF13" s="51">
        <v>53.8</v>
      </c>
      <c r="AG13" s="59">
        <v>52.4</v>
      </c>
      <c r="AH13" s="55">
        <f t="shared" si="2"/>
        <v>54</v>
      </c>
      <c r="AI13" s="56">
        <f t="shared" si="3"/>
        <v>53.8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50.6</v>
      </c>
      <c r="C14" s="51">
        <v>50.6</v>
      </c>
      <c r="D14" s="51">
        <v>50.6</v>
      </c>
      <c r="E14" s="51">
        <v>50.6</v>
      </c>
      <c r="F14" s="51">
        <v>50.6</v>
      </c>
      <c r="G14" s="51">
        <v>50.6</v>
      </c>
      <c r="H14" s="51">
        <v>50.6</v>
      </c>
      <c r="I14" s="51">
        <v>50.6</v>
      </c>
      <c r="J14" s="51">
        <v>50.6</v>
      </c>
      <c r="K14" s="51">
        <v>50.6</v>
      </c>
      <c r="L14" s="51">
        <v>50.6</v>
      </c>
      <c r="M14" s="51">
        <v>50.5</v>
      </c>
      <c r="N14" s="51">
        <v>50.5</v>
      </c>
      <c r="O14" s="51">
        <v>50.5</v>
      </c>
      <c r="P14" s="51">
        <v>50.5</v>
      </c>
      <c r="Q14" s="51">
        <v>50.7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50.5</v>
      </c>
      <c r="AD14" s="51">
        <v>50.1</v>
      </c>
      <c r="AE14" s="51">
        <v>50.5</v>
      </c>
      <c r="AF14" s="51">
        <v>50.5</v>
      </c>
      <c r="AG14" s="59">
        <v>50</v>
      </c>
      <c r="AH14" s="55">
        <f t="shared" si="2"/>
        <v>50.7</v>
      </c>
      <c r="AI14" s="56">
        <f t="shared" si="3"/>
        <v>50.1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45.8</v>
      </c>
      <c r="N15" s="51">
        <v>45.8</v>
      </c>
      <c r="O15" s="51">
        <v>45.8</v>
      </c>
      <c r="P15" s="51">
        <v>45.8</v>
      </c>
      <c r="Q15" s="51">
        <v>45.8</v>
      </c>
      <c r="R15" s="51">
        <v>45.8</v>
      </c>
      <c r="S15" s="51">
        <v>45.8</v>
      </c>
      <c r="T15" s="51">
        <v>45.8</v>
      </c>
      <c r="U15" s="51">
        <v>45.8</v>
      </c>
      <c r="V15" s="51">
        <v>45.8</v>
      </c>
      <c r="W15" s="51">
        <v>45.8</v>
      </c>
      <c r="X15" s="51">
        <v>45.8</v>
      </c>
      <c r="Y15" s="51">
        <v>45.8</v>
      </c>
      <c r="Z15" s="51">
        <v>45.8</v>
      </c>
      <c r="AA15" s="51">
        <v>45.8</v>
      </c>
      <c r="AB15" s="51">
        <v>45.8</v>
      </c>
      <c r="AC15" s="51">
        <v>45.8</v>
      </c>
      <c r="AD15" s="51">
        <v>45.8</v>
      </c>
      <c r="AE15" s="51">
        <v>45.8</v>
      </c>
      <c r="AF15" s="51">
        <v>45.8</v>
      </c>
      <c r="AG15" s="60">
        <v>45</v>
      </c>
      <c r="AH15" s="55">
        <f t="shared" si="2"/>
        <v>45.8</v>
      </c>
      <c r="AI15" s="56">
        <f t="shared" si="3"/>
        <v>45.7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36</v>
      </c>
      <c r="C16" s="51">
        <v>36</v>
      </c>
      <c r="D16" s="51">
        <v>36</v>
      </c>
      <c r="E16" s="51">
        <v>36</v>
      </c>
      <c r="F16" s="51">
        <v>36</v>
      </c>
      <c r="G16" s="51">
        <v>36</v>
      </c>
      <c r="H16" s="51">
        <v>36</v>
      </c>
      <c r="I16" s="51">
        <v>36</v>
      </c>
      <c r="J16" s="51">
        <v>36</v>
      </c>
      <c r="K16" s="51">
        <v>36</v>
      </c>
      <c r="L16" s="51">
        <v>36</v>
      </c>
      <c r="M16" s="51">
        <v>41</v>
      </c>
      <c r="N16" s="51">
        <v>41</v>
      </c>
      <c r="O16" s="51">
        <v>41</v>
      </c>
      <c r="P16" s="51">
        <v>41</v>
      </c>
      <c r="Q16" s="51">
        <v>41</v>
      </c>
      <c r="R16" s="51">
        <v>41</v>
      </c>
      <c r="S16" s="51">
        <v>41</v>
      </c>
      <c r="T16" s="51">
        <v>41</v>
      </c>
      <c r="U16" s="51">
        <v>26</v>
      </c>
      <c r="V16" s="51">
        <v>35</v>
      </c>
      <c r="W16" s="51">
        <v>35</v>
      </c>
      <c r="X16" s="51">
        <v>37</v>
      </c>
      <c r="Y16" s="51">
        <v>38</v>
      </c>
      <c r="Z16" s="51">
        <v>38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35</v>
      </c>
      <c r="AG16" s="59">
        <v>45</v>
      </c>
      <c r="AH16" s="55">
        <f t="shared" si="2"/>
        <v>41</v>
      </c>
      <c r="AI16" s="56">
        <f t="shared" si="3"/>
        <v>26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26.2</v>
      </c>
      <c r="D19" s="51">
        <v>26.2</v>
      </c>
      <c r="E19" s="51">
        <v>26.2</v>
      </c>
      <c r="F19" s="51">
        <v>26.2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26.2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23</v>
      </c>
      <c r="C20" s="51">
        <v>23</v>
      </c>
      <c r="D20" s="51">
        <v>23</v>
      </c>
      <c r="E20" s="51">
        <v>23</v>
      </c>
      <c r="F20" s="51">
        <v>23</v>
      </c>
      <c r="G20" s="51">
        <v>23</v>
      </c>
      <c r="H20" s="51">
        <v>23</v>
      </c>
      <c r="I20" s="51">
        <v>23</v>
      </c>
      <c r="J20" s="51">
        <v>23</v>
      </c>
      <c r="K20" s="51">
        <v>23</v>
      </c>
      <c r="L20" s="51">
        <v>23</v>
      </c>
      <c r="M20" s="51">
        <v>23</v>
      </c>
      <c r="N20" s="51">
        <v>23</v>
      </c>
      <c r="O20" s="51">
        <v>23</v>
      </c>
      <c r="P20" s="51">
        <v>23</v>
      </c>
      <c r="Q20" s="51">
        <v>23</v>
      </c>
      <c r="R20" s="51">
        <v>23</v>
      </c>
      <c r="S20" s="51">
        <v>23.6</v>
      </c>
      <c r="T20" s="51">
        <v>23.6</v>
      </c>
      <c r="U20" s="51">
        <v>23.6</v>
      </c>
      <c r="V20" s="51">
        <v>23.6</v>
      </c>
      <c r="W20" s="51">
        <v>23.6</v>
      </c>
      <c r="X20" s="51">
        <v>23.6</v>
      </c>
      <c r="Y20" s="51">
        <v>23.6</v>
      </c>
      <c r="Z20" s="51">
        <v>23.6</v>
      </c>
      <c r="AA20" s="51">
        <v>23.6</v>
      </c>
      <c r="AB20" s="51">
        <v>23.6</v>
      </c>
      <c r="AC20" s="51">
        <v>23.6</v>
      </c>
      <c r="AD20" s="51">
        <v>23.6</v>
      </c>
      <c r="AE20" s="51">
        <v>23.6</v>
      </c>
      <c r="AF20" s="51">
        <v>23.6</v>
      </c>
      <c r="AG20" s="59">
        <v>27</v>
      </c>
      <c r="AH20" s="55">
        <f t="shared" si="2"/>
        <v>23.6</v>
      </c>
      <c r="AI20" s="56">
        <f t="shared" si="3"/>
        <v>23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>
        <v>11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59">
        <v>25</v>
      </c>
      <c r="AH21" s="55">
        <f t="shared" si="2"/>
        <v>11</v>
      </c>
      <c r="AI21" s="56">
        <f t="shared" si="3"/>
        <v>11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9">
        <v>25</v>
      </c>
      <c r="AH22" s="55">
        <f t="shared" si="2"/>
        <v>22</v>
      </c>
      <c r="AI22" s="56">
        <f t="shared" si="3"/>
        <v>22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11</v>
      </c>
      <c r="F25" s="51">
        <v>11</v>
      </c>
      <c r="G25" s="51">
        <v>11</v>
      </c>
      <c r="H25" s="51">
        <v>11</v>
      </c>
      <c r="I25" s="51">
        <v>11</v>
      </c>
      <c r="J25" s="51">
        <v>11</v>
      </c>
      <c r="K25" s="51">
        <v>11</v>
      </c>
      <c r="L25" s="51">
        <v>19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11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5</v>
      </c>
      <c r="D26" s="51">
        <v>5</v>
      </c>
      <c r="E26" s="51">
        <v>5</v>
      </c>
      <c r="F26" s="51">
        <v>5</v>
      </c>
      <c r="G26" s="51">
        <v>5</v>
      </c>
      <c r="H26" s="51">
        <v>5</v>
      </c>
      <c r="I26" s="51">
        <v>5</v>
      </c>
      <c r="J26" s="51">
        <v>5</v>
      </c>
      <c r="K26" s="51">
        <v>5</v>
      </c>
      <c r="L26" s="51">
        <v>5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5</v>
      </c>
      <c r="V26" s="51">
        <v>5</v>
      </c>
      <c r="W26" s="51">
        <v>5</v>
      </c>
      <c r="X26" s="51">
        <v>7</v>
      </c>
      <c r="Y26" s="51">
        <v>7</v>
      </c>
      <c r="Z26" s="51">
        <v>7</v>
      </c>
      <c r="AA26" s="51">
        <v>7</v>
      </c>
      <c r="AB26" s="51">
        <v>10.5</v>
      </c>
      <c r="AC26" s="51">
        <v>10.5</v>
      </c>
      <c r="AD26" s="51">
        <v>10.5</v>
      </c>
      <c r="AE26" s="51">
        <v>7</v>
      </c>
      <c r="AF26" s="51">
        <v>7</v>
      </c>
      <c r="AG26" s="59">
        <v>20</v>
      </c>
      <c r="AH26" s="55">
        <f t="shared" si="2"/>
        <v>10.5</v>
      </c>
      <c r="AI26" s="56">
        <f t="shared" si="3"/>
        <v>5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12</v>
      </c>
      <c r="C28" s="51">
        <v>12</v>
      </c>
      <c r="D28" s="51">
        <v>12</v>
      </c>
      <c r="E28" s="51">
        <v>12</v>
      </c>
      <c r="F28" s="51">
        <v>12</v>
      </c>
      <c r="G28" s="51">
        <v>12</v>
      </c>
      <c r="H28" s="51">
        <v>12</v>
      </c>
      <c r="I28" s="51">
        <v>12</v>
      </c>
      <c r="J28" s="51">
        <v>12</v>
      </c>
      <c r="K28" s="51">
        <v>12</v>
      </c>
      <c r="L28" s="51">
        <v>12</v>
      </c>
      <c r="M28" s="51">
        <v>12</v>
      </c>
      <c r="N28" s="51">
        <v>12</v>
      </c>
      <c r="O28" s="51">
        <v>12</v>
      </c>
      <c r="P28" s="51">
        <v>12</v>
      </c>
      <c r="Q28" s="51">
        <v>12</v>
      </c>
      <c r="R28" s="51">
        <v>12</v>
      </c>
      <c r="S28" s="51">
        <v>12</v>
      </c>
      <c r="T28" s="51">
        <v>12</v>
      </c>
      <c r="U28" s="51">
        <v>12</v>
      </c>
      <c r="V28" s="51">
        <v>12</v>
      </c>
      <c r="W28" s="51">
        <v>12</v>
      </c>
      <c r="X28" s="51">
        <v>12</v>
      </c>
      <c r="Y28" s="51">
        <v>12</v>
      </c>
      <c r="Z28" s="51">
        <v>12</v>
      </c>
      <c r="AA28" s="51">
        <v>12</v>
      </c>
      <c r="AB28" s="51">
        <v>12</v>
      </c>
      <c r="AC28" s="51">
        <v>12</v>
      </c>
      <c r="AD28" s="51">
        <v>12</v>
      </c>
      <c r="AE28" s="51">
        <v>12</v>
      </c>
      <c r="AF28" s="51">
        <v>12</v>
      </c>
      <c r="AG28" s="59">
        <v>22.2</v>
      </c>
      <c r="AH28" s="55">
        <f t="shared" si="2"/>
        <v>12</v>
      </c>
      <c r="AI28" s="56">
        <f t="shared" si="3"/>
        <v>12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11</v>
      </c>
      <c r="C29" s="51">
        <v>11</v>
      </c>
      <c r="D29" s="51">
        <v>11</v>
      </c>
      <c r="E29" s="51">
        <v>11</v>
      </c>
      <c r="F29" s="51">
        <v>11</v>
      </c>
      <c r="G29" s="51">
        <v>11</v>
      </c>
      <c r="H29" s="51">
        <v>11</v>
      </c>
      <c r="I29" s="51">
        <v>11</v>
      </c>
      <c r="J29" s="51">
        <v>11</v>
      </c>
      <c r="K29" s="51">
        <v>11</v>
      </c>
      <c r="L29" s="51">
        <v>11</v>
      </c>
      <c r="M29" s="51">
        <v>12</v>
      </c>
      <c r="N29" s="51">
        <v>12</v>
      </c>
      <c r="O29" s="51">
        <v>12</v>
      </c>
      <c r="P29" s="51">
        <v>12</v>
      </c>
      <c r="Q29" s="51">
        <v>12</v>
      </c>
      <c r="R29" s="51">
        <v>12</v>
      </c>
      <c r="S29" s="51">
        <v>12</v>
      </c>
      <c r="T29" s="51">
        <v>12</v>
      </c>
      <c r="U29" s="51">
        <v>12</v>
      </c>
      <c r="V29" s="51">
        <v>12</v>
      </c>
      <c r="W29" s="51">
        <v>12</v>
      </c>
      <c r="X29" s="51">
        <v>12</v>
      </c>
      <c r="Y29" s="51">
        <v>12</v>
      </c>
      <c r="Z29" s="51">
        <v>12</v>
      </c>
      <c r="AA29" s="51">
        <v>12</v>
      </c>
      <c r="AB29" s="51">
        <v>12</v>
      </c>
      <c r="AC29" s="51">
        <v>12</v>
      </c>
      <c r="AD29" s="51">
        <v>12</v>
      </c>
      <c r="AE29" s="51">
        <v>12</v>
      </c>
      <c r="AF29" s="51">
        <v>12</v>
      </c>
      <c r="AG29" s="59">
        <v>22.1</v>
      </c>
      <c r="AH29" s="55">
        <f t="shared" si="2"/>
        <v>12</v>
      </c>
      <c r="AI29" s="56">
        <f t="shared" si="3"/>
        <v>11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8</v>
      </c>
      <c r="O30" s="51">
        <v>8</v>
      </c>
      <c r="P30" s="51">
        <v>8</v>
      </c>
      <c r="Q30" s="51">
        <v>8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9">
        <v>22.1</v>
      </c>
      <c r="AH30" s="55">
        <f t="shared" si="2"/>
        <v>12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4.5</v>
      </c>
      <c r="F31" s="51">
        <v>4.5</v>
      </c>
      <c r="G31" s="51">
        <v>4.5</v>
      </c>
      <c r="H31" s="51">
        <v>4.5</v>
      </c>
      <c r="I31" s="51">
        <v>4.5</v>
      </c>
      <c r="J31" s="51">
        <v>4.5</v>
      </c>
      <c r="K31" s="51">
        <v>4.5</v>
      </c>
      <c r="L31" s="51">
        <v>8.1999999999999993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4.5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11</v>
      </c>
      <c r="U32" s="51">
        <v>11</v>
      </c>
      <c r="V32" s="51">
        <v>11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11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4">
        <v>20</v>
      </c>
      <c r="AH34" s="55">
        <f t="shared" si="2"/>
        <v>9</v>
      </c>
      <c r="AI34" s="56">
        <f t="shared" si="3"/>
        <v>9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8</v>
      </c>
      <c r="C35" s="51">
        <v>8</v>
      </c>
      <c r="D35" s="51">
        <v>8</v>
      </c>
      <c r="E35" s="51">
        <v>8</v>
      </c>
      <c r="F35" s="51">
        <v>8</v>
      </c>
      <c r="G35" s="51">
        <v>8</v>
      </c>
      <c r="H35" s="51">
        <v>8</v>
      </c>
      <c r="I35" s="51">
        <v>8</v>
      </c>
      <c r="J35" s="51">
        <v>8</v>
      </c>
      <c r="K35" s="51">
        <v>8</v>
      </c>
      <c r="L35" s="51">
        <v>8</v>
      </c>
      <c r="M35" s="51">
        <v>8</v>
      </c>
      <c r="N35" s="51">
        <v>8</v>
      </c>
      <c r="O35" s="51">
        <v>8</v>
      </c>
      <c r="P35" s="51">
        <v>8</v>
      </c>
      <c r="Q35" s="51">
        <v>8</v>
      </c>
      <c r="R35" s="51">
        <v>8</v>
      </c>
      <c r="S35" s="51">
        <v>5</v>
      </c>
      <c r="T35" s="51">
        <v>5</v>
      </c>
      <c r="U35" s="51">
        <v>5</v>
      </c>
      <c r="V35" s="51">
        <v>2</v>
      </c>
      <c r="W35" s="51">
        <v>2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8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290</v>
      </c>
      <c r="C36" s="66">
        <v>290</v>
      </c>
      <c r="D36" s="66">
        <v>290</v>
      </c>
      <c r="E36" s="66">
        <v>260</v>
      </c>
      <c r="F36" s="66">
        <v>260</v>
      </c>
      <c r="G36" s="66">
        <v>260</v>
      </c>
      <c r="H36" s="66">
        <v>260</v>
      </c>
      <c r="I36" s="66">
        <v>260</v>
      </c>
      <c r="J36" s="66">
        <v>260</v>
      </c>
      <c r="K36" s="66">
        <v>260</v>
      </c>
      <c r="L36" s="66">
        <v>275</v>
      </c>
      <c r="M36" s="66">
        <v>280</v>
      </c>
      <c r="N36" s="66">
        <v>280</v>
      </c>
      <c r="O36" s="66">
        <v>280</v>
      </c>
      <c r="P36" s="66">
        <v>280</v>
      </c>
      <c r="Q36" s="66">
        <v>280</v>
      </c>
      <c r="R36" s="66">
        <v>280</v>
      </c>
      <c r="S36" s="66">
        <v>280</v>
      </c>
      <c r="T36" s="66">
        <v>280</v>
      </c>
      <c r="U36" s="66">
        <v>280</v>
      </c>
      <c r="V36" s="66">
        <v>280</v>
      </c>
      <c r="W36" s="66">
        <v>280</v>
      </c>
      <c r="X36" s="66">
        <v>280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260</v>
      </c>
      <c r="AK36" s="57"/>
    </row>
    <row r="37" spans="1:88" ht="15.75" thickBot="1" x14ac:dyDescent="0.3">
      <c r="A37" s="67" t="s">
        <v>45</v>
      </c>
      <c r="B37" s="68"/>
      <c r="C37" s="66"/>
      <c r="D37" s="66"/>
      <c r="E37" s="66"/>
      <c r="F37" s="66">
        <v>118</v>
      </c>
      <c r="G37" s="66">
        <f>112.5</f>
        <v>112.5</v>
      </c>
      <c r="H37" s="66">
        <f>108.6</f>
        <v>108.6</v>
      </c>
      <c r="I37" s="66">
        <f>111</f>
        <v>111</v>
      </c>
      <c r="J37" s="66">
        <f>116.5</f>
        <v>116.5</v>
      </c>
      <c r="K37" s="66">
        <f>116.3</f>
        <v>116.3</v>
      </c>
      <c r="L37" s="66">
        <f>63.9+75.5</f>
        <v>139.4</v>
      </c>
      <c r="M37" s="66">
        <f>88.9+62.1</f>
        <v>151</v>
      </c>
      <c r="N37" s="66">
        <f>59.3+50.5</f>
        <v>109.8</v>
      </c>
      <c r="O37" s="66">
        <f>97.2+61.2</f>
        <v>158.4</v>
      </c>
      <c r="P37" s="66">
        <v>142.6</v>
      </c>
      <c r="Q37" s="66">
        <f>96.4+62.4</f>
        <v>158.80000000000001</v>
      </c>
      <c r="R37" s="66">
        <f>98+65.5</f>
        <v>163.5</v>
      </c>
      <c r="S37" s="68">
        <f>56+97.4</f>
        <v>153.4</v>
      </c>
      <c r="T37" s="68">
        <f>57.9+97.9</f>
        <v>155.80000000000001</v>
      </c>
      <c r="U37" s="68">
        <f>57.9+98.3</f>
        <v>156.19999999999999</v>
      </c>
      <c r="V37" s="68">
        <f>58.7+96.9</f>
        <v>155.60000000000002</v>
      </c>
      <c r="W37" s="68">
        <f>59.2+98.3</f>
        <v>157.5</v>
      </c>
      <c r="X37" s="68">
        <f>58.7+98.2</f>
        <v>156.9</v>
      </c>
      <c r="Y37" s="68"/>
      <c r="Z37" s="68"/>
      <c r="AA37" s="68"/>
      <c r="AB37" s="68"/>
      <c r="AC37" s="68"/>
      <c r="AD37" s="68"/>
      <c r="AE37" s="68"/>
      <c r="AF37" s="68">
        <v>153</v>
      </c>
      <c r="AG37" s="64">
        <v>240</v>
      </c>
      <c r="AH37" s="55">
        <f t="shared" si="2"/>
        <v>163.5</v>
      </c>
      <c r="AI37" s="56">
        <f t="shared" si="3"/>
        <v>108.6</v>
      </c>
      <c r="AK37" s="57"/>
    </row>
    <row r="38" spans="1:88" ht="15.75" thickBot="1" x14ac:dyDescent="0.3">
      <c r="A38" s="69" t="s">
        <v>46</v>
      </c>
      <c r="B38" s="70">
        <f t="shared" ref="B38:L38" si="4">SUM(B11:B36)</f>
        <v>1284</v>
      </c>
      <c r="C38" s="70">
        <f t="shared" si="4"/>
        <v>1284</v>
      </c>
      <c r="D38" s="70">
        <f t="shared" si="4"/>
        <v>1284</v>
      </c>
      <c r="E38" s="70">
        <f t="shared" si="4"/>
        <v>1238.5</v>
      </c>
      <c r="F38" s="70">
        <f t="shared" si="4"/>
        <v>1238.5</v>
      </c>
      <c r="G38" s="70">
        <f t="shared" si="4"/>
        <v>1238.5</v>
      </c>
      <c r="H38" s="70">
        <f t="shared" si="4"/>
        <v>1238.5</v>
      </c>
      <c r="I38" s="70">
        <f t="shared" si="4"/>
        <v>1238.5</v>
      </c>
      <c r="J38" s="70">
        <f t="shared" si="4"/>
        <v>1238.5</v>
      </c>
      <c r="K38" s="70">
        <f t="shared" si="4"/>
        <v>1238.5</v>
      </c>
      <c r="L38" s="70">
        <f t="shared" si="4"/>
        <v>1265.2000000000003</v>
      </c>
      <c r="M38" s="70">
        <f t="shared" ref="M38:S38" si="5">SUM(M11:M36)</f>
        <v>1284.9000000000001</v>
      </c>
      <c r="N38" s="70">
        <f t="shared" si="5"/>
        <v>1280.9000000000001</v>
      </c>
      <c r="O38" s="70">
        <f t="shared" si="5"/>
        <v>1280.9000000000001</v>
      </c>
      <c r="P38" s="70">
        <f t="shared" si="5"/>
        <v>1280.8</v>
      </c>
      <c r="Q38" s="70">
        <f t="shared" si="5"/>
        <v>1281</v>
      </c>
      <c r="R38" s="70">
        <f t="shared" si="5"/>
        <v>1284.9000000000001</v>
      </c>
      <c r="S38" s="70">
        <f t="shared" si="5"/>
        <v>1282.5</v>
      </c>
      <c r="T38" s="70">
        <f t="shared" ref="T38:AF38" si="6">SUM(T11:T36)</f>
        <v>1282.5</v>
      </c>
      <c r="U38" s="70">
        <f t="shared" si="6"/>
        <v>1262.5</v>
      </c>
      <c r="V38" s="70">
        <f t="shared" si="6"/>
        <v>1268.5</v>
      </c>
      <c r="W38" s="70">
        <f t="shared" si="6"/>
        <v>1268.5</v>
      </c>
      <c r="X38" s="70">
        <f t="shared" si="6"/>
        <v>1270.5</v>
      </c>
      <c r="Y38" s="70">
        <f t="shared" si="6"/>
        <v>1291.5</v>
      </c>
      <c r="Z38" s="70">
        <f t="shared" si="6"/>
        <v>1291.5</v>
      </c>
      <c r="AA38" s="70">
        <f t="shared" si="6"/>
        <v>1293.5</v>
      </c>
      <c r="AB38" s="70">
        <f t="shared" si="6"/>
        <v>1297</v>
      </c>
      <c r="AC38" s="70">
        <f t="shared" si="6"/>
        <v>1296.9000000000001</v>
      </c>
      <c r="AD38" s="70">
        <f t="shared" si="6"/>
        <v>1296.7</v>
      </c>
      <c r="AE38" s="70">
        <f t="shared" si="6"/>
        <v>1293.4000000000001</v>
      </c>
      <c r="AF38" s="70">
        <f t="shared" si="6"/>
        <v>1288.4000000000001</v>
      </c>
      <c r="AG38" s="64">
        <f>SUM(AG11:AG37)</f>
        <v>1492.8299999999997</v>
      </c>
      <c r="AH38" s="55">
        <f t="shared" si="2"/>
        <v>1297</v>
      </c>
      <c r="AI38" s="56">
        <f t="shared" si="3"/>
        <v>1238.5</v>
      </c>
      <c r="AK38" s="57"/>
    </row>
    <row r="39" spans="1:88" x14ac:dyDescent="0.25">
      <c r="A39" s="58" t="s">
        <v>47</v>
      </c>
      <c r="B39" s="51">
        <v>143.19999999999999</v>
      </c>
      <c r="C39" s="51">
        <v>143.19999999999999</v>
      </c>
      <c r="D39" s="51">
        <v>143.19999999999999</v>
      </c>
      <c r="E39" s="51">
        <v>143.19999999999999</v>
      </c>
      <c r="F39" s="51">
        <v>143.19999999999999</v>
      </c>
      <c r="G39" s="51">
        <v>143.19999999999999</v>
      </c>
      <c r="H39" s="51">
        <v>142.80000000000001</v>
      </c>
      <c r="I39" s="51">
        <v>96.9</v>
      </c>
      <c r="J39" s="51">
        <v>96.9</v>
      </c>
      <c r="K39" s="51">
        <v>96.9</v>
      </c>
      <c r="L39" s="51">
        <v>142.5</v>
      </c>
      <c r="M39" s="51">
        <v>142.30000000000001</v>
      </c>
      <c r="N39" s="51">
        <v>142.19999999999999</v>
      </c>
      <c r="O39" s="51">
        <v>141.9</v>
      </c>
      <c r="P39" s="51">
        <v>142</v>
      </c>
      <c r="Q39" s="51">
        <v>142.19999999999999</v>
      </c>
      <c r="R39" s="51">
        <v>139.5</v>
      </c>
      <c r="S39" s="51">
        <v>142.19999999999999</v>
      </c>
      <c r="T39" s="51">
        <v>142.19999999999999</v>
      </c>
      <c r="U39" s="51">
        <v>142.19999999999999</v>
      </c>
      <c r="V39" s="51">
        <v>142.19999999999999</v>
      </c>
      <c r="W39" s="51">
        <v>142.19999999999999</v>
      </c>
      <c r="X39" s="51">
        <v>142.19999999999999</v>
      </c>
      <c r="Y39" s="51">
        <v>143.19999999999999</v>
      </c>
      <c r="Z39" s="51">
        <v>143.19999999999999</v>
      </c>
      <c r="AA39" s="51">
        <v>143.19999999999999</v>
      </c>
      <c r="AB39" s="51">
        <v>143.19999999999999</v>
      </c>
      <c r="AC39" s="51">
        <v>143.4</v>
      </c>
      <c r="AD39" s="51">
        <v>143.4</v>
      </c>
      <c r="AE39" s="51">
        <v>143.4</v>
      </c>
      <c r="AF39" s="51">
        <v>143.4</v>
      </c>
      <c r="AG39" s="60">
        <v>144</v>
      </c>
      <c r="AH39" s="55">
        <f t="shared" si="2"/>
        <v>143.4</v>
      </c>
      <c r="AI39" s="56">
        <f t="shared" si="3"/>
        <v>96.9</v>
      </c>
      <c r="AK39" s="57"/>
    </row>
    <row r="40" spans="1:88" x14ac:dyDescent="0.25">
      <c r="A40" s="63" t="s">
        <v>48</v>
      </c>
      <c r="B40" s="49">
        <v>72.599999999999994</v>
      </c>
      <c r="C40" s="49">
        <v>72.599999999999994</v>
      </c>
      <c r="D40" s="49">
        <v>72.599999999999994</v>
      </c>
      <c r="E40" s="49">
        <v>72.599999999999994</v>
      </c>
      <c r="F40" s="49">
        <v>72.599999999999994</v>
      </c>
      <c r="G40" s="49">
        <v>72.599999999999994</v>
      </c>
      <c r="H40" s="49">
        <v>73.2</v>
      </c>
      <c r="I40" s="49">
        <v>73.900000000000006</v>
      </c>
      <c r="J40" s="49">
        <v>74.099999999999994</v>
      </c>
      <c r="K40" s="49">
        <v>74.099999999999994</v>
      </c>
      <c r="L40" s="49">
        <v>72.2</v>
      </c>
      <c r="M40" s="51">
        <v>72.099999999999994</v>
      </c>
      <c r="N40" s="51">
        <v>71.7</v>
      </c>
      <c r="O40" s="51">
        <v>71.2</v>
      </c>
      <c r="P40" s="51">
        <v>70.2</v>
      </c>
      <c r="Q40" s="51">
        <v>70.099999999999994</v>
      </c>
      <c r="R40" s="51">
        <v>68.599999999999994</v>
      </c>
      <c r="S40" s="49">
        <v>69.599999999999994</v>
      </c>
      <c r="T40" s="49">
        <v>69.8</v>
      </c>
      <c r="U40" s="49">
        <v>69.8</v>
      </c>
      <c r="V40" s="49">
        <v>69.8</v>
      </c>
      <c r="W40" s="49">
        <v>69.8</v>
      </c>
      <c r="X40" s="49">
        <v>69.8</v>
      </c>
      <c r="Y40" s="49">
        <v>71.3</v>
      </c>
      <c r="Z40" s="49">
        <v>71.3</v>
      </c>
      <c r="AA40" s="49">
        <v>71.5</v>
      </c>
      <c r="AB40" s="49">
        <v>73.599999999999994</v>
      </c>
      <c r="AC40" s="49">
        <v>73.400000000000006</v>
      </c>
      <c r="AD40" s="49">
        <v>72.2</v>
      </c>
      <c r="AE40" s="49">
        <v>72.2</v>
      </c>
      <c r="AF40" s="49">
        <v>72.2</v>
      </c>
      <c r="AG40" s="64">
        <v>70</v>
      </c>
      <c r="AH40" s="55">
        <f t="shared" si="2"/>
        <v>74.099999999999994</v>
      </c>
      <c r="AI40" s="56">
        <f t="shared" si="3"/>
        <v>68.599999999999994</v>
      </c>
      <c r="AK40" s="57"/>
    </row>
    <row r="41" spans="1:88" x14ac:dyDescent="0.25">
      <c r="A41" s="63" t="s">
        <v>49</v>
      </c>
      <c r="B41" s="49">
        <v>64.7</v>
      </c>
      <c r="C41" s="49">
        <v>64.7</v>
      </c>
      <c r="D41" s="49">
        <v>64.7</v>
      </c>
      <c r="E41" s="49">
        <v>64.7</v>
      </c>
      <c r="F41" s="49">
        <v>64.7</v>
      </c>
      <c r="G41" s="49">
        <v>64.7</v>
      </c>
      <c r="H41" s="49">
        <v>63.8</v>
      </c>
      <c r="I41" s="49">
        <v>63.6</v>
      </c>
      <c r="J41" s="49">
        <v>64.099999999999994</v>
      </c>
      <c r="K41" s="49">
        <v>64.099999999999994</v>
      </c>
      <c r="L41" s="49">
        <v>64.400000000000006</v>
      </c>
      <c r="M41" s="51">
        <v>64.2</v>
      </c>
      <c r="N41" s="51">
        <v>64.2</v>
      </c>
      <c r="O41" s="51">
        <v>63.8</v>
      </c>
      <c r="P41" s="51">
        <v>64.400000000000006</v>
      </c>
      <c r="Q41" s="51">
        <v>64.599999999999994</v>
      </c>
      <c r="R41" s="51">
        <v>63.8</v>
      </c>
      <c r="S41" s="49">
        <v>64.7</v>
      </c>
      <c r="T41" s="49">
        <v>64.900000000000006</v>
      </c>
      <c r="U41" s="49">
        <v>64.900000000000006</v>
      </c>
      <c r="V41" s="49">
        <v>64.900000000000006</v>
      </c>
      <c r="W41" s="49">
        <v>64.900000000000006</v>
      </c>
      <c r="X41" s="49">
        <v>64.900000000000006</v>
      </c>
      <c r="Y41" s="49">
        <v>64.7</v>
      </c>
      <c r="Z41" s="49">
        <v>64.7</v>
      </c>
      <c r="AA41" s="49">
        <v>64.5</v>
      </c>
      <c r="AB41" s="49">
        <v>64.5</v>
      </c>
      <c r="AC41" s="49">
        <v>64.7</v>
      </c>
      <c r="AD41" s="49">
        <v>64.5</v>
      </c>
      <c r="AE41" s="49">
        <v>64.5</v>
      </c>
      <c r="AF41" s="49">
        <v>64.5</v>
      </c>
      <c r="AG41" s="64">
        <v>69</v>
      </c>
      <c r="AH41" s="55">
        <f t="shared" si="2"/>
        <v>64.900000000000006</v>
      </c>
      <c r="AI41" s="56">
        <f t="shared" si="3"/>
        <v>63.6</v>
      </c>
      <c r="AK41" s="57"/>
    </row>
    <row r="42" spans="1:88" x14ac:dyDescent="0.25">
      <c r="A42" s="63" t="s">
        <v>50</v>
      </c>
      <c r="B42" s="66">
        <v>61.2</v>
      </c>
      <c r="C42" s="66">
        <v>61.2</v>
      </c>
      <c r="D42" s="66">
        <v>61.2</v>
      </c>
      <c r="E42" s="66">
        <v>61.2</v>
      </c>
      <c r="F42" s="66">
        <v>61.2</v>
      </c>
      <c r="G42" s="66">
        <v>61.2</v>
      </c>
      <c r="H42" s="66">
        <v>61.2</v>
      </c>
      <c r="I42" s="66">
        <v>60.9</v>
      </c>
      <c r="J42" s="66">
        <v>60.9</v>
      </c>
      <c r="K42" s="66">
        <v>60.9</v>
      </c>
      <c r="L42" s="66">
        <v>60.9</v>
      </c>
      <c r="M42" s="51">
        <v>60.7</v>
      </c>
      <c r="N42" s="51">
        <v>60.9</v>
      </c>
      <c r="O42" s="51">
        <v>60.9</v>
      </c>
      <c r="P42" s="51">
        <v>61.2</v>
      </c>
      <c r="Q42" s="51">
        <v>60.9</v>
      </c>
      <c r="R42" s="51">
        <v>61.2</v>
      </c>
      <c r="S42" s="51">
        <v>61.2</v>
      </c>
      <c r="T42" s="51">
        <v>61.2</v>
      </c>
      <c r="U42" s="51">
        <v>61.2</v>
      </c>
      <c r="V42" s="51">
        <v>61.2</v>
      </c>
      <c r="W42" s="51">
        <v>61.2</v>
      </c>
      <c r="X42" s="51">
        <v>61.2</v>
      </c>
      <c r="Y42" s="51">
        <v>60.9</v>
      </c>
      <c r="Z42" s="51">
        <v>60.9</v>
      </c>
      <c r="AA42" s="51">
        <v>60.9</v>
      </c>
      <c r="AB42" s="66">
        <v>60.9</v>
      </c>
      <c r="AC42" s="66">
        <v>60.9</v>
      </c>
      <c r="AD42" s="66">
        <v>60.9</v>
      </c>
      <c r="AE42" s="66">
        <v>60.9</v>
      </c>
      <c r="AF42" s="66">
        <v>60.9</v>
      </c>
      <c r="AG42" s="64">
        <v>60</v>
      </c>
      <c r="AH42" s="55">
        <f t="shared" si="2"/>
        <v>61.2</v>
      </c>
      <c r="AI42" s="56">
        <f t="shared" si="3"/>
        <v>60.7</v>
      </c>
      <c r="AK42" s="57"/>
    </row>
    <row r="43" spans="1:88" x14ac:dyDescent="0.25">
      <c r="A43" s="63" t="s">
        <v>51</v>
      </c>
      <c r="B43" s="66">
        <v>30</v>
      </c>
      <c r="C43" s="66">
        <v>30</v>
      </c>
      <c r="D43" s="66">
        <v>30</v>
      </c>
      <c r="E43" s="66">
        <v>30</v>
      </c>
      <c r="F43" s="66">
        <v>30</v>
      </c>
      <c r="G43" s="66">
        <v>30</v>
      </c>
      <c r="H43" s="66">
        <v>30</v>
      </c>
      <c r="I43" s="66">
        <v>30</v>
      </c>
      <c r="J43" s="66">
        <v>30</v>
      </c>
      <c r="K43" s="66">
        <v>18.2</v>
      </c>
      <c r="L43" s="66">
        <v>19.7</v>
      </c>
      <c r="M43" s="51">
        <v>0</v>
      </c>
      <c r="N43" s="51">
        <v>0</v>
      </c>
      <c r="O43" s="51">
        <v>28.5</v>
      </c>
      <c r="P43" s="51">
        <v>30</v>
      </c>
      <c r="Q43" s="51">
        <v>30</v>
      </c>
      <c r="R43" s="51">
        <v>30</v>
      </c>
      <c r="S43" s="51">
        <v>29</v>
      </c>
      <c r="T43" s="51">
        <v>29</v>
      </c>
      <c r="U43" s="51">
        <v>29</v>
      </c>
      <c r="V43" s="51">
        <v>29</v>
      </c>
      <c r="W43" s="51">
        <v>29</v>
      </c>
      <c r="X43" s="51">
        <v>29</v>
      </c>
      <c r="Y43" s="51">
        <v>29</v>
      </c>
      <c r="Z43" s="51">
        <v>29</v>
      </c>
      <c r="AA43" s="51">
        <v>29</v>
      </c>
      <c r="AB43" s="66">
        <v>29</v>
      </c>
      <c r="AC43" s="66">
        <v>28.8</v>
      </c>
      <c r="AD43" s="66">
        <v>28.8</v>
      </c>
      <c r="AE43" s="66">
        <v>28.8</v>
      </c>
      <c r="AF43" s="66">
        <v>28.8</v>
      </c>
      <c r="AG43" s="64">
        <v>30</v>
      </c>
      <c r="AH43" s="55">
        <f t="shared" si="2"/>
        <v>30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66">
        <v>5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4</v>
      </c>
      <c r="X44" s="51">
        <v>0</v>
      </c>
      <c r="Y44" s="51">
        <v>0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15</v>
      </c>
      <c r="C45" s="49">
        <v>15</v>
      </c>
      <c r="D45" s="49">
        <v>15</v>
      </c>
      <c r="E45" s="49">
        <v>15</v>
      </c>
      <c r="F45" s="49">
        <v>15</v>
      </c>
      <c r="G45" s="49">
        <v>15</v>
      </c>
      <c r="H45" s="49">
        <v>15</v>
      </c>
      <c r="I45" s="49">
        <v>15</v>
      </c>
      <c r="J45" s="49">
        <v>15</v>
      </c>
      <c r="K45" s="49">
        <v>15</v>
      </c>
      <c r="L45" s="49">
        <v>15</v>
      </c>
      <c r="M45" s="51">
        <v>15.1</v>
      </c>
      <c r="N45" s="51">
        <v>15.7</v>
      </c>
      <c r="O45" s="51">
        <v>15.7</v>
      </c>
      <c r="P45" s="51">
        <v>15.8</v>
      </c>
      <c r="Q45" s="51">
        <v>15.8</v>
      </c>
      <c r="R45" s="51">
        <v>14.2</v>
      </c>
      <c r="S45" s="51">
        <v>15.9</v>
      </c>
      <c r="T45" s="51">
        <v>15.9</v>
      </c>
      <c r="U45" s="51">
        <v>15.9</v>
      </c>
      <c r="V45" s="51">
        <v>15.9</v>
      </c>
      <c r="W45" s="51">
        <v>16</v>
      </c>
      <c r="X45" s="51">
        <v>16</v>
      </c>
      <c r="Y45" s="51">
        <v>16</v>
      </c>
      <c r="Z45" s="51">
        <v>16</v>
      </c>
      <c r="AA45" s="51">
        <v>16.100000000000001</v>
      </c>
      <c r="AB45" s="49">
        <v>16.100000000000001</v>
      </c>
      <c r="AC45" s="49">
        <v>16</v>
      </c>
      <c r="AD45" s="49">
        <v>16</v>
      </c>
      <c r="AE45" s="49">
        <v>16</v>
      </c>
      <c r="AF45" s="49">
        <v>16</v>
      </c>
      <c r="AG45" s="64">
        <v>24</v>
      </c>
      <c r="AH45" s="55">
        <f t="shared" si="2"/>
        <v>16.100000000000001</v>
      </c>
      <c r="AI45" s="56">
        <f t="shared" si="3"/>
        <v>14.2</v>
      </c>
      <c r="AK45" s="57"/>
    </row>
    <row r="46" spans="1:88" x14ac:dyDescent="0.25">
      <c r="A46" s="63" t="s">
        <v>54</v>
      </c>
      <c r="B46" s="49">
        <v>3</v>
      </c>
      <c r="C46" s="49">
        <v>3</v>
      </c>
      <c r="D46" s="49">
        <v>3</v>
      </c>
      <c r="E46" s="49">
        <v>3</v>
      </c>
      <c r="F46" s="49">
        <v>3</v>
      </c>
      <c r="G46" s="49">
        <v>3</v>
      </c>
      <c r="H46" s="49">
        <v>3</v>
      </c>
      <c r="I46" s="49">
        <v>3</v>
      </c>
      <c r="J46" s="49">
        <v>3</v>
      </c>
      <c r="K46" s="49">
        <v>3</v>
      </c>
      <c r="L46" s="49">
        <v>3</v>
      </c>
      <c r="M46" s="51">
        <v>3</v>
      </c>
      <c r="N46" s="51">
        <v>3</v>
      </c>
      <c r="O46" s="51">
        <v>3</v>
      </c>
      <c r="P46" s="51">
        <v>3</v>
      </c>
      <c r="Q46" s="51">
        <v>3</v>
      </c>
      <c r="R46" s="51">
        <v>3</v>
      </c>
      <c r="S46" s="51">
        <v>2.7</v>
      </c>
      <c r="T46" s="51">
        <v>2.7</v>
      </c>
      <c r="U46" s="51">
        <v>2.7</v>
      </c>
      <c r="V46" s="51">
        <v>2.7</v>
      </c>
      <c r="W46" s="51">
        <v>2.7</v>
      </c>
      <c r="X46" s="51">
        <v>2.7</v>
      </c>
      <c r="Y46" s="51">
        <v>2.7</v>
      </c>
      <c r="Z46" s="51">
        <v>2.7</v>
      </c>
      <c r="AA46" s="51">
        <v>2.7</v>
      </c>
      <c r="AB46" s="49">
        <v>2.7</v>
      </c>
      <c r="AC46" s="49">
        <v>2.7</v>
      </c>
      <c r="AD46" s="49">
        <v>2.7</v>
      </c>
      <c r="AE46" s="49">
        <v>2.7</v>
      </c>
      <c r="AF46" s="49">
        <v>2.7</v>
      </c>
      <c r="AG46" s="64">
        <v>15</v>
      </c>
      <c r="AH46" s="55">
        <f t="shared" si="2"/>
        <v>3</v>
      </c>
      <c r="AI46" s="56">
        <f t="shared" si="3"/>
        <v>2.7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11.5</v>
      </c>
      <c r="C47" s="49">
        <v>11.5</v>
      </c>
      <c r="D47" s="49">
        <v>11.5</v>
      </c>
      <c r="E47" s="49">
        <v>11.5</v>
      </c>
      <c r="F47" s="49">
        <v>11.5</v>
      </c>
      <c r="G47" s="49">
        <v>11.5</v>
      </c>
      <c r="H47" s="49">
        <v>11.5</v>
      </c>
      <c r="I47" s="49">
        <v>11.5</v>
      </c>
      <c r="J47" s="49">
        <v>11.5</v>
      </c>
      <c r="K47" s="49">
        <v>11.5</v>
      </c>
      <c r="L47" s="49">
        <v>11.5</v>
      </c>
      <c r="M47" s="51">
        <v>11.6</v>
      </c>
      <c r="N47" s="51">
        <v>11.5</v>
      </c>
      <c r="O47" s="51">
        <v>11.5</v>
      </c>
      <c r="P47" s="51">
        <v>11.5</v>
      </c>
      <c r="Q47" s="51">
        <v>11.5</v>
      </c>
      <c r="R47" s="51">
        <v>11.5</v>
      </c>
      <c r="S47" s="51">
        <v>10.7</v>
      </c>
      <c r="T47" s="51">
        <v>10.7</v>
      </c>
      <c r="U47" s="51">
        <v>10.7</v>
      </c>
      <c r="V47" s="51">
        <v>10.7</v>
      </c>
      <c r="W47" s="51">
        <v>11.5</v>
      </c>
      <c r="X47" s="51">
        <v>11.5</v>
      </c>
      <c r="Y47" s="51">
        <v>11.6</v>
      </c>
      <c r="Z47" s="51">
        <v>11.5</v>
      </c>
      <c r="AA47" s="51">
        <v>11.5</v>
      </c>
      <c r="AB47" s="49">
        <v>11.5</v>
      </c>
      <c r="AC47" s="49">
        <v>11.7</v>
      </c>
      <c r="AD47" s="49">
        <v>11.7</v>
      </c>
      <c r="AE47" s="49">
        <v>11.7</v>
      </c>
      <c r="AF47" s="49">
        <v>11.7</v>
      </c>
      <c r="AG47" s="64">
        <v>14.1</v>
      </c>
      <c r="AH47" s="55">
        <f t="shared" si="2"/>
        <v>11.7</v>
      </c>
      <c r="AI47" s="56">
        <f t="shared" si="3"/>
        <v>10.7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13.9</v>
      </c>
      <c r="C48" s="49">
        <v>13.9</v>
      </c>
      <c r="D48" s="49">
        <v>4.0999999999999996</v>
      </c>
      <c r="E48" s="49">
        <v>14</v>
      </c>
      <c r="F48" s="49">
        <v>14</v>
      </c>
      <c r="G48" s="49">
        <v>14</v>
      </c>
      <c r="H48" s="49">
        <v>14</v>
      </c>
      <c r="I48" s="49">
        <v>14</v>
      </c>
      <c r="J48" s="49">
        <v>14</v>
      </c>
      <c r="K48" s="49">
        <v>14</v>
      </c>
      <c r="L48" s="49">
        <v>14</v>
      </c>
      <c r="M48" s="51">
        <v>14.1</v>
      </c>
      <c r="N48" s="51">
        <v>14</v>
      </c>
      <c r="O48" s="51">
        <v>14</v>
      </c>
      <c r="P48" s="51">
        <v>14</v>
      </c>
      <c r="Q48" s="51">
        <v>14</v>
      </c>
      <c r="R48" s="51">
        <v>14</v>
      </c>
      <c r="S48" s="51">
        <v>14</v>
      </c>
      <c r="T48" s="51">
        <v>14</v>
      </c>
      <c r="U48" s="51">
        <v>0</v>
      </c>
      <c r="V48" s="51">
        <v>14</v>
      </c>
      <c r="W48" s="51">
        <v>14</v>
      </c>
      <c r="X48" s="51">
        <v>14</v>
      </c>
      <c r="Y48" s="51">
        <v>13.9</v>
      </c>
      <c r="Z48" s="51">
        <v>13.9</v>
      </c>
      <c r="AA48" s="51">
        <v>13.9</v>
      </c>
      <c r="AB48" s="49">
        <v>13.9</v>
      </c>
      <c r="AC48" s="49">
        <v>14</v>
      </c>
      <c r="AD48" s="49">
        <v>14</v>
      </c>
      <c r="AE48" s="49">
        <v>14</v>
      </c>
      <c r="AF48" s="49">
        <v>14</v>
      </c>
      <c r="AG48" s="64">
        <v>14</v>
      </c>
      <c r="AH48" s="55">
        <f t="shared" si="2"/>
        <v>14.1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9.5</v>
      </c>
      <c r="F49" s="49">
        <v>9.5</v>
      </c>
      <c r="G49" s="49">
        <v>9.5</v>
      </c>
      <c r="H49" s="49">
        <v>9.5</v>
      </c>
      <c r="I49" s="49">
        <v>9.5</v>
      </c>
      <c r="J49" s="49">
        <v>9.5</v>
      </c>
      <c r="K49" s="49">
        <v>9.5</v>
      </c>
      <c r="L49" s="49">
        <v>9.5</v>
      </c>
      <c r="M49" s="51">
        <v>9.5</v>
      </c>
      <c r="N49" s="51">
        <v>9.5</v>
      </c>
      <c r="O49" s="51">
        <v>9.5</v>
      </c>
      <c r="P49" s="51">
        <v>9.5</v>
      </c>
      <c r="Q49" s="51">
        <v>9.5</v>
      </c>
      <c r="R49" s="51">
        <v>9.5</v>
      </c>
      <c r="S49" s="51">
        <v>9.3000000000000007</v>
      </c>
      <c r="T49" s="51">
        <v>9.3000000000000007</v>
      </c>
      <c r="U49" s="51">
        <v>9.3000000000000007</v>
      </c>
      <c r="V49" s="51">
        <v>9.3000000000000007</v>
      </c>
      <c r="W49" s="51">
        <v>9.3000000000000007</v>
      </c>
      <c r="X49" s="51">
        <v>9.3000000000000007</v>
      </c>
      <c r="Y49" s="51">
        <v>9.5</v>
      </c>
      <c r="Z49" s="51">
        <v>9.5</v>
      </c>
      <c r="AA49" s="51">
        <v>9.5</v>
      </c>
      <c r="AB49" s="49">
        <v>9.5</v>
      </c>
      <c r="AC49" s="49">
        <v>9.5</v>
      </c>
      <c r="AD49" s="49">
        <v>9.5</v>
      </c>
      <c r="AE49" s="49">
        <v>9.5</v>
      </c>
      <c r="AF49" s="49">
        <v>9.5</v>
      </c>
      <c r="AG49" s="64">
        <v>10.050000000000001</v>
      </c>
      <c r="AH49" s="55">
        <f t="shared" si="2"/>
        <v>9.5</v>
      </c>
      <c r="AI49" s="56">
        <f t="shared" si="3"/>
        <v>9.3000000000000007</v>
      </c>
      <c r="AK49" s="57"/>
    </row>
    <row r="50" spans="1:37" x14ac:dyDescent="0.25">
      <c r="A50" s="63" t="s">
        <v>58</v>
      </c>
      <c r="B50" s="49">
        <v>6.2</v>
      </c>
      <c r="C50" s="49">
        <v>6.2</v>
      </c>
      <c r="D50" s="49">
        <v>0</v>
      </c>
      <c r="E50" s="49">
        <v>0</v>
      </c>
      <c r="F50" s="49">
        <v>0</v>
      </c>
      <c r="G50" s="49">
        <v>0</v>
      </c>
      <c r="H50" s="49">
        <v>3</v>
      </c>
      <c r="I50" s="49">
        <v>3</v>
      </c>
      <c r="J50" s="49">
        <v>3</v>
      </c>
      <c r="K50" s="49">
        <v>3</v>
      </c>
      <c r="L50" s="49">
        <v>3</v>
      </c>
      <c r="M50" s="51">
        <v>3</v>
      </c>
      <c r="N50" s="51">
        <v>3</v>
      </c>
      <c r="O50" s="51">
        <v>3</v>
      </c>
      <c r="P50" s="51">
        <v>3</v>
      </c>
      <c r="Q50" s="51">
        <v>3</v>
      </c>
      <c r="R50" s="51">
        <v>3</v>
      </c>
      <c r="S50" s="51">
        <v>3</v>
      </c>
      <c r="T50" s="51">
        <v>3</v>
      </c>
      <c r="U50" s="51">
        <v>3</v>
      </c>
      <c r="V50" s="51">
        <v>3</v>
      </c>
      <c r="W50" s="51">
        <v>3</v>
      </c>
      <c r="X50" s="51">
        <v>3</v>
      </c>
      <c r="Y50" s="51">
        <v>3</v>
      </c>
      <c r="Z50" s="51">
        <v>3</v>
      </c>
      <c r="AA50" s="51">
        <v>3</v>
      </c>
      <c r="AB50" s="49">
        <v>3</v>
      </c>
      <c r="AC50" s="49">
        <v>3</v>
      </c>
      <c r="AD50" s="49">
        <v>3</v>
      </c>
      <c r="AE50" s="49">
        <v>3</v>
      </c>
      <c r="AF50" s="49">
        <v>3</v>
      </c>
      <c r="AG50" s="64">
        <v>6.2</v>
      </c>
      <c r="AH50" s="55">
        <f t="shared" si="2"/>
        <v>6.2</v>
      </c>
      <c r="AI50" s="56">
        <f t="shared" si="3"/>
        <v>0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434.34</v>
      </c>
      <c r="C52" s="70">
        <f t="shared" ref="C52:AF52" si="8">SUM(C39:C51)</f>
        <v>434.34</v>
      </c>
      <c r="D52" s="70">
        <f t="shared" si="8"/>
        <v>418.34000000000003</v>
      </c>
      <c r="E52" s="70">
        <f t="shared" si="8"/>
        <v>428.24</v>
      </c>
      <c r="F52" s="70">
        <f t="shared" si="8"/>
        <v>428.24</v>
      </c>
      <c r="G52" s="70">
        <f t="shared" si="8"/>
        <v>428.24</v>
      </c>
      <c r="H52" s="70">
        <f t="shared" si="8"/>
        <v>430.54</v>
      </c>
      <c r="I52" s="70">
        <f t="shared" si="8"/>
        <v>384.84000000000003</v>
      </c>
      <c r="J52" s="70">
        <f t="shared" si="8"/>
        <v>385.54</v>
      </c>
      <c r="K52" s="70">
        <f t="shared" si="8"/>
        <v>373.74</v>
      </c>
      <c r="L52" s="70">
        <f t="shared" si="8"/>
        <v>424.24</v>
      </c>
      <c r="M52" s="70">
        <f t="shared" si="8"/>
        <v>407.1400000000001</v>
      </c>
      <c r="N52" s="70">
        <f t="shared" si="8"/>
        <v>407.23999999999995</v>
      </c>
      <c r="O52" s="70">
        <f t="shared" si="8"/>
        <v>434.54</v>
      </c>
      <c r="P52" s="70">
        <f t="shared" si="8"/>
        <v>436.14000000000004</v>
      </c>
      <c r="Q52" s="70">
        <f t="shared" si="8"/>
        <v>436.14</v>
      </c>
      <c r="R52" s="70">
        <f t="shared" si="8"/>
        <v>429.84</v>
      </c>
      <c r="S52" s="70">
        <f t="shared" si="8"/>
        <v>433.84</v>
      </c>
      <c r="T52" s="70">
        <f t="shared" si="8"/>
        <v>434.23999999999995</v>
      </c>
      <c r="U52" s="70">
        <f t="shared" si="8"/>
        <v>420.23999999999995</v>
      </c>
      <c r="V52" s="70">
        <f t="shared" si="8"/>
        <v>434.23999999999995</v>
      </c>
      <c r="W52" s="70">
        <f t="shared" si="8"/>
        <v>431.14</v>
      </c>
      <c r="X52" s="70">
        <f t="shared" si="8"/>
        <v>427.14</v>
      </c>
      <c r="Y52" s="70">
        <f t="shared" si="8"/>
        <v>429.34</v>
      </c>
      <c r="Z52" s="70">
        <f t="shared" si="8"/>
        <v>429.23999999999995</v>
      </c>
      <c r="AA52" s="70">
        <f t="shared" si="8"/>
        <v>429.34</v>
      </c>
      <c r="AB52" s="70">
        <f t="shared" si="8"/>
        <v>431.43999999999994</v>
      </c>
      <c r="AC52" s="70">
        <f t="shared" si="8"/>
        <v>431.64</v>
      </c>
      <c r="AD52" s="70">
        <f t="shared" si="8"/>
        <v>430.24</v>
      </c>
      <c r="AE52" s="70">
        <f t="shared" si="8"/>
        <v>430.24</v>
      </c>
      <c r="AF52" s="70">
        <f t="shared" si="8"/>
        <v>430.24</v>
      </c>
      <c r="AG52" s="74">
        <f>SUM(AG39:AG51)</f>
        <v>489.91</v>
      </c>
      <c r="AH52" s="55">
        <f t="shared" si="2"/>
        <v>436.14000000000004</v>
      </c>
      <c r="AI52" s="56">
        <f t="shared" si="3"/>
        <v>373.74</v>
      </c>
      <c r="AK52" s="57"/>
    </row>
    <row r="53" spans="1:37" x14ac:dyDescent="0.25">
      <c r="A53" s="58" t="s">
        <v>61</v>
      </c>
      <c r="B53" s="51">
        <v>20.100000000000001</v>
      </c>
      <c r="C53" s="51">
        <v>0</v>
      </c>
      <c r="D53" s="51">
        <v>0</v>
      </c>
      <c r="E53" s="51">
        <v>10.8</v>
      </c>
      <c r="F53" s="51">
        <v>0</v>
      </c>
      <c r="G53" s="51">
        <v>0</v>
      </c>
      <c r="H53" s="51">
        <v>0</v>
      </c>
      <c r="I53" s="51">
        <v>50</v>
      </c>
      <c r="J53" s="51">
        <v>10</v>
      </c>
      <c r="K53" s="51">
        <v>29.6</v>
      </c>
      <c r="L53" s="51">
        <v>43.5</v>
      </c>
      <c r="M53" s="51">
        <v>43.4</v>
      </c>
      <c r="N53" s="51">
        <v>13.4</v>
      </c>
      <c r="O53" s="51">
        <v>40.4</v>
      </c>
      <c r="P53" s="51">
        <v>45</v>
      </c>
      <c r="Q53" s="51">
        <v>60</v>
      </c>
      <c r="R53" s="51">
        <v>45</v>
      </c>
      <c r="S53" s="51">
        <v>43.6</v>
      </c>
      <c r="T53" s="51">
        <v>13.9</v>
      </c>
      <c r="U53" s="51">
        <v>29.8</v>
      </c>
      <c r="V53" s="51">
        <v>0</v>
      </c>
      <c r="W53" s="51">
        <v>0</v>
      </c>
      <c r="X53" s="51">
        <v>0</v>
      </c>
      <c r="Y53" s="51">
        <v>0</v>
      </c>
      <c r="Z53" s="51">
        <v>30</v>
      </c>
      <c r="AA53" s="51">
        <v>24.5</v>
      </c>
      <c r="AB53" s="51">
        <v>13.9</v>
      </c>
      <c r="AC53" s="51">
        <v>24.9</v>
      </c>
      <c r="AD53" s="51">
        <v>58.6</v>
      </c>
      <c r="AE53" s="51">
        <v>45</v>
      </c>
      <c r="AF53" s="51">
        <v>21</v>
      </c>
      <c r="AG53" s="60">
        <v>60</v>
      </c>
      <c r="AH53" s="55">
        <f t="shared" si="2"/>
        <v>60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10.5</v>
      </c>
      <c r="C54" s="49">
        <v>4.7</v>
      </c>
      <c r="D54" s="49">
        <v>0</v>
      </c>
      <c r="E54" s="49">
        <v>6.4</v>
      </c>
      <c r="F54" s="49">
        <v>5.5</v>
      </c>
      <c r="G54" s="49">
        <v>0</v>
      </c>
      <c r="H54" s="49">
        <v>0</v>
      </c>
      <c r="I54" s="49">
        <v>14.5</v>
      </c>
      <c r="J54" s="49">
        <v>12.8</v>
      </c>
      <c r="K54" s="49">
        <v>14.8</v>
      </c>
      <c r="L54" s="49">
        <v>21.8</v>
      </c>
      <c r="M54" s="49">
        <v>21.8</v>
      </c>
      <c r="N54" s="49">
        <v>6.8</v>
      </c>
      <c r="O54" s="49">
        <v>18.100000000000001</v>
      </c>
      <c r="P54" s="49">
        <v>21.2</v>
      </c>
      <c r="Q54" s="49">
        <v>29.5</v>
      </c>
      <c r="R54" s="49">
        <v>18.2</v>
      </c>
      <c r="S54" s="49">
        <v>20.7</v>
      </c>
      <c r="T54" s="49">
        <v>6.2</v>
      </c>
      <c r="U54" s="49">
        <v>12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24.6</v>
      </c>
      <c r="AB54" s="49">
        <v>8</v>
      </c>
      <c r="AC54" s="49">
        <v>12.9</v>
      </c>
      <c r="AD54" s="49">
        <v>15.7</v>
      </c>
      <c r="AE54" s="49">
        <v>18</v>
      </c>
      <c r="AF54" s="49">
        <v>4.9000000000000004</v>
      </c>
      <c r="AG54" s="64">
        <v>32</v>
      </c>
      <c r="AH54" s="55">
        <f t="shared" si="2"/>
        <v>29.5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3.8</v>
      </c>
      <c r="C55" s="75">
        <v>1.7</v>
      </c>
      <c r="D55" s="75">
        <v>0</v>
      </c>
      <c r="E55" s="75">
        <v>2.2999999999999998</v>
      </c>
      <c r="F55" s="75">
        <v>2</v>
      </c>
      <c r="G55" s="75">
        <v>0</v>
      </c>
      <c r="H55" s="75">
        <v>0</v>
      </c>
      <c r="I55" s="75">
        <v>5.3</v>
      </c>
      <c r="J55" s="75">
        <v>4.7</v>
      </c>
      <c r="K55" s="75">
        <v>5.4</v>
      </c>
      <c r="L55" s="75">
        <v>8</v>
      </c>
      <c r="M55" s="75">
        <v>7.9</v>
      </c>
      <c r="N55" s="75">
        <v>2.5</v>
      </c>
      <c r="O55" s="75">
        <v>6.6</v>
      </c>
      <c r="P55" s="75">
        <v>7.7</v>
      </c>
      <c r="Q55" s="75">
        <v>10.8</v>
      </c>
      <c r="R55" s="75">
        <v>6.6</v>
      </c>
      <c r="S55" s="75">
        <v>7.6</v>
      </c>
      <c r="T55" s="75">
        <v>2.2000000000000002</v>
      </c>
      <c r="U55" s="75">
        <v>4.4000000000000004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9</v>
      </c>
      <c r="AB55" s="75">
        <v>2.9</v>
      </c>
      <c r="AC55" s="75">
        <v>4.7</v>
      </c>
      <c r="AD55" s="75">
        <v>5.8</v>
      </c>
      <c r="AE55" s="75">
        <v>5.6</v>
      </c>
      <c r="AF55" s="75">
        <v>2</v>
      </c>
      <c r="AG55" s="76">
        <v>14</v>
      </c>
      <c r="AH55" s="55">
        <f t="shared" si="2"/>
        <v>10.8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34.4</v>
      </c>
      <c r="C56" s="70">
        <f t="shared" si="9"/>
        <v>6.4</v>
      </c>
      <c r="D56" s="70">
        <f t="shared" si="9"/>
        <v>0</v>
      </c>
      <c r="E56" s="70">
        <f t="shared" si="9"/>
        <v>19.500000000000004</v>
      </c>
      <c r="F56" s="70">
        <f t="shared" si="9"/>
        <v>7.5</v>
      </c>
      <c r="G56" s="70">
        <f t="shared" si="9"/>
        <v>0</v>
      </c>
      <c r="H56" s="70">
        <f t="shared" si="9"/>
        <v>0</v>
      </c>
      <c r="I56" s="70">
        <f t="shared" si="9"/>
        <v>69.8</v>
      </c>
      <c r="J56" s="70">
        <f t="shared" si="9"/>
        <v>27.5</v>
      </c>
      <c r="K56" s="70">
        <f t="shared" si="9"/>
        <v>49.800000000000004</v>
      </c>
      <c r="L56" s="70">
        <f t="shared" si="9"/>
        <v>73.3</v>
      </c>
      <c r="M56" s="70">
        <f t="shared" si="9"/>
        <v>73.100000000000009</v>
      </c>
      <c r="N56" s="70">
        <f t="shared" si="9"/>
        <v>22.7</v>
      </c>
      <c r="O56" s="70">
        <f t="shared" si="9"/>
        <v>65.099999999999994</v>
      </c>
      <c r="P56" s="70">
        <f t="shared" si="9"/>
        <v>73.900000000000006</v>
      </c>
      <c r="Q56" s="70">
        <f t="shared" si="9"/>
        <v>100.3</v>
      </c>
      <c r="R56" s="70">
        <f t="shared" si="9"/>
        <v>69.8</v>
      </c>
      <c r="S56" s="70">
        <f t="shared" si="9"/>
        <v>71.899999999999991</v>
      </c>
      <c r="T56" s="70">
        <f t="shared" si="9"/>
        <v>22.3</v>
      </c>
      <c r="U56" s="70">
        <f t="shared" si="9"/>
        <v>46.199999999999996</v>
      </c>
      <c r="V56" s="70">
        <f t="shared" si="9"/>
        <v>0</v>
      </c>
      <c r="W56" s="70">
        <f t="shared" si="9"/>
        <v>0</v>
      </c>
      <c r="X56" s="70">
        <f t="shared" si="9"/>
        <v>0</v>
      </c>
      <c r="Y56" s="70">
        <f t="shared" si="9"/>
        <v>0</v>
      </c>
      <c r="Z56" s="70">
        <f t="shared" si="9"/>
        <v>30</v>
      </c>
      <c r="AA56" s="70">
        <f t="shared" si="9"/>
        <v>58.1</v>
      </c>
      <c r="AB56" s="70">
        <f t="shared" si="9"/>
        <v>24.799999999999997</v>
      </c>
      <c r="AC56" s="70">
        <f t="shared" si="9"/>
        <v>42.5</v>
      </c>
      <c r="AD56" s="70">
        <f t="shared" si="9"/>
        <v>80.099999999999994</v>
      </c>
      <c r="AE56" s="70">
        <f t="shared" si="9"/>
        <v>68.599999999999994</v>
      </c>
      <c r="AF56" s="70">
        <f t="shared" si="9"/>
        <v>27.9</v>
      </c>
      <c r="AG56" s="74">
        <f>SUM(AG53:AG55)</f>
        <v>106</v>
      </c>
      <c r="AH56" s="55">
        <f t="shared" si="2"/>
        <v>100.3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68.099999999999994</v>
      </c>
      <c r="C57" s="51">
        <v>64.400000000000006</v>
      </c>
      <c r="D57" s="51">
        <v>66.900000000000006</v>
      </c>
      <c r="E57" s="51">
        <v>43.5</v>
      </c>
      <c r="F57" s="51">
        <v>42.8</v>
      </c>
      <c r="G57" s="51">
        <v>38</v>
      </c>
      <c r="H57" s="51">
        <v>33.799999999999997</v>
      </c>
      <c r="I57" s="51">
        <v>55.7</v>
      </c>
      <c r="J57" s="51">
        <v>59.4</v>
      </c>
      <c r="K57" s="51">
        <v>61.1</v>
      </c>
      <c r="L57" s="51">
        <v>57.9</v>
      </c>
      <c r="M57" s="51">
        <v>50</v>
      </c>
      <c r="N57" s="51">
        <v>55</v>
      </c>
      <c r="O57" s="51">
        <v>49.6</v>
      </c>
      <c r="P57" s="51">
        <v>66.7</v>
      </c>
      <c r="Q57" s="51">
        <v>68.900000000000006</v>
      </c>
      <c r="R57" s="51">
        <v>58.4</v>
      </c>
      <c r="S57" s="51">
        <v>67.7</v>
      </c>
      <c r="T57" s="51">
        <v>70.2</v>
      </c>
      <c r="U57" s="51">
        <v>52.6</v>
      </c>
      <c r="V57" s="51">
        <v>51</v>
      </c>
      <c r="W57" s="51">
        <v>36.200000000000003</v>
      </c>
      <c r="X57" s="51">
        <v>44.8</v>
      </c>
      <c r="Y57" s="51">
        <v>42</v>
      </c>
      <c r="Z57" s="51">
        <v>44.2</v>
      </c>
      <c r="AA57" s="51">
        <v>55.5</v>
      </c>
      <c r="AB57" s="51">
        <v>66.5</v>
      </c>
      <c r="AC57" s="51">
        <v>64.900000000000006</v>
      </c>
      <c r="AD57" s="51">
        <v>73</v>
      </c>
      <c r="AE57" s="51">
        <v>55.8</v>
      </c>
      <c r="AF57" s="51">
        <v>75.599999999999994</v>
      </c>
      <c r="AG57" s="60"/>
      <c r="AH57" s="55">
        <f t="shared" si="2"/>
        <v>75.599999999999994</v>
      </c>
      <c r="AI57" s="56">
        <f t="shared" si="3"/>
        <v>33.799999999999997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-324</v>
      </c>
      <c r="C59" s="49">
        <v>-345</v>
      </c>
      <c r="D59" s="49">
        <v>-309.60000000000002</v>
      </c>
      <c r="E59" s="49">
        <v>-309.2</v>
      </c>
      <c r="F59" s="49">
        <v>-320</v>
      </c>
      <c r="G59" s="49">
        <v>-342</v>
      </c>
      <c r="H59" s="49">
        <v>-334.8</v>
      </c>
      <c r="I59" s="49">
        <v>-362.6</v>
      </c>
      <c r="J59" s="49">
        <v>-329.7</v>
      </c>
      <c r="K59" s="49">
        <v>-275.10000000000002</v>
      </c>
      <c r="L59" s="49">
        <v>-302.3</v>
      </c>
      <c r="M59" s="49">
        <v>-336</v>
      </c>
      <c r="N59" s="49">
        <v>-306.39999999999998</v>
      </c>
      <c r="O59" s="49">
        <v>-315.60000000000002</v>
      </c>
      <c r="P59" s="49">
        <v>-275</v>
      </c>
      <c r="Q59" s="49">
        <v>-283.39999999999998</v>
      </c>
      <c r="R59" s="49">
        <v>-277.7</v>
      </c>
      <c r="S59" s="49">
        <v>-268</v>
      </c>
      <c r="T59" s="49">
        <v>-291</v>
      </c>
      <c r="U59" s="49">
        <v>-254</v>
      </c>
      <c r="V59" s="49">
        <v>-304.2</v>
      </c>
      <c r="W59" s="49">
        <v>-324.7</v>
      </c>
      <c r="X59" s="49">
        <v>-325.89999999999998</v>
      </c>
      <c r="Y59" s="49">
        <v>-285</v>
      </c>
      <c r="Z59" s="49">
        <v>-285</v>
      </c>
      <c r="AA59" s="49">
        <v>-248.1</v>
      </c>
      <c r="AB59" s="49">
        <v>-218</v>
      </c>
      <c r="AC59" s="49">
        <v>-275</v>
      </c>
      <c r="AD59" s="49">
        <v>-300</v>
      </c>
      <c r="AE59" s="49">
        <v>-300</v>
      </c>
      <c r="AF59" s="49">
        <v>-326</v>
      </c>
      <c r="AG59" s="77"/>
      <c r="AH59" s="55">
        <f t="shared" si="2"/>
        <v>-218</v>
      </c>
      <c r="AI59" s="56">
        <f t="shared" si="3"/>
        <v>-362.6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12</v>
      </c>
      <c r="O60" s="78">
        <v>14</v>
      </c>
      <c r="P60" s="78">
        <v>14</v>
      </c>
      <c r="Q60" s="78">
        <v>15</v>
      </c>
      <c r="R60" s="78">
        <v>15</v>
      </c>
      <c r="S60" s="78">
        <v>15</v>
      </c>
      <c r="T60" s="78">
        <v>15</v>
      </c>
      <c r="U60" s="78">
        <v>12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15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0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0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73.099999999999994</v>
      </c>
      <c r="C68" s="70">
        <f t="shared" ref="C68:AF68" si="10">SUMIF(C57:C67,"&gt;0")</f>
        <v>69.400000000000006</v>
      </c>
      <c r="D68" s="70">
        <f t="shared" si="10"/>
        <v>71.900000000000006</v>
      </c>
      <c r="E68" s="70">
        <f t="shared" si="10"/>
        <v>48.5</v>
      </c>
      <c r="F68" s="70">
        <f t="shared" si="10"/>
        <v>47.8</v>
      </c>
      <c r="G68" s="70">
        <f t="shared" si="10"/>
        <v>43</v>
      </c>
      <c r="H68" s="70">
        <f t="shared" si="10"/>
        <v>38.799999999999997</v>
      </c>
      <c r="I68" s="70">
        <f t="shared" si="10"/>
        <v>60.7</v>
      </c>
      <c r="J68" s="70">
        <f t="shared" si="10"/>
        <v>64.400000000000006</v>
      </c>
      <c r="K68" s="70">
        <f t="shared" si="10"/>
        <v>66.099999999999994</v>
      </c>
      <c r="L68" s="70">
        <f t="shared" si="10"/>
        <v>62.9</v>
      </c>
      <c r="M68" s="70">
        <f t="shared" si="10"/>
        <v>55</v>
      </c>
      <c r="N68" s="70">
        <f t="shared" si="10"/>
        <v>72</v>
      </c>
      <c r="O68" s="70">
        <f t="shared" si="10"/>
        <v>68.599999999999994</v>
      </c>
      <c r="P68" s="70">
        <f t="shared" si="10"/>
        <v>85.7</v>
      </c>
      <c r="Q68" s="70">
        <f t="shared" si="10"/>
        <v>88.9</v>
      </c>
      <c r="R68" s="70">
        <f t="shared" si="10"/>
        <v>78.400000000000006</v>
      </c>
      <c r="S68" s="70">
        <f t="shared" si="10"/>
        <v>87.7</v>
      </c>
      <c r="T68" s="70">
        <f t="shared" si="10"/>
        <v>90.2</v>
      </c>
      <c r="U68" s="70">
        <f t="shared" si="10"/>
        <v>69.599999999999994</v>
      </c>
      <c r="V68" s="70">
        <f t="shared" si="10"/>
        <v>56</v>
      </c>
      <c r="W68" s="70">
        <f t="shared" si="10"/>
        <v>36.200000000000003</v>
      </c>
      <c r="X68" s="70">
        <f t="shared" si="10"/>
        <v>49.8</v>
      </c>
      <c r="Y68" s="70">
        <f t="shared" si="10"/>
        <v>47</v>
      </c>
      <c r="Z68" s="70">
        <f t="shared" si="10"/>
        <v>49.2</v>
      </c>
      <c r="AA68" s="70">
        <f t="shared" si="10"/>
        <v>60.5</v>
      </c>
      <c r="AB68" s="70">
        <f t="shared" si="10"/>
        <v>71.5</v>
      </c>
      <c r="AC68" s="70">
        <f t="shared" si="10"/>
        <v>69.900000000000006</v>
      </c>
      <c r="AD68" s="70">
        <f t="shared" si="10"/>
        <v>78</v>
      </c>
      <c r="AE68" s="70">
        <f t="shared" si="10"/>
        <v>60.8</v>
      </c>
      <c r="AF68" s="70">
        <f t="shared" si="10"/>
        <v>80.599999999999994</v>
      </c>
      <c r="AG68" s="74">
        <f>SUM(AG57:AG67)</f>
        <v>0</v>
      </c>
      <c r="AH68" s="55">
        <f t="shared" si="2"/>
        <v>90.2</v>
      </c>
      <c r="AI68" s="56">
        <f t="shared" si="3"/>
        <v>36.200000000000003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4.5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4.5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1791.4399999999998</v>
      </c>
      <c r="C73" s="84">
        <f t="shared" ref="C73:AF73" si="11">C38+C52+C68+C72</f>
        <v>1787.74</v>
      </c>
      <c r="D73" s="84">
        <f t="shared" si="11"/>
        <v>1774.2400000000002</v>
      </c>
      <c r="E73" s="84">
        <f t="shared" si="11"/>
        <v>1715.24</v>
      </c>
      <c r="F73" s="84">
        <f t="shared" si="11"/>
        <v>1714.54</v>
      </c>
      <c r="G73" s="84">
        <f t="shared" si="11"/>
        <v>1709.74</v>
      </c>
      <c r="H73" s="84">
        <f t="shared" si="11"/>
        <v>1707.84</v>
      </c>
      <c r="I73" s="84">
        <f t="shared" si="11"/>
        <v>1684.0400000000002</v>
      </c>
      <c r="J73" s="84">
        <f t="shared" si="11"/>
        <v>1688.44</v>
      </c>
      <c r="K73" s="84">
        <f t="shared" si="11"/>
        <v>1678.34</v>
      </c>
      <c r="L73" s="84">
        <f t="shared" si="11"/>
        <v>1752.3400000000004</v>
      </c>
      <c r="M73" s="84">
        <f t="shared" si="11"/>
        <v>1747.0400000000002</v>
      </c>
      <c r="N73" s="84">
        <f t="shared" si="11"/>
        <v>1760.14</v>
      </c>
      <c r="O73" s="84">
        <f t="shared" si="11"/>
        <v>1784.04</v>
      </c>
      <c r="P73" s="84">
        <f t="shared" si="11"/>
        <v>1802.64</v>
      </c>
      <c r="Q73" s="84">
        <f t="shared" si="11"/>
        <v>1806.04</v>
      </c>
      <c r="R73" s="84">
        <f t="shared" si="11"/>
        <v>1793.14</v>
      </c>
      <c r="S73" s="84">
        <f t="shared" si="11"/>
        <v>1804.04</v>
      </c>
      <c r="T73" s="84">
        <f t="shared" si="11"/>
        <v>1806.94</v>
      </c>
      <c r="U73" s="84">
        <f t="shared" si="11"/>
        <v>1752.34</v>
      </c>
      <c r="V73" s="84">
        <f t="shared" si="11"/>
        <v>1758.74</v>
      </c>
      <c r="W73" s="84">
        <f t="shared" si="11"/>
        <v>1735.84</v>
      </c>
      <c r="X73" s="84">
        <f t="shared" si="11"/>
        <v>1747.4399999999998</v>
      </c>
      <c r="Y73" s="84">
        <f t="shared" si="11"/>
        <v>1767.84</v>
      </c>
      <c r="Z73" s="84">
        <f t="shared" si="11"/>
        <v>1769.94</v>
      </c>
      <c r="AA73" s="84">
        <f t="shared" si="11"/>
        <v>1783.34</v>
      </c>
      <c r="AB73" s="84">
        <f t="shared" si="11"/>
        <v>1799.94</v>
      </c>
      <c r="AC73" s="84">
        <f t="shared" si="11"/>
        <v>1798.44</v>
      </c>
      <c r="AD73" s="84">
        <f t="shared" si="11"/>
        <v>1804.94</v>
      </c>
      <c r="AE73" s="84">
        <f t="shared" si="11"/>
        <v>1784.44</v>
      </c>
      <c r="AF73" s="84">
        <f t="shared" si="11"/>
        <v>1799.24</v>
      </c>
      <c r="AG73" s="84">
        <f t="shared" ref="AG73" si="12">AG68+AG56+AG52+AG38+AG72</f>
        <v>2144.14</v>
      </c>
      <c r="AH73" s="55">
        <f t="shared" si="2"/>
        <v>1806.94</v>
      </c>
      <c r="AI73" s="56">
        <f t="shared" si="3"/>
        <v>1678.34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>
        <v>25</v>
      </c>
      <c r="K74" s="86">
        <v>25</v>
      </c>
      <c r="L74" s="86">
        <v>25</v>
      </c>
      <c r="M74" s="86"/>
      <c r="N74" s="86">
        <v>7</v>
      </c>
      <c r="O74" s="86"/>
      <c r="P74" s="86">
        <v>5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25</v>
      </c>
      <c r="AI74" s="56">
        <f t="shared" si="3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1791.4399999999998</v>
      </c>
      <c r="C75" s="84">
        <f t="shared" ref="C75:AF75" si="13">C73+C74</f>
        <v>1787.74</v>
      </c>
      <c r="D75" s="84">
        <f t="shared" si="13"/>
        <v>1774.2400000000002</v>
      </c>
      <c r="E75" s="84">
        <f t="shared" si="13"/>
        <v>1715.24</v>
      </c>
      <c r="F75" s="84">
        <f t="shared" si="13"/>
        <v>1714.54</v>
      </c>
      <c r="G75" s="84">
        <f t="shared" si="13"/>
        <v>1709.74</v>
      </c>
      <c r="H75" s="84">
        <f t="shared" si="13"/>
        <v>1707.84</v>
      </c>
      <c r="I75" s="84">
        <f t="shared" si="13"/>
        <v>1684.0400000000002</v>
      </c>
      <c r="J75" s="84">
        <f t="shared" si="13"/>
        <v>1713.44</v>
      </c>
      <c r="K75" s="84">
        <f t="shared" si="13"/>
        <v>1703.34</v>
      </c>
      <c r="L75" s="84">
        <f t="shared" si="13"/>
        <v>1777.3400000000004</v>
      </c>
      <c r="M75" s="84">
        <f t="shared" si="13"/>
        <v>1747.0400000000002</v>
      </c>
      <c r="N75" s="84">
        <f t="shared" si="13"/>
        <v>1767.14</v>
      </c>
      <c r="O75" s="84">
        <f t="shared" si="13"/>
        <v>1784.04</v>
      </c>
      <c r="P75" s="84">
        <f t="shared" si="13"/>
        <v>1807.64</v>
      </c>
      <c r="Q75" s="84">
        <f t="shared" si="13"/>
        <v>1806.04</v>
      </c>
      <c r="R75" s="84">
        <f t="shared" si="13"/>
        <v>1793.14</v>
      </c>
      <c r="S75" s="84">
        <f t="shared" si="13"/>
        <v>1804.04</v>
      </c>
      <c r="T75" s="84">
        <f t="shared" si="13"/>
        <v>1806.94</v>
      </c>
      <c r="U75" s="84">
        <f t="shared" si="13"/>
        <v>1752.34</v>
      </c>
      <c r="V75" s="84">
        <f t="shared" si="13"/>
        <v>1758.74</v>
      </c>
      <c r="W75" s="84">
        <f t="shared" si="13"/>
        <v>1735.84</v>
      </c>
      <c r="X75" s="84">
        <f t="shared" si="13"/>
        <v>1747.4399999999998</v>
      </c>
      <c r="Y75" s="84">
        <f t="shared" si="13"/>
        <v>1767.84</v>
      </c>
      <c r="Z75" s="84">
        <f t="shared" si="13"/>
        <v>1769.94</v>
      </c>
      <c r="AA75" s="84">
        <f t="shared" si="13"/>
        <v>1783.34</v>
      </c>
      <c r="AB75" s="84">
        <f t="shared" si="13"/>
        <v>1799.94</v>
      </c>
      <c r="AC75" s="84">
        <f t="shared" si="13"/>
        <v>1798.44</v>
      </c>
      <c r="AD75" s="84">
        <f t="shared" si="13"/>
        <v>1804.94</v>
      </c>
      <c r="AE75" s="84">
        <f t="shared" si="13"/>
        <v>1784.44</v>
      </c>
      <c r="AF75" s="84">
        <f t="shared" si="13"/>
        <v>1799.24</v>
      </c>
      <c r="AG75" s="74">
        <f>AG72+AG68+AG56+AG52+AG38+AG74</f>
        <v>2144.14</v>
      </c>
      <c r="AH75" s="55">
        <f t="shared" si="2"/>
        <v>1807.64</v>
      </c>
      <c r="AI75" s="56">
        <f t="shared" si="3"/>
        <v>1684.0400000000002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324</v>
      </c>
      <c r="C79" s="78">
        <f t="shared" ref="C79:AF79" si="19">IF(C59&lt;0,C59*-1,0)</f>
        <v>345</v>
      </c>
      <c r="D79" s="78">
        <f t="shared" si="19"/>
        <v>309.60000000000002</v>
      </c>
      <c r="E79" s="78">
        <f t="shared" si="19"/>
        <v>309.2</v>
      </c>
      <c r="F79" s="78">
        <f t="shared" si="19"/>
        <v>320</v>
      </c>
      <c r="G79" s="78">
        <f t="shared" si="19"/>
        <v>342</v>
      </c>
      <c r="H79" s="78">
        <f t="shared" si="19"/>
        <v>334.8</v>
      </c>
      <c r="I79" s="78">
        <f t="shared" si="19"/>
        <v>362.6</v>
      </c>
      <c r="J79" s="78">
        <f t="shared" si="19"/>
        <v>329.7</v>
      </c>
      <c r="K79" s="78">
        <f t="shared" si="19"/>
        <v>275.10000000000002</v>
      </c>
      <c r="L79" s="78">
        <f t="shared" si="19"/>
        <v>302.3</v>
      </c>
      <c r="M79" s="78">
        <f t="shared" si="19"/>
        <v>336</v>
      </c>
      <c r="N79" s="78">
        <f t="shared" si="19"/>
        <v>306.39999999999998</v>
      </c>
      <c r="O79" s="78">
        <f t="shared" si="19"/>
        <v>315.60000000000002</v>
      </c>
      <c r="P79" s="78">
        <f t="shared" si="19"/>
        <v>275</v>
      </c>
      <c r="Q79" s="78">
        <f t="shared" si="19"/>
        <v>283.39999999999998</v>
      </c>
      <c r="R79" s="78">
        <f t="shared" si="19"/>
        <v>277.7</v>
      </c>
      <c r="S79" s="78">
        <f t="shared" si="19"/>
        <v>268</v>
      </c>
      <c r="T79" s="78">
        <f t="shared" si="19"/>
        <v>291</v>
      </c>
      <c r="U79" s="78">
        <f t="shared" si="19"/>
        <v>254</v>
      </c>
      <c r="V79" s="78">
        <f t="shared" si="19"/>
        <v>304.2</v>
      </c>
      <c r="W79" s="78">
        <f t="shared" si="19"/>
        <v>324.7</v>
      </c>
      <c r="X79" s="78">
        <f t="shared" si="19"/>
        <v>325.89999999999998</v>
      </c>
      <c r="Y79" s="78">
        <f t="shared" si="19"/>
        <v>285</v>
      </c>
      <c r="Z79" s="78">
        <f t="shared" si="19"/>
        <v>285</v>
      </c>
      <c r="AA79" s="78">
        <f t="shared" si="19"/>
        <v>248.1</v>
      </c>
      <c r="AB79" s="78">
        <f t="shared" si="19"/>
        <v>218</v>
      </c>
      <c r="AC79" s="78">
        <f t="shared" si="19"/>
        <v>275</v>
      </c>
      <c r="AD79" s="78">
        <f t="shared" si="19"/>
        <v>300</v>
      </c>
      <c r="AE79" s="78">
        <f t="shared" si="19"/>
        <v>300</v>
      </c>
      <c r="AF79" s="78">
        <f t="shared" si="19"/>
        <v>326</v>
      </c>
      <c r="AG79" s="87"/>
      <c r="AH79" s="55">
        <f t="shared" si="15"/>
        <v>362.6</v>
      </c>
      <c r="AI79" s="56">
        <f t="shared" si="16"/>
        <v>218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324</v>
      </c>
      <c r="C82" s="70">
        <f t="shared" ref="C82:AG82" si="21">SUM(C76:C81)</f>
        <v>345</v>
      </c>
      <c r="D82" s="70">
        <f t="shared" si="21"/>
        <v>309.60000000000002</v>
      </c>
      <c r="E82" s="70">
        <f t="shared" si="21"/>
        <v>309.2</v>
      </c>
      <c r="F82" s="70">
        <f t="shared" si="21"/>
        <v>320</v>
      </c>
      <c r="G82" s="70">
        <f t="shared" si="21"/>
        <v>342</v>
      </c>
      <c r="H82" s="70">
        <f t="shared" si="21"/>
        <v>334.8</v>
      </c>
      <c r="I82" s="70">
        <f t="shared" si="21"/>
        <v>362.6</v>
      </c>
      <c r="J82" s="70">
        <f t="shared" si="21"/>
        <v>329.7</v>
      </c>
      <c r="K82" s="70">
        <f t="shared" si="21"/>
        <v>275.10000000000002</v>
      </c>
      <c r="L82" s="70">
        <f t="shared" si="21"/>
        <v>302.3</v>
      </c>
      <c r="M82" s="70">
        <f t="shared" si="21"/>
        <v>336</v>
      </c>
      <c r="N82" s="70">
        <f t="shared" si="21"/>
        <v>306.39999999999998</v>
      </c>
      <c r="O82" s="70">
        <f t="shared" si="21"/>
        <v>315.60000000000002</v>
      </c>
      <c r="P82" s="70">
        <f t="shared" si="21"/>
        <v>275</v>
      </c>
      <c r="Q82" s="70">
        <f t="shared" si="21"/>
        <v>283.39999999999998</v>
      </c>
      <c r="R82" s="70">
        <f t="shared" si="21"/>
        <v>277.7</v>
      </c>
      <c r="S82" s="70">
        <f t="shared" si="21"/>
        <v>268</v>
      </c>
      <c r="T82" s="70">
        <f t="shared" si="21"/>
        <v>291</v>
      </c>
      <c r="U82" s="70">
        <f t="shared" si="21"/>
        <v>254</v>
      </c>
      <c r="V82" s="70">
        <f t="shared" si="21"/>
        <v>304.2</v>
      </c>
      <c r="W82" s="70">
        <f t="shared" si="21"/>
        <v>324.7</v>
      </c>
      <c r="X82" s="70">
        <f t="shared" si="21"/>
        <v>325.89999999999998</v>
      </c>
      <c r="Y82" s="70">
        <f t="shared" si="21"/>
        <v>285</v>
      </c>
      <c r="Z82" s="70">
        <f t="shared" si="21"/>
        <v>285</v>
      </c>
      <c r="AA82" s="70">
        <f t="shared" si="21"/>
        <v>248.1</v>
      </c>
      <c r="AB82" s="70">
        <f t="shared" si="21"/>
        <v>218</v>
      </c>
      <c r="AC82" s="70">
        <f t="shared" si="21"/>
        <v>275</v>
      </c>
      <c r="AD82" s="70">
        <f t="shared" si="21"/>
        <v>300</v>
      </c>
      <c r="AE82" s="70">
        <f t="shared" si="21"/>
        <v>300</v>
      </c>
      <c r="AF82" s="70">
        <f t="shared" si="21"/>
        <v>326</v>
      </c>
      <c r="AG82" s="74">
        <f t="shared" si="21"/>
        <v>0</v>
      </c>
      <c r="AH82" s="55">
        <f t="shared" si="15"/>
        <v>362.6</v>
      </c>
      <c r="AI82" s="56">
        <f t="shared" si="16"/>
        <v>218</v>
      </c>
      <c r="AK82" s="57"/>
    </row>
    <row r="83" spans="1:88" s="1" customFormat="1" ht="15.75" thickBot="1" x14ac:dyDescent="0.3">
      <c r="A83" s="69" t="s">
        <v>88</v>
      </c>
      <c r="B83" s="70">
        <f>B68-B82</f>
        <v>-250.9</v>
      </c>
      <c r="C83" s="70">
        <f t="shared" ref="C83:AF83" si="22">C68-C82</f>
        <v>-275.60000000000002</v>
      </c>
      <c r="D83" s="70">
        <f t="shared" si="22"/>
        <v>-237.70000000000002</v>
      </c>
      <c r="E83" s="70">
        <f t="shared" si="22"/>
        <v>-260.7</v>
      </c>
      <c r="F83" s="70">
        <f t="shared" si="22"/>
        <v>-272.2</v>
      </c>
      <c r="G83" s="70">
        <f t="shared" si="22"/>
        <v>-299</v>
      </c>
      <c r="H83" s="70">
        <f t="shared" si="22"/>
        <v>-296</v>
      </c>
      <c r="I83" s="70">
        <f t="shared" si="22"/>
        <v>-301.90000000000003</v>
      </c>
      <c r="J83" s="70">
        <f t="shared" si="22"/>
        <v>-265.29999999999995</v>
      </c>
      <c r="K83" s="70">
        <f t="shared" si="22"/>
        <v>-209.00000000000003</v>
      </c>
      <c r="L83" s="70">
        <f t="shared" si="22"/>
        <v>-239.4</v>
      </c>
      <c r="M83" s="70">
        <f t="shared" si="22"/>
        <v>-281</v>
      </c>
      <c r="N83" s="70">
        <f t="shared" si="22"/>
        <v>-234.39999999999998</v>
      </c>
      <c r="O83" s="70">
        <f t="shared" si="22"/>
        <v>-247.00000000000003</v>
      </c>
      <c r="P83" s="70">
        <f t="shared" si="22"/>
        <v>-189.3</v>
      </c>
      <c r="Q83" s="70">
        <f t="shared" si="22"/>
        <v>-194.49999999999997</v>
      </c>
      <c r="R83" s="70">
        <f t="shared" si="22"/>
        <v>-199.29999999999998</v>
      </c>
      <c r="S83" s="70">
        <f t="shared" si="22"/>
        <v>-180.3</v>
      </c>
      <c r="T83" s="70">
        <f t="shared" si="22"/>
        <v>-200.8</v>
      </c>
      <c r="U83" s="70">
        <f t="shared" si="22"/>
        <v>-184.4</v>
      </c>
      <c r="V83" s="70">
        <f t="shared" si="22"/>
        <v>-248.2</v>
      </c>
      <c r="W83" s="70">
        <f t="shared" si="22"/>
        <v>-288.5</v>
      </c>
      <c r="X83" s="70">
        <f t="shared" si="22"/>
        <v>-276.09999999999997</v>
      </c>
      <c r="Y83" s="70">
        <f t="shared" si="22"/>
        <v>-238</v>
      </c>
      <c r="Z83" s="70">
        <f t="shared" si="22"/>
        <v>-235.8</v>
      </c>
      <c r="AA83" s="70">
        <f t="shared" si="22"/>
        <v>-187.6</v>
      </c>
      <c r="AB83" s="70">
        <f t="shared" si="22"/>
        <v>-146.5</v>
      </c>
      <c r="AC83" s="70">
        <f t="shared" si="22"/>
        <v>-205.1</v>
      </c>
      <c r="AD83" s="70">
        <f t="shared" si="22"/>
        <v>-222</v>
      </c>
      <c r="AE83" s="70">
        <f t="shared" si="22"/>
        <v>-239.2</v>
      </c>
      <c r="AF83" s="70">
        <f t="shared" si="22"/>
        <v>-245.4</v>
      </c>
      <c r="AG83" s="74">
        <f t="shared" ref="AG83" si="23">SUM(AG70:AG82)</f>
        <v>4360.08</v>
      </c>
      <c r="AH83" s="55">
        <f t="shared" si="15"/>
        <v>-146.5</v>
      </c>
      <c r="AI83" s="56">
        <f t="shared" si="16"/>
        <v>-301.90000000000003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50.02</v>
      </c>
      <c r="C84" s="90">
        <v>49.987000000000002</v>
      </c>
      <c r="D84" s="90">
        <v>49.936999999999998</v>
      </c>
      <c r="E84" s="90">
        <v>50.040999999999997</v>
      </c>
      <c r="F84" s="90">
        <v>50.066000000000003</v>
      </c>
      <c r="G84" s="90">
        <v>50</v>
      </c>
      <c r="H84" s="90">
        <v>49.997999999999998</v>
      </c>
      <c r="I84" s="90">
        <v>49.948999999999998</v>
      </c>
      <c r="J84" s="90">
        <v>49.969000000000001</v>
      </c>
      <c r="K84" s="90">
        <v>49.972000000000001</v>
      </c>
      <c r="L84" s="90">
        <v>50.006999999999998</v>
      </c>
      <c r="M84" s="90">
        <v>50.076000000000001</v>
      </c>
      <c r="N84" s="90">
        <v>50.076000000000001</v>
      </c>
      <c r="O84" s="90">
        <v>50.052999999999997</v>
      </c>
      <c r="P84" s="90">
        <v>49.975999999999999</v>
      </c>
      <c r="Q84" s="90">
        <v>49.923000000000002</v>
      </c>
      <c r="R84" s="90">
        <v>50.042999999999999</v>
      </c>
      <c r="S84" s="90">
        <v>50.067999999999998</v>
      </c>
      <c r="T84" s="90">
        <v>49.968000000000004</v>
      </c>
      <c r="U84" s="90">
        <v>50.017000000000003</v>
      </c>
      <c r="V84" s="90">
        <v>49.89</v>
      </c>
      <c r="W84" s="90">
        <v>49.948999999999998</v>
      </c>
      <c r="X84" s="90">
        <v>49.816000000000003</v>
      </c>
      <c r="Y84" s="90">
        <v>49.941000000000003</v>
      </c>
      <c r="Z84" s="90">
        <v>49.929000000000002</v>
      </c>
      <c r="AA84" s="90">
        <v>49.658000000000001</v>
      </c>
      <c r="AB84" s="90">
        <v>49.820999999999998</v>
      </c>
      <c r="AC84" s="90">
        <v>49.78</v>
      </c>
      <c r="AD84" s="90">
        <v>49.8</v>
      </c>
      <c r="AE84" s="90">
        <v>49.9</v>
      </c>
      <c r="AF84" s="90">
        <v>50.034999999999997</v>
      </c>
      <c r="AG84" s="91"/>
      <c r="AH84" s="55">
        <f t="shared" si="15"/>
        <v>50.076000000000001</v>
      </c>
      <c r="AI84" s="56">
        <f t="shared" si="16"/>
        <v>49.658000000000001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</v>
      </c>
      <c r="C85" s="49">
        <v>122.7</v>
      </c>
      <c r="D85" s="49">
        <v>122.4</v>
      </c>
      <c r="E85" s="49">
        <v>124</v>
      </c>
      <c r="F85" s="49">
        <v>122.9</v>
      </c>
      <c r="G85" s="49">
        <v>123</v>
      </c>
      <c r="H85" s="49">
        <v>124.5</v>
      </c>
      <c r="I85" s="49">
        <v>124.8</v>
      </c>
      <c r="J85" s="49">
        <v>123.7</v>
      </c>
      <c r="K85" s="49">
        <v>123.6</v>
      </c>
      <c r="L85" s="49">
        <v>123.8</v>
      </c>
      <c r="M85" s="49">
        <v>124.6</v>
      </c>
      <c r="N85" s="49">
        <v>123.2</v>
      </c>
      <c r="O85" s="49">
        <v>121.9</v>
      </c>
      <c r="P85" s="49">
        <v>120.6</v>
      </c>
      <c r="Q85" s="49">
        <v>120.1</v>
      </c>
      <c r="R85" s="49">
        <v>121.3</v>
      </c>
      <c r="S85" s="49">
        <v>121.2</v>
      </c>
      <c r="T85" s="49">
        <v>120.6</v>
      </c>
      <c r="U85" s="49">
        <v>123.3</v>
      </c>
      <c r="V85" s="49">
        <v>120.8</v>
      </c>
      <c r="W85" s="49">
        <v>121.2</v>
      </c>
      <c r="X85" s="49">
        <v>121.4</v>
      </c>
      <c r="Y85" s="49">
        <v>122.9</v>
      </c>
      <c r="Z85" s="49">
        <v>123</v>
      </c>
      <c r="AA85" s="49">
        <v>123.2</v>
      </c>
      <c r="AB85" s="49">
        <v>123.3</v>
      </c>
      <c r="AC85" s="49">
        <v>123.8</v>
      </c>
      <c r="AD85" s="49">
        <v>123.4</v>
      </c>
      <c r="AE85" s="49">
        <v>123.4</v>
      </c>
      <c r="AF85" s="49">
        <v>123</v>
      </c>
      <c r="AG85" s="93"/>
      <c r="AH85" s="55">
        <f t="shared" si="15"/>
        <v>124.8</v>
      </c>
      <c r="AI85" s="56">
        <f t="shared" si="16"/>
        <v>120.1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128.80000000000001</v>
      </c>
      <c r="C86" s="49">
        <v>128</v>
      </c>
      <c r="D86" s="49">
        <v>128.1</v>
      </c>
      <c r="E86" s="49">
        <v>129.30000000000001</v>
      </c>
      <c r="F86" s="49">
        <v>128.4</v>
      </c>
      <c r="G86" s="49">
        <v>128.19999999999999</v>
      </c>
      <c r="H86" s="49">
        <v>128.6</v>
      </c>
      <c r="I86" s="49">
        <v>128.9</v>
      </c>
      <c r="J86" s="49">
        <v>127.3</v>
      </c>
      <c r="K86" s="49">
        <v>127.4</v>
      </c>
      <c r="L86" s="49">
        <v>127.5</v>
      </c>
      <c r="M86" s="49">
        <v>128.6</v>
      </c>
      <c r="N86" s="49">
        <v>126.7</v>
      </c>
      <c r="O86" s="49">
        <v>125.8</v>
      </c>
      <c r="P86" s="49">
        <v>124.9</v>
      </c>
      <c r="Q86" s="49">
        <v>124.4</v>
      </c>
      <c r="R86" s="49">
        <v>124.7</v>
      </c>
      <c r="S86" s="49">
        <v>125.1</v>
      </c>
      <c r="T86" s="49">
        <v>124.7</v>
      </c>
      <c r="U86" s="49">
        <v>127</v>
      </c>
      <c r="V86" s="49">
        <v>124.7</v>
      </c>
      <c r="W86" s="49">
        <v>125.6</v>
      </c>
      <c r="X86" s="49">
        <v>125.6</v>
      </c>
      <c r="Y86" s="49">
        <v>126.6</v>
      </c>
      <c r="Z86" s="49">
        <v>126.8</v>
      </c>
      <c r="AA86" s="49">
        <v>126.8</v>
      </c>
      <c r="AB86" s="49">
        <v>127</v>
      </c>
      <c r="AC86" s="49">
        <v>127.9</v>
      </c>
      <c r="AD86" s="49">
        <v>128</v>
      </c>
      <c r="AE86" s="49">
        <v>128</v>
      </c>
      <c r="AF86" s="49">
        <v>128</v>
      </c>
      <c r="AG86" s="93"/>
      <c r="AH86" s="55">
        <f t="shared" si="15"/>
        <v>129.30000000000001</v>
      </c>
      <c r="AI86" s="56">
        <f t="shared" si="16"/>
        <v>124.4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>
        <v>126.1</v>
      </c>
      <c r="N87" s="49">
        <v>127.1</v>
      </c>
      <c r="O87" s="49">
        <v>124.9</v>
      </c>
      <c r="P87" s="49"/>
      <c r="Q87" s="49"/>
      <c r="R87" s="49"/>
      <c r="S87" s="49">
        <v>122.3</v>
      </c>
      <c r="T87" s="49">
        <v>127</v>
      </c>
      <c r="U87" s="49">
        <v>127</v>
      </c>
      <c r="V87" s="49">
        <v>125.3</v>
      </c>
      <c r="W87" s="49">
        <v>126.4</v>
      </c>
      <c r="X87" s="49">
        <v>128.19999999999999</v>
      </c>
      <c r="Y87" s="49">
        <v>125.4</v>
      </c>
      <c r="Z87" s="49">
        <v>125.1</v>
      </c>
      <c r="AA87" s="49">
        <v>125</v>
      </c>
      <c r="AB87" s="49">
        <v>125</v>
      </c>
      <c r="AC87" s="49">
        <v>126.9</v>
      </c>
      <c r="AD87" s="49">
        <v>125</v>
      </c>
      <c r="AE87" s="49">
        <v>125</v>
      </c>
      <c r="AF87" s="49">
        <v>125</v>
      </c>
      <c r="AG87" s="93"/>
      <c r="AH87" s="55">
        <f t="shared" si="15"/>
        <v>128.19999999999999</v>
      </c>
      <c r="AI87" s="56">
        <f t="shared" si="16"/>
        <v>122.3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5"/>
        <v>0</v>
      </c>
      <c r="AI88" s="56">
        <f t="shared" si="16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132.4</v>
      </c>
      <c r="C89" s="95">
        <v>132.19999999999999</v>
      </c>
      <c r="D89" s="95">
        <v>133.69999999999999</v>
      </c>
      <c r="E89" s="95">
        <v>131.4</v>
      </c>
      <c r="F89" s="95">
        <v>128.6</v>
      </c>
      <c r="G89" s="95">
        <v>131.30000000000001</v>
      </c>
      <c r="H89" s="95">
        <v>131</v>
      </c>
      <c r="I89" s="95">
        <v>133.30000000000001</v>
      </c>
      <c r="J89" s="95">
        <v>129.4</v>
      </c>
      <c r="K89" s="95">
        <v>131</v>
      </c>
      <c r="L89" s="95">
        <v>131.69999999999999</v>
      </c>
      <c r="M89" s="95">
        <v>135.19999999999999</v>
      </c>
      <c r="N89" s="95">
        <v>134.30000000000001</v>
      </c>
      <c r="O89" s="95">
        <v>132.1</v>
      </c>
      <c r="P89" s="95">
        <v>130.19999999999999</v>
      </c>
      <c r="Q89" s="95">
        <v>131.80000000000001</v>
      </c>
      <c r="R89" s="95">
        <v>129</v>
      </c>
      <c r="S89" s="95">
        <v>132.19999999999999</v>
      </c>
      <c r="T89" s="95">
        <v>131</v>
      </c>
      <c r="U89" s="95">
        <v>132.4</v>
      </c>
      <c r="V89" s="95">
        <v>131.9</v>
      </c>
      <c r="W89" s="95">
        <v>132.19999999999999</v>
      </c>
      <c r="X89" s="95">
        <v>131.80000000000001</v>
      </c>
      <c r="Y89" s="95">
        <v>134.4</v>
      </c>
      <c r="Z89" s="95">
        <v>134.5</v>
      </c>
      <c r="AA89" s="95">
        <v>132.9</v>
      </c>
      <c r="AB89" s="95">
        <v>134</v>
      </c>
      <c r="AC89" s="95">
        <v>129.9</v>
      </c>
      <c r="AD89" s="95">
        <v>130</v>
      </c>
      <c r="AE89" s="95">
        <v>130</v>
      </c>
      <c r="AF89" s="95">
        <v>130</v>
      </c>
      <c r="AG89" s="96"/>
      <c r="AH89" s="55">
        <f t="shared" si="15"/>
        <v>135.19999999999999</v>
      </c>
      <c r="AI89" s="56">
        <f t="shared" si="16"/>
        <v>128.6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134.69999999999999</v>
      </c>
      <c r="C90" s="49">
        <v>134.6</v>
      </c>
      <c r="D90" s="49">
        <v>137.6</v>
      </c>
      <c r="E90" s="49">
        <v>129</v>
      </c>
      <c r="F90" s="49">
        <v>123.4</v>
      </c>
      <c r="G90" s="49">
        <v>126.5</v>
      </c>
      <c r="H90" s="49">
        <v>127.6</v>
      </c>
      <c r="I90" s="49">
        <v>134.6</v>
      </c>
      <c r="J90" s="49">
        <v>130.6</v>
      </c>
      <c r="K90" s="49">
        <v>129.5</v>
      </c>
      <c r="L90" s="49">
        <v>130.1</v>
      </c>
      <c r="M90" s="49">
        <v>130.80000000000001</v>
      </c>
      <c r="N90" s="49">
        <v>130.4</v>
      </c>
      <c r="O90" s="49">
        <v>128.4</v>
      </c>
      <c r="P90" s="49">
        <v>125.4</v>
      </c>
      <c r="Q90" s="49">
        <v>128</v>
      </c>
      <c r="R90" s="49">
        <v>126.1</v>
      </c>
      <c r="S90" s="49">
        <v>123</v>
      </c>
      <c r="T90" s="49">
        <v>124.9</v>
      </c>
      <c r="U90" s="49">
        <v>126.3</v>
      </c>
      <c r="V90" s="49">
        <v>129.30000000000001</v>
      </c>
      <c r="W90" s="49">
        <v>125.8</v>
      </c>
      <c r="X90" s="49">
        <v>129.1</v>
      </c>
      <c r="Y90" s="49">
        <v>129.19999999999999</v>
      </c>
      <c r="Z90" s="49">
        <v>129.80000000000001</v>
      </c>
      <c r="AA90" s="49">
        <v>126.6</v>
      </c>
      <c r="AB90" s="49">
        <v>126</v>
      </c>
      <c r="AC90" s="49">
        <v>128.1</v>
      </c>
      <c r="AD90" s="49">
        <v>126</v>
      </c>
      <c r="AE90" s="49">
        <v>126</v>
      </c>
      <c r="AF90" s="49">
        <v>126</v>
      </c>
      <c r="AG90" s="93"/>
      <c r="AH90" s="55">
        <f t="shared" si="15"/>
        <v>137.6</v>
      </c>
      <c r="AI90" s="56">
        <f t="shared" si="16"/>
        <v>123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65.3</v>
      </c>
      <c r="C91" s="97">
        <v>64.599999999999994</v>
      </c>
      <c r="D91" s="97">
        <v>64.599999999999994</v>
      </c>
      <c r="E91" s="97">
        <v>65.3</v>
      </c>
      <c r="F91" s="97">
        <v>64.900000000000006</v>
      </c>
      <c r="G91" s="97">
        <v>64.7</v>
      </c>
      <c r="H91" s="97">
        <v>64.8</v>
      </c>
      <c r="I91" s="97">
        <v>64.900000000000006</v>
      </c>
      <c r="J91" s="97">
        <v>64.2</v>
      </c>
      <c r="K91" s="97">
        <v>64.400000000000006</v>
      </c>
      <c r="L91" s="97">
        <v>64.400000000000006</v>
      </c>
      <c r="M91" s="97">
        <v>64.599999999999994</v>
      </c>
      <c r="N91" s="97">
        <v>63.6</v>
      </c>
      <c r="O91" s="97">
        <v>63.1</v>
      </c>
      <c r="P91" s="97">
        <v>62.8</v>
      </c>
      <c r="Q91" s="97">
        <v>62.1</v>
      </c>
      <c r="R91" s="97">
        <v>62.4</v>
      </c>
      <c r="S91" s="97">
        <v>62.8</v>
      </c>
      <c r="T91" s="97">
        <v>62.4</v>
      </c>
      <c r="U91" s="97">
        <v>63.9</v>
      </c>
      <c r="V91" s="97">
        <v>62.7</v>
      </c>
      <c r="W91" s="97">
        <v>63.7</v>
      </c>
      <c r="X91" s="97">
        <v>63.5</v>
      </c>
      <c r="Y91" s="97">
        <v>63.8</v>
      </c>
      <c r="Z91" s="97">
        <v>64.3</v>
      </c>
      <c r="AA91" s="97">
        <v>64.099999999999994</v>
      </c>
      <c r="AB91" s="97">
        <v>64.599999999999994</v>
      </c>
      <c r="AC91" s="97">
        <v>64.7</v>
      </c>
      <c r="AD91" s="97">
        <v>64.5</v>
      </c>
      <c r="AE91" s="97">
        <v>65</v>
      </c>
      <c r="AF91" s="97">
        <v>65</v>
      </c>
      <c r="AG91" s="98"/>
      <c r="AH91" s="55">
        <f t="shared" si="15"/>
        <v>65.3</v>
      </c>
      <c r="AI91" s="56">
        <f t="shared" si="16"/>
        <v>62.1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SUM(B15,B18,B21:B22,B42,B44:B45,B47,B49,B94:B97,B103,B109,B115,B124,B126,B138,B145,B148:B149,B156,B158,B160,B164:B166,B168:B170,B175,B181:B182,B184:B186,B194,B199)</f>
        <v>253.83999999999997</v>
      </c>
      <c r="C93" s="103">
        <f t="shared" si="24"/>
        <v>242.83999999999997</v>
      </c>
      <c r="D93" s="103">
        <f t="shared" si="24"/>
        <v>241.84</v>
      </c>
      <c r="E93" s="103">
        <f t="shared" si="24"/>
        <v>96.440000000000012</v>
      </c>
      <c r="F93" s="103">
        <f t="shared" si="24"/>
        <v>91.339999999999989</v>
      </c>
      <c r="G93" s="103">
        <f t="shared" si="24"/>
        <v>98.340000000000018</v>
      </c>
      <c r="H93" s="103">
        <f t="shared" si="24"/>
        <v>126.74000000000002</v>
      </c>
      <c r="I93" s="103">
        <f t="shared" si="24"/>
        <v>176.23999999999998</v>
      </c>
      <c r="J93" s="103">
        <f t="shared" si="24"/>
        <v>191.33999999999997</v>
      </c>
      <c r="K93" s="103">
        <f t="shared" si="24"/>
        <v>253.33999999999997</v>
      </c>
      <c r="L93" s="103">
        <f t="shared" si="24"/>
        <v>248.33999999999995</v>
      </c>
      <c r="M93" s="103">
        <f t="shared" si="24"/>
        <v>241.63999999999996</v>
      </c>
      <c r="N93" s="103">
        <f t="shared" si="24"/>
        <v>340.04</v>
      </c>
      <c r="O93" s="103">
        <f t="shared" si="24"/>
        <v>336.44</v>
      </c>
      <c r="P93" s="103">
        <f t="shared" si="24"/>
        <v>357.84000000000003</v>
      </c>
      <c r="Q93" s="103">
        <f t="shared" si="24"/>
        <v>351.74</v>
      </c>
      <c r="R93" s="103">
        <f t="shared" si="24"/>
        <v>341.84000000000003</v>
      </c>
      <c r="S93" s="103">
        <f t="shared" si="24"/>
        <v>342.44000000000005</v>
      </c>
      <c r="T93" s="103">
        <f t="shared" si="24"/>
        <v>347.44000000000005</v>
      </c>
      <c r="U93" s="103">
        <f t="shared" si="24"/>
        <v>349.64000000000004</v>
      </c>
      <c r="V93" s="103">
        <f t="shared" si="24"/>
        <v>327.34000000000003</v>
      </c>
      <c r="W93" s="103">
        <f t="shared" si="24"/>
        <v>325.44000000000005</v>
      </c>
      <c r="X93" s="103">
        <f t="shared" si="24"/>
        <v>320.34000000000003</v>
      </c>
      <c r="Y93" s="103">
        <f t="shared" si="24"/>
        <v>335.04</v>
      </c>
      <c r="Z93" s="103">
        <f t="shared" si="24"/>
        <v>345.24</v>
      </c>
      <c r="AA93" s="103">
        <f t="shared" si="24"/>
        <v>348.84000000000003</v>
      </c>
      <c r="AB93" s="103">
        <f t="shared" si="24"/>
        <v>350.54</v>
      </c>
      <c r="AC93" s="103">
        <f t="shared" si="24"/>
        <v>338.44</v>
      </c>
      <c r="AD93" s="103">
        <f t="shared" si="24"/>
        <v>328.64</v>
      </c>
      <c r="AE93" s="103">
        <f t="shared" si="24"/>
        <v>271.73999999999995</v>
      </c>
      <c r="AF93" s="103">
        <f t="shared" si="24"/>
        <v>264.24</v>
      </c>
      <c r="AG93" s="104"/>
      <c r="AH93" s="55">
        <f>MAX(C93:AF93)</f>
        <v>357.84000000000003</v>
      </c>
      <c r="AI93" s="56">
        <f>MIN(C93:AF93)</f>
        <v>91.339999999999989</v>
      </c>
    </row>
    <row r="94" spans="1:88" x14ac:dyDescent="0.25">
      <c r="A94" s="105" t="s">
        <v>98</v>
      </c>
      <c r="B94" s="106">
        <v>14.9</v>
      </c>
      <c r="C94" s="106">
        <v>17.899999999999999</v>
      </c>
      <c r="D94" s="106">
        <v>16.8</v>
      </c>
      <c r="E94" s="106">
        <v>11.7</v>
      </c>
      <c r="F94" s="106">
        <v>13.6</v>
      </c>
      <c r="G94" s="106">
        <v>19.5</v>
      </c>
      <c r="H94" s="106">
        <v>21.8</v>
      </c>
      <c r="I94" s="106">
        <v>13.3</v>
      </c>
      <c r="J94" s="106">
        <v>15.9</v>
      </c>
      <c r="K94" s="106">
        <v>28.4</v>
      </c>
      <c r="L94" s="106">
        <v>24.9</v>
      </c>
      <c r="M94" s="106">
        <v>28.5</v>
      </c>
      <c r="N94" s="106">
        <v>28.1</v>
      </c>
      <c r="O94" s="106">
        <v>31.4</v>
      </c>
      <c r="P94" s="106">
        <v>30.3</v>
      </c>
      <c r="Q94" s="106">
        <v>29</v>
      </c>
      <c r="R94" s="106">
        <v>24.3</v>
      </c>
      <c r="S94" s="106">
        <v>21.3</v>
      </c>
      <c r="T94" s="106">
        <v>29.7</v>
      </c>
      <c r="U94" s="106">
        <v>13.7</v>
      </c>
      <c r="V94" s="106">
        <v>35.9</v>
      </c>
      <c r="W94" s="106">
        <v>30.3</v>
      </c>
      <c r="X94" s="106">
        <v>30.5</v>
      </c>
      <c r="Y94" s="106">
        <v>26</v>
      </c>
      <c r="Z94" s="106">
        <v>26.5</v>
      </c>
      <c r="AA94" s="106">
        <v>23.4</v>
      </c>
      <c r="AB94" s="106">
        <v>25.5</v>
      </c>
      <c r="AC94" s="106">
        <v>26</v>
      </c>
      <c r="AD94" s="106">
        <v>20</v>
      </c>
      <c r="AE94" s="106">
        <v>21</v>
      </c>
      <c r="AF94" s="106">
        <v>20.7</v>
      </c>
      <c r="AG94" s="107">
        <v>75</v>
      </c>
      <c r="AH94" s="55">
        <f t="shared" ref="AH94:AH100" si="25">IF(ABS(MAX(C94:AF94))&gt;ABS(MIN(C94:AF94)),MAX(C94:AF94),MIN(C94:AF94))</f>
        <v>35.9</v>
      </c>
      <c r="AI94" s="108">
        <f t="shared" ref="AI94:AI100" si="26">INDEX($C$9:$AF$9,1,MATCH(AH94,C94:AF94,0))</f>
        <v>0.70833333333333304</v>
      </c>
    </row>
    <row r="95" spans="1:88" x14ac:dyDescent="0.25">
      <c r="A95" s="109" t="s">
        <v>99</v>
      </c>
      <c r="B95" s="110"/>
      <c r="C95" s="110"/>
      <c r="D95" s="110"/>
      <c r="E95" s="110">
        <f>-69-78.2</f>
        <v>-147.19999999999999</v>
      </c>
      <c r="F95" s="110">
        <f>-71-75.3</f>
        <v>-146.30000000000001</v>
      </c>
      <c r="G95" s="110">
        <f>-72-77.1</f>
        <v>-149.1</v>
      </c>
      <c r="H95" s="110">
        <f>-61.6-66.1</f>
        <v>-127.69999999999999</v>
      </c>
      <c r="I95" s="110">
        <f>-47-58</f>
        <v>-105</v>
      </c>
      <c r="J95" s="110">
        <f>-35-37.9</f>
        <v>-72.900000000000006</v>
      </c>
      <c r="K95" s="110">
        <f>-40-49.8</f>
        <v>-89.8</v>
      </c>
      <c r="L95" s="110">
        <f>-42-50.9</f>
        <v>-92.9</v>
      </c>
      <c r="M95" s="110">
        <v>-100</v>
      </c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5">
        <f t="shared" si="25"/>
        <v>-149.1</v>
      </c>
      <c r="AI95" s="108">
        <f t="shared" si="26"/>
        <v>0.20833333333333301</v>
      </c>
    </row>
    <row r="96" spans="1:88" x14ac:dyDescent="0.25">
      <c r="A96" s="109" t="s">
        <v>100</v>
      </c>
      <c r="B96" s="110">
        <v>3.2</v>
      </c>
      <c r="C96" s="110">
        <v>-10.8</v>
      </c>
      <c r="D96" s="110">
        <v>-10.7</v>
      </c>
      <c r="E96" s="110">
        <v>-3.8</v>
      </c>
      <c r="F96" s="110">
        <v>-11.7</v>
      </c>
      <c r="G96" s="110">
        <v>-7.8</v>
      </c>
      <c r="H96" s="110">
        <v>-3.1</v>
      </c>
      <c r="I96" s="110">
        <v>32.5</v>
      </c>
      <c r="J96" s="110">
        <v>12.9</v>
      </c>
      <c r="K96" s="110">
        <v>23.8</v>
      </c>
      <c r="L96" s="110">
        <v>32.799999999999997</v>
      </c>
      <c r="M96" s="110">
        <v>32.200000000000003</v>
      </c>
      <c r="N96" s="110">
        <v>11.4</v>
      </c>
      <c r="O96" s="110">
        <v>21.8</v>
      </c>
      <c r="P96" s="110">
        <v>35.4</v>
      </c>
      <c r="Q96" s="110">
        <v>42.7</v>
      </c>
      <c r="R96" s="110">
        <v>33.6</v>
      </c>
      <c r="S96" s="110">
        <v>32.1</v>
      </c>
      <c r="T96" s="110">
        <v>14.3</v>
      </c>
      <c r="U96" s="110">
        <v>24.4</v>
      </c>
      <c r="V96" s="110">
        <v>7.6</v>
      </c>
      <c r="W96" s="110">
        <v>7.8</v>
      </c>
      <c r="X96" s="110">
        <v>7.8</v>
      </c>
      <c r="Y96" s="110">
        <v>7.9</v>
      </c>
      <c r="Z96" s="110">
        <v>17.3</v>
      </c>
      <c r="AA96" s="110">
        <v>25.4</v>
      </c>
      <c r="AB96" s="110">
        <v>14.6</v>
      </c>
      <c r="AC96" s="110">
        <v>20.6</v>
      </c>
      <c r="AD96" s="110">
        <v>36</v>
      </c>
      <c r="AE96" s="110">
        <v>14</v>
      </c>
      <c r="AF96" s="110">
        <v>6.8</v>
      </c>
      <c r="AG96" s="107">
        <v>60</v>
      </c>
      <c r="AH96" s="55">
        <f t="shared" si="25"/>
        <v>42.7</v>
      </c>
      <c r="AI96" s="108">
        <f t="shared" si="26"/>
        <v>0.5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55.5</v>
      </c>
      <c r="L97" s="112">
        <v>43.1</v>
      </c>
      <c r="M97" s="112">
        <v>37.4</v>
      </c>
      <c r="N97" s="112">
        <v>56.3</v>
      </c>
      <c r="O97" s="112">
        <v>39</v>
      </c>
      <c r="P97" s="112">
        <v>47.5</v>
      </c>
      <c r="Q97" s="112">
        <v>35.700000000000003</v>
      </c>
      <c r="R97" s="112">
        <v>40.9</v>
      </c>
      <c r="S97" s="112">
        <v>45.3</v>
      </c>
      <c r="T97" s="112">
        <v>59.7</v>
      </c>
      <c r="U97" s="112">
        <v>67.8</v>
      </c>
      <c r="V97" s="112">
        <v>40.1</v>
      </c>
      <c r="W97" s="112">
        <v>46.7</v>
      </c>
      <c r="X97" s="112">
        <v>45.4</v>
      </c>
      <c r="Y97" s="112">
        <v>64.5</v>
      </c>
      <c r="Z97" s="112">
        <v>64.900000000000006</v>
      </c>
      <c r="AA97" s="112">
        <v>63.4</v>
      </c>
      <c r="AB97" s="112">
        <v>73.8</v>
      </c>
      <c r="AC97" s="112">
        <v>55.1</v>
      </c>
      <c r="AD97" s="112">
        <v>35.9</v>
      </c>
      <c r="AE97" s="112">
        <v>0</v>
      </c>
      <c r="AF97" s="112">
        <v>0</v>
      </c>
      <c r="AG97" s="113">
        <v>120</v>
      </c>
      <c r="AH97" s="55">
        <f t="shared" si="25"/>
        <v>73.8</v>
      </c>
      <c r="AI97" s="108">
        <f t="shared" si="26"/>
        <v>0.83333333333333337</v>
      </c>
    </row>
    <row r="98" spans="1:37" x14ac:dyDescent="0.25">
      <c r="A98" s="111" t="s">
        <v>102</v>
      </c>
      <c r="B98" s="112">
        <v>36.5</v>
      </c>
      <c r="C98" s="112">
        <v>32.799999999999997</v>
      </c>
      <c r="D98" s="112">
        <v>35.4</v>
      </c>
      <c r="E98" s="112">
        <v>42</v>
      </c>
      <c r="F98" s="112">
        <v>41.8</v>
      </c>
      <c r="G98" s="112">
        <v>34.4</v>
      </c>
      <c r="H98" s="112">
        <v>32.1</v>
      </c>
      <c r="I98" s="112">
        <v>26.7</v>
      </c>
      <c r="J98" s="112">
        <v>69.7</v>
      </c>
      <c r="K98" s="112">
        <v>57.2</v>
      </c>
      <c r="L98" s="112">
        <v>42.1</v>
      </c>
      <c r="M98" s="112">
        <v>36</v>
      </c>
      <c r="N98" s="112">
        <v>57.9</v>
      </c>
      <c r="O98" s="112">
        <v>47.7</v>
      </c>
      <c r="P98" s="112">
        <v>50.3</v>
      </c>
      <c r="Q98" s="112">
        <v>40.6</v>
      </c>
      <c r="R98" s="112">
        <v>49.3</v>
      </c>
      <c r="S98" s="112">
        <v>51.9</v>
      </c>
      <c r="T98" s="112">
        <v>58.1</v>
      </c>
      <c r="U98" s="112">
        <v>67.400000000000006</v>
      </c>
      <c r="V98" s="112">
        <v>46.7</v>
      </c>
      <c r="W98" s="112">
        <v>54.1</v>
      </c>
      <c r="X98" s="112">
        <v>51</v>
      </c>
      <c r="Y98" s="112">
        <v>63.2</v>
      </c>
      <c r="Z98" s="112">
        <v>59.1</v>
      </c>
      <c r="AA98" s="112">
        <v>58.3</v>
      </c>
      <c r="AB98" s="112">
        <v>67.3</v>
      </c>
      <c r="AC98" s="112">
        <v>60.3</v>
      </c>
      <c r="AD98" s="112">
        <v>47</v>
      </c>
      <c r="AE98" s="112">
        <v>54</v>
      </c>
      <c r="AF98" s="112">
        <v>41.4</v>
      </c>
      <c r="AG98" s="113"/>
      <c r="AH98" s="55">
        <f t="shared" si="25"/>
        <v>69.7</v>
      </c>
      <c r="AI98" s="108">
        <f t="shared" si="26"/>
        <v>0.27083333333333331</v>
      </c>
    </row>
    <row r="99" spans="1:37" x14ac:dyDescent="0.25">
      <c r="A99" s="111" t="s">
        <v>253</v>
      </c>
      <c r="B99" s="112">
        <v>37</v>
      </c>
      <c r="C99" s="112">
        <v>25.6</v>
      </c>
      <c r="D99" s="112">
        <v>32</v>
      </c>
      <c r="E99" s="112">
        <v>36.4</v>
      </c>
      <c r="F99" s="112">
        <v>42.1</v>
      </c>
      <c r="G99" s="112">
        <v>25</v>
      </c>
      <c r="H99" s="112">
        <v>24.1</v>
      </c>
      <c r="I99" s="112">
        <v>53.1</v>
      </c>
      <c r="J99" s="112">
        <v>54.1</v>
      </c>
      <c r="K99" s="112">
        <v>50.9</v>
      </c>
      <c r="L99" s="112">
        <v>7.7</v>
      </c>
      <c r="M99" s="112">
        <v>28</v>
      </c>
      <c r="N99" s="112">
        <v>24.2</v>
      </c>
      <c r="O99" s="112">
        <v>6.4</v>
      </c>
      <c r="P99" s="112">
        <v>-6.1</v>
      </c>
      <c r="Q99" s="112">
        <v>-6.6</v>
      </c>
      <c r="R99" s="112">
        <v>7.4</v>
      </c>
      <c r="S99" s="112">
        <v>16.399999999999999</v>
      </c>
      <c r="T99" s="112">
        <v>-4.8</v>
      </c>
      <c r="U99" s="112">
        <v>58.7</v>
      </c>
      <c r="V99" s="112">
        <v>-17.100000000000001</v>
      </c>
      <c r="W99" s="112">
        <v>2.2999999999999998</v>
      </c>
      <c r="X99" s="112">
        <v>2.2999999999999998</v>
      </c>
      <c r="Y99" s="112">
        <v>16.899999999999999</v>
      </c>
      <c r="Z99" s="112">
        <v>19.2</v>
      </c>
      <c r="AA99" s="112">
        <v>25</v>
      </c>
      <c r="AB99" s="112">
        <v>17</v>
      </c>
      <c r="AC99" s="112">
        <v>12.2</v>
      </c>
      <c r="AD99" s="112">
        <v>26.6</v>
      </c>
      <c r="AE99" s="112">
        <v>27</v>
      </c>
      <c r="AF99" s="112">
        <v>27.8</v>
      </c>
      <c r="AG99" s="114"/>
      <c r="AH99" s="55">
        <f t="shared" si="25"/>
        <v>58.7</v>
      </c>
      <c r="AI99" s="108">
        <f t="shared" si="26"/>
        <v>0.66666666666666696</v>
      </c>
    </row>
    <row r="100" spans="1:37" ht="15.75" thickBot="1" x14ac:dyDescent="0.3">
      <c r="A100" s="115" t="s">
        <v>221</v>
      </c>
      <c r="B100" s="95"/>
      <c r="C100" s="95"/>
      <c r="D100" s="95"/>
      <c r="E100" s="95">
        <v>101</v>
      </c>
      <c r="F100" s="95">
        <v>95</v>
      </c>
      <c r="G100" s="95">
        <v>94.2</v>
      </c>
      <c r="H100" s="95">
        <v>78.5</v>
      </c>
      <c r="I100" s="95">
        <v>81</v>
      </c>
      <c r="J100" s="95"/>
      <c r="K100" s="95"/>
      <c r="L100" s="95"/>
      <c r="M100" s="95">
        <v>84.3</v>
      </c>
      <c r="N100" s="95">
        <v>61.7</v>
      </c>
      <c r="O100" s="95">
        <v>80.400000000000006</v>
      </c>
      <c r="P100" s="95">
        <v>84.6</v>
      </c>
      <c r="Q100" s="95">
        <v>86.1</v>
      </c>
      <c r="R100" s="95">
        <v>73.8</v>
      </c>
      <c r="S100" s="95">
        <v>75.099999999999994</v>
      </c>
      <c r="T100" s="95">
        <v>67.599999999999994</v>
      </c>
      <c r="U100" s="95">
        <v>57.3</v>
      </c>
      <c r="V100" s="95">
        <v>75.099999999999994</v>
      </c>
      <c r="W100" s="95">
        <v>66.3</v>
      </c>
      <c r="X100" s="95">
        <v>65.5</v>
      </c>
      <c r="Y100" s="95">
        <v>50</v>
      </c>
      <c r="Z100" s="95">
        <v>52</v>
      </c>
      <c r="AA100" s="95">
        <v>59.9</v>
      </c>
      <c r="AB100" s="95">
        <v>54</v>
      </c>
      <c r="AC100" s="95">
        <v>68.8</v>
      </c>
      <c r="AD100" s="95">
        <v>87.4</v>
      </c>
      <c r="AE100" s="95">
        <v>92</v>
      </c>
      <c r="AF100" s="95">
        <v>93</v>
      </c>
      <c r="AG100" s="114"/>
      <c r="AH100" s="55">
        <f t="shared" si="25"/>
        <v>101</v>
      </c>
      <c r="AI100" s="108">
        <f t="shared" si="26"/>
        <v>0.125</v>
      </c>
    </row>
    <row r="101" spans="1:37" ht="15.75" thickBot="1" x14ac:dyDescent="0.3">
      <c r="A101" s="116" t="s">
        <v>105</v>
      </c>
      <c r="B101" s="117"/>
      <c r="C101" s="117"/>
      <c r="D101" s="117"/>
      <c r="E101" s="117" t="s">
        <v>230</v>
      </c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7">AF102</f>
        <v>9.9</v>
      </c>
      <c r="C102" s="54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130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3"/>
        <v>0.04</v>
      </c>
      <c r="C190" s="54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3"/>
        <v>2.3E-2</v>
      </c>
      <c r="C191" s="54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1777.3400000000004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27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2079/02/27)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2079/02/27)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3">B75</f>
        <v>1791.4399999999998</v>
      </c>
      <c r="U214" s="161">
        <f t="shared" si="63"/>
        <v>1787.74</v>
      </c>
      <c r="V214" s="161">
        <f t="shared" si="63"/>
        <v>1774.2400000000002</v>
      </c>
      <c r="W214" s="161">
        <f t="shared" si="63"/>
        <v>1715.24</v>
      </c>
      <c r="X214" s="161">
        <f t="shared" si="63"/>
        <v>1714.54</v>
      </c>
      <c r="Y214" s="161">
        <f t="shared" si="63"/>
        <v>1709.74</v>
      </c>
      <c r="Z214" s="161">
        <f t="shared" si="63"/>
        <v>1707.84</v>
      </c>
      <c r="AA214" s="161">
        <f t="shared" si="63"/>
        <v>1684.0400000000002</v>
      </c>
      <c r="AB214" s="161">
        <f t="shared" si="63"/>
        <v>1713.44</v>
      </c>
      <c r="AC214" s="161">
        <f t="shared" si="63"/>
        <v>1703.34</v>
      </c>
      <c r="AD214" s="161">
        <f t="shared" si="63"/>
        <v>1777.3400000000004</v>
      </c>
      <c r="AE214" s="161">
        <f t="shared" si="63"/>
        <v>1747.0400000000002</v>
      </c>
      <c r="AF214" s="161">
        <f t="shared" si="63"/>
        <v>1767.14</v>
      </c>
      <c r="AG214" s="161">
        <f t="shared" si="63"/>
        <v>1784.04</v>
      </c>
      <c r="AH214" s="161">
        <f t="shared" si="63"/>
        <v>1807.64</v>
      </c>
      <c r="AI214" s="161">
        <f t="shared" si="63"/>
        <v>1806.04</v>
      </c>
      <c r="AJ214" s="161">
        <f t="shared" si="63"/>
        <v>1793.14</v>
      </c>
      <c r="AK214" s="161">
        <f t="shared" si="63"/>
        <v>1804.04</v>
      </c>
      <c r="AL214" s="161">
        <f t="shared" si="63"/>
        <v>1806.94</v>
      </c>
      <c r="AM214" s="161">
        <f t="shared" si="63"/>
        <v>1752.34</v>
      </c>
      <c r="AN214" s="161">
        <f t="shared" si="63"/>
        <v>1758.74</v>
      </c>
      <c r="AO214" s="161">
        <f t="shared" si="63"/>
        <v>1735.84</v>
      </c>
      <c r="AP214" s="161">
        <f t="shared" si="63"/>
        <v>1747.4399999999998</v>
      </c>
      <c r="AQ214" s="161">
        <f t="shared" si="63"/>
        <v>1767.84</v>
      </c>
      <c r="AR214" s="161">
        <f t="shared" si="63"/>
        <v>1769.94</v>
      </c>
      <c r="AS214" s="161">
        <f t="shared" si="63"/>
        <v>1783.34</v>
      </c>
      <c r="AT214" s="161">
        <f t="shared" si="63"/>
        <v>1799.94</v>
      </c>
      <c r="AU214" s="161">
        <f t="shared" si="63"/>
        <v>1798.44</v>
      </c>
      <c r="AV214" s="161">
        <f t="shared" si="63"/>
        <v>1804.94</v>
      </c>
      <c r="AW214" s="161">
        <f t="shared" si="63"/>
        <v>1784.44</v>
      </c>
      <c r="AX214" s="161">
        <f t="shared" si="63"/>
        <v>1799.24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V11:AF11">
    <cfRule type="expression" dxfId="1314" priority="210">
      <formula>B$9&gt;=20/24</formula>
    </cfRule>
    <cfRule type="expression" dxfId="1313" priority="211">
      <formula>AND(B$9&gt;=14/24,B$9&lt;20/24)</formula>
    </cfRule>
    <cfRule type="expression" dxfId="1312" priority="212">
      <formula>AND(B$9&gt;=8/24,B$9&lt;14/24)</formula>
    </cfRule>
    <cfRule type="expression" dxfId="1311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310" priority="205">
      <formula>S$9&gt;=20/24</formula>
    </cfRule>
    <cfRule type="expression" dxfId="1309" priority="206">
      <formula>AND(S$9&gt;=14/24,S$9&lt;20/24)</formula>
    </cfRule>
    <cfRule type="expression" dxfId="1308" priority="207">
      <formula>AND(S$9&gt;=8/24,S$9&lt;14/24)</formula>
    </cfRule>
    <cfRule type="expression" dxfId="1307" priority="208">
      <formula>S$9&lt;8/24</formula>
    </cfRule>
  </conditionalFormatting>
  <conditionalFormatting sqref="AG51 B12:L16 M11:R11 M16:R16 S37:AF37 S11:AF16">
    <cfRule type="expression" dxfId="1306" priority="204">
      <formula>B11&gt;$AG11</formula>
    </cfRule>
  </conditionalFormatting>
  <conditionalFormatting sqref="A101:A157 A84:A97 A11:A14 A45:A72 A80:A82 A74:A78 A35:A43 A170:A200 A16:A32">
    <cfRule type="expression" dxfId="1305" priority="203">
      <formula>$AH11=0</formula>
    </cfRule>
  </conditionalFormatting>
  <conditionalFormatting sqref="A98">
    <cfRule type="expression" dxfId="1304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303" priority="200">
      <formula>$AH34=0</formula>
    </cfRule>
  </conditionalFormatting>
  <conditionalFormatting sqref="A83">
    <cfRule type="expression" dxfId="1302" priority="199">
      <formula>$AH83=0</formula>
    </cfRule>
  </conditionalFormatting>
  <conditionalFormatting sqref="A15">
    <cfRule type="expression" dxfId="1301" priority="198">
      <formula>$AH15=0</formula>
    </cfRule>
  </conditionalFormatting>
  <conditionalFormatting sqref="A164:A169">
    <cfRule type="expression" dxfId="1300" priority="197">
      <formula>$AH164=0</formula>
    </cfRule>
  </conditionalFormatting>
  <conditionalFormatting sqref="A158:A163">
    <cfRule type="expression" dxfId="1299" priority="196">
      <formula>$AH158=0</formula>
    </cfRule>
  </conditionalFormatting>
  <conditionalFormatting sqref="A44">
    <cfRule type="expression" dxfId="1298" priority="195">
      <formula>$AH44=0</formula>
    </cfRule>
  </conditionalFormatting>
  <conditionalFormatting sqref="A79">
    <cfRule type="expression" dxfId="1297" priority="194">
      <formula>$AH79=0</formula>
    </cfRule>
  </conditionalFormatting>
  <conditionalFormatting sqref="A73">
    <cfRule type="expression" dxfId="1296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295" priority="189">
      <formula>C$9&gt;=20/24</formula>
    </cfRule>
    <cfRule type="expression" dxfId="1294" priority="190">
      <formula>AND(C$9&gt;=14/24,C$9&lt;20/24)</formula>
    </cfRule>
    <cfRule type="expression" dxfId="1293" priority="191">
      <formula>AND(C$9&gt;=8/24,C$9&lt;14/24)</formula>
    </cfRule>
    <cfRule type="expression" dxfId="1292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291" priority="217">
      <formula>C$9&gt;=20/24</formula>
    </cfRule>
    <cfRule type="expression" dxfId="1290" priority="218">
      <formula>AND(C$9&gt;=14/24,C$9&lt;20/24)</formula>
    </cfRule>
    <cfRule type="expression" dxfId="1289" priority="219">
      <formula>AND(C$9&gt;=8/24,C$9&lt;14/24)</formula>
    </cfRule>
    <cfRule type="expression" dxfId="1288" priority="220">
      <formula>C$9&lt;8/24</formula>
    </cfRule>
  </conditionalFormatting>
  <conditionalFormatting sqref="A201">
    <cfRule type="expression" dxfId="1287" priority="221">
      <formula>$AH201=0</formula>
    </cfRule>
  </conditionalFormatting>
  <conditionalFormatting sqref="AG213">
    <cfRule type="expression" dxfId="1286" priority="222">
      <formula>B$9&gt;=20/24</formula>
    </cfRule>
    <cfRule type="expression" dxfId="1285" priority="223">
      <formula>AND(B$9&gt;=14/24,B$9&lt;20/24)</formula>
    </cfRule>
    <cfRule type="expression" dxfId="1284" priority="224">
      <formula>AND(B$9&gt;=8/24,B$9&lt;14/24)</formula>
    </cfRule>
    <cfRule type="expression" dxfId="1283" priority="225">
      <formula>B$9&lt;8/24</formula>
    </cfRule>
  </conditionalFormatting>
  <conditionalFormatting sqref="S8">
    <cfRule type="expression" dxfId="1282" priority="184">
      <formula>U$9&gt;=20/24</formula>
    </cfRule>
    <cfRule type="expression" dxfId="1281" priority="185">
      <formula>AND(U$9&gt;=14/24,U$9&lt;20/24)</formula>
    </cfRule>
    <cfRule type="expression" dxfId="1280" priority="186">
      <formula>AND(U$9&gt;=8/24,U$9&lt;14/24)</formula>
    </cfRule>
    <cfRule type="expression" dxfId="1279" priority="187">
      <formula>U$9&lt;8/24</formula>
    </cfRule>
  </conditionalFormatting>
  <conditionalFormatting sqref="AB8">
    <cfRule type="expression" dxfId="1278" priority="180">
      <formula>AD$9&gt;=20/24</formula>
    </cfRule>
    <cfRule type="expression" dxfId="1277" priority="181">
      <formula>AND(AD$9&gt;=14/24,AD$9&lt;20/24)</formula>
    </cfRule>
    <cfRule type="expression" dxfId="1276" priority="182">
      <formula>AND(AD$9&gt;=8/24,AD$9&lt;14/24)</formula>
    </cfRule>
    <cfRule type="expression" dxfId="1275" priority="183">
      <formula>AD$9&lt;8/24</formula>
    </cfRule>
  </conditionalFormatting>
  <conditionalFormatting sqref="AH213:AX213">
    <cfRule type="expression" dxfId="1274" priority="226">
      <formula>AG$9&gt;=20/24</formula>
    </cfRule>
    <cfRule type="expression" dxfId="1273" priority="227">
      <formula>AND(AG$9&gt;=14/24,AG$9&lt;20/24)</formula>
    </cfRule>
    <cfRule type="expression" dxfId="1272" priority="228">
      <formula>AND(AG$9&gt;=8/24,AG$9&lt;14/24)</formula>
    </cfRule>
    <cfRule type="expression" dxfId="1271" priority="229">
      <formula>AG$9&lt;8/24</formula>
    </cfRule>
  </conditionalFormatting>
  <conditionalFormatting sqref="T213">
    <cfRule type="expression" dxfId="1270" priority="230">
      <formula>AX$9&gt;=20/24</formula>
    </cfRule>
    <cfRule type="expression" dxfId="1269" priority="231">
      <formula>AND(AX$9&gt;=14/24,AX$9&lt;20/24)</formula>
    </cfRule>
    <cfRule type="expression" dxfId="1268" priority="232">
      <formula>AND(AX$9&gt;=8/24,AX$9&lt;14/24)</formula>
    </cfRule>
    <cfRule type="expression" dxfId="1267" priority="233">
      <formula>AX$9&lt;8/24</formula>
    </cfRule>
  </conditionalFormatting>
  <conditionalFormatting sqref="A99:A100">
    <cfRule type="expression" dxfId="1266" priority="179">
      <formula>$AH99=0</formula>
    </cfRule>
  </conditionalFormatting>
  <conditionalFormatting sqref="E57:AF57 H40:L41 E11:L11 AB36:AF36 S40:AF41">
    <cfRule type="expression" dxfId="1265" priority="175">
      <formula>E$9&gt;=20/24</formula>
    </cfRule>
    <cfRule type="expression" dxfId="1264" priority="176">
      <formula>AND(E$9&gt;=14/24,E$9&lt;20/24)</formula>
    </cfRule>
    <cfRule type="expression" dxfId="1263" priority="177">
      <formula>AND(E$9&gt;=8/24,E$9&lt;14/24)</formula>
    </cfRule>
    <cfRule type="expression" dxfId="1262" priority="178">
      <formula>E$9&lt;8/24</formula>
    </cfRule>
  </conditionalFormatting>
  <conditionalFormatting sqref="H39:L39 S39:AF39">
    <cfRule type="expression" dxfId="1261" priority="171">
      <formula>H$9&gt;=20/24</formula>
    </cfRule>
    <cfRule type="expression" dxfId="1260" priority="172">
      <formula>AND(H$9&gt;=14/24,H$9&lt;20/24)</formula>
    </cfRule>
    <cfRule type="expression" dxfId="1259" priority="173">
      <formula>AND(H$9&gt;=8/24,H$9&lt;14/24)</formula>
    </cfRule>
    <cfRule type="expression" dxfId="1258" priority="174">
      <formula>H$9&lt;8/24</formula>
    </cfRule>
  </conditionalFormatting>
  <conditionalFormatting sqref="H39:L41 E11:L11 AB36:AF36 S39:AF41">
    <cfRule type="expression" dxfId="1257" priority="170">
      <formula>E11&gt;$AG11</formula>
    </cfRule>
  </conditionalFormatting>
  <conditionalFormatting sqref="C81:AF81 C69:AF72 G60:Q60 C53:AF56 E58:AF59 G61:M62 M63:M67 I67:L67 I63:L63 N61:Q67 M11:R14 M36:R37 S36:AA36 S12:AF14 M18:AF22 M28:AF31 M24:AF26 R60:AF67 M16:AF16 C85:AF91">
    <cfRule type="expression" dxfId="1256" priority="166">
      <formula>C$9&gt;=20/24</formula>
    </cfRule>
    <cfRule type="expression" dxfId="1255" priority="167">
      <formula>AND(C$9&gt;=14/24,C$9&lt;20/24)</formula>
    </cfRule>
    <cfRule type="expression" dxfId="1254" priority="168">
      <formula>AND(C$9&gt;=8/24,C$9&lt;14/24)</formula>
    </cfRule>
    <cfRule type="expression" dxfId="1253" priority="169">
      <formula>C$9&lt;8/24</formula>
    </cfRule>
  </conditionalFormatting>
  <conditionalFormatting sqref="M32:AF32">
    <cfRule type="expression" dxfId="1252" priority="162">
      <formula>M$9&gt;=20/24</formula>
    </cfRule>
    <cfRule type="expression" dxfId="1251" priority="163">
      <formula>AND(M$9&gt;=14/24,M$9&lt;20/24)</formula>
    </cfRule>
    <cfRule type="expression" dxfId="1250" priority="164">
      <formula>AND(M$9&gt;=8/24,M$9&lt;14/24)</formula>
    </cfRule>
    <cfRule type="expression" dxfId="1249" priority="165">
      <formula>M$9&lt;8/24</formula>
    </cfRule>
  </conditionalFormatting>
  <conditionalFormatting sqref="M35:AF35">
    <cfRule type="expression" dxfId="1248" priority="158">
      <formula>M$9&gt;=20/24</formula>
    </cfRule>
    <cfRule type="expression" dxfId="1247" priority="159">
      <formula>AND(M$9&gt;=14/24,M$9&lt;20/24)</formula>
    </cfRule>
    <cfRule type="expression" dxfId="1246" priority="160">
      <formula>AND(M$9&gt;=8/24,M$9&lt;14/24)</formula>
    </cfRule>
    <cfRule type="expression" dxfId="1245" priority="161">
      <formula>M$9&lt;8/24</formula>
    </cfRule>
  </conditionalFormatting>
  <conditionalFormatting sqref="C51:AF51 C53:AF56 C37:R37 L42:L44 I42:K43 M11:R15 M34:AA36 AB34:AF35 M18:AF22 M24:AF32 AB42:AF43">
    <cfRule type="expression" dxfId="1244" priority="157">
      <formula>C11&gt;$AG11</formula>
    </cfRule>
  </conditionalFormatting>
  <conditionalFormatting sqref="M34:AF34">
    <cfRule type="expression" dxfId="1243" priority="153">
      <formula>M$9&gt;=20/24</formula>
    </cfRule>
    <cfRule type="expression" dxfId="1242" priority="154">
      <formula>AND(M$9&gt;=14/24,M$9&lt;20/24)</formula>
    </cfRule>
    <cfRule type="expression" dxfId="1241" priority="155">
      <formula>AND(M$9&gt;=8/24,M$9&lt;14/24)</formula>
    </cfRule>
    <cfRule type="expression" dxfId="1240" priority="156">
      <formula>M$9&lt;8/24</formula>
    </cfRule>
  </conditionalFormatting>
  <conditionalFormatting sqref="M15:AF15">
    <cfRule type="expression" dxfId="1239" priority="149">
      <formula>M$9&gt;=20/24</formula>
    </cfRule>
    <cfRule type="expression" dxfId="1238" priority="150">
      <formula>AND(M$9&gt;=14/24,M$9&lt;20/24)</formula>
    </cfRule>
    <cfRule type="expression" dxfId="1237" priority="151">
      <formula>AND(M$9&gt;=8/24,M$9&lt;14/24)</formula>
    </cfRule>
    <cfRule type="expression" dxfId="1236" priority="152">
      <formula>M$9&lt;8/24</formula>
    </cfRule>
  </conditionalFormatting>
  <conditionalFormatting sqref="M33:AF33">
    <cfRule type="expression" dxfId="1235" priority="145">
      <formula>M$9&gt;=20/24</formula>
    </cfRule>
    <cfRule type="expression" dxfId="1234" priority="146">
      <formula>AND(M$9&gt;=14/24,M$9&lt;20/24)</formula>
    </cfRule>
    <cfRule type="expression" dxfId="1233" priority="147">
      <formula>AND(M$9&gt;=8/24,M$9&lt;14/24)</formula>
    </cfRule>
    <cfRule type="expression" dxfId="1232" priority="148">
      <formula>M$9&lt;8/24</formula>
    </cfRule>
  </conditionalFormatting>
  <conditionalFormatting sqref="M33:AF33">
    <cfRule type="expression" dxfId="1231" priority="144">
      <formula>M33&gt;$AG33</formula>
    </cfRule>
  </conditionalFormatting>
  <conditionalFormatting sqref="S11:AA11">
    <cfRule type="expression" dxfId="1230" priority="140">
      <formula>S$9&gt;=20/24</formula>
    </cfRule>
    <cfRule type="expression" dxfId="1229" priority="141">
      <formula>AND(S$9&gt;=14/24,S$9&lt;20/24)</formula>
    </cfRule>
    <cfRule type="expression" dxfId="1228" priority="142">
      <formula>AND(S$9&gt;=8/24,S$9&lt;14/24)</formula>
    </cfRule>
    <cfRule type="expression" dxfId="1227" priority="143">
      <formula>S$9&lt;8/24</formula>
    </cfRule>
  </conditionalFormatting>
  <conditionalFormatting sqref="AB44:AF50">
    <cfRule type="expression" dxfId="1226" priority="136">
      <formula>AB$9&gt;=20/24</formula>
    </cfRule>
    <cfRule type="expression" dxfId="1225" priority="137">
      <formula>AND(AB$9&gt;=14/24,AB$9&lt;20/24)</formula>
    </cfRule>
    <cfRule type="expression" dxfId="1224" priority="138">
      <formula>AND(AB$9&gt;=8/24,AB$9&lt;14/24)</formula>
    </cfRule>
    <cfRule type="expression" dxfId="1223" priority="139">
      <formula>AB$9&lt;8/24</formula>
    </cfRule>
  </conditionalFormatting>
  <conditionalFormatting sqref="AB44:AF50">
    <cfRule type="expression" dxfId="1222" priority="135">
      <formula>AB44&gt;$AG44</formula>
    </cfRule>
  </conditionalFormatting>
  <conditionalFormatting sqref="M39:R50 S42:AA50">
    <cfRule type="expression" dxfId="1221" priority="131">
      <formula>M$9&gt;=20/24</formula>
    </cfRule>
    <cfRule type="expression" dxfId="1220" priority="132">
      <formula>AND(M$9&gt;=14/24,M$9&lt;20/24)</formula>
    </cfRule>
    <cfRule type="expression" dxfId="1219" priority="133">
      <formula>AND(M$9&gt;=8/24,M$9&lt;14/24)</formula>
    </cfRule>
    <cfRule type="expression" dxfId="1218" priority="134">
      <formula>M$9&lt;8/24</formula>
    </cfRule>
  </conditionalFormatting>
  <conditionalFormatting sqref="M39:R50 S42:AA50">
    <cfRule type="expression" dxfId="1217" priority="130">
      <formula>M39&gt;$AG39</formula>
    </cfRule>
  </conditionalFormatting>
  <conditionalFormatting sqref="M27:AF27">
    <cfRule type="expression" dxfId="1216" priority="126">
      <formula>M$9&gt;=20/24</formula>
    </cfRule>
    <cfRule type="expression" dxfId="1215" priority="127">
      <formula>AND(M$9&gt;=14/24,M$9&lt;20/24)</formula>
    </cfRule>
    <cfRule type="expression" dxfId="1214" priority="128">
      <formula>AND(M$9&gt;=8/24,M$9&lt;14/24)</formula>
    </cfRule>
    <cfRule type="expression" dxfId="1213" priority="129">
      <formula>M$9&lt;8/24</formula>
    </cfRule>
  </conditionalFormatting>
  <conditionalFormatting sqref="M17:AF17 M23:AF23">
    <cfRule type="expression" dxfId="1212" priority="122">
      <formula>M$9&gt;=20/24</formula>
    </cfRule>
    <cfRule type="expression" dxfId="1211" priority="123">
      <formula>AND(M$9&gt;=14/24,M$9&lt;20/24)</formula>
    </cfRule>
    <cfRule type="expression" dxfId="1210" priority="124">
      <formula>AND(M$9&gt;=8/24,M$9&lt;14/24)</formula>
    </cfRule>
    <cfRule type="expression" dxfId="1209" priority="125">
      <formula>M$9&lt;8/24</formula>
    </cfRule>
  </conditionalFormatting>
  <conditionalFormatting sqref="M17:AF17 M23:AF23">
    <cfRule type="expression" dxfId="1208" priority="113">
      <formula>M17&gt;$AG17</formula>
    </cfRule>
  </conditionalFormatting>
  <conditionalFormatting sqref="I64:L66">
    <cfRule type="expression" dxfId="1207" priority="87">
      <formula>I$9&gt;=20/24</formula>
    </cfRule>
    <cfRule type="expression" dxfId="1206" priority="88">
      <formula>AND(I$9&gt;=14/24,I$9&lt;20/24)</formula>
    </cfRule>
    <cfRule type="expression" dxfId="1205" priority="89">
      <formula>AND(I$9&gt;=8/24,I$9&lt;14/24)</formula>
    </cfRule>
    <cfRule type="expression" dxfId="1204" priority="90">
      <formula>I$9&lt;8/24</formula>
    </cfRule>
  </conditionalFormatting>
  <conditionalFormatting sqref="B94:B100 B74:AF74 B82:AF82 B11:D11">
    <cfRule type="expression" dxfId="1203" priority="68">
      <formula>B$9&gt;=20/24</formula>
    </cfRule>
    <cfRule type="expression" dxfId="1202" priority="69">
      <formula>AND(B$9&gt;=14/24,B$9&lt;20/24)</formula>
    </cfRule>
    <cfRule type="expression" dxfId="1201" priority="70">
      <formula>AND(B$9&gt;=8/24,B$9&lt;14/24)</formula>
    </cfRule>
    <cfRule type="expression" dxfId="1200" priority="71">
      <formula>B$9&lt;8/24</formula>
    </cfRule>
  </conditionalFormatting>
  <conditionalFormatting sqref="B37">
    <cfRule type="expression" dxfId="1199" priority="64">
      <formula>B$9&gt;=20/24</formula>
    </cfRule>
    <cfRule type="expression" dxfId="1198" priority="65">
      <formula>AND(B$9&gt;=14/24,B$9&lt;20/24)</formula>
    </cfRule>
    <cfRule type="expression" dxfId="1197" priority="66">
      <formula>AND(B$9&gt;=8/24,B$9&lt;14/24)</formula>
    </cfRule>
    <cfRule type="expression" dxfId="1196" priority="67">
      <formula>B$9&lt;8/24</formula>
    </cfRule>
  </conditionalFormatting>
  <conditionalFormatting sqref="B37 B11:D11">
    <cfRule type="expression" dxfId="1195" priority="63">
      <formula>B11&gt;$AG11</formula>
    </cfRule>
  </conditionalFormatting>
  <conditionalFormatting sqref="B84">
    <cfRule type="expression" dxfId="1194" priority="59">
      <formula>B$9&gt;=20/24</formula>
    </cfRule>
    <cfRule type="expression" dxfId="1193" priority="60">
      <formula>AND(B$9&gt;=14/24,B$9&lt;20/24)</formula>
    </cfRule>
    <cfRule type="expression" dxfId="1192" priority="61">
      <formula>AND(B$9&gt;=8/24,B$9&lt;14/24)</formula>
    </cfRule>
    <cfRule type="expression" dxfId="1191" priority="62">
      <formula>B$9&lt;8/24</formula>
    </cfRule>
  </conditionalFormatting>
  <conditionalFormatting sqref="B57:D57 B40:G41 B36:L36">
    <cfRule type="expression" dxfId="1190" priority="55">
      <formula>B$9&gt;=20/24</formula>
    </cfRule>
    <cfRule type="expression" dxfId="1189" priority="56">
      <formula>AND(B$9&gt;=14/24,B$9&lt;20/24)</formula>
    </cfRule>
    <cfRule type="expression" dxfId="1188" priority="57">
      <formula>AND(B$9&gt;=8/24,B$9&lt;14/24)</formula>
    </cfRule>
    <cfRule type="expression" dxfId="1187" priority="58">
      <formula>B$9&lt;8/24</formula>
    </cfRule>
  </conditionalFormatting>
  <conditionalFormatting sqref="B39:G39">
    <cfRule type="expression" dxfId="1186" priority="51">
      <formula>B$9&gt;=20/24</formula>
    </cfRule>
    <cfRule type="expression" dxfId="1185" priority="52">
      <formula>AND(B$9&gt;=14/24,B$9&lt;20/24)</formula>
    </cfRule>
    <cfRule type="expression" dxfId="1184" priority="53">
      <formula>AND(B$9&gt;=8/24,B$9&lt;14/24)</formula>
    </cfRule>
    <cfRule type="expression" dxfId="1183" priority="54">
      <formula>B$9&lt;8/24</formula>
    </cfRule>
  </conditionalFormatting>
  <conditionalFormatting sqref="B39:G41 B36:L36">
    <cfRule type="expression" dxfId="1182" priority="50">
      <formula>B36&gt;$AG36</formula>
    </cfRule>
  </conditionalFormatting>
  <conditionalFormatting sqref="B85:B91 B53:B56 B69:B73 B75:AF75 C73:AF73 B81 B83:AF83 B58:D67 E60:F67 G63:H67 B12:L14 B16:L16 B28:L31 B18:L22 B24:L26">
    <cfRule type="expression" dxfId="1181" priority="46">
      <formula>B$9&gt;=20/24</formula>
    </cfRule>
    <cfRule type="expression" dxfId="1180" priority="47">
      <formula>AND(B$9&gt;=14/24,B$9&lt;20/24)</formula>
    </cfRule>
    <cfRule type="expression" dxfId="1179" priority="48">
      <formula>AND(B$9&gt;=8/24,B$9&lt;14/24)</formula>
    </cfRule>
    <cfRule type="expression" dxfId="1178" priority="49">
      <formula>B$9&lt;8/24</formula>
    </cfRule>
  </conditionalFormatting>
  <conditionalFormatting sqref="B32:L32">
    <cfRule type="expression" dxfId="1177" priority="42">
      <formula>B$9&gt;=20/24</formula>
    </cfRule>
    <cfRule type="expression" dxfId="1176" priority="43">
      <formula>AND(B$9&gt;=14/24,B$9&lt;20/24)</formula>
    </cfRule>
    <cfRule type="expression" dxfId="1175" priority="44">
      <formula>AND(B$9&gt;=8/24,B$9&lt;14/24)</formula>
    </cfRule>
    <cfRule type="expression" dxfId="1174" priority="45">
      <formula>B$9&lt;8/24</formula>
    </cfRule>
  </conditionalFormatting>
  <conditionalFormatting sqref="B35:L35">
    <cfRule type="expression" dxfId="1173" priority="38">
      <formula>B$9&gt;=20/24</formula>
    </cfRule>
    <cfRule type="expression" dxfId="1172" priority="39">
      <formula>AND(B$9&gt;=14/24,B$9&lt;20/24)</formula>
    </cfRule>
    <cfRule type="expression" dxfId="1171" priority="40">
      <formula>AND(B$9&gt;=8/24,B$9&lt;14/24)</formula>
    </cfRule>
    <cfRule type="expression" dxfId="1170" priority="41">
      <formula>B$9&lt;8/24</formula>
    </cfRule>
  </conditionalFormatting>
  <conditionalFormatting sqref="B51:B56 C52:AF52 B38:AF38 B42:H43 B34:L35 B18:L22 B24:L32">
    <cfRule type="expression" dxfId="1169" priority="37">
      <formula>B18&gt;$AG18</formula>
    </cfRule>
  </conditionalFormatting>
  <conditionalFormatting sqref="B34:L34">
    <cfRule type="expression" dxfId="1168" priority="33">
      <formula>B$9&gt;=20/24</formula>
    </cfRule>
    <cfRule type="expression" dxfId="1167" priority="34">
      <formula>AND(B$9&gt;=14/24,B$9&lt;20/24)</formula>
    </cfRule>
    <cfRule type="expression" dxfId="1166" priority="35">
      <formula>AND(B$9&gt;=8/24,B$9&lt;14/24)</formula>
    </cfRule>
    <cfRule type="expression" dxfId="1165" priority="36">
      <formula>B$9&lt;8/24</formula>
    </cfRule>
  </conditionalFormatting>
  <conditionalFormatting sqref="B15:L15">
    <cfRule type="expression" dxfId="1164" priority="29">
      <formula>B$9&gt;=20/24</formula>
    </cfRule>
    <cfRule type="expression" dxfId="1163" priority="30">
      <formula>AND(B$9&gt;=14/24,B$9&lt;20/24)</formula>
    </cfRule>
    <cfRule type="expression" dxfId="1162" priority="31">
      <formula>AND(B$9&gt;=8/24,B$9&lt;14/24)</formula>
    </cfRule>
    <cfRule type="expression" dxfId="1161" priority="32">
      <formula>B$9&lt;8/24</formula>
    </cfRule>
  </conditionalFormatting>
  <conditionalFormatting sqref="B33:L33">
    <cfRule type="expression" dxfId="1160" priority="25">
      <formula>B$9&gt;=20/24</formula>
    </cfRule>
    <cfRule type="expression" dxfId="1159" priority="26">
      <formula>AND(B$9&gt;=14/24,B$9&lt;20/24)</formula>
    </cfRule>
    <cfRule type="expression" dxfId="1158" priority="27">
      <formula>AND(B$9&gt;=8/24,B$9&lt;14/24)</formula>
    </cfRule>
    <cfRule type="expression" dxfId="1157" priority="28">
      <formula>B$9&lt;8/24</formula>
    </cfRule>
  </conditionalFormatting>
  <conditionalFormatting sqref="B33:L33">
    <cfRule type="expression" dxfId="1156" priority="24">
      <formula>B33&gt;$AG33</formula>
    </cfRule>
  </conditionalFormatting>
  <conditionalFormatting sqref="B44:K50 L45:L50">
    <cfRule type="expression" dxfId="1155" priority="20">
      <formula>B$9&gt;=20/24</formula>
    </cfRule>
    <cfRule type="expression" dxfId="1154" priority="21">
      <formula>AND(B$9&gt;=14/24,B$9&lt;20/24)</formula>
    </cfRule>
    <cfRule type="expression" dxfId="1153" priority="22">
      <formula>AND(B$9&gt;=8/24,B$9&lt;14/24)</formula>
    </cfRule>
    <cfRule type="expression" dxfId="1152" priority="23">
      <formula>B$9&lt;8/24</formula>
    </cfRule>
  </conditionalFormatting>
  <conditionalFormatting sqref="B44:K50 L45:L50">
    <cfRule type="expression" dxfId="1151" priority="19">
      <formula>B44&gt;$AG44</formula>
    </cfRule>
  </conditionalFormatting>
  <conditionalFormatting sqref="B27:L27">
    <cfRule type="expression" dxfId="1150" priority="15">
      <formula>B$9&gt;=20/24</formula>
    </cfRule>
    <cfRule type="expression" dxfId="1149" priority="16">
      <formula>AND(B$9&gt;=14/24,B$9&lt;20/24)</formula>
    </cfRule>
    <cfRule type="expression" dxfId="1148" priority="17">
      <formula>AND(B$9&gt;=8/24,B$9&lt;14/24)</formula>
    </cfRule>
    <cfRule type="expression" dxfId="1147" priority="18">
      <formula>B$9&lt;8/24</formula>
    </cfRule>
  </conditionalFormatting>
  <conditionalFormatting sqref="B17:L17 B23:L23">
    <cfRule type="expression" dxfId="1146" priority="11">
      <formula>B$9&gt;=20/24</formula>
    </cfRule>
    <cfRule type="expression" dxfId="1145" priority="12">
      <formula>AND(B$9&gt;=14/24,B$9&lt;20/24)</formula>
    </cfRule>
    <cfRule type="expression" dxfId="1144" priority="13">
      <formula>AND(B$9&gt;=8/24,B$9&lt;14/24)</formula>
    </cfRule>
    <cfRule type="expression" dxfId="1143" priority="14">
      <formula>B$9&lt;8/24</formula>
    </cfRule>
  </conditionalFormatting>
  <conditionalFormatting sqref="B17:L17 B23:L23">
    <cfRule type="expression" dxfId="1142" priority="10">
      <formula>B17&gt;$AG17</formula>
    </cfRule>
  </conditionalFormatting>
  <conditionalFormatting sqref="A33">
    <cfRule type="expression" dxfId="1141" priority="9">
      <formula>$AH33=0</formula>
    </cfRule>
  </conditionalFormatting>
  <conditionalFormatting sqref="B68:AF68">
    <cfRule type="expression" dxfId="1140" priority="5">
      <formula>B$9&gt;=20/24</formula>
    </cfRule>
    <cfRule type="expression" dxfId="1139" priority="6">
      <formula>AND(B$9&gt;=14/24,B$9&lt;20/24)</formula>
    </cfRule>
    <cfRule type="expression" dxfId="1138" priority="7">
      <formula>AND(B$9&gt;=8/24,B$9&lt;14/24)</formula>
    </cfRule>
    <cfRule type="expression" dxfId="1137" priority="8">
      <formula>B$9&lt;8/24</formula>
    </cfRule>
  </conditionalFormatting>
  <conditionalFormatting sqref="B76:AF80">
    <cfRule type="expression" dxfId="1136" priority="1">
      <formula>B$9&gt;=20/24</formula>
    </cfRule>
    <cfRule type="expression" dxfId="1135" priority="2">
      <formula>AND(B$9&gt;=14/24,B$9&lt;20/24)</formula>
    </cfRule>
    <cfRule type="expression" dxfId="1134" priority="3">
      <formula>AND(B$9&gt;=8/24,B$9&lt;14/24)</formula>
    </cfRule>
    <cfRule type="expression" dxfId="1133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98" sqref="A98:XFD9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2079/02/28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48.2</v>
      </c>
      <c r="C5" s="32">
        <f t="shared" si="0"/>
        <v>44.7</v>
      </c>
      <c r="D5" s="32">
        <f t="shared" si="0"/>
        <v>42.6</v>
      </c>
      <c r="E5" s="32">
        <f t="shared" si="0"/>
        <v>41.1</v>
      </c>
      <c r="F5" s="32">
        <f t="shared" si="0"/>
        <v>34.200000000000003</v>
      </c>
      <c r="G5" s="32">
        <f t="shared" si="0"/>
        <v>32</v>
      </c>
      <c r="H5" s="32">
        <f t="shared" si="0"/>
        <v>24</v>
      </c>
      <c r="I5" s="32">
        <f t="shared" si="0"/>
        <v>40.200000000000003</v>
      </c>
      <c r="J5" s="32">
        <f t="shared" si="0"/>
        <v>39.299999999999997</v>
      </c>
      <c r="K5" s="32">
        <f t="shared" si="0"/>
        <v>33.299999999999997</v>
      </c>
      <c r="L5" s="32">
        <f t="shared" si="0"/>
        <v>33.4</v>
      </c>
      <c r="M5" s="32">
        <f t="shared" si="0"/>
        <v>35.1</v>
      </c>
      <c r="N5" s="32">
        <f t="shared" si="0"/>
        <v>51.1</v>
      </c>
      <c r="O5" s="32">
        <f t="shared" si="0"/>
        <v>59.7</v>
      </c>
      <c r="P5" s="32">
        <f t="shared" si="0"/>
        <v>63.3</v>
      </c>
      <c r="Q5" s="32">
        <f t="shared" si="0"/>
        <v>69.900000000000006</v>
      </c>
      <c r="R5" s="32">
        <f t="shared" si="0"/>
        <v>52</v>
      </c>
      <c r="S5" s="32">
        <f t="shared" si="0"/>
        <v>65</v>
      </c>
      <c r="T5" s="32">
        <f t="shared" si="0"/>
        <v>58.8</v>
      </c>
      <c r="U5" s="32">
        <f t="shared" si="0"/>
        <v>66.599999999999994</v>
      </c>
      <c r="V5" s="32">
        <f t="shared" si="0"/>
        <v>68</v>
      </c>
      <c r="W5" s="32">
        <f t="shared" si="0"/>
        <v>64</v>
      </c>
      <c r="X5" s="32">
        <f t="shared" si="0"/>
        <v>44</v>
      </c>
      <c r="Y5" s="32">
        <f t="shared" si="0"/>
        <v>50</v>
      </c>
      <c r="Z5" s="32">
        <f t="shared" si="0"/>
        <v>57</v>
      </c>
      <c r="AA5" s="32">
        <f t="shared" si="0"/>
        <v>73.2</v>
      </c>
      <c r="AB5" s="32">
        <f t="shared" si="0"/>
        <v>75.7</v>
      </c>
      <c r="AC5" s="32">
        <f t="shared" si="0"/>
        <v>75.900000000000006</v>
      </c>
      <c r="AD5" s="32">
        <f t="shared" si="0"/>
        <v>75.2</v>
      </c>
      <c r="AE5" s="32">
        <f t="shared" si="0"/>
        <v>67.3</v>
      </c>
      <c r="AF5" s="32">
        <f>B68</f>
        <v>80.599999999999994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1758MW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Load=1686</v>
      </c>
      <c r="B7" s="37">
        <f>B75</f>
        <v>1799.24</v>
      </c>
      <c r="C7" s="37">
        <f t="shared" ref="C7:AF7" si="1">C75</f>
        <v>1765.0400000000002</v>
      </c>
      <c r="D7" s="37">
        <f t="shared" si="1"/>
        <v>1757.3400000000001</v>
      </c>
      <c r="E7" s="37">
        <f t="shared" si="1"/>
        <v>1729.44</v>
      </c>
      <c r="F7" s="37">
        <f t="shared" si="1"/>
        <v>1710.84</v>
      </c>
      <c r="G7" s="37">
        <f t="shared" si="1"/>
        <v>1725.8400000000001</v>
      </c>
      <c r="H7" s="37">
        <f t="shared" si="1"/>
        <v>1723.64</v>
      </c>
      <c r="I7" s="37">
        <f t="shared" si="1"/>
        <v>1734.14</v>
      </c>
      <c r="J7" s="37">
        <f t="shared" si="1"/>
        <v>1746.3400000000001</v>
      </c>
      <c r="K7" s="37">
        <f t="shared" si="1"/>
        <v>1744.4399999999998</v>
      </c>
      <c r="L7" s="37">
        <f t="shared" si="1"/>
        <v>1738.6399999999999</v>
      </c>
      <c r="M7" s="37">
        <f t="shared" si="1"/>
        <v>1755.54</v>
      </c>
      <c r="N7" s="37">
        <f t="shared" si="1"/>
        <v>1757.54</v>
      </c>
      <c r="O7" s="37">
        <f t="shared" si="1"/>
        <v>1740.54</v>
      </c>
      <c r="P7" s="37">
        <f t="shared" si="1"/>
        <v>1732.14</v>
      </c>
      <c r="Q7" s="37">
        <f t="shared" si="1"/>
        <v>1770.74</v>
      </c>
      <c r="R7" s="37">
        <f t="shared" si="1"/>
        <v>1775.3400000000001</v>
      </c>
      <c r="S7" s="37">
        <f t="shared" si="1"/>
        <v>1757.44</v>
      </c>
      <c r="T7" s="37">
        <f t="shared" si="1"/>
        <v>1770.44</v>
      </c>
      <c r="U7" s="37">
        <f t="shared" si="1"/>
        <v>1691.54</v>
      </c>
      <c r="V7" s="37">
        <f t="shared" si="1"/>
        <v>1686.24</v>
      </c>
      <c r="W7" s="37">
        <f t="shared" si="1"/>
        <v>1687.64</v>
      </c>
      <c r="X7" s="37">
        <f t="shared" si="1"/>
        <v>1759.64</v>
      </c>
      <c r="Y7" s="37">
        <f t="shared" si="1"/>
        <v>1736.64</v>
      </c>
      <c r="Z7" s="37">
        <f t="shared" si="1"/>
        <v>1744.64</v>
      </c>
      <c r="AA7" s="37">
        <f t="shared" si="1"/>
        <v>1751.64</v>
      </c>
      <c r="AB7" s="37">
        <f t="shared" si="1"/>
        <v>1797.0400000000002</v>
      </c>
      <c r="AC7" s="37">
        <f t="shared" si="1"/>
        <v>1799.5400000000002</v>
      </c>
      <c r="AD7" s="37">
        <f t="shared" si="1"/>
        <v>1765.5400000000002</v>
      </c>
      <c r="AE7" s="37">
        <f t="shared" si="1"/>
        <v>1781.0400000000002</v>
      </c>
      <c r="AF7" s="37">
        <f t="shared" si="1"/>
        <v>1766.5400000000002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49">
        <v>456</v>
      </c>
      <c r="G11" s="49">
        <v>456</v>
      </c>
      <c r="H11" s="49">
        <v>456</v>
      </c>
      <c r="I11" s="49">
        <v>456</v>
      </c>
      <c r="J11" s="49">
        <v>456</v>
      </c>
      <c r="K11" s="49">
        <v>456</v>
      </c>
      <c r="L11" s="49">
        <v>456</v>
      </c>
      <c r="M11" s="49">
        <v>456</v>
      </c>
      <c r="N11" s="49">
        <v>456</v>
      </c>
      <c r="O11" s="49">
        <v>456</v>
      </c>
      <c r="P11" s="49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380</v>
      </c>
      <c r="V11" s="53">
        <v>380</v>
      </c>
      <c r="W11" s="53">
        <v>380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380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53.8</v>
      </c>
      <c r="C13" s="51">
        <v>53.8</v>
      </c>
      <c r="D13" s="51">
        <v>53.8</v>
      </c>
      <c r="E13" s="51">
        <v>53.8</v>
      </c>
      <c r="F13" s="51">
        <v>53.8</v>
      </c>
      <c r="G13" s="51">
        <v>53.8</v>
      </c>
      <c r="H13" s="51">
        <v>53.8</v>
      </c>
      <c r="I13" s="51">
        <v>53.8</v>
      </c>
      <c r="J13" s="51">
        <v>53.8</v>
      </c>
      <c r="K13" s="51">
        <v>53.9</v>
      </c>
      <c r="L13" s="51">
        <v>53.9</v>
      </c>
      <c r="M13" s="51">
        <v>53.9</v>
      </c>
      <c r="N13" s="51">
        <v>53.9</v>
      </c>
      <c r="O13" s="51">
        <v>53.9</v>
      </c>
      <c r="P13" s="51">
        <v>53.9</v>
      </c>
      <c r="Q13" s="51">
        <v>53.9</v>
      </c>
      <c r="R13" s="51">
        <v>53.9</v>
      </c>
      <c r="S13" s="51">
        <v>53.9</v>
      </c>
      <c r="T13" s="51">
        <v>53.9</v>
      </c>
      <c r="U13" s="51">
        <v>53.9</v>
      </c>
      <c r="V13" s="51">
        <v>53.7</v>
      </c>
      <c r="W13" s="51">
        <v>53.7</v>
      </c>
      <c r="X13" s="51">
        <v>53.7</v>
      </c>
      <c r="Y13" s="51">
        <v>53.7</v>
      </c>
      <c r="Z13" s="51">
        <v>53.7</v>
      </c>
      <c r="AA13" s="51">
        <v>53.7</v>
      </c>
      <c r="AB13" s="51">
        <v>53.7</v>
      </c>
      <c r="AC13" s="51">
        <v>53.7</v>
      </c>
      <c r="AD13" s="51">
        <v>53.7</v>
      </c>
      <c r="AE13" s="51">
        <v>53.7</v>
      </c>
      <c r="AF13" s="51">
        <v>53.7</v>
      </c>
      <c r="AG13" s="59">
        <v>52.4</v>
      </c>
      <c r="AH13" s="55">
        <f t="shared" si="2"/>
        <v>53.9</v>
      </c>
      <c r="AI13" s="56">
        <f t="shared" si="3"/>
        <v>53.7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50.5</v>
      </c>
      <c r="O14" s="51">
        <v>50.5</v>
      </c>
      <c r="P14" s="51">
        <v>50.5</v>
      </c>
      <c r="Q14" s="51">
        <v>50.5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9">
        <v>50</v>
      </c>
      <c r="AH14" s="55">
        <f t="shared" si="2"/>
        <v>50.5</v>
      </c>
      <c r="AI14" s="56">
        <f t="shared" si="3"/>
        <v>50.5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45.8</v>
      </c>
      <c r="C15" s="51">
        <v>45.8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45.8</v>
      </c>
      <c r="P15" s="51">
        <v>45.8</v>
      </c>
      <c r="Q15" s="51">
        <v>45.8</v>
      </c>
      <c r="R15" s="51">
        <v>45.8</v>
      </c>
      <c r="S15" s="51">
        <v>45.8</v>
      </c>
      <c r="T15" s="51">
        <v>45.8</v>
      </c>
      <c r="U15" s="51">
        <v>45.8</v>
      </c>
      <c r="V15" s="51">
        <v>45.8</v>
      </c>
      <c r="W15" s="51">
        <v>45.8</v>
      </c>
      <c r="X15" s="51">
        <v>45.8</v>
      </c>
      <c r="Y15" s="51">
        <v>45.8</v>
      </c>
      <c r="Z15" s="51">
        <v>45.8</v>
      </c>
      <c r="AA15" s="51">
        <v>45.8</v>
      </c>
      <c r="AB15" s="51">
        <v>45.8</v>
      </c>
      <c r="AC15" s="51">
        <v>45.8</v>
      </c>
      <c r="AD15" s="51">
        <v>45.8</v>
      </c>
      <c r="AE15" s="51">
        <v>45.8</v>
      </c>
      <c r="AF15" s="51">
        <v>45.8</v>
      </c>
      <c r="AG15" s="60">
        <v>45</v>
      </c>
      <c r="AH15" s="55">
        <f t="shared" si="2"/>
        <v>45.8</v>
      </c>
      <c r="AI15" s="56">
        <f t="shared" si="3"/>
        <v>45.8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30</v>
      </c>
      <c r="C16" s="51">
        <v>30</v>
      </c>
      <c r="D16" s="51">
        <v>30</v>
      </c>
      <c r="E16" s="51">
        <v>30</v>
      </c>
      <c r="F16" s="51">
        <v>30</v>
      </c>
      <c r="G16" s="51">
        <v>30</v>
      </c>
      <c r="H16" s="51">
        <v>30</v>
      </c>
      <c r="I16" s="51">
        <v>30</v>
      </c>
      <c r="J16" s="51">
        <v>30</v>
      </c>
      <c r="K16" s="51">
        <v>30</v>
      </c>
      <c r="L16" s="51">
        <v>30</v>
      </c>
      <c r="M16" s="51">
        <v>30</v>
      </c>
      <c r="N16" s="51">
        <v>30</v>
      </c>
      <c r="O16" s="51">
        <v>41</v>
      </c>
      <c r="P16" s="51">
        <v>41</v>
      </c>
      <c r="Q16" s="51">
        <v>41</v>
      </c>
      <c r="R16" s="51">
        <v>41</v>
      </c>
      <c r="S16" s="51">
        <v>41</v>
      </c>
      <c r="T16" s="51">
        <v>41</v>
      </c>
      <c r="U16" s="51">
        <v>41</v>
      </c>
      <c r="V16" s="51">
        <v>41</v>
      </c>
      <c r="W16" s="51">
        <v>41</v>
      </c>
      <c r="X16" s="51">
        <v>41</v>
      </c>
      <c r="Y16" s="51">
        <v>38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41</v>
      </c>
      <c r="AI16" s="56">
        <f t="shared" si="3"/>
        <v>30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0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26.2</v>
      </c>
      <c r="D19" s="51">
        <v>26.2</v>
      </c>
      <c r="E19" s="51">
        <v>26.2</v>
      </c>
      <c r="F19" s="51">
        <v>26.2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26.2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23.6</v>
      </c>
      <c r="C20" s="51">
        <v>23.6</v>
      </c>
      <c r="D20" s="51">
        <v>23.6</v>
      </c>
      <c r="E20" s="51">
        <v>23.6</v>
      </c>
      <c r="F20" s="51">
        <v>23.6</v>
      </c>
      <c r="G20" s="51">
        <v>23.6</v>
      </c>
      <c r="H20" s="51">
        <v>23.6</v>
      </c>
      <c r="I20" s="51">
        <v>23.6</v>
      </c>
      <c r="J20" s="51">
        <v>23.6</v>
      </c>
      <c r="K20" s="51">
        <v>23.6</v>
      </c>
      <c r="L20" s="51">
        <v>23.6</v>
      </c>
      <c r="M20" s="51">
        <v>23.6</v>
      </c>
      <c r="N20" s="51">
        <v>23.6</v>
      </c>
      <c r="O20" s="51">
        <v>23.6</v>
      </c>
      <c r="P20" s="51">
        <v>23.6</v>
      </c>
      <c r="Q20" s="51">
        <v>23.6</v>
      </c>
      <c r="R20" s="51">
        <v>23.6</v>
      </c>
      <c r="S20" s="51">
        <v>23.6</v>
      </c>
      <c r="T20" s="51">
        <v>23.6</v>
      </c>
      <c r="U20" s="51">
        <v>23.6</v>
      </c>
      <c r="V20" s="51">
        <v>23.6</v>
      </c>
      <c r="W20" s="51">
        <v>23.6</v>
      </c>
      <c r="X20" s="51">
        <v>23.6</v>
      </c>
      <c r="Y20" s="51">
        <v>23.6</v>
      </c>
      <c r="Z20" s="51">
        <v>23.6</v>
      </c>
      <c r="AA20" s="51">
        <v>23.6</v>
      </c>
      <c r="AB20" s="51">
        <v>23.6</v>
      </c>
      <c r="AC20" s="51">
        <v>23.6</v>
      </c>
      <c r="AD20" s="51">
        <v>23.6</v>
      </c>
      <c r="AE20" s="51">
        <v>23.6</v>
      </c>
      <c r="AF20" s="51">
        <v>23.6</v>
      </c>
      <c r="AG20" s="59">
        <v>27</v>
      </c>
      <c r="AH20" s="55">
        <f t="shared" si="2"/>
        <v>23.6</v>
      </c>
      <c r="AI20" s="56">
        <f t="shared" si="3"/>
        <v>23.6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11</v>
      </c>
      <c r="P21" s="51">
        <v>11</v>
      </c>
      <c r="Q21" s="51">
        <v>11</v>
      </c>
      <c r="R21" s="51">
        <v>11</v>
      </c>
      <c r="S21" s="51">
        <v>11</v>
      </c>
      <c r="T21" s="51">
        <v>11</v>
      </c>
      <c r="U21" s="51">
        <v>11</v>
      </c>
      <c r="V21" s="51">
        <v>11</v>
      </c>
      <c r="W21" s="51">
        <v>11</v>
      </c>
      <c r="X21" s="51">
        <v>11</v>
      </c>
      <c r="Y21" s="51">
        <v>11</v>
      </c>
      <c r="Z21" s="51">
        <v>11</v>
      </c>
      <c r="AA21" s="51">
        <v>11</v>
      </c>
      <c r="AB21" s="51">
        <v>11</v>
      </c>
      <c r="AC21" s="51">
        <v>11</v>
      </c>
      <c r="AD21" s="51">
        <v>11</v>
      </c>
      <c r="AE21" s="51">
        <v>11</v>
      </c>
      <c r="AF21" s="51">
        <v>11</v>
      </c>
      <c r="AG21" s="59">
        <v>25</v>
      </c>
      <c r="AH21" s="55">
        <f t="shared" si="2"/>
        <v>11</v>
      </c>
      <c r="AI21" s="56">
        <f t="shared" si="3"/>
        <v>11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22</v>
      </c>
      <c r="AC22" s="51">
        <v>22</v>
      </c>
      <c r="AD22" s="51">
        <v>0</v>
      </c>
      <c r="AE22" s="51">
        <v>20</v>
      </c>
      <c r="AF22" s="51">
        <v>11</v>
      </c>
      <c r="AG22" s="59">
        <v>25</v>
      </c>
      <c r="AH22" s="55">
        <f t="shared" si="2"/>
        <v>22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4</v>
      </c>
      <c r="F26" s="51">
        <v>4</v>
      </c>
      <c r="G26" s="51">
        <v>4</v>
      </c>
      <c r="H26" s="51">
        <v>4</v>
      </c>
      <c r="I26" s="51">
        <v>4</v>
      </c>
      <c r="J26" s="51">
        <v>4</v>
      </c>
      <c r="K26" s="51">
        <v>4</v>
      </c>
      <c r="L26" s="51">
        <v>4</v>
      </c>
      <c r="M26" s="51">
        <v>10</v>
      </c>
      <c r="N26" s="51">
        <v>10</v>
      </c>
      <c r="O26" s="51">
        <v>0</v>
      </c>
      <c r="P26" s="51">
        <v>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12</v>
      </c>
      <c r="C28" s="51">
        <v>12</v>
      </c>
      <c r="D28" s="51">
        <v>12</v>
      </c>
      <c r="E28" s="51">
        <v>12</v>
      </c>
      <c r="F28" s="51">
        <v>12</v>
      </c>
      <c r="G28" s="51">
        <v>12</v>
      </c>
      <c r="H28" s="51">
        <v>12</v>
      </c>
      <c r="I28" s="51">
        <v>12</v>
      </c>
      <c r="J28" s="51">
        <v>12</v>
      </c>
      <c r="K28" s="51">
        <v>12</v>
      </c>
      <c r="L28" s="51">
        <v>12</v>
      </c>
      <c r="M28" s="51">
        <v>12</v>
      </c>
      <c r="N28" s="51">
        <v>12</v>
      </c>
      <c r="O28" s="51">
        <v>0</v>
      </c>
      <c r="P28" s="51">
        <v>8</v>
      </c>
      <c r="Q28" s="51">
        <v>8</v>
      </c>
      <c r="R28" s="51">
        <v>8</v>
      </c>
      <c r="S28" s="51">
        <v>8</v>
      </c>
      <c r="T28" s="51">
        <v>8</v>
      </c>
      <c r="U28" s="51">
        <v>8</v>
      </c>
      <c r="V28" s="51">
        <v>8</v>
      </c>
      <c r="W28" s="51">
        <v>8</v>
      </c>
      <c r="X28" s="51">
        <v>8</v>
      </c>
      <c r="Y28" s="51">
        <v>8</v>
      </c>
      <c r="Z28" s="51">
        <v>8</v>
      </c>
      <c r="AA28" s="51">
        <v>8</v>
      </c>
      <c r="AB28" s="51">
        <v>8</v>
      </c>
      <c r="AC28" s="51">
        <v>8</v>
      </c>
      <c r="AD28" s="51">
        <v>8</v>
      </c>
      <c r="AE28" s="51">
        <v>8</v>
      </c>
      <c r="AF28" s="51">
        <v>8</v>
      </c>
      <c r="AG28" s="59">
        <v>22.2</v>
      </c>
      <c r="AH28" s="55">
        <f t="shared" si="2"/>
        <v>12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12</v>
      </c>
      <c r="C29" s="51">
        <v>12</v>
      </c>
      <c r="D29" s="51">
        <v>12</v>
      </c>
      <c r="E29" s="51">
        <v>12</v>
      </c>
      <c r="F29" s="51">
        <v>12</v>
      </c>
      <c r="G29" s="51">
        <v>12</v>
      </c>
      <c r="H29" s="51">
        <v>12</v>
      </c>
      <c r="I29" s="51">
        <v>12</v>
      </c>
      <c r="J29" s="51">
        <v>12</v>
      </c>
      <c r="K29" s="51">
        <v>12</v>
      </c>
      <c r="L29" s="51">
        <v>12</v>
      </c>
      <c r="M29" s="51">
        <v>12</v>
      </c>
      <c r="N29" s="51">
        <v>12</v>
      </c>
      <c r="O29" s="51">
        <v>12</v>
      </c>
      <c r="P29" s="51">
        <v>12</v>
      </c>
      <c r="Q29" s="51">
        <v>12</v>
      </c>
      <c r="R29" s="51">
        <v>12</v>
      </c>
      <c r="S29" s="51">
        <v>12</v>
      </c>
      <c r="T29" s="51">
        <v>12</v>
      </c>
      <c r="U29" s="51">
        <v>12</v>
      </c>
      <c r="V29" s="51">
        <v>12</v>
      </c>
      <c r="W29" s="51">
        <v>12</v>
      </c>
      <c r="X29" s="51">
        <v>12</v>
      </c>
      <c r="Y29" s="51">
        <v>12</v>
      </c>
      <c r="Z29" s="51">
        <v>12</v>
      </c>
      <c r="AA29" s="51">
        <v>12</v>
      </c>
      <c r="AB29" s="51">
        <v>12</v>
      </c>
      <c r="AC29" s="51">
        <v>12</v>
      </c>
      <c r="AD29" s="51">
        <v>12</v>
      </c>
      <c r="AE29" s="51">
        <v>12</v>
      </c>
      <c r="AF29" s="51">
        <v>12</v>
      </c>
      <c r="AG29" s="59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8</v>
      </c>
      <c r="K30" s="51">
        <v>8</v>
      </c>
      <c r="L30" s="51">
        <v>8</v>
      </c>
      <c r="M30" s="51">
        <v>8</v>
      </c>
      <c r="N30" s="51">
        <v>8</v>
      </c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51">
        <v>8</v>
      </c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8</v>
      </c>
      <c r="AB30" s="51">
        <v>8</v>
      </c>
      <c r="AC30" s="51">
        <v>8</v>
      </c>
      <c r="AD30" s="51">
        <v>8</v>
      </c>
      <c r="AE30" s="51">
        <v>8</v>
      </c>
      <c r="AF30" s="51">
        <v>8</v>
      </c>
      <c r="AG30" s="59">
        <v>22.1</v>
      </c>
      <c r="AH30" s="55">
        <f t="shared" si="2"/>
        <v>12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11</v>
      </c>
      <c r="U32" s="51">
        <v>11</v>
      </c>
      <c r="V32" s="51">
        <v>11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11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9</v>
      </c>
      <c r="AE34" s="51">
        <v>9</v>
      </c>
      <c r="AF34" s="51">
        <v>9</v>
      </c>
      <c r="AG34" s="64">
        <v>20</v>
      </c>
      <c r="AH34" s="55">
        <f t="shared" si="2"/>
        <v>9</v>
      </c>
      <c r="AI34" s="56">
        <f t="shared" si="3"/>
        <v>9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160</v>
      </c>
      <c r="C37" s="68">
        <v>165</v>
      </c>
      <c r="D37" s="68">
        <v>165</v>
      </c>
      <c r="E37" s="68">
        <v>165</v>
      </c>
      <c r="F37" s="68">
        <f>66+97.1</f>
        <v>163.1</v>
      </c>
      <c r="G37" s="68">
        <f>67.4+97.3</f>
        <v>164.7</v>
      </c>
      <c r="H37" s="68">
        <f t="shared" ref="H37:I37" si="4">67.4+97.3</f>
        <v>164.7</v>
      </c>
      <c r="I37" s="68">
        <f t="shared" si="4"/>
        <v>164.7</v>
      </c>
      <c r="J37" s="68">
        <f>66.9+95.8</f>
        <v>162.69999999999999</v>
      </c>
      <c r="K37" s="68">
        <f>66.5+95.7</f>
        <v>162.19999999999999</v>
      </c>
      <c r="L37" s="68">
        <f>66.1+95.6</f>
        <v>161.69999999999999</v>
      </c>
      <c r="M37" s="66">
        <f>65.7+96.5</f>
        <v>162.19999999999999</v>
      </c>
      <c r="N37" s="66">
        <f>65.5+97.8</f>
        <v>163.30000000000001</v>
      </c>
      <c r="O37" s="66">
        <f>65.8+95.5</f>
        <v>161.30000000000001</v>
      </c>
      <c r="P37" s="66">
        <f>47.6+98.6</f>
        <v>146.19999999999999</v>
      </c>
      <c r="Q37" s="66">
        <f>65.2+97.4</f>
        <v>162.60000000000002</v>
      </c>
      <c r="R37" s="66">
        <f>64+98.9</f>
        <v>162.9</v>
      </c>
      <c r="S37" s="66">
        <f>64+98.9</f>
        <v>162.9</v>
      </c>
      <c r="T37" s="66">
        <f>64+98.9</f>
        <v>162.9</v>
      </c>
      <c r="U37" s="68">
        <f>63.6+77.3</f>
        <v>140.9</v>
      </c>
      <c r="V37" s="68">
        <v>146.69999999999999</v>
      </c>
      <c r="W37" s="68">
        <v>146.69999999999999</v>
      </c>
      <c r="X37" s="68">
        <v>146.69999999999999</v>
      </c>
      <c r="Y37" s="68">
        <v>146.69999999999999</v>
      </c>
      <c r="Z37" s="68">
        <v>146.69999999999999</v>
      </c>
      <c r="AA37" s="68">
        <v>146.69999999999999</v>
      </c>
      <c r="AB37" s="68">
        <f>93.2+65.3</f>
        <v>158.5</v>
      </c>
      <c r="AC37" s="68">
        <f>90.9+68.7</f>
        <v>159.60000000000002</v>
      </c>
      <c r="AD37" s="68">
        <f>80.9+68.4</f>
        <v>149.30000000000001</v>
      </c>
      <c r="AE37" s="68">
        <f>94.7+65.7</f>
        <v>160.4</v>
      </c>
      <c r="AF37" s="68">
        <f>94.7+65.7</f>
        <v>160.4</v>
      </c>
      <c r="AG37" s="64">
        <v>240</v>
      </c>
      <c r="AH37" s="55">
        <f t="shared" si="2"/>
        <v>165</v>
      </c>
      <c r="AI37" s="56">
        <f t="shared" si="3"/>
        <v>140.9</v>
      </c>
      <c r="AK37" s="57"/>
    </row>
    <row r="38" spans="1:88" ht="15.75" thickBot="1" x14ac:dyDescent="0.3">
      <c r="A38" s="69" t="s">
        <v>46</v>
      </c>
      <c r="B38" s="70">
        <v>1288.4000000000001</v>
      </c>
      <c r="C38" s="70">
        <f t="shared" ref="C38:L38" si="5">SUM(C11:C36)</f>
        <v>1286.4000000000001</v>
      </c>
      <c r="D38" s="70">
        <f t="shared" si="5"/>
        <v>1286.4000000000001</v>
      </c>
      <c r="E38" s="70">
        <f t="shared" si="5"/>
        <v>1280.4000000000001</v>
      </c>
      <c r="F38" s="70">
        <f t="shared" si="5"/>
        <v>1280.4000000000001</v>
      </c>
      <c r="G38" s="70">
        <f t="shared" si="5"/>
        <v>1280.4000000000001</v>
      </c>
      <c r="H38" s="70">
        <f t="shared" si="5"/>
        <v>1280.4000000000001</v>
      </c>
      <c r="I38" s="70">
        <f t="shared" si="5"/>
        <v>1280.4000000000001</v>
      </c>
      <c r="J38" s="70">
        <f t="shared" si="5"/>
        <v>1276.4000000000001</v>
      </c>
      <c r="K38" s="70">
        <f t="shared" si="5"/>
        <v>1276.5</v>
      </c>
      <c r="L38" s="70">
        <f t="shared" si="5"/>
        <v>1276.5</v>
      </c>
      <c r="M38" s="70">
        <f t="shared" ref="M38:S38" si="6">SUM(M11:M36)</f>
        <v>1286.5</v>
      </c>
      <c r="N38" s="70">
        <f t="shared" si="6"/>
        <v>1286.5</v>
      </c>
      <c r="O38" s="70">
        <f t="shared" si="6"/>
        <v>1253.5</v>
      </c>
      <c r="P38" s="70">
        <f t="shared" si="6"/>
        <v>1236.5</v>
      </c>
      <c r="Q38" s="70">
        <f t="shared" si="6"/>
        <v>1271.5</v>
      </c>
      <c r="R38" s="70">
        <f t="shared" si="6"/>
        <v>1271.5</v>
      </c>
      <c r="S38" s="70">
        <f t="shared" si="6"/>
        <v>1271.5</v>
      </c>
      <c r="T38" s="70">
        <f t="shared" ref="T38:AF38" si="7">SUM(T11:T36)</f>
        <v>1271.5</v>
      </c>
      <c r="U38" s="70">
        <f t="shared" si="7"/>
        <v>1195.5</v>
      </c>
      <c r="V38" s="70">
        <f t="shared" si="7"/>
        <v>1195.3000000000002</v>
      </c>
      <c r="W38" s="70">
        <f t="shared" si="7"/>
        <v>1195.3000000000002</v>
      </c>
      <c r="X38" s="70">
        <f t="shared" si="7"/>
        <v>1271.3000000000002</v>
      </c>
      <c r="Y38" s="70">
        <f t="shared" si="7"/>
        <v>1268.3000000000002</v>
      </c>
      <c r="Z38" s="70">
        <f t="shared" si="7"/>
        <v>1270.3000000000002</v>
      </c>
      <c r="AA38" s="70">
        <f t="shared" si="7"/>
        <v>1270.3000000000002</v>
      </c>
      <c r="AB38" s="70">
        <f t="shared" si="7"/>
        <v>1292.3000000000002</v>
      </c>
      <c r="AC38" s="70">
        <f t="shared" si="7"/>
        <v>1292.3000000000002</v>
      </c>
      <c r="AD38" s="70">
        <f t="shared" si="7"/>
        <v>1270.3000000000002</v>
      </c>
      <c r="AE38" s="70">
        <f t="shared" si="7"/>
        <v>1290.3000000000002</v>
      </c>
      <c r="AF38" s="70">
        <f t="shared" si="7"/>
        <v>1281.3000000000002</v>
      </c>
      <c r="AG38" s="64">
        <f>SUM(AG11:AG37)</f>
        <v>1492.8299999999997</v>
      </c>
      <c r="AH38" s="55">
        <f t="shared" si="2"/>
        <v>1292.3000000000002</v>
      </c>
      <c r="AI38" s="56">
        <f t="shared" si="3"/>
        <v>1195.3000000000002</v>
      </c>
      <c r="AK38" s="57"/>
    </row>
    <row r="39" spans="1:88" x14ac:dyDescent="0.25">
      <c r="A39" s="58" t="s">
        <v>47</v>
      </c>
      <c r="B39" s="51">
        <v>143.4</v>
      </c>
      <c r="C39" s="51">
        <v>143.4</v>
      </c>
      <c r="D39" s="51">
        <v>143.4</v>
      </c>
      <c r="E39" s="51">
        <v>143</v>
      </c>
      <c r="F39" s="51">
        <v>143</v>
      </c>
      <c r="G39" s="51">
        <v>143</v>
      </c>
      <c r="H39" s="51">
        <v>143</v>
      </c>
      <c r="I39" s="51">
        <v>143</v>
      </c>
      <c r="J39" s="51">
        <v>143</v>
      </c>
      <c r="K39" s="51">
        <v>142.80000000000001</v>
      </c>
      <c r="L39" s="51">
        <v>143</v>
      </c>
      <c r="M39" s="51">
        <v>143.1</v>
      </c>
      <c r="N39" s="51">
        <v>143.1</v>
      </c>
      <c r="O39" s="51">
        <v>143.1</v>
      </c>
      <c r="P39" s="51">
        <v>143.1</v>
      </c>
      <c r="Q39" s="51">
        <v>143.1</v>
      </c>
      <c r="R39" s="51">
        <v>141.9</v>
      </c>
      <c r="S39" s="51">
        <v>141.9</v>
      </c>
      <c r="T39" s="51">
        <v>141.9</v>
      </c>
      <c r="U39" s="51">
        <v>143</v>
      </c>
      <c r="V39" s="51">
        <v>143</v>
      </c>
      <c r="W39" s="51">
        <v>143</v>
      </c>
      <c r="X39" s="51">
        <v>143</v>
      </c>
      <c r="Y39" s="51">
        <v>143</v>
      </c>
      <c r="Z39" s="51">
        <v>143</v>
      </c>
      <c r="AA39" s="51">
        <v>143</v>
      </c>
      <c r="AB39" s="51">
        <v>143.4</v>
      </c>
      <c r="AC39" s="51">
        <v>143</v>
      </c>
      <c r="AD39" s="51">
        <v>142.69999999999999</v>
      </c>
      <c r="AE39" s="51">
        <v>143</v>
      </c>
      <c r="AF39" s="51">
        <v>143.4</v>
      </c>
      <c r="AG39" s="60">
        <v>144</v>
      </c>
      <c r="AH39" s="55">
        <f t="shared" si="2"/>
        <v>143.4</v>
      </c>
      <c r="AI39" s="56">
        <f t="shared" si="3"/>
        <v>141.9</v>
      </c>
      <c r="AK39" s="57"/>
    </row>
    <row r="40" spans="1:88" x14ac:dyDescent="0.25">
      <c r="A40" s="63" t="s">
        <v>48</v>
      </c>
      <c r="B40" s="49">
        <v>72.2</v>
      </c>
      <c r="C40" s="49">
        <v>72.2</v>
      </c>
      <c r="D40" s="49">
        <v>68</v>
      </c>
      <c r="E40" s="49">
        <v>60</v>
      </c>
      <c r="F40" s="49">
        <v>60</v>
      </c>
      <c r="G40" s="49">
        <v>72.099999999999994</v>
      </c>
      <c r="H40" s="49">
        <v>72.099999999999994</v>
      </c>
      <c r="I40" s="49">
        <v>72.099999999999994</v>
      </c>
      <c r="J40" s="49">
        <v>72.099999999999994</v>
      </c>
      <c r="K40" s="49">
        <v>71.7</v>
      </c>
      <c r="L40" s="49">
        <v>71.7</v>
      </c>
      <c r="M40" s="51">
        <v>69.900000000000006</v>
      </c>
      <c r="N40" s="51">
        <v>70.2</v>
      </c>
      <c r="O40" s="51">
        <v>70.2</v>
      </c>
      <c r="P40" s="51">
        <v>70.2</v>
      </c>
      <c r="Q40" s="51">
        <v>70.2</v>
      </c>
      <c r="R40" s="51">
        <v>69.400000000000006</v>
      </c>
      <c r="S40" s="51">
        <v>69.400000000000006</v>
      </c>
      <c r="T40" s="51">
        <v>69.400000000000006</v>
      </c>
      <c r="U40" s="51">
        <v>71</v>
      </c>
      <c r="V40" s="49">
        <v>70.7</v>
      </c>
      <c r="W40" s="49">
        <v>70.7</v>
      </c>
      <c r="X40" s="49">
        <v>70.7</v>
      </c>
      <c r="Y40" s="49">
        <v>70.7</v>
      </c>
      <c r="Z40" s="49">
        <v>70.7</v>
      </c>
      <c r="AA40" s="49">
        <v>70.7</v>
      </c>
      <c r="AB40" s="49">
        <v>72.599999999999994</v>
      </c>
      <c r="AC40" s="49">
        <v>72.8</v>
      </c>
      <c r="AD40" s="49">
        <v>72.5</v>
      </c>
      <c r="AE40" s="49">
        <v>73.2</v>
      </c>
      <c r="AF40" s="49">
        <v>73</v>
      </c>
      <c r="AG40" s="64">
        <v>70</v>
      </c>
      <c r="AH40" s="55">
        <f t="shared" si="2"/>
        <v>73.2</v>
      </c>
      <c r="AI40" s="56">
        <f t="shared" si="3"/>
        <v>60</v>
      </c>
      <c r="AK40" s="57"/>
    </row>
    <row r="41" spans="1:88" x14ac:dyDescent="0.25">
      <c r="A41" s="63" t="s">
        <v>49</v>
      </c>
      <c r="B41" s="49">
        <v>64.5</v>
      </c>
      <c r="C41" s="49">
        <v>64.5</v>
      </c>
      <c r="D41" s="49">
        <v>64.5</v>
      </c>
      <c r="E41" s="49">
        <v>64.3</v>
      </c>
      <c r="F41" s="49">
        <v>36.799999999999997</v>
      </c>
      <c r="G41" s="49">
        <v>46</v>
      </c>
      <c r="H41" s="49">
        <v>46</v>
      </c>
      <c r="I41" s="49">
        <v>64.5</v>
      </c>
      <c r="J41" s="49">
        <v>64.5</v>
      </c>
      <c r="K41" s="49">
        <v>64</v>
      </c>
      <c r="L41" s="49">
        <v>64</v>
      </c>
      <c r="M41" s="51">
        <v>63.9</v>
      </c>
      <c r="N41" s="51">
        <v>63.9</v>
      </c>
      <c r="O41" s="51">
        <v>63.9</v>
      </c>
      <c r="P41" s="51">
        <v>63.9</v>
      </c>
      <c r="Q41" s="51">
        <v>63.9</v>
      </c>
      <c r="R41" s="51">
        <v>63.9</v>
      </c>
      <c r="S41" s="51">
        <v>63.9</v>
      </c>
      <c r="T41" s="51">
        <v>63.9</v>
      </c>
      <c r="U41" s="51">
        <v>64.3</v>
      </c>
      <c r="V41" s="49">
        <v>64.3</v>
      </c>
      <c r="W41" s="49">
        <v>64.3</v>
      </c>
      <c r="X41" s="49">
        <v>64.3</v>
      </c>
      <c r="Y41" s="49">
        <v>64.3</v>
      </c>
      <c r="Z41" s="49">
        <v>64.3</v>
      </c>
      <c r="AA41" s="49">
        <v>64.3</v>
      </c>
      <c r="AB41" s="49">
        <v>64.5</v>
      </c>
      <c r="AC41" s="49">
        <v>64.7</v>
      </c>
      <c r="AD41" s="49">
        <v>64.2</v>
      </c>
      <c r="AE41" s="49">
        <v>64.400000000000006</v>
      </c>
      <c r="AF41" s="49">
        <v>64.2</v>
      </c>
      <c r="AG41" s="64">
        <v>69</v>
      </c>
      <c r="AH41" s="55">
        <f t="shared" si="2"/>
        <v>64.7</v>
      </c>
      <c r="AI41" s="56">
        <f t="shared" si="3"/>
        <v>36.799999999999997</v>
      </c>
      <c r="AK41" s="57"/>
    </row>
    <row r="42" spans="1:88" x14ac:dyDescent="0.25">
      <c r="A42" s="63" t="s">
        <v>50</v>
      </c>
      <c r="B42" s="66">
        <v>60.9</v>
      </c>
      <c r="C42" s="66">
        <v>60.9</v>
      </c>
      <c r="D42" s="66">
        <v>60.9</v>
      </c>
      <c r="E42" s="66">
        <v>50</v>
      </c>
      <c r="F42" s="66">
        <v>60.4</v>
      </c>
      <c r="G42" s="66">
        <v>61</v>
      </c>
      <c r="H42" s="66">
        <v>61</v>
      </c>
      <c r="I42" s="66">
        <v>61</v>
      </c>
      <c r="J42" s="66">
        <v>61</v>
      </c>
      <c r="K42" s="66">
        <v>61</v>
      </c>
      <c r="L42" s="66">
        <v>61</v>
      </c>
      <c r="M42" s="51">
        <v>61.4</v>
      </c>
      <c r="N42" s="51">
        <v>61.4</v>
      </c>
      <c r="O42" s="51">
        <v>61.4</v>
      </c>
      <c r="P42" s="51">
        <v>61.4</v>
      </c>
      <c r="Q42" s="51">
        <v>61.4</v>
      </c>
      <c r="R42" s="51">
        <v>61.4</v>
      </c>
      <c r="S42" s="51">
        <v>61.4</v>
      </c>
      <c r="T42" s="51">
        <v>61.4</v>
      </c>
      <c r="U42" s="51">
        <v>61.4</v>
      </c>
      <c r="V42" s="49">
        <v>61.4</v>
      </c>
      <c r="W42" s="49">
        <v>61.4</v>
      </c>
      <c r="X42" s="49">
        <v>61.4</v>
      </c>
      <c r="Y42" s="49">
        <v>61.4</v>
      </c>
      <c r="Z42" s="49">
        <v>61.4</v>
      </c>
      <c r="AA42" s="49">
        <v>61.4</v>
      </c>
      <c r="AB42" s="49">
        <v>61.4</v>
      </c>
      <c r="AC42" s="66">
        <v>60.9</v>
      </c>
      <c r="AD42" s="66">
        <v>61.4</v>
      </c>
      <c r="AE42" s="66">
        <v>61.4</v>
      </c>
      <c r="AF42" s="66">
        <v>60.9</v>
      </c>
      <c r="AG42" s="64">
        <v>60</v>
      </c>
      <c r="AH42" s="55">
        <f t="shared" si="2"/>
        <v>61.4</v>
      </c>
      <c r="AI42" s="56">
        <f t="shared" si="3"/>
        <v>50</v>
      </c>
      <c r="AK42" s="57"/>
    </row>
    <row r="43" spans="1:88" x14ac:dyDescent="0.25">
      <c r="A43" s="63" t="s">
        <v>51</v>
      </c>
      <c r="B43" s="66">
        <v>29</v>
      </c>
      <c r="C43" s="66">
        <v>29</v>
      </c>
      <c r="D43" s="66">
        <v>29</v>
      </c>
      <c r="E43" s="66">
        <v>28.7</v>
      </c>
      <c r="F43" s="66">
        <v>28.7</v>
      </c>
      <c r="G43" s="66">
        <v>28.7</v>
      </c>
      <c r="H43" s="66">
        <v>28.7</v>
      </c>
      <c r="I43" s="66">
        <v>28.7</v>
      </c>
      <c r="J43" s="66">
        <v>28.7</v>
      </c>
      <c r="K43" s="66">
        <v>28.7</v>
      </c>
      <c r="L43" s="66">
        <v>28.7</v>
      </c>
      <c r="M43" s="51">
        <v>28.9</v>
      </c>
      <c r="N43" s="51">
        <v>28.9</v>
      </c>
      <c r="O43" s="51">
        <v>28.9</v>
      </c>
      <c r="P43" s="51">
        <v>28.9</v>
      </c>
      <c r="Q43" s="51">
        <v>28.9</v>
      </c>
      <c r="R43" s="51">
        <v>28.9</v>
      </c>
      <c r="S43" s="51">
        <v>28.9</v>
      </c>
      <c r="T43" s="51">
        <v>28.9</v>
      </c>
      <c r="U43" s="51">
        <v>28.9</v>
      </c>
      <c r="V43" s="49">
        <v>15</v>
      </c>
      <c r="W43" s="49">
        <v>15</v>
      </c>
      <c r="X43" s="49">
        <v>15</v>
      </c>
      <c r="Y43" s="49">
        <v>15</v>
      </c>
      <c r="Z43" s="49">
        <v>15</v>
      </c>
      <c r="AA43" s="49">
        <v>15</v>
      </c>
      <c r="AB43" s="49">
        <v>28</v>
      </c>
      <c r="AC43" s="66">
        <v>28.5</v>
      </c>
      <c r="AD43" s="66">
        <v>28.3</v>
      </c>
      <c r="AE43" s="66">
        <v>28.3</v>
      </c>
      <c r="AF43" s="66">
        <v>28.2</v>
      </c>
      <c r="AG43" s="64">
        <v>30</v>
      </c>
      <c r="AH43" s="55">
        <f t="shared" si="2"/>
        <v>29</v>
      </c>
      <c r="AI43" s="56">
        <f t="shared" si="3"/>
        <v>15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51">
        <v>0</v>
      </c>
      <c r="AC44" s="51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</v>
      </c>
      <c r="C45" s="49">
        <v>16</v>
      </c>
      <c r="D45" s="49">
        <v>16</v>
      </c>
      <c r="E45" s="49">
        <v>16</v>
      </c>
      <c r="F45" s="49">
        <v>16</v>
      </c>
      <c r="G45" s="49">
        <v>16</v>
      </c>
      <c r="H45" s="49">
        <v>16</v>
      </c>
      <c r="I45" s="49">
        <v>16</v>
      </c>
      <c r="J45" s="49">
        <v>16</v>
      </c>
      <c r="K45" s="49">
        <v>16</v>
      </c>
      <c r="L45" s="49">
        <v>16</v>
      </c>
      <c r="M45" s="49">
        <v>16</v>
      </c>
      <c r="N45" s="49">
        <v>16</v>
      </c>
      <c r="O45" s="49">
        <v>16</v>
      </c>
      <c r="P45" s="49">
        <v>16</v>
      </c>
      <c r="Q45" s="49">
        <v>16</v>
      </c>
      <c r="R45" s="49">
        <v>16</v>
      </c>
      <c r="S45" s="49">
        <v>16</v>
      </c>
      <c r="T45" s="49">
        <v>16</v>
      </c>
      <c r="U45" s="49">
        <v>13.6</v>
      </c>
      <c r="V45" s="51">
        <v>16.7</v>
      </c>
      <c r="W45" s="51">
        <v>16.7</v>
      </c>
      <c r="X45" s="51">
        <v>16.7</v>
      </c>
      <c r="Y45" s="51">
        <v>16.7</v>
      </c>
      <c r="Z45" s="51">
        <v>16.7</v>
      </c>
      <c r="AA45" s="51">
        <v>16.7</v>
      </c>
      <c r="AB45" s="51">
        <v>16.399999999999999</v>
      </c>
      <c r="AC45" s="51">
        <v>16.399999999999999</v>
      </c>
      <c r="AD45" s="49">
        <v>0</v>
      </c>
      <c r="AE45" s="49">
        <v>0</v>
      </c>
      <c r="AF45" s="49">
        <v>3</v>
      </c>
      <c r="AG45" s="64">
        <v>24</v>
      </c>
      <c r="AH45" s="55">
        <f t="shared" si="2"/>
        <v>16.7</v>
      </c>
      <c r="AI45" s="56">
        <f t="shared" si="3"/>
        <v>0</v>
      </c>
      <c r="AK45" s="57"/>
    </row>
    <row r="46" spans="1:88" x14ac:dyDescent="0.25">
      <c r="A46" s="63" t="s">
        <v>54</v>
      </c>
      <c r="B46" s="49">
        <v>2.7</v>
      </c>
      <c r="C46" s="49">
        <v>2.7</v>
      </c>
      <c r="D46" s="49">
        <v>2.7</v>
      </c>
      <c r="E46" s="49">
        <v>2.7</v>
      </c>
      <c r="F46" s="49">
        <v>2.7</v>
      </c>
      <c r="G46" s="49">
        <v>2.7</v>
      </c>
      <c r="H46" s="49">
        <v>2.7</v>
      </c>
      <c r="I46" s="49">
        <v>2.7</v>
      </c>
      <c r="J46" s="49">
        <v>2.7</v>
      </c>
      <c r="K46" s="49">
        <v>2.7</v>
      </c>
      <c r="L46" s="49">
        <v>2.7</v>
      </c>
      <c r="M46" s="49">
        <v>2.7</v>
      </c>
      <c r="N46" s="49">
        <v>2.7</v>
      </c>
      <c r="O46" s="49">
        <v>2.7</v>
      </c>
      <c r="P46" s="49">
        <v>2.7</v>
      </c>
      <c r="Q46" s="49">
        <v>2.7</v>
      </c>
      <c r="R46" s="49">
        <v>2.7</v>
      </c>
      <c r="S46" s="49">
        <v>2.7</v>
      </c>
      <c r="T46" s="49">
        <v>2.7</v>
      </c>
      <c r="U46" s="49">
        <v>2.7</v>
      </c>
      <c r="V46" s="51">
        <v>2.7</v>
      </c>
      <c r="W46" s="51">
        <v>2.7</v>
      </c>
      <c r="X46" s="51">
        <v>2.7</v>
      </c>
      <c r="Y46" s="51">
        <v>2.7</v>
      </c>
      <c r="Z46" s="51">
        <v>2.7</v>
      </c>
      <c r="AA46" s="51">
        <v>2.7</v>
      </c>
      <c r="AB46" s="51">
        <v>2.7</v>
      </c>
      <c r="AC46" s="51">
        <v>2.7</v>
      </c>
      <c r="AD46" s="49">
        <v>2.7</v>
      </c>
      <c r="AE46" s="49">
        <v>2.7</v>
      </c>
      <c r="AF46" s="49">
        <v>2.7</v>
      </c>
      <c r="AG46" s="64">
        <v>15</v>
      </c>
      <c r="AH46" s="55">
        <f t="shared" si="2"/>
        <v>2.7</v>
      </c>
      <c r="AI46" s="56">
        <f t="shared" si="3"/>
        <v>2.7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11.7</v>
      </c>
      <c r="C47" s="49">
        <v>11.7</v>
      </c>
      <c r="D47" s="49">
        <v>11.7</v>
      </c>
      <c r="E47" s="49">
        <v>11.7</v>
      </c>
      <c r="F47" s="49">
        <v>11.7</v>
      </c>
      <c r="G47" s="49">
        <v>11.7</v>
      </c>
      <c r="H47" s="49">
        <v>11.7</v>
      </c>
      <c r="I47" s="49">
        <v>11.7</v>
      </c>
      <c r="J47" s="49">
        <v>11.7</v>
      </c>
      <c r="K47" s="49">
        <v>11.7</v>
      </c>
      <c r="L47" s="49">
        <v>11.7</v>
      </c>
      <c r="M47" s="49">
        <v>11.7</v>
      </c>
      <c r="N47" s="49">
        <v>11.7</v>
      </c>
      <c r="O47" s="49">
        <v>11.7</v>
      </c>
      <c r="P47" s="49">
        <v>11.7</v>
      </c>
      <c r="Q47" s="49">
        <v>11.7</v>
      </c>
      <c r="R47" s="49">
        <v>11.7</v>
      </c>
      <c r="S47" s="49">
        <v>11.7</v>
      </c>
      <c r="T47" s="49">
        <v>11.7</v>
      </c>
      <c r="U47" s="49">
        <v>14.3</v>
      </c>
      <c r="V47" s="51">
        <v>12.5</v>
      </c>
      <c r="W47" s="51">
        <v>12.5</v>
      </c>
      <c r="X47" s="51">
        <v>12.5</v>
      </c>
      <c r="Y47" s="51">
        <v>12.5</v>
      </c>
      <c r="Z47" s="51">
        <v>12.5</v>
      </c>
      <c r="AA47" s="51">
        <v>12.5</v>
      </c>
      <c r="AB47" s="51">
        <v>12.5</v>
      </c>
      <c r="AC47" s="51">
        <v>12.5</v>
      </c>
      <c r="AD47" s="51">
        <v>12.5</v>
      </c>
      <c r="AE47" s="51">
        <v>12.5</v>
      </c>
      <c r="AF47" s="51">
        <v>12.5</v>
      </c>
      <c r="AG47" s="64">
        <v>14.1</v>
      </c>
      <c r="AH47" s="55">
        <f t="shared" si="2"/>
        <v>14.3</v>
      </c>
      <c r="AI47" s="56">
        <f t="shared" si="3"/>
        <v>11.7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14</v>
      </c>
      <c r="C48" s="49">
        <v>14</v>
      </c>
      <c r="D48" s="49">
        <v>14</v>
      </c>
      <c r="E48" s="49">
        <v>14</v>
      </c>
      <c r="F48" s="49">
        <v>14</v>
      </c>
      <c r="G48" s="49">
        <v>14</v>
      </c>
      <c r="H48" s="49">
        <v>14</v>
      </c>
      <c r="I48" s="49">
        <v>14</v>
      </c>
      <c r="J48" s="49">
        <v>14</v>
      </c>
      <c r="K48" s="49">
        <v>14</v>
      </c>
      <c r="L48" s="49">
        <v>14</v>
      </c>
      <c r="M48" s="49">
        <v>14</v>
      </c>
      <c r="N48" s="49">
        <v>14</v>
      </c>
      <c r="O48" s="49">
        <v>14</v>
      </c>
      <c r="P48" s="49">
        <v>14</v>
      </c>
      <c r="Q48" s="49">
        <v>14</v>
      </c>
      <c r="R48" s="49">
        <v>14</v>
      </c>
      <c r="S48" s="49">
        <v>14</v>
      </c>
      <c r="T48" s="49">
        <v>14</v>
      </c>
      <c r="U48" s="49">
        <v>14</v>
      </c>
      <c r="V48" s="49">
        <v>14</v>
      </c>
      <c r="W48" s="49">
        <v>14</v>
      </c>
      <c r="X48" s="49">
        <v>14</v>
      </c>
      <c r="Y48" s="49">
        <v>14</v>
      </c>
      <c r="Z48" s="49">
        <v>14</v>
      </c>
      <c r="AA48" s="49">
        <v>14</v>
      </c>
      <c r="AB48" s="49">
        <v>14</v>
      </c>
      <c r="AC48" s="49">
        <v>14</v>
      </c>
      <c r="AD48" s="49">
        <v>14</v>
      </c>
      <c r="AE48" s="49">
        <v>14</v>
      </c>
      <c r="AF48" s="49">
        <v>14</v>
      </c>
      <c r="AG48" s="64">
        <v>14</v>
      </c>
      <c r="AH48" s="55">
        <f t="shared" si="2"/>
        <v>14</v>
      </c>
      <c r="AI48" s="56">
        <f t="shared" si="3"/>
        <v>14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9.5</v>
      </c>
      <c r="F49" s="49">
        <v>9.5</v>
      </c>
      <c r="G49" s="49">
        <v>9.5</v>
      </c>
      <c r="H49" s="49">
        <v>9.5</v>
      </c>
      <c r="I49" s="49">
        <v>9.5</v>
      </c>
      <c r="J49" s="49">
        <v>9.5</v>
      </c>
      <c r="K49" s="49">
        <v>9.5</v>
      </c>
      <c r="L49" s="49">
        <v>9.5</v>
      </c>
      <c r="M49" s="49">
        <v>9.5</v>
      </c>
      <c r="N49" s="49">
        <v>9.5</v>
      </c>
      <c r="O49" s="49">
        <v>9.5</v>
      </c>
      <c r="P49" s="49">
        <v>9.5</v>
      </c>
      <c r="Q49" s="49">
        <v>9.5</v>
      </c>
      <c r="R49" s="49">
        <v>9.5</v>
      </c>
      <c r="S49" s="49">
        <v>9.5</v>
      </c>
      <c r="T49" s="49">
        <v>9.5</v>
      </c>
      <c r="U49" s="49">
        <v>9.5</v>
      </c>
      <c r="V49" s="49">
        <v>9.5</v>
      </c>
      <c r="W49" s="49">
        <v>9.5</v>
      </c>
      <c r="X49" s="49">
        <v>9.5</v>
      </c>
      <c r="Y49" s="49">
        <v>9.5</v>
      </c>
      <c r="Z49" s="49">
        <v>9.5</v>
      </c>
      <c r="AA49" s="49">
        <v>9.5</v>
      </c>
      <c r="AB49" s="49">
        <v>9.5</v>
      </c>
      <c r="AC49" s="49">
        <v>9.5</v>
      </c>
      <c r="AD49" s="49">
        <v>9.5</v>
      </c>
      <c r="AE49" s="49">
        <v>9.5</v>
      </c>
      <c r="AF49" s="49">
        <v>9.5</v>
      </c>
      <c r="AG49" s="64">
        <v>10.050000000000001</v>
      </c>
      <c r="AH49" s="55">
        <f t="shared" si="2"/>
        <v>9.5</v>
      </c>
      <c r="AI49" s="56">
        <f t="shared" si="3"/>
        <v>9.5</v>
      </c>
      <c r="AK49" s="57"/>
    </row>
    <row r="50" spans="1:37" x14ac:dyDescent="0.25">
      <c r="A50" s="63" t="s">
        <v>58</v>
      </c>
      <c r="B50" s="49">
        <v>3</v>
      </c>
      <c r="C50" s="49">
        <v>3</v>
      </c>
      <c r="D50" s="49">
        <v>3</v>
      </c>
      <c r="E50" s="49">
        <v>3</v>
      </c>
      <c r="F50" s="49">
        <v>3</v>
      </c>
      <c r="G50" s="49">
        <v>3</v>
      </c>
      <c r="H50" s="49">
        <v>3</v>
      </c>
      <c r="I50" s="49">
        <v>3</v>
      </c>
      <c r="J50" s="49">
        <v>3</v>
      </c>
      <c r="K50" s="49">
        <v>3</v>
      </c>
      <c r="L50" s="49">
        <v>3</v>
      </c>
      <c r="M50" s="49">
        <v>3</v>
      </c>
      <c r="N50" s="49">
        <v>3</v>
      </c>
      <c r="O50" s="49">
        <v>3</v>
      </c>
      <c r="P50" s="49">
        <v>3</v>
      </c>
      <c r="Q50" s="49">
        <v>3</v>
      </c>
      <c r="R50" s="49">
        <v>3</v>
      </c>
      <c r="S50" s="49">
        <v>3</v>
      </c>
      <c r="T50" s="49">
        <v>3</v>
      </c>
      <c r="U50" s="49">
        <v>3</v>
      </c>
      <c r="V50" s="49">
        <v>3</v>
      </c>
      <c r="W50" s="49">
        <v>3</v>
      </c>
      <c r="X50" s="49">
        <v>3</v>
      </c>
      <c r="Y50" s="49">
        <v>3</v>
      </c>
      <c r="Z50" s="49">
        <v>3</v>
      </c>
      <c r="AA50" s="49">
        <v>3</v>
      </c>
      <c r="AB50" s="49">
        <v>3</v>
      </c>
      <c r="AC50" s="49">
        <v>3</v>
      </c>
      <c r="AD50" s="49">
        <v>3</v>
      </c>
      <c r="AE50" s="49">
        <v>3</v>
      </c>
      <c r="AF50" s="49">
        <v>3</v>
      </c>
      <c r="AG50" s="64">
        <v>6.2</v>
      </c>
      <c r="AH50" s="55">
        <f t="shared" si="2"/>
        <v>3</v>
      </c>
      <c r="AI50" s="56">
        <f t="shared" si="3"/>
        <v>3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8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v>430.24</v>
      </c>
      <c r="C52" s="70">
        <f t="shared" ref="C52:AF52" si="9">SUM(C39:C51)</f>
        <v>430.44</v>
      </c>
      <c r="D52" s="70">
        <f t="shared" si="9"/>
        <v>426.23999999999995</v>
      </c>
      <c r="E52" s="70">
        <f t="shared" si="9"/>
        <v>406.44</v>
      </c>
      <c r="F52" s="70">
        <f t="shared" si="9"/>
        <v>389.34</v>
      </c>
      <c r="G52" s="70">
        <f t="shared" si="9"/>
        <v>411.24</v>
      </c>
      <c r="H52" s="70">
        <f t="shared" si="9"/>
        <v>411.24</v>
      </c>
      <c r="I52" s="70">
        <f t="shared" si="9"/>
        <v>429.74</v>
      </c>
      <c r="J52" s="70">
        <f t="shared" si="9"/>
        <v>429.74</v>
      </c>
      <c r="K52" s="70">
        <f t="shared" si="9"/>
        <v>428.64</v>
      </c>
      <c r="L52" s="70">
        <f t="shared" si="9"/>
        <v>428.84</v>
      </c>
      <c r="M52" s="70">
        <f t="shared" si="9"/>
        <v>435.63999999999993</v>
      </c>
      <c r="N52" s="70">
        <f t="shared" si="9"/>
        <v>435.93999999999994</v>
      </c>
      <c r="O52" s="70">
        <f t="shared" si="9"/>
        <v>435.93999999999994</v>
      </c>
      <c r="P52" s="70">
        <f t="shared" si="9"/>
        <v>435.93999999999994</v>
      </c>
      <c r="Q52" s="70">
        <f t="shared" si="9"/>
        <v>435.93999999999994</v>
      </c>
      <c r="R52" s="70">
        <f t="shared" si="9"/>
        <v>433.93999999999994</v>
      </c>
      <c r="S52" s="70">
        <f t="shared" si="9"/>
        <v>433.93999999999994</v>
      </c>
      <c r="T52" s="70">
        <f t="shared" si="9"/>
        <v>433.93999999999994</v>
      </c>
      <c r="U52" s="70">
        <f t="shared" si="9"/>
        <v>437.24</v>
      </c>
      <c r="V52" s="70">
        <f t="shared" si="9"/>
        <v>424.34</v>
      </c>
      <c r="W52" s="70">
        <f t="shared" si="9"/>
        <v>424.34</v>
      </c>
      <c r="X52" s="70">
        <f t="shared" si="9"/>
        <v>424.34</v>
      </c>
      <c r="Y52" s="70">
        <f t="shared" si="9"/>
        <v>424.34</v>
      </c>
      <c r="Z52" s="70">
        <f t="shared" si="9"/>
        <v>424.34</v>
      </c>
      <c r="AA52" s="70">
        <f t="shared" si="9"/>
        <v>424.34</v>
      </c>
      <c r="AB52" s="70">
        <f t="shared" si="9"/>
        <v>431.53999999999996</v>
      </c>
      <c r="AC52" s="70">
        <f t="shared" si="9"/>
        <v>431.53999999999996</v>
      </c>
      <c r="AD52" s="70">
        <f t="shared" si="9"/>
        <v>414.34</v>
      </c>
      <c r="AE52" s="70">
        <f t="shared" si="9"/>
        <v>415.54</v>
      </c>
      <c r="AF52" s="70">
        <f t="shared" si="9"/>
        <v>417.94</v>
      </c>
      <c r="AG52" s="74">
        <f>SUM(AG39:AG51)</f>
        <v>489.91</v>
      </c>
      <c r="AH52" s="55">
        <f t="shared" si="2"/>
        <v>437.24</v>
      </c>
      <c r="AI52" s="56">
        <f t="shared" si="3"/>
        <v>389.34</v>
      </c>
      <c r="AK52" s="57"/>
    </row>
    <row r="53" spans="1:37" x14ac:dyDescent="0.25">
      <c r="A53" s="58" t="s">
        <v>61</v>
      </c>
      <c r="B53" s="51">
        <v>0</v>
      </c>
      <c r="C53" s="51">
        <v>20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14</v>
      </c>
      <c r="P53" s="51">
        <v>59.8</v>
      </c>
      <c r="Q53" s="51">
        <v>40</v>
      </c>
      <c r="R53" s="51">
        <v>33.799999999999997</v>
      </c>
      <c r="S53" s="51">
        <v>34</v>
      </c>
      <c r="T53" s="51">
        <v>29.8</v>
      </c>
      <c r="U53" s="51">
        <v>59.7</v>
      </c>
      <c r="V53" s="51">
        <v>45</v>
      </c>
      <c r="W53" s="51">
        <v>49</v>
      </c>
      <c r="X53" s="51">
        <v>30</v>
      </c>
      <c r="Y53" s="51">
        <v>11</v>
      </c>
      <c r="Z53" s="51">
        <v>14</v>
      </c>
      <c r="AA53" s="51">
        <v>54.6</v>
      </c>
      <c r="AB53" s="51">
        <v>59.4</v>
      </c>
      <c r="AC53" s="51">
        <v>59.4</v>
      </c>
      <c r="AD53" s="51">
        <v>59.8</v>
      </c>
      <c r="AE53" s="51">
        <v>40</v>
      </c>
      <c r="AF53" s="51">
        <v>20</v>
      </c>
      <c r="AG53" s="60">
        <v>60</v>
      </c>
      <c r="AH53" s="55">
        <f t="shared" si="2"/>
        <v>59.8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6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15.4</v>
      </c>
      <c r="P54" s="49">
        <v>32.299999999999997</v>
      </c>
      <c r="Q54" s="49">
        <v>19.3</v>
      </c>
      <c r="R54" s="49">
        <v>19.2</v>
      </c>
      <c r="S54" s="49">
        <v>15</v>
      </c>
      <c r="T54" s="49">
        <v>15.3</v>
      </c>
      <c r="U54" s="49">
        <v>30.5</v>
      </c>
      <c r="V54" s="49">
        <v>23.5</v>
      </c>
      <c r="W54" s="49">
        <v>24</v>
      </c>
      <c r="X54" s="49">
        <v>14</v>
      </c>
      <c r="Y54" s="49">
        <v>5.2</v>
      </c>
      <c r="Z54" s="49">
        <v>7</v>
      </c>
      <c r="AA54" s="49">
        <v>27</v>
      </c>
      <c r="AB54" s="49">
        <v>30.8</v>
      </c>
      <c r="AC54" s="49">
        <v>31.9</v>
      </c>
      <c r="AD54" s="49">
        <v>31.8</v>
      </c>
      <c r="AE54" s="49">
        <v>24.1</v>
      </c>
      <c r="AF54" s="49">
        <v>13.3</v>
      </c>
      <c r="AG54" s="64">
        <v>32</v>
      </c>
      <c r="AH54" s="55">
        <f t="shared" si="2"/>
        <v>32.299999999999997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2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5.6</v>
      </c>
      <c r="P55" s="75">
        <v>11.8</v>
      </c>
      <c r="Q55" s="75">
        <v>7</v>
      </c>
      <c r="R55" s="75">
        <v>7</v>
      </c>
      <c r="S55" s="75">
        <v>6</v>
      </c>
      <c r="T55" s="75">
        <v>6</v>
      </c>
      <c r="U55" s="75">
        <v>11.1</v>
      </c>
      <c r="V55" s="75">
        <v>8.6</v>
      </c>
      <c r="W55" s="75">
        <v>9</v>
      </c>
      <c r="X55" s="75">
        <v>5</v>
      </c>
      <c r="Y55" s="75">
        <v>2</v>
      </c>
      <c r="Z55" s="75">
        <v>3</v>
      </c>
      <c r="AA55" s="75">
        <v>10</v>
      </c>
      <c r="AB55" s="75">
        <v>11.2</v>
      </c>
      <c r="AC55" s="75">
        <v>11.6</v>
      </c>
      <c r="AD55" s="75">
        <v>11.6</v>
      </c>
      <c r="AE55" s="75">
        <v>8.8000000000000007</v>
      </c>
      <c r="AF55" s="75">
        <v>4.8</v>
      </c>
      <c r="AG55" s="76">
        <v>14</v>
      </c>
      <c r="AH55" s="55">
        <f t="shared" si="2"/>
        <v>11.8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v>27.9</v>
      </c>
      <c r="C56" s="70">
        <f t="shared" ref="C56:AF56" si="10">SUM(C53:C55)</f>
        <v>28</v>
      </c>
      <c r="D56" s="70">
        <f t="shared" si="10"/>
        <v>0</v>
      </c>
      <c r="E56" s="70">
        <f t="shared" si="10"/>
        <v>0</v>
      </c>
      <c r="F56" s="70">
        <f t="shared" si="10"/>
        <v>0</v>
      </c>
      <c r="G56" s="70">
        <f t="shared" si="10"/>
        <v>0</v>
      </c>
      <c r="H56" s="70">
        <f t="shared" si="10"/>
        <v>0</v>
      </c>
      <c r="I56" s="70">
        <f t="shared" si="10"/>
        <v>0</v>
      </c>
      <c r="J56" s="70">
        <f t="shared" si="10"/>
        <v>0</v>
      </c>
      <c r="K56" s="70">
        <f t="shared" si="10"/>
        <v>0</v>
      </c>
      <c r="L56" s="70">
        <f t="shared" si="10"/>
        <v>0</v>
      </c>
      <c r="M56" s="70">
        <f t="shared" si="10"/>
        <v>0</v>
      </c>
      <c r="N56" s="70">
        <f t="shared" si="10"/>
        <v>0</v>
      </c>
      <c r="O56" s="70">
        <f t="shared" si="10"/>
        <v>35</v>
      </c>
      <c r="P56" s="70">
        <f t="shared" si="10"/>
        <v>103.89999999999999</v>
      </c>
      <c r="Q56" s="70">
        <f t="shared" si="10"/>
        <v>66.3</v>
      </c>
      <c r="R56" s="70">
        <f t="shared" si="10"/>
        <v>60</v>
      </c>
      <c r="S56" s="70">
        <f t="shared" si="10"/>
        <v>55</v>
      </c>
      <c r="T56" s="70">
        <f t="shared" si="10"/>
        <v>51.1</v>
      </c>
      <c r="U56" s="70">
        <f t="shared" si="10"/>
        <v>101.3</v>
      </c>
      <c r="V56" s="70">
        <f t="shared" si="10"/>
        <v>77.099999999999994</v>
      </c>
      <c r="W56" s="70">
        <f t="shared" si="10"/>
        <v>82</v>
      </c>
      <c r="X56" s="70">
        <f t="shared" si="10"/>
        <v>49</v>
      </c>
      <c r="Y56" s="70">
        <f t="shared" si="10"/>
        <v>18.2</v>
      </c>
      <c r="Z56" s="70">
        <f t="shared" si="10"/>
        <v>24</v>
      </c>
      <c r="AA56" s="70">
        <f t="shared" si="10"/>
        <v>91.6</v>
      </c>
      <c r="AB56" s="70">
        <f t="shared" si="10"/>
        <v>101.4</v>
      </c>
      <c r="AC56" s="70">
        <f t="shared" si="10"/>
        <v>102.89999999999999</v>
      </c>
      <c r="AD56" s="70">
        <f t="shared" si="10"/>
        <v>103.19999999999999</v>
      </c>
      <c r="AE56" s="70">
        <f t="shared" si="10"/>
        <v>72.899999999999991</v>
      </c>
      <c r="AF56" s="70">
        <f t="shared" si="10"/>
        <v>38.099999999999994</v>
      </c>
      <c r="AG56" s="74">
        <f>SUM(AG53:AG55)</f>
        <v>106</v>
      </c>
      <c r="AH56" s="55">
        <f t="shared" si="2"/>
        <v>103.89999999999999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75</v>
      </c>
      <c r="C57" s="51">
        <v>43.2</v>
      </c>
      <c r="D57" s="51">
        <v>39.700000000000003</v>
      </c>
      <c r="E57" s="51">
        <v>37.6</v>
      </c>
      <c r="F57" s="51">
        <v>36.1</v>
      </c>
      <c r="G57" s="51">
        <v>29.2</v>
      </c>
      <c r="H57" s="51">
        <v>27</v>
      </c>
      <c r="I57" s="51">
        <v>19</v>
      </c>
      <c r="J57" s="51">
        <v>35.200000000000003</v>
      </c>
      <c r="K57" s="51">
        <v>34.299999999999997</v>
      </c>
      <c r="L57" s="51">
        <v>28.3</v>
      </c>
      <c r="M57" s="51">
        <v>28.4</v>
      </c>
      <c r="N57" s="51">
        <v>30.1</v>
      </c>
      <c r="O57" s="51">
        <v>46.1</v>
      </c>
      <c r="P57" s="51">
        <v>54.7</v>
      </c>
      <c r="Q57" s="51">
        <v>58.3</v>
      </c>
      <c r="R57" s="51">
        <v>64.900000000000006</v>
      </c>
      <c r="S57" s="51">
        <v>47</v>
      </c>
      <c r="T57" s="51">
        <v>60</v>
      </c>
      <c r="U57" s="51">
        <v>53.8</v>
      </c>
      <c r="V57" s="51">
        <v>61.6</v>
      </c>
      <c r="W57" s="51">
        <v>63</v>
      </c>
      <c r="X57" s="51">
        <v>59</v>
      </c>
      <c r="Y57" s="51">
        <v>39</v>
      </c>
      <c r="Z57" s="51">
        <v>45</v>
      </c>
      <c r="AA57" s="51">
        <v>52</v>
      </c>
      <c r="AB57" s="51">
        <v>68.2</v>
      </c>
      <c r="AC57" s="51">
        <v>70.7</v>
      </c>
      <c r="AD57" s="51">
        <v>70.900000000000006</v>
      </c>
      <c r="AE57" s="51">
        <v>70.2</v>
      </c>
      <c r="AF57" s="51">
        <v>62.3</v>
      </c>
      <c r="AG57" s="60"/>
      <c r="AH57" s="55">
        <f t="shared" si="2"/>
        <v>75</v>
      </c>
      <c r="AI57" s="56">
        <f t="shared" si="3"/>
        <v>19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-372</v>
      </c>
      <c r="C59" s="49">
        <v>-367</v>
      </c>
      <c r="D59" s="49">
        <v>-378</v>
      </c>
      <c r="E59" s="49">
        <v>-390</v>
      </c>
      <c r="F59" s="49">
        <v>-379</v>
      </c>
      <c r="G59" s="49">
        <v>-380</v>
      </c>
      <c r="H59" s="49">
        <v>-380</v>
      </c>
      <c r="I59" s="49">
        <v>-372</v>
      </c>
      <c r="J59" s="49">
        <v>-350</v>
      </c>
      <c r="K59" s="49">
        <v>-308</v>
      </c>
      <c r="L59" s="49">
        <v>-300</v>
      </c>
      <c r="M59" s="49">
        <v>-310.60000000000002</v>
      </c>
      <c r="N59" s="49">
        <v>-288.60000000000002</v>
      </c>
      <c r="O59" s="49">
        <v>-254</v>
      </c>
      <c r="P59" s="49">
        <v>-266.89999999999998</v>
      </c>
      <c r="Q59" s="49">
        <v>-266.89999999999998</v>
      </c>
      <c r="R59" s="49">
        <v>-255.5</v>
      </c>
      <c r="S59" s="49">
        <v>-250</v>
      </c>
      <c r="T59" s="49">
        <v>-265</v>
      </c>
      <c r="U59" s="49">
        <v>-245</v>
      </c>
      <c r="V59" s="49">
        <v>-250</v>
      </c>
      <c r="W59" s="49">
        <v>-290</v>
      </c>
      <c r="X59" s="49">
        <v>-320</v>
      </c>
      <c r="Y59" s="49">
        <v>-280</v>
      </c>
      <c r="Z59" s="49">
        <v>-256</v>
      </c>
      <c r="AA59" s="49">
        <v>-210</v>
      </c>
      <c r="AB59" s="49">
        <v>-200.1</v>
      </c>
      <c r="AC59" s="49">
        <v>-205.2</v>
      </c>
      <c r="AD59" s="49">
        <v>-220.5</v>
      </c>
      <c r="AE59" s="49">
        <v>-300.5</v>
      </c>
      <c r="AF59" s="49">
        <v>-305.89999999999998</v>
      </c>
      <c r="AG59" s="77"/>
      <c r="AH59" s="55">
        <f t="shared" si="2"/>
        <v>-200.1</v>
      </c>
      <c r="AI59" s="56">
        <f t="shared" si="3"/>
        <v>-390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v>80.599999999999994</v>
      </c>
      <c r="C68" s="70">
        <f t="shared" ref="C68:AF68" si="11">SUMIF(C57:C67,"&gt;0")</f>
        <v>48.2</v>
      </c>
      <c r="D68" s="70">
        <f t="shared" si="11"/>
        <v>44.7</v>
      </c>
      <c r="E68" s="70">
        <f t="shared" si="11"/>
        <v>42.6</v>
      </c>
      <c r="F68" s="70">
        <f t="shared" si="11"/>
        <v>41.1</v>
      </c>
      <c r="G68" s="70">
        <f t="shared" si="11"/>
        <v>34.200000000000003</v>
      </c>
      <c r="H68" s="70">
        <f t="shared" si="11"/>
        <v>32</v>
      </c>
      <c r="I68" s="70">
        <f t="shared" si="11"/>
        <v>24</v>
      </c>
      <c r="J68" s="70">
        <f t="shared" si="11"/>
        <v>40.200000000000003</v>
      </c>
      <c r="K68" s="70">
        <f t="shared" si="11"/>
        <v>39.299999999999997</v>
      </c>
      <c r="L68" s="70">
        <f t="shared" si="11"/>
        <v>33.299999999999997</v>
      </c>
      <c r="M68" s="70">
        <f t="shared" si="11"/>
        <v>33.4</v>
      </c>
      <c r="N68" s="70">
        <f t="shared" si="11"/>
        <v>35.1</v>
      </c>
      <c r="O68" s="70">
        <f t="shared" si="11"/>
        <v>51.1</v>
      </c>
      <c r="P68" s="70">
        <f t="shared" si="11"/>
        <v>59.7</v>
      </c>
      <c r="Q68" s="70">
        <f t="shared" si="11"/>
        <v>63.3</v>
      </c>
      <c r="R68" s="70">
        <f t="shared" si="11"/>
        <v>69.900000000000006</v>
      </c>
      <c r="S68" s="70">
        <f t="shared" si="11"/>
        <v>52</v>
      </c>
      <c r="T68" s="70">
        <f t="shared" si="11"/>
        <v>65</v>
      </c>
      <c r="U68" s="70">
        <f t="shared" si="11"/>
        <v>58.8</v>
      </c>
      <c r="V68" s="70">
        <f t="shared" si="11"/>
        <v>66.599999999999994</v>
      </c>
      <c r="W68" s="70">
        <f t="shared" si="11"/>
        <v>68</v>
      </c>
      <c r="X68" s="70">
        <f t="shared" si="11"/>
        <v>64</v>
      </c>
      <c r="Y68" s="70">
        <f t="shared" si="11"/>
        <v>44</v>
      </c>
      <c r="Z68" s="70">
        <f t="shared" si="11"/>
        <v>50</v>
      </c>
      <c r="AA68" s="70">
        <f t="shared" si="11"/>
        <v>57</v>
      </c>
      <c r="AB68" s="70">
        <f t="shared" si="11"/>
        <v>73.2</v>
      </c>
      <c r="AC68" s="70">
        <f t="shared" si="11"/>
        <v>75.7</v>
      </c>
      <c r="AD68" s="70">
        <f t="shared" si="11"/>
        <v>75.900000000000006</v>
      </c>
      <c r="AE68" s="70">
        <f t="shared" si="11"/>
        <v>75.2</v>
      </c>
      <c r="AF68" s="70">
        <f t="shared" si="11"/>
        <v>67.3</v>
      </c>
      <c r="AG68" s="74">
        <f>SUM(AG57:AG67)</f>
        <v>0</v>
      </c>
      <c r="AH68" s="55">
        <f t="shared" si="2"/>
        <v>80.599999999999994</v>
      </c>
      <c r="AI68" s="56">
        <f t="shared" si="3"/>
        <v>24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v>1799.24</v>
      </c>
      <c r="C73" s="84">
        <f t="shared" ref="C73:AF73" si="12">C38+C52+C68+C72</f>
        <v>1765.0400000000002</v>
      </c>
      <c r="D73" s="84">
        <f t="shared" si="12"/>
        <v>1757.3400000000001</v>
      </c>
      <c r="E73" s="84">
        <f t="shared" si="12"/>
        <v>1729.44</v>
      </c>
      <c r="F73" s="84">
        <f t="shared" si="12"/>
        <v>1710.84</v>
      </c>
      <c r="G73" s="84">
        <f t="shared" si="12"/>
        <v>1725.8400000000001</v>
      </c>
      <c r="H73" s="84">
        <f t="shared" si="12"/>
        <v>1723.64</v>
      </c>
      <c r="I73" s="84">
        <f t="shared" si="12"/>
        <v>1734.14</v>
      </c>
      <c r="J73" s="84">
        <f t="shared" si="12"/>
        <v>1746.3400000000001</v>
      </c>
      <c r="K73" s="84">
        <f t="shared" si="12"/>
        <v>1744.4399999999998</v>
      </c>
      <c r="L73" s="84">
        <f t="shared" si="12"/>
        <v>1738.6399999999999</v>
      </c>
      <c r="M73" s="84">
        <f t="shared" si="12"/>
        <v>1755.54</v>
      </c>
      <c r="N73" s="84">
        <f t="shared" si="12"/>
        <v>1757.54</v>
      </c>
      <c r="O73" s="84">
        <f t="shared" si="12"/>
        <v>1740.54</v>
      </c>
      <c r="P73" s="84">
        <f t="shared" si="12"/>
        <v>1732.14</v>
      </c>
      <c r="Q73" s="84">
        <f t="shared" si="12"/>
        <v>1770.74</v>
      </c>
      <c r="R73" s="84">
        <f t="shared" si="12"/>
        <v>1775.3400000000001</v>
      </c>
      <c r="S73" s="84">
        <f t="shared" si="12"/>
        <v>1757.44</v>
      </c>
      <c r="T73" s="84">
        <f t="shared" si="12"/>
        <v>1770.44</v>
      </c>
      <c r="U73" s="84">
        <f t="shared" si="12"/>
        <v>1691.54</v>
      </c>
      <c r="V73" s="84">
        <f t="shared" si="12"/>
        <v>1686.24</v>
      </c>
      <c r="W73" s="84">
        <f t="shared" si="12"/>
        <v>1687.64</v>
      </c>
      <c r="X73" s="84">
        <f t="shared" si="12"/>
        <v>1759.64</v>
      </c>
      <c r="Y73" s="84">
        <f t="shared" si="12"/>
        <v>1736.64</v>
      </c>
      <c r="Z73" s="84">
        <f t="shared" si="12"/>
        <v>1744.64</v>
      </c>
      <c r="AA73" s="84">
        <f t="shared" si="12"/>
        <v>1751.64</v>
      </c>
      <c r="AB73" s="84">
        <f t="shared" si="12"/>
        <v>1797.0400000000002</v>
      </c>
      <c r="AC73" s="84">
        <f t="shared" si="12"/>
        <v>1799.5400000000002</v>
      </c>
      <c r="AD73" s="84">
        <f t="shared" si="12"/>
        <v>1760.5400000000002</v>
      </c>
      <c r="AE73" s="84">
        <f t="shared" si="12"/>
        <v>1781.0400000000002</v>
      </c>
      <c r="AF73" s="84">
        <f t="shared" si="12"/>
        <v>1766.5400000000002</v>
      </c>
      <c r="AG73" s="84">
        <f t="shared" ref="AG73" si="13">AG68+AG56+AG52+AG38+AG72</f>
        <v>2144.14</v>
      </c>
      <c r="AH73" s="55">
        <f t="shared" si="2"/>
        <v>1799.5400000000002</v>
      </c>
      <c r="AI73" s="56">
        <f t="shared" si="3"/>
        <v>1686.24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>
        <v>5</v>
      </c>
      <c r="AE74" s="86"/>
      <c r="AF74" s="86"/>
      <c r="AG74" s="74"/>
      <c r="AH74" s="55">
        <f t="shared" si="2"/>
        <v>5</v>
      </c>
      <c r="AI74" s="56">
        <f t="shared" si="3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v>1799.24</v>
      </c>
      <c r="C75" s="84">
        <f t="shared" ref="C75:AF75" si="14">C73+C74</f>
        <v>1765.0400000000002</v>
      </c>
      <c r="D75" s="84">
        <f t="shared" si="14"/>
        <v>1757.3400000000001</v>
      </c>
      <c r="E75" s="84">
        <f t="shared" si="14"/>
        <v>1729.44</v>
      </c>
      <c r="F75" s="84">
        <f t="shared" si="14"/>
        <v>1710.84</v>
      </c>
      <c r="G75" s="84">
        <f t="shared" si="14"/>
        <v>1725.8400000000001</v>
      </c>
      <c r="H75" s="84">
        <f t="shared" si="14"/>
        <v>1723.64</v>
      </c>
      <c r="I75" s="84">
        <f t="shared" si="14"/>
        <v>1734.14</v>
      </c>
      <c r="J75" s="84">
        <f t="shared" si="14"/>
        <v>1746.3400000000001</v>
      </c>
      <c r="K75" s="84">
        <f t="shared" si="14"/>
        <v>1744.4399999999998</v>
      </c>
      <c r="L75" s="84">
        <f t="shared" si="14"/>
        <v>1738.6399999999999</v>
      </c>
      <c r="M75" s="84">
        <f t="shared" si="14"/>
        <v>1755.54</v>
      </c>
      <c r="N75" s="84">
        <f t="shared" si="14"/>
        <v>1757.54</v>
      </c>
      <c r="O75" s="84">
        <f t="shared" si="14"/>
        <v>1740.54</v>
      </c>
      <c r="P75" s="84">
        <f t="shared" si="14"/>
        <v>1732.14</v>
      </c>
      <c r="Q75" s="84">
        <f t="shared" si="14"/>
        <v>1770.74</v>
      </c>
      <c r="R75" s="84">
        <f t="shared" si="14"/>
        <v>1775.3400000000001</v>
      </c>
      <c r="S75" s="84">
        <f t="shared" si="14"/>
        <v>1757.44</v>
      </c>
      <c r="T75" s="84">
        <f t="shared" si="14"/>
        <v>1770.44</v>
      </c>
      <c r="U75" s="84">
        <f t="shared" si="14"/>
        <v>1691.54</v>
      </c>
      <c r="V75" s="84">
        <f t="shared" si="14"/>
        <v>1686.24</v>
      </c>
      <c r="W75" s="84">
        <f t="shared" si="14"/>
        <v>1687.64</v>
      </c>
      <c r="X75" s="84">
        <f t="shared" si="14"/>
        <v>1759.64</v>
      </c>
      <c r="Y75" s="84">
        <f t="shared" si="14"/>
        <v>1736.64</v>
      </c>
      <c r="Z75" s="84">
        <f t="shared" si="14"/>
        <v>1744.64</v>
      </c>
      <c r="AA75" s="84">
        <f t="shared" si="14"/>
        <v>1751.64</v>
      </c>
      <c r="AB75" s="84">
        <f t="shared" si="14"/>
        <v>1797.0400000000002</v>
      </c>
      <c r="AC75" s="84">
        <f t="shared" si="14"/>
        <v>1799.5400000000002</v>
      </c>
      <c r="AD75" s="84">
        <f t="shared" si="14"/>
        <v>1765.5400000000002</v>
      </c>
      <c r="AE75" s="84">
        <f t="shared" si="14"/>
        <v>1781.0400000000002</v>
      </c>
      <c r="AF75" s="84">
        <f t="shared" si="14"/>
        <v>1766.5400000000002</v>
      </c>
      <c r="AG75" s="74">
        <f>AG72+AG68+AG56+AG52+AG38+AG74</f>
        <v>2144.14</v>
      </c>
      <c r="AH75" s="55">
        <f t="shared" si="2"/>
        <v>1799.5400000000002</v>
      </c>
      <c r="AI75" s="56">
        <f t="shared" si="3"/>
        <v>1686.24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v>0</v>
      </c>
      <c r="C76" s="78">
        <f t="shared" ref="C76:AF76" si="15">IF(C60&lt;0,C60*-1,0)</f>
        <v>0</v>
      </c>
      <c r="D76" s="78">
        <f t="shared" si="15"/>
        <v>0</v>
      </c>
      <c r="E76" s="78">
        <f t="shared" si="15"/>
        <v>0</v>
      </c>
      <c r="F76" s="78">
        <f t="shared" si="15"/>
        <v>0</v>
      </c>
      <c r="G76" s="78">
        <f t="shared" si="15"/>
        <v>0</v>
      </c>
      <c r="H76" s="78">
        <f t="shared" si="15"/>
        <v>0</v>
      </c>
      <c r="I76" s="78">
        <f t="shared" si="15"/>
        <v>0</v>
      </c>
      <c r="J76" s="78">
        <f t="shared" si="15"/>
        <v>0</v>
      </c>
      <c r="K76" s="78">
        <f t="shared" si="15"/>
        <v>0</v>
      </c>
      <c r="L76" s="78">
        <f t="shared" si="15"/>
        <v>0</v>
      </c>
      <c r="M76" s="78">
        <f t="shared" si="15"/>
        <v>0</v>
      </c>
      <c r="N76" s="78">
        <f t="shared" si="15"/>
        <v>0</v>
      </c>
      <c r="O76" s="78">
        <f t="shared" si="15"/>
        <v>0</v>
      </c>
      <c r="P76" s="78">
        <f t="shared" si="15"/>
        <v>0</v>
      </c>
      <c r="Q76" s="78">
        <f t="shared" si="15"/>
        <v>0</v>
      </c>
      <c r="R76" s="78">
        <f t="shared" si="15"/>
        <v>0</v>
      </c>
      <c r="S76" s="78">
        <f t="shared" si="15"/>
        <v>0</v>
      </c>
      <c r="T76" s="78">
        <f t="shared" si="15"/>
        <v>0</v>
      </c>
      <c r="U76" s="78">
        <f t="shared" si="15"/>
        <v>0</v>
      </c>
      <c r="V76" s="78">
        <f t="shared" si="15"/>
        <v>0</v>
      </c>
      <c r="W76" s="78">
        <f t="shared" si="15"/>
        <v>0</v>
      </c>
      <c r="X76" s="78">
        <f t="shared" si="15"/>
        <v>0</v>
      </c>
      <c r="Y76" s="78">
        <f t="shared" si="15"/>
        <v>0</v>
      </c>
      <c r="Z76" s="78">
        <f t="shared" si="15"/>
        <v>0</v>
      </c>
      <c r="AA76" s="78">
        <f t="shared" si="15"/>
        <v>0</v>
      </c>
      <c r="AB76" s="78">
        <f t="shared" si="15"/>
        <v>0</v>
      </c>
      <c r="AC76" s="78">
        <f t="shared" si="15"/>
        <v>0</v>
      </c>
      <c r="AD76" s="78">
        <f t="shared" si="15"/>
        <v>0</v>
      </c>
      <c r="AE76" s="78">
        <f t="shared" si="15"/>
        <v>0</v>
      </c>
      <c r="AF76" s="78">
        <f t="shared" si="15"/>
        <v>0</v>
      </c>
      <c r="AG76" s="60"/>
      <c r="AH76" s="55">
        <f t="shared" ref="AH76:AH91" si="16">MAX(B76:AF76)</f>
        <v>0</v>
      </c>
      <c r="AI76" s="56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v>0</v>
      </c>
      <c r="C77" s="78">
        <f t="shared" ref="C77:AF77" si="18">IF(C58&lt;0,C58*-1,0)</f>
        <v>0</v>
      </c>
      <c r="D77" s="78">
        <f t="shared" si="18"/>
        <v>0</v>
      </c>
      <c r="E77" s="78">
        <f t="shared" si="18"/>
        <v>0</v>
      </c>
      <c r="F77" s="78">
        <f t="shared" si="18"/>
        <v>0</v>
      </c>
      <c r="G77" s="78">
        <f t="shared" si="18"/>
        <v>0</v>
      </c>
      <c r="H77" s="78">
        <f t="shared" si="18"/>
        <v>0</v>
      </c>
      <c r="I77" s="78">
        <f t="shared" si="18"/>
        <v>0</v>
      </c>
      <c r="J77" s="78">
        <f t="shared" si="18"/>
        <v>0</v>
      </c>
      <c r="K77" s="78">
        <f t="shared" si="18"/>
        <v>0</v>
      </c>
      <c r="L77" s="78">
        <f t="shared" si="18"/>
        <v>0</v>
      </c>
      <c r="M77" s="78">
        <f t="shared" si="18"/>
        <v>0</v>
      </c>
      <c r="N77" s="78">
        <f t="shared" si="18"/>
        <v>0</v>
      </c>
      <c r="O77" s="78">
        <f t="shared" si="18"/>
        <v>0</v>
      </c>
      <c r="P77" s="78">
        <f t="shared" si="18"/>
        <v>0</v>
      </c>
      <c r="Q77" s="78">
        <f t="shared" si="18"/>
        <v>0</v>
      </c>
      <c r="R77" s="78">
        <f t="shared" si="18"/>
        <v>0</v>
      </c>
      <c r="S77" s="78">
        <f t="shared" si="18"/>
        <v>0</v>
      </c>
      <c r="T77" s="78">
        <f t="shared" si="18"/>
        <v>0</v>
      </c>
      <c r="U77" s="78">
        <f t="shared" si="18"/>
        <v>0</v>
      </c>
      <c r="V77" s="78">
        <f t="shared" si="18"/>
        <v>0</v>
      </c>
      <c r="W77" s="78">
        <f t="shared" si="18"/>
        <v>0</v>
      </c>
      <c r="X77" s="78">
        <f t="shared" si="18"/>
        <v>0</v>
      </c>
      <c r="Y77" s="78">
        <f t="shared" si="18"/>
        <v>0</v>
      </c>
      <c r="Z77" s="78">
        <f t="shared" si="18"/>
        <v>0</v>
      </c>
      <c r="AA77" s="78">
        <f t="shared" si="18"/>
        <v>0</v>
      </c>
      <c r="AB77" s="78">
        <f t="shared" si="18"/>
        <v>0</v>
      </c>
      <c r="AC77" s="78">
        <f t="shared" si="18"/>
        <v>0</v>
      </c>
      <c r="AD77" s="78">
        <f t="shared" si="18"/>
        <v>0</v>
      </c>
      <c r="AE77" s="78">
        <f t="shared" si="18"/>
        <v>0</v>
      </c>
      <c r="AF77" s="78">
        <f t="shared" si="18"/>
        <v>0</v>
      </c>
      <c r="AG77" s="64"/>
      <c r="AH77" s="55">
        <f t="shared" si="16"/>
        <v>0</v>
      </c>
      <c r="AI77" s="56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f t="shared" ref="C78:AF78" si="19">IF(C61&lt;0,C61*-1,0)</f>
        <v>0</v>
      </c>
      <c r="D78" s="78">
        <f t="shared" si="19"/>
        <v>0</v>
      </c>
      <c r="E78" s="78">
        <f t="shared" si="19"/>
        <v>0</v>
      </c>
      <c r="F78" s="78">
        <f t="shared" si="19"/>
        <v>0</v>
      </c>
      <c r="G78" s="78">
        <f t="shared" si="19"/>
        <v>0</v>
      </c>
      <c r="H78" s="78">
        <f t="shared" si="19"/>
        <v>0</v>
      </c>
      <c r="I78" s="78">
        <f t="shared" si="19"/>
        <v>0</v>
      </c>
      <c r="J78" s="78">
        <f t="shared" si="19"/>
        <v>0</v>
      </c>
      <c r="K78" s="78">
        <f t="shared" si="19"/>
        <v>0</v>
      </c>
      <c r="L78" s="78">
        <f t="shared" si="19"/>
        <v>0</v>
      </c>
      <c r="M78" s="78">
        <f t="shared" si="19"/>
        <v>0</v>
      </c>
      <c r="N78" s="78">
        <f t="shared" si="19"/>
        <v>0</v>
      </c>
      <c r="O78" s="78">
        <f t="shared" si="19"/>
        <v>0</v>
      </c>
      <c r="P78" s="78">
        <f t="shared" si="19"/>
        <v>0</v>
      </c>
      <c r="Q78" s="78">
        <f t="shared" si="19"/>
        <v>0</v>
      </c>
      <c r="R78" s="78">
        <f t="shared" si="19"/>
        <v>0</v>
      </c>
      <c r="S78" s="78">
        <f t="shared" si="19"/>
        <v>0</v>
      </c>
      <c r="T78" s="78">
        <f t="shared" si="19"/>
        <v>0</v>
      </c>
      <c r="U78" s="78">
        <f t="shared" si="19"/>
        <v>0</v>
      </c>
      <c r="V78" s="78">
        <f t="shared" si="19"/>
        <v>0</v>
      </c>
      <c r="W78" s="78">
        <f t="shared" si="19"/>
        <v>0</v>
      </c>
      <c r="X78" s="78">
        <f t="shared" si="19"/>
        <v>0</v>
      </c>
      <c r="Y78" s="78">
        <f t="shared" si="19"/>
        <v>0</v>
      </c>
      <c r="Z78" s="78">
        <f t="shared" si="19"/>
        <v>0</v>
      </c>
      <c r="AA78" s="78">
        <f t="shared" si="19"/>
        <v>0</v>
      </c>
      <c r="AB78" s="78">
        <f t="shared" si="19"/>
        <v>0</v>
      </c>
      <c r="AC78" s="78">
        <f t="shared" si="19"/>
        <v>0</v>
      </c>
      <c r="AD78" s="78">
        <f t="shared" si="19"/>
        <v>0</v>
      </c>
      <c r="AE78" s="78">
        <f t="shared" si="19"/>
        <v>0</v>
      </c>
      <c r="AF78" s="78">
        <f t="shared" si="19"/>
        <v>0</v>
      </c>
      <c r="AG78" s="87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v>326</v>
      </c>
      <c r="C79" s="78">
        <f t="shared" ref="C79:AF79" si="20">IF(C59&lt;0,C59*-1,0)</f>
        <v>367</v>
      </c>
      <c r="D79" s="78">
        <f t="shared" si="20"/>
        <v>378</v>
      </c>
      <c r="E79" s="78">
        <f t="shared" si="20"/>
        <v>390</v>
      </c>
      <c r="F79" s="78">
        <f t="shared" si="20"/>
        <v>379</v>
      </c>
      <c r="G79" s="78">
        <f t="shared" si="20"/>
        <v>380</v>
      </c>
      <c r="H79" s="78">
        <f t="shared" si="20"/>
        <v>380</v>
      </c>
      <c r="I79" s="78">
        <f t="shared" si="20"/>
        <v>372</v>
      </c>
      <c r="J79" s="78">
        <f t="shared" si="20"/>
        <v>350</v>
      </c>
      <c r="K79" s="78">
        <f t="shared" si="20"/>
        <v>308</v>
      </c>
      <c r="L79" s="78">
        <f t="shared" si="20"/>
        <v>300</v>
      </c>
      <c r="M79" s="78">
        <f t="shared" si="20"/>
        <v>310.60000000000002</v>
      </c>
      <c r="N79" s="78">
        <f t="shared" si="20"/>
        <v>288.60000000000002</v>
      </c>
      <c r="O79" s="78">
        <f t="shared" si="20"/>
        <v>254</v>
      </c>
      <c r="P79" s="78">
        <f t="shared" si="20"/>
        <v>266.89999999999998</v>
      </c>
      <c r="Q79" s="78">
        <f t="shared" si="20"/>
        <v>266.89999999999998</v>
      </c>
      <c r="R79" s="78">
        <f t="shared" si="20"/>
        <v>255.5</v>
      </c>
      <c r="S79" s="78">
        <f t="shared" si="20"/>
        <v>250</v>
      </c>
      <c r="T79" s="78">
        <f t="shared" si="20"/>
        <v>265</v>
      </c>
      <c r="U79" s="78">
        <f t="shared" si="20"/>
        <v>245</v>
      </c>
      <c r="V79" s="78">
        <f t="shared" si="20"/>
        <v>250</v>
      </c>
      <c r="W79" s="78">
        <f t="shared" si="20"/>
        <v>290</v>
      </c>
      <c r="X79" s="78">
        <f t="shared" si="20"/>
        <v>320</v>
      </c>
      <c r="Y79" s="78">
        <f t="shared" si="20"/>
        <v>280</v>
      </c>
      <c r="Z79" s="78">
        <f t="shared" si="20"/>
        <v>256</v>
      </c>
      <c r="AA79" s="78">
        <f t="shared" si="20"/>
        <v>210</v>
      </c>
      <c r="AB79" s="78">
        <f t="shared" si="20"/>
        <v>200.1</v>
      </c>
      <c r="AC79" s="78">
        <f t="shared" si="20"/>
        <v>205.2</v>
      </c>
      <c r="AD79" s="78">
        <f t="shared" si="20"/>
        <v>220.5</v>
      </c>
      <c r="AE79" s="78">
        <f t="shared" si="20"/>
        <v>300.5</v>
      </c>
      <c r="AF79" s="78">
        <f t="shared" si="20"/>
        <v>305.89999999999998</v>
      </c>
      <c r="AG79" s="87"/>
      <c r="AH79" s="55">
        <f t="shared" si="16"/>
        <v>390</v>
      </c>
      <c r="AI79" s="56">
        <f t="shared" si="17"/>
        <v>200.1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f t="shared" ref="C80:AF80" si="21">IF(C57&lt;0,C57*-1,0)</f>
        <v>0</v>
      </c>
      <c r="D80" s="78">
        <f t="shared" si="21"/>
        <v>0</v>
      </c>
      <c r="E80" s="78">
        <f t="shared" si="21"/>
        <v>0</v>
      </c>
      <c r="F80" s="78">
        <f t="shared" si="21"/>
        <v>0</v>
      </c>
      <c r="G80" s="78">
        <f t="shared" si="21"/>
        <v>0</v>
      </c>
      <c r="H80" s="78">
        <f t="shared" si="21"/>
        <v>0</v>
      </c>
      <c r="I80" s="78">
        <f t="shared" si="21"/>
        <v>0</v>
      </c>
      <c r="J80" s="78">
        <f t="shared" si="21"/>
        <v>0</v>
      </c>
      <c r="K80" s="78">
        <f t="shared" si="21"/>
        <v>0</v>
      </c>
      <c r="L80" s="78">
        <f t="shared" si="21"/>
        <v>0</v>
      </c>
      <c r="M80" s="78">
        <f t="shared" si="21"/>
        <v>0</v>
      </c>
      <c r="N80" s="78">
        <f t="shared" si="21"/>
        <v>0</v>
      </c>
      <c r="O80" s="78">
        <f t="shared" si="21"/>
        <v>0</v>
      </c>
      <c r="P80" s="78">
        <f t="shared" si="21"/>
        <v>0</v>
      </c>
      <c r="Q80" s="78">
        <f t="shared" si="21"/>
        <v>0</v>
      </c>
      <c r="R80" s="78">
        <f t="shared" si="21"/>
        <v>0</v>
      </c>
      <c r="S80" s="78">
        <f t="shared" si="21"/>
        <v>0</v>
      </c>
      <c r="T80" s="78">
        <f t="shared" si="21"/>
        <v>0</v>
      </c>
      <c r="U80" s="78">
        <f t="shared" si="21"/>
        <v>0</v>
      </c>
      <c r="V80" s="78">
        <f t="shared" si="21"/>
        <v>0</v>
      </c>
      <c r="W80" s="78">
        <f t="shared" si="21"/>
        <v>0</v>
      </c>
      <c r="X80" s="78">
        <f t="shared" si="21"/>
        <v>0</v>
      </c>
      <c r="Y80" s="78">
        <f t="shared" si="21"/>
        <v>0</v>
      </c>
      <c r="Z80" s="78">
        <f t="shared" si="21"/>
        <v>0</v>
      </c>
      <c r="AA80" s="78">
        <f t="shared" si="21"/>
        <v>0</v>
      </c>
      <c r="AB80" s="78">
        <f t="shared" si="21"/>
        <v>0</v>
      </c>
      <c r="AC80" s="78">
        <f t="shared" si="21"/>
        <v>0</v>
      </c>
      <c r="AD80" s="78">
        <f t="shared" si="21"/>
        <v>0</v>
      </c>
      <c r="AE80" s="78">
        <f t="shared" si="21"/>
        <v>0</v>
      </c>
      <c r="AF80" s="78">
        <f t="shared" si="21"/>
        <v>0</v>
      </c>
      <c r="AG80" s="87"/>
      <c r="AH80" s="55">
        <f t="shared" si="16"/>
        <v>0</v>
      </c>
      <c r="AI80" s="56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6"/>
        <v>0</v>
      </c>
      <c r="AI81" s="56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v>326</v>
      </c>
      <c r="C82" s="70">
        <f t="shared" ref="C82:AG82" si="22">SUM(C76:C81)</f>
        <v>367</v>
      </c>
      <c r="D82" s="70">
        <f t="shared" si="22"/>
        <v>378</v>
      </c>
      <c r="E82" s="70">
        <f t="shared" si="22"/>
        <v>390</v>
      </c>
      <c r="F82" s="70">
        <f t="shared" si="22"/>
        <v>379</v>
      </c>
      <c r="G82" s="70">
        <f t="shared" si="22"/>
        <v>380</v>
      </c>
      <c r="H82" s="70">
        <f t="shared" si="22"/>
        <v>380</v>
      </c>
      <c r="I82" s="70">
        <f t="shared" si="22"/>
        <v>372</v>
      </c>
      <c r="J82" s="70">
        <f t="shared" si="22"/>
        <v>350</v>
      </c>
      <c r="K82" s="70">
        <f t="shared" si="22"/>
        <v>308</v>
      </c>
      <c r="L82" s="70">
        <f t="shared" si="22"/>
        <v>300</v>
      </c>
      <c r="M82" s="70">
        <f t="shared" si="22"/>
        <v>310.60000000000002</v>
      </c>
      <c r="N82" s="70">
        <f t="shared" si="22"/>
        <v>288.60000000000002</v>
      </c>
      <c r="O82" s="70">
        <f t="shared" si="22"/>
        <v>254</v>
      </c>
      <c r="P82" s="70">
        <f t="shared" si="22"/>
        <v>266.89999999999998</v>
      </c>
      <c r="Q82" s="70">
        <f t="shared" si="22"/>
        <v>266.89999999999998</v>
      </c>
      <c r="R82" s="70">
        <f t="shared" si="22"/>
        <v>255.5</v>
      </c>
      <c r="S82" s="70">
        <f t="shared" si="22"/>
        <v>250</v>
      </c>
      <c r="T82" s="70">
        <f t="shared" si="22"/>
        <v>265</v>
      </c>
      <c r="U82" s="70">
        <f t="shared" si="22"/>
        <v>245</v>
      </c>
      <c r="V82" s="70">
        <f t="shared" si="22"/>
        <v>250</v>
      </c>
      <c r="W82" s="70">
        <f t="shared" si="22"/>
        <v>290</v>
      </c>
      <c r="X82" s="70">
        <f t="shared" si="22"/>
        <v>320</v>
      </c>
      <c r="Y82" s="70">
        <f t="shared" si="22"/>
        <v>280</v>
      </c>
      <c r="Z82" s="70">
        <f t="shared" si="22"/>
        <v>256</v>
      </c>
      <c r="AA82" s="70">
        <f t="shared" si="22"/>
        <v>210</v>
      </c>
      <c r="AB82" s="70">
        <f t="shared" si="22"/>
        <v>200.1</v>
      </c>
      <c r="AC82" s="70">
        <f t="shared" si="22"/>
        <v>205.2</v>
      </c>
      <c r="AD82" s="70">
        <f t="shared" si="22"/>
        <v>220.5</v>
      </c>
      <c r="AE82" s="70">
        <f t="shared" si="22"/>
        <v>300.5</v>
      </c>
      <c r="AF82" s="70">
        <f t="shared" si="22"/>
        <v>305.89999999999998</v>
      </c>
      <c r="AG82" s="74">
        <f t="shared" si="22"/>
        <v>0</v>
      </c>
      <c r="AH82" s="55">
        <f t="shared" si="16"/>
        <v>390</v>
      </c>
      <c r="AI82" s="56">
        <f t="shared" si="17"/>
        <v>200.1</v>
      </c>
      <c r="AK82" s="57"/>
    </row>
    <row r="83" spans="1:88" s="1" customFormat="1" ht="15.75" thickBot="1" x14ac:dyDescent="0.3">
      <c r="A83" s="69" t="s">
        <v>88</v>
      </c>
      <c r="B83" s="70">
        <v>-245.4</v>
      </c>
      <c r="C83" s="70">
        <f t="shared" ref="C83:AF83" si="23">C68-C82</f>
        <v>-318.8</v>
      </c>
      <c r="D83" s="70">
        <f t="shared" si="23"/>
        <v>-333.3</v>
      </c>
      <c r="E83" s="70">
        <f t="shared" si="23"/>
        <v>-347.4</v>
      </c>
      <c r="F83" s="70">
        <f t="shared" si="23"/>
        <v>-337.9</v>
      </c>
      <c r="G83" s="70">
        <f t="shared" si="23"/>
        <v>-345.8</v>
      </c>
      <c r="H83" s="70">
        <f t="shared" si="23"/>
        <v>-348</v>
      </c>
      <c r="I83" s="70">
        <f t="shared" si="23"/>
        <v>-348</v>
      </c>
      <c r="J83" s="70">
        <f t="shared" si="23"/>
        <v>-309.8</v>
      </c>
      <c r="K83" s="70">
        <f t="shared" si="23"/>
        <v>-268.7</v>
      </c>
      <c r="L83" s="70">
        <f t="shared" si="23"/>
        <v>-266.7</v>
      </c>
      <c r="M83" s="70">
        <f t="shared" si="23"/>
        <v>-277.20000000000005</v>
      </c>
      <c r="N83" s="70">
        <f t="shared" si="23"/>
        <v>-253.50000000000003</v>
      </c>
      <c r="O83" s="70">
        <f t="shared" si="23"/>
        <v>-202.9</v>
      </c>
      <c r="P83" s="70">
        <f t="shared" si="23"/>
        <v>-207.2</v>
      </c>
      <c r="Q83" s="70">
        <f t="shared" si="23"/>
        <v>-203.59999999999997</v>
      </c>
      <c r="R83" s="70">
        <f t="shared" si="23"/>
        <v>-185.6</v>
      </c>
      <c r="S83" s="70">
        <f t="shared" si="23"/>
        <v>-198</v>
      </c>
      <c r="T83" s="70">
        <f t="shared" si="23"/>
        <v>-200</v>
      </c>
      <c r="U83" s="70">
        <f t="shared" si="23"/>
        <v>-186.2</v>
      </c>
      <c r="V83" s="70">
        <f t="shared" si="23"/>
        <v>-183.4</v>
      </c>
      <c r="W83" s="70">
        <f t="shared" si="23"/>
        <v>-222</v>
      </c>
      <c r="X83" s="70">
        <f t="shared" si="23"/>
        <v>-256</v>
      </c>
      <c r="Y83" s="70">
        <f t="shared" si="23"/>
        <v>-236</v>
      </c>
      <c r="Z83" s="70">
        <f t="shared" si="23"/>
        <v>-206</v>
      </c>
      <c r="AA83" s="70">
        <f t="shared" si="23"/>
        <v>-153</v>
      </c>
      <c r="AB83" s="70">
        <f t="shared" si="23"/>
        <v>-126.89999999999999</v>
      </c>
      <c r="AC83" s="70">
        <f t="shared" si="23"/>
        <v>-129.5</v>
      </c>
      <c r="AD83" s="70">
        <f t="shared" si="23"/>
        <v>-144.6</v>
      </c>
      <c r="AE83" s="70">
        <f t="shared" si="23"/>
        <v>-225.3</v>
      </c>
      <c r="AF83" s="70">
        <f t="shared" si="23"/>
        <v>-238.59999999999997</v>
      </c>
      <c r="AG83" s="74">
        <f t="shared" ref="AG83" si="24">SUM(AG70:AG82)</f>
        <v>4360.08</v>
      </c>
      <c r="AH83" s="55">
        <f t="shared" si="16"/>
        <v>-126.89999999999999</v>
      </c>
      <c r="AI83" s="56">
        <f t="shared" si="17"/>
        <v>-348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50.1</v>
      </c>
      <c r="C84" s="90">
        <v>50.02</v>
      </c>
      <c r="D84" s="90">
        <v>49.981999999999999</v>
      </c>
      <c r="E84" s="90">
        <v>50.04</v>
      </c>
      <c r="F84" s="90">
        <v>50.02</v>
      </c>
      <c r="G84" s="90">
        <v>50.06</v>
      </c>
      <c r="H84" s="90">
        <v>50.06</v>
      </c>
      <c r="I84" s="90">
        <v>50.03</v>
      </c>
      <c r="J84" s="90">
        <v>49.89</v>
      </c>
      <c r="K84" s="90">
        <v>50.04</v>
      </c>
      <c r="L84" s="90">
        <v>50.04</v>
      </c>
      <c r="M84" s="90">
        <v>50.057000000000002</v>
      </c>
      <c r="N84" s="90">
        <v>50.085999999999999</v>
      </c>
      <c r="O84" s="90">
        <v>50.067</v>
      </c>
      <c r="P84" s="90">
        <v>49.929000000000002</v>
      </c>
      <c r="Q84" s="90">
        <v>49.929000000000002</v>
      </c>
      <c r="R84" s="90">
        <v>49.97</v>
      </c>
      <c r="S84" s="90">
        <v>49.97</v>
      </c>
      <c r="T84" s="90">
        <v>49.94</v>
      </c>
      <c r="U84" s="90">
        <v>49.976999999999997</v>
      </c>
      <c r="V84" s="90">
        <v>49.96</v>
      </c>
      <c r="W84" s="90">
        <v>50.006999999999998</v>
      </c>
      <c r="X84" s="90">
        <v>49.991</v>
      </c>
      <c r="Y84" s="90">
        <v>50.05</v>
      </c>
      <c r="Z84" s="90">
        <v>50.058999999999997</v>
      </c>
      <c r="AA84" s="90">
        <v>49.869</v>
      </c>
      <c r="AB84" s="90">
        <v>49.902000000000001</v>
      </c>
      <c r="AC84" s="90">
        <v>49.933</v>
      </c>
      <c r="AD84" s="90">
        <v>49.926000000000002</v>
      </c>
      <c r="AE84" s="90">
        <v>50.024999999999999</v>
      </c>
      <c r="AF84" s="90">
        <v>50.051000000000002</v>
      </c>
      <c r="AG84" s="91"/>
      <c r="AH84" s="55">
        <f t="shared" si="16"/>
        <v>50.1</v>
      </c>
      <c r="AI84" s="56">
        <f t="shared" si="17"/>
        <v>49.869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</v>
      </c>
      <c r="C85" s="49">
        <v>124.7</v>
      </c>
      <c r="D85" s="49">
        <v>124.7</v>
      </c>
      <c r="E85" s="49">
        <v>123.9</v>
      </c>
      <c r="F85" s="49">
        <v>124.7</v>
      </c>
      <c r="G85" s="49">
        <v>125</v>
      </c>
      <c r="H85" s="49">
        <v>124</v>
      </c>
      <c r="I85" s="49">
        <v>123.9</v>
      </c>
      <c r="J85" s="49">
        <v>122.6</v>
      </c>
      <c r="K85" s="49">
        <v>122.9</v>
      </c>
      <c r="L85" s="49">
        <v>121.8</v>
      </c>
      <c r="M85" s="49">
        <v>122</v>
      </c>
      <c r="N85" s="49">
        <v>120.2</v>
      </c>
      <c r="O85" s="49">
        <v>121</v>
      </c>
      <c r="P85" s="49">
        <v>121.3</v>
      </c>
      <c r="Q85" s="49">
        <v>121.3</v>
      </c>
      <c r="R85" s="49">
        <v>122</v>
      </c>
      <c r="S85" s="49">
        <v>122</v>
      </c>
      <c r="T85" s="49">
        <v>122</v>
      </c>
      <c r="U85" s="49">
        <v>121.6</v>
      </c>
      <c r="V85" s="49">
        <v>125</v>
      </c>
      <c r="W85" s="49">
        <v>126</v>
      </c>
      <c r="X85" s="49">
        <v>126</v>
      </c>
      <c r="Y85" s="49">
        <v>124</v>
      </c>
      <c r="Z85" s="49">
        <v>124</v>
      </c>
      <c r="AA85" s="49">
        <v>122</v>
      </c>
      <c r="AB85" s="49">
        <v>123.9</v>
      </c>
      <c r="AC85" s="49">
        <v>124.6</v>
      </c>
      <c r="AD85" s="49">
        <v>123.5</v>
      </c>
      <c r="AE85" s="49">
        <v>123.7</v>
      </c>
      <c r="AF85" s="49">
        <v>124</v>
      </c>
      <c r="AG85" s="93"/>
      <c r="AH85" s="55">
        <f t="shared" si="16"/>
        <v>126</v>
      </c>
      <c r="AI85" s="56">
        <f t="shared" si="17"/>
        <v>120.2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</v>
      </c>
      <c r="C86" s="49">
        <v>129.5</v>
      </c>
      <c r="D86" s="49">
        <v>129.5</v>
      </c>
      <c r="E86" s="49">
        <v>129.30000000000001</v>
      </c>
      <c r="F86" s="49">
        <v>129.19999999999999</v>
      </c>
      <c r="G86" s="49">
        <v>129.5</v>
      </c>
      <c r="H86" s="49">
        <v>129.5</v>
      </c>
      <c r="I86" s="49">
        <v>128</v>
      </c>
      <c r="J86" s="49">
        <v>126.9</v>
      </c>
      <c r="K86" s="49">
        <v>26.5</v>
      </c>
      <c r="L86" s="49">
        <v>126</v>
      </c>
      <c r="M86" s="49">
        <v>125.9</v>
      </c>
      <c r="N86" s="49">
        <v>124.5</v>
      </c>
      <c r="O86" s="49">
        <v>124.5</v>
      </c>
      <c r="P86" s="49">
        <v>125.3</v>
      </c>
      <c r="Q86" s="49">
        <v>125.3</v>
      </c>
      <c r="R86" s="49">
        <v>124.9</v>
      </c>
      <c r="S86" s="49">
        <v>124.9</v>
      </c>
      <c r="T86" s="49">
        <v>125</v>
      </c>
      <c r="U86" s="49">
        <v>125.3</v>
      </c>
      <c r="V86" s="49">
        <v>128</v>
      </c>
      <c r="W86" s="49">
        <v>129</v>
      </c>
      <c r="X86" s="49">
        <v>129</v>
      </c>
      <c r="Y86" s="49">
        <v>128</v>
      </c>
      <c r="Z86" s="49">
        <v>128</v>
      </c>
      <c r="AA86" s="49">
        <v>127</v>
      </c>
      <c r="AB86" s="49">
        <v>128</v>
      </c>
      <c r="AC86" s="49">
        <v>128.80000000000001</v>
      </c>
      <c r="AD86" s="49">
        <v>127.4</v>
      </c>
      <c r="AE86" s="49">
        <v>128.5</v>
      </c>
      <c r="AF86" s="49">
        <v>128.69999999999999</v>
      </c>
      <c r="AG86" s="93"/>
      <c r="AH86" s="55">
        <f t="shared" si="16"/>
        <v>129.5</v>
      </c>
      <c r="AI86" s="56">
        <f t="shared" si="17"/>
        <v>26.5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</v>
      </c>
      <c r="C87" s="49">
        <v>127</v>
      </c>
      <c r="D87" s="49">
        <v>127</v>
      </c>
      <c r="E87" s="49">
        <v>127.9</v>
      </c>
      <c r="F87" s="49">
        <v>127.1</v>
      </c>
      <c r="G87" s="49">
        <v>129.19999999999999</v>
      </c>
      <c r="H87" s="49">
        <v>129.19999999999999</v>
      </c>
      <c r="I87" s="49">
        <v>126.1</v>
      </c>
      <c r="J87" s="49">
        <v>125.3</v>
      </c>
      <c r="K87" s="49">
        <v>122.9</v>
      </c>
      <c r="L87" s="49">
        <v>124</v>
      </c>
      <c r="M87" s="49">
        <v>122.9</v>
      </c>
      <c r="N87" s="49">
        <v>122.2</v>
      </c>
      <c r="O87" s="49">
        <v>122.2</v>
      </c>
      <c r="P87" s="49">
        <v>119</v>
      </c>
      <c r="Q87" s="49">
        <v>119</v>
      </c>
      <c r="R87" s="49">
        <v>125.5</v>
      </c>
      <c r="S87" s="49">
        <v>125.5</v>
      </c>
      <c r="T87" s="49">
        <v>125</v>
      </c>
      <c r="U87" s="49">
        <v>123.4</v>
      </c>
      <c r="V87" s="49">
        <v>128</v>
      </c>
      <c r="W87" s="49">
        <v>124</v>
      </c>
      <c r="X87" s="49">
        <v>124</v>
      </c>
      <c r="Y87" s="49">
        <v>125</v>
      </c>
      <c r="Z87" s="49">
        <v>127</v>
      </c>
      <c r="AA87" s="49">
        <v>127</v>
      </c>
      <c r="AB87" s="49">
        <v>123.2</v>
      </c>
      <c r="AC87" s="49">
        <v>121.5</v>
      </c>
      <c r="AD87" s="49">
        <v>124</v>
      </c>
      <c r="AE87" s="49">
        <v>124.7</v>
      </c>
      <c r="AF87" s="49">
        <v>124.5</v>
      </c>
      <c r="AG87" s="93"/>
      <c r="AH87" s="55">
        <f t="shared" si="16"/>
        <v>129.19999999999999</v>
      </c>
      <c r="AI87" s="56">
        <f t="shared" si="17"/>
        <v>119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>
        <v>128.5</v>
      </c>
      <c r="S88" s="49">
        <v>128.5</v>
      </c>
      <c r="T88" s="49">
        <v>128</v>
      </c>
      <c r="U88" s="49">
        <v>125</v>
      </c>
      <c r="V88" s="49">
        <v>129.30000000000001</v>
      </c>
      <c r="W88" s="49">
        <v>127</v>
      </c>
      <c r="X88" s="49">
        <v>127</v>
      </c>
      <c r="Y88" s="49">
        <v>128</v>
      </c>
      <c r="Z88" s="49">
        <v>130</v>
      </c>
      <c r="AA88" s="49">
        <v>130</v>
      </c>
      <c r="AB88" s="49">
        <v>127.6</v>
      </c>
      <c r="AC88" s="49">
        <v>126.5</v>
      </c>
      <c r="AD88" s="49">
        <v>128.5</v>
      </c>
      <c r="AE88" s="49">
        <v>130.4</v>
      </c>
      <c r="AF88" s="49">
        <v>130.30000000000001</v>
      </c>
      <c r="AG88" s="93"/>
      <c r="AH88" s="55">
        <f t="shared" si="16"/>
        <v>130.4</v>
      </c>
      <c r="AI88" s="56">
        <f t="shared" si="17"/>
        <v>125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129</v>
      </c>
      <c r="C89" s="95">
        <v>134</v>
      </c>
      <c r="D89" s="95">
        <v>134</v>
      </c>
      <c r="E89" s="95">
        <v>133.5</v>
      </c>
      <c r="F89" s="95">
        <v>131.19999999999999</v>
      </c>
      <c r="G89" s="95">
        <v>132.69999999999999</v>
      </c>
      <c r="H89" s="95">
        <v>132.69999999999999</v>
      </c>
      <c r="I89" s="95">
        <v>134.1</v>
      </c>
      <c r="J89" s="95">
        <v>133.69999999999999</v>
      </c>
      <c r="K89" s="95">
        <v>133.5</v>
      </c>
      <c r="L89" s="95">
        <v>133.30000000000001</v>
      </c>
      <c r="M89" s="95">
        <v>133.1</v>
      </c>
      <c r="N89" s="95">
        <v>134.5</v>
      </c>
      <c r="O89" s="95">
        <v>134.5</v>
      </c>
      <c r="P89" s="95">
        <v>132.1</v>
      </c>
      <c r="Q89" s="95">
        <v>132.1</v>
      </c>
      <c r="R89" s="95">
        <v>128.80000000000001</v>
      </c>
      <c r="S89" s="95">
        <v>128.80000000000001</v>
      </c>
      <c r="T89" s="95">
        <v>33</v>
      </c>
      <c r="U89" s="95">
        <v>132.69999999999999</v>
      </c>
      <c r="V89" s="95">
        <v>134</v>
      </c>
      <c r="W89" s="95">
        <v>133</v>
      </c>
      <c r="X89" s="95">
        <v>133</v>
      </c>
      <c r="Y89" s="95">
        <v>133</v>
      </c>
      <c r="Z89" s="95">
        <v>131</v>
      </c>
      <c r="AA89" s="95">
        <v>131</v>
      </c>
      <c r="AB89" s="95">
        <v>134.9</v>
      </c>
      <c r="AC89" s="95">
        <v>133.5</v>
      </c>
      <c r="AD89" s="95">
        <v>131.69999999999999</v>
      </c>
      <c r="AE89" s="95">
        <v>132.1</v>
      </c>
      <c r="AF89" s="95">
        <v>131.1</v>
      </c>
      <c r="AG89" s="96"/>
      <c r="AH89" s="55">
        <f t="shared" si="16"/>
        <v>134.9</v>
      </c>
      <c r="AI89" s="56">
        <f t="shared" si="17"/>
        <v>33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126</v>
      </c>
      <c r="C90" s="49">
        <v>133</v>
      </c>
      <c r="D90" s="49">
        <v>133</v>
      </c>
      <c r="E90" s="49">
        <v>130.5</v>
      </c>
      <c r="F90" s="49">
        <v>132.19999999999999</v>
      </c>
      <c r="G90" s="49">
        <v>132.19999999999999</v>
      </c>
      <c r="H90" s="49">
        <v>132.19999999999999</v>
      </c>
      <c r="I90" s="49">
        <v>131.80000000000001</v>
      </c>
      <c r="J90" s="49">
        <v>129.30000000000001</v>
      </c>
      <c r="K90" s="49">
        <v>129.69999999999999</v>
      </c>
      <c r="L90" s="49">
        <v>127.3</v>
      </c>
      <c r="M90" s="49">
        <v>129</v>
      </c>
      <c r="N90" s="49">
        <v>128.19999999999999</v>
      </c>
      <c r="O90" s="49">
        <v>128.19999999999999</v>
      </c>
      <c r="P90" s="49">
        <v>126.5</v>
      </c>
      <c r="Q90" s="49">
        <v>126.5</v>
      </c>
      <c r="R90" s="49">
        <v>124.1</v>
      </c>
      <c r="S90" s="49">
        <v>124.1</v>
      </c>
      <c r="T90" s="49">
        <v>120</v>
      </c>
      <c r="U90" s="49">
        <v>131.30000000000001</v>
      </c>
      <c r="V90" s="49">
        <v>125</v>
      </c>
      <c r="W90" s="49">
        <v>124</v>
      </c>
      <c r="X90" s="49">
        <v>124</v>
      </c>
      <c r="Y90" s="49">
        <v>125</v>
      </c>
      <c r="Z90" s="49">
        <v>124</v>
      </c>
      <c r="AA90" s="49">
        <v>124</v>
      </c>
      <c r="AB90" s="49">
        <v>121</v>
      </c>
      <c r="AC90" s="49">
        <v>122.8</v>
      </c>
      <c r="AD90" s="49">
        <v>122.8</v>
      </c>
      <c r="AE90" s="49">
        <v>121.8</v>
      </c>
      <c r="AF90" s="49">
        <v>121.9</v>
      </c>
      <c r="AG90" s="93"/>
      <c r="AH90" s="55">
        <f t="shared" si="16"/>
        <v>133</v>
      </c>
      <c r="AI90" s="56">
        <f t="shared" si="17"/>
        <v>120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</v>
      </c>
      <c r="C91" s="97">
        <v>65.5</v>
      </c>
      <c r="D91" s="97">
        <v>65.5</v>
      </c>
      <c r="E91" s="97">
        <v>65.599999999999994</v>
      </c>
      <c r="F91" s="97">
        <v>65.3</v>
      </c>
      <c r="G91" s="97">
        <v>65</v>
      </c>
      <c r="H91" s="97">
        <v>65</v>
      </c>
      <c r="I91" s="97">
        <v>64.900000000000006</v>
      </c>
      <c r="J91" s="97">
        <v>64.2</v>
      </c>
      <c r="K91" s="97">
        <v>63.9</v>
      </c>
      <c r="L91" s="97">
        <v>63.7</v>
      </c>
      <c r="M91" s="97">
        <v>63.5</v>
      </c>
      <c r="N91" s="97">
        <v>62.8</v>
      </c>
      <c r="O91" s="97">
        <v>62.6</v>
      </c>
      <c r="P91" s="97">
        <v>62.9</v>
      </c>
      <c r="Q91" s="97">
        <v>62.9</v>
      </c>
      <c r="R91" s="97">
        <v>62.7</v>
      </c>
      <c r="S91" s="97">
        <v>62.7</v>
      </c>
      <c r="T91" s="97">
        <v>62.6</v>
      </c>
      <c r="U91" s="97">
        <v>63</v>
      </c>
      <c r="V91" s="97">
        <v>64.3</v>
      </c>
      <c r="W91" s="97">
        <v>64.599999999999994</v>
      </c>
      <c r="X91" s="97">
        <v>64.599999999999994</v>
      </c>
      <c r="Y91" s="97">
        <v>64.7</v>
      </c>
      <c r="Z91" s="97">
        <v>65.2</v>
      </c>
      <c r="AA91" s="97">
        <v>64.2</v>
      </c>
      <c r="AB91" s="97">
        <v>64.8</v>
      </c>
      <c r="AC91" s="97">
        <v>64.5</v>
      </c>
      <c r="AD91" s="97">
        <v>64.3</v>
      </c>
      <c r="AE91" s="97">
        <v>65.2</v>
      </c>
      <c r="AF91" s="97">
        <v>65</v>
      </c>
      <c r="AG91" s="98"/>
      <c r="AH91" s="55">
        <f t="shared" si="16"/>
        <v>65.599999999999994</v>
      </c>
      <c r="AI91" s="56">
        <f t="shared" si="17"/>
        <v>62.6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5">SUM(B15,B18,B21:B22,B42,B44:B45,B47,B49,B94:B97,B103,B109,B115,B124,B126,B138,B145,B148:B149,B156,B158,B160,B164:B166,B168:B170,B175,B181:B182,B184:B186,B194,B199)</f>
        <v>253.73999999999995</v>
      </c>
      <c r="C93" s="103">
        <f t="shared" si="25"/>
        <v>255.03999999999994</v>
      </c>
      <c r="D93" s="103">
        <f t="shared" si="25"/>
        <v>249.33999999999995</v>
      </c>
      <c r="E93" s="103">
        <f t="shared" si="25"/>
        <v>233.73999999999995</v>
      </c>
      <c r="F93" s="103">
        <f t="shared" si="25"/>
        <v>241.23999999999995</v>
      </c>
      <c r="G93" s="103">
        <f t="shared" si="25"/>
        <v>255.64</v>
      </c>
      <c r="H93" s="103">
        <f t="shared" si="25"/>
        <v>255.64</v>
      </c>
      <c r="I93" s="103">
        <f t="shared" si="25"/>
        <v>266.24</v>
      </c>
      <c r="J93" s="103">
        <f t="shared" si="25"/>
        <v>293.84000000000003</v>
      </c>
      <c r="K93" s="103">
        <f t="shared" si="25"/>
        <v>318.14</v>
      </c>
      <c r="L93" s="103">
        <f t="shared" si="25"/>
        <v>322.74</v>
      </c>
      <c r="M93" s="103">
        <f t="shared" si="25"/>
        <v>331.44</v>
      </c>
      <c r="N93" s="103">
        <f t="shared" si="25"/>
        <v>342.44</v>
      </c>
      <c r="O93" s="103">
        <f t="shared" si="25"/>
        <v>350.14</v>
      </c>
      <c r="P93" s="103">
        <f t="shared" si="25"/>
        <v>352.74</v>
      </c>
      <c r="Q93" s="103">
        <f t="shared" si="25"/>
        <v>352.74</v>
      </c>
      <c r="R93" s="103">
        <f t="shared" si="25"/>
        <v>326.84000000000003</v>
      </c>
      <c r="S93" s="103">
        <f t="shared" si="25"/>
        <v>339.24</v>
      </c>
      <c r="T93" s="103">
        <f t="shared" si="25"/>
        <v>328.24</v>
      </c>
      <c r="U93" s="103">
        <f t="shared" si="25"/>
        <v>302.64000000000004</v>
      </c>
      <c r="V93" s="103">
        <f t="shared" si="25"/>
        <v>312.24</v>
      </c>
      <c r="W93" s="103">
        <f t="shared" si="25"/>
        <v>304.74</v>
      </c>
      <c r="X93" s="103">
        <f t="shared" si="25"/>
        <v>275.74</v>
      </c>
      <c r="Y93" s="103">
        <f t="shared" si="25"/>
        <v>336.74</v>
      </c>
      <c r="Z93" s="103">
        <f t="shared" si="25"/>
        <v>337.74</v>
      </c>
      <c r="AA93" s="103">
        <f t="shared" si="25"/>
        <v>357.74</v>
      </c>
      <c r="AB93" s="103">
        <f t="shared" si="25"/>
        <v>373.64</v>
      </c>
      <c r="AC93" s="103">
        <f t="shared" si="25"/>
        <v>354.04</v>
      </c>
      <c r="AD93" s="103">
        <f t="shared" si="25"/>
        <v>308.54000000000002</v>
      </c>
      <c r="AE93" s="103">
        <f t="shared" si="25"/>
        <v>290.94000000000005</v>
      </c>
      <c r="AF93" s="103">
        <f t="shared" si="25"/>
        <v>243.43999999999997</v>
      </c>
      <c r="AG93" s="104"/>
      <c r="AH93" s="55">
        <f>MAX(C93:AF93)</f>
        <v>373.64</v>
      </c>
      <c r="AI93" s="56">
        <f>MIN(C93:AF93)</f>
        <v>233.73999999999995</v>
      </c>
    </row>
    <row r="94" spans="1:88" x14ac:dyDescent="0.25">
      <c r="A94" s="105" t="s">
        <v>98</v>
      </c>
      <c r="B94" s="106">
        <v>24</v>
      </c>
      <c r="C94" s="106">
        <v>11.7</v>
      </c>
      <c r="D94" s="106">
        <v>21</v>
      </c>
      <c r="E94" s="106">
        <v>23.2</v>
      </c>
      <c r="F94" s="106">
        <v>14.8</v>
      </c>
      <c r="G94" s="106">
        <v>25.4</v>
      </c>
      <c r="H94" s="106">
        <v>25.4</v>
      </c>
      <c r="I94" s="106">
        <v>26.8</v>
      </c>
      <c r="J94" s="106">
        <v>32.200000000000003</v>
      </c>
      <c r="K94" s="106">
        <v>28.6</v>
      </c>
      <c r="L94" s="106">
        <v>32.299999999999997</v>
      </c>
      <c r="M94" s="106">
        <v>34</v>
      </c>
      <c r="N94" s="106">
        <v>35.5</v>
      </c>
      <c r="O94" s="106">
        <v>30</v>
      </c>
      <c r="P94" s="106">
        <v>27.3</v>
      </c>
      <c r="Q94" s="106">
        <v>27.3</v>
      </c>
      <c r="R94" s="106">
        <v>26.8</v>
      </c>
      <c r="S94" s="106">
        <v>19</v>
      </c>
      <c r="T94" s="106">
        <v>28</v>
      </c>
      <c r="U94" s="106">
        <v>32.6</v>
      </c>
      <c r="V94" s="106">
        <v>49</v>
      </c>
      <c r="W94" s="106">
        <v>37</v>
      </c>
      <c r="X94" s="106">
        <v>40</v>
      </c>
      <c r="Y94" s="106">
        <v>38</v>
      </c>
      <c r="Z94" s="106">
        <v>33</v>
      </c>
      <c r="AA94" s="106">
        <v>22</v>
      </c>
      <c r="AB94" s="106">
        <v>19.7</v>
      </c>
      <c r="AC94" s="106">
        <v>23.4</v>
      </c>
      <c r="AD94" s="106">
        <v>19.600000000000001</v>
      </c>
      <c r="AE94" s="106">
        <v>25.8</v>
      </c>
      <c r="AF94" s="106">
        <v>22.9</v>
      </c>
      <c r="AG94" s="107">
        <v>75</v>
      </c>
      <c r="AH94" s="55">
        <f t="shared" ref="AH94:AH100" si="26">IF(ABS(MAX(C94:AF94))&gt;ABS(MIN(C94:AF94)),MAX(C94:AF94),MIN(C94:AF94))</f>
        <v>49</v>
      </c>
      <c r="AI94" s="108">
        <f t="shared" ref="AI94:AI100" si="27">INDEX($C$9:$AF$9,1,MATCH(AH94,C94:AF94,0))</f>
        <v>0.70833333333333304</v>
      </c>
    </row>
    <row r="95" spans="1:88" x14ac:dyDescent="0.25">
      <c r="A95" s="109" t="s">
        <v>99</v>
      </c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5">
        <f t="shared" si="26"/>
        <v>0</v>
      </c>
      <c r="AI95" s="108" t="e">
        <f t="shared" si="27"/>
        <v>#N/A</v>
      </c>
    </row>
    <row r="96" spans="1:88" x14ac:dyDescent="0.25">
      <c r="A96" s="109" t="s">
        <v>100</v>
      </c>
      <c r="B96" s="110">
        <v>-7</v>
      </c>
      <c r="C96" s="110">
        <v>6.6</v>
      </c>
      <c r="D96" s="110">
        <v>-8.4</v>
      </c>
      <c r="E96" s="110">
        <v>-15.3</v>
      </c>
      <c r="F96" s="110">
        <v>-9.8000000000000007</v>
      </c>
      <c r="G96" s="110">
        <v>-6.6</v>
      </c>
      <c r="H96" s="110">
        <v>-6.6</v>
      </c>
      <c r="I96" s="110">
        <v>2.6</v>
      </c>
      <c r="J96" s="110">
        <v>-2.7</v>
      </c>
      <c r="K96" s="110">
        <v>0.2</v>
      </c>
      <c r="L96" s="110">
        <v>4.0999999999999996</v>
      </c>
      <c r="M96" s="110">
        <v>4.0999999999999996</v>
      </c>
      <c r="N96" s="110">
        <v>5.5</v>
      </c>
      <c r="O96" s="110">
        <v>27.3</v>
      </c>
      <c r="P96" s="110">
        <v>46.9</v>
      </c>
      <c r="Q96" s="110">
        <v>46.9</v>
      </c>
      <c r="R96" s="110">
        <v>17.600000000000001</v>
      </c>
      <c r="S96" s="110">
        <v>35</v>
      </c>
      <c r="T96" s="110">
        <v>21</v>
      </c>
      <c r="U96" s="110">
        <v>46.6</v>
      </c>
      <c r="V96" s="110">
        <v>38.5</v>
      </c>
      <c r="W96" s="110">
        <v>43</v>
      </c>
      <c r="X96" s="110">
        <v>11</v>
      </c>
      <c r="Y96" s="110">
        <v>12</v>
      </c>
      <c r="Z96" s="110">
        <v>18</v>
      </c>
      <c r="AA96" s="110">
        <v>41</v>
      </c>
      <c r="AB96" s="110">
        <v>41</v>
      </c>
      <c r="AC96" s="110">
        <v>36.700000000000003</v>
      </c>
      <c r="AD96" s="110">
        <v>39.700000000000003</v>
      </c>
      <c r="AE96" s="110">
        <v>21.1</v>
      </c>
      <c r="AF96" s="110">
        <v>7</v>
      </c>
      <c r="AG96" s="107">
        <v>60</v>
      </c>
      <c r="AH96" s="55">
        <f t="shared" si="26"/>
        <v>46.9</v>
      </c>
      <c r="AI96" s="108">
        <f t="shared" si="27"/>
        <v>0.45833333333333298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27.5</v>
      </c>
      <c r="K97" s="112">
        <v>52.5</v>
      </c>
      <c r="L97" s="112">
        <v>49.5</v>
      </c>
      <c r="M97" s="112">
        <v>48.1</v>
      </c>
      <c r="N97" s="112">
        <v>56.2</v>
      </c>
      <c r="O97" s="112">
        <v>69.599999999999994</v>
      </c>
      <c r="P97" s="112">
        <v>55.3</v>
      </c>
      <c r="Q97" s="112">
        <v>55.3</v>
      </c>
      <c r="R97" s="112">
        <v>59.2</v>
      </c>
      <c r="S97" s="112">
        <v>62</v>
      </c>
      <c r="T97" s="112">
        <v>56</v>
      </c>
      <c r="U97" s="112">
        <v>0</v>
      </c>
      <c r="V97" s="112">
        <v>0</v>
      </c>
      <c r="W97" s="112">
        <v>0</v>
      </c>
      <c r="X97" s="112">
        <v>0</v>
      </c>
      <c r="Y97" s="112">
        <v>62</v>
      </c>
      <c r="Z97" s="112">
        <v>62</v>
      </c>
      <c r="AA97" s="112">
        <v>70</v>
      </c>
      <c r="AB97" s="112">
        <v>74.5</v>
      </c>
      <c r="AC97" s="112">
        <v>56</v>
      </c>
      <c r="AD97" s="112">
        <v>49.2</v>
      </c>
      <c r="AE97" s="112">
        <v>24</v>
      </c>
      <c r="AF97" s="112">
        <v>0</v>
      </c>
      <c r="AG97" s="113">
        <v>120</v>
      </c>
      <c r="AH97" s="55">
        <f t="shared" si="26"/>
        <v>74.5</v>
      </c>
      <c r="AI97" s="108">
        <f t="shared" si="27"/>
        <v>0.83333333333333337</v>
      </c>
    </row>
    <row r="98" spans="1:37" x14ac:dyDescent="0.25">
      <c r="A98" s="111" t="s">
        <v>102</v>
      </c>
      <c r="B98" s="112">
        <v>24.8</v>
      </c>
      <c r="C98" s="112">
        <v>33</v>
      </c>
      <c r="D98" s="112">
        <v>27</v>
      </c>
      <c r="E98" s="112">
        <v>26.5</v>
      </c>
      <c r="F98" s="112">
        <v>29.4</v>
      </c>
      <c r="G98" s="112">
        <v>35.4</v>
      </c>
      <c r="H98" s="112">
        <v>35.4</v>
      </c>
      <c r="I98" s="112">
        <v>51</v>
      </c>
      <c r="J98" s="112">
        <v>39</v>
      </c>
      <c r="K98" s="112">
        <v>54.9</v>
      </c>
      <c r="L98" s="112">
        <v>53.9</v>
      </c>
      <c r="M98" s="112">
        <v>52.5</v>
      </c>
      <c r="N98" s="112">
        <v>63.7</v>
      </c>
      <c r="O98" s="112">
        <v>66.3</v>
      </c>
      <c r="P98" s="112">
        <v>57.5</v>
      </c>
      <c r="Q98" s="112">
        <v>57.5</v>
      </c>
      <c r="R98" s="112">
        <v>63.8</v>
      </c>
      <c r="S98" s="112">
        <v>68</v>
      </c>
      <c r="T98" s="112">
        <v>62</v>
      </c>
      <c r="U98" s="112">
        <v>54.1</v>
      </c>
      <c r="V98" s="112">
        <v>49</v>
      </c>
      <c r="W98" s="112">
        <v>41</v>
      </c>
      <c r="X98" s="112">
        <v>59</v>
      </c>
      <c r="Y98" s="112">
        <v>51</v>
      </c>
      <c r="Z98" s="112">
        <v>53</v>
      </c>
      <c r="AA98" s="112">
        <v>62</v>
      </c>
      <c r="AB98" s="112">
        <v>64.099999999999994</v>
      </c>
      <c r="AC98" s="112">
        <v>46.3</v>
      </c>
      <c r="AD98" s="112">
        <v>52.6</v>
      </c>
      <c r="AE98" s="112">
        <v>35.6</v>
      </c>
      <c r="AF98" s="112">
        <v>35.700000000000003</v>
      </c>
      <c r="AG98" s="113"/>
      <c r="AH98" s="55">
        <f t="shared" si="26"/>
        <v>68</v>
      </c>
      <c r="AI98" s="108">
        <f t="shared" si="27"/>
        <v>0.58333333333333304</v>
      </c>
    </row>
    <row r="99" spans="1:37" x14ac:dyDescent="0.25">
      <c r="A99" s="111" t="s">
        <v>253</v>
      </c>
      <c r="B99" s="112">
        <v>4</v>
      </c>
      <c r="C99" s="112">
        <v>57</v>
      </c>
      <c r="D99" s="112">
        <v>13.4</v>
      </c>
      <c r="E99" s="112">
        <v>-14.1</v>
      </c>
      <c r="F99" s="112">
        <v>3.5</v>
      </c>
      <c r="G99" s="112">
        <v>-2.8</v>
      </c>
      <c r="H99" s="112">
        <v>-2.8</v>
      </c>
      <c r="I99" s="112">
        <v>-2.8</v>
      </c>
      <c r="J99" s="112">
        <v>-24.8</v>
      </c>
      <c r="K99" s="112">
        <v>-9.5</v>
      </c>
      <c r="L99" s="112">
        <v>-17.899999999999999</v>
      </c>
      <c r="M99" s="112">
        <v>-25.6</v>
      </c>
      <c r="N99" s="112">
        <v>-20.100000000000001</v>
      </c>
      <c r="O99" s="112">
        <v>0</v>
      </c>
      <c r="P99" s="112">
        <v>-3.1</v>
      </c>
      <c r="Q99" s="112">
        <v>-3.1</v>
      </c>
      <c r="R99" s="112">
        <v>10.9</v>
      </c>
      <c r="S99" s="112">
        <v>25</v>
      </c>
      <c r="T99" s="112">
        <v>0</v>
      </c>
      <c r="U99" s="112">
        <v>1</v>
      </c>
      <c r="V99" s="112">
        <v>5.4</v>
      </c>
      <c r="W99" s="112">
        <v>-7.5</v>
      </c>
      <c r="X99" s="112">
        <v>-12</v>
      </c>
      <c r="Y99" s="112">
        <v>-30</v>
      </c>
      <c r="Z99" s="112">
        <v>-4</v>
      </c>
      <c r="AA99" s="112">
        <v>25</v>
      </c>
      <c r="AB99" s="112">
        <v>40.6</v>
      </c>
      <c r="AC99" s="112">
        <v>24</v>
      </c>
      <c r="AD99" s="112">
        <v>35.200000000000003</v>
      </c>
      <c r="AE99" s="112">
        <v>11.3</v>
      </c>
      <c r="AF99" s="112">
        <v>3.9</v>
      </c>
      <c r="AG99" s="114"/>
      <c r="AH99" s="55">
        <f t="shared" si="26"/>
        <v>57</v>
      </c>
      <c r="AI99" s="108">
        <f t="shared" si="27"/>
        <v>4.1666666666666664E-2</v>
      </c>
    </row>
    <row r="100" spans="1:37" ht="15.75" thickBot="1" x14ac:dyDescent="0.3">
      <c r="A100" s="115" t="s">
        <v>221</v>
      </c>
      <c r="B100" s="95">
        <v>101</v>
      </c>
      <c r="C100" s="95">
        <v>97.2</v>
      </c>
      <c r="D100" s="95">
        <v>102</v>
      </c>
      <c r="E100" s="95">
        <v>106</v>
      </c>
      <c r="F100" s="95">
        <v>91.4</v>
      </c>
      <c r="G100" s="95">
        <v>86.2</v>
      </c>
      <c r="H100" s="95">
        <v>86.2</v>
      </c>
      <c r="I100" s="95">
        <v>69</v>
      </c>
      <c r="J100" s="95">
        <v>82.5</v>
      </c>
      <c r="K100" s="95">
        <v>61.3</v>
      </c>
      <c r="L100" s="95">
        <v>63.5</v>
      </c>
      <c r="M100" s="95">
        <v>67.8</v>
      </c>
      <c r="N100" s="95">
        <v>63.2</v>
      </c>
      <c r="O100" s="95">
        <v>57.4</v>
      </c>
      <c r="P100" s="95">
        <v>80.2</v>
      </c>
      <c r="Q100" s="95">
        <v>80.2</v>
      </c>
      <c r="R100" s="95">
        <v>71.5</v>
      </c>
      <c r="S100" s="95">
        <v>73</v>
      </c>
      <c r="T100" s="95">
        <v>76</v>
      </c>
      <c r="U100" s="95">
        <v>83.1</v>
      </c>
      <c r="V100" s="95">
        <v>71.400000000000006</v>
      </c>
      <c r="W100" s="95">
        <v>78</v>
      </c>
      <c r="X100" s="95">
        <v>60</v>
      </c>
      <c r="Y100" s="95">
        <v>70</v>
      </c>
      <c r="Z100" s="95">
        <v>58</v>
      </c>
      <c r="AA100" s="95">
        <v>56</v>
      </c>
      <c r="AB100" s="95">
        <v>72.2</v>
      </c>
      <c r="AC100" s="95">
        <v>78.5</v>
      </c>
      <c r="AD100" s="95">
        <v>82.2</v>
      </c>
      <c r="AE100" s="95">
        <v>100.2</v>
      </c>
      <c r="AF100" s="95">
        <v>99.5</v>
      </c>
      <c r="AG100" s="114"/>
      <c r="AH100" s="55">
        <f t="shared" si="26"/>
        <v>106</v>
      </c>
      <c r="AI100" s="108">
        <f t="shared" si="27"/>
        <v>0.125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8">AF102</f>
        <v>9.9</v>
      </c>
      <c r="C102" s="54">
        <v>9.9</v>
      </c>
      <c r="D102" s="121">
        <f t="shared" ref="D102:S107" si="29">C102</f>
        <v>9.9</v>
      </c>
      <c r="E102" s="121">
        <f t="shared" si="29"/>
        <v>9.9</v>
      </c>
      <c r="F102" s="121">
        <f t="shared" si="29"/>
        <v>9.9</v>
      </c>
      <c r="G102" s="121">
        <f t="shared" si="29"/>
        <v>9.9</v>
      </c>
      <c r="H102" s="121">
        <f t="shared" si="29"/>
        <v>9.9</v>
      </c>
      <c r="I102" s="121">
        <f t="shared" si="29"/>
        <v>9.9</v>
      </c>
      <c r="J102" s="121">
        <f t="shared" si="29"/>
        <v>9.9</v>
      </c>
      <c r="K102" s="121">
        <f t="shared" si="29"/>
        <v>9.9</v>
      </c>
      <c r="L102" s="121">
        <f t="shared" si="29"/>
        <v>9.9</v>
      </c>
      <c r="M102" s="121">
        <f t="shared" si="29"/>
        <v>9.9</v>
      </c>
      <c r="N102" s="121">
        <f t="shared" si="29"/>
        <v>9.9</v>
      </c>
      <c r="O102" s="121">
        <f t="shared" si="29"/>
        <v>9.9</v>
      </c>
      <c r="P102" s="121">
        <f t="shared" si="29"/>
        <v>9.9</v>
      </c>
      <c r="Q102" s="121">
        <f t="shared" si="29"/>
        <v>9.9</v>
      </c>
      <c r="R102" s="121">
        <f t="shared" si="29"/>
        <v>9.9</v>
      </c>
      <c r="S102" s="121">
        <f t="shared" si="29"/>
        <v>9.9</v>
      </c>
      <c r="T102" s="121">
        <f t="shared" ref="T102:AF107" si="30">S102</f>
        <v>9.9</v>
      </c>
      <c r="U102" s="121">
        <f t="shared" si="30"/>
        <v>9.9</v>
      </c>
      <c r="V102" s="121">
        <f t="shared" si="30"/>
        <v>9.9</v>
      </c>
      <c r="W102" s="121">
        <f t="shared" si="30"/>
        <v>9.9</v>
      </c>
      <c r="X102" s="121">
        <f t="shared" si="30"/>
        <v>9.9</v>
      </c>
      <c r="Y102" s="121">
        <f t="shared" si="30"/>
        <v>9.9</v>
      </c>
      <c r="Z102" s="121">
        <f t="shared" si="30"/>
        <v>9.9</v>
      </c>
      <c r="AA102" s="121">
        <f t="shared" si="30"/>
        <v>9.9</v>
      </c>
      <c r="AB102" s="121">
        <f t="shared" si="30"/>
        <v>9.9</v>
      </c>
      <c r="AC102" s="121">
        <f t="shared" si="30"/>
        <v>9.9</v>
      </c>
      <c r="AD102" s="121">
        <f t="shared" si="30"/>
        <v>9.9</v>
      </c>
      <c r="AE102" s="121">
        <f t="shared" si="30"/>
        <v>9.9</v>
      </c>
      <c r="AF102" s="121">
        <f t="shared" si="30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8"/>
        <v>9.6</v>
      </c>
      <c r="C103" s="124">
        <v>9.6</v>
      </c>
      <c r="D103" s="123">
        <f t="shared" si="29"/>
        <v>9.6</v>
      </c>
      <c r="E103" s="123">
        <f t="shared" si="29"/>
        <v>9.6</v>
      </c>
      <c r="F103" s="123">
        <f t="shared" si="29"/>
        <v>9.6</v>
      </c>
      <c r="G103" s="123">
        <f t="shared" si="29"/>
        <v>9.6</v>
      </c>
      <c r="H103" s="123">
        <f t="shared" si="29"/>
        <v>9.6</v>
      </c>
      <c r="I103" s="123">
        <f t="shared" si="29"/>
        <v>9.6</v>
      </c>
      <c r="J103" s="123">
        <f t="shared" si="29"/>
        <v>9.6</v>
      </c>
      <c r="K103" s="123">
        <f t="shared" si="29"/>
        <v>9.6</v>
      </c>
      <c r="L103" s="123">
        <f t="shared" si="29"/>
        <v>9.6</v>
      </c>
      <c r="M103" s="123">
        <f t="shared" si="29"/>
        <v>9.6</v>
      </c>
      <c r="N103" s="123">
        <f t="shared" si="29"/>
        <v>9.6</v>
      </c>
      <c r="O103" s="123">
        <f t="shared" si="29"/>
        <v>9.6</v>
      </c>
      <c r="P103" s="123">
        <f t="shared" si="29"/>
        <v>9.6</v>
      </c>
      <c r="Q103" s="123">
        <f t="shared" si="29"/>
        <v>9.6</v>
      </c>
      <c r="R103" s="123">
        <f t="shared" si="29"/>
        <v>9.6</v>
      </c>
      <c r="S103" s="123">
        <f t="shared" si="29"/>
        <v>9.6</v>
      </c>
      <c r="T103" s="123">
        <f t="shared" si="30"/>
        <v>9.6</v>
      </c>
      <c r="U103" s="123">
        <f t="shared" si="30"/>
        <v>9.6</v>
      </c>
      <c r="V103" s="123">
        <f t="shared" si="30"/>
        <v>9.6</v>
      </c>
      <c r="W103" s="123">
        <f t="shared" si="30"/>
        <v>9.6</v>
      </c>
      <c r="X103" s="123">
        <f t="shared" si="30"/>
        <v>9.6</v>
      </c>
      <c r="Y103" s="123">
        <f t="shared" si="30"/>
        <v>9.6</v>
      </c>
      <c r="Z103" s="123">
        <f t="shared" si="30"/>
        <v>9.6</v>
      </c>
      <c r="AA103" s="123">
        <f t="shared" si="30"/>
        <v>9.6</v>
      </c>
      <c r="AB103" s="123">
        <f t="shared" si="30"/>
        <v>9.6</v>
      </c>
      <c r="AC103" s="123">
        <f t="shared" si="30"/>
        <v>9.6</v>
      </c>
      <c r="AD103" s="123">
        <f t="shared" si="30"/>
        <v>9.6</v>
      </c>
      <c r="AE103" s="123">
        <f t="shared" si="30"/>
        <v>9.6</v>
      </c>
      <c r="AF103" s="123">
        <f t="shared" si="30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8"/>
        <v>9.98</v>
      </c>
      <c r="C104" s="124">
        <v>9.98</v>
      </c>
      <c r="D104" s="123">
        <f t="shared" si="29"/>
        <v>9.98</v>
      </c>
      <c r="E104" s="123">
        <f t="shared" si="29"/>
        <v>9.98</v>
      </c>
      <c r="F104" s="123">
        <f t="shared" si="29"/>
        <v>9.98</v>
      </c>
      <c r="G104" s="123">
        <f t="shared" si="29"/>
        <v>9.98</v>
      </c>
      <c r="H104" s="123">
        <f t="shared" si="29"/>
        <v>9.98</v>
      </c>
      <c r="I104" s="123">
        <f t="shared" si="29"/>
        <v>9.98</v>
      </c>
      <c r="J104" s="123">
        <f t="shared" si="29"/>
        <v>9.98</v>
      </c>
      <c r="K104" s="123">
        <f t="shared" si="29"/>
        <v>9.98</v>
      </c>
      <c r="L104" s="123">
        <f t="shared" si="29"/>
        <v>9.98</v>
      </c>
      <c r="M104" s="123">
        <f t="shared" si="29"/>
        <v>9.98</v>
      </c>
      <c r="N104" s="123">
        <f t="shared" si="29"/>
        <v>9.98</v>
      </c>
      <c r="O104" s="123">
        <f t="shared" si="29"/>
        <v>9.98</v>
      </c>
      <c r="P104" s="123">
        <f t="shared" si="29"/>
        <v>9.98</v>
      </c>
      <c r="Q104" s="123">
        <f t="shared" si="29"/>
        <v>9.98</v>
      </c>
      <c r="R104" s="123">
        <f t="shared" si="29"/>
        <v>9.98</v>
      </c>
      <c r="S104" s="123">
        <f t="shared" si="29"/>
        <v>9.98</v>
      </c>
      <c r="T104" s="123">
        <f t="shared" si="30"/>
        <v>9.98</v>
      </c>
      <c r="U104" s="123">
        <f t="shared" si="30"/>
        <v>9.98</v>
      </c>
      <c r="V104" s="123">
        <f t="shared" si="30"/>
        <v>9.98</v>
      </c>
      <c r="W104" s="123">
        <f t="shared" si="30"/>
        <v>9.98</v>
      </c>
      <c r="X104" s="123">
        <f t="shared" si="30"/>
        <v>9.98</v>
      </c>
      <c r="Y104" s="123">
        <f t="shared" si="30"/>
        <v>9.98</v>
      </c>
      <c r="Z104" s="123">
        <f t="shared" si="30"/>
        <v>9.98</v>
      </c>
      <c r="AA104" s="123">
        <f t="shared" si="30"/>
        <v>9.98</v>
      </c>
      <c r="AB104" s="123">
        <f t="shared" si="30"/>
        <v>9.98</v>
      </c>
      <c r="AC104" s="123">
        <f t="shared" si="30"/>
        <v>9.98</v>
      </c>
      <c r="AD104" s="123">
        <f t="shared" si="30"/>
        <v>9.98</v>
      </c>
      <c r="AE104" s="123">
        <f t="shared" si="30"/>
        <v>9.98</v>
      </c>
      <c r="AF104" s="123">
        <f t="shared" si="30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8"/>
        <v>9.1</v>
      </c>
      <c r="C105" s="124">
        <v>9.1</v>
      </c>
      <c r="D105" s="123">
        <f t="shared" si="29"/>
        <v>9.1</v>
      </c>
      <c r="E105" s="123">
        <f t="shared" si="29"/>
        <v>9.1</v>
      </c>
      <c r="F105" s="123">
        <f t="shared" si="29"/>
        <v>9.1</v>
      </c>
      <c r="G105" s="123">
        <f t="shared" si="29"/>
        <v>9.1</v>
      </c>
      <c r="H105" s="123">
        <f t="shared" si="29"/>
        <v>9.1</v>
      </c>
      <c r="I105" s="123">
        <f t="shared" si="29"/>
        <v>9.1</v>
      </c>
      <c r="J105" s="123">
        <f t="shared" si="29"/>
        <v>9.1</v>
      </c>
      <c r="K105" s="123">
        <f t="shared" si="29"/>
        <v>9.1</v>
      </c>
      <c r="L105" s="123">
        <f t="shared" si="29"/>
        <v>9.1</v>
      </c>
      <c r="M105" s="123">
        <f t="shared" si="29"/>
        <v>9.1</v>
      </c>
      <c r="N105" s="123">
        <f t="shared" si="29"/>
        <v>9.1</v>
      </c>
      <c r="O105" s="123">
        <f t="shared" si="29"/>
        <v>9.1</v>
      </c>
      <c r="P105" s="123">
        <f t="shared" si="29"/>
        <v>9.1</v>
      </c>
      <c r="Q105" s="123">
        <f t="shared" si="29"/>
        <v>9.1</v>
      </c>
      <c r="R105" s="123">
        <f t="shared" si="29"/>
        <v>9.1</v>
      </c>
      <c r="S105" s="123">
        <f t="shared" si="29"/>
        <v>9.1</v>
      </c>
      <c r="T105" s="123">
        <f t="shared" si="30"/>
        <v>9.1</v>
      </c>
      <c r="U105" s="123">
        <f t="shared" si="30"/>
        <v>9.1</v>
      </c>
      <c r="V105" s="123">
        <f t="shared" si="30"/>
        <v>9.1</v>
      </c>
      <c r="W105" s="123">
        <f t="shared" si="30"/>
        <v>9.1</v>
      </c>
      <c r="X105" s="123">
        <f t="shared" si="30"/>
        <v>9.1</v>
      </c>
      <c r="Y105" s="123">
        <f t="shared" si="30"/>
        <v>9.1</v>
      </c>
      <c r="Z105" s="123">
        <f t="shared" si="30"/>
        <v>9.1</v>
      </c>
      <c r="AA105" s="123">
        <f t="shared" si="30"/>
        <v>9.1</v>
      </c>
      <c r="AB105" s="123">
        <f t="shared" si="30"/>
        <v>9.1</v>
      </c>
      <c r="AC105" s="123">
        <f t="shared" si="30"/>
        <v>9.1</v>
      </c>
      <c r="AD105" s="123">
        <f t="shared" si="30"/>
        <v>9.1</v>
      </c>
      <c r="AE105" s="123">
        <f t="shared" si="30"/>
        <v>9.1</v>
      </c>
      <c r="AF105" s="123">
        <f t="shared" si="30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8"/>
        <v>9.18</v>
      </c>
      <c r="C106" s="124">
        <v>9.18</v>
      </c>
      <c r="D106" s="123">
        <f t="shared" si="29"/>
        <v>9.18</v>
      </c>
      <c r="E106" s="123">
        <f t="shared" si="29"/>
        <v>9.18</v>
      </c>
      <c r="F106" s="123">
        <f t="shared" si="29"/>
        <v>9.18</v>
      </c>
      <c r="G106" s="123">
        <f t="shared" si="29"/>
        <v>9.18</v>
      </c>
      <c r="H106" s="123">
        <f t="shared" si="29"/>
        <v>9.18</v>
      </c>
      <c r="I106" s="123">
        <f t="shared" si="29"/>
        <v>9.18</v>
      </c>
      <c r="J106" s="123">
        <f t="shared" si="29"/>
        <v>9.18</v>
      </c>
      <c r="K106" s="123">
        <f t="shared" si="29"/>
        <v>9.18</v>
      </c>
      <c r="L106" s="123">
        <f t="shared" si="29"/>
        <v>9.18</v>
      </c>
      <c r="M106" s="123">
        <f t="shared" si="29"/>
        <v>9.18</v>
      </c>
      <c r="N106" s="123">
        <f t="shared" si="29"/>
        <v>9.18</v>
      </c>
      <c r="O106" s="123">
        <f t="shared" si="29"/>
        <v>9.18</v>
      </c>
      <c r="P106" s="123">
        <f t="shared" si="29"/>
        <v>9.18</v>
      </c>
      <c r="Q106" s="123">
        <f t="shared" si="29"/>
        <v>9.18</v>
      </c>
      <c r="R106" s="123">
        <f t="shared" si="29"/>
        <v>9.18</v>
      </c>
      <c r="S106" s="123">
        <f t="shared" si="29"/>
        <v>9.18</v>
      </c>
      <c r="T106" s="123">
        <f t="shared" si="30"/>
        <v>9.18</v>
      </c>
      <c r="U106" s="123">
        <f t="shared" si="30"/>
        <v>9.18</v>
      </c>
      <c r="V106" s="123">
        <f t="shared" si="30"/>
        <v>9.18</v>
      </c>
      <c r="W106" s="123">
        <f t="shared" si="30"/>
        <v>9.18</v>
      </c>
      <c r="X106" s="123">
        <f t="shared" si="30"/>
        <v>9.18</v>
      </c>
      <c r="Y106" s="123">
        <f t="shared" si="30"/>
        <v>9.18</v>
      </c>
      <c r="Z106" s="123">
        <f t="shared" si="30"/>
        <v>9.18</v>
      </c>
      <c r="AA106" s="123">
        <f t="shared" si="30"/>
        <v>9.18</v>
      </c>
      <c r="AB106" s="123">
        <f t="shared" si="30"/>
        <v>9.18</v>
      </c>
      <c r="AC106" s="123">
        <f t="shared" si="30"/>
        <v>9.18</v>
      </c>
      <c r="AD106" s="123">
        <f t="shared" si="30"/>
        <v>9.18</v>
      </c>
      <c r="AE106" s="123">
        <f t="shared" si="30"/>
        <v>9.18</v>
      </c>
      <c r="AF106" s="123">
        <f t="shared" si="30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8"/>
        <v>7</v>
      </c>
      <c r="C107" s="124">
        <v>7</v>
      </c>
      <c r="D107" s="123">
        <f t="shared" si="29"/>
        <v>7</v>
      </c>
      <c r="E107" s="123">
        <f t="shared" si="29"/>
        <v>7</v>
      </c>
      <c r="F107" s="123">
        <f t="shared" si="29"/>
        <v>7</v>
      </c>
      <c r="G107" s="123">
        <f t="shared" si="29"/>
        <v>7</v>
      </c>
      <c r="H107" s="123">
        <f t="shared" si="29"/>
        <v>7</v>
      </c>
      <c r="I107" s="123">
        <f t="shared" si="29"/>
        <v>7</v>
      </c>
      <c r="J107" s="123">
        <f t="shared" si="29"/>
        <v>7</v>
      </c>
      <c r="K107" s="123">
        <f t="shared" si="29"/>
        <v>7</v>
      </c>
      <c r="L107" s="123">
        <f t="shared" si="29"/>
        <v>7</v>
      </c>
      <c r="M107" s="123">
        <f t="shared" si="29"/>
        <v>7</v>
      </c>
      <c r="N107" s="123">
        <f t="shared" si="29"/>
        <v>7</v>
      </c>
      <c r="O107" s="123">
        <f t="shared" si="29"/>
        <v>7</v>
      </c>
      <c r="P107" s="123">
        <f t="shared" si="29"/>
        <v>7</v>
      </c>
      <c r="Q107" s="123">
        <f t="shared" si="29"/>
        <v>7</v>
      </c>
      <c r="R107" s="123">
        <f t="shared" si="29"/>
        <v>7</v>
      </c>
      <c r="S107" s="123">
        <f t="shared" si="29"/>
        <v>7</v>
      </c>
      <c r="T107" s="123">
        <f t="shared" si="30"/>
        <v>7</v>
      </c>
      <c r="U107" s="123">
        <f t="shared" si="30"/>
        <v>7</v>
      </c>
      <c r="V107" s="123">
        <f t="shared" si="30"/>
        <v>7</v>
      </c>
      <c r="W107" s="123">
        <f t="shared" si="30"/>
        <v>7</v>
      </c>
      <c r="X107" s="123">
        <f t="shared" si="30"/>
        <v>7</v>
      </c>
      <c r="Y107" s="123">
        <f t="shared" si="30"/>
        <v>7</v>
      </c>
      <c r="Z107" s="123">
        <f t="shared" si="30"/>
        <v>7</v>
      </c>
      <c r="AA107" s="123">
        <f t="shared" si="30"/>
        <v>7</v>
      </c>
      <c r="AB107" s="123">
        <f t="shared" si="30"/>
        <v>7</v>
      </c>
      <c r="AC107" s="123">
        <f t="shared" si="30"/>
        <v>7</v>
      </c>
      <c r="AD107" s="123">
        <f t="shared" si="30"/>
        <v>7</v>
      </c>
      <c r="AE107" s="123">
        <f t="shared" si="30"/>
        <v>7</v>
      </c>
      <c r="AF107" s="123">
        <f t="shared" si="30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1">C109</f>
        <v>2.25</v>
      </c>
      <c r="E109" s="123">
        <f t="shared" si="31"/>
        <v>2.25</v>
      </c>
      <c r="F109" s="123">
        <f t="shared" si="31"/>
        <v>2.25</v>
      </c>
      <c r="G109" s="123">
        <f t="shared" si="31"/>
        <v>2.25</v>
      </c>
      <c r="H109" s="123">
        <f t="shared" si="31"/>
        <v>2.25</v>
      </c>
      <c r="I109" s="123">
        <f t="shared" si="31"/>
        <v>2.25</v>
      </c>
      <c r="J109" s="123">
        <f t="shared" si="31"/>
        <v>2.25</v>
      </c>
      <c r="K109" s="123">
        <f t="shared" si="31"/>
        <v>2.25</v>
      </c>
      <c r="L109" s="123">
        <f t="shared" si="31"/>
        <v>2.25</v>
      </c>
      <c r="M109" s="123">
        <f t="shared" si="31"/>
        <v>2.25</v>
      </c>
      <c r="N109" s="123">
        <f t="shared" si="31"/>
        <v>2.25</v>
      </c>
      <c r="O109" s="123">
        <f t="shared" si="31"/>
        <v>2.25</v>
      </c>
      <c r="P109" s="123">
        <f t="shared" si="31"/>
        <v>2.25</v>
      </c>
      <c r="Q109" s="123">
        <f t="shared" si="31"/>
        <v>2.25</v>
      </c>
      <c r="R109" s="123">
        <f t="shared" si="31"/>
        <v>2.25</v>
      </c>
      <c r="S109" s="123">
        <f t="shared" si="31"/>
        <v>2.25</v>
      </c>
      <c r="T109" s="123">
        <f t="shared" ref="T109:AF110" si="32">S109</f>
        <v>2.25</v>
      </c>
      <c r="U109" s="123">
        <f t="shared" si="32"/>
        <v>2.25</v>
      </c>
      <c r="V109" s="123">
        <f t="shared" si="32"/>
        <v>2.25</v>
      </c>
      <c r="W109" s="123">
        <f t="shared" si="32"/>
        <v>2.25</v>
      </c>
      <c r="X109" s="123">
        <f t="shared" si="32"/>
        <v>2.25</v>
      </c>
      <c r="Y109" s="123">
        <f t="shared" si="32"/>
        <v>2.25</v>
      </c>
      <c r="Z109" s="123">
        <f t="shared" si="32"/>
        <v>2.25</v>
      </c>
      <c r="AA109" s="123">
        <f t="shared" si="32"/>
        <v>2.25</v>
      </c>
      <c r="AB109" s="123">
        <f t="shared" si="32"/>
        <v>2.25</v>
      </c>
      <c r="AC109" s="123">
        <f t="shared" si="32"/>
        <v>2.25</v>
      </c>
      <c r="AD109" s="123">
        <f t="shared" si="32"/>
        <v>2.25</v>
      </c>
      <c r="AE109" s="123">
        <f t="shared" si="32"/>
        <v>2.25</v>
      </c>
      <c r="AF109" s="123">
        <f t="shared" si="32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1"/>
        <v>1.64</v>
      </c>
      <c r="E110" s="123">
        <f t="shared" si="31"/>
        <v>1.64</v>
      </c>
      <c r="F110" s="123">
        <f t="shared" si="31"/>
        <v>1.64</v>
      </c>
      <c r="G110" s="123">
        <f t="shared" si="31"/>
        <v>1.64</v>
      </c>
      <c r="H110" s="123">
        <f t="shared" si="31"/>
        <v>1.64</v>
      </c>
      <c r="I110" s="123">
        <f t="shared" si="31"/>
        <v>1.64</v>
      </c>
      <c r="J110" s="123">
        <f t="shared" si="31"/>
        <v>1.64</v>
      </c>
      <c r="K110" s="123">
        <f t="shared" si="31"/>
        <v>1.64</v>
      </c>
      <c r="L110" s="123">
        <f t="shared" si="31"/>
        <v>1.64</v>
      </c>
      <c r="M110" s="123">
        <f t="shared" si="31"/>
        <v>1.64</v>
      </c>
      <c r="N110" s="123">
        <f t="shared" si="31"/>
        <v>1.64</v>
      </c>
      <c r="O110" s="123">
        <f t="shared" si="31"/>
        <v>1.64</v>
      </c>
      <c r="P110" s="123">
        <f t="shared" si="31"/>
        <v>1.64</v>
      </c>
      <c r="Q110" s="123">
        <f t="shared" si="31"/>
        <v>1.64</v>
      </c>
      <c r="R110" s="123">
        <f t="shared" si="31"/>
        <v>1.64</v>
      </c>
      <c r="S110" s="123">
        <f t="shared" si="31"/>
        <v>1.64</v>
      </c>
      <c r="T110" s="123">
        <f t="shared" si="32"/>
        <v>1.64</v>
      </c>
      <c r="U110" s="123">
        <f t="shared" si="32"/>
        <v>1.64</v>
      </c>
      <c r="V110" s="123">
        <f t="shared" si="32"/>
        <v>1.64</v>
      </c>
      <c r="W110" s="123">
        <f t="shared" si="32"/>
        <v>1.64</v>
      </c>
      <c r="X110" s="123">
        <f t="shared" si="32"/>
        <v>1.64</v>
      </c>
      <c r="Y110" s="123">
        <f t="shared" si="32"/>
        <v>1.64</v>
      </c>
      <c r="Z110" s="123">
        <f t="shared" si="32"/>
        <v>1.64</v>
      </c>
      <c r="AA110" s="123">
        <f t="shared" si="32"/>
        <v>1.64</v>
      </c>
      <c r="AB110" s="123">
        <f t="shared" si="32"/>
        <v>1.64</v>
      </c>
      <c r="AC110" s="123">
        <f t="shared" si="32"/>
        <v>1.64</v>
      </c>
      <c r="AD110" s="123">
        <f t="shared" si="32"/>
        <v>1.64</v>
      </c>
      <c r="AE110" s="123">
        <f t="shared" si="32"/>
        <v>1.64</v>
      </c>
      <c r="AF110" s="123">
        <f t="shared" si="32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3">AF112</f>
        <v>1.62</v>
      </c>
      <c r="C112" s="124">
        <v>1.62</v>
      </c>
      <c r="D112" s="123">
        <f t="shared" ref="D112:S119" si="34">C112</f>
        <v>1.62</v>
      </c>
      <c r="E112" s="123">
        <f t="shared" si="34"/>
        <v>1.62</v>
      </c>
      <c r="F112" s="123">
        <f t="shared" si="34"/>
        <v>1.62</v>
      </c>
      <c r="G112" s="123">
        <f t="shared" si="34"/>
        <v>1.62</v>
      </c>
      <c r="H112" s="123">
        <f t="shared" si="34"/>
        <v>1.62</v>
      </c>
      <c r="I112" s="123">
        <f t="shared" si="34"/>
        <v>1.62</v>
      </c>
      <c r="J112" s="123">
        <f t="shared" si="34"/>
        <v>1.62</v>
      </c>
      <c r="K112" s="123">
        <f t="shared" si="34"/>
        <v>1.62</v>
      </c>
      <c r="L112" s="123">
        <f t="shared" si="34"/>
        <v>1.62</v>
      </c>
      <c r="M112" s="123">
        <f t="shared" si="34"/>
        <v>1.62</v>
      </c>
      <c r="N112" s="123">
        <f t="shared" si="34"/>
        <v>1.62</v>
      </c>
      <c r="O112" s="123">
        <f t="shared" si="34"/>
        <v>1.62</v>
      </c>
      <c r="P112" s="123">
        <f t="shared" si="34"/>
        <v>1.62</v>
      </c>
      <c r="Q112" s="123">
        <f t="shared" si="34"/>
        <v>1.62</v>
      </c>
      <c r="R112" s="123">
        <f t="shared" si="34"/>
        <v>1.62</v>
      </c>
      <c r="S112" s="123">
        <f t="shared" si="34"/>
        <v>1.62</v>
      </c>
      <c r="T112" s="123">
        <f t="shared" ref="T112:AF127" si="35">S112</f>
        <v>1.62</v>
      </c>
      <c r="U112" s="123">
        <f t="shared" si="35"/>
        <v>1.62</v>
      </c>
      <c r="V112" s="123">
        <f t="shared" si="35"/>
        <v>1.62</v>
      </c>
      <c r="W112" s="123">
        <f t="shared" si="35"/>
        <v>1.62</v>
      </c>
      <c r="X112" s="123">
        <f t="shared" si="35"/>
        <v>1.62</v>
      </c>
      <c r="Y112" s="123">
        <f t="shared" si="35"/>
        <v>1.62</v>
      </c>
      <c r="Z112" s="123">
        <f t="shared" si="35"/>
        <v>1.62</v>
      </c>
      <c r="AA112" s="123">
        <f t="shared" si="35"/>
        <v>1.62</v>
      </c>
      <c r="AB112" s="123">
        <f t="shared" si="35"/>
        <v>1.62</v>
      </c>
      <c r="AC112" s="123">
        <f t="shared" si="35"/>
        <v>1.62</v>
      </c>
      <c r="AD112" s="123">
        <f t="shared" si="35"/>
        <v>1.62</v>
      </c>
      <c r="AE112" s="123">
        <f t="shared" si="35"/>
        <v>1.62</v>
      </c>
      <c r="AF112" s="123">
        <f t="shared" si="35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3"/>
        <v>8.36</v>
      </c>
      <c r="C113" s="124">
        <v>8.36</v>
      </c>
      <c r="D113" s="123">
        <f t="shared" si="34"/>
        <v>8.36</v>
      </c>
      <c r="E113" s="123">
        <f t="shared" si="34"/>
        <v>8.36</v>
      </c>
      <c r="F113" s="123">
        <f t="shared" si="34"/>
        <v>8.36</v>
      </c>
      <c r="G113" s="123">
        <f t="shared" si="34"/>
        <v>8.36</v>
      </c>
      <c r="H113" s="123">
        <f t="shared" si="34"/>
        <v>8.36</v>
      </c>
      <c r="I113" s="123">
        <f t="shared" si="34"/>
        <v>8.36</v>
      </c>
      <c r="J113" s="123">
        <f t="shared" si="34"/>
        <v>8.36</v>
      </c>
      <c r="K113" s="123">
        <f t="shared" si="34"/>
        <v>8.36</v>
      </c>
      <c r="L113" s="123">
        <f t="shared" si="34"/>
        <v>8.36</v>
      </c>
      <c r="M113" s="123">
        <f t="shared" si="34"/>
        <v>8.36</v>
      </c>
      <c r="N113" s="123">
        <f t="shared" si="34"/>
        <v>8.36</v>
      </c>
      <c r="O113" s="123">
        <f t="shared" si="34"/>
        <v>8.36</v>
      </c>
      <c r="P113" s="123">
        <f t="shared" si="34"/>
        <v>8.36</v>
      </c>
      <c r="Q113" s="123">
        <f t="shared" si="34"/>
        <v>8.36</v>
      </c>
      <c r="R113" s="123">
        <f t="shared" si="34"/>
        <v>8.36</v>
      </c>
      <c r="S113" s="123">
        <f t="shared" si="34"/>
        <v>8.36</v>
      </c>
      <c r="T113" s="123">
        <f t="shared" si="35"/>
        <v>8.36</v>
      </c>
      <c r="U113" s="123">
        <f t="shared" si="35"/>
        <v>8.36</v>
      </c>
      <c r="V113" s="123">
        <f t="shared" si="35"/>
        <v>8.36</v>
      </c>
      <c r="W113" s="123">
        <f t="shared" si="35"/>
        <v>8.36</v>
      </c>
      <c r="X113" s="123">
        <f t="shared" si="35"/>
        <v>8.36</v>
      </c>
      <c r="Y113" s="123">
        <f t="shared" si="35"/>
        <v>8.36</v>
      </c>
      <c r="Z113" s="123">
        <f t="shared" si="35"/>
        <v>8.36</v>
      </c>
      <c r="AA113" s="123">
        <f t="shared" si="35"/>
        <v>8.36</v>
      </c>
      <c r="AB113" s="123">
        <f t="shared" si="35"/>
        <v>8.36</v>
      </c>
      <c r="AC113" s="123">
        <f t="shared" si="35"/>
        <v>8.36</v>
      </c>
      <c r="AD113" s="123">
        <f t="shared" si="35"/>
        <v>8.36</v>
      </c>
      <c r="AE113" s="123">
        <f t="shared" si="35"/>
        <v>8.36</v>
      </c>
      <c r="AF113" s="123">
        <f t="shared" si="35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3"/>
        <v>5.4</v>
      </c>
      <c r="C114" s="124">
        <v>8</v>
      </c>
      <c r="D114" s="123">
        <f t="shared" si="34"/>
        <v>8</v>
      </c>
      <c r="E114" s="123">
        <f t="shared" si="34"/>
        <v>8</v>
      </c>
      <c r="F114" s="123">
        <f t="shared" si="34"/>
        <v>8</v>
      </c>
      <c r="G114" s="123">
        <f t="shared" si="34"/>
        <v>8</v>
      </c>
      <c r="H114" s="123">
        <f t="shared" si="34"/>
        <v>8</v>
      </c>
      <c r="I114" s="123">
        <f t="shared" si="34"/>
        <v>8</v>
      </c>
      <c r="J114" s="123">
        <v>5.4</v>
      </c>
      <c r="K114" s="123">
        <f t="shared" si="34"/>
        <v>5.4</v>
      </c>
      <c r="L114" s="123">
        <f t="shared" si="34"/>
        <v>5.4</v>
      </c>
      <c r="M114" s="123">
        <f t="shared" si="34"/>
        <v>5.4</v>
      </c>
      <c r="N114" s="123">
        <f t="shared" si="34"/>
        <v>5.4</v>
      </c>
      <c r="O114" s="123">
        <f t="shared" si="34"/>
        <v>5.4</v>
      </c>
      <c r="P114" s="123">
        <f t="shared" si="34"/>
        <v>5.4</v>
      </c>
      <c r="Q114" s="123">
        <f t="shared" si="34"/>
        <v>5.4</v>
      </c>
      <c r="R114" s="123">
        <f t="shared" si="34"/>
        <v>5.4</v>
      </c>
      <c r="S114" s="123">
        <f t="shared" si="34"/>
        <v>5.4</v>
      </c>
      <c r="T114" s="123">
        <f t="shared" si="35"/>
        <v>5.4</v>
      </c>
      <c r="U114" s="123">
        <f t="shared" si="35"/>
        <v>5.4</v>
      </c>
      <c r="V114" s="123">
        <f t="shared" si="35"/>
        <v>5.4</v>
      </c>
      <c r="W114" s="123">
        <f t="shared" si="35"/>
        <v>5.4</v>
      </c>
      <c r="X114" s="123">
        <f t="shared" si="35"/>
        <v>5.4</v>
      </c>
      <c r="Y114" s="123">
        <f t="shared" si="35"/>
        <v>5.4</v>
      </c>
      <c r="Z114" s="123">
        <f t="shared" si="35"/>
        <v>5.4</v>
      </c>
      <c r="AA114" s="123">
        <f t="shared" si="35"/>
        <v>5.4</v>
      </c>
      <c r="AB114" s="123">
        <f t="shared" si="35"/>
        <v>5.4</v>
      </c>
      <c r="AC114" s="123">
        <f t="shared" si="35"/>
        <v>5.4</v>
      </c>
      <c r="AD114" s="123">
        <f t="shared" si="35"/>
        <v>5.4</v>
      </c>
      <c r="AE114" s="123">
        <f t="shared" si="35"/>
        <v>5.4</v>
      </c>
      <c r="AF114" s="123">
        <f t="shared" si="35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3"/>
        <v>6.57</v>
      </c>
      <c r="C115" s="124">
        <v>6.57</v>
      </c>
      <c r="D115" s="123">
        <f t="shared" si="34"/>
        <v>6.57</v>
      </c>
      <c r="E115" s="123">
        <f t="shared" si="34"/>
        <v>6.57</v>
      </c>
      <c r="F115" s="123">
        <f t="shared" si="34"/>
        <v>6.57</v>
      </c>
      <c r="G115" s="123">
        <f t="shared" si="34"/>
        <v>6.57</v>
      </c>
      <c r="H115" s="123">
        <f t="shared" si="34"/>
        <v>6.57</v>
      </c>
      <c r="I115" s="123">
        <f t="shared" si="34"/>
        <v>6.57</v>
      </c>
      <c r="J115" s="123">
        <f t="shared" si="34"/>
        <v>6.57</v>
      </c>
      <c r="K115" s="123">
        <f t="shared" si="34"/>
        <v>6.57</v>
      </c>
      <c r="L115" s="123">
        <f t="shared" si="34"/>
        <v>6.57</v>
      </c>
      <c r="M115" s="123">
        <f t="shared" si="34"/>
        <v>6.57</v>
      </c>
      <c r="N115" s="123">
        <f t="shared" si="34"/>
        <v>6.57</v>
      </c>
      <c r="O115" s="123">
        <f t="shared" si="34"/>
        <v>6.57</v>
      </c>
      <c r="P115" s="123">
        <f t="shared" si="34"/>
        <v>6.57</v>
      </c>
      <c r="Q115" s="123">
        <f t="shared" si="34"/>
        <v>6.57</v>
      </c>
      <c r="R115" s="123">
        <f t="shared" si="34"/>
        <v>6.57</v>
      </c>
      <c r="S115" s="123">
        <f t="shared" si="34"/>
        <v>6.57</v>
      </c>
      <c r="T115" s="123">
        <f t="shared" si="35"/>
        <v>6.57</v>
      </c>
      <c r="U115" s="123">
        <f t="shared" si="35"/>
        <v>6.57</v>
      </c>
      <c r="V115" s="123">
        <f t="shared" si="35"/>
        <v>6.57</v>
      </c>
      <c r="W115" s="123">
        <f t="shared" si="35"/>
        <v>6.57</v>
      </c>
      <c r="X115" s="123">
        <f t="shared" si="35"/>
        <v>6.57</v>
      </c>
      <c r="Y115" s="123">
        <f t="shared" si="35"/>
        <v>6.57</v>
      </c>
      <c r="Z115" s="123">
        <f t="shared" si="35"/>
        <v>6.57</v>
      </c>
      <c r="AA115" s="123">
        <f t="shared" si="35"/>
        <v>6.57</v>
      </c>
      <c r="AB115" s="123">
        <f t="shared" si="35"/>
        <v>6.57</v>
      </c>
      <c r="AC115" s="123">
        <f t="shared" si="35"/>
        <v>6.57</v>
      </c>
      <c r="AD115" s="123">
        <f t="shared" si="35"/>
        <v>6.57</v>
      </c>
      <c r="AE115" s="123">
        <f t="shared" si="35"/>
        <v>6.57</v>
      </c>
      <c r="AF115" s="123">
        <f t="shared" si="35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3"/>
        <v>3.43</v>
      </c>
      <c r="C116" s="124">
        <v>3.43</v>
      </c>
      <c r="D116" s="123">
        <f t="shared" si="34"/>
        <v>3.43</v>
      </c>
      <c r="E116" s="123">
        <f t="shared" si="34"/>
        <v>3.43</v>
      </c>
      <c r="F116" s="123">
        <f t="shared" si="34"/>
        <v>3.43</v>
      </c>
      <c r="G116" s="123">
        <f t="shared" si="34"/>
        <v>3.43</v>
      </c>
      <c r="H116" s="123">
        <f t="shared" si="34"/>
        <v>3.43</v>
      </c>
      <c r="I116" s="123">
        <f t="shared" si="34"/>
        <v>3.43</v>
      </c>
      <c r="J116" s="123">
        <f t="shared" si="34"/>
        <v>3.43</v>
      </c>
      <c r="K116" s="123">
        <f t="shared" si="34"/>
        <v>3.43</v>
      </c>
      <c r="L116" s="123">
        <f t="shared" si="34"/>
        <v>3.43</v>
      </c>
      <c r="M116" s="123">
        <f t="shared" si="34"/>
        <v>3.43</v>
      </c>
      <c r="N116" s="123">
        <f t="shared" si="34"/>
        <v>3.43</v>
      </c>
      <c r="O116" s="123">
        <f t="shared" si="34"/>
        <v>3.43</v>
      </c>
      <c r="P116" s="123">
        <f t="shared" si="34"/>
        <v>3.43</v>
      </c>
      <c r="Q116" s="123">
        <f t="shared" si="34"/>
        <v>3.43</v>
      </c>
      <c r="R116" s="123">
        <f t="shared" si="34"/>
        <v>3.43</v>
      </c>
      <c r="S116" s="123">
        <f t="shared" si="34"/>
        <v>3.43</v>
      </c>
      <c r="T116" s="123">
        <f t="shared" si="35"/>
        <v>3.43</v>
      </c>
      <c r="U116" s="123">
        <f t="shared" si="35"/>
        <v>3.43</v>
      </c>
      <c r="V116" s="123">
        <f t="shared" si="35"/>
        <v>3.43</v>
      </c>
      <c r="W116" s="123">
        <f t="shared" si="35"/>
        <v>3.43</v>
      </c>
      <c r="X116" s="123">
        <f t="shared" si="35"/>
        <v>3.43</v>
      </c>
      <c r="Y116" s="123">
        <f t="shared" si="35"/>
        <v>3.43</v>
      </c>
      <c r="Z116" s="123">
        <f t="shared" si="35"/>
        <v>3.43</v>
      </c>
      <c r="AA116" s="123">
        <f t="shared" si="35"/>
        <v>3.43</v>
      </c>
      <c r="AB116" s="123">
        <f t="shared" si="35"/>
        <v>3.43</v>
      </c>
      <c r="AC116" s="123">
        <f t="shared" si="35"/>
        <v>3.43</v>
      </c>
      <c r="AD116" s="123">
        <f t="shared" si="35"/>
        <v>3.43</v>
      </c>
      <c r="AE116" s="123">
        <f t="shared" si="35"/>
        <v>3.43</v>
      </c>
      <c r="AF116" s="123">
        <f t="shared" si="35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3"/>
        <v>2.96</v>
      </c>
      <c r="C117" s="124">
        <v>2.96</v>
      </c>
      <c r="D117" s="123">
        <f t="shared" si="34"/>
        <v>2.96</v>
      </c>
      <c r="E117" s="123">
        <f t="shared" si="34"/>
        <v>2.96</v>
      </c>
      <c r="F117" s="123">
        <f t="shared" si="34"/>
        <v>2.96</v>
      </c>
      <c r="G117" s="123">
        <f t="shared" si="34"/>
        <v>2.96</v>
      </c>
      <c r="H117" s="123">
        <f t="shared" si="34"/>
        <v>2.96</v>
      </c>
      <c r="I117" s="123">
        <f t="shared" si="34"/>
        <v>2.96</v>
      </c>
      <c r="J117" s="123">
        <f t="shared" si="34"/>
        <v>2.96</v>
      </c>
      <c r="K117" s="123">
        <f t="shared" si="34"/>
        <v>2.96</v>
      </c>
      <c r="L117" s="123">
        <f t="shared" si="34"/>
        <v>2.96</v>
      </c>
      <c r="M117" s="123">
        <f t="shared" si="34"/>
        <v>2.96</v>
      </c>
      <c r="N117" s="123">
        <f t="shared" si="34"/>
        <v>2.96</v>
      </c>
      <c r="O117" s="123">
        <f t="shared" si="34"/>
        <v>2.96</v>
      </c>
      <c r="P117" s="123">
        <f t="shared" si="34"/>
        <v>2.96</v>
      </c>
      <c r="Q117" s="123">
        <f t="shared" si="34"/>
        <v>2.96</v>
      </c>
      <c r="R117" s="123">
        <f t="shared" si="34"/>
        <v>2.96</v>
      </c>
      <c r="S117" s="123">
        <f t="shared" si="34"/>
        <v>2.96</v>
      </c>
      <c r="T117" s="123">
        <f t="shared" si="35"/>
        <v>2.96</v>
      </c>
      <c r="U117" s="123">
        <f t="shared" si="35"/>
        <v>2.96</v>
      </c>
      <c r="V117" s="123">
        <f t="shared" si="35"/>
        <v>2.96</v>
      </c>
      <c r="W117" s="123">
        <f t="shared" si="35"/>
        <v>2.96</v>
      </c>
      <c r="X117" s="123">
        <f t="shared" si="35"/>
        <v>2.96</v>
      </c>
      <c r="Y117" s="123">
        <f t="shared" si="35"/>
        <v>2.96</v>
      </c>
      <c r="Z117" s="123">
        <f t="shared" si="35"/>
        <v>2.96</v>
      </c>
      <c r="AA117" s="123">
        <f t="shared" si="35"/>
        <v>2.96</v>
      </c>
      <c r="AB117" s="123">
        <f t="shared" si="35"/>
        <v>2.96</v>
      </c>
      <c r="AC117" s="123">
        <f t="shared" si="35"/>
        <v>2.96</v>
      </c>
      <c r="AD117" s="123">
        <f t="shared" si="35"/>
        <v>2.96</v>
      </c>
      <c r="AE117" s="123">
        <f t="shared" si="35"/>
        <v>2.96</v>
      </c>
      <c r="AF117" s="123">
        <f t="shared" si="35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3"/>
        <v>8</v>
      </c>
      <c r="C118" s="124">
        <v>8</v>
      </c>
      <c r="D118" s="123">
        <f t="shared" si="34"/>
        <v>8</v>
      </c>
      <c r="E118" s="123">
        <f t="shared" si="34"/>
        <v>8</v>
      </c>
      <c r="F118" s="123">
        <f t="shared" si="34"/>
        <v>8</v>
      </c>
      <c r="G118" s="123">
        <f t="shared" si="34"/>
        <v>8</v>
      </c>
      <c r="H118" s="123">
        <f t="shared" si="34"/>
        <v>8</v>
      </c>
      <c r="I118" s="123">
        <f t="shared" si="34"/>
        <v>8</v>
      </c>
      <c r="J118" s="123">
        <f t="shared" si="34"/>
        <v>8</v>
      </c>
      <c r="K118" s="123">
        <f t="shared" si="34"/>
        <v>8</v>
      </c>
      <c r="L118" s="123">
        <f t="shared" si="34"/>
        <v>8</v>
      </c>
      <c r="M118" s="123">
        <f t="shared" si="34"/>
        <v>8</v>
      </c>
      <c r="N118" s="123">
        <f t="shared" si="34"/>
        <v>8</v>
      </c>
      <c r="O118" s="123">
        <f t="shared" si="34"/>
        <v>8</v>
      </c>
      <c r="P118" s="123">
        <f t="shared" si="34"/>
        <v>8</v>
      </c>
      <c r="Q118" s="123">
        <f t="shared" si="34"/>
        <v>8</v>
      </c>
      <c r="R118" s="123">
        <f t="shared" si="34"/>
        <v>8</v>
      </c>
      <c r="S118" s="123">
        <f t="shared" si="34"/>
        <v>8</v>
      </c>
      <c r="T118" s="123">
        <f t="shared" si="35"/>
        <v>8</v>
      </c>
      <c r="U118" s="123">
        <f t="shared" si="35"/>
        <v>8</v>
      </c>
      <c r="V118" s="123">
        <f t="shared" si="35"/>
        <v>8</v>
      </c>
      <c r="W118" s="123">
        <f t="shared" si="35"/>
        <v>8</v>
      </c>
      <c r="X118" s="123">
        <f t="shared" si="35"/>
        <v>8</v>
      </c>
      <c r="Y118" s="123">
        <f t="shared" si="35"/>
        <v>8</v>
      </c>
      <c r="Z118" s="123">
        <f t="shared" si="35"/>
        <v>8</v>
      </c>
      <c r="AA118" s="123">
        <f t="shared" si="35"/>
        <v>8</v>
      </c>
      <c r="AB118" s="123">
        <f t="shared" si="35"/>
        <v>8</v>
      </c>
      <c r="AC118" s="123">
        <f t="shared" si="35"/>
        <v>8</v>
      </c>
      <c r="AD118" s="123">
        <f t="shared" si="35"/>
        <v>8</v>
      </c>
      <c r="AE118" s="123">
        <f t="shared" si="35"/>
        <v>8</v>
      </c>
      <c r="AF118" s="123">
        <f t="shared" si="35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3"/>
        <v>7</v>
      </c>
      <c r="C119" s="124">
        <v>7</v>
      </c>
      <c r="D119" s="123">
        <f>C119</f>
        <v>7</v>
      </c>
      <c r="E119" s="123">
        <f t="shared" si="34"/>
        <v>7</v>
      </c>
      <c r="F119" s="123">
        <f t="shared" si="34"/>
        <v>7</v>
      </c>
      <c r="G119" s="123">
        <f t="shared" si="34"/>
        <v>7</v>
      </c>
      <c r="H119" s="123">
        <f t="shared" si="34"/>
        <v>7</v>
      </c>
      <c r="I119" s="123">
        <f t="shared" si="34"/>
        <v>7</v>
      </c>
      <c r="J119" s="123">
        <f t="shared" si="34"/>
        <v>7</v>
      </c>
      <c r="K119" s="123">
        <f t="shared" si="34"/>
        <v>7</v>
      </c>
      <c r="L119" s="123">
        <f t="shared" si="34"/>
        <v>7</v>
      </c>
      <c r="M119" s="123">
        <f t="shared" si="34"/>
        <v>7</v>
      </c>
      <c r="N119" s="123">
        <f t="shared" si="34"/>
        <v>7</v>
      </c>
      <c r="O119" s="123">
        <f t="shared" si="34"/>
        <v>7</v>
      </c>
      <c r="P119" s="123">
        <f t="shared" si="34"/>
        <v>7</v>
      </c>
      <c r="Q119" s="123">
        <f t="shared" si="34"/>
        <v>7</v>
      </c>
      <c r="R119" s="123">
        <f t="shared" si="34"/>
        <v>7</v>
      </c>
      <c r="S119" s="123">
        <f t="shared" si="34"/>
        <v>7</v>
      </c>
      <c r="T119" s="123">
        <f t="shared" si="35"/>
        <v>7</v>
      </c>
      <c r="U119" s="123">
        <f t="shared" si="35"/>
        <v>7</v>
      </c>
      <c r="V119" s="123">
        <f t="shared" si="35"/>
        <v>7</v>
      </c>
      <c r="W119" s="123">
        <f t="shared" si="35"/>
        <v>7</v>
      </c>
      <c r="X119" s="123">
        <f t="shared" si="35"/>
        <v>7</v>
      </c>
      <c r="Y119" s="123">
        <f t="shared" si="35"/>
        <v>7</v>
      </c>
      <c r="Z119" s="123">
        <f t="shared" si="35"/>
        <v>7</v>
      </c>
      <c r="AA119" s="123">
        <f t="shared" si="35"/>
        <v>7</v>
      </c>
      <c r="AB119" s="123">
        <f t="shared" si="35"/>
        <v>7</v>
      </c>
      <c r="AC119" s="123">
        <f t="shared" si="35"/>
        <v>7</v>
      </c>
      <c r="AD119" s="123">
        <f t="shared" si="35"/>
        <v>7</v>
      </c>
      <c r="AE119" s="123">
        <f t="shared" si="35"/>
        <v>7</v>
      </c>
      <c r="AF119" s="123">
        <f t="shared" si="35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3"/>
        <v>3.47</v>
      </c>
      <c r="C120" s="124">
        <v>3.47</v>
      </c>
      <c r="D120" s="123">
        <f t="shared" ref="D120:S129" si="36">C120</f>
        <v>3.47</v>
      </c>
      <c r="E120" s="123">
        <f t="shared" si="36"/>
        <v>3.47</v>
      </c>
      <c r="F120" s="123">
        <f t="shared" si="36"/>
        <v>3.47</v>
      </c>
      <c r="G120" s="123">
        <f t="shared" si="36"/>
        <v>3.47</v>
      </c>
      <c r="H120" s="123">
        <f t="shared" si="36"/>
        <v>3.47</v>
      </c>
      <c r="I120" s="123">
        <f t="shared" si="36"/>
        <v>3.47</v>
      </c>
      <c r="J120" s="123">
        <f t="shared" si="36"/>
        <v>3.47</v>
      </c>
      <c r="K120" s="123">
        <f t="shared" si="36"/>
        <v>3.47</v>
      </c>
      <c r="L120" s="123">
        <f t="shared" si="36"/>
        <v>3.47</v>
      </c>
      <c r="M120" s="123">
        <f t="shared" si="36"/>
        <v>3.47</v>
      </c>
      <c r="N120" s="123">
        <f t="shared" si="36"/>
        <v>3.47</v>
      </c>
      <c r="O120" s="123">
        <f t="shared" si="36"/>
        <v>3.47</v>
      </c>
      <c r="P120" s="123">
        <f t="shared" si="36"/>
        <v>3.47</v>
      </c>
      <c r="Q120" s="123">
        <f t="shared" si="36"/>
        <v>3.47</v>
      </c>
      <c r="R120" s="123">
        <f t="shared" si="36"/>
        <v>3.47</v>
      </c>
      <c r="S120" s="123">
        <f t="shared" si="36"/>
        <v>3.47</v>
      </c>
      <c r="T120" s="123">
        <f t="shared" si="35"/>
        <v>3.47</v>
      </c>
      <c r="U120" s="123">
        <f t="shared" si="35"/>
        <v>3.47</v>
      </c>
      <c r="V120" s="123">
        <f t="shared" si="35"/>
        <v>3.47</v>
      </c>
      <c r="W120" s="123">
        <f t="shared" si="35"/>
        <v>3.47</v>
      </c>
      <c r="X120" s="123">
        <f t="shared" si="35"/>
        <v>3.47</v>
      </c>
      <c r="Y120" s="123">
        <f t="shared" si="35"/>
        <v>3.47</v>
      </c>
      <c r="Z120" s="123">
        <f t="shared" si="35"/>
        <v>3.47</v>
      </c>
      <c r="AA120" s="123">
        <f t="shared" si="35"/>
        <v>3.47</v>
      </c>
      <c r="AB120" s="123">
        <f t="shared" si="35"/>
        <v>3.47</v>
      </c>
      <c r="AC120" s="123">
        <f t="shared" si="35"/>
        <v>3.47</v>
      </c>
      <c r="AD120" s="123">
        <f t="shared" si="35"/>
        <v>3.47</v>
      </c>
      <c r="AE120" s="123">
        <f t="shared" si="35"/>
        <v>3.47</v>
      </c>
      <c r="AF120" s="123">
        <f t="shared" si="35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3"/>
        <v>2.1</v>
      </c>
      <c r="C121" s="124">
        <v>2.1</v>
      </c>
      <c r="D121" s="123">
        <f t="shared" si="36"/>
        <v>2.1</v>
      </c>
      <c r="E121" s="123">
        <f t="shared" si="36"/>
        <v>2.1</v>
      </c>
      <c r="F121" s="123">
        <f t="shared" si="36"/>
        <v>2.1</v>
      </c>
      <c r="G121" s="123">
        <f t="shared" si="36"/>
        <v>2.1</v>
      </c>
      <c r="H121" s="123">
        <f t="shared" si="36"/>
        <v>2.1</v>
      </c>
      <c r="I121" s="123">
        <f t="shared" si="36"/>
        <v>2.1</v>
      </c>
      <c r="J121" s="123">
        <f t="shared" si="36"/>
        <v>2.1</v>
      </c>
      <c r="K121" s="123">
        <f t="shared" si="36"/>
        <v>2.1</v>
      </c>
      <c r="L121" s="123">
        <f t="shared" si="36"/>
        <v>2.1</v>
      </c>
      <c r="M121" s="123">
        <f t="shared" si="36"/>
        <v>2.1</v>
      </c>
      <c r="N121" s="123">
        <f t="shared" si="36"/>
        <v>2.1</v>
      </c>
      <c r="O121" s="123">
        <f t="shared" si="36"/>
        <v>2.1</v>
      </c>
      <c r="P121" s="123">
        <f t="shared" si="36"/>
        <v>2.1</v>
      </c>
      <c r="Q121" s="123">
        <f t="shared" si="36"/>
        <v>2.1</v>
      </c>
      <c r="R121" s="123">
        <f t="shared" si="36"/>
        <v>2.1</v>
      </c>
      <c r="S121" s="123">
        <f t="shared" si="36"/>
        <v>2.1</v>
      </c>
      <c r="T121" s="123">
        <f t="shared" si="35"/>
        <v>2.1</v>
      </c>
      <c r="U121" s="123">
        <f t="shared" si="35"/>
        <v>2.1</v>
      </c>
      <c r="V121" s="123">
        <f t="shared" si="35"/>
        <v>2.1</v>
      </c>
      <c r="W121" s="123">
        <f t="shared" si="35"/>
        <v>2.1</v>
      </c>
      <c r="X121" s="123">
        <f t="shared" si="35"/>
        <v>2.1</v>
      </c>
      <c r="Y121" s="123">
        <f t="shared" si="35"/>
        <v>2.1</v>
      </c>
      <c r="Z121" s="123">
        <f t="shared" si="35"/>
        <v>2.1</v>
      </c>
      <c r="AA121" s="123">
        <f t="shared" si="35"/>
        <v>2.1</v>
      </c>
      <c r="AB121" s="123">
        <f t="shared" si="35"/>
        <v>2.1</v>
      </c>
      <c r="AC121" s="123">
        <f t="shared" si="35"/>
        <v>2.1</v>
      </c>
      <c r="AD121" s="123">
        <f t="shared" si="35"/>
        <v>2.1</v>
      </c>
      <c r="AE121" s="123">
        <f t="shared" si="35"/>
        <v>2.1</v>
      </c>
      <c r="AF121" s="123">
        <f t="shared" si="35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3"/>
        <v>9.3000000000000007</v>
      </c>
      <c r="C122" s="124">
        <v>9.3000000000000007</v>
      </c>
      <c r="D122" s="123">
        <f t="shared" si="36"/>
        <v>9.3000000000000007</v>
      </c>
      <c r="E122" s="123">
        <f t="shared" si="36"/>
        <v>9.3000000000000007</v>
      </c>
      <c r="F122" s="123">
        <f t="shared" si="36"/>
        <v>9.3000000000000007</v>
      </c>
      <c r="G122" s="123">
        <f t="shared" si="36"/>
        <v>9.3000000000000007</v>
      </c>
      <c r="H122" s="123">
        <f t="shared" si="36"/>
        <v>9.3000000000000007</v>
      </c>
      <c r="I122" s="123">
        <f t="shared" si="36"/>
        <v>9.3000000000000007</v>
      </c>
      <c r="J122" s="123">
        <f t="shared" si="36"/>
        <v>9.3000000000000007</v>
      </c>
      <c r="K122" s="123">
        <f t="shared" si="36"/>
        <v>9.3000000000000007</v>
      </c>
      <c r="L122" s="123">
        <f t="shared" si="36"/>
        <v>9.3000000000000007</v>
      </c>
      <c r="M122" s="123">
        <f t="shared" si="36"/>
        <v>9.3000000000000007</v>
      </c>
      <c r="N122" s="123">
        <f t="shared" si="36"/>
        <v>9.3000000000000007</v>
      </c>
      <c r="O122" s="123">
        <f t="shared" si="36"/>
        <v>9.3000000000000007</v>
      </c>
      <c r="P122" s="123">
        <f t="shared" si="36"/>
        <v>9.3000000000000007</v>
      </c>
      <c r="Q122" s="123">
        <f t="shared" si="36"/>
        <v>9.3000000000000007</v>
      </c>
      <c r="R122" s="123">
        <f t="shared" si="36"/>
        <v>9.3000000000000007</v>
      </c>
      <c r="S122" s="123">
        <f t="shared" si="36"/>
        <v>9.3000000000000007</v>
      </c>
      <c r="T122" s="123">
        <f t="shared" si="35"/>
        <v>9.3000000000000007</v>
      </c>
      <c r="U122" s="123">
        <f t="shared" si="35"/>
        <v>9.3000000000000007</v>
      </c>
      <c r="V122" s="123">
        <f t="shared" si="35"/>
        <v>9.3000000000000007</v>
      </c>
      <c r="W122" s="123">
        <f t="shared" si="35"/>
        <v>9.3000000000000007</v>
      </c>
      <c r="X122" s="123">
        <f t="shared" si="35"/>
        <v>9.3000000000000007</v>
      </c>
      <c r="Y122" s="123">
        <f t="shared" si="35"/>
        <v>9.3000000000000007</v>
      </c>
      <c r="Z122" s="123">
        <f t="shared" si="35"/>
        <v>9.3000000000000007</v>
      </c>
      <c r="AA122" s="123">
        <f t="shared" si="35"/>
        <v>9.3000000000000007</v>
      </c>
      <c r="AB122" s="123">
        <f t="shared" si="35"/>
        <v>9.3000000000000007</v>
      </c>
      <c r="AC122" s="123">
        <f t="shared" si="35"/>
        <v>9.3000000000000007</v>
      </c>
      <c r="AD122" s="123">
        <f t="shared" si="35"/>
        <v>9.3000000000000007</v>
      </c>
      <c r="AE122" s="123">
        <f t="shared" si="35"/>
        <v>9.3000000000000007</v>
      </c>
      <c r="AF122" s="123">
        <f t="shared" si="35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3"/>
        <v>0</v>
      </c>
      <c r="C123" s="124">
        <v>0</v>
      </c>
      <c r="D123" s="123">
        <f t="shared" si="36"/>
        <v>0</v>
      </c>
      <c r="E123" s="123">
        <f t="shared" si="36"/>
        <v>0</v>
      </c>
      <c r="F123" s="123">
        <f t="shared" si="36"/>
        <v>0</v>
      </c>
      <c r="G123" s="123">
        <f t="shared" si="36"/>
        <v>0</v>
      </c>
      <c r="H123" s="123">
        <f t="shared" si="36"/>
        <v>0</v>
      </c>
      <c r="I123" s="123">
        <f t="shared" si="36"/>
        <v>0</v>
      </c>
      <c r="J123" s="123">
        <f t="shared" si="36"/>
        <v>0</v>
      </c>
      <c r="K123" s="123">
        <f t="shared" si="36"/>
        <v>0</v>
      </c>
      <c r="L123" s="123">
        <f t="shared" si="36"/>
        <v>0</v>
      </c>
      <c r="M123" s="123">
        <f t="shared" si="36"/>
        <v>0</v>
      </c>
      <c r="N123" s="123">
        <f t="shared" si="36"/>
        <v>0</v>
      </c>
      <c r="O123" s="123">
        <f t="shared" si="36"/>
        <v>0</v>
      </c>
      <c r="P123" s="123">
        <f t="shared" si="36"/>
        <v>0</v>
      </c>
      <c r="Q123" s="123">
        <f t="shared" si="36"/>
        <v>0</v>
      </c>
      <c r="R123" s="123">
        <f t="shared" si="36"/>
        <v>0</v>
      </c>
      <c r="S123" s="123">
        <f t="shared" si="36"/>
        <v>0</v>
      </c>
      <c r="T123" s="123">
        <f t="shared" si="35"/>
        <v>0</v>
      </c>
      <c r="U123" s="123">
        <f t="shared" si="35"/>
        <v>0</v>
      </c>
      <c r="V123" s="123">
        <f t="shared" si="35"/>
        <v>0</v>
      </c>
      <c r="W123" s="123">
        <f t="shared" si="35"/>
        <v>0</v>
      </c>
      <c r="X123" s="123">
        <f t="shared" si="35"/>
        <v>0</v>
      </c>
      <c r="Y123" s="123">
        <f t="shared" si="35"/>
        <v>0</v>
      </c>
      <c r="Z123" s="123">
        <f t="shared" si="35"/>
        <v>0</v>
      </c>
      <c r="AA123" s="123">
        <f t="shared" si="35"/>
        <v>0</v>
      </c>
      <c r="AB123" s="123">
        <f t="shared" si="35"/>
        <v>0</v>
      </c>
      <c r="AC123" s="123">
        <f t="shared" si="35"/>
        <v>0</v>
      </c>
      <c r="AD123" s="123">
        <f t="shared" si="35"/>
        <v>0</v>
      </c>
      <c r="AE123" s="123">
        <f t="shared" si="35"/>
        <v>0</v>
      </c>
      <c r="AF123" s="123">
        <f t="shared" si="35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3"/>
        <v>0</v>
      </c>
      <c r="C124" s="124">
        <v>0</v>
      </c>
      <c r="D124" s="123">
        <f t="shared" si="36"/>
        <v>0</v>
      </c>
      <c r="E124" s="123">
        <f t="shared" si="36"/>
        <v>0</v>
      </c>
      <c r="F124" s="123">
        <f t="shared" si="36"/>
        <v>0</v>
      </c>
      <c r="G124" s="123">
        <f t="shared" si="36"/>
        <v>0</v>
      </c>
      <c r="H124" s="123">
        <f t="shared" si="36"/>
        <v>0</v>
      </c>
      <c r="I124" s="123">
        <f t="shared" si="36"/>
        <v>0</v>
      </c>
      <c r="J124" s="123">
        <f t="shared" si="36"/>
        <v>0</v>
      </c>
      <c r="K124" s="123">
        <f t="shared" si="36"/>
        <v>0</v>
      </c>
      <c r="L124" s="123">
        <f t="shared" si="36"/>
        <v>0</v>
      </c>
      <c r="M124" s="123">
        <f t="shared" si="36"/>
        <v>0</v>
      </c>
      <c r="N124" s="123">
        <f t="shared" si="36"/>
        <v>0</v>
      </c>
      <c r="O124" s="123">
        <f t="shared" si="36"/>
        <v>0</v>
      </c>
      <c r="P124" s="123">
        <f t="shared" si="36"/>
        <v>0</v>
      </c>
      <c r="Q124" s="123">
        <f t="shared" si="36"/>
        <v>0</v>
      </c>
      <c r="R124" s="123">
        <f t="shared" si="36"/>
        <v>0</v>
      </c>
      <c r="S124" s="123">
        <f t="shared" si="36"/>
        <v>0</v>
      </c>
      <c r="T124" s="123">
        <f t="shared" si="35"/>
        <v>0</v>
      </c>
      <c r="U124" s="123">
        <f t="shared" si="35"/>
        <v>0</v>
      </c>
      <c r="V124" s="123">
        <f t="shared" si="35"/>
        <v>0</v>
      </c>
      <c r="W124" s="123">
        <f t="shared" si="35"/>
        <v>0</v>
      </c>
      <c r="X124" s="123">
        <f t="shared" si="35"/>
        <v>0</v>
      </c>
      <c r="Y124" s="123">
        <f t="shared" si="35"/>
        <v>0</v>
      </c>
      <c r="Z124" s="123">
        <f t="shared" si="35"/>
        <v>0</v>
      </c>
      <c r="AA124" s="123">
        <f t="shared" si="35"/>
        <v>0</v>
      </c>
      <c r="AB124" s="123">
        <f t="shared" si="35"/>
        <v>0</v>
      </c>
      <c r="AC124" s="123">
        <f t="shared" si="35"/>
        <v>0</v>
      </c>
      <c r="AD124" s="123">
        <f t="shared" si="35"/>
        <v>0</v>
      </c>
      <c r="AE124" s="123">
        <f t="shared" si="35"/>
        <v>0</v>
      </c>
      <c r="AF124" s="123">
        <f t="shared" si="35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3"/>
        <v>;/</v>
      </c>
      <c r="C125" s="124">
        <v>5</v>
      </c>
      <c r="D125" s="123">
        <f t="shared" si="36"/>
        <v>5</v>
      </c>
      <c r="E125" s="123">
        <f t="shared" si="36"/>
        <v>5</v>
      </c>
      <c r="F125" s="123">
        <f t="shared" si="36"/>
        <v>5</v>
      </c>
      <c r="G125" s="123">
        <f t="shared" si="36"/>
        <v>5</v>
      </c>
      <c r="H125" s="123">
        <f t="shared" si="36"/>
        <v>5</v>
      </c>
      <c r="I125" s="123" t="s">
        <v>130</v>
      </c>
      <c r="J125" s="123" t="str">
        <f t="shared" si="36"/>
        <v>;/</v>
      </c>
      <c r="K125" s="123" t="str">
        <f t="shared" si="36"/>
        <v>;/</v>
      </c>
      <c r="L125" s="123" t="str">
        <f t="shared" si="36"/>
        <v>;/</v>
      </c>
      <c r="M125" s="123" t="str">
        <f t="shared" si="36"/>
        <v>;/</v>
      </c>
      <c r="N125" s="123" t="str">
        <f t="shared" si="36"/>
        <v>;/</v>
      </c>
      <c r="O125" s="123" t="str">
        <f t="shared" si="36"/>
        <v>;/</v>
      </c>
      <c r="P125" s="123" t="str">
        <f t="shared" si="36"/>
        <v>;/</v>
      </c>
      <c r="Q125" s="123" t="str">
        <f t="shared" si="36"/>
        <v>;/</v>
      </c>
      <c r="R125" s="123" t="str">
        <f t="shared" si="36"/>
        <v>;/</v>
      </c>
      <c r="S125" s="123" t="str">
        <f t="shared" si="36"/>
        <v>;/</v>
      </c>
      <c r="T125" s="123" t="str">
        <f t="shared" si="35"/>
        <v>;/</v>
      </c>
      <c r="U125" s="123" t="str">
        <f t="shared" si="35"/>
        <v>;/</v>
      </c>
      <c r="V125" s="123" t="str">
        <f t="shared" si="35"/>
        <v>;/</v>
      </c>
      <c r="W125" s="123" t="str">
        <f t="shared" si="35"/>
        <v>;/</v>
      </c>
      <c r="X125" s="123" t="str">
        <f t="shared" si="35"/>
        <v>;/</v>
      </c>
      <c r="Y125" s="123" t="str">
        <f t="shared" si="35"/>
        <v>;/</v>
      </c>
      <c r="Z125" s="123" t="str">
        <f t="shared" si="35"/>
        <v>;/</v>
      </c>
      <c r="AA125" s="123" t="str">
        <f t="shared" si="35"/>
        <v>;/</v>
      </c>
      <c r="AB125" s="123" t="str">
        <f t="shared" si="35"/>
        <v>;/</v>
      </c>
      <c r="AC125" s="123" t="str">
        <f t="shared" si="35"/>
        <v>;/</v>
      </c>
      <c r="AD125" s="123" t="str">
        <f t="shared" si="35"/>
        <v>;/</v>
      </c>
      <c r="AE125" s="123" t="str">
        <f t="shared" si="35"/>
        <v>;/</v>
      </c>
      <c r="AF125" s="123" t="str">
        <f t="shared" si="35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3"/>
        <v>1</v>
      </c>
      <c r="C126" s="124">
        <v>1</v>
      </c>
      <c r="D126" s="123">
        <f t="shared" si="36"/>
        <v>1</v>
      </c>
      <c r="E126" s="123">
        <f t="shared" si="36"/>
        <v>1</v>
      </c>
      <c r="F126" s="123">
        <f t="shared" si="36"/>
        <v>1</v>
      </c>
      <c r="G126" s="123">
        <f t="shared" si="36"/>
        <v>1</v>
      </c>
      <c r="H126" s="123">
        <f t="shared" si="36"/>
        <v>1</v>
      </c>
      <c r="I126" s="123">
        <f t="shared" si="36"/>
        <v>1</v>
      </c>
      <c r="J126" s="123">
        <f t="shared" si="36"/>
        <v>1</v>
      </c>
      <c r="K126" s="123">
        <f t="shared" si="36"/>
        <v>1</v>
      </c>
      <c r="L126" s="123">
        <f t="shared" si="36"/>
        <v>1</v>
      </c>
      <c r="M126" s="123">
        <f t="shared" si="36"/>
        <v>1</v>
      </c>
      <c r="N126" s="123">
        <f t="shared" si="36"/>
        <v>1</v>
      </c>
      <c r="O126" s="123">
        <f t="shared" si="36"/>
        <v>1</v>
      </c>
      <c r="P126" s="123">
        <f t="shared" si="36"/>
        <v>1</v>
      </c>
      <c r="Q126" s="123">
        <f t="shared" si="36"/>
        <v>1</v>
      </c>
      <c r="R126" s="123">
        <f t="shared" si="36"/>
        <v>1</v>
      </c>
      <c r="S126" s="123">
        <f t="shared" si="36"/>
        <v>1</v>
      </c>
      <c r="T126" s="123">
        <f t="shared" si="35"/>
        <v>1</v>
      </c>
      <c r="U126" s="123">
        <f t="shared" si="35"/>
        <v>1</v>
      </c>
      <c r="V126" s="123">
        <f t="shared" si="35"/>
        <v>1</v>
      </c>
      <c r="W126" s="123">
        <f t="shared" si="35"/>
        <v>1</v>
      </c>
      <c r="X126" s="123">
        <f t="shared" si="35"/>
        <v>1</v>
      </c>
      <c r="Y126" s="123">
        <f t="shared" si="35"/>
        <v>1</v>
      </c>
      <c r="Z126" s="123">
        <f t="shared" si="35"/>
        <v>1</v>
      </c>
      <c r="AA126" s="123">
        <f t="shared" si="35"/>
        <v>1</v>
      </c>
      <c r="AB126" s="123">
        <f t="shared" si="35"/>
        <v>1</v>
      </c>
      <c r="AC126" s="123">
        <f t="shared" si="35"/>
        <v>1</v>
      </c>
      <c r="AD126" s="123">
        <f t="shared" si="35"/>
        <v>1</v>
      </c>
      <c r="AE126" s="123">
        <f t="shared" si="35"/>
        <v>1</v>
      </c>
      <c r="AF126" s="123">
        <f t="shared" si="35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3"/>
        <v>1.58</v>
      </c>
      <c r="C127" s="124">
        <v>1.58</v>
      </c>
      <c r="D127" s="123">
        <f t="shared" si="36"/>
        <v>1.58</v>
      </c>
      <c r="E127" s="123">
        <f t="shared" si="36"/>
        <v>1.58</v>
      </c>
      <c r="F127" s="123">
        <f t="shared" si="36"/>
        <v>1.58</v>
      </c>
      <c r="G127" s="123">
        <f t="shared" si="36"/>
        <v>1.58</v>
      </c>
      <c r="H127" s="123">
        <f t="shared" si="36"/>
        <v>1.58</v>
      </c>
      <c r="I127" s="123">
        <f t="shared" si="36"/>
        <v>1.58</v>
      </c>
      <c r="J127" s="123">
        <f t="shared" si="36"/>
        <v>1.58</v>
      </c>
      <c r="K127" s="123">
        <f t="shared" si="36"/>
        <v>1.58</v>
      </c>
      <c r="L127" s="123">
        <f t="shared" si="36"/>
        <v>1.58</v>
      </c>
      <c r="M127" s="123">
        <f t="shared" si="36"/>
        <v>1.58</v>
      </c>
      <c r="N127" s="123">
        <f t="shared" si="36"/>
        <v>1.58</v>
      </c>
      <c r="O127" s="123">
        <f t="shared" si="36"/>
        <v>1.58</v>
      </c>
      <c r="P127" s="123">
        <f t="shared" si="36"/>
        <v>1.58</v>
      </c>
      <c r="Q127" s="123">
        <f t="shared" si="36"/>
        <v>1.58</v>
      </c>
      <c r="R127" s="123">
        <f t="shared" si="36"/>
        <v>1.58</v>
      </c>
      <c r="S127" s="123">
        <f t="shared" si="36"/>
        <v>1.58</v>
      </c>
      <c r="T127" s="123">
        <f t="shared" si="35"/>
        <v>1.58</v>
      </c>
      <c r="U127" s="123">
        <f t="shared" si="35"/>
        <v>1.58</v>
      </c>
      <c r="V127" s="123">
        <f t="shared" si="35"/>
        <v>1.58</v>
      </c>
      <c r="W127" s="123">
        <f t="shared" si="35"/>
        <v>1.58</v>
      </c>
      <c r="X127" s="123">
        <f t="shared" si="35"/>
        <v>1.58</v>
      </c>
      <c r="Y127" s="123">
        <f t="shared" si="35"/>
        <v>1.58</v>
      </c>
      <c r="Z127" s="123">
        <f t="shared" si="35"/>
        <v>1.58</v>
      </c>
      <c r="AA127" s="123">
        <f t="shared" si="35"/>
        <v>1.58</v>
      </c>
      <c r="AB127" s="123">
        <f t="shared" si="35"/>
        <v>1.58</v>
      </c>
      <c r="AC127" s="123">
        <f t="shared" si="35"/>
        <v>1.58</v>
      </c>
      <c r="AD127" s="123">
        <f t="shared" si="35"/>
        <v>1.58</v>
      </c>
      <c r="AE127" s="123">
        <f t="shared" si="35"/>
        <v>1.58</v>
      </c>
      <c r="AF127" s="123">
        <f t="shared" si="35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3"/>
        <v>1.46</v>
      </c>
      <c r="C128" s="124">
        <v>1.46</v>
      </c>
      <c r="D128" s="123">
        <f t="shared" si="36"/>
        <v>1.46</v>
      </c>
      <c r="E128" s="123">
        <f t="shared" si="36"/>
        <v>1.46</v>
      </c>
      <c r="F128" s="123">
        <f t="shared" si="36"/>
        <v>1.46</v>
      </c>
      <c r="G128" s="123">
        <f t="shared" si="36"/>
        <v>1.46</v>
      </c>
      <c r="H128" s="123">
        <f t="shared" si="36"/>
        <v>1.46</v>
      </c>
      <c r="I128" s="123">
        <f t="shared" si="36"/>
        <v>1.46</v>
      </c>
      <c r="J128" s="123">
        <f t="shared" si="36"/>
        <v>1.46</v>
      </c>
      <c r="K128" s="123">
        <f t="shared" si="36"/>
        <v>1.46</v>
      </c>
      <c r="L128" s="123">
        <f t="shared" si="36"/>
        <v>1.46</v>
      </c>
      <c r="M128" s="123">
        <f t="shared" si="36"/>
        <v>1.46</v>
      </c>
      <c r="N128" s="123">
        <f t="shared" si="36"/>
        <v>1.46</v>
      </c>
      <c r="O128" s="123">
        <f t="shared" si="36"/>
        <v>1.46</v>
      </c>
      <c r="P128" s="123">
        <f t="shared" si="36"/>
        <v>1.46</v>
      </c>
      <c r="Q128" s="123">
        <f t="shared" si="36"/>
        <v>1.46</v>
      </c>
      <c r="R128" s="123">
        <f t="shared" si="36"/>
        <v>1.46</v>
      </c>
      <c r="S128" s="123">
        <f t="shared" si="36"/>
        <v>1.46</v>
      </c>
      <c r="T128" s="123">
        <f t="shared" ref="T128:AF129" si="37">S128</f>
        <v>1.46</v>
      </c>
      <c r="U128" s="123">
        <f t="shared" si="37"/>
        <v>1.46</v>
      </c>
      <c r="V128" s="123">
        <f t="shared" si="37"/>
        <v>1.46</v>
      </c>
      <c r="W128" s="123">
        <f t="shared" si="37"/>
        <v>1.46</v>
      </c>
      <c r="X128" s="123">
        <f t="shared" si="37"/>
        <v>1.46</v>
      </c>
      <c r="Y128" s="123">
        <f t="shared" si="37"/>
        <v>1.46</v>
      </c>
      <c r="Z128" s="123">
        <f t="shared" si="37"/>
        <v>1.46</v>
      </c>
      <c r="AA128" s="123">
        <f t="shared" si="37"/>
        <v>1.46</v>
      </c>
      <c r="AB128" s="123">
        <f t="shared" si="37"/>
        <v>1.46</v>
      </c>
      <c r="AC128" s="123">
        <f t="shared" si="37"/>
        <v>1.46</v>
      </c>
      <c r="AD128" s="123">
        <f t="shared" si="37"/>
        <v>1.46</v>
      </c>
      <c r="AE128" s="123">
        <f t="shared" si="37"/>
        <v>1.46</v>
      </c>
      <c r="AF128" s="123">
        <f t="shared" si="37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3"/>
        <v>1.48</v>
      </c>
      <c r="C129" s="124">
        <v>1.48</v>
      </c>
      <c r="D129" s="123">
        <f t="shared" si="36"/>
        <v>1.48</v>
      </c>
      <c r="E129" s="123">
        <f t="shared" si="36"/>
        <v>1.48</v>
      </c>
      <c r="F129" s="123">
        <f t="shared" si="36"/>
        <v>1.48</v>
      </c>
      <c r="G129" s="123">
        <f t="shared" si="36"/>
        <v>1.48</v>
      </c>
      <c r="H129" s="123">
        <f t="shared" si="36"/>
        <v>1.48</v>
      </c>
      <c r="I129" s="123">
        <f t="shared" si="36"/>
        <v>1.48</v>
      </c>
      <c r="J129" s="123">
        <f t="shared" si="36"/>
        <v>1.48</v>
      </c>
      <c r="K129" s="123">
        <f t="shared" si="36"/>
        <v>1.48</v>
      </c>
      <c r="L129" s="123">
        <f t="shared" si="36"/>
        <v>1.48</v>
      </c>
      <c r="M129" s="123">
        <f t="shared" si="36"/>
        <v>1.48</v>
      </c>
      <c r="N129" s="123">
        <f t="shared" si="36"/>
        <v>1.48</v>
      </c>
      <c r="O129" s="123">
        <f t="shared" si="36"/>
        <v>1.48</v>
      </c>
      <c r="P129" s="123">
        <f t="shared" si="36"/>
        <v>1.48</v>
      </c>
      <c r="Q129" s="123">
        <f t="shared" si="36"/>
        <v>1.48</v>
      </c>
      <c r="R129" s="123">
        <f t="shared" si="36"/>
        <v>1.48</v>
      </c>
      <c r="S129" s="123">
        <f t="shared" si="36"/>
        <v>1.48</v>
      </c>
      <c r="T129" s="123">
        <f t="shared" si="37"/>
        <v>1.48</v>
      </c>
      <c r="U129" s="123">
        <f t="shared" si="37"/>
        <v>1.48</v>
      </c>
      <c r="V129" s="123">
        <f t="shared" si="37"/>
        <v>1.48</v>
      </c>
      <c r="W129" s="123">
        <f t="shared" si="37"/>
        <v>1.48</v>
      </c>
      <c r="X129" s="123">
        <f t="shared" si="37"/>
        <v>1.48</v>
      </c>
      <c r="Y129" s="123">
        <f t="shared" si="37"/>
        <v>1.48</v>
      </c>
      <c r="Z129" s="123">
        <f t="shared" si="37"/>
        <v>1.48</v>
      </c>
      <c r="AA129" s="123">
        <f t="shared" si="37"/>
        <v>1.48</v>
      </c>
      <c r="AB129" s="123">
        <f t="shared" si="37"/>
        <v>1.48</v>
      </c>
      <c r="AC129" s="123">
        <f t="shared" si="37"/>
        <v>1.48</v>
      </c>
      <c r="AD129" s="123">
        <f t="shared" si="37"/>
        <v>1.48</v>
      </c>
      <c r="AE129" s="123">
        <f t="shared" si="37"/>
        <v>1.48</v>
      </c>
      <c r="AF129" s="123">
        <f t="shared" si="37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8">AF131</f>
        <v>2.2000000000000002</v>
      </c>
      <c r="C131" s="124">
        <v>2.2000000000000002</v>
      </c>
      <c r="D131" s="123">
        <f t="shared" ref="D131:S138" si="39">C131</f>
        <v>2.2000000000000002</v>
      </c>
      <c r="E131" s="123">
        <f t="shared" si="39"/>
        <v>2.2000000000000002</v>
      </c>
      <c r="F131" s="123">
        <f t="shared" si="39"/>
        <v>2.2000000000000002</v>
      </c>
      <c r="G131" s="123">
        <f t="shared" si="39"/>
        <v>2.2000000000000002</v>
      </c>
      <c r="H131" s="123">
        <f t="shared" si="39"/>
        <v>2.2000000000000002</v>
      </c>
      <c r="I131" s="123">
        <f t="shared" si="39"/>
        <v>2.2000000000000002</v>
      </c>
      <c r="J131" s="123">
        <f t="shared" si="39"/>
        <v>2.2000000000000002</v>
      </c>
      <c r="K131" s="123">
        <f t="shared" si="39"/>
        <v>2.2000000000000002</v>
      </c>
      <c r="L131" s="123">
        <f t="shared" si="39"/>
        <v>2.2000000000000002</v>
      </c>
      <c r="M131" s="123">
        <f t="shared" si="39"/>
        <v>2.2000000000000002</v>
      </c>
      <c r="N131" s="123">
        <f t="shared" si="39"/>
        <v>2.2000000000000002</v>
      </c>
      <c r="O131" s="123">
        <f t="shared" si="39"/>
        <v>2.2000000000000002</v>
      </c>
      <c r="P131" s="123">
        <f t="shared" si="39"/>
        <v>2.2000000000000002</v>
      </c>
      <c r="Q131" s="123">
        <f t="shared" si="39"/>
        <v>2.2000000000000002</v>
      </c>
      <c r="R131" s="123">
        <f t="shared" si="39"/>
        <v>2.2000000000000002</v>
      </c>
      <c r="S131" s="123">
        <f t="shared" si="39"/>
        <v>2.2000000000000002</v>
      </c>
      <c r="T131" s="123">
        <f t="shared" ref="T131:AF138" si="40">S131</f>
        <v>2.2000000000000002</v>
      </c>
      <c r="U131" s="123">
        <f t="shared" si="40"/>
        <v>2.2000000000000002</v>
      </c>
      <c r="V131" s="123">
        <f t="shared" si="40"/>
        <v>2.2000000000000002</v>
      </c>
      <c r="W131" s="123">
        <f t="shared" si="40"/>
        <v>2.2000000000000002</v>
      </c>
      <c r="X131" s="123">
        <f t="shared" si="40"/>
        <v>2.2000000000000002</v>
      </c>
      <c r="Y131" s="123">
        <f t="shared" si="40"/>
        <v>2.2000000000000002</v>
      </c>
      <c r="Z131" s="123">
        <f t="shared" si="40"/>
        <v>2.2000000000000002</v>
      </c>
      <c r="AA131" s="123">
        <f t="shared" si="40"/>
        <v>2.2000000000000002</v>
      </c>
      <c r="AB131" s="123">
        <f t="shared" si="40"/>
        <v>2.2000000000000002</v>
      </c>
      <c r="AC131" s="123">
        <f t="shared" si="40"/>
        <v>2.2000000000000002</v>
      </c>
      <c r="AD131" s="123">
        <f t="shared" si="40"/>
        <v>2.2000000000000002</v>
      </c>
      <c r="AE131" s="123">
        <f t="shared" si="40"/>
        <v>2.2000000000000002</v>
      </c>
      <c r="AF131" s="123">
        <f t="shared" si="40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8"/>
        <v>2</v>
      </c>
      <c r="C132" s="124">
        <v>2</v>
      </c>
      <c r="D132" s="123">
        <f t="shared" si="39"/>
        <v>2</v>
      </c>
      <c r="E132" s="123">
        <f t="shared" si="39"/>
        <v>2</v>
      </c>
      <c r="F132" s="123">
        <f t="shared" si="39"/>
        <v>2</v>
      </c>
      <c r="G132" s="123">
        <f t="shared" si="39"/>
        <v>2</v>
      </c>
      <c r="H132" s="123">
        <f t="shared" si="39"/>
        <v>2</v>
      </c>
      <c r="I132" s="123">
        <f t="shared" si="39"/>
        <v>2</v>
      </c>
      <c r="J132" s="123">
        <f t="shared" si="39"/>
        <v>2</v>
      </c>
      <c r="K132" s="123">
        <f t="shared" si="39"/>
        <v>2</v>
      </c>
      <c r="L132" s="123">
        <f t="shared" si="39"/>
        <v>2</v>
      </c>
      <c r="M132" s="123">
        <f t="shared" si="39"/>
        <v>2</v>
      </c>
      <c r="N132" s="123">
        <f t="shared" si="39"/>
        <v>2</v>
      </c>
      <c r="O132" s="123">
        <f t="shared" si="39"/>
        <v>2</v>
      </c>
      <c r="P132" s="123">
        <f t="shared" si="39"/>
        <v>2</v>
      </c>
      <c r="Q132" s="123">
        <f t="shared" si="39"/>
        <v>2</v>
      </c>
      <c r="R132" s="123">
        <f t="shared" si="39"/>
        <v>2</v>
      </c>
      <c r="S132" s="123">
        <f t="shared" si="39"/>
        <v>2</v>
      </c>
      <c r="T132" s="123">
        <f t="shared" si="40"/>
        <v>2</v>
      </c>
      <c r="U132" s="123">
        <f t="shared" si="40"/>
        <v>2</v>
      </c>
      <c r="V132" s="123">
        <f t="shared" si="40"/>
        <v>2</v>
      </c>
      <c r="W132" s="123">
        <f t="shared" si="40"/>
        <v>2</v>
      </c>
      <c r="X132" s="123">
        <f t="shared" si="40"/>
        <v>2</v>
      </c>
      <c r="Y132" s="123">
        <f t="shared" si="40"/>
        <v>2</v>
      </c>
      <c r="Z132" s="123">
        <f t="shared" si="40"/>
        <v>2</v>
      </c>
      <c r="AA132" s="123">
        <f t="shared" si="40"/>
        <v>2</v>
      </c>
      <c r="AB132" s="123">
        <f t="shared" si="40"/>
        <v>2</v>
      </c>
      <c r="AC132" s="123">
        <f t="shared" si="40"/>
        <v>2</v>
      </c>
      <c r="AD132" s="123">
        <f t="shared" si="40"/>
        <v>2</v>
      </c>
      <c r="AE132" s="123">
        <f t="shared" si="40"/>
        <v>2</v>
      </c>
      <c r="AF132" s="123">
        <f t="shared" si="40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8"/>
        <v>1.25</v>
      </c>
      <c r="C133" s="124">
        <v>1.25</v>
      </c>
      <c r="D133" s="123">
        <f t="shared" si="39"/>
        <v>1.25</v>
      </c>
      <c r="E133" s="123">
        <f t="shared" si="39"/>
        <v>1.25</v>
      </c>
      <c r="F133" s="123">
        <f t="shared" si="39"/>
        <v>1.25</v>
      </c>
      <c r="G133" s="123">
        <f t="shared" si="39"/>
        <v>1.25</v>
      </c>
      <c r="H133" s="123">
        <f t="shared" si="39"/>
        <v>1.25</v>
      </c>
      <c r="I133" s="123">
        <f t="shared" si="39"/>
        <v>1.25</v>
      </c>
      <c r="J133" s="123">
        <f t="shared" si="39"/>
        <v>1.25</v>
      </c>
      <c r="K133" s="123">
        <f t="shared" si="39"/>
        <v>1.25</v>
      </c>
      <c r="L133" s="123">
        <f t="shared" si="39"/>
        <v>1.25</v>
      </c>
      <c r="M133" s="123">
        <f t="shared" si="39"/>
        <v>1.25</v>
      </c>
      <c r="N133" s="123">
        <f t="shared" si="39"/>
        <v>1.25</v>
      </c>
      <c r="O133" s="123">
        <f t="shared" si="39"/>
        <v>1.25</v>
      </c>
      <c r="P133" s="123">
        <f t="shared" si="39"/>
        <v>1.25</v>
      </c>
      <c r="Q133" s="123">
        <f t="shared" si="39"/>
        <v>1.25</v>
      </c>
      <c r="R133" s="123">
        <f t="shared" si="39"/>
        <v>1.25</v>
      </c>
      <c r="S133" s="123">
        <f t="shared" si="39"/>
        <v>1.25</v>
      </c>
      <c r="T133" s="123">
        <f t="shared" si="40"/>
        <v>1.25</v>
      </c>
      <c r="U133" s="123">
        <f t="shared" si="40"/>
        <v>1.25</v>
      </c>
      <c r="V133" s="123">
        <f t="shared" si="40"/>
        <v>1.25</v>
      </c>
      <c r="W133" s="123">
        <f t="shared" si="40"/>
        <v>1.25</v>
      </c>
      <c r="X133" s="123">
        <f t="shared" si="40"/>
        <v>1.25</v>
      </c>
      <c r="Y133" s="123">
        <f t="shared" si="40"/>
        <v>1.25</v>
      </c>
      <c r="Z133" s="123">
        <f t="shared" si="40"/>
        <v>1.25</v>
      </c>
      <c r="AA133" s="123">
        <f t="shared" si="40"/>
        <v>1.25</v>
      </c>
      <c r="AB133" s="123">
        <f t="shared" si="40"/>
        <v>1.25</v>
      </c>
      <c r="AC133" s="123">
        <f t="shared" si="40"/>
        <v>1.25</v>
      </c>
      <c r="AD133" s="123">
        <f t="shared" si="40"/>
        <v>1.25</v>
      </c>
      <c r="AE133" s="123">
        <f t="shared" si="40"/>
        <v>1.25</v>
      </c>
      <c r="AF133" s="123">
        <f t="shared" si="40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8"/>
        <v>1.1499999999999999</v>
      </c>
      <c r="C134" s="124">
        <v>1.1499999999999999</v>
      </c>
      <c r="D134" s="123">
        <f t="shared" si="39"/>
        <v>1.1499999999999999</v>
      </c>
      <c r="E134" s="123">
        <f t="shared" si="39"/>
        <v>1.1499999999999999</v>
      </c>
      <c r="F134" s="123">
        <f t="shared" si="39"/>
        <v>1.1499999999999999</v>
      </c>
      <c r="G134" s="123">
        <f t="shared" si="39"/>
        <v>1.1499999999999999</v>
      </c>
      <c r="H134" s="123">
        <f t="shared" si="39"/>
        <v>1.1499999999999999</v>
      </c>
      <c r="I134" s="123">
        <f t="shared" si="39"/>
        <v>1.1499999999999999</v>
      </c>
      <c r="J134" s="123">
        <f t="shared" si="39"/>
        <v>1.1499999999999999</v>
      </c>
      <c r="K134" s="123">
        <f t="shared" si="39"/>
        <v>1.1499999999999999</v>
      </c>
      <c r="L134" s="123">
        <f t="shared" si="39"/>
        <v>1.1499999999999999</v>
      </c>
      <c r="M134" s="123">
        <f t="shared" si="39"/>
        <v>1.1499999999999999</v>
      </c>
      <c r="N134" s="123">
        <f t="shared" si="39"/>
        <v>1.1499999999999999</v>
      </c>
      <c r="O134" s="123">
        <f t="shared" si="39"/>
        <v>1.1499999999999999</v>
      </c>
      <c r="P134" s="123">
        <f t="shared" si="39"/>
        <v>1.1499999999999999</v>
      </c>
      <c r="Q134" s="123">
        <f t="shared" si="39"/>
        <v>1.1499999999999999</v>
      </c>
      <c r="R134" s="123">
        <f t="shared" si="39"/>
        <v>1.1499999999999999</v>
      </c>
      <c r="S134" s="123">
        <f t="shared" si="39"/>
        <v>1.1499999999999999</v>
      </c>
      <c r="T134" s="123">
        <f t="shared" si="40"/>
        <v>1.1499999999999999</v>
      </c>
      <c r="U134" s="123">
        <f t="shared" si="40"/>
        <v>1.1499999999999999</v>
      </c>
      <c r="V134" s="123">
        <f t="shared" si="40"/>
        <v>1.1499999999999999</v>
      </c>
      <c r="W134" s="123">
        <f t="shared" si="40"/>
        <v>1.1499999999999999</v>
      </c>
      <c r="X134" s="123">
        <f t="shared" si="40"/>
        <v>1.1499999999999999</v>
      </c>
      <c r="Y134" s="123">
        <f t="shared" si="40"/>
        <v>1.1499999999999999</v>
      </c>
      <c r="Z134" s="123">
        <f t="shared" si="40"/>
        <v>1.1499999999999999</v>
      </c>
      <c r="AA134" s="123">
        <f t="shared" si="40"/>
        <v>1.1499999999999999</v>
      </c>
      <c r="AB134" s="123">
        <f t="shared" si="40"/>
        <v>1.1499999999999999</v>
      </c>
      <c r="AC134" s="123">
        <f t="shared" si="40"/>
        <v>1.1499999999999999</v>
      </c>
      <c r="AD134" s="123">
        <f t="shared" si="40"/>
        <v>1.1499999999999999</v>
      </c>
      <c r="AE134" s="123">
        <f t="shared" si="40"/>
        <v>1.1499999999999999</v>
      </c>
      <c r="AF134" s="123">
        <f t="shared" si="40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8"/>
        <v>2.133</v>
      </c>
      <c r="C135" s="124">
        <v>2.133</v>
      </c>
      <c r="D135" s="123">
        <f t="shared" si="39"/>
        <v>2.133</v>
      </c>
      <c r="E135" s="123">
        <f t="shared" si="39"/>
        <v>2.133</v>
      </c>
      <c r="F135" s="123">
        <f t="shared" si="39"/>
        <v>2.133</v>
      </c>
      <c r="G135" s="123">
        <f t="shared" si="39"/>
        <v>2.133</v>
      </c>
      <c r="H135" s="123">
        <f t="shared" si="39"/>
        <v>2.133</v>
      </c>
      <c r="I135" s="123">
        <f t="shared" si="39"/>
        <v>2.133</v>
      </c>
      <c r="J135" s="123">
        <f t="shared" si="39"/>
        <v>2.133</v>
      </c>
      <c r="K135" s="123">
        <f t="shared" si="39"/>
        <v>2.133</v>
      </c>
      <c r="L135" s="123">
        <f t="shared" si="39"/>
        <v>2.133</v>
      </c>
      <c r="M135" s="123">
        <f t="shared" si="39"/>
        <v>2.133</v>
      </c>
      <c r="N135" s="123">
        <f t="shared" si="39"/>
        <v>2.133</v>
      </c>
      <c r="O135" s="123">
        <f t="shared" si="39"/>
        <v>2.133</v>
      </c>
      <c r="P135" s="123">
        <f t="shared" si="39"/>
        <v>2.133</v>
      </c>
      <c r="Q135" s="123">
        <f t="shared" si="39"/>
        <v>2.133</v>
      </c>
      <c r="R135" s="123">
        <f t="shared" si="39"/>
        <v>2.133</v>
      </c>
      <c r="S135" s="123">
        <f t="shared" si="39"/>
        <v>2.133</v>
      </c>
      <c r="T135" s="123">
        <f t="shared" si="40"/>
        <v>2.133</v>
      </c>
      <c r="U135" s="123">
        <f t="shared" si="40"/>
        <v>2.133</v>
      </c>
      <c r="V135" s="123">
        <f t="shared" si="40"/>
        <v>2.133</v>
      </c>
      <c r="W135" s="123">
        <f t="shared" si="40"/>
        <v>2.133</v>
      </c>
      <c r="X135" s="123">
        <f t="shared" si="40"/>
        <v>2.133</v>
      </c>
      <c r="Y135" s="123">
        <f t="shared" si="40"/>
        <v>2.133</v>
      </c>
      <c r="Z135" s="123">
        <f t="shared" si="40"/>
        <v>2.133</v>
      </c>
      <c r="AA135" s="123">
        <f t="shared" si="40"/>
        <v>2.133</v>
      </c>
      <c r="AB135" s="123">
        <f t="shared" si="40"/>
        <v>2.133</v>
      </c>
      <c r="AC135" s="123">
        <f t="shared" si="40"/>
        <v>2.133</v>
      </c>
      <c r="AD135" s="123">
        <f t="shared" si="40"/>
        <v>2.133</v>
      </c>
      <c r="AE135" s="123">
        <f t="shared" si="40"/>
        <v>2.133</v>
      </c>
      <c r="AF135" s="123">
        <f t="shared" si="40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8"/>
        <v>2.09</v>
      </c>
      <c r="C136" s="124">
        <v>2.09</v>
      </c>
      <c r="D136" s="123">
        <f t="shared" si="39"/>
        <v>2.09</v>
      </c>
      <c r="E136" s="123">
        <f t="shared" si="39"/>
        <v>2.09</v>
      </c>
      <c r="F136" s="123">
        <f t="shared" si="39"/>
        <v>2.09</v>
      </c>
      <c r="G136" s="123">
        <f t="shared" si="39"/>
        <v>2.09</v>
      </c>
      <c r="H136" s="123">
        <f t="shared" si="39"/>
        <v>2.09</v>
      </c>
      <c r="I136" s="123">
        <f t="shared" si="39"/>
        <v>2.09</v>
      </c>
      <c r="J136" s="123">
        <f t="shared" si="39"/>
        <v>2.09</v>
      </c>
      <c r="K136" s="123">
        <f t="shared" si="39"/>
        <v>2.09</v>
      </c>
      <c r="L136" s="123">
        <f t="shared" si="39"/>
        <v>2.09</v>
      </c>
      <c r="M136" s="123">
        <f t="shared" si="39"/>
        <v>2.09</v>
      </c>
      <c r="N136" s="123">
        <f t="shared" si="39"/>
        <v>2.09</v>
      </c>
      <c r="O136" s="123">
        <f t="shared" si="39"/>
        <v>2.09</v>
      </c>
      <c r="P136" s="123">
        <f t="shared" si="39"/>
        <v>2.09</v>
      </c>
      <c r="Q136" s="123">
        <f t="shared" si="39"/>
        <v>2.09</v>
      </c>
      <c r="R136" s="123">
        <f t="shared" si="39"/>
        <v>2.09</v>
      </c>
      <c r="S136" s="123">
        <f t="shared" si="39"/>
        <v>2.09</v>
      </c>
      <c r="T136" s="123">
        <f t="shared" si="40"/>
        <v>2.09</v>
      </c>
      <c r="U136" s="123">
        <f t="shared" si="40"/>
        <v>2.09</v>
      </c>
      <c r="V136" s="123">
        <f t="shared" si="40"/>
        <v>2.09</v>
      </c>
      <c r="W136" s="123">
        <f t="shared" si="40"/>
        <v>2.09</v>
      </c>
      <c r="X136" s="123">
        <f t="shared" si="40"/>
        <v>2.09</v>
      </c>
      <c r="Y136" s="123">
        <f t="shared" si="40"/>
        <v>2.09</v>
      </c>
      <c r="Z136" s="123">
        <f t="shared" si="40"/>
        <v>2.09</v>
      </c>
      <c r="AA136" s="123">
        <f t="shared" si="40"/>
        <v>2.09</v>
      </c>
      <c r="AB136" s="123">
        <f t="shared" si="40"/>
        <v>2.09</v>
      </c>
      <c r="AC136" s="123">
        <f t="shared" si="40"/>
        <v>2.09</v>
      </c>
      <c r="AD136" s="123">
        <f t="shared" si="40"/>
        <v>2.09</v>
      </c>
      <c r="AE136" s="123">
        <f t="shared" si="40"/>
        <v>2.09</v>
      </c>
      <c r="AF136" s="123">
        <f t="shared" si="40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8"/>
        <v>1.1399999999999999</v>
      </c>
      <c r="C137" s="124">
        <v>1.1399999999999999</v>
      </c>
      <c r="D137" s="123">
        <f t="shared" si="39"/>
        <v>1.1399999999999999</v>
      </c>
      <c r="E137" s="123">
        <f t="shared" si="39"/>
        <v>1.1399999999999999</v>
      </c>
      <c r="F137" s="123">
        <f t="shared" si="39"/>
        <v>1.1399999999999999</v>
      </c>
      <c r="G137" s="123">
        <f t="shared" si="39"/>
        <v>1.1399999999999999</v>
      </c>
      <c r="H137" s="123">
        <f t="shared" si="39"/>
        <v>1.1399999999999999</v>
      </c>
      <c r="I137" s="123">
        <f t="shared" si="39"/>
        <v>1.1399999999999999</v>
      </c>
      <c r="J137" s="123">
        <f t="shared" si="39"/>
        <v>1.1399999999999999</v>
      </c>
      <c r="K137" s="123">
        <f t="shared" si="39"/>
        <v>1.1399999999999999</v>
      </c>
      <c r="L137" s="123">
        <f t="shared" si="39"/>
        <v>1.1399999999999999</v>
      </c>
      <c r="M137" s="123">
        <f t="shared" si="39"/>
        <v>1.1399999999999999</v>
      </c>
      <c r="N137" s="123">
        <f t="shared" si="39"/>
        <v>1.1399999999999999</v>
      </c>
      <c r="O137" s="123">
        <f t="shared" si="39"/>
        <v>1.1399999999999999</v>
      </c>
      <c r="P137" s="123">
        <f t="shared" si="39"/>
        <v>1.1399999999999999</v>
      </c>
      <c r="Q137" s="123">
        <f t="shared" si="39"/>
        <v>1.1399999999999999</v>
      </c>
      <c r="R137" s="123">
        <f t="shared" si="39"/>
        <v>1.1399999999999999</v>
      </c>
      <c r="S137" s="123">
        <f t="shared" si="39"/>
        <v>1.1399999999999999</v>
      </c>
      <c r="T137" s="123">
        <f t="shared" si="40"/>
        <v>1.1399999999999999</v>
      </c>
      <c r="U137" s="123">
        <f t="shared" si="40"/>
        <v>1.1399999999999999</v>
      </c>
      <c r="V137" s="123">
        <f t="shared" si="40"/>
        <v>1.1399999999999999</v>
      </c>
      <c r="W137" s="123">
        <f t="shared" si="40"/>
        <v>1.1399999999999999</v>
      </c>
      <c r="X137" s="123">
        <f t="shared" si="40"/>
        <v>1.1399999999999999</v>
      </c>
      <c r="Y137" s="123">
        <f t="shared" si="40"/>
        <v>1.1399999999999999</v>
      </c>
      <c r="Z137" s="123">
        <f t="shared" si="40"/>
        <v>1.1399999999999999</v>
      </c>
      <c r="AA137" s="123">
        <f t="shared" si="40"/>
        <v>1.1399999999999999</v>
      </c>
      <c r="AB137" s="123">
        <f t="shared" si="40"/>
        <v>1.1399999999999999</v>
      </c>
      <c r="AC137" s="123">
        <f t="shared" si="40"/>
        <v>1.1399999999999999</v>
      </c>
      <c r="AD137" s="123">
        <f t="shared" si="40"/>
        <v>1.1399999999999999</v>
      </c>
      <c r="AE137" s="123">
        <f t="shared" si="40"/>
        <v>1.1399999999999999</v>
      </c>
      <c r="AF137" s="123">
        <f t="shared" si="40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8"/>
        <v>0.82</v>
      </c>
      <c r="C138" s="124">
        <v>0.82</v>
      </c>
      <c r="D138" s="123">
        <f t="shared" si="39"/>
        <v>0.82</v>
      </c>
      <c r="E138" s="123">
        <f t="shared" si="39"/>
        <v>0.82</v>
      </c>
      <c r="F138" s="123">
        <f t="shared" si="39"/>
        <v>0.82</v>
      </c>
      <c r="G138" s="123">
        <f t="shared" si="39"/>
        <v>0.82</v>
      </c>
      <c r="H138" s="123">
        <f t="shared" si="39"/>
        <v>0.82</v>
      </c>
      <c r="I138" s="123">
        <f t="shared" si="39"/>
        <v>0.82</v>
      </c>
      <c r="J138" s="123">
        <f t="shared" si="39"/>
        <v>0.82</v>
      </c>
      <c r="K138" s="123">
        <f t="shared" si="39"/>
        <v>0.82</v>
      </c>
      <c r="L138" s="123">
        <f t="shared" si="39"/>
        <v>0.82</v>
      </c>
      <c r="M138" s="123">
        <f t="shared" si="39"/>
        <v>0.82</v>
      </c>
      <c r="N138" s="123">
        <f t="shared" si="39"/>
        <v>0.82</v>
      </c>
      <c r="O138" s="123">
        <f t="shared" si="39"/>
        <v>0.82</v>
      </c>
      <c r="P138" s="123">
        <f t="shared" si="39"/>
        <v>0.82</v>
      </c>
      <c r="Q138" s="123">
        <f t="shared" si="39"/>
        <v>0.82</v>
      </c>
      <c r="R138" s="123">
        <f t="shared" si="39"/>
        <v>0.82</v>
      </c>
      <c r="S138" s="123">
        <f t="shared" si="39"/>
        <v>0.82</v>
      </c>
      <c r="T138" s="123">
        <f t="shared" si="40"/>
        <v>0.82</v>
      </c>
      <c r="U138" s="123">
        <f t="shared" si="40"/>
        <v>0.82</v>
      </c>
      <c r="V138" s="123">
        <f t="shared" si="40"/>
        <v>0.82</v>
      </c>
      <c r="W138" s="123">
        <f t="shared" si="40"/>
        <v>0.82</v>
      </c>
      <c r="X138" s="123">
        <f t="shared" si="40"/>
        <v>0.82</v>
      </c>
      <c r="Y138" s="123">
        <f t="shared" si="40"/>
        <v>0.82</v>
      </c>
      <c r="Z138" s="123">
        <f t="shared" si="40"/>
        <v>0.82</v>
      </c>
      <c r="AA138" s="123">
        <f t="shared" si="40"/>
        <v>0.82</v>
      </c>
      <c r="AB138" s="123">
        <f t="shared" si="40"/>
        <v>0.82</v>
      </c>
      <c r="AC138" s="123">
        <f t="shared" si="40"/>
        <v>0.82</v>
      </c>
      <c r="AD138" s="123">
        <f t="shared" si="40"/>
        <v>0.82</v>
      </c>
      <c r="AE138" s="123">
        <f t="shared" si="40"/>
        <v>0.82</v>
      </c>
      <c r="AF138" s="123">
        <f t="shared" si="40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1">AF140</f>
        <v>2</v>
      </c>
      <c r="C140" s="124">
        <v>2</v>
      </c>
      <c r="D140" s="123">
        <f t="shared" ref="D140:S146" si="42">C140</f>
        <v>2</v>
      </c>
      <c r="E140" s="123">
        <f t="shared" si="42"/>
        <v>2</v>
      </c>
      <c r="F140" s="123">
        <f t="shared" si="42"/>
        <v>2</v>
      </c>
      <c r="G140" s="123">
        <f t="shared" si="42"/>
        <v>2</v>
      </c>
      <c r="H140" s="123">
        <f t="shared" si="42"/>
        <v>2</v>
      </c>
      <c r="I140" s="123">
        <f t="shared" si="42"/>
        <v>2</v>
      </c>
      <c r="J140" s="123">
        <f t="shared" si="42"/>
        <v>2</v>
      </c>
      <c r="K140" s="123">
        <f t="shared" si="42"/>
        <v>2</v>
      </c>
      <c r="L140" s="123">
        <f t="shared" si="42"/>
        <v>2</v>
      </c>
      <c r="M140" s="123">
        <f t="shared" si="42"/>
        <v>2</v>
      </c>
      <c r="N140" s="123">
        <f t="shared" si="42"/>
        <v>2</v>
      </c>
      <c r="O140" s="123">
        <f t="shared" si="42"/>
        <v>2</v>
      </c>
      <c r="P140" s="123">
        <f t="shared" si="42"/>
        <v>2</v>
      </c>
      <c r="Q140" s="123">
        <f t="shared" si="42"/>
        <v>2</v>
      </c>
      <c r="R140" s="123">
        <f t="shared" si="42"/>
        <v>2</v>
      </c>
      <c r="S140" s="123">
        <f t="shared" si="42"/>
        <v>2</v>
      </c>
      <c r="T140" s="123">
        <f t="shared" ref="T140:AF146" si="43">S140</f>
        <v>2</v>
      </c>
      <c r="U140" s="123">
        <f t="shared" si="43"/>
        <v>2</v>
      </c>
      <c r="V140" s="123">
        <f t="shared" si="43"/>
        <v>2</v>
      </c>
      <c r="W140" s="123">
        <f t="shared" si="43"/>
        <v>2</v>
      </c>
      <c r="X140" s="123">
        <f t="shared" si="43"/>
        <v>2</v>
      </c>
      <c r="Y140" s="123">
        <f t="shared" si="43"/>
        <v>2</v>
      </c>
      <c r="Z140" s="123">
        <f t="shared" si="43"/>
        <v>2</v>
      </c>
      <c r="AA140" s="123">
        <f t="shared" si="43"/>
        <v>2</v>
      </c>
      <c r="AB140" s="123">
        <f t="shared" si="43"/>
        <v>2</v>
      </c>
      <c r="AC140" s="123">
        <f t="shared" si="43"/>
        <v>2</v>
      </c>
      <c r="AD140" s="123">
        <f t="shared" si="43"/>
        <v>2</v>
      </c>
      <c r="AE140" s="123">
        <f t="shared" si="43"/>
        <v>2</v>
      </c>
      <c r="AF140" s="123">
        <f t="shared" si="43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1"/>
        <v>5.61</v>
      </c>
      <c r="C141" s="124">
        <v>5.61</v>
      </c>
      <c r="D141" s="123">
        <f t="shared" si="42"/>
        <v>5.61</v>
      </c>
      <c r="E141" s="123">
        <f t="shared" si="42"/>
        <v>5.61</v>
      </c>
      <c r="F141" s="123">
        <f t="shared" si="42"/>
        <v>5.61</v>
      </c>
      <c r="G141" s="123">
        <f t="shared" si="42"/>
        <v>5.61</v>
      </c>
      <c r="H141" s="123">
        <f t="shared" si="42"/>
        <v>5.61</v>
      </c>
      <c r="I141" s="123">
        <f t="shared" si="42"/>
        <v>5.61</v>
      </c>
      <c r="J141" s="123">
        <f t="shared" si="42"/>
        <v>5.61</v>
      </c>
      <c r="K141" s="123">
        <f t="shared" si="42"/>
        <v>5.61</v>
      </c>
      <c r="L141" s="123">
        <f t="shared" si="42"/>
        <v>5.61</v>
      </c>
      <c r="M141" s="123">
        <f t="shared" si="42"/>
        <v>5.61</v>
      </c>
      <c r="N141" s="123">
        <f t="shared" si="42"/>
        <v>5.61</v>
      </c>
      <c r="O141" s="123">
        <f t="shared" si="42"/>
        <v>5.61</v>
      </c>
      <c r="P141" s="123">
        <f t="shared" si="42"/>
        <v>5.61</v>
      </c>
      <c r="Q141" s="123">
        <f t="shared" si="42"/>
        <v>5.61</v>
      </c>
      <c r="R141" s="123">
        <f t="shared" si="42"/>
        <v>5.61</v>
      </c>
      <c r="S141" s="123">
        <f t="shared" si="42"/>
        <v>5.61</v>
      </c>
      <c r="T141" s="123">
        <f t="shared" si="43"/>
        <v>5.61</v>
      </c>
      <c r="U141" s="123">
        <f t="shared" si="43"/>
        <v>5.61</v>
      </c>
      <c r="V141" s="123">
        <f t="shared" si="43"/>
        <v>5.61</v>
      </c>
      <c r="W141" s="123">
        <f t="shared" si="43"/>
        <v>5.61</v>
      </c>
      <c r="X141" s="123">
        <f t="shared" si="43"/>
        <v>5.61</v>
      </c>
      <c r="Y141" s="123">
        <f t="shared" si="43"/>
        <v>5.61</v>
      </c>
      <c r="Z141" s="123">
        <f t="shared" si="43"/>
        <v>5.61</v>
      </c>
      <c r="AA141" s="123">
        <f t="shared" si="43"/>
        <v>5.61</v>
      </c>
      <c r="AB141" s="123">
        <f t="shared" si="43"/>
        <v>5.61</v>
      </c>
      <c r="AC141" s="123">
        <f t="shared" si="43"/>
        <v>5.61</v>
      </c>
      <c r="AD141" s="123">
        <f t="shared" si="43"/>
        <v>5.61</v>
      </c>
      <c r="AE141" s="123">
        <f t="shared" si="43"/>
        <v>5.61</v>
      </c>
      <c r="AF141" s="123">
        <f t="shared" si="43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1"/>
        <v>1.25</v>
      </c>
      <c r="C142" s="124">
        <v>1.25</v>
      </c>
      <c r="D142" s="123">
        <f t="shared" si="42"/>
        <v>1.25</v>
      </c>
      <c r="E142" s="123">
        <f t="shared" si="42"/>
        <v>1.25</v>
      </c>
      <c r="F142" s="123">
        <f t="shared" si="42"/>
        <v>1.25</v>
      </c>
      <c r="G142" s="123">
        <f t="shared" si="42"/>
        <v>1.25</v>
      </c>
      <c r="H142" s="123">
        <f t="shared" si="42"/>
        <v>1.25</v>
      </c>
      <c r="I142" s="123">
        <f t="shared" si="42"/>
        <v>1.25</v>
      </c>
      <c r="J142" s="123">
        <f t="shared" si="42"/>
        <v>1.25</v>
      </c>
      <c r="K142" s="123">
        <f t="shared" si="42"/>
        <v>1.25</v>
      </c>
      <c r="L142" s="123">
        <f t="shared" si="42"/>
        <v>1.25</v>
      </c>
      <c r="M142" s="123">
        <f t="shared" si="42"/>
        <v>1.25</v>
      </c>
      <c r="N142" s="123">
        <f t="shared" si="42"/>
        <v>1.25</v>
      </c>
      <c r="O142" s="123">
        <f t="shared" si="42"/>
        <v>1.25</v>
      </c>
      <c r="P142" s="123">
        <f t="shared" si="42"/>
        <v>1.25</v>
      </c>
      <c r="Q142" s="123">
        <f t="shared" si="42"/>
        <v>1.25</v>
      </c>
      <c r="R142" s="123">
        <f t="shared" si="42"/>
        <v>1.25</v>
      </c>
      <c r="S142" s="123">
        <f t="shared" si="42"/>
        <v>1.25</v>
      </c>
      <c r="T142" s="123">
        <f t="shared" si="43"/>
        <v>1.25</v>
      </c>
      <c r="U142" s="123">
        <f t="shared" si="43"/>
        <v>1.25</v>
      </c>
      <c r="V142" s="123">
        <f t="shared" si="43"/>
        <v>1.25</v>
      </c>
      <c r="W142" s="123">
        <f t="shared" si="43"/>
        <v>1.25</v>
      </c>
      <c r="X142" s="123">
        <f t="shared" si="43"/>
        <v>1.25</v>
      </c>
      <c r="Y142" s="123">
        <f t="shared" si="43"/>
        <v>1.25</v>
      </c>
      <c r="Z142" s="123">
        <f t="shared" si="43"/>
        <v>1.25</v>
      </c>
      <c r="AA142" s="123">
        <f t="shared" si="43"/>
        <v>1.25</v>
      </c>
      <c r="AB142" s="123">
        <f t="shared" si="43"/>
        <v>1.25</v>
      </c>
      <c r="AC142" s="123">
        <f t="shared" si="43"/>
        <v>1.25</v>
      </c>
      <c r="AD142" s="123">
        <f t="shared" si="43"/>
        <v>1.25</v>
      </c>
      <c r="AE142" s="123">
        <f t="shared" si="43"/>
        <v>1.25</v>
      </c>
      <c r="AF142" s="123">
        <f t="shared" si="43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1"/>
        <v>1.25</v>
      </c>
      <c r="C143" s="124">
        <v>1.25</v>
      </c>
      <c r="D143" s="123">
        <f t="shared" si="42"/>
        <v>1.25</v>
      </c>
      <c r="E143" s="123">
        <f t="shared" si="42"/>
        <v>1.25</v>
      </c>
      <c r="F143" s="123">
        <f t="shared" si="42"/>
        <v>1.25</v>
      </c>
      <c r="G143" s="123">
        <f t="shared" si="42"/>
        <v>1.25</v>
      </c>
      <c r="H143" s="123">
        <f t="shared" si="42"/>
        <v>1.25</v>
      </c>
      <c r="I143" s="123">
        <f t="shared" si="42"/>
        <v>1.25</v>
      </c>
      <c r="J143" s="123">
        <f t="shared" si="42"/>
        <v>1.25</v>
      </c>
      <c r="K143" s="123">
        <f t="shared" si="42"/>
        <v>1.25</v>
      </c>
      <c r="L143" s="123">
        <f t="shared" si="42"/>
        <v>1.25</v>
      </c>
      <c r="M143" s="123">
        <f t="shared" si="42"/>
        <v>1.25</v>
      </c>
      <c r="N143" s="123">
        <f t="shared" si="42"/>
        <v>1.25</v>
      </c>
      <c r="O143" s="123">
        <f t="shared" si="42"/>
        <v>1.25</v>
      </c>
      <c r="P143" s="123">
        <f t="shared" si="42"/>
        <v>1.25</v>
      </c>
      <c r="Q143" s="123">
        <f t="shared" si="42"/>
        <v>1.25</v>
      </c>
      <c r="R143" s="123">
        <f t="shared" si="42"/>
        <v>1.25</v>
      </c>
      <c r="S143" s="123">
        <f t="shared" si="42"/>
        <v>1.25</v>
      </c>
      <c r="T143" s="123">
        <f t="shared" si="43"/>
        <v>1.25</v>
      </c>
      <c r="U143" s="123">
        <f t="shared" si="43"/>
        <v>1.25</v>
      </c>
      <c r="V143" s="123">
        <f t="shared" si="43"/>
        <v>1.25</v>
      </c>
      <c r="W143" s="123">
        <f t="shared" si="43"/>
        <v>1.25</v>
      </c>
      <c r="X143" s="123">
        <f t="shared" si="43"/>
        <v>1.25</v>
      </c>
      <c r="Y143" s="123">
        <f t="shared" si="43"/>
        <v>1.25</v>
      </c>
      <c r="Z143" s="123">
        <f t="shared" si="43"/>
        <v>1.25</v>
      </c>
      <c r="AA143" s="123">
        <f t="shared" si="43"/>
        <v>1.25</v>
      </c>
      <c r="AB143" s="123">
        <f t="shared" si="43"/>
        <v>1.25</v>
      </c>
      <c r="AC143" s="123">
        <f t="shared" si="43"/>
        <v>1.25</v>
      </c>
      <c r="AD143" s="123">
        <f t="shared" si="43"/>
        <v>1.25</v>
      </c>
      <c r="AE143" s="123">
        <f t="shared" si="43"/>
        <v>1.25</v>
      </c>
      <c r="AF143" s="123">
        <f t="shared" si="43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1"/>
        <v>1.46</v>
      </c>
      <c r="C144" s="124">
        <v>1.46</v>
      </c>
      <c r="D144" s="123">
        <f t="shared" si="42"/>
        <v>1.46</v>
      </c>
      <c r="E144" s="123">
        <f t="shared" si="42"/>
        <v>1.46</v>
      </c>
      <c r="F144" s="123">
        <f t="shared" si="42"/>
        <v>1.46</v>
      </c>
      <c r="G144" s="123">
        <f t="shared" si="42"/>
        <v>1.46</v>
      </c>
      <c r="H144" s="123">
        <f t="shared" si="42"/>
        <v>1.46</v>
      </c>
      <c r="I144" s="123">
        <f t="shared" si="42"/>
        <v>1.46</v>
      </c>
      <c r="J144" s="123">
        <f t="shared" si="42"/>
        <v>1.46</v>
      </c>
      <c r="K144" s="123">
        <f t="shared" si="42"/>
        <v>1.46</v>
      </c>
      <c r="L144" s="123">
        <f t="shared" si="42"/>
        <v>1.46</v>
      </c>
      <c r="M144" s="123">
        <f t="shared" si="42"/>
        <v>1.46</v>
      </c>
      <c r="N144" s="123">
        <f t="shared" si="42"/>
        <v>1.46</v>
      </c>
      <c r="O144" s="123">
        <f t="shared" si="42"/>
        <v>1.46</v>
      </c>
      <c r="P144" s="123">
        <f t="shared" si="42"/>
        <v>1.46</v>
      </c>
      <c r="Q144" s="123">
        <f t="shared" si="42"/>
        <v>1.46</v>
      </c>
      <c r="R144" s="123">
        <f t="shared" si="42"/>
        <v>1.46</v>
      </c>
      <c r="S144" s="123">
        <f t="shared" si="42"/>
        <v>1.46</v>
      </c>
      <c r="T144" s="123">
        <f t="shared" si="43"/>
        <v>1.46</v>
      </c>
      <c r="U144" s="123">
        <f t="shared" si="43"/>
        <v>1.46</v>
      </c>
      <c r="V144" s="123">
        <f t="shared" si="43"/>
        <v>1.46</v>
      </c>
      <c r="W144" s="123">
        <f t="shared" si="43"/>
        <v>1.46</v>
      </c>
      <c r="X144" s="123">
        <f t="shared" si="43"/>
        <v>1.46</v>
      </c>
      <c r="Y144" s="123">
        <f t="shared" si="43"/>
        <v>1.46</v>
      </c>
      <c r="Z144" s="123">
        <f t="shared" si="43"/>
        <v>1.46</v>
      </c>
      <c r="AA144" s="123">
        <f t="shared" si="43"/>
        <v>1.46</v>
      </c>
      <c r="AB144" s="123">
        <f t="shared" si="43"/>
        <v>1.46</v>
      </c>
      <c r="AC144" s="123">
        <f t="shared" si="43"/>
        <v>1.46</v>
      </c>
      <c r="AD144" s="123">
        <f t="shared" si="43"/>
        <v>1.46</v>
      </c>
      <c r="AE144" s="123">
        <f t="shared" si="43"/>
        <v>1.46</v>
      </c>
      <c r="AF144" s="123">
        <f t="shared" si="43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1"/>
        <v>3</v>
      </c>
      <c r="C145" s="124">
        <v>3</v>
      </c>
      <c r="D145" s="123">
        <f t="shared" si="42"/>
        <v>3</v>
      </c>
      <c r="E145" s="123">
        <f t="shared" si="42"/>
        <v>3</v>
      </c>
      <c r="F145" s="123">
        <f t="shared" si="42"/>
        <v>3</v>
      </c>
      <c r="G145" s="123">
        <f t="shared" si="42"/>
        <v>3</v>
      </c>
      <c r="H145" s="123">
        <f t="shared" si="42"/>
        <v>3</v>
      </c>
      <c r="I145" s="123">
        <f t="shared" si="42"/>
        <v>3</v>
      </c>
      <c r="J145" s="123">
        <f t="shared" si="42"/>
        <v>3</v>
      </c>
      <c r="K145" s="123">
        <f t="shared" si="42"/>
        <v>3</v>
      </c>
      <c r="L145" s="123">
        <f t="shared" si="42"/>
        <v>3</v>
      </c>
      <c r="M145" s="123">
        <f t="shared" si="42"/>
        <v>3</v>
      </c>
      <c r="N145" s="123">
        <f t="shared" si="42"/>
        <v>3</v>
      </c>
      <c r="O145" s="123">
        <f t="shared" si="42"/>
        <v>3</v>
      </c>
      <c r="P145" s="123">
        <f t="shared" si="42"/>
        <v>3</v>
      </c>
      <c r="Q145" s="123">
        <f t="shared" si="42"/>
        <v>3</v>
      </c>
      <c r="R145" s="123">
        <f t="shared" si="42"/>
        <v>3</v>
      </c>
      <c r="S145" s="123">
        <f t="shared" si="42"/>
        <v>3</v>
      </c>
      <c r="T145" s="123">
        <f t="shared" si="43"/>
        <v>3</v>
      </c>
      <c r="U145" s="123">
        <f t="shared" si="43"/>
        <v>3</v>
      </c>
      <c r="V145" s="123">
        <f t="shared" si="43"/>
        <v>3</v>
      </c>
      <c r="W145" s="123">
        <f t="shared" si="43"/>
        <v>3</v>
      </c>
      <c r="X145" s="123">
        <f t="shared" si="43"/>
        <v>3</v>
      </c>
      <c r="Y145" s="123">
        <f t="shared" si="43"/>
        <v>3</v>
      </c>
      <c r="Z145" s="123">
        <f t="shared" si="43"/>
        <v>3</v>
      </c>
      <c r="AA145" s="123">
        <f t="shared" si="43"/>
        <v>3</v>
      </c>
      <c r="AB145" s="123">
        <f t="shared" si="43"/>
        <v>3</v>
      </c>
      <c r="AC145" s="123">
        <f t="shared" si="43"/>
        <v>3</v>
      </c>
      <c r="AD145" s="123">
        <f t="shared" si="43"/>
        <v>3</v>
      </c>
      <c r="AE145" s="123">
        <f t="shared" si="43"/>
        <v>3</v>
      </c>
      <c r="AF145" s="123">
        <f t="shared" si="43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1"/>
        <v>3.3</v>
      </c>
      <c r="C146" s="124">
        <v>3.3</v>
      </c>
      <c r="D146" s="123">
        <f t="shared" si="42"/>
        <v>3.3</v>
      </c>
      <c r="E146" s="123">
        <f t="shared" si="42"/>
        <v>3.3</v>
      </c>
      <c r="F146" s="123">
        <f t="shared" si="42"/>
        <v>3.3</v>
      </c>
      <c r="G146" s="123">
        <f t="shared" si="42"/>
        <v>3.3</v>
      </c>
      <c r="H146" s="123">
        <f t="shared" si="42"/>
        <v>3.3</v>
      </c>
      <c r="I146" s="123">
        <f t="shared" si="42"/>
        <v>3.3</v>
      </c>
      <c r="J146" s="123">
        <f t="shared" si="42"/>
        <v>3.3</v>
      </c>
      <c r="K146" s="123">
        <f t="shared" si="42"/>
        <v>3.3</v>
      </c>
      <c r="L146" s="123">
        <f t="shared" si="42"/>
        <v>3.3</v>
      </c>
      <c r="M146" s="123">
        <f t="shared" si="42"/>
        <v>3.3</v>
      </c>
      <c r="N146" s="123">
        <f t="shared" si="42"/>
        <v>3.3</v>
      </c>
      <c r="O146" s="123">
        <f t="shared" si="42"/>
        <v>3.3</v>
      </c>
      <c r="P146" s="123">
        <f t="shared" si="42"/>
        <v>3.3</v>
      </c>
      <c r="Q146" s="123">
        <f t="shared" si="42"/>
        <v>3.3</v>
      </c>
      <c r="R146" s="123">
        <f t="shared" si="42"/>
        <v>3.3</v>
      </c>
      <c r="S146" s="123">
        <f t="shared" si="42"/>
        <v>3.3</v>
      </c>
      <c r="T146" s="123">
        <f t="shared" si="43"/>
        <v>3.3</v>
      </c>
      <c r="U146" s="123">
        <f t="shared" si="43"/>
        <v>3.3</v>
      </c>
      <c r="V146" s="123">
        <f t="shared" si="43"/>
        <v>3.3</v>
      </c>
      <c r="W146" s="123">
        <f t="shared" si="43"/>
        <v>3.3</v>
      </c>
      <c r="X146" s="123">
        <f t="shared" si="43"/>
        <v>3.3</v>
      </c>
      <c r="Y146" s="123">
        <f t="shared" si="43"/>
        <v>3.3</v>
      </c>
      <c r="Z146" s="123">
        <f t="shared" si="43"/>
        <v>3.3</v>
      </c>
      <c r="AA146" s="123">
        <f t="shared" si="43"/>
        <v>3.3</v>
      </c>
      <c r="AB146" s="123">
        <f t="shared" si="43"/>
        <v>3.3</v>
      </c>
      <c r="AC146" s="123">
        <f t="shared" si="43"/>
        <v>3.3</v>
      </c>
      <c r="AD146" s="123">
        <f t="shared" si="43"/>
        <v>3.3</v>
      </c>
      <c r="AE146" s="123">
        <f t="shared" si="43"/>
        <v>3.3</v>
      </c>
      <c r="AF146" s="123">
        <f t="shared" si="43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4">C148</f>
        <v>1.76</v>
      </c>
      <c r="E148" s="123">
        <f t="shared" si="44"/>
        <v>1.76</v>
      </c>
      <c r="F148" s="123">
        <f t="shared" si="44"/>
        <v>1.76</v>
      </c>
      <c r="G148" s="123">
        <f t="shared" si="44"/>
        <v>1.76</v>
      </c>
      <c r="H148" s="123">
        <f t="shared" si="44"/>
        <v>1.76</v>
      </c>
      <c r="I148" s="123">
        <f t="shared" si="44"/>
        <v>1.76</v>
      </c>
      <c r="J148" s="123">
        <f t="shared" si="44"/>
        <v>1.76</v>
      </c>
      <c r="K148" s="123">
        <f t="shared" si="44"/>
        <v>1.76</v>
      </c>
      <c r="L148" s="123">
        <f t="shared" si="44"/>
        <v>1.76</v>
      </c>
      <c r="M148" s="123">
        <f t="shared" si="44"/>
        <v>1.76</v>
      </c>
      <c r="N148" s="123">
        <f t="shared" si="44"/>
        <v>1.76</v>
      </c>
      <c r="O148" s="123">
        <f t="shared" si="44"/>
        <v>1.76</v>
      </c>
      <c r="P148" s="123">
        <f t="shared" si="44"/>
        <v>1.76</v>
      </c>
      <c r="Q148" s="123">
        <f t="shared" si="44"/>
        <v>1.76</v>
      </c>
      <c r="R148" s="123">
        <f t="shared" si="44"/>
        <v>1.76</v>
      </c>
      <c r="S148" s="123">
        <f t="shared" si="44"/>
        <v>1.76</v>
      </c>
      <c r="T148" s="123">
        <f t="shared" ref="T148:AF149" si="45">S148</f>
        <v>1.76</v>
      </c>
      <c r="U148" s="123">
        <f t="shared" si="45"/>
        <v>1.76</v>
      </c>
      <c r="V148" s="123">
        <f t="shared" si="45"/>
        <v>1.76</v>
      </c>
      <c r="W148" s="123">
        <f t="shared" si="45"/>
        <v>1.76</v>
      </c>
      <c r="X148" s="123">
        <f t="shared" si="45"/>
        <v>1.76</v>
      </c>
      <c r="Y148" s="123">
        <f t="shared" si="45"/>
        <v>1.76</v>
      </c>
      <c r="Z148" s="123">
        <f t="shared" si="45"/>
        <v>1.76</v>
      </c>
      <c r="AA148" s="123">
        <f t="shared" si="45"/>
        <v>1.76</v>
      </c>
      <c r="AB148" s="123">
        <f t="shared" si="45"/>
        <v>1.76</v>
      </c>
      <c r="AC148" s="123">
        <f t="shared" si="45"/>
        <v>1.76</v>
      </c>
      <c r="AD148" s="123">
        <f t="shared" si="45"/>
        <v>1.76</v>
      </c>
      <c r="AE148" s="123">
        <f t="shared" si="45"/>
        <v>1.76</v>
      </c>
      <c r="AF148" s="123">
        <f t="shared" si="45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4"/>
        <v>0</v>
      </c>
      <c r="E149" s="123">
        <f t="shared" si="44"/>
        <v>0</v>
      </c>
      <c r="F149" s="123">
        <f t="shared" si="44"/>
        <v>0</v>
      </c>
      <c r="G149" s="123">
        <f t="shared" si="44"/>
        <v>0</v>
      </c>
      <c r="H149" s="123">
        <f t="shared" si="44"/>
        <v>0</v>
      </c>
      <c r="I149" s="123">
        <f t="shared" si="44"/>
        <v>0</v>
      </c>
      <c r="J149" s="123">
        <f t="shared" si="44"/>
        <v>0</v>
      </c>
      <c r="K149" s="123">
        <f t="shared" si="44"/>
        <v>0</v>
      </c>
      <c r="L149" s="123">
        <f t="shared" si="44"/>
        <v>0</v>
      </c>
      <c r="M149" s="123">
        <f t="shared" si="44"/>
        <v>0</v>
      </c>
      <c r="N149" s="123">
        <f t="shared" si="44"/>
        <v>0</v>
      </c>
      <c r="O149" s="123">
        <f t="shared" si="44"/>
        <v>0</v>
      </c>
      <c r="P149" s="123">
        <f t="shared" si="44"/>
        <v>0</v>
      </c>
      <c r="Q149" s="123">
        <f t="shared" si="44"/>
        <v>0</v>
      </c>
      <c r="R149" s="123">
        <f t="shared" si="44"/>
        <v>0</v>
      </c>
      <c r="S149" s="123">
        <f t="shared" si="44"/>
        <v>0</v>
      </c>
      <c r="T149" s="123">
        <f t="shared" si="45"/>
        <v>0</v>
      </c>
      <c r="U149" s="123">
        <f t="shared" si="45"/>
        <v>0</v>
      </c>
      <c r="V149" s="123">
        <f t="shared" si="45"/>
        <v>0</v>
      </c>
      <c r="W149" s="123">
        <f t="shared" si="45"/>
        <v>0</v>
      </c>
      <c r="X149" s="123">
        <f t="shared" si="45"/>
        <v>0</v>
      </c>
      <c r="Y149" s="123">
        <f t="shared" si="45"/>
        <v>0</v>
      </c>
      <c r="Z149" s="123">
        <f t="shared" si="45"/>
        <v>0</v>
      </c>
      <c r="AA149" s="123">
        <f t="shared" si="45"/>
        <v>0</v>
      </c>
      <c r="AB149" s="123">
        <f t="shared" si="45"/>
        <v>0</v>
      </c>
      <c r="AC149" s="123">
        <f t="shared" si="45"/>
        <v>0</v>
      </c>
      <c r="AD149" s="123">
        <f t="shared" si="45"/>
        <v>0</v>
      </c>
      <c r="AE149" s="123">
        <f t="shared" si="45"/>
        <v>0</v>
      </c>
      <c r="AF149" s="123">
        <f t="shared" si="45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6">C151</f>
        <v>0.1</v>
      </c>
      <c r="E151" s="123">
        <f t="shared" si="46"/>
        <v>0.1</v>
      </c>
      <c r="F151" s="123">
        <f t="shared" si="46"/>
        <v>0.1</v>
      </c>
      <c r="G151" s="123">
        <f t="shared" si="46"/>
        <v>0.1</v>
      </c>
      <c r="H151" s="123">
        <f t="shared" si="46"/>
        <v>0.1</v>
      </c>
      <c r="I151" s="123">
        <f t="shared" si="46"/>
        <v>0.1</v>
      </c>
      <c r="J151" s="123">
        <f t="shared" si="46"/>
        <v>0.1</v>
      </c>
      <c r="K151" s="123">
        <f t="shared" si="46"/>
        <v>0.1</v>
      </c>
      <c r="L151" s="123">
        <f t="shared" si="46"/>
        <v>0.1</v>
      </c>
      <c r="M151" s="123">
        <f t="shared" si="46"/>
        <v>0.1</v>
      </c>
      <c r="N151" s="123">
        <f t="shared" si="46"/>
        <v>0.1</v>
      </c>
      <c r="O151" s="123">
        <f t="shared" si="46"/>
        <v>0.1</v>
      </c>
      <c r="P151" s="123">
        <f t="shared" si="46"/>
        <v>0.1</v>
      </c>
      <c r="Q151" s="123">
        <f t="shared" si="46"/>
        <v>0.1</v>
      </c>
      <c r="R151" s="123">
        <f t="shared" si="46"/>
        <v>0.1</v>
      </c>
      <c r="S151" s="123">
        <f t="shared" si="46"/>
        <v>0.1</v>
      </c>
      <c r="T151" s="123">
        <f t="shared" ref="T151:AF154" si="47">S151</f>
        <v>0.1</v>
      </c>
      <c r="U151" s="123">
        <f t="shared" si="47"/>
        <v>0.1</v>
      </c>
      <c r="V151" s="123">
        <f t="shared" si="47"/>
        <v>0.1</v>
      </c>
      <c r="W151" s="123">
        <f t="shared" si="47"/>
        <v>0.1</v>
      </c>
      <c r="X151" s="123">
        <f t="shared" si="47"/>
        <v>0.1</v>
      </c>
      <c r="Y151" s="123">
        <f t="shared" si="47"/>
        <v>0.1</v>
      </c>
      <c r="Z151" s="123">
        <f t="shared" si="47"/>
        <v>0.1</v>
      </c>
      <c r="AA151" s="123">
        <f t="shared" si="47"/>
        <v>0.1</v>
      </c>
      <c r="AB151" s="123">
        <f t="shared" si="47"/>
        <v>0.1</v>
      </c>
      <c r="AC151" s="123">
        <f t="shared" si="47"/>
        <v>0.1</v>
      </c>
      <c r="AD151" s="123">
        <f t="shared" si="47"/>
        <v>0.1</v>
      </c>
      <c r="AE151" s="123">
        <f t="shared" si="47"/>
        <v>0.1</v>
      </c>
      <c r="AF151" s="123">
        <f t="shared" si="47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6"/>
        <v>2.0499999999999998</v>
      </c>
      <c r="E152" s="123">
        <f t="shared" si="46"/>
        <v>2.0499999999999998</v>
      </c>
      <c r="F152" s="123">
        <f t="shared" si="46"/>
        <v>2.0499999999999998</v>
      </c>
      <c r="G152" s="123">
        <f t="shared" si="46"/>
        <v>2.0499999999999998</v>
      </c>
      <c r="H152" s="123">
        <f t="shared" si="46"/>
        <v>2.0499999999999998</v>
      </c>
      <c r="I152" s="123">
        <f t="shared" si="46"/>
        <v>2.0499999999999998</v>
      </c>
      <c r="J152" s="123">
        <f t="shared" si="46"/>
        <v>2.0499999999999998</v>
      </c>
      <c r="K152" s="123">
        <f t="shared" si="46"/>
        <v>2.0499999999999998</v>
      </c>
      <c r="L152" s="123">
        <f t="shared" si="46"/>
        <v>2.0499999999999998</v>
      </c>
      <c r="M152" s="123">
        <f t="shared" si="46"/>
        <v>2.0499999999999998</v>
      </c>
      <c r="N152" s="123">
        <f t="shared" si="46"/>
        <v>2.0499999999999998</v>
      </c>
      <c r="O152" s="123">
        <f t="shared" si="46"/>
        <v>2.0499999999999998</v>
      </c>
      <c r="P152" s="123">
        <f t="shared" si="46"/>
        <v>2.0499999999999998</v>
      </c>
      <c r="Q152" s="123">
        <f t="shared" si="46"/>
        <v>2.0499999999999998</v>
      </c>
      <c r="R152" s="123">
        <f t="shared" si="46"/>
        <v>2.0499999999999998</v>
      </c>
      <c r="S152" s="123">
        <f t="shared" si="46"/>
        <v>2.0499999999999998</v>
      </c>
      <c r="T152" s="123">
        <f t="shared" si="47"/>
        <v>2.0499999999999998</v>
      </c>
      <c r="U152" s="123">
        <f t="shared" si="47"/>
        <v>2.0499999999999998</v>
      </c>
      <c r="V152" s="123">
        <f t="shared" si="47"/>
        <v>2.0499999999999998</v>
      </c>
      <c r="W152" s="123">
        <f t="shared" si="47"/>
        <v>2.0499999999999998</v>
      </c>
      <c r="X152" s="123">
        <f t="shared" si="47"/>
        <v>2.0499999999999998</v>
      </c>
      <c r="Y152" s="123">
        <f t="shared" si="47"/>
        <v>2.0499999999999998</v>
      </c>
      <c r="Z152" s="123">
        <f t="shared" si="47"/>
        <v>2.0499999999999998</v>
      </c>
      <c r="AA152" s="123">
        <f t="shared" si="47"/>
        <v>2.0499999999999998</v>
      </c>
      <c r="AB152" s="123">
        <f t="shared" si="47"/>
        <v>2.0499999999999998</v>
      </c>
      <c r="AC152" s="123">
        <f t="shared" si="47"/>
        <v>2.0499999999999998</v>
      </c>
      <c r="AD152" s="123">
        <f t="shared" si="47"/>
        <v>2.0499999999999998</v>
      </c>
      <c r="AE152" s="123">
        <f t="shared" si="47"/>
        <v>2.0499999999999998</v>
      </c>
      <c r="AF152" s="123">
        <f t="shared" si="47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6"/>
        <v>2.7</v>
      </c>
      <c r="E153" s="123">
        <f t="shared" si="46"/>
        <v>2.7</v>
      </c>
      <c r="F153" s="123">
        <f t="shared" si="46"/>
        <v>2.7</v>
      </c>
      <c r="G153" s="123">
        <f t="shared" si="46"/>
        <v>2.7</v>
      </c>
      <c r="H153" s="123">
        <f t="shared" si="46"/>
        <v>2.7</v>
      </c>
      <c r="I153" s="123">
        <f t="shared" si="46"/>
        <v>2.7</v>
      </c>
      <c r="J153" s="123">
        <f t="shared" si="46"/>
        <v>2.7</v>
      </c>
      <c r="K153" s="123">
        <f t="shared" si="46"/>
        <v>2.7</v>
      </c>
      <c r="L153" s="123">
        <f t="shared" si="46"/>
        <v>2.7</v>
      </c>
      <c r="M153" s="123">
        <f t="shared" si="46"/>
        <v>2.7</v>
      </c>
      <c r="N153" s="123">
        <f t="shared" si="46"/>
        <v>2.7</v>
      </c>
      <c r="O153" s="123">
        <f t="shared" si="46"/>
        <v>2.7</v>
      </c>
      <c r="P153" s="123">
        <f t="shared" si="46"/>
        <v>2.7</v>
      </c>
      <c r="Q153" s="123">
        <f t="shared" si="46"/>
        <v>2.7</v>
      </c>
      <c r="R153" s="123">
        <f t="shared" si="46"/>
        <v>2.7</v>
      </c>
      <c r="S153" s="123">
        <f t="shared" si="46"/>
        <v>2.7</v>
      </c>
      <c r="T153" s="123">
        <f t="shared" si="47"/>
        <v>2.7</v>
      </c>
      <c r="U153" s="123">
        <f t="shared" si="47"/>
        <v>2.7</v>
      </c>
      <c r="V153" s="123">
        <f t="shared" si="47"/>
        <v>2.7</v>
      </c>
      <c r="W153" s="123">
        <f t="shared" si="47"/>
        <v>2.7</v>
      </c>
      <c r="X153" s="123">
        <f t="shared" si="47"/>
        <v>2.7</v>
      </c>
      <c r="Y153" s="123">
        <f t="shared" si="47"/>
        <v>2.7</v>
      </c>
      <c r="Z153" s="123">
        <f t="shared" si="47"/>
        <v>2.7</v>
      </c>
      <c r="AA153" s="123">
        <f t="shared" si="47"/>
        <v>2.7</v>
      </c>
      <c r="AB153" s="123">
        <f t="shared" si="47"/>
        <v>2.7</v>
      </c>
      <c r="AC153" s="123">
        <f t="shared" si="47"/>
        <v>2.7</v>
      </c>
      <c r="AD153" s="123">
        <f t="shared" si="47"/>
        <v>2.7</v>
      </c>
      <c r="AE153" s="123">
        <f t="shared" si="47"/>
        <v>2.7</v>
      </c>
      <c r="AF153" s="123">
        <f t="shared" si="47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6"/>
        <v>2.15</v>
      </c>
      <c r="E154" s="123">
        <f t="shared" si="46"/>
        <v>2.15</v>
      </c>
      <c r="F154" s="123">
        <f t="shared" si="46"/>
        <v>2.15</v>
      </c>
      <c r="G154" s="123">
        <f t="shared" si="46"/>
        <v>2.15</v>
      </c>
      <c r="H154" s="123">
        <f t="shared" si="46"/>
        <v>2.15</v>
      </c>
      <c r="I154" s="123">
        <f t="shared" si="46"/>
        <v>2.15</v>
      </c>
      <c r="J154" s="123">
        <f t="shared" si="46"/>
        <v>2.15</v>
      </c>
      <c r="K154" s="123">
        <f t="shared" si="46"/>
        <v>2.15</v>
      </c>
      <c r="L154" s="123">
        <f t="shared" si="46"/>
        <v>2.15</v>
      </c>
      <c r="M154" s="123">
        <f t="shared" si="46"/>
        <v>2.15</v>
      </c>
      <c r="N154" s="123">
        <f t="shared" si="46"/>
        <v>2.15</v>
      </c>
      <c r="O154" s="123">
        <f t="shared" si="46"/>
        <v>2.15</v>
      </c>
      <c r="P154" s="123">
        <f t="shared" si="46"/>
        <v>2.15</v>
      </c>
      <c r="Q154" s="123">
        <f t="shared" si="46"/>
        <v>2.15</v>
      </c>
      <c r="R154" s="123">
        <f t="shared" si="46"/>
        <v>2.15</v>
      </c>
      <c r="S154" s="123">
        <f t="shared" si="46"/>
        <v>2.15</v>
      </c>
      <c r="T154" s="123">
        <f t="shared" si="47"/>
        <v>2.15</v>
      </c>
      <c r="U154" s="123">
        <f t="shared" si="47"/>
        <v>2.15</v>
      </c>
      <c r="V154" s="123">
        <f t="shared" si="47"/>
        <v>2.15</v>
      </c>
      <c r="W154" s="123">
        <f t="shared" si="47"/>
        <v>2.15</v>
      </c>
      <c r="X154" s="123">
        <f t="shared" si="47"/>
        <v>2.15</v>
      </c>
      <c r="Y154" s="123">
        <f t="shared" si="47"/>
        <v>2.15</v>
      </c>
      <c r="Z154" s="123">
        <f t="shared" si="47"/>
        <v>2.15</v>
      </c>
      <c r="AA154" s="123">
        <f t="shared" si="47"/>
        <v>2.15</v>
      </c>
      <c r="AB154" s="123">
        <f t="shared" si="47"/>
        <v>2.15</v>
      </c>
      <c r="AC154" s="123">
        <f t="shared" si="47"/>
        <v>2.15</v>
      </c>
      <c r="AD154" s="123">
        <f t="shared" si="47"/>
        <v>2.15</v>
      </c>
      <c r="AE154" s="123">
        <f t="shared" si="47"/>
        <v>2.15</v>
      </c>
      <c r="AF154" s="123">
        <f t="shared" si="47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8">AF156</f>
        <v>0.9</v>
      </c>
      <c r="C156" s="124">
        <v>0.9</v>
      </c>
      <c r="D156" s="123">
        <f t="shared" ref="D156:S168" si="49">C156</f>
        <v>0.9</v>
      </c>
      <c r="E156" s="123">
        <f t="shared" si="49"/>
        <v>0.9</v>
      </c>
      <c r="F156" s="123">
        <f t="shared" si="49"/>
        <v>0.9</v>
      </c>
      <c r="G156" s="123">
        <f t="shared" si="49"/>
        <v>0.9</v>
      </c>
      <c r="H156" s="123">
        <f t="shared" si="49"/>
        <v>0.9</v>
      </c>
      <c r="I156" s="123">
        <f t="shared" si="49"/>
        <v>0.9</v>
      </c>
      <c r="J156" s="123">
        <f t="shared" si="49"/>
        <v>0.9</v>
      </c>
      <c r="K156" s="123">
        <f t="shared" si="49"/>
        <v>0.9</v>
      </c>
      <c r="L156" s="123">
        <f t="shared" si="49"/>
        <v>0.9</v>
      </c>
      <c r="M156" s="123">
        <f t="shared" si="49"/>
        <v>0.9</v>
      </c>
      <c r="N156" s="123">
        <f t="shared" si="49"/>
        <v>0.9</v>
      </c>
      <c r="O156" s="123">
        <f t="shared" si="49"/>
        <v>0.9</v>
      </c>
      <c r="P156" s="123">
        <f t="shared" si="49"/>
        <v>0.9</v>
      </c>
      <c r="Q156" s="123">
        <f t="shared" si="49"/>
        <v>0.9</v>
      </c>
      <c r="R156" s="123">
        <f t="shared" si="49"/>
        <v>0.9</v>
      </c>
      <c r="S156" s="123">
        <f t="shared" si="49"/>
        <v>0.9</v>
      </c>
      <c r="T156" s="123">
        <f t="shared" ref="S156:AF168" si="50">S156</f>
        <v>0.9</v>
      </c>
      <c r="U156" s="123">
        <f t="shared" si="50"/>
        <v>0.9</v>
      </c>
      <c r="V156" s="123">
        <f t="shared" si="50"/>
        <v>0.9</v>
      </c>
      <c r="W156" s="123">
        <f t="shared" si="50"/>
        <v>0.9</v>
      </c>
      <c r="X156" s="123">
        <f t="shared" si="50"/>
        <v>0.9</v>
      </c>
      <c r="Y156" s="123">
        <f t="shared" si="50"/>
        <v>0.9</v>
      </c>
      <c r="Z156" s="123">
        <f t="shared" si="50"/>
        <v>0.9</v>
      </c>
      <c r="AA156" s="123">
        <f t="shared" si="50"/>
        <v>0.9</v>
      </c>
      <c r="AB156" s="123">
        <f t="shared" si="50"/>
        <v>0.9</v>
      </c>
      <c r="AC156" s="123">
        <f t="shared" si="50"/>
        <v>0.9</v>
      </c>
      <c r="AD156" s="123">
        <f t="shared" si="50"/>
        <v>0.9</v>
      </c>
      <c r="AE156" s="123">
        <f t="shared" si="50"/>
        <v>0.9</v>
      </c>
      <c r="AF156" s="123">
        <f t="shared" si="50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8"/>
        <v>1.08</v>
      </c>
      <c r="C157" s="124">
        <v>1.08</v>
      </c>
      <c r="D157" s="123">
        <f t="shared" si="49"/>
        <v>1.08</v>
      </c>
      <c r="E157" s="123">
        <f t="shared" si="49"/>
        <v>1.08</v>
      </c>
      <c r="F157" s="123">
        <f t="shared" si="49"/>
        <v>1.08</v>
      </c>
      <c r="G157" s="123">
        <f t="shared" si="49"/>
        <v>1.08</v>
      </c>
      <c r="H157" s="123">
        <f t="shared" si="49"/>
        <v>1.08</v>
      </c>
      <c r="I157" s="123">
        <f t="shared" si="49"/>
        <v>1.08</v>
      </c>
      <c r="J157" s="123">
        <f t="shared" si="49"/>
        <v>1.08</v>
      </c>
      <c r="K157" s="123">
        <f t="shared" si="49"/>
        <v>1.08</v>
      </c>
      <c r="L157" s="123">
        <f t="shared" si="49"/>
        <v>1.08</v>
      </c>
      <c r="M157" s="123">
        <f t="shared" si="49"/>
        <v>1.08</v>
      </c>
      <c r="N157" s="123">
        <f t="shared" si="49"/>
        <v>1.08</v>
      </c>
      <c r="O157" s="123">
        <f t="shared" si="49"/>
        <v>1.08</v>
      </c>
      <c r="P157" s="123">
        <f t="shared" si="49"/>
        <v>1.08</v>
      </c>
      <c r="Q157" s="123">
        <f t="shared" si="49"/>
        <v>1.08</v>
      </c>
      <c r="R157" s="123">
        <f t="shared" si="49"/>
        <v>1.08</v>
      </c>
      <c r="S157" s="123">
        <f t="shared" si="49"/>
        <v>1.08</v>
      </c>
      <c r="T157" s="123">
        <f t="shared" si="50"/>
        <v>1.08</v>
      </c>
      <c r="U157" s="123">
        <f t="shared" si="50"/>
        <v>1.08</v>
      </c>
      <c r="V157" s="123">
        <f t="shared" si="50"/>
        <v>1.08</v>
      </c>
      <c r="W157" s="123">
        <f t="shared" si="50"/>
        <v>1.08</v>
      </c>
      <c r="X157" s="123">
        <f t="shared" si="50"/>
        <v>1.08</v>
      </c>
      <c r="Y157" s="123">
        <f t="shared" si="50"/>
        <v>1.08</v>
      </c>
      <c r="Z157" s="123">
        <f t="shared" si="50"/>
        <v>1.08</v>
      </c>
      <c r="AA157" s="123">
        <f t="shared" si="50"/>
        <v>1.08</v>
      </c>
      <c r="AB157" s="123">
        <f t="shared" si="50"/>
        <v>1.08</v>
      </c>
      <c r="AC157" s="123">
        <f t="shared" si="50"/>
        <v>1.08</v>
      </c>
      <c r="AD157" s="123">
        <f t="shared" si="50"/>
        <v>1.08</v>
      </c>
      <c r="AE157" s="123">
        <f t="shared" si="50"/>
        <v>1.08</v>
      </c>
      <c r="AF157" s="123">
        <f t="shared" si="50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8"/>
        <v>2.37</v>
      </c>
      <c r="C158" s="124">
        <v>2.37</v>
      </c>
      <c r="D158" s="123">
        <f t="shared" si="49"/>
        <v>2.37</v>
      </c>
      <c r="E158" s="123">
        <f t="shared" si="49"/>
        <v>2.37</v>
      </c>
      <c r="F158" s="123">
        <f t="shared" si="49"/>
        <v>2.37</v>
      </c>
      <c r="G158" s="123">
        <f t="shared" si="49"/>
        <v>2.37</v>
      </c>
      <c r="H158" s="123">
        <f t="shared" si="49"/>
        <v>2.37</v>
      </c>
      <c r="I158" s="123">
        <f t="shared" si="49"/>
        <v>2.37</v>
      </c>
      <c r="J158" s="123">
        <f t="shared" si="49"/>
        <v>2.37</v>
      </c>
      <c r="K158" s="123">
        <f t="shared" si="49"/>
        <v>2.37</v>
      </c>
      <c r="L158" s="123">
        <f t="shared" si="49"/>
        <v>2.37</v>
      </c>
      <c r="M158" s="123">
        <f t="shared" si="49"/>
        <v>2.37</v>
      </c>
      <c r="N158" s="123">
        <f t="shared" si="49"/>
        <v>2.37</v>
      </c>
      <c r="O158" s="123">
        <f t="shared" si="49"/>
        <v>2.37</v>
      </c>
      <c r="P158" s="123">
        <f t="shared" si="49"/>
        <v>2.37</v>
      </c>
      <c r="Q158" s="123">
        <f t="shared" si="49"/>
        <v>2.37</v>
      </c>
      <c r="R158" s="123">
        <f t="shared" si="49"/>
        <v>2.37</v>
      </c>
      <c r="S158" s="123">
        <f t="shared" si="49"/>
        <v>2.37</v>
      </c>
      <c r="T158" s="123">
        <f t="shared" si="50"/>
        <v>2.37</v>
      </c>
      <c r="U158" s="123">
        <f t="shared" si="50"/>
        <v>2.37</v>
      </c>
      <c r="V158" s="123">
        <f t="shared" si="50"/>
        <v>2.37</v>
      </c>
      <c r="W158" s="123">
        <f t="shared" si="50"/>
        <v>2.37</v>
      </c>
      <c r="X158" s="123">
        <f t="shared" si="50"/>
        <v>2.37</v>
      </c>
      <c r="Y158" s="123">
        <f t="shared" si="50"/>
        <v>2.37</v>
      </c>
      <c r="Z158" s="123">
        <f t="shared" si="50"/>
        <v>2.37</v>
      </c>
      <c r="AA158" s="123">
        <f t="shared" si="50"/>
        <v>2.37</v>
      </c>
      <c r="AB158" s="123">
        <f t="shared" si="50"/>
        <v>2.37</v>
      </c>
      <c r="AC158" s="123">
        <f t="shared" si="50"/>
        <v>2.37</v>
      </c>
      <c r="AD158" s="123">
        <f t="shared" si="50"/>
        <v>2.37</v>
      </c>
      <c r="AE158" s="123">
        <f t="shared" si="50"/>
        <v>2.37</v>
      </c>
      <c r="AF158" s="123">
        <f t="shared" si="50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8"/>
        <v>1.81</v>
      </c>
      <c r="C159" s="124">
        <v>1.81</v>
      </c>
      <c r="D159" s="123">
        <f t="shared" si="49"/>
        <v>1.81</v>
      </c>
      <c r="E159" s="123">
        <f t="shared" si="49"/>
        <v>1.81</v>
      </c>
      <c r="F159" s="123">
        <f t="shared" si="49"/>
        <v>1.81</v>
      </c>
      <c r="G159" s="123">
        <f t="shared" si="49"/>
        <v>1.81</v>
      </c>
      <c r="H159" s="123">
        <f t="shared" si="49"/>
        <v>1.81</v>
      </c>
      <c r="I159" s="123">
        <f t="shared" si="49"/>
        <v>1.81</v>
      </c>
      <c r="J159" s="123">
        <f t="shared" si="49"/>
        <v>1.81</v>
      </c>
      <c r="K159" s="123">
        <f t="shared" si="49"/>
        <v>1.81</v>
      </c>
      <c r="L159" s="123">
        <f t="shared" si="49"/>
        <v>1.81</v>
      </c>
      <c r="M159" s="123">
        <f t="shared" si="49"/>
        <v>1.81</v>
      </c>
      <c r="N159" s="123">
        <f t="shared" si="49"/>
        <v>1.81</v>
      </c>
      <c r="O159" s="123">
        <f t="shared" si="49"/>
        <v>1.81</v>
      </c>
      <c r="P159" s="123">
        <f t="shared" si="49"/>
        <v>1.81</v>
      </c>
      <c r="Q159" s="123">
        <f t="shared" si="49"/>
        <v>1.81</v>
      </c>
      <c r="R159" s="123">
        <f t="shared" si="49"/>
        <v>1.81</v>
      </c>
      <c r="S159" s="123">
        <f t="shared" si="49"/>
        <v>1.81</v>
      </c>
      <c r="T159" s="123">
        <f t="shared" si="50"/>
        <v>1.81</v>
      </c>
      <c r="U159" s="123">
        <f t="shared" si="50"/>
        <v>1.81</v>
      </c>
      <c r="V159" s="123">
        <f t="shared" si="50"/>
        <v>1.81</v>
      </c>
      <c r="W159" s="123">
        <f t="shared" si="50"/>
        <v>1.81</v>
      </c>
      <c r="X159" s="123">
        <f t="shared" si="50"/>
        <v>1.81</v>
      </c>
      <c r="Y159" s="123">
        <f t="shared" si="50"/>
        <v>1.81</v>
      </c>
      <c r="Z159" s="123">
        <f t="shared" si="50"/>
        <v>1.81</v>
      </c>
      <c r="AA159" s="123">
        <f t="shared" si="50"/>
        <v>1.81</v>
      </c>
      <c r="AB159" s="123">
        <f t="shared" si="50"/>
        <v>1.81</v>
      </c>
      <c r="AC159" s="123">
        <f t="shared" si="50"/>
        <v>1.81</v>
      </c>
      <c r="AD159" s="123">
        <f t="shared" si="50"/>
        <v>1.81</v>
      </c>
      <c r="AE159" s="123">
        <f t="shared" si="50"/>
        <v>1.81</v>
      </c>
      <c r="AF159" s="123">
        <f t="shared" si="50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8"/>
        <v>1.0900000000000001</v>
      </c>
      <c r="C160" s="124">
        <v>1.0900000000000001</v>
      </c>
      <c r="D160" s="123">
        <f t="shared" si="49"/>
        <v>1.0900000000000001</v>
      </c>
      <c r="E160" s="123">
        <f t="shared" si="49"/>
        <v>1.0900000000000001</v>
      </c>
      <c r="F160" s="123">
        <f t="shared" si="49"/>
        <v>1.0900000000000001</v>
      </c>
      <c r="G160" s="123">
        <f t="shared" si="49"/>
        <v>1.0900000000000001</v>
      </c>
      <c r="H160" s="123">
        <f t="shared" si="49"/>
        <v>1.0900000000000001</v>
      </c>
      <c r="I160" s="123">
        <f t="shared" si="49"/>
        <v>1.0900000000000001</v>
      </c>
      <c r="J160" s="123">
        <f t="shared" si="49"/>
        <v>1.0900000000000001</v>
      </c>
      <c r="K160" s="123">
        <f t="shared" si="49"/>
        <v>1.0900000000000001</v>
      </c>
      <c r="L160" s="123">
        <f t="shared" si="49"/>
        <v>1.0900000000000001</v>
      </c>
      <c r="M160" s="123">
        <f t="shared" si="49"/>
        <v>1.0900000000000001</v>
      </c>
      <c r="N160" s="123">
        <f t="shared" si="49"/>
        <v>1.0900000000000001</v>
      </c>
      <c r="O160" s="123">
        <f t="shared" si="49"/>
        <v>1.0900000000000001</v>
      </c>
      <c r="P160" s="123">
        <f t="shared" si="49"/>
        <v>1.0900000000000001</v>
      </c>
      <c r="Q160" s="123">
        <f t="shared" si="49"/>
        <v>1.0900000000000001</v>
      </c>
      <c r="R160" s="123">
        <f t="shared" si="49"/>
        <v>1.0900000000000001</v>
      </c>
      <c r="S160" s="123">
        <f t="shared" si="49"/>
        <v>1.0900000000000001</v>
      </c>
      <c r="T160" s="123">
        <f t="shared" si="50"/>
        <v>1.0900000000000001</v>
      </c>
      <c r="U160" s="123">
        <f t="shared" si="50"/>
        <v>1.0900000000000001</v>
      </c>
      <c r="V160" s="123">
        <f t="shared" si="50"/>
        <v>1.0900000000000001</v>
      </c>
      <c r="W160" s="123">
        <f t="shared" si="50"/>
        <v>1.0900000000000001</v>
      </c>
      <c r="X160" s="123">
        <f t="shared" si="50"/>
        <v>1.0900000000000001</v>
      </c>
      <c r="Y160" s="123">
        <f t="shared" si="50"/>
        <v>1.0900000000000001</v>
      </c>
      <c r="Z160" s="123">
        <f t="shared" si="50"/>
        <v>1.0900000000000001</v>
      </c>
      <c r="AA160" s="123">
        <f t="shared" si="50"/>
        <v>1.0900000000000001</v>
      </c>
      <c r="AB160" s="123">
        <f t="shared" si="50"/>
        <v>1.0900000000000001</v>
      </c>
      <c r="AC160" s="123">
        <f t="shared" si="50"/>
        <v>1.0900000000000001</v>
      </c>
      <c r="AD160" s="123">
        <f t="shared" si="50"/>
        <v>1.0900000000000001</v>
      </c>
      <c r="AE160" s="123">
        <f t="shared" si="50"/>
        <v>1.0900000000000001</v>
      </c>
      <c r="AF160" s="123">
        <f t="shared" si="50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8"/>
        <v>1.58</v>
      </c>
      <c r="C161" s="124">
        <v>1.58</v>
      </c>
      <c r="D161" s="123">
        <f t="shared" si="49"/>
        <v>1.58</v>
      </c>
      <c r="E161" s="123">
        <f t="shared" si="49"/>
        <v>1.58</v>
      </c>
      <c r="F161" s="123">
        <f t="shared" si="49"/>
        <v>1.58</v>
      </c>
      <c r="G161" s="123">
        <f t="shared" si="49"/>
        <v>1.58</v>
      </c>
      <c r="H161" s="123">
        <f t="shared" si="49"/>
        <v>1.58</v>
      </c>
      <c r="I161" s="123">
        <f t="shared" si="49"/>
        <v>1.58</v>
      </c>
      <c r="J161" s="123">
        <f t="shared" si="49"/>
        <v>1.58</v>
      </c>
      <c r="K161" s="123">
        <f t="shared" si="49"/>
        <v>1.58</v>
      </c>
      <c r="L161" s="123">
        <f t="shared" si="49"/>
        <v>1.58</v>
      </c>
      <c r="M161" s="123">
        <f t="shared" si="49"/>
        <v>1.58</v>
      </c>
      <c r="N161" s="123">
        <f t="shared" si="49"/>
        <v>1.58</v>
      </c>
      <c r="O161" s="123">
        <f t="shared" si="49"/>
        <v>1.58</v>
      </c>
      <c r="P161" s="123">
        <f t="shared" si="49"/>
        <v>1.58</v>
      </c>
      <c r="Q161" s="123">
        <f t="shared" si="49"/>
        <v>1.58</v>
      </c>
      <c r="R161" s="123">
        <f t="shared" si="49"/>
        <v>1.58</v>
      </c>
      <c r="S161" s="123">
        <f t="shared" si="49"/>
        <v>1.58</v>
      </c>
      <c r="T161" s="123">
        <f t="shared" si="50"/>
        <v>1.58</v>
      </c>
      <c r="U161" s="123">
        <f t="shared" si="50"/>
        <v>1.58</v>
      </c>
      <c r="V161" s="123">
        <f t="shared" si="50"/>
        <v>1.58</v>
      </c>
      <c r="W161" s="123">
        <f t="shared" si="50"/>
        <v>1.58</v>
      </c>
      <c r="X161" s="123">
        <f t="shared" si="50"/>
        <v>1.58</v>
      </c>
      <c r="Y161" s="123">
        <f t="shared" si="50"/>
        <v>1.58</v>
      </c>
      <c r="Z161" s="123">
        <f t="shared" si="50"/>
        <v>1.58</v>
      </c>
      <c r="AA161" s="123">
        <f t="shared" si="50"/>
        <v>1.58</v>
      </c>
      <c r="AB161" s="123">
        <f t="shared" si="50"/>
        <v>1.58</v>
      </c>
      <c r="AC161" s="123">
        <f t="shared" si="50"/>
        <v>1.58</v>
      </c>
      <c r="AD161" s="123">
        <f t="shared" si="50"/>
        <v>1.58</v>
      </c>
      <c r="AE161" s="123">
        <f t="shared" si="50"/>
        <v>1.58</v>
      </c>
      <c r="AF161" s="123">
        <f t="shared" si="50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8"/>
        <v>2</v>
      </c>
      <c r="C162" s="124">
        <v>2</v>
      </c>
      <c r="D162" s="123">
        <f t="shared" si="49"/>
        <v>2</v>
      </c>
      <c r="E162" s="123">
        <f t="shared" si="49"/>
        <v>2</v>
      </c>
      <c r="F162" s="123">
        <f t="shared" si="49"/>
        <v>2</v>
      </c>
      <c r="G162" s="123">
        <f t="shared" si="49"/>
        <v>2</v>
      </c>
      <c r="H162" s="123">
        <f t="shared" si="49"/>
        <v>2</v>
      </c>
      <c r="I162" s="123">
        <f t="shared" si="49"/>
        <v>2</v>
      </c>
      <c r="J162" s="123">
        <f t="shared" si="49"/>
        <v>2</v>
      </c>
      <c r="K162" s="123">
        <f t="shared" si="49"/>
        <v>2</v>
      </c>
      <c r="L162" s="123">
        <f t="shared" si="49"/>
        <v>2</v>
      </c>
      <c r="M162" s="123">
        <f t="shared" si="49"/>
        <v>2</v>
      </c>
      <c r="N162" s="123">
        <f t="shared" si="49"/>
        <v>2</v>
      </c>
      <c r="O162" s="123">
        <f t="shared" si="49"/>
        <v>2</v>
      </c>
      <c r="P162" s="123">
        <f t="shared" si="49"/>
        <v>2</v>
      </c>
      <c r="Q162" s="123">
        <f t="shared" si="49"/>
        <v>2</v>
      </c>
      <c r="R162" s="123">
        <f t="shared" si="49"/>
        <v>2</v>
      </c>
      <c r="S162" s="123">
        <f t="shared" si="49"/>
        <v>2</v>
      </c>
      <c r="T162" s="123">
        <f t="shared" si="50"/>
        <v>2</v>
      </c>
      <c r="U162" s="123">
        <f t="shared" si="50"/>
        <v>2</v>
      </c>
      <c r="V162" s="123">
        <f t="shared" si="50"/>
        <v>2</v>
      </c>
      <c r="W162" s="123">
        <f t="shared" si="50"/>
        <v>2</v>
      </c>
      <c r="X162" s="123">
        <f t="shared" si="50"/>
        <v>2</v>
      </c>
      <c r="Y162" s="123">
        <f t="shared" si="50"/>
        <v>2</v>
      </c>
      <c r="Z162" s="123">
        <f t="shared" si="50"/>
        <v>2</v>
      </c>
      <c r="AA162" s="123">
        <f t="shared" si="50"/>
        <v>2</v>
      </c>
      <c r="AB162" s="123">
        <f t="shared" si="50"/>
        <v>2</v>
      </c>
      <c r="AC162" s="123">
        <f t="shared" si="50"/>
        <v>2</v>
      </c>
      <c r="AD162" s="123">
        <f t="shared" si="50"/>
        <v>2</v>
      </c>
      <c r="AE162" s="123">
        <f t="shared" si="50"/>
        <v>2</v>
      </c>
      <c r="AF162" s="123">
        <f t="shared" si="50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8"/>
        <v>0.47</v>
      </c>
      <c r="C163" s="124">
        <v>0.47</v>
      </c>
      <c r="D163" s="123">
        <f t="shared" si="49"/>
        <v>0.47</v>
      </c>
      <c r="E163" s="123">
        <f t="shared" si="49"/>
        <v>0.47</v>
      </c>
      <c r="F163" s="123">
        <f t="shared" si="49"/>
        <v>0.47</v>
      </c>
      <c r="G163" s="123">
        <f t="shared" si="49"/>
        <v>0.47</v>
      </c>
      <c r="H163" s="123">
        <f t="shared" si="49"/>
        <v>0.47</v>
      </c>
      <c r="I163" s="123">
        <f t="shared" si="49"/>
        <v>0.47</v>
      </c>
      <c r="J163" s="123">
        <f t="shared" si="49"/>
        <v>0.47</v>
      </c>
      <c r="K163" s="123">
        <f t="shared" si="49"/>
        <v>0.47</v>
      </c>
      <c r="L163" s="123">
        <f t="shared" si="49"/>
        <v>0.47</v>
      </c>
      <c r="M163" s="123">
        <f t="shared" si="49"/>
        <v>0.47</v>
      </c>
      <c r="N163" s="123">
        <f t="shared" si="49"/>
        <v>0.47</v>
      </c>
      <c r="O163" s="123">
        <f t="shared" si="49"/>
        <v>0.47</v>
      </c>
      <c r="P163" s="123">
        <f t="shared" si="49"/>
        <v>0.47</v>
      </c>
      <c r="Q163" s="123">
        <f t="shared" si="49"/>
        <v>0.47</v>
      </c>
      <c r="R163" s="123">
        <f t="shared" si="49"/>
        <v>0.47</v>
      </c>
      <c r="S163" s="123">
        <f t="shared" si="49"/>
        <v>0.47</v>
      </c>
      <c r="T163" s="123">
        <f t="shared" si="50"/>
        <v>0.47</v>
      </c>
      <c r="U163" s="123">
        <f t="shared" si="50"/>
        <v>0.47</v>
      </c>
      <c r="V163" s="123">
        <f t="shared" si="50"/>
        <v>0.47</v>
      </c>
      <c r="W163" s="123">
        <f t="shared" si="50"/>
        <v>0.47</v>
      </c>
      <c r="X163" s="123">
        <f t="shared" si="50"/>
        <v>0.47</v>
      </c>
      <c r="Y163" s="123">
        <f t="shared" si="50"/>
        <v>0.47</v>
      </c>
      <c r="Z163" s="123">
        <f t="shared" si="50"/>
        <v>0.47</v>
      </c>
      <c r="AA163" s="123">
        <f t="shared" si="50"/>
        <v>0.47</v>
      </c>
      <c r="AB163" s="123">
        <f t="shared" si="50"/>
        <v>0.47</v>
      </c>
      <c r="AC163" s="123">
        <f t="shared" si="50"/>
        <v>0.47</v>
      </c>
      <c r="AD163" s="123">
        <f t="shared" si="50"/>
        <v>0.47</v>
      </c>
      <c r="AE163" s="123">
        <f t="shared" si="50"/>
        <v>0.47</v>
      </c>
      <c r="AF163" s="123">
        <f t="shared" si="50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8"/>
        <v>0</v>
      </c>
      <c r="C164" s="124">
        <v>0</v>
      </c>
      <c r="D164" s="123">
        <f t="shared" si="49"/>
        <v>0</v>
      </c>
      <c r="E164" s="123">
        <f t="shared" si="49"/>
        <v>0</v>
      </c>
      <c r="F164" s="123">
        <f t="shared" si="49"/>
        <v>0</v>
      </c>
      <c r="G164" s="123">
        <f t="shared" si="49"/>
        <v>0</v>
      </c>
      <c r="H164" s="123">
        <f t="shared" si="49"/>
        <v>0</v>
      </c>
      <c r="I164" s="123">
        <f t="shared" si="49"/>
        <v>0</v>
      </c>
      <c r="J164" s="123">
        <f t="shared" si="49"/>
        <v>0</v>
      </c>
      <c r="K164" s="123">
        <f t="shared" si="49"/>
        <v>0</v>
      </c>
      <c r="L164" s="123">
        <f t="shared" si="49"/>
        <v>0</v>
      </c>
      <c r="M164" s="123">
        <f t="shared" si="49"/>
        <v>0</v>
      </c>
      <c r="N164" s="123">
        <f t="shared" si="49"/>
        <v>0</v>
      </c>
      <c r="O164" s="123">
        <f t="shared" si="49"/>
        <v>0</v>
      </c>
      <c r="P164" s="123">
        <f t="shared" si="49"/>
        <v>0</v>
      </c>
      <c r="Q164" s="123">
        <f t="shared" si="49"/>
        <v>0</v>
      </c>
      <c r="R164" s="123">
        <f t="shared" si="49"/>
        <v>0</v>
      </c>
      <c r="S164" s="123">
        <f t="shared" si="49"/>
        <v>0</v>
      </c>
      <c r="T164" s="123">
        <f t="shared" si="50"/>
        <v>0</v>
      </c>
      <c r="U164" s="123">
        <f t="shared" si="50"/>
        <v>0</v>
      </c>
      <c r="V164" s="123">
        <f t="shared" si="50"/>
        <v>0</v>
      </c>
      <c r="W164" s="123">
        <f t="shared" si="50"/>
        <v>0</v>
      </c>
      <c r="X164" s="123">
        <f t="shared" si="50"/>
        <v>0</v>
      </c>
      <c r="Y164" s="123">
        <f t="shared" si="50"/>
        <v>0</v>
      </c>
      <c r="Z164" s="123">
        <f t="shared" si="50"/>
        <v>0</v>
      </c>
      <c r="AA164" s="123">
        <f t="shared" si="50"/>
        <v>0</v>
      </c>
      <c r="AB164" s="123">
        <f t="shared" si="50"/>
        <v>0</v>
      </c>
      <c r="AC164" s="123">
        <f t="shared" si="50"/>
        <v>0</v>
      </c>
      <c r="AD164" s="123">
        <f t="shared" si="50"/>
        <v>0</v>
      </c>
      <c r="AE164" s="123">
        <f t="shared" si="50"/>
        <v>0</v>
      </c>
      <c r="AF164" s="123">
        <f t="shared" si="50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8"/>
        <v>0</v>
      </c>
      <c r="C165" s="124">
        <v>0</v>
      </c>
      <c r="D165" s="123">
        <f t="shared" si="49"/>
        <v>0</v>
      </c>
      <c r="E165" s="123">
        <f t="shared" si="49"/>
        <v>0</v>
      </c>
      <c r="F165" s="123">
        <f t="shared" si="49"/>
        <v>0</v>
      </c>
      <c r="G165" s="123">
        <f t="shared" si="49"/>
        <v>0</v>
      </c>
      <c r="H165" s="123">
        <f t="shared" si="49"/>
        <v>0</v>
      </c>
      <c r="I165" s="123">
        <f t="shared" si="49"/>
        <v>0</v>
      </c>
      <c r="J165" s="123">
        <f t="shared" si="49"/>
        <v>0</v>
      </c>
      <c r="K165" s="123">
        <f t="shared" si="49"/>
        <v>0</v>
      </c>
      <c r="L165" s="123">
        <f t="shared" si="49"/>
        <v>0</v>
      </c>
      <c r="M165" s="123">
        <f t="shared" si="49"/>
        <v>0</v>
      </c>
      <c r="N165" s="123">
        <f t="shared" si="49"/>
        <v>0</v>
      </c>
      <c r="O165" s="123">
        <f t="shared" si="49"/>
        <v>0</v>
      </c>
      <c r="P165" s="123">
        <f t="shared" si="49"/>
        <v>0</v>
      </c>
      <c r="Q165" s="123">
        <f t="shared" si="49"/>
        <v>0</v>
      </c>
      <c r="R165" s="123">
        <f t="shared" si="49"/>
        <v>0</v>
      </c>
      <c r="S165" s="123">
        <f t="shared" si="50"/>
        <v>0</v>
      </c>
      <c r="T165" s="123">
        <f t="shared" si="50"/>
        <v>0</v>
      </c>
      <c r="U165" s="123">
        <f t="shared" si="50"/>
        <v>0</v>
      </c>
      <c r="V165" s="123">
        <f t="shared" si="50"/>
        <v>0</v>
      </c>
      <c r="W165" s="123">
        <f t="shared" si="50"/>
        <v>0</v>
      </c>
      <c r="X165" s="123">
        <f t="shared" si="50"/>
        <v>0</v>
      </c>
      <c r="Y165" s="123">
        <f t="shared" si="50"/>
        <v>0</v>
      </c>
      <c r="Z165" s="123">
        <f t="shared" si="50"/>
        <v>0</v>
      </c>
      <c r="AA165" s="123">
        <f t="shared" si="50"/>
        <v>0</v>
      </c>
      <c r="AB165" s="123">
        <f t="shared" si="50"/>
        <v>0</v>
      </c>
      <c r="AC165" s="123">
        <f t="shared" si="50"/>
        <v>0</v>
      </c>
      <c r="AD165" s="123">
        <f t="shared" si="50"/>
        <v>0</v>
      </c>
      <c r="AE165" s="123">
        <f t="shared" si="50"/>
        <v>0</v>
      </c>
      <c r="AF165" s="123">
        <f t="shared" si="50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8"/>
        <v>0.8</v>
      </c>
      <c r="C166" s="124">
        <v>0.8</v>
      </c>
      <c r="D166" s="123">
        <f t="shared" si="49"/>
        <v>0.8</v>
      </c>
      <c r="E166" s="123">
        <f t="shared" si="49"/>
        <v>0.8</v>
      </c>
      <c r="F166" s="123">
        <f t="shared" si="49"/>
        <v>0.8</v>
      </c>
      <c r="G166" s="123">
        <f t="shared" si="49"/>
        <v>0.8</v>
      </c>
      <c r="H166" s="123">
        <f t="shared" si="49"/>
        <v>0.8</v>
      </c>
      <c r="I166" s="123">
        <f t="shared" si="49"/>
        <v>0.8</v>
      </c>
      <c r="J166" s="123">
        <f t="shared" si="49"/>
        <v>0.8</v>
      </c>
      <c r="K166" s="123">
        <f t="shared" si="49"/>
        <v>0.8</v>
      </c>
      <c r="L166" s="123">
        <f t="shared" si="49"/>
        <v>0.8</v>
      </c>
      <c r="M166" s="123">
        <f t="shared" si="49"/>
        <v>0.8</v>
      </c>
      <c r="N166" s="123">
        <f t="shared" si="49"/>
        <v>0.8</v>
      </c>
      <c r="O166" s="123">
        <f t="shared" si="49"/>
        <v>0.8</v>
      </c>
      <c r="P166" s="123">
        <f t="shared" si="49"/>
        <v>0.8</v>
      </c>
      <c r="Q166" s="123">
        <f t="shared" si="49"/>
        <v>0.8</v>
      </c>
      <c r="R166" s="123">
        <f t="shared" si="49"/>
        <v>0.8</v>
      </c>
      <c r="S166" s="123">
        <f t="shared" si="50"/>
        <v>0.8</v>
      </c>
      <c r="T166" s="123">
        <f t="shared" si="50"/>
        <v>0.8</v>
      </c>
      <c r="U166" s="123">
        <f t="shared" si="50"/>
        <v>0.8</v>
      </c>
      <c r="V166" s="123">
        <f t="shared" si="50"/>
        <v>0.8</v>
      </c>
      <c r="W166" s="123">
        <f t="shared" si="50"/>
        <v>0.8</v>
      </c>
      <c r="X166" s="123">
        <f t="shared" si="50"/>
        <v>0.8</v>
      </c>
      <c r="Y166" s="123">
        <f t="shared" si="50"/>
        <v>0.8</v>
      </c>
      <c r="Z166" s="123">
        <f t="shared" si="50"/>
        <v>0.8</v>
      </c>
      <c r="AA166" s="123">
        <f t="shared" si="50"/>
        <v>0.8</v>
      </c>
      <c r="AB166" s="123">
        <f t="shared" si="50"/>
        <v>0.8</v>
      </c>
      <c r="AC166" s="123">
        <f t="shared" si="50"/>
        <v>0.8</v>
      </c>
      <c r="AD166" s="123">
        <f t="shared" si="50"/>
        <v>0.8</v>
      </c>
      <c r="AE166" s="123">
        <f t="shared" si="50"/>
        <v>0.8</v>
      </c>
      <c r="AF166" s="123">
        <f t="shared" si="50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8"/>
        <v>1.5</v>
      </c>
      <c r="C167" s="124">
        <v>1.5</v>
      </c>
      <c r="D167" s="123">
        <f t="shared" si="49"/>
        <v>1.5</v>
      </c>
      <c r="E167" s="123">
        <f t="shared" si="49"/>
        <v>1.5</v>
      </c>
      <c r="F167" s="123">
        <f t="shared" si="49"/>
        <v>1.5</v>
      </c>
      <c r="G167" s="123">
        <f t="shared" si="49"/>
        <v>1.5</v>
      </c>
      <c r="H167" s="123">
        <f t="shared" si="49"/>
        <v>1.5</v>
      </c>
      <c r="I167" s="123">
        <f t="shared" si="49"/>
        <v>1.5</v>
      </c>
      <c r="J167" s="123">
        <f t="shared" si="49"/>
        <v>1.5</v>
      </c>
      <c r="K167" s="123">
        <f t="shared" si="49"/>
        <v>1.5</v>
      </c>
      <c r="L167" s="123">
        <f t="shared" si="49"/>
        <v>1.5</v>
      </c>
      <c r="M167" s="123">
        <f t="shared" si="49"/>
        <v>1.5</v>
      </c>
      <c r="N167" s="123">
        <f t="shared" si="49"/>
        <v>1.5</v>
      </c>
      <c r="O167" s="123">
        <f t="shared" si="49"/>
        <v>1.5</v>
      </c>
      <c r="P167" s="123">
        <f t="shared" si="49"/>
        <v>1.5</v>
      </c>
      <c r="Q167" s="123">
        <f t="shared" si="49"/>
        <v>1.5</v>
      </c>
      <c r="R167" s="123">
        <f t="shared" si="49"/>
        <v>1.5</v>
      </c>
      <c r="S167" s="123">
        <f t="shared" si="50"/>
        <v>1.5</v>
      </c>
      <c r="T167" s="123">
        <f t="shared" si="50"/>
        <v>1.5</v>
      </c>
      <c r="U167" s="123">
        <f t="shared" si="50"/>
        <v>1.5</v>
      </c>
      <c r="V167" s="123">
        <f t="shared" si="50"/>
        <v>1.5</v>
      </c>
      <c r="W167" s="123">
        <f t="shared" si="50"/>
        <v>1.5</v>
      </c>
      <c r="X167" s="123">
        <f t="shared" si="50"/>
        <v>1.5</v>
      </c>
      <c r="Y167" s="123">
        <f t="shared" si="50"/>
        <v>1.5</v>
      </c>
      <c r="Z167" s="123">
        <f t="shared" si="50"/>
        <v>1.5</v>
      </c>
      <c r="AA167" s="123">
        <f t="shared" si="50"/>
        <v>1.5</v>
      </c>
      <c r="AB167" s="123">
        <f t="shared" si="50"/>
        <v>1.5</v>
      </c>
      <c r="AC167" s="123">
        <f t="shared" si="50"/>
        <v>1.5</v>
      </c>
      <c r="AD167" s="123">
        <f t="shared" si="50"/>
        <v>1.5</v>
      </c>
      <c r="AE167" s="123">
        <f t="shared" si="50"/>
        <v>1.5</v>
      </c>
      <c r="AF167" s="123">
        <f t="shared" si="50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8"/>
        <v>1</v>
      </c>
      <c r="C168" s="124">
        <v>1</v>
      </c>
      <c r="D168" s="123">
        <f t="shared" si="49"/>
        <v>1</v>
      </c>
      <c r="E168" s="123">
        <f t="shared" si="49"/>
        <v>1</v>
      </c>
      <c r="F168" s="123">
        <f t="shared" si="49"/>
        <v>1</v>
      </c>
      <c r="G168" s="123">
        <f t="shared" si="49"/>
        <v>1</v>
      </c>
      <c r="H168" s="123">
        <f t="shared" si="49"/>
        <v>1</v>
      </c>
      <c r="I168" s="123">
        <f t="shared" si="49"/>
        <v>1</v>
      </c>
      <c r="J168" s="123">
        <f t="shared" si="49"/>
        <v>1</v>
      </c>
      <c r="K168" s="123">
        <f t="shared" si="49"/>
        <v>1</v>
      </c>
      <c r="L168" s="123">
        <f t="shared" si="49"/>
        <v>1</v>
      </c>
      <c r="M168" s="123">
        <f t="shared" si="49"/>
        <v>1</v>
      </c>
      <c r="N168" s="123">
        <f t="shared" si="49"/>
        <v>1</v>
      </c>
      <c r="O168" s="123">
        <f t="shared" si="49"/>
        <v>1</v>
      </c>
      <c r="P168" s="123">
        <f t="shared" si="49"/>
        <v>1</v>
      </c>
      <c r="Q168" s="123">
        <f t="shared" si="49"/>
        <v>1</v>
      </c>
      <c r="R168" s="123">
        <f t="shared" si="49"/>
        <v>1</v>
      </c>
      <c r="S168" s="123">
        <f t="shared" si="50"/>
        <v>1</v>
      </c>
      <c r="T168" s="123">
        <f t="shared" si="50"/>
        <v>1</v>
      </c>
      <c r="U168" s="123">
        <f t="shared" si="50"/>
        <v>1</v>
      </c>
      <c r="V168" s="123">
        <f t="shared" si="50"/>
        <v>1</v>
      </c>
      <c r="W168" s="123">
        <f t="shared" si="50"/>
        <v>1</v>
      </c>
      <c r="X168" s="123">
        <f t="shared" si="50"/>
        <v>1</v>
      </c>
      <c r="Y168" s="123">
        <f t="shared" si="50"/>
        <v>1</v>
      </c>
      <c r="Z168" s="123">
        <f t="shared" si="50"/>
        <v>1</v>
      </c>
      <c r="AA168" s="123">
        <f t="shared" si="50"/>
        <v>1</v>
      </c>
      <c r="AB168" s="123">
        <f t="shared" si="50"/>
        <v>1</v>
      </c>
      <c r="AC168" s="123">
        <f t="shared" si="50"/>
        <v>1</v>
      </c>
      <c r="AD168" s="123">
        <f t="shared" si="50"/>
        <v>1</v>
      </c>
      <c r="AE168" s="123">
        <f t="shared" si="50"/>
        <v>1</v>
      </c>
      <c r="AF168" s="123">
        <f t="shared" si="50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1">AF170</f>
        <v>1</v>
      </c>
      <c r="C170" s="124">
        <v>1</v>
      </c>
      <c r="D170" s="123">
        <f t="shared" ref="D170:S177" si="52">C170</f>
        <v>1</v>
      </c>
      <c r="E170" s="123">
        <f t="shared" si="52"/>
        <v>1</v>
      </c>
      <c r="F170" s="123">
        <f t="shared" si="52"/>
        <v>1</v>
      </c>
      <c r="G170" s="123">
        <f t="shared" si="52"/>
        <v>1</v>
      </c>
      <c r="H170" s="123">
        <f t="shared" si="52"/>
        <v>1</v>
      </c>
      <c r="I170" s="123">
        <f t="shared" si="52"/>
        <v>1</v>
      </c>
      <c r="J170" s="123">
        <f t="shared" si="52"/>
        <v>1</v>
      </c>
      <c r="K170" s="123">
        <f t="shared" si="52"/>
        <v>1</v>
      </c>
      <c r="L170" s="123">
        <f t="shared" si="52"/>
        <v>1</v>
      </c>
      <c r="M170" s="123">
        <f t="shared" si="52"/>
        <v>1</v>
      </c>
      <c r="N170" s="123">
        <f t="shared" si="52"/>
        <v>1</v>
      </c>
      <c r="O170" s="123">
        <f t="shared" si="52"/>
        <v>1</v>
      </c>
      <c r="P170" s="123">
        <f t="shared" si="52"/>
        <v>1</v>
      </c>
      <c r="Q170" s="123">
        <f t="shared" si="52"/>
        <v>1</v>
      </c>
      <c r="R170" s="123">
        <f t="shared" si="52"/>
        <v>1</v>
      </c>
      <c r="S170" s="123">
        <f t="shared" si="52"/>
        <v>1</v>
      </c>
      <c r="T170" s="123">
        <f t="shared" ref="S170:AF177" si="53">S170</f>
        <v>1</v>
      </c>
      <c r="U170" s="123">
        <f t="shared" si="53"/>
        <v>1</v>
      </c>
      <c r="V170" s="123">
        <f t="shared" si="53"/>
        <v>1</v>
      </c>
      <c r="W170" s="123">
        <f t="shared" si="53"/>
        <v>1</v>
      </c>
      <c r="X170" s="123">
        <f t="shared" si="53"/>
        <v>1</v>
      </c>
      <c r="Y170" s="123">
        <f t="shared" si="53"/>
        <v>1</v>
      </c>
      <c r="Z170" s="123">
        <f t="shared" si="53"/>
        <v>1</v>
      </c>
      <c r="AA170" s="123">
        <f t="shared" si="53"/>
        <v>1</v>
      </c>
      <c r="AB170" s="123">
        <f t="shared" si="53"/>
        <v>1</v>
      </c>
      <c r="AC170" s="123">
        <f t="shared" si="53"/>
        <v>1</v>
      </c>
      <c r="AD170" s="123">
        <f t="shared" si="53"/>
        <v>1</v>
      </c>
      <c r="AE170" s="123">
        <f t="shared" si="53"/>
        <v>1</v>
      </c>
      <c r="AF170" s="123">
        <f t="shared" si="53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1"/>
        <v>0.42</v>
      </c>
      <c r="C171" s="124">
        <v>0.42</v>
      </c>
      <c r="D171" s="123">
        <f t="shared" si="52"/>
        <v>0.42</v>
      </c>
      <c r="E171" s="123">
        <f t="shared" si="52"/>
        <v>0.42</v>
      </c>
      <c r="F171" s="123">
        <f t="shared" si="52"/>
        <v>0.42</v>
      </c>
      <c r="G171" s="123">
        <f t="shared" si="52"/>
        <v>0.42</v>
      </c>
      <c r="H171" s="123">
        <f t="shared" si="52"/>
        <v>0.42</v>
      </c>
      <c r="I171" s="123">
        <f t="shared" si="52"/>
        <v>0.42</v>
      </c>
      <c r="J171" s="123">
        <f t="shared" si="52"/>
        <v>0.42</v>
      </c>
      <c r="K171" s="123">
        <f t="shared" si="52"/>
        <v>0.42</v>
      </c>
      <c r="L171" s="123">
        <f t="shared" si="52"/>
        <v>0.42</v>
      </c>
      <c r="M171" s="123">
        <f t="shared" si="52"/>
        <v>0.42</v>
      </c>
      <c r="N171" s="123">
        <f t="shared" si="52"/>
        <v>0.42</v>
      </c>
      <c r="O171" s="123">
        <f t="shared" si="52"/>
        <v>0.42</v>
      </c>
      <c r="P171" s="123">
        <f t="shared" si="52"/>
        <v>0.42</v>
      </c>
      <c r="Q171" s="123">
        <f t="shared" si="52"/>
        <v>0.42</v>
      </c>
      <c r="R171" s="123">
        <f t="shared" si="52"/>
        <v>0.42</v>
      </c>
      <c r="S171" s="123">
        <f t="shared" si="53"/>
        <v>0.42</v>
      </c>
      <c r="T171" s="123">
        <f t="shared" si="53"/>
        <v>0.42</v>
      </c>
      <c r="U171" s="123">
        <f t="shared" si="53"/>
        <v>0.42</v>
      </c>
      <c r="V171" s="123">
        <f t="shared" si="53"/>
        <v>0.42</v>
      </c>
      <c r="W171" s="123">
        <f t="shared" si="53"/>
        <v>0.42</v>
      </c>
      <c r="X171" s="123">
        <f t="shared" si="53"/>
        <v>0.42</v>
      </c>
      <c r="Y171" s="123">
        <f t="shared" si="53"/>
        <v>0.42</v>
      </c>
      <c r="Z171" s="123">
        <f t="shared" si="53"/>
        <v>0.42</v>
      </c>
      <c r="AA171" s="123">
        <f t="shared" si="53"/>
        <v>0.42</v>
      </c>
      <c r="AB171" s="123">
        <f t="shared" si="53"/>
        <v>0.42</v>
      </c>
      <c r="AC171" s="123">
        <f t="shared" si="53"/>
        <v>0.42</v>
      </c>
      <c r="AD171" s="123">
        <f t="shared" si="53"/>
        <v>0.42</v>
      </c>
      <c r="AE171" s="123">
        <f t="shared" si="53"/>
        <v>0.42</v>
      </c>
      <c r="AF171" s="123">
        <f t="shared" si="53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1"/>
        <v>0.46</v>
      </c>
      <c r="C172" s="124">
        <v>0.46</v>
      </c>
      <c r="D172" s="123">
        <f t="shared" si="52"/>
        <v>0.46</v>
      </c>
      <c r="E172" s="123">
        <f t="shared" si="52"/>
        <v>0.46</v>
      </c>
      <c r="F172" s="123">
        <f t="shared" si="52"/>
        <v>0.46</v>
      </c>
      <c r="G172" s="123">
        <f t="shared" si="52"/>
        <v>0.46</v>
      </c>
      <c r="H172" s="123">
        <f t="shared" si="52"/>
        <v>0.46</v>
      </c>
      <c r="I172" s="123">
        <f t="shared" si="52"/>
        <v>0.46</v>
      </c>
      <c r="J172" s="123">
        <f t="shared" si="52"/>
        <v>0.46</v>
      </c>
      <c r="K172" s="123">
        <f t="shared" si="52"/>
        <v>0.46</v>
      </c>
      <c r="L172" s="123">
        <f t="shared" si="52"/>
        <v>0.46</v>
      </c>
      <c r="M172" s="123">
        <f t="shared" si="52"/>
        <v>0.46</v>
      </c>
      <c r="N172" s="123">
        <f t="shared" si="52"/>
        <v>0.46</v>
      </c>
      <c r="O172" s="123">
        <f t="shared" si="52"/>
        <v>0.46</v>
      </c>
      <c r="P172" s="123">
        <f t="shared" si="52"/>
        <v>0.46</v>
      </c>
      <c r="Q172" s="123">
        <f t="shared" si="52"/>
        <v>0.46</v>
      </c>
      <c r="R172" s="123">
        <f t="shared" si="52"/>
        <v>0.46</v>
      </c>
      <c r="S172" s="123">
        <f t="shared" si="53"/>
        <v>0.46</v>
      </c>
      <c r="T172" s="123">
        <f t="shared" si="53"/>
        <v>0.46</v>
      </c>
      <c r="U172" s="123">
        <f t="shared" si="53"/>
        <v>0.46</v>
      </c>
      <c r="V172" s="123">
        <f t="shared" si="53"/>
        <v>0.46</v>
      </c>
      <c r="W172" s="123">
        <f t="shared" si="53"/>
        <v>0.46</v>
      </c>
      <c r="X172" s="123">
        <f t="shared" si="53"/>
        <v>0.46</v>
      </c>
      <c r="Y172" s="123">
        <f t="shared" si="53"/>
        <v>0.46</v>
      </c>
      <c r="Z172" s="123">
        <f t="shared" si="53"/>
        <v>0.46</v>
      </c>
      <c r="AA172" s="123">
        <f t="shared" si="53"/>
        <v>0.46</v>
      </c>
      <c r="AB172" s="123">
        <f t="shared" si="53"/>
        <v>0.46</v>
      </c>
      <c r="AC172" s="123">
        <f t="shared" si="53"/>
        <v>0.46</v>
      </c>
      <c r="AD172" s="123">
        <f t="shared" si="53"/>
        <v>0.46</v>
      </c>
      <c r="AE172" s="123">
        <f t="shared" si="53"/>
        <v>0.46</v>
      </c>
      <c r="AF172" s="123">
        <f t="shared" si="53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1"/>
        <v>0.85</v>
      </c>
      <c r="C173" s="124">
        <v>0.85</v>
      </c>
      <c r="D173" s="123">
        <f t="shared" si="52"/>
        <v>0.85</v>
      </c>
      <c r="E173" s="123">
        <f t="shared" si="52"/>
        <v>0.85</v>
      </c>
      <c r="F173" s="123">
        <f t="shared" si="52"/>
        <v>0.85</v>
      </c>
      <c r="G173" s="123">
        <f t="shared" si="52"/>
        <v>0.85</v>
      </c>
      <c r="H173" s="123">
        <f t="shared" si="52"/>
        <v>0.85</v>
      </c>
      <c r="I173" s="123">
        <f t="shared" si="52"/>
        <v>0.85</v>
      </c>
      <c r="J173" s="123">
        <f t="shared" si="52"/>
        <v>0.85</v>
      </c>
      <c r="K173" s="123">
        <f t="shared" si="52"/>
        <v>0.85</v>
      </c>
      <c r="L173" s="123">
        <f t="shared" si="52"/>
        <v>0.85</v>
      </c>
      <c r="M173" s="123">
        <f t="shared" si="52"/>
        <v>0.85</v>
      </c>
      <c r="N173" s="123">
        <f t="shared" si="52"/>
        <v>0.85</v>
      </c>
      <c r="O173" s="123">
        <f t="shared" si="52"/>
        <v>0.85</v>
      </c>
      <c r="P173" s="123">
        <f t="shared" si="52"/>
        <v>0.85</v>
      </c>
      <c r="Q173" s="123">
        <f t="shared" si="52"/>
        <v>0.85</v>
      </c>
      <c r="R173" s="123">
        <f t="shared" si="52"/>
        <v>0.85</v>
      </c>
      <c r="S173" s="123">
        <f t="shared" si="53"/>
        <v>0.85</v>
      </c>
      <c r="T173" s="123">
        <f t="shared" si="53"/>
        <v>0.85</v>
      </c>
      <c r="U173" s="123">
        <f t="shared" si="53"/>
        <v>0.85</v>
      </c>
      <c r="V173" s="123">
        <f t="shared" si="53"/>
        <v>0.85</v>
      </c>
      <c r="W173" s="123">
        <f t="shared" si="53"/>
        <v>0.85</v>
      </c>
      <c r="X173" s="123">
        <f t="shared" si="53"/>
        <v>0.85</v>
      </c>
      <c r="Y173" s="123">
        <f t="shared" si="53"/>
        <v>0.85</v>
      </c>
      <c r="Z173" s="123">
        <f t="shared" si="53"/>
        <v>0.85</v>
      </c>
      <c r="AA173" s="123">
        <f t="shared" si="53"/>
        <v>0.85</v>
      </c>
      <c r="AB173" s="123">
        <f t="shared" si="53"/>
        <v>0.85</v>
      </c>
      <c r="AC173" s="123">
        <f t="shared" si="53"/>
        <v>0.85</v>
      </c>
      <c r="AD173" s="123">
        <f t="shared" si="53"/>
        <v>0.85</v>
      </c>
      <c r="AE173" s="123">
        <f t="shared" si="53"/>
        <v>0.85</v>
      </c>
      <c r="AF173" s="123">
        <f t="shared" si="53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1"/>
        <v>0.9</v>
      </c>
      <c r="C174" s="124">
        <v>0.9</v>
      </c>
      <c r="D174" s="123">
        <f t="shared" si="52"/>
        <v>0.9</v>
      </c>
      <c r="E174" s="123">
        <f t="shared" si="52"/>
        <v>0.9</v>
      </c>
      <c r="F174" s="123">
        <f t="shared" si="52"/>
        <v>0.9</v>
      </c>
      <c r="G174" s="123">
        <f t="shared" si="52"/>
        <v>0.9</v>
      </c>
      <c r="H174" s="123">
        <f t="shared" si="52"/>
        <v>0.9</v>
      </c>
      <c r="I174" s="123">
        <f t="shared" si="52"/>
        <v>0.9</v>
      </c>
      <c r="J174" s="123">
        <f t="shared" si="52"/>
        <v>0.9</v>
      </c>
      <c r="K174" s="123">
        <f t="shared" si="52"/>
        <v>0.9</v>
      </c>
      <c r="L174" s="123">
        <f t="shared" si="52"/>
        <v>0.9</v>
      </c>
      <c r="M174" s="123">
        <f t="shared" si="52"/>
        <v>0.9</v>
      </c>
      <c r="N174" s="123">
        <f t="shared" si="52"/>
        <v>0.9</v>
      </c>
      <c r="O174" s="123">
        <f t="shared" si="52"/>
        <v>0.9</v>
      </c>
      <c r="P174" s="123">
        <f t="shared" si="52"/>
        <v>0.9</v>
      </c>
      <c r="Q174" s="123">
        <f t="shared" si="52"/>
        <v>0.9</v>
      </c>
      <c r="R174" s="123">
        <f t="shared" si="52"/>
        <v>0.9</v>
      </c>
      <c r="S174" s="123">
        <f t="shared" si="53"/>
        <v>0.9</v>
      </c>
      <c r="T174" s="123">
        <f t="shared" si="53"/>
        <v>0.9</v>
      </c>
      <c r="U174" s="123">
        <f t="shared" si="53"/>
        <v>0.9</v>
      </c>
      <c r="V174" s="123">
        <f t="shared" si="53"/>
        <v>0.9</v>
      </c>
      <c r="W174" s="123">
        <f t="shared" si="53"/>
        <v>0.9</v>
      </c>
      <c r="X174" s="123">
        <f t="shared" si="53"/>
        <v>0.9</v>
      </c>
      <c r="Y174" s="123">
        <f t="shared" si="53"/>
        <v>0.9</v>
      </c>
      <c r="Z174" s="123">
        <f t="shared" si="53"/>
        <v>0.9</v>
      </c>
      <c r="AA174" s="123">
        <f t="shared" si="53"/>
        <v>0.9</v>
      </c>
      <c r="AB174" s="123">
        <f t="shared" si="53"/>
        <v>0.9</v>
      </c>
      <c r="AC174" s="123">
        <f t="shared" si="53"/>
        <v>0.9</v>
      </c>
      <c r="AD174" s="123">
        <f t="shared" si="53"/>
        <v>0.9</v>
      </c>
      <c r="AE174" s="123">
        <f t="shared" si="53"/>
        <v>0.9</v>
      </c>
      <c r="AF174" s="123">
        <f t="shared" si="53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1"/>
        <v>0.44</v>
      </c>
      <c r="C175" s="124">
        <v>0.44</v>
      </c>
      <c r="D175" s="123">
        <f t="shared" si="52"/>
        <v>0.44</v>
      </c>
      <c r="E175" s="123">
        <f t="shared" si="52"/>
        <v>0.44</v>
      </c>
      <c r="F175" s="123">
        <f t="shared" si="52"/>
        <v>0.44</v>
      </c>
      <c r="G175" s="123">
        <f t="shared" si="52"/>
        <v>0.44</v>
      </c>
      <c r="H175" s="123">
        <f t="shared" si="52"/>
        <v>0.44</v>
      </c>
      <c r="I175" s="123">
        <f t="shared" si="52"/>
        <v>0.44</v>
      </c>
      <c r="J175" s="123">
        <f t="shared" si="52"/>
        <v>0.44</v>
      </c>
      <c r="K175" s="123">
        <f t="shared" si="52"/>
        <v>0.44</v>
      </c>
      <c r="L175" s="123">
        <f t="shared" si="52"/>
        <v>0.44</v>
      </c>
      <c r="M175" s="123">
        <f t="shared" si="52"/>
        <v>0.44</v>
      </c>
      <c r="N175" s="123">
        <f t="shared" si="52"/>
        <v>0.44</v>
      </c>
      <c r="O175" s="123">
        <f t="shared" si="52"/>
        <v>0.44</v>
      </c>
      <c r="P175" s="123">
        <f t="shared" si="52"/>
        <v>0.44</v>
      </c>
      <c r="Q175" s="123">
        <f t="shared" si="52"/>
        <v>0.44</v>
      </c>
      <c r="R175" s="123">
        <f t="shared" si="52"/>
        <v>0.44</v>
      </c>
      <c r="S175" s="123">
        <f t="shared" si="53"/>
        <v>0.44</v>
      </c>
      <c r="T175" s="123">
        <f t="shared" si="53"/>
        <v>0.44</v>
      </c>
      <c r="U175" s="123">
        <f t="shared" si="53"/>
        <v>0.44</v>
      </c>
      <c r="V175" s="123">
        <f t="shared" si="53"/>
        <v>0.44</v>
      </c>
      <c r="W175" s="123">
        <f t="shared" si="53"/>
        <v>0.44</v>
      </c>
      <c r="X175" s="123">
        <f t="shared" si="53"/>
        <v>0.44</v>
      </c>
      <c r="Y175" s="123">
        <f t="shared" si="53"/>
        <v>0.44</v>
      </c>
      <c r="Z175" s="123">
        <f t="shared" si="53"/>
        <v>0.44</v>
      </c>
      <c r="AA175" s="123">
        <f t="shared" si="53"/>
        <v>0.44</v>
      </c>
      <c r="AB175" s="123">
        <f t="shared" si="53"/>
        <v>0.44</v>
      </c>
      <c r="AC175" s="123">
        <f t="shared" si="53"/>
        <v>0.44</v>
      </c>
      <c r="AD175" s="123">
        <f t="shared" si="53"/>
        <v>0.44</v>
      </c>
      <c r="AE175" s="123">
        <f t="shared" si="53"/>
        <v>0.44</v>
      </c>
      <c r="AF175" s="123">
        <f t="shared" si="53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1"/>
        <v>2.1</v>
      </c>
      <c r="C176" s="124">
        <v>2.1</v>
      </c>
      <c r="D176" s="123">
        <f t="shared" si="52"/>
        <v>2.1</v>
      </c>
      <c r="E176" s="123">
        <f t="shared" si="52"/>
        <v>2.1</v>
      </c>
      <c r="F176" s="123">
        <f t="shared" si="52"/>
        <v>2.1</v>
      </c>
      <c r="G176" s="123">
        <f t="shared" si="52"/>
        <v>2.1</v>
      </c>
      <c r="H176" s="123">
        <f t="shared" si="52"/>
        <v>2.1</v>
      </c>
      <c r="I176" s="123">
        <f t="shared" si="52"/>
        <v>2.1</v>
      </c>
      <c r="J176" s="123">
        <f t="shared" si="52"/>
        <v>2.1</v>
      </c>
      <c r="K176" s="123">
        <f t="shared" si="52"/>
        <v>2.1</v>
      </c>
      <c r="L176" s="123">
        <f t="shared" si="52"/>
        <v>2.1</v>
      </c>
      <c r="M176" s="123">
        <f t="shared" si="52"/>
        <v>2.1</v>
      </c>
      <c r="N176" s="123">
        <f t="shared" si="52"/>
        <v>2.1</v>
      </c>
      <c r="O176" s="123">
        <f t="shared" si="52"/>
        <v>2.1</v>
      </c>
      <c r="P176" s="123">
        <f t="shared" si="52"/>
        <v>2.1</v>
      </c>
      <c r="Q176" s="123">
        <f t="shared" si="52"/>
        <v>2.1</v>
      </c>
      <c r="R176" s="123">
        <f t="shared" si="52"/>
        <v>2.1</v>
      </c>
      <c r="S176" s="123">
        <f t="shared" si="53"/>
        <v>2.1</v>
      </c>
      <c r="T176" s="123">
        <f t="shared" si="53"/>
        <v>2.1</v>
      </c>
      <c r="U176" s="123">
        <f t="shared" si="53"/>
        <v>2.1</v>
      </c>
      <c r="V176" s="123">
        <f t="shared" si="53"/>
        <v>2.1</v>
      </c>
      <c r="W176" s="123">
        <f t="shared" si="53"/>
        <v>2.1</v>
      </c>
      <c r="X176" s="123">
        <f t="shared" si="53"/>
        <v>2.1</v>
      </c>
      <c r="Y176" s="123">
        <f t="shared" si="53"/>
        <v>2.1</v>
      </c>
      <c r="Z176" s="123">
        <f t="shared" si="53"/>
        <v>2.1</v>
      </c>
      <c r="AA176" s="123">
        <f t="shared" si="53"/>
        <v>2.1</v>
      </c>
      <c r="AB176" s="123">
        <f t="shared" si="53"/>
        <v>2.1</v>
      </c>
      <c r="AC176" s="123">
        <f t="shared" si="53"/>
        <v>2.1</v>
      </c>
      <c r="AD176" s="123">
        <f t="shared" si="53"/>
        <v>2.1</v>
      </c>
      <c r="AE176" s="123">
        <f t="shared" si="53"/>
        <v>2.1</v>
      </c>
      <c r="AF176" s="123">
        <f t="shared" si="53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1"/>
        <v>0.9</v>
      </c>
      <c r="C177" s="124">
        <v>0.9</v>
      </c>
      <c r="D177" s="123">
        <f t="shared" si="52"/>
        <v>0.9</v>
      </c>
      <c r="E177" s="123">
        <f t="shared" si="52"/>
        <v>0.9</v>
      </c>
      <c r="F177" s="123">
        <f t="shared" si="52"/>
        <v>0.9</v>
      </c>
      <c r="G177" s="123">
        <f t="shared" si="52"/>
        <v>0.9</v>
      </c>
      <c r="H177" s="123">
        <f t="shared" si="52"/>
        <v>0.9</v>
      </c>
      <c r="I177" s="123">
        <f t="shared" si="52"/>
        <v>0.9</v>
      </c>
      <c r="J177" s="123">
        <f t="shared" si="52"/>
        <v>0.9</v>
      </c>
      <c r="K177" s="123">
        <f t="shared" si="52"/>
        <v>0.9</v>
      </c>
      <c r="L177" s="123">
        <f t="shared" si="52"/>
        <v>0.9</v>
      </c>
      <c r="M177" s="123">
        <f t="shared" si="52"/>
        <v>0.9</v>
      </c>
      <c r="N177" s="123">
        <f t="shared" si="52"/>
        <v>0.9</v>
      </c>
      <c r="O177" s="123">
        <f t="shared" si="52"/>
        <v>0.9</v>
      </c>
      <c r="P177" s="123">
        <f t="shared" si="52"/>
        <v>0.9</v>
      </c>
      <c r="Q177" s="123">
        <f t="shared" si="52"/>
        <v>0.9</v>
      </c>
      <c r="R177" s="123">
        <f t="shared" si="52"/>
        <v>0.9</v>
      </c>
      <c r="S177" s="123">
        <f t="shared" si="53"/>
        <v>0.9</v>
      </c>
      <c r="T177" s="123">
        <f t="shared" si="53"/>
        <v>0.9</v>
      </c>
      <c r="U177" s="123">
        <f t="shared" si="53"/>
        <v>0.9</v>
      </c>
      <c r="V177" s="123">
        <f t="shared" si="53"/>
        <v>0.9</v>
      </c>
      <c r="W177" s="123">
        <f t="shared" si="53"/>
        <v>0.9</v>
      </c>
      <c r="X177" s="123">
        <f t="shared" si="53"/>
        <v>0.9</v>
      </c>
      <c r="Y177" s="123">
        <f t="shared" si="53"/>
        <v>0.9</v>
      </c>
      <c r="Z177" s="123">
        <f t="shared" si="53"/>
        <v>0.9</v>
      </c>
      <c r="AA177" s="123">
        <f t="shared" si="53"/>
        <v>0.9</v>
      </c>
      <c r="AB177" s="123">
        <f t="shared" si="53"/>
        <v>0.9</v>
      </c>
      <c r="AC177" s="123">
        <f t="shared" si="53"/>
        <v>0.9</v>
      </c>
      <c r="AD177" s="123">
        <f t="shared" si="53"/>
        <v>0.9</v>
      </c>
      <c r="AE177" s="123">
        <f t="shared" si="53"/>
        <v>0.9</v>
      </c>
      <c r="AF177" s="123">
        <f t="shared" si="53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4">AF179</f>
        <v>0.57999999999999996</v>
      </c>
      <c r="C179" s="124">
        <v>0.57999999999999996</v>
      </c>
      <c r="D179" s="123">
        <f t="shared" ref="D179:S191" si="55">C179</f>
        <v>0.57999999999999996</v>
      </c>
      <c r="E179" s="123">
        <f t="shared" si="55"/>
        <v>0.57999999999999996</v>
      </c>
      <c r="F179" s="123">
        <f t="shared" si="55"/>
        <v>0.57999999999999996</v>
      </c>
      <c r="G179" s="123">
        <f t="shared" si="55"/>
        <v>0.57999999999999996</v>
      </c>
      <c r="H179" s="123">
        <f t="shared" si="55"/>
        <v>0.57999999999999996</v>
      </c>
      <c r="I179" s="123">
        <f t="shared" si="55"/>
        <v>0.57999999999999996</v>
      </c>
      <c r="J179" s="123">
        <f t="shared" si="55"/>
        <v>0.57999999999999996</v>
      </c>
      <c r="K179" s="123">
        <f t="shared" si="55"/>
        <v>0.57999999999999996</v>
      </c>
      <c r="L179" s="123">
        <f t="shared" si="55"/>
        <v>0.57999999999999996</v>
      </c>
      <c r="M179" s="123">
        <f t="shared" si="55"/>
        <v>0.57999999999999996</v>
      </c>
      <c r="N179" s="123">
        <f t="shared" si="55"/>
        <v>0.57999999999999996</v>
      </c>
      <c r="O179" s="123">
        <f t="shared" si="55"/>
        <v>0.57999999999999996</v>
      </c>
      <c r="P179" s="123">
        <f t="shared" si="55"/>
        <v>0.57999999999999996</v>
      </c>
      <c r="Q179" s="123">
        <f t="shared" si="55"/>
        <v>0.57999999999999996</v>
      </c>
      <c r="R179" s="123">
        <f t="shared" si="55"/>
        <v>0.57999999999999996</v>
      </c>
      <c r="S179" s="123">
        <f t="shared" si="55"/>
        <v>0.57999999999999996</v>
      </c>
      <c r="T179" s="123">
        <f t="shared" ref="S179:AF191" si="56">S179</f>
        <v>0.57999999999999996</v>
      </c>
      <c r="U179" s="123">
        <f t="shared" si="56"/>
        <v>0.57999999999999996</v>
      </c>
      <c r="V179" s="123">
        <f t="shared" si="56"/>
        <v>0.57999999999999996</v>
      </c>
      <c r="W179" s="123">
        <f t="shared" si="56"/>
        <v>0.57999999999999996</v>
      </c>
      <c r="X179" s="123">
        <f t="shared" si="56"/>
        <v>0.57999999999999996</v>
      </c>
      <c r="Y179" s="123">
        <f t="shared" si="56"/>
        <v>0.57999999999999996</v>
      </c>
      <c r="Z179" s="123">
        <f t="shared" si="56"/>
        <v>0.57999999999999996</v>
      </c>
      <c r="AA179" s="123">
        <f t="shared" si="56"/>
        <v>0.57999999999999996</v>
      </c>
      <c r="AB179" s="123">
        <f t="shared" si="56"/>
        <v>0.57999999999999996</v>
      </c>
      <c r="AC179" s="123">
        <f t="shared" si="56"/>
        <v>0.57999999999999996</v>
      </c>
      <c r="AD179" s="123">
        <f t="shared" si="56"/>
        <v>0.57999999999999996</v>
      </c>
      <c r="AE179" s="123">
        <f t="shared" si="56"/>
        <v>0.57999999999999996</v>
      </c>
      <c r="AF179" s="123">
        <f t="shared" si="56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4"/>
        <v>0.8</v>
      </c>
      <c r="C180" s="124">
        <v>0.8</v>
      </c>
      <c r="D180" s="123">
        <f t="shared" si="55"/>
        <v>0.8</v>
      </c>
      <c r="E180" s="123">
        <f t="shared" si="55"/>
        <v>0.8</v>
      </c>
      <c r="F180" s="123">
        <f t="shared" si="55"/>
        <v>0.8</v>
      </c>
      <c r="G180" s="123">
        <f t="shared" si="55"/>
        <v>0.8</v>
      </c>
      <c r="H180" s="123">
        <f t="shared" si="55"/>
        <v>0.8</v>
      </c>
      <c r="I180" s="123">
        <f t="shared" si="55"/>
        <v>0.8</v>
      </c>
      <c r="J180" s="123">
        <f t="shared" si="55"/>
        <v>0.8</v>
      </c>
      <c r="K180" s="123">
        <f t="shared" si="55"/>
        <v>0.8</v>
      </c>
      <c r="L180" s="123">
        <f t="shared" si="55"/>
        <v>0.8</v>
      </c>
      <c r="M180" s="123">
        <f t="shared" si="55"/>
        <v>0.8</v>
      </c>
      <c r="N180" s="123">
        <f t="shared" si="55"/>
        <v>0.8</v>
      </c>
      <c r="O180" s="123">
        <f t="shared" si="55"/>
        <v>0.8</v>
      </c>
      <c r="P180" s="123">
        <f t="shared" si="55"/>
        <v>0.8</v>
      </c>
      <c r="Q180" s="123">
        <f t="shared" si="55"/>
        <v>0.8</v>
      </c>
      <c r="R180" s="123">
        <f t="shared" si="55"/>
        <v>0.8</v>
      </c>
      <c r="S180" s="123">
        <f t="shared" si="55"/>
        <v>0.8</v>
      </c>
      <c r="T180" s="123">
        <f t="shared" si="56"/>
        <v>0.8</v>
      </c>
      <c r="U180" s="123">
        <f t="shared" si="56"/>
        <v>0.8</v>
      </c>
      <c r="V180" s="123">
        <f t="shared" si="56"/>
        <v>0.8</v>
      </c>
      <c r="W180" s="123">
        <f t="shared" si="56"/>
        <v>0.8</v>
      </c>
      <c r="X180" s="123">
        <f t="shared" si="56"/>
        <v>0.8</v>
      </c>
      <c r="Y180" s="123">
        <f t="shared" si="56"/>
        <v>0.8</v>
      </c>
      <c r="Z180" s="123">
        <f t="shared" si="56"/>
        <v>0.8</v>
      </c>
      <c r="AA180" s="123">
        <f t="shared" si="56"/>
        <v>0.8</v>
      </c>
      <c r="AB180" s="123">
        <f t="shared" si="56"/>
        <v>0.8</v>
      </c>
      <c r="AC180" s="123">
        <f t="shared" si="56"/>
        <v>0.8</v>
      </c>
      <c r="AD180" s="123">
        <f t="shared" si="56"/>
        <v>0.8</v>
      </c>
      <c r="AE180" s="123">
        <f t="shared" si="56"/>
        <v>0.8</v>
      </c>
      <c r="AF180" s="123">
        <f t="shared" si="56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4"/>
        <v>0</v>
      </c>
      <c r="C181" s="124">
        <v>0</v>
      </c>
      <c r="D181" s="123">
        <f t="shared" si="55"/>
        <v>0</v>
      </c>
      <c r="E181" s="123">
        <f t="shared" si="55"/>
        <v>0</v>
      </c>
      <c r="F181" s="123">
        <f t="shared" si="55"/>
        <v>0</v>
      </c>
      <c r="G181" s="123">
        <f t="shared" si="55"/>
        <v>0</v>
      </c>
      <c r="H181" s="123">
        <f t="shared" si="55"/>
        <v>0</v>
      </c>
      <c r="I181" s="123">
        <f t="shared" si="55"/>
        <v>0</v>
      </c>
      <c r="J181" s="123">
        <f t="shared" si="55"/>
        <v>0</v>
      </c>
      <c r="K181" s="123">
        <f t="shared" si="55"/>
        <v>0</v>
      </c>
      <c r="L181" s="123">
        <f t="shared" si="55"/>
        <v>0</v>
      </c>
      <c r="M181" s="123">
        <f t="shared" si="55"/>
        <v>0</v>
      </c>
      <c r="N181" s="123">
        <f t="shared" si="55"/>
        <v>0</v>
      </c>
      <c r="O181" s="123">
        <f t="shared" si="55"/>
        <v>0</v>
      </c>
      <c r="P181" s="123">
        <f t="shared" si="55"/>
        <v>0</v>
      </c>
      <c r="Q181" s="123">
        <f t="shared" si="55"/>
        <v>0</v>
      </c>
      <c r="R181" s="123">
        <f t="shared" si="55"/>
        <v>0</v>
      </c>
      <c r="S181" s="123">
        <f t="shared" si="55"/>
        <v>0</v>
      </c>
      <c r="T181" s="123">
        <f t="shared" si="56"/>
        <v>0</v>
      </c>
      <c r="U181" s="123">
        <f t="shared" si="56"/>
        <v>0</v>
      </c>
      <c r="V181" s="123">
        <f t="shared" si="56"/>
        <v>0</v>
      </c>
      <c r="W181" s="123">
        <f t="shared" si="56"/>
        <v>0</v>
      </c>
      <c r="X181" s="123">
        <f t="shared" si="56"/>
        <v>0</v>
      </c>
      <c r="Y181" s="123">
        <f t="shared" si="56"/>
        <v>0</v>
      </c>
      <c r="Z181" s="123">
        <f t="shared" si="56"/>
        <v>0</v>
      </c>
      <c r="AA181" s="123">
        <f t="shared" si="56"/>
        <v>0</v>
      </c>
      <c r="AB181" s="123">
        <f t="shared" si="56"/>
        <v>0</v>
      </c>
      <c r="AC181" s="123">
        <f t="shared" si="56"/>
        <v>0</v>
      </c>
      <c r="AD181" s="123">
        <f t="shared" si="56"/>
        <v>0</v>
      </c>
      <c r="AE181" s="123">
        <f t="shared" si="56"/>
        <v>0</v>
      </c>
      <c r="AF181" s="123">
        <f t="shared" si="56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4"/>
        <v>0.6</v>
      </c>
      <c r="C182" s="124">
        <v>0.6</v>
      </c>
      <c r="D182" s="123">
        <f t="shared" si="55"/>
        <v>0.6</v>
      </c>
      <c r="E182" s="123">
        <f t="shared" si="55"/>
        <v>0.6</v>
      </c>
      <c r="F182" s="123">
        <f t="shared" si="55"/>
        <v>0.6</v>
      </c>
      <c r="G182" s="123">
        <f t="shared" si="55"/>
        <v>0.6</v>
      </c>
      <c r="H182" s="123">
        <f t="shared" si="55"/>
        <v>0.6</v>
      </c>
      <c r="I182" s="123">
        <f t="shared" si="55"/>
        <v>0.6</v>
      </c>
      <c r="J182" s="123">
        <f t="shared" si="55"/>
        <v>0.6</v>
      </c>
      <c r="K182" s="123">
        <f t="shared" si="55"/>
        <v>0.6</v>
      </c>
      <c r="L182" s="123">
        <f t="shared" si="55"/>
        <v>0.6</v>
      </c>
      <c r="M182" s="123">
        <f t="shared" si="55"/>
        <v>0.6</v>
      </c>
      <c r="N182" s="123">
        <f t="shared" si="55"/>
        <v>0.6</v>
      </c>
      <c r="O182" s="123">
        <f t="shared" si="55"/>
        <v>0.6</v>
      </c>
      <c r="P182" s="123">
        <f t="shared" si="55"/>
        <v>0.6</v>
      </c>
      <c r="Q182" s="123">
        <f t="shared" si="55"/>
        <v>0.6</v>
      </c>
      <c r="R182" s="123">
        <f t="shared" si="55"/>
        <v>0.6</v>
      </c>
      <c r="S182" s="123">
        <f t="shared" si="55"/>
        <v>0.6</v>
      </c>
      <c r="T182" s="123">
        <f t="shared" si="56"/>
        <v>0.6</v>
      </c>
      <c r="U182" s="123">
        <f t="shared" si="56"/>
        <v>0.6</v>
      </c>
      <c r="V182" s="123">
        <f t="shared" si="56"/>
        <v>0.6</v>
      </c>
      <c r="W182" s="123">
        <f t="shared" si="56"/>
        <v>0.6</v>
      </c>
      <c r="X182" s="123">
        <f t="shared" si="56"/>
        <v>0.6</v>
      </c>
      <c r="Y182" s="123">
        <f t="shared" si="56"/>
        <v>0.6</v>
      </c>
      <c r="Z182" s="123">
        <f t="shared" si="56"/>
        <v>0.6</v>
      </c>
      <c r="AA182" s="123">
        <f t="shared" si="56"/>
        <v>0.6</v>
      </c>
      <c r="AB182" s="123">
        <f t="shared" si="56"/>
        <v>0.6</v>
      </c>
      <c r="AC182" s="123">
        <f t="shared" si="56"/>
        <v>0.6</v>
      </c>
      <c r="AD182" s="123">
        <f t="shared" si="56"/>
        <v>0.6</v>
      </c>
      <c r="AE182" s="123">
        <f t="shared" si="56"/>
        <v>0.6</v>
      </c>
      <c r="AF182" s="123">
        <f t="shared" si="56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4"/>
        <v>0.6</v>
      </c>
      <c r="C183" s="124">
        <v>0.6</v>
      </c>
      <c r="D183" s="123">
        <f t="shared" si="55"/>
        <v>0.6</v>
      </c>
      <c r="E183" s="123">
        <f t="shared" si="55"/>
        <v>0.6</v>
      </c>
      <c r="F183" s="123">
        <f t="shared" si="55"/>
        <v>0.6</v>
      </c>
      <c r="G183" s="123">
        <f t="shared" si="55"/>
        <v>0.6</v>
      </c>
      <c r="H183" s="123">
        <f t="shared" si="55"/>
        <v>0.6</v>
      </c>
      <c r="I183" s="123">
        <f t="shared" si="55"/>
        <v>0.6</v>
      </c>
      <c r="J183" s="123">
        <f t="shared" si="55"/>
        <v>0.6</v>
      </c>
      <c r="K183" s="123">
        <f t="shared" si="55"/>
        <v>0.6</v>
      </c>
      <c r="L183" s="123">
        <f t="shared" si="55"/>
        <v>0.6</v>
      </c>
      <c r="M183" s="123">
        <f t="shared" si="55"/>
        <v>0.6</v>
      </c>
      <c r="N183" s="123">
        <f t="shared" si="55"/>
        <v>0.6</v>
      </c>
      <c r="O183" s="123">
        <f t="shared" si="55"/>
        <v>0.6</v>
      </c>
      <c r="P183" s="123">
        <f t="shared" si="55"/>
        <v>0.6</v>
      </c>
      <c r="Q183" s="123">
        <f t="shared" si="55"/>
        <v>0.6</v>
      </c>
      <c r="R183" s="123">
        <f t="shared" si="55"/>
        <v>0.6</v>
      </c>
      <c r="S183" s="123">
        <f t="shared" si="55"/>
        <v>0.6</v>
      </c>
      <c r="T183" s="123">
        <f t="shared" si="56"/>
        <v>0.6</v>
      </c>
      <c r="U183" s="123">
        <f t="shared" si="56"/>
        <v>0.6</v>
      </c>
      <c r="V183" s="123">
        <f t="shared" si="56"/>
        <v>0.6</v>
      </c>
      <c r="W183" s="123">
        <f t="shared" si="56"/>
        <v>0.6</v>
      </c>
      <c r="X183" s="123">
        <f t="shared" si="56"/>
        <v>0.6</v>
      </c>
      <c r="Y183" s="123">
        <f t="shared" si="56"/>
        <v>0.6</v>
      </c>
      <c r="Z183" s="123">
        <f t="shared" si="56"/>
        <v>0.6</v>
      </c>
      <c r="AA183" s="123">
        <f t="shared" si="56"/>
        <v>0.6</v>
      </c>
      <c r="AB183" s="123">
        <f t="shared" si="56"/>
        <v>0.6</v>
      </c>
      <c r="AC183" s="123">
        <f t="shared" si="56"/>
        <v>0.6</v>
      </c>
      <c r="AD183" s="123">
        <f t="shared" si="56"/>
        <v>0.6</v>
      </c>
      <c r="AE183" s="123">
        <f t="shared" si="56"/>
        <v>0.6</v>
      </c>
      <c r="AF183" s="123">
        <f t="shared" si="56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4"/>
        <v>0.35</v>
      </c>
      <c r="C184" s="124">
        <v>0.35</v>
      </c>
      <c r="D184" s="123">
        <f t="shared" si="55"/>
        <v>0.35</v>
      </c>
      <c r="E184" s="123">
        <f t="shared" si="55"/>
        <v>0.35</v>
      </c>
      <c r="F184" s="123">
        <f t="shared" si="55"/>
        <v>0.35</v>
      </c>
      <c r="G184" s="123">
        <f t="shared" si="55"/>
        <v>0.35</v>
      </c>
      <c r="H184" s="123">
        <f t="shared" si="55"/>
        <v>0.35</v>
      </c>
      <c r="I184" s="123">
        <f t="shared" si="55"/>
        <v>0.35</v>
      </c>
      <c r="J184" s="123">
        <f t="shared" si="55"/>
        <v>0.35</v>
      </c>
      <c r="K184" s="123">
        <f t="shared" si="55"/>
        <v>0.35</v>
      </c>
      <c r="L184" s="123">
        <f t="shared" si="55"/>
        <v>0.35</v>
      </c>
      <c r="M184" s="123">
        <f t="shared" si="55"/>
        <v>0.35</v>
      </c>
      <c r="N184" s="123">
        <f t="shared" si="55"/>
        <v>0.35</v>
      </c>
      <c r="O184" s="123">
        <f t="shared" si="55"/>
        <v>0.35</v>
      </c>
      <c r="P184" s="123">
        <f t="shared" si="55"/>
        <v>0.35</v>
      </c>
      <c r="Q184" s="123">
        <f t="shared" si="55"/>
        <v>0.35</v>
      </c>
      <c r="R184" s="123">
        <f t="shared" si="55"/>
        <v>0.35</v>
      </c>
      <c r="S184" s="123">
        <f t="shared" si="55"/>
        <v>0.35</v>
      </c>
      <c r="T184" s="123">
        <f t="shared" si="56"/>
        <v>0.35</v>
      </c>
      <c r="U184" s="123">
        <f t="shared" si="56"/>
        <v>0.35</v>
      </c>
      <c r="V184" s="123">
        <f t="shared" si="56"/>
        <v>0.35</v>
      </c>
      <c r="W184" s="123">
        <f t="shared" si="56"/>
        <v>0.35</v>
      </c>
      <c r="X184" s="123">
        <f t="shared" si="56"/>
        <v>0.35</v>
      </c>
      <c r="Y184" s="123">
        <f t="shared" si="56"/>
        <v>0.35</v>
      </c>
      <c r="Z184" s="123">
        <f t="shared" si="56"/>
        <v>0.35</v>
      </c>
      <c r="AA184" s="123">
        <f t="shared" si="56"/>
        <v>0.35</v>
      </c>
      <c r="AB184" s="123">
        <f t="shared" si="56"/>
        <v>0.35</v>
      </c>
      <c r="AC184" s="123">
        <f t="shared" si="56"/>
        <v>0.35</v>
      </c>
      <c r="AD184" s="123">
        <f t="shared" si="56"/>
        <v>0.35</v>
      </c>
      <c r="AE184" s="123">
        <f t="shared" si="56"/>
        <v>0.35</v>
      </c>
      <c r="AF184" s="123">
        <f t="shared" si="56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4"/>
        <v>0.28999999999999998</v>
      </c>
      <c r="C185" s="124">
        <v>0.28999999999999998</v>
      </c>
      <c r="D185" s="123">
        <f t="shared" si="55"/>
        <v>0.28999999999999998</v>
      </c>
      <c r="E185" s="123">
        <f t="shared" si="55"/>
        <v>0.28999999999999998</v>
      </c>
      <c r="F185" s="123">
        <f t="shared" si="55"/>
        <v>0.28999999999999998</v>
      </c>
      <c r="G185" s="123">
        <f t="shared" si="55"/>
        <v>0.28999999999999998</v>
      </c>
      <c r="H185" s="123">
        <f t="shared" si="55"/>
        <v>0.28999999999999998</v>
      </c>
      <c r="I185" s="123">
        <f t="shared" si="55"/>
        <v>0.28999999999999998</v>
      </c>
      <c r="J185" s="123">
        <f t="shared" si="55"/>
        <v>0.28999999999999998</v>
      </c>
      <c r="K185" s="123">
        <f t="shared" si="55"/>
        <v>0.28999999999999998</v>
      </c>
      <c r="L185" s="123">
        <f t="shared" si="55"/>
        <v>0.28999999999999998</v>
      </c>
      <c r="M185" s="123">
        <f t="shared" si="55"/>
        <v>0.28999999999999998</v>
      </c>
      <c r="N185" s="123">
        <f t="shared" si="55"/>
        <v>0.28999999999999998</v>
      </c>
      <c r="O185" s="123">
        <f t="shared" si="55"/>
        <v>0.28999999999999998</v>
      </c>
      <c r="P185" s="123">
        <f t="shared" si="55"/>
        <v>0.28999999999999998</v>
      </c>
      <c r="Q185" s="123">
        <f t="shared" si="55"/>
        <v>0.28999999999999998</v>
      </c>
      <c r="R185" s="123">
        <f t="shared" si="55"/>
        <v>0.28999999999999998</v>
      </c>
      <c r="S185" s="123">
        <f t="shared" si="55"/>
        <v>0.28999999999999998</v>
      </c>
      <c r="T185" s="123">
        <f t="shared" si="56"/>
        <v>0.28999999999999998</v>
      </c>
      <c r="U185" s="123">
        <f t="shared" si="56"/>
        <v>0.28999999999999998</v>
      </c>
      <c r="V185" s="123">
        <f t="shared" si="56"/>
        <v>0.28999999999999998</v>
      </c>
      <c r="W185" s="123">
        <f t="shared" si="56"/>
        <v>0.28999999999999998</v>
      </c>
      <c r="X185" s="123">
        <f t="shared" si="56"/>
        <v>0.28999999999999998</v>
      </c>
      <c r="Y185" s="123">
        <f t="shared" si="56"/>
        <v>0.28999999999999998</v>
      </c>
      <c r="Z185" s="123">
        <f t="shared" si="56"/>
        <v>0.28999999999999998</v>
      </c>
      <c r="AA185" s="123">
        <f t="shared" si="56"/>
        <v>0.28999999999999998</v>
      </c>
      <c r="AB185" s="123">
        <f t="shared" si="56"/>
        <v>0.28999999999999998</v>
      </c>
      <c r="AC185" s="123">
        <f t="shared" si="56"/>
        <v>0.28999999999999998</v>
      </c>
      <c r="AD185" s="123">
        <f t="shared" si="56"/>
        <v>0.28999999999999998</v>
      </c>
      <c r="AE185" s="123">
        <f t="shared" si="56"/>
        <v>0.28999999999999998</v>
      </c>
      <c r="AF185" s="123">
        <f t="shared" si="56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4"/>
        <v>0.06</v>
      </c>
      <c r="C186" s="124">
        <v>0.06</v>
      </c>
      <c r="D186" s="123">
        <f t="shared" si="55"/>
        <v>0.06</v>
      </c>
      <c r="E186" s="123">
        <f t="shared" si="55"/>
        <v>0.06</v>
      </c>
      <c r="F186" s="123">
        <f t="shared" si="55"/>
        <v>0.06</v>
      </c>
      <c r="G186" s="123">
        <f t="shared" si="55"/>
        <v>0.06</v>
      </c>
      <c r="H186" s="123">
        <f t="shared" si="55"/>
        <v>0.06</v>
      </c>
      <c r="I186" s="123">
        <f t="shared" si="55"/>
        <v>0.06</v>
      </c>
      <c r="J186" s="123">
        <f t="shared" si="55"/>
        <v>0.06</v>
      </c>
      <c r="K186" s="123">
        <f t="shared" si="55"/>
        <v>0.06</v>
      </c>
      <c r="L186" s="123">
        <f t="shared" si="55"/>
        <v>0.06</v>
      </c>
      <c r="M186" s="123">
        <f t="shared" si="55"/>
        <v>0.06</v>
      </c>
      <c r="N186" s="123">
        <f t="shared" si="55"/>
        <v>0.06</v>
      </c>
      <c r="O186" s="123">
        <f t="shared" si="55"/>
        <v>0.06</v>
      </c>
      <c r="P186" s="123">
        <f t="shared" si="55"/>
        <v>0.06</v>
      </c>
      <c r="Q186" s="123">
        <f t="shared" si="55"/>
        <v>0.06</v>
      </c>
      <c r="R186" s="123">
        <f t="shared" si="55"/>
        <v>0.06</v>
      </c>
      <c r="S186" s="123">
        <f t="shared" si="55"/>
        <v>0.06</v>
      </c>
      <c r="T186" s="123">
        <f t="shared" si="56"/>
        <v>0.06</v>
      </c>
      <c r="U186" s="123">
        <f t="shared" si="56"/>
        <v>0.06</v>
      </c>
      <c r="V186" s="123">
        <f t="shared" si="56"/>
        <v>0.06</v>
      </c>
      <c r="W186" s="123">
        <f t="shared" si="56"/>
        <v>0.06</v>
      </c>
      <c r="X186" s="123">
        <f t="shared" si="56"/>
        <v>0.06</v>
      </c>
      <c r="Y186" s="123">
        <f t="shared" si="56"/>
        <v>0.06</v>
      </c>
      <c r="Z186" s="123">
        <f t="shared" si="56"/>
        <v>0.06</v>
      </c>
      <c r="AA186" s="123">
        <f t="shared" si="56"/>
        <v>0.06</v>
      </c>
      <c r="AB186" s="123">
        <f t="shared" si="56"/>
        <v>0.06</v>
      </c>
      <c r="AC186" s="123">
        <f t="shared" si="56"/>
        <v>0.06</v>
      </c>
      <c r="AD186" s="123">
        <f t="shared" si="56"/>
        <v>0.06</v>
      </c>
      <c r="AE186" s="123">
        <f t="shared" si="56"/>
        <v>0.06</v>
      </c>
      <c r="AF186" s="123">
        <f t="shared" si="56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4"/>
        <v>0.11</v>
      </c>
      <c r="C187" s="124">
        <v>0.11</v>
      </c>
      <c r="D187" s="123">
        <f t="shared" si="55"/>
        <v>0.11</v>
      </c>
      <c r="E187" s="123">
        <f t="shared" si="55"/>
        <v>0.11</v>
      </c>
      <c r="F187" s="123">
        <f t="shared" si="55"/>
        <v>0.11</v>
      </c>
      <c r="G187" s="123">
        <f t="shared" si="55"/>
        <v>0.11</v>
      </c>
      <c r="H187" s="123">
        <f t="shared" si="55"/>
        <v>0.11</v>
      </c>
      <c r="I187" s="123">
        <f t="shared" si="55"/>
        <v>0.11</v>
      </c>
      <c r="J187" s="123">
        <f t="shared" si="55"/>
        <v>0.11</v>
      </c>
      <c r="K187" s="123">
        <f t="shared" si="55"/>
        <v>0.11</v>
      </c>
      <c r="L187" s="123">
        <f t="shared" si="55"/>
        <v>0.11</v>
      </c>
      <c r="M187" s="123">
        <f t="shared" si="55"/>
        <v>0.11</v>
      </c>
      <c r="N187" s="123">
        <f t="shared" si="55"/>
        <v>0.11</v>
      </c>
      <c r="O187" s="123">
        <f t="shared" si="55"/>
        <v>0.11</v>
      </c>
      <c r="P187" s="123">
        <f t="shared" si="55"/>
        <v>0.11</v>
      </c>
      <c r="Q187" s="123">
        <f t="shared" si="55"/>
        <v>0.11</v>
      </c>
      <c r="R187" s="123">
        <f t="shared" si="55"/>
        <v>0.11</v>
      </c>
      <c r="S187" s="123">
        <f t="shared" si="55"/>
        <v>0.11</v>
      </c>
      <c r="T187" s="123">
        <f t="shared" si="56"/>
        <v>0.11</v>
      </c>
      <c r="U187" s="123">
        <f t="shared" si="56"/>
        <v>0.11</v>
      </c>
      <c r="V187" s="123">
        <f t="shared" si="56"/>
        <v>0.11</v>
      </c>
      <c r="W187" s="123">
        <f t="shared" si="56"/>
        <v>0.11</v>
      </c>
      <c r="X187" s="123">
        <f t="shared" si="56"/>
        <v>0.11</v>
      </c>
      <c r="Y187" s="123">
        <f t="shared" si="56"/>
        <v>0.11</v>
      </c>
      <c r="Z187" s="123">
        <f t="shared" si="56"/>
        <v>0.11</v>
      </c>
      <c r="AA187" s="123">
        <f t="shared" si="56"/>
        <v>0.11</v>
      </c>
      <c r="AB187" s="123">
        <f t="shared" si="56"/>
        <v>0.11</v>
      </c>
      <c r="AC187" s="123">
        <f t="shared" si="56"/>
        <v>0.11</v>
      </c>
      <c r="AD187" s="123">
        <f t="shared" si="56"/>
        <v>0.11</v>
      </c>
      <c r="AE187" s="123">
        <f t="shared" si="56"/>
        <v>0.11</v>
      </c>
      <c r="AF187" s="123">
        <f t="shared" si="56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4"/>
        <v>0.1</v>
      </c>
      <c r="C188" s="124">
        <v>0.1</v>
      </c>
      <c r="D188" s="123">
        <f t="shared" si="55"/>
        <v>0.1</v>
      </c>
      <c r="E188" s="123">
        <f t="shared" si="55"/>
        <v>0.1</v>
      </c>
      <c r="F188" s="123">
        <f t="shared" si="55"/>
        <v>0.1</v>
      </c>
      <c r="G188" s="123">
        <f t="shared" si="55"/>
        <v>0.1</v>
      </c>
      <c r="H188" s="123">
        <f t="shared" si="55"/>
        <v>0.1</v>
      </c>
      <c r="I188" s="123">
        <f t="shared" si="55"/>
        <v>0.1</v>
      </c>
      <c r="J188" s="123">
        <f t="shared" si="55"/>
        <v>0.1</v>
      </c>
      <c r="K188" s="123">
        <f t="shared" si="55"/>
        <v>0.1</v>
      </c>
      <c r="L188" s="123">
        <f t="shared" si="55"/>
        <v>0.1</v>
      </c>
      <c r="M188" s="123">
        <f t="shared" si="55"/>
        <v>0.1</v>
      </c>
      <c r="N188" s="123">
        <f t="shared" si="55"/>
        <v>0.1</v>
      </c>
      <c r="O188" s="123">
        <f t="shared" si="55"/>
        <v>0.1</v>
      </c>
      <c r="P188" s="123">
        <f t="shared" si="55"/>
        <v>0.1</v>
      </c>
      <c r="Q188" s="123">
        <f t="shared" si="55"/>
        <v>0.1</v>
      </c>
      <c r="R188" s="123">
        <f t="shared" si="55"/>
        <v>0.1</v>
      </c>
      <c r="S188" s="123">
        <f t="shared" si="56"/>
        <v>0.1</v>
      </c>
      <c r="T188" s="123">
        <f t="shared" si="56"/>
        <v>0.1</v>
      </c>
      <c r="U188" s="123">
        <f t="shared" si="56"/>
        <v>0.1</v>
      </c>
      <c r="V188" s="123">
        <f t="shared" si="56"/>
        <v>0.1</v>
      </c>
      <c r="W188" s="123">
        <f t="shared" si="56"/>
        <v>0.1</v>
      </c>
      <c r="X188" s="123">
        <f t="shared" si="56"/>
        <v>0.1</v>
      </c>
      <c r="Y188" s="123">
        <f t="shared" si="56"/>
        <v>0.1</v>
      </c>
      <c r="Z188" s="123">
        <f t="shared" si="56"/>
        <v>0.1</v>
      </c>
      <c r="AA188" s="123">
        <f t="shared" si="56"/>
        <v>0.1</v>
      </c>
      <c r="AB188" s="123">
        <f t="shared" si="56"/>
        <v>0.1</v>
      </c>
      <c r="AC188" s="123">
        <f t="shared" si="56"/>
        <v>0.1</v>
      </c>
      <c r="AD188" s="123">
        <f t="shared" si="56"/>
        <v>0.1</v>
      </c>
      <c r="AE188" s="123">
        <f t="shared" si="56"/>
        <v>0.1</v>
      </c>
      <c r="AF188" s="123">
        <f t="shared" si="56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4"/>
        <v>0.09</v>
      </c>
      <c r="C189" s="124">
        <v>0.09</v>
      </c>
      <c r="D189" s="123">
        <f t="shared" si="55"/>
        <v>0.09</v>
      </c>
      <c r="E189" s="123">
        <f t="shared" si="55"/>
        <v>0.09</v>
      </c>
      <c r="F189" s="123">
        <f t="shared" si="55"/>
        <v>0.09</v>
      </c>
      <c r="G189" s="123">
        <f t="shared" si="55"/>
        <v>0.09</v>
      </c>
      <c r="H189" s="123">
        <f t="shared" si="55"/>
        <v>0.09</v>
      </c>
      <c r="I189" s="123">
        <f t="shared" si="55"/>
        <v>0.09</v>
      </c>
      <c r="J189" s="123">
        <f t="shared" si="55"/>
        <v>0.09</v>
      </c>
      <c r="K189" s="123">
        <f t="shared" si="55"/>
        <v>0.09</v>
      </c>
      <c r="L189" s="123">
        <f t="shared" si="55"/>
        <v>0.09</v>
      </c>
      <c r="M189" s="123">
        <f t="shared" si="55"/>
        <v>0.09</v>
      </c>
      <c r="N189" s="123">
        <f t="shared" si="55"/>
        <v>0.09</v>
      </c>
      <c r="O189" s="123">
        <f t="shared" si="55"/>
        <v>0.09</v>
      </c>
      <c r="P189" s="123">
        <f t="shared" si="55"/>
        <v>0.09</v>
      </c>
      <c r="Q189" s="123">
        <f t="shared" si="55"/>
        <v>0.09</v>
      </c>
      <c r="R189" s="123">
        <f t="shared" si="55"/>
        <v>0.09</v>
      </c>
      <c r="S189" s="123">
        <f t="shared" si="56"/>
        <v>0.09</v>
      </c>
      <c r="T189" s="123">
        <f t="shared" si="56"/>
        <v>0.09</v>
      </c>
      <c r="U189" s="123">
        <f t="shared" si="56"/>
        <v>0.09</v>
      </c>
      <c r="V189" s="123">
        <f t="shared" si="56"/>
        <v>0.09</v>
      </c>
      <c r="W189" s="123">
        <f t="shared" si="56"/>
        <v>0.09</v>
      </c>
      <c r="X189" s="123">
        <f t="shared" si="56"/>
        <v>0.09</v>
      </c>
      <c r="Y189" s="123">
        <f t="shared" si="56"/>
        <v>0.09</v>
      </c>
      <c r="Z189" s="123">
        <f t="shared" si="56"/>
        <v>0.09</v>
      </c>
      <c r="AA189" s="123">
        <f t="shared" si="56"/>
        <v>0.09</v>
      </c>
      <c r="AB189" s="123">
        <f t="shared" si="56"/>
        <v>0.09</v>
      </c>
      <c r="AC189" s="123">
        <f t="shared" si="56"/>
        <v>0.09</v>
      </c>
      <c r="AD189" s="123">
        <f t="shared" si="56"/>
        <v>0.09</v>
      </c>
      <c r="AE189" s="123">
        <f t="shared" si="56"/>
        <v>0.09</v>
      </c>
      <c r="AF189" s="123">
        <f t="shared" si="56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4"/>
        <v>0.04</v>
      </c>
      <c r="C190" s="54">
        <v>0.04</v>
      </c>
      <c r="D190" s="123">
        <f t="shared" si="55"/>
        <v>0.04</v>
      </c>
      <c r="E190" s="123">
        <f t="shared" si="55"/>
        <v>0.04</v>
      </c>
      <c r="F190" s="123">
        <f t="shared" si="55"/>
        <v>0.04</v>
      </c>
      <c r="G190" s="123">
        <f t="shared" si="55"/>
        <v>0.04</v>
      </c>
      <c r="H190" s="123">
        <f t="shared" si="55"/>
        <v>0.04</v>
      </c>
      <c r="I190" s="123">
        <f t="shared" si="55"/>
        <v>0.04</v>
      </c>
      <c r="J190" s="123">
        <f t="shared" si="55"/>
        <v>0.04</v>
      </c>
      <c r="K190" s="123">
        <f t="shared" si="55"/>
        <v>0.04</v>
      </c>
      <c r="L190" s="123">
        <f t="shared" si="55"/>
        <v>0.04</v>
      </c>
      <c r="M190" s="123">
        <f t="shared" si="55"/>
        <v>0.04</v>
      </c>
      <c r="N190" s="123">
        <f t="shared" si="55"/>
        <v>0.04</v>
      </c>
      <c r="O190" s="123">
        <f t="shared" si="55"/>
        <v>0.04</v>
      </c>
      <c r="P190" s="123">
        <f t="shared" si="55"/>
        <v>0.04</v>
      </c>
      <c r="Q190" s="123">
        <f t="shared" si="55"/>
        <v>0.04</v>
      </c>
      <c r="R190" s="123">
        <f t="shared" si="55"/>
        <v>0.04</v>
      </c>
      <c r="S190" s="123">
        <f t="shared" si="56"/>
        <v>0.04</v>
      </c>
      <c r="T190" s="123">
        <f t="shared" si="56"/>
        <v>0.04</v>
      </c>
      <c r="U190" s="123">
        <f t="shared" si="56"/>
        <v>0.04</v>
      </c>
      <c r="V190" s="123">
        <f t="shared" si="56"/>
        <v>0.04</v>
      </c>
      <c r="W190" s="123">
        <f t="shared" si="56"/>
        <v>0.04</v>
      </c>
      <c r="X190" s="123">
        <f t="shared" si="56"/>
        <v>0.04</v>
      </c>
      <c r="Y190" s="123">
        <f t="shared" si="56"/>
        <v>0.04</v>
      </c>
      <c r="Z190" s="123">
        <f t="shared" si="56"/>
        <v>0.04</v>
      </c>
      <c r="AA190" s="123">
        <f t="shared" si="56"/>
        <v>0.04</v>
      </c>
      <c r="AB190" s="123">
        <f t="shared" si="56"/>
        <v>0.04</v>
      </c>
      <c r="AC190" s="123">
        <f t="shared" si="56"/>
        <v>0.04</v>
      </c>
      <c r="AD190" s="123">
        <f t="shared" si="56"/>
        <v>0.04</v>
      </c>
      <c r="AE190" s="123">
        <f t="shared" si="56"/>
        <v>0.04</v>
      </c>
      <c r="AF190" s="123">
        <f t="shared" si="56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4"/>
        <v>2.3E-2</v>
      </c>
      <c r="C191" s="54">
        <v>2.3E-2</v>
      </c>
      <c r="D191" s="123">
        <f>C191</f>
        <v>2.3E-2</v>
      </c>
      <c r="E191" s="123">
        <f t="shared" si="55"/>
        <v>2.3E-2</v>
      </c>
      <c r="F191" s="123">
        <f t="shared" si="55"/>
        <v>2.3E-2</v>
      </c>
      <c r="G191" s="123">
        <f t="shared" si="55"/>
        <v>2.3E-2</v>
      </c>
      <c r="H191" s="123">
        <f t="shared" si="55"/>
        <v>2.3E-2</v>
      </c>
      <c r="I191" s="123">
        <f t="shared" si="55"/>
        <v>2.3E-2</v>
      </c>
      <c r="J191" s="123">
        <f t="shared" si="55"/>
        <v>2.3E-2</v>
      </c>
      <c r="K191" s="123">
        <f t="shared" si="55"/>
        <v>2.3E-2</v>
      </c>
      <c r="L191" s="123">
        <f t="shared" si="55"/>
        <v>2.3E-2</v>
      </c>
      <c r="M191" s="123">
        <f t="shared" si="55"/>
        <v>2.3E-2</v>
      </c>
      <c r="N191" s="123">
        <f t="shared" si="55"/>
        <v>2.3E-2</v>
      </c>
      <c r="O191" s="123">
        <f t="shared" si="55"/>
        <v>2.3E-2</v>
      </c>
      <c r="P191" s="123">
        <f t="shared" si="55"/>
        <v>2.3E-2</v>
      </c>
      <c r="Q191" s="123">
        <f t="shared" si="55"/>
        <v>2.3E-2</v>
      </c>
      <c r="R191" s="123">
        <f t="shared" si="55"/>
        <v>2.3E-2</v>
      </c>
      <c r="S191" s="123">
        <f t="shared" si="56"/>
        <v>2.3E-2</v>
      </c>
      <c r="T191" s="123">
        <f t="shared" si="56"/>
        <v>2.3E-2</v>
      </c>
      <c r="U191" s="123">
        <f t="shared" si="56"/>
        <v>2.3E-2</v>
      </c>
      <c r="V191" s="123">
        <f t="shared" si="56"/>
        <v>2.3E-2</v>
      </c>
      <c r="W191" s="123">
        <f t="shared" si="56"/>
        <v>2.3E-2</v>
      </c>
      <c r="X191" s="123">
        <f t="shared" si="56"/>
        <v>2.3E-2</v>
      </c>
      <c r="Y191" s="123">
        <f t="shared" si="56"/>
        <v>2.3E-2</v>
      </c>
      <c r="Z191" s="123">
        <f t="shared" si="56"/>
        <v>2.3E-2</v>
      </c>
      <c r="AA191" s="123">
        <f t="shared" si="56"/>
        <v>2.3E-2</v>
      </c>
      <c r="AB191" s="123">
        <f t="shared" si="56"/>
        <v>2.3E-2</v>
      </c>
      <c r="AC191" s="123">
        <f t="shared" si="56"/>
        <v>2.3E-2</v>
      </c>
      <c r="AD191" s="123">
        <f t="shared" si="56"/>
        <v>2.3E-2</v>
      </c>
      <c r="AE191" s="123">
        <f t="shared" si="56"/>
        <v>2.3E-2</v>
      </c>
      <c r="AF191" s="123">
        <f t="shared" si="56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7">SUM(C102:C191)</f>
        <v>194.70600000000002</v>
      </c>
      <c r="D192" s="128">
        <f t="shared" si="57"/>
        <v>194.70600000000002</v>
      </c>
      <c r="E192" s="128">
        <f t="shared" si="57"/>
        <v>194.70600000000002</v>
      </c>
      <c r="F192" s="128">
        <f t="shared" si="57"/>
        <v>194.70600000000002</v>
      </c>
      <c r="G192" s="128">
        <f t="shared" si="57"/>
        <v>194.70600000000002</v>
      </c>
      <c r="H192" s="128">
        <f t="shared" si="57"/>
        <v>194.70600000000002</v>
      </c>
      <c r="I192" s="128">
        <f t="shared" si="57"/>
        <v>189.70600000000005</v>
      </c>
      <c r="J192" s="128">
        <f t="shared" si="57"/>
        <v>187.10600000000005</v>
      </c>
      <c r="K192" s="128">
        <f t="shared" si="57"/>
        <v>187.10600000000005</v>
      </c>
      <c r="L192" s="128">
        <f t="shared" si="57"/>
        <v>187.10600000000005</v>
      </c>
      <c r="M192" s="128">
        <f t="shared" si="57"/>
        <v>187.10600000000005</v>
      </c>
      <c r="N192" s="128">
        <f t="shared" si="57"/>
        <v>187.10600000000005</v>
      </c>
      <c r="O192" s="128">
        <f t="shared" si="57"/>
        <v>187.10600000000005</v>
      </c>
      <c r="P192" s="128">
        <f t="shared" si="57"/>
        <v>187.10600000000005</v>
      </c>
      <c r="Q192" s="128">
        <f t="shared" si="57"/>
        <v>187.10600000000005</v>
      </c>
      <c r="R192" s="128">
        <f t="shared" si="57"/>
        <v>187.10600000000005</v>
      </c>
      <c r="S192" s="128">
        <f t="shared" si="57"/>
        <v>187.10600000000005</v>
      </c>
      <c r="T192" s="128">
        <f t="shared" si="57"/>
        <v>187.10600000000005</v>
      </c>
      <c r="U192" s="128">
        <f t="shared" si="57"/>
        <v>187.10600000000005</v>
      </c>
      <c r="V192" s="128">
        <f t="shared" si="57"/>
        <v>187.10600000000005</v>
      </c>
      <c r="W192" s="128">
        <f t="shared" si="57"/>
        <v>187.10600000000005</v>
      </c>
      <c r="X192" s="128">
        <f t="shared" si="57"/>
        <v>187.10600000000005</v>
      </c>
      <c r="Y192" s="128">
        <f t="shared" si="57"/>
        <v>187.10600000000005</v>
      </c>
      <c r="Z192" s="128">
        <f t="shared" si="57"/>
        <v>187.10600000000005</v>
      </c>
      <c r="AA192" s="128">
        <f t="shared" si="57"/>
        <v>187.10600000000005</v>
      </c>
      <c r="AB192" s="128">
        <f t="shared" si="57"/>
        <v>187.10600000000005</v>
      </c>
      <c r="AC192" s="128">
        <f t="shared" si="57"/>
        <v>187.10600000000005</v>
      </c>
      <c r="AD192" s="128">
        <f t="shared" si="57"/>
        <v>187.10600000000005</v>
      </c>
      <c r="AE192" s="128">
        <f t="shared" si="57"/>
        <v>187.10600000000005</v>
      </c>
      <c r="AF192" s="128">
        <f t="shared" si="57"/>
        <v>187.10600000000005</v>
      </c>
      <c r="AG192" s="129">
        <f t="shared" si="57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8">AF194</f>
        <v>0.3</v>
      </c>
      <c r="C194" s="130">
        <v>0.3</v>
      </c>
      <c r="D194" s="130">
        <f t="shared" ref="D194:S199" si="59">C194</f>
        <v>0.3</v>
      </c>
      <c r="E194" s="130">
        <f t="shared" si="59"/>
        <v>0.3</v>
      </c>
      <c r="F194" s="130">
        <f t="shared" si="59"/>
        <v>0.3</v>
      </c>
      <c r="G194" s="130">
        <f t="shared" si="59"/>
        <v>0.3</v>
      </c>
      <c r="H194" s="130">
        <f t="shared" si="59"/>
        <v>0.3</v>
      </c>
      <c r="I194" s="130">
        <f t="shared" si="59"/>
        <v>0.3</v>
      </c>
      <c r="J194" s="130">
        <f t="shared" si="59"/>
        <v>0.3</v>
      </c>
      <c r="K194" s="130">
        <f t="shared" si="59"/>
        <v>0.3</v>
      </c>
      <c r="L194" s="130">
        <f t="shared" si="59"/>
        <v>0.3</v>
      </c>
      <c r="M194" s="130">
        <f t="shared" si="59"/>
        <v>0.3</v>
      </c>
      <c r="N194" s="130">
        <f t="shared" si="59"/>
        <v>0.3</v>
      </c>
      <c r="O194" s="130">
        <f t="shared" si="59"/>
        <v>0.3</v>
      </c>
      <c r="P194" s="130">
        <f t="shared" si="59"/>
        <v>0.3</v>
      </c>
      <c r="Q194" s="130">
        <f t="shared" si="59"/>
        <v>0.3</v>
      </c>
      <c r="R194" s="130">
        <f t="shared" si="59"/>
        <v>0.3</v>
      </c>
      <c r="S194" s="130">
        <f t="shared" si="59"/>
        <v>0.3</v>
      </c>
      <c r="T194" s="130">
        <f t="shared" ref="T194:AF199" si="60">S194</f>
        <v>0.3</v>
      </c>
      <c r="U194" s="130">
        <f t="shared" si="60"/>
        <v>0.3</v>
      </c>
      <c r="V194" s="130">
        <f t="shared" si="60"/>
        <v>0.3</v>
      </c>
      <c r="W194" s="130">
        <f t="shared" si="60"/>
        <v>0.3</v>
      </c>
      <c r="X194" s="130">
        <f t="shared" si="60"/>
        <v>0.3</v>
      </c>
      <c r="Y194" s="130">
        <f t="shared" si="60"/>
        <v>0.3</v>
      </c>
      <c r="Z194" s="130">
        <f t="shared" si="60"/>
        <v>0.3</v>
      </c>
      <c r="AA194" s="130">
        <f t="shared" si="60"/>
        <v>0.3</v>
      </c>
      <c r="AB194" s="130">
        <f t="shared" si="60"/>
        <v>0.3</v>
      </c>
      <c r="AC194" s="130">
        <f t="shared" si="60"/>
        <v>0.3</v>
      </c>
      <c r="AD194" s="130">
        <f t="shared" si="60"/>
        <v>0.3</v>
      </c>
      <c r="AE194" s="130">
        <f t="shared" si="60"/>
        <v>0.3</v>
      </c>
      <c r="AF194" s="130">
        <f t="shared" si="60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8"/>
        <v>0.4</v>
      </c>
      <c r="C195" s="123">
        <v>0.4</v>
      </c>
      <c r="D195" s="123">
        <f t="shared" si="59"/>
        <v>0.4</v>
      </c>
      <c r="E195" s="123">
        <f t="shared" si="59"/>
        <v>0.4</v>
      </c>
      <c r="F195" s="123">
        <f t="shared" si="59"/>
        <v>0.4</v>
      </c>
      <c r="G195" s="123">
        <f t="shared" si="59"/>
        <v>0.4</v>
      </c>
      <c r="H195" s="123">
        <f t="shared" si="59"/>
        <v>0.4</v>
      </c>
      <c r="I195" s="123">
        <f t="shared" si="59"/>
        <v>0.4</v>
      </c>
      <c r="J195" s="123">
        <f t="shared" si="59"/>
        <v>0.4</v>
      </c>
      <c r="K195" s="123">
        <f t="shared" si="59"/>
        <v>0.4</v>
      </c>
      <c r="L195" s="123">
        <f t="shared" si="59"/>
        <v>0.4</v>
      </c>
      <c r="M195" s="123">
        <f t="shared" si="59"/>
        <v>0.4</v>
      </c>
      <c r="N195" s="123">
        <f t="shared" si="59"/>
        <v>0.4</v>
      </c>
      <c r="O195" s="123">
        <f t="shared" si="59"/>
        <v>0.4</v>
      </c>
      <c r="P195" s="123">
        <f t="shared" si="59"/>
        <v>0.4</v>
      </c>
      <c r="Q195" s="123">
        <f t="shared" si="59"/>
        <v>0.4</v>
      </c>
      <c r="R195" s="123">
        <f t="shared" si="59"/>
        <v>0.4</v>
      </c>
      <c r="S195" s="123">
        <f t="shared" si="59"/>
        <v>0.4</v>
      </c>
      <c r="T195" s="123">
        <f t="shared" si="60"/>
        <v>0.4</v>
      </c>
      <c r="U195" s="123">
        <f t="shared" si="60"/>
        <v>0.4</v>
      </c>
      <c r="V195" s="123">
        <f t="shared" si="60"/>
        <v>0.4</v>
      </c>
      <c r="W195" s="123">
        <f>V195</f>
        <v>0.4</v>
      </c>
      <c r="X195" s="123">
        <f>W195</f>
        <v>0.4</v>
      </c>
      <c r="Y195" s="123">
        <f t="shared" si="60"/>
        <v>0.4</v>
      </c>
      <c r="Z195" s="123">
        <f t="shared" si="60"/>
        <v>0.4</v>
      </c>
      <c r="AA195" s="123">
        <f t="shared" si="60"/>
        <v>0.4</v>
      </c>
      <c r="AB195" s="123">
        <f t="shared" si="60"/>
        <v>0.4</v>
      </c>
      <c r="AC195" s="123">
        <f t="shared" si="60"/>
        <v>0.4</v>
      </c>
      <c r="AD195" s="123">
        <f t="shared" si="60"/>
        <v>0.4</v>
      </c>
      <c r="AE195" s="123">
        <f t="shared" si="60"/>
        <v>0.4</v>
      </c>
      <c r="AF195" s="123">
        <f t="shared" si="60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8"/>
        <v>1.5</v>
      </c>
      <c r="C196" s="123">
        <v>1.5</v>
      </c>
      <c r="D196" s="123">
        <f t="shared" si="59"/>
        <v>1.5</v>
      </c>
      <c r="E196" s="123">
        <f t="shared" si="59"/>
        <v>1.5</v>
      </c>
      <c r="F196" s="123">
        <f t="shared" si="59"/>
        <v>1.5</v>
      </c>
      <c r="G196" s="123">
        <f t="shared" si="59"/>
        <v>1.5</v>
      </c>
      <c r="H196" s="123">
        <f t="shared" si="59"/>
        <v>1.5</v>
      </c>
      <c r="I196" s="123">
        <f t="shared" si="59"/>
        <v>1.5</v>
      </c>
      <c r="J196" s="123">
        <f t="shared" si="59"/>
        <v>1.5</v>
      </c>
      <c r="K196" s="123">
        <f t="shared" si="59"/>
        <v>1.5</v>
      </c>
      <c r="L196" s="123">
        <f t="shared" si="59"/>
        <v>1.5</v>
      </c>
      <c r="M196" s="123">
        <f t="shared" si="59"/>
        <v>1.5</v>
      </c>
      <c r="N196" s="123">
        <f t="shared" si="59"/>
        <v>1.5</v>
      </c>
      <c r="O196" s="123">
        <f t="shared" si="59"/>
        <v>1.5</v>
      </c>
      <c r="P196" s="123">
        <f t="shared" si="59"/>
        <v>1.5</v>
      </c>
      <c r="Q196" s="123">
        <f t="shared" si="59"/>
        <v>1.5</v>
      </c>
      <c r="R196" s="123">
        <f t="shared" si="59"/>
        <v>1.5</v>
      </c>
      <c r="S196" s="123">
        <f t="shared" si="59"/>
        <v>1.5</v>
      </c>
      <c r="T196" s="123">
        <f t="shared" si="60"/>
        <v>1.5</v>
      </c>
      <c r="U196" s="123">
        <f t="shared" si="60"/>
        <v>1.5</v>
      </c>
      <c r="V196" s="123">
        <f t="shared" si="60"/>
        <v>1.5</v>
      </c>
      <c r="W196" s="123">
        <f t="shared" si="60"/>
        <v>1.5</v>
      </c>
      <c r="X196" s="123">
        <f t="shared" si="60"/>
        <v>1.5</v>
      </c>
      <c r="Y196" s="123">
        <f t="shared" si="60"/>
        <v>1.5</v>
      </c>
      <c r="Z196" s="123">
        <f t="shared" si="60"/>
        <v>1.5</v>
      </c>
      <c r="AA196" s="123">
        <f t="shared" si="60"/>
        <v>1.5</v>
      </c>
      <c r="AB196" s="123">
        <f t="shared" si="60"/>
        <v>1.5</v>
      </c>
      <c r="AC196" s="123">
        <f t="shared" si="60"/>
        <v>1.5</v>
      </c>
      <c r="AD196" s="123">
        <f t="shared" si="60"/>
        <v>1.5</v>
      </c>
      <c r="AE196" s="123">
        <f t="shared" si="60"/>
        <v>1.5</v>
      </c>
      <c r="AF196" s="123">
        <f t="shared" si="60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8"/>
        <v>0.3</v>
      </c>
      <c r="C197" s="123">
        <v>0.3</v>
      </c>
      <c r="D197" s="123">
        <f t="shared" si="59"/>
        <v>0.3</v>
      </c>
      <c r="E197" s="123">
        <f t="shared" si="59"/>
        <v>0.3</v>
      </c>
      <c r="F197" s="123">
        <f t="shared" si="59"/>
        <v>0.3</v>
      </c>
      <c r="G197" s="123">
        <f t="shared" si="59"/>
        <v>0.3</v>
      </c>
      <c r="H197" s="123">
        <f t="shared" si="59"/>
        <v>0.3</v>
      </c>
      <c r="I197" s="123">
        <f t="shared" si="59"/>
        <v>0.3</v>
      </c>
      <c r="J197" s="123">
        <f t="shared" si="59"/>
        <v>0.3</v>
      </c>
      <c r="K197" s="123">
        <f t="shared" si="59"/>
        <v>0.3</v>
      </c>
      <c r="L197" s="123">
        <f t="shared" si="59"/>
        <v>0.3</v>
      </c>
      <c r="M197" s="123">
        <f t="shared" si="59"/>
        <v>0.3</v>
      </c>
      <c r="N197" s="123">
        <f t="shared" si="59"/>
        <v>0.3</v>
      </c>
      <c r="O197" s="123">
        <f t="shared" si="59"/>
        <v>0.3</v>
      </c>
      <c r="P197" s="123">
        <f t="shared" si="59"/>
        <v>0.3</v>
      </c>
      <c r="Q197" s="123">
        <f t="shared" si="59"/>
        <v>0.3</v>
      </c>
      <c r="R197" s="123">
        <f t="shared" si="59"/>
        <v>0.3</v>
      </c>
      <c r="S197" s="123">
        <f t="shared" si="59"/>
        <v>0.3</v>
      </c>
      <c r="T197" s="123">
        <f t="shared" si="60"/>
        <v>0.3</v>
      </c>
      <c r="U197" s="123">
        <f t="shared" si="60"/>
        <v>0.3</v>
      </c>
      <c r="V197" s="123">
        <f t="shared" si="60"/>
        <v>0.3</v>
      </c>
      <c r="W197" s="123">
        <f t="shared" si="60"/>
        <v>0.3</v>
      </c>
      <c r="X197" s="123">
        <f t="shared" si="60"/>
        <v>0.3</v>
      </c>
      <c r="Y197" s="123">
        <f t="shared" si="60"/>
        <v>0.3</v>
      </c>
      <c r="Z197" s="123">
        <f t="shared" si="60"/>
        <v>0.3</v>
      </c>
      <c r="AA197" s="123">
        <f t="shared" si="60"/>
        <v>0.3</v>
      </c>
      <c r="AB197" s="123">
        <f t="shared" si="60"/>
        <v>0.3</v>
      </c>
      <c r="AC197" s="123">
        <f t="shared" si="60"/>
        <v>0.3</v>
      </c>
      <c r="AD197" s="123">
        <f t="shared" si="60"/>
        <v>0.3</v>
      </c>
      <c r="AE197" s="123">
        <f t="shared" si="60"/>
        <v>0.3</v>
      </c>
      <c r="AF197" s="123">
        <f t="shared" si="60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8"/>
        <v>0.4</v>
      </c>
      <c r="C198" s="123">
        <v>0.4</v>
      </c>
      <c r="D198" s="123">
        <f t="shared" si="59"/>
        <v>0.4</v>
      </c>
      <c r="E198" s="123">
        <f t="shared" si="59"/>
        <v>0.4</v>
      </c>
      <c r="F198" s="123">
        <f t="shared" si="59"/>
        <v>0.4</v>
      </c>
      <c r="G198" s="123">
        <f t="shared" si="59"/>
        <v>0.4</v>
      </c>
      <c r="H198" s="123">
        <f t="shared" si="59"/>
        <v>0.4</v>
      </c>
      <c r="I198" s="123">
        <f t="shared" si="59"/>
        <v>0.4</v>
      </c>
      <c r="J198" s="123">
        <f t="shared" si="59"/>
        <v>0.4</v>
      </c>
      <c r="K198" s="123">
        <f t="shared" si="59"/>
        <v>0.4</v>
      </c>
      <c r="L198" s="123">
        <f t="shared" si="59"/>
        <v>0.4</v>
      </c>
      <c r="M198" s="123">
        <f t="shared" si="59"/>
        <v>0.4</v>
      </c>
      <c r="N198" s="123">
        <f t="shared" si="59"/>
        <v>0.4</v>
      </c>
      <c r="O198" s="123">
        <f t="shared" si="59"/>
        <v>0.4</v>
      </c>
      <c r="P198" s="123">
        <f t="shared" si="59"/>
        <v>0.4</v>
      </c>
      <c r="Q198" s="123">
        <f t="shared" si="59"/>
        <v>0.4</v>
      </c>
      <c r="R198" s="123">
        <f t="shared" si="59"/>
        <v>0.4</v>
      </c>
      <c r="S198" s="123">
        <f t="shared" si="59"/>
        <v>0.4</v>
      </c>
      <c r="T198" s="123">
        <f t="shared" si="60"/>
        <v>0.4</v>
      </c>
      <c r="U198" s="123">
        <f t="shared" si="60"/>
        <v>0.4</v>
      </c>
      <c r="V198" s="123">
        <f t="shared" si="60"/>
        <v>0.4</v>
      </c>
      <c r="W198" s="123">
        <f t="shared" si="60"/>
        <v>0.4</v>
      </c>
      <c r="X198" s="123">
        <f t="shared" si="60"/>
        <v>0.4</v>
      </c>
      <c r="Y198" s="123">
        <f t="shared" si="60"/>
        <v>0.4</v>
      </c>
      <c r="Z198" s="123">
        <f t="shared" si="60"/>
        <v>0.4</v>
      </c>
      <c r="AA198" s="123">
        <f t="shared" si="60"/>
        <v>0.4</v>
      </c>
      <c r="AB198" s="123">
        <f t="shared" si="60"/>
        <v>0.4</v>
      </c>
      <c r="AC198" s="123">
        <f t="shared" si="60"/>
        <v>0.4</v>
      </c>
      <c r="AD198" s="123">
        <f t="shared" si="60"/>
        <v>0.4</v>
      </c>
      <c r="AE198" s="123">
        <f t="shared" si="60"/>
        <v>0.4</v>
      </c>
      <c r="AF198" s="123">
        <f t="shared" si="60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8"/>
        <v>0.64</v>
      </c>
      <c r="C199" s="133">
        <v>0.64</v>
      </c>
      <c r="D199" s="133">
        <f t="shared" si="59"/>
        <v>0.64</v>
      </c>
      <c r="E199" s="133">
        <f t="shared" si="59"/>
        <v>0.64</v>
      </c>
      <c r="F199" s="133">
        <f t="shared" si="59"/>
        <v>0.64</v>
      </c>
      <c r="G199" s="133">
        <f t="shared" si="59"/>
        <v>0.64</v>
      </c>
      <c r="H199" s="133">
        <f t="shared" si="59"/>
        <v>0.64</v>
      </c>
      <c r="I199" s="133">
        <f t="shared" si="59"/>
        <v>0.64</v>
      </c>
      <c r="J199" s="133">
        <f t="shared" si="59"/>
        <v>0.64</v>
      </c>
      <c r="K199" s="133">
        <f t="shared" si="59"/>
        <v>0.64</v>
      </c>
      <c r="L199" s="133">
        <f t="shared" si="59"/>
        <v>0.64</v>
      </c>
      <c r="M199" s="133">
        <f t="shared" si="59"/>
        <v>0.64</v>
      </c>
      <c r="N199" s="133">
        <f t="shared" si="59"/>
        <v>0.64</v>
      </c>
      <c r="O199" s="133">
        <f t="shared" si="59"/>
        <v>0.64</v>
      </c>
      <c r="P199" s="133">
        <f t="shared" si="59"/>
        <v>0.64</v>
      </c>
      <c r="Q199" s="133">
        <f t="shared" si="59"/>
        <v>0.64</v>
      </c>
      <c r="R199" s="133">
        <f t="shared" si="59"/>
        <v>0.64</v>
      </c>
      <c r="S199" s="133">
        <f t="shared" si="59"/>
        <v>0.64</v>
      </c>
      <c r="T199" s="133">
        <f t="shared" si="60"/>
        <v>0.64</v>
      </c>
      <c r="U199" s="133">
        <f t="shared" si="60"/>
        <v>0.64</v>
      </c>
      <c r="V199" s="133">
        <f t="shared" si="60"/>
        <v>0.64</v>
      </c>
      <c r="W199" s="133">
        <f t="shared" si="60"/>
        <v>0.64</v>
      </c>
      <c r="X199" s="133">
        <f t="shared" si="60"/>
        <v>0.64</v>
      </c>
      <c r="Y199" s="133">
        <f t="shared" si="60"/>
        <v>0.64</v>
      </c>
      <c r="Z199" s="133">
        <f t="shared" si="60"/>
        <v>0.64</v>
      </c>
      <c r="AA199" s="133">
        <f t="shared" si="60"/>
        <v>0.64</v>
      </c>
      <c r="AB199" s="133">
        <f t="shared" si="60"/>
        <v>0.64</v>
      </c>
      <c r="AC199" s="133">
        <f t="shared" si="60"/>
        <v>0.64</v>
      </c>
      <c r="AD199" s="133">
        <f t="shared" si="60"/>
        <v>0.64</v>
      </c>
      <c r="AE199" s="133">
        <f t="shared" si="60"/>
        <v>0.64</v>
      </c>
      <c r="AF199" s="133">
        <f t="shared" si="60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1">SUM(D194:D199)</f>
        <v>3.54</v>
      </c>
      <c r="E200" s="136">
        <f t="shared" si="61"/>
        <v>3.54</v>
      </c>
      <c r="F200" s="136">
        <f t="shared" si="61"/>
        <v>3.54</v>
      </c>
      <c r="G200" s="136">
        <f t="shared" si="61"/>
        <v>3.54</v>
      </c>
      <c r="H200" s="136">
        <f t="shared" si="61"/>
        <v>3.54</v>
      </c>
      <c r="I200" s="136">
        <f t="shared" si="61"/>
        <v>3.54</v>
      </c>
      <c r="J200" s="136">
        <f t="shared" si="61"/>
        <v>3.54</v>
      </c>
      <c r="K200" s="136">
        <f t="shared" si="61"/>
        <v>3.54</v>
      </c>
      <c r="L200" s="136">
        <f t="shared" si="61"/>
        <v>3.54</v>
      </c>
      <c r="M200" s="136">
        <f>SUM(M194:M199)</f>
        <v>3.54</v>
      </c>
      <c r="N200" s="136">
        <f t="shared" ref="N200:S200" si="62">SUM(N194:N199)</f>
        <v>3.54</v>
      </c>
      <c r="O200" s="136">
        <f t="shared" si="62"/>
        <v>3.54</v>
      </c>
      <c r="P200" s="136">
        <f t="shared" si="62"/>
        <v>3.54</v>
      </c>
      <c r="Q200" s="136">
        <f t="shared" si="62"/>
        <v>3.54</v>
      </c>
      <c r="R200" s="136">
        <f t="shared" si="62"/>
        <v>3.54</v>
      </c>
      <c r="S200" s="136">
        <f t="shared" si="62"/>
        <v>3.54</v>
      </c>
      <c r="T200" s="136">
        <f>SUM(T194:T199)</f>
        <v>3.54</v>
      </c>
      <c r="U200" s="136">
        <f t="shared" ref="U200:AG200" si="63">SUM(U194:U199)</f>
        <v>3.54</v>
      </c>
      <c r="V200" s="136">
        <f t="shared" si="63"/>
        <v>3.54</v>
      </c>
      <c r="W200" s="136">
        <f t="shared" si="63"/>
        <v>3.54</v>
      </c>
      <c r="X200" s="136">
        <f t="shared" si="63"/>
        <v>3.54</v>
      </c>
      <c r="Y200" s="136">
        <f t="shared" si="63"/>
        <v>3.54</v>
      </c>
      <c r="Z200" s="136">
        <f t="shared" si="63"/>
        <v>3.54</v>
      </c>
      <c r="AA200" s="136">
        <f t="shared" si="63"/>
        <v>3.54</v>
      </c>
      <c r="AB200" s="136">
        <f t="shared" si="63"/>
        <v>3.54</v>
      </c>
      <c r="AC200" s="136">
        <f t="shared" si="63"/>
        <v>3.54</v>
      </c>
      <c r="AD200" s="136">
        <f t="shared" si="63"/>
        <v>3.54</v>
      </c>
      <c r="AE200" s="136">
        <f t="shared" si="63"/>
        <v>3.54</v>
      </c>
      <c r="AF200" s="136">
        <f t="shared" si="63"/>
        <v>3.54</v>
      </c>
      <c r="AG200" s="137">
        <f t="shared" si="63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1757.54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28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2079/02/28)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2079/02/28)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4">B75</f>
        <v>1799.24</v>
      </c>
      <c r="U214" s="161">
        <f t="shared" si="64"/>
        <v>1765.0400000000002</v>
      </c>
      <c r="V214" s="161">
        <f t="shared" si="64"/>
        <v>1757.3400000000001</v>
      </c>
      <c r="W214" s="161">
        <f t="shared" si="64"/>
        <v>1729.44</v>
      </c>
      <c r="X214" s="161">
        <f t="shared" si="64"/>
        <v>1710.84</v>
      </c>
      <c r="Y214" s="161">
        <f t="shared" si="64"/>
        <v>1725.8400000000001</v>
      </c>
      <c r="Z214" s="161">
        <f t="shared" si="64"/>
        <v>1723.64</v>
      </c>
      <c r="AA214" s="161">
        <f t="shared" si="64"/>
        <v>1734.14</v>
      </c>
      <c r="AB214" s="161">
        <f t="shared" si="64"/>
        <v>1746.3400000000001</v>
      </c>
      <c r="AC214" s="161">
        <f t="shared" si="64"/>
        <v>1744.4399999999998</v>
      </c>
      <c r="AD214" s="161">
        <f t="shared" si="64"/>
        <v>1738.6399999999999</v>
      </c>
      <c r="AE214" s="161">
        <f t="shared" si="64"/>
        <v>1755.54</v>
      </c>
      <c r="AF214" s="161">
        <f t="shared" si="64"/>
        <v>1757.54</v>
      </c>
      <c r="AG214" s="161">
        <f t="shared" si="64"/>
        <v>1740.54</v>
      </c>
      <c r="AH214" s="161">
        <f t="shared" si="64"/>
        <v>1732.14</v>
      </c>
      <c r="AI214" s="161">
        <f t="shared" si="64"/>
        <v>1770.74</v>
      </c>
      <c r="AJ214" s="161">
        <f t="shared" si="64"/>
        <v>1775.3400000000001</v>
      </c>
      <c r="AK214" s="161">
        <f t="shared" si="64"/>
        <v>1757.44</v>
      </c>
      <c r="AL214" s="161">
        <f t="shared" si="64"/>
        <v>1770.44</v>
      </c>
      <c r="AM214" s="161">
        <f t="shared" si="64"/>
        <v>1691.54</v>
      </c>
      <c r="AN214" s="161">
        <f t="shared" si="64"/>
        <v>1686.24</v>
      </c>
      <c r="AO214" s="161">
        <f t="shared" si="64"/>
        <v>1687.64</v>
      </c>
      <c r="AP214" s="161">
        <f t="shared" si="64"/>
        <v>1759.64</v>
      </c>
      <c r="AQ214" s="161">
        <f t="shared" si="64"/>
        <v>1736.64</v>
      </c>
      <c r="AR214" s="161">
        <f t="shared" si="64"/>
        <v>1744.64</v>
      </c>
      <c r="AS214" s="161">
        <f t="shared" si="64"/>
        <v>1751.64</v>
      </c>
      <c r="AT214" s="161">
        <f t="shared" si="64"/>
        <v>1797.0400000000002</v>
      </c>
      <c r="AU214" s="161">
        <f t="shared" si="64"/>
        <v>1799.5400000000002</v>
      </c>
      <c r="AV214" s="161">
        <f t="shared" si="64"/>
        <v>1765.5400000000002</v>
      </c>
      <c r="AW214" s="161">
        <f t="shared" si="64"/>
        <v>1781.0400000000002</v>
      </c>
      <c r="AX214" s="161">
        <f t="shared" si="64"/>
        <v>1766.5400000000002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5">C199</f>
        <v>0.64</v>
      </c>
      <c r="C235" s="164">
        <f t="shared" si="65"/>
        <v>0.64</v>
      </c>
      <c r="D235" s="164">
        <f t="shared" si="65"/>
        <v>0.64</v>
      </c>
      <c r="E235" s="164">
        <f t="shared" si="65"/>
        <v>0.64</v>
      </c>
      <c r="F235" s="164">
        <f t="shared" si="65"/>
        <v>0.64</v>
      </c>
      <c r="G235" s="164">
        <f t="shared" si="65"/>
        <v>0.64</v>
      </c>
      <c r="H235" s="164">
        <f t="shared" si="65"/>
        <v>0.64</v>
      </c>
      <c r="I235" s="164">
        <f t="shared" si="65"/>
        <v>0.64</v>
      </c>
      <c r="J235" s="164">
        <f t="shared" si="65"/>
        <v>0.64</v>
      </c>
      <c r="K235" s="164">
        <f t="shared" si="65"/>
        <v>0.64</v>
      </c>
      <c r="L235" s="164">
        <f t="shared" si="65"/>
        <v>0.64</v>
      </c>
      <c r="M235" s="164">
        <f t="shared" si="65"/>
        <v>0.64</v>
      </c>
      <c r="N235" s="164">
        <f t="shared" si="65"/>
        <v>0.64</v>
      </c>
      <c r="O235" s="164">
        <f t="shared" si="65"/>
        <v>0.64</v>
      </c>
      <c r="P235" s="164">
        <f t="shared" si="65"/>
        <v>0.64</v>
      </c>
      <c r="Q235" s="164">
        <f t="shared" si="65"/>
        <v>0.64</v>
      </c>
      <c r="R235" s="164">
        <f t="shared" si="65"/>
        <v>0.64</v>
      </c>
      <c r="S235" s="164">
        <f t="shared" si="65"/>
        <v>0.64</v>
      </c>
      <c r="T235" s="164">
        <f t="shared" si="65"/>
        <v>0.64</v>
      </c>
      <c r="U235" s="164">
        <f t="shared" si="65"/>
        <v>0.64</v>
      </c>
      <c r="V235" s="164">
        <f t="shared" si="65"/>
        <v>0.64</v>
      </c>
      <c r="W235" s="164">
        <f t="shared" si="65"/>
        <v>0.64</v>
      </c>
      <c r="X235" s="164">
        <f t="shared" si="65"/>
        <v>0.64</v>
      </c>
      <c r="Y235" s="164">
        <f t="shared" si="65"/>
        <v>0.64</v>
      </c>
      <c r="Z235" s="164">
        <f t="shared" si="65"/>
        <v>0.64</v>
      </c>
      <c r="AA235" s="164">
        <f t="shared" si="65"/>
        <v>0.64</v>
      </c>
      <c r="AB235" s="164">
        <f t="shared" si="65"/>
        <v>0.64</v>
      </c>
      <c r="AC235" s="164">
        <f t="shared" si="65"/>
        <v>0.64</v>
      </c>
      <c r="AD235" s="164">
        <f t="shared" si="65"/>
        <v>0.64</v>
      </c>
      <c r="AE235" s="164">
        <f t="shared" si="6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6">IF(C203&lt;100,"",C203-520)</f>
        <v/>
      </c>
      <c r="D236" s="107" t="str">
        <f t="shared" si="66"/>
        <v/>
      </c>
      <c r="E236" s="107" t="str">
        <f t="shared" si="66"/>
        <v/>
      </c>
      <c r="F236" s="107" t="str">
        <f t="shared" si="66"/>
        <v/>
      </c>
      <c r="G236" s="107" t="str">
        <f t="shared" si="66"/>
        <v/>
      </c>
      <c r="H236" s="107" t="str">
        <f t="shared" si="66"/>
        <v/>
      </c>
      <c r="I236" s="107" t="str">
        <f t="shared" si="66"/>
        <v/>
      </c>
      <c r="J236" s="107" t="str">
        <f t="shared" si="66"/>
        <v/>
      </c>
      <c r="K236" s="107" t="str">
        <f t="shared" si="66"/>
        <v/>
      </c>
      <c r="L236" s="107" t="str">
        <f t="shared" si="66"/>
        <v/>
      </c>
      <c r="M236" s="107" t="str">
        <f t="shared" si="66"/>
        <v/>
      </c>
      <c r="N236" s="107" t="str">
        <f t="shared" si="66"/>
        <v/>
      </c>
      <c r="O236" s="107" t="str">
        <f t="shared" si="66"/>
        <v/>
      </c>
      <c r="P236" s="107" t="str">
        <f t="shared" si="66"/>
        <v/>
      </c>
      <c r="Q236" s="107" t="str">
        <f t="shared" si="66"/>
        <v/>
      </c>
      <c r="R236" s="107" t="str">
        <f t="shared" si="66"/>
        <v/>
      </c>
      <c r="S236" s="107" t="str">
        <f t="shared" si="66"/>
        <v/>
      </c>
      <c r="T236" s="107" t="str">
        <f t="shared" si="66"/>
        <v/>
      </c>
      <c r="U236" s="107" t="str">
        <f t="shared" si="66"/>
        <v/>
      </c>
      <c r="V236" s="107" t="str">
        <f t="shared" si="66"/>
        <v/>
      </c>
      <c r="W236" s="107" t="str">
        <f t="shared" si="66"/>
        <v/>
      </c>
      <c r="X236" s="107" t="str">
        <f t="shared" si="66"/>
        <v/>
      </c>
      <c r="Y236" s="107" t="str">
        <f t="shared" si="66"/>
        <v/>
      </c>
      <c r="Z236" s="107" t="str">
        <f t="shared" si="66"/>
        <v/>
      </c>
      <c r="AA236" s="107" t="str">
        <f t="shared" si="66"/>
        <v/>
      </c>
      <c r="AB236" s="107" t="str">
        <f t="shared" si="66"/>
        <v/>
      </c>
      <c r="AC236" s="107" t="str">
        <f t="shared" si="66"/>
        <v/>
      </c>
      <c r="AD236" s="107" t="str">
        <f t="shared" si="66"/>
        <v/>
      </c>
      <c r="AE236" s="107" t="str">
        <f t="shared" si="66"/>
        <v/>
      </c>
      <c r="AF236" s="107" t="str">
        <f t="shared" si="6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7">IF(B204&lt;100,"",B204-620)</f>
        <v/>
      </c>
      <c r="C237" s="107" t="str">
        <f t="shared" si="67"/>
        <v/>
      </c>
      <c r="D237" s="107" t="str">
        <f t="shared" si="67"/>
        <v/>
      </c>
      <c r="E237" s="107" t="str">
        <f t="shared" si="67"/>
        <v/>
      </c>
      <c r="F237" s="107" t="str">
        <f t="shared" si="67"/>
        <v/>
      </c>
      <c r="G237" s="107" t="str">
        <f t="shared" si="67"/>
        <v/>
      </c>
      <c r="H237" s="107" t="str">
        <f t="shared" si="67"/>
        <v/>
      </c>
      <c r="I237" s="107" t="str">
        <f t="shared" si="67"/>
        <v/>
      </c>
      <c r="J237" s="107" t="str">
        <f t="shared" si="67"/>
        <v/>
      </c>
      <c r="K237" s="107" t="str">
        <f t="shared" si="67"/>
        <v/>
      </c>
      <c r="L237" s="107" t="str">
        <f t="shared" si="67"/>
        <v/>
      </c>
      <c r="M237" s="107" t="str">
        <f t="shared" si="67"/>
        <v/>
      </c>
      <c r="N237" s="107" t="str">
        <f t="shared" si="67"/>
        <v/>
      </c>
      <c r="O237" s="107" t="str">
        <f t="shared" si="67"/>
        <v/>
      </c>
      <c r="P237" s="107" t="str">
        <f t="shared" si="67"/>
        <v/>
      </c>
      <c r="Q237" s="107" t="str">
        <f t="shared" si="67"/>
        <v/>
      </c>
      <c r="R237" s="107" t="str">
        <f t="shared" si="67"/>
        <v/>
      </c>
      <c r="S237" s="107" t="str">
        <f t="shared" si="67"/>
        <v/>
      </c>
      <c r="T237" s="107" t="str">
        <f t="shared" si="67"/>
        <v/>
      </c>
      <c r="U237" s="107" t="str">
        <f t="shared" si="67"/>
        <v/>
      </c>
      <c r="V237" s="107" t="str">
        <f t="shared" si="67"/>
        <v/>
      </c>
      <c r="W237" s="107" t="str">
        <f t="shared" si="67"/>
        <v/>
      </c>
      <c r="X237" s="107" t="str">
        <f t="shared" si="67"/>
        <v/>
      </c>
      <c r="Y237" s="107" t="str">
        <f t="shared" si="67"/>
        <v/>
      </c>
      <c r="Z237" s="107" t="str">
        <f t="shared" si="67"/>
        <v/>
      </c>
      <c r="AA237" s="107" t="str">
        <f t="shared" si="67"/>
        <v/>
      </c>
      <c r="AB237" s="107" t="str">
        <f t="shared" si="67"/>
        <v/>
      </c>
      <c r="AC237" s="107" t="str">
        <f t="shared" si="67"/>
        <v/>
      </c>
      <c r="AD237" s="107" t="str">
        <f t="shared" si="67"/>
        <v/>
      </c>
      <c r="AE237" s="107" t="str">
        <f t="shared" si="67"/>
        <v/>
      </c>
      <c r="AF237" s="107" t="str">
        <f t="shared" si="6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8">IF(B205&lt;100,"",B205-330)</f>
        <v/>
      </c>
      <c r="C238" s="107" t="str">
        <f t="shared" si="68"/>
        <v/>
      </c>
      <c r="D238" s="107" t="str">
        <f t="shared" si="68"/>
        <v/>
      </c>
      <c r="E238" s="107" t="str">
        <f t="shared" si="68"/>
        <v/>
      </c>
      <c r="F238" s="107" t="str">
        <f t="shared" si="68"/>
        <v/>
      </c>
      <c r="G238" s="107" t="str">
        <f t="shared" si="68"/>
        <v/>
      </c>
      <c r="H238" s="107" t="str">
        <f t="shared" si="68"/>
        <v/>
      </c>
      <c r="I238" s="107" t="str">
        <f t="shared" si="68"/>
        <v/>
      </c>
      <c r="J238" s="107" t="str">
        <f t="shared" si="68"/>
        <v/>
      </c>
      <c r="K238" s="107" t="str">
        <f t="shared" si="68"/>
        <v/>
      </c>
      <c r="L238" s="107" t="str">
        <f t="shared" si="68"/>
        <v/>
      </c>
      <c r="M238" s="107" t="str">
        <f t="shared" si="68"/>
        <v/>
      </c>
      <c r="N238" s="107" t="str">
        <f t="shared" si="68"/>
        <v/>
      </c>
      <c r="O238" s="107" t="str">
        <f t="shared" si="68"/>
        <v/>
      </c>
      <c r="P238" s="107" t="str">
        <f t="shared" si="68"/>
        <v/>
      </c>
      <c r="Q238" s="107" t="str">
        <f t="shared" si="68"/>
        <v/>
      </c>
      <c r="R238" s="107" t="str">
        <f t="shared" si="68"/>
        <v/>
      </c>
      <c r="S238" s="107" t="str">
        <f t="shared" si="68"/>
        <v/>
      </c>
      <c r="T238" s="107" t="str">
        <f t="shared" si="68"/>
        <v/>
      </c>
      <c r="U238" s="107" t="str">
        <f t="shared" si="68"/>
        <v/>
      </c>
      <c r="V238" s="107" t="str">
        <f t="shared" si="68"/>
        <v/>
      </c>
      <c r="W238" s="107" t="str">
        <f t="shared" si="68"/>
        <v/>
      </c>
      <c r="X238" s="107" t="str">
        <f t="shared" si="68"/>
        <v/>
      </c>
      <c r="Y238" s="107" t="str">
        <f t="shared" si="68"/>
        <v/>
      </c>
      <c r="Z238" s="107" t="str">
        <f t="shared" si="68"/>
        <v/>
      </c>
      <c r="AA238" s="107" t="str">
        <f t="shared" si="68"/>
        <v/>
      </c>
      <c r="AB238" s="107" t="str">
        <f t="shared" si="68"/>
        <v/>
      </c>
      <c r="AC238" s="107" t="str">
        <f t="shared" si="68"/>
        <v/>
      </c>
      <c r="AD238" s="107" t="str">
        <f t="shared" si="68"/>
        <v/>
      </c>
      <c r="AE238" s="107" t="str">
        <f t="shared" si="68"/>
        <v/>
      </c>
      <c r="AF238" s="107" t="str">
        <f t="shared" si="6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9">IF(C206&lt;100,"",C206-1500)</f>
        <v/>
      </c>
      <c r="D239" s="107" t="str">
        <f t="shared" si="69"/>
        <v/>
      </c>
      <c r="E239" s="107" t="str">
        <f t="shared" si="69"/>
        <v/>
      </c>
      <c r="F239" s="107" t="str">
        <f t="shared" si="69"/>
        <v/>
      </c>
      <c r="G239" s="107" t="str">
        <f t="shared" si="69"/>
        <v/>
      </c>
      <c r="H239" s="107" t="str">
        <f t="shared" si="69"/>
        <v/>
      </c>
      <c r="I239" s="107" t="str">
        <f t="shared" si="69"/>
        <v/>
      </c>
      <c r="J239" s="107" t="str">
        <f t="shared" si="69"/>
        <v/>
      </c>
      <c r="K239" s="107" t="str">
        <f t="shared" si="69"/>
        <v/>
      </c>
      <c r="L239" s="107" t="str">
        <f t="shared" si="69"/>
        <v/>
      </c>
      <c r="M239" s="107" t="str">
        <f t="shared" si="69"/>
        <v/>
      </c>
      <c r="N239" s="107" t="str">
        <f t="shared" si="69"/>
        <v/>
      </c>
      <c r="O239" s="107" t="str">
        <f t="shared" si="69"/>
        <v/>
      </c>
      <c r="P239" s="107" t="str">
        <f t="shared" si="69"/>
        <v/>
      </c>
      <c r="Q239" s="107" t="str">
        <f t="shared" si="69"/>
        <v/>
      </c>
      <c r="R239" s="107" t="str">
        <f t="shared" si="69"/>
        <v/>
      </c>
      <c r="S239" s="107" t="str">
        <f t="shared" si="69"/>
        <v/>
      </c>
      <c r="T239" s="107" t="str">
        <f t="shared" si="69"/>
        <v/>
      </c>
      <c r="U239" s="107" t="str">
        <f t="shared" si="69"/>
        <v/>
      </c>
      <c r="V239" s="107" t="str">
        <f t="shared" si="69"/>
        <v/>
      </c>
      <c r="W239" s="107" t="str">
        <f t="shared" si="69"/>
        <v/>
      </c>
      <c r="X239" s="107" t="str">
        <f t="shared" si="69"/>
        <v/>
      </c>
      <c r="Y239" s="107" t="str">
        <f t="shared" si="69"/>
        <v/>
      </c>
      <c r="Z239" s="107" t="str">
        <f t="shared" si="69"/>
        <v/>
      </c>
      <c r="AA239" s="107" t="str">
        <f t="shared" si="69"/>
        <v/>
      </c>
      <c r="AB239" s="107" t="str">
        <f t="shared" si="69"/>
        <v/>
      </c>
      <c r="AC239" s="107" t="str">
        <f t="shared" si="69"/>
        <v/>
      </c>
      <c r="AD239" s="107" t="str">
        <f t="shared" si="69"/>
        <v/>
      </c>
      <c r="AE239" s="107" t="str">
        <f t="shared" si="69"/>
        <v/>
      </c>
      <c r="AF239" s="107" t="str">
        <f t="shared" si="6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V11:AF11">
    <cfRule type="expression" dxfId="1132" priority="210">
      <formula>B$9&gt;=20/24</formula>
    </cfRule>
    <cfRule type="expression" dxfId="1131" priority="211">
      <formula>AND(B$9&gt;=14/24,B$9&lt;20/24)</formula>
    </cfRule>
    <cfRule type="expression" dxfId="1130" priority="212">
      <formula>AND(B$9&gt;=8/24,B$9&lt;14/24)</formula>
    </cfRule>
    <cfRule type="expression" dxfId="1129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U37:AF37">
    <cfRule type="expression" dxfId="1128" priority="205">
      <formula>U$9&gt;=20/24</formula>
    </cfRule>
    <cfRule type="expression" dxfId="1127" priority="206">
      <formula>AND(U$9&gt;=14/24,U$9&lt;20/24)</formula>
    </cfRule>
    <cfRule type="expression" dxfId="1126" priority="207">
      <formula>AND(U$9&gt;=8/24,U$9&lt;14/24)</formula>
    </cfRule>
    <cfRule type="expression" dxfId="1125" priority="208">
      <formula>U$9&lt;8/24</formula>
    </cfRule>
  </conditionalFormatting>
  <conditionalFormatting sqref="AG51 Q11:AC11 B12:AC16 AD11:AF16 U37:AF37">
    <cfRule type="expression" dxfId="1124" priority="204">
      <formula>B11&gt;$AG11</formula>
    </cfRule>
  </conditionalFormatting>
  <conditionalFormatting sqref="A101:A157 A84:A97 A11:A14 A45:A72 A80:A82 A74:A78 A35:A43 A170:A200 A16:A32">
    <cfRule type="expression" dxfId="1123" priority="203">
      <formula>$AH11=0</formula>
    </cfRule>
  </conditionalFormatting>
  <conditionalFormatting sqref="A98">
    <cfRule type="expression" dxfId="1122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121" priority="200">
      <formula>$AH34=0</formula>
    </cfRule>
  </conditionalFormatting>
  <conditionalFormatting sqref="A83">
    <cfRule type="expression" dxfId="1120" priority="199">
      <formula>$AH83=0</formula>
    </cfRule>
  </conditionalFormatting>
  <conditionalFormatting sqref="A15">
    <cfRule type="expression" dxfId="1119" priority="198">
      <formula>$AH15=0</formula>
    </cfRule>
  </conditionalFormatting>
  <conditionalFormatting sqref="A164:A169">
    <cfRule type="expression" dxfId="1118" priority="197">
      <formula>$AH164=0</formula>
    </cfRule>
  </conditionalFormatting>
  <conditionalFormatting sqref="A158:A163">
    <cfRule type="expression" dxfId="1117" priority="196">
      <formula>$AH158=0</formula>
    </cfRule>
  </conditionalFormatting>
  <conditionalFormatting sqref="A44">
    <cfRule type="expression" dxfId="1116" priority="195">
      <formula>$AH44=0</formula>
    </cfRule>
  </conditionalFormatting>
  <conditionalFormatting sqref="A79">
    <cfRule type="expression" dxfId="1115" priority="194">
      <formula>$AH79=0</formula>
    </cfRule>
  </conditionalFormatting>
  <conditionalFormatting sqref="A73">
    <cfRule type="expression" dxfId="1114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113" priority="189">
      <formula>C$9&gt;=20/24</formula>
    </cfRule>
    <cfRule type="expression" dxfId="1112" priority="190">
      <formula>AND(C$9&gt;=14/24,C$9&lt;20/24)</formula>
    </cfRule>
    <cfRule type="expression" dxfId="1111" priority="191">
      <formula>AND(C$9&gt;=8/24,C$9&lt;14/24)</formula>
    </cfRule>
    <cfRule type="expression" dxfId="1110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09" priority="217">
      <formula>C$9&gt;=20/24</formula>
    </cfRule>
    <cfRule type="expression" dxfId="1108" priority="218">
      <formula>AND(C$9&gt;=14/24,C$9&lt;20/24)</formula>
    </cfRule>
    <cfRule type="expression" dxfId="1107" priority="219">
      <formula>AND(C$9&gt;=8/24,C$9&lt;14/24)</formula>
    </cfRule>
    <cfRule type="expression" dxfId="1106" priority="220">
      <formula>C$9&lt;8/24</formula>
    </cfRule>
  </conditionalFormatting>
  <conditionalFormatting sqref="A201">
    <cfRule type="expression" dxfId="1105" priority="221">
      <formula>$AH201=0</formula>
    </cfRule>
  </conditionalFormatting>
  <conditionalFormatting sqref="AG213">
    <cfRule type="expression" dxfId="1104" priority="222">
      <formula>B$9&gt;=20/24</formula>
    </cfRule>
    <cfRule type="expression" dxfId="1103" priority="223">
      <formula>AND(B$9&gt;=14/24,B$9&lt;20/24)</formula>
    </cfRule>
    <cfRule type="expression" dxfId="1102" priority="224">
      <formula>AND(B$9&gt;=8/24,B$9&lt;14/24)</formula>
    </cfRule>
    <cfRule type="expression" dxfId="1101" priority="225">
      <formula>B$9&lt;8/24</formula>
    </cfRule>
  </conditionalFormatting>
  <conditionalFormatting sqref="S8">
    <cfRule type="expression" dxfId="1100" priority="184">
      <formula>U$9&gt;=20/24</formula>
    </cfRule>
    <cfRule type="expression" dxfId="1099" priority="185">
      <formula>AND(U$9&gt;=14/24,U$9&lt;20/24)</formula>
    </cfRule>
    <cfRule type="expression" dxfId="1098" priority="186">
      <formula>AND(U$9&gt;=8/24,U$9&lt;14/24)</formula>
    </cfRule>
    <cfRule type="expression" dxfId="1097" priority="187">
      <formula>U$9&lt;8/24</formula>
    </cfRule>
  </conditionalFormatting>
  <conditionalFormatting sqref="AB8">
    <cfRule type="expression" dxfId="1096" priority="180">
      <formula>AD$9&gt;=20/24</formula>
    </cfRule>
    <cfRule type="expression" dxfId="1095" priority="181">
      <formula>AND(AD$9&gt;=14/24,AD$9&lt;20/24)</formula>
    </cfRule>
    <cfRule type="expression" dxfId="1094" priority="182">
      <formula>AND(AD$9&gt;=8/24,AD$9&lt;14/24)</formula>
    </cfRule>
    <cfRule type="expression" dxfId="1093" priority="183">
      <formula>AD$9&lt;8/24</formula>
    </cfRule>
  </conditionalFormatting>
  <conditionalFormatting sqref="AH213:AX213">
    <cfRule type="expression" dxfId="1092" priority="226">
      <formula>AG$9&gt;=20/24</formula>
    </cfRule>
    <cfRule type="expression" dxfId="1091" priority="227">
      <formula>AND(AG$9&gt;=14/24,AG$9&lt;20/24)</formula>
    </cfRule>
    <cfRule type="expression" dxfId="1090" priority="228">
      <formula>AND(AG$9&gt;=8/24,AG$9&lt;14/24)</formula>
    </cfRule>
    <cfRule type="expression" dxfId="1089" priority="229">
      <formula>AG$9&lt;8/24</formula>
    </cfRule>
  </conditionalFormatting>
  <conditionalFormatting sqref="T213">
    <cfRule type="expression" dxfId="1088" priority="230">
      <formula>AX$9&gt;=20/24</formula>
    </cfRule>
    <cfRule type="expression" dxfId="1087" priority="231">
      <formula>AND(AX$9&gt;=14/24,AX$9&lt;20/24)</formula>
    </cfRule>
    <cfRule type="expression" dxfId="1086" priority="232">
      <formula>AND(AX$9&gt;=8/24,AX$9&lt;14/24)</formula>
    </cfRule>
    <cfRule type="expression" dxfId="1085" priority="233">
      <formula>AX$9&lt;8/24</formula>
    </cfRule>
  </conditionalFormatting>
  <conditionalFormatting sqref="A99:A100">
    <cfRule type="expression" dxfId="1084" priority="179">
      <formula>$AH99=0</formula>
    </cfRule>
  </conditionalFormatting>
  <conditionalFormatting sqref="E40:L41 C57:AF57 V40:AF41 AB36:AF36">
    <cfRule type="expression" dxfId="1083" priority="175">
      <formula>C$9&gt;=20/24</formula>
    </cfRule>
    <cfRule type="expression" dxfId="1082" priority="176">
      <formula>AND(C$9&gt;=14/24,C$9&lt;20/24)</formula>
    </cfRule>
    <cfRule type="expression" dxfId="1081" priority="177">
      <formula>AND(C$9&gt;=8/24,C$9&lt;14/24)</formula>
    </cfRule>
    <cfRule type="expression" dxfId="1080" priority="178">
      <formula>C$9&lt;8/24</formula>
    </cfRule>
  </conditionalFormatting>
  <conditionalFormatting sqref="E39:L39 V39:AF39">
    <cfRule type="expression" dxfId="1079" priority="171">
      <formula>E$9&gt;=20/24</formula>
    </cfRule>
    <cfRule type="expression" dxfId="1078" priority="172">
      <formula>AND(E$9&gt;=14/24,E$9&lt;20/24)</formula>
    </cfRule>
    <cfRule type="expression" dxfId="1077" priority="173">
      <formula>AND(E$9&gt;=8/24,E$9&lt;14/24)</formula>
    </cfRule>
    <cfRule type="expression" dxfId="1076" priority="174">
      <formula>E$9&lt;8/24</formula>
    </cfRule>
  </conditionalFormatting>
  <conditionalFormatting sqref="E39:L41 V39:AF41 AB36:AF36">
    <cfRule type="expression" dxfId="1075" priority="170">
      <formula>E36&gt;$AG36</formula>
    </cfRule>
  </conditionalFormatting>
  <conditionalFormatting sqref="C81:AF81 C69:AF72 M60:O62 AE22:AF22 M37:R37 C58:T58 C53:AF56 N63:O67 N36:R36 S59:T67 C59:R59 S36:T37 P60:T67 Q11:U11 U36:AA36 C85:AF91 P16:AF16 V12:AF14 Q26:AF26 P28:AF28 U58:AF67">
    <cfRule type="expression" dxfId="1074" priority="166">
      <formula>C$9&gt;=20/24</formula>
    </cfRule>
    <cfRule type="expression" dxfId="1073" priority="167">
      <formula>AND(C$9&gt;=14/24,C$9&lt;20/24)</formula>
    </cfRule>
    <cfRule type="expression" dxfId="1072" priority="168">
      <formula>AND(C$9&gt;=8/24,C$9&lt;14/24)</formula>
    </cfRule>
    <cfRule type="expression" dxfId="1071" priority="169">
      <formula>C$9&lt;8/24</formula>
    </cfRule>
  </conditionalFormatting>
  <conditionalFormatting sqref="AC42:AF43 AE22:AF22 C51:AF51 M37:R37 C53:AF56 E42:L43 N36:R36 S36:T37 Q11:U11 U36:AA36 Q26:AF26 P28:AF28">
    <cfRule type="expression" dxfId="1070" priority="157">
      <formula>C11&gt;$AG11</formula>
    </cfRule>
  </conditionalFormatting>
  <conditionalFormatting sqref="V15:AF15">
    <cfRule type="expression" dxfId="1069" priority="149">
      <formula>V$9&gt;=20/24</formula>
    </cfRule>
    <cfRule type="expression" dxfId="1068" priority="150">
      <formula>AND(V$9&gt;=14/24,V$9&lt;20/24)</formula>
    </cfRule>
    <cfRule type="expression" dxfId="1067" priority="151">
      <formula>AND(V$9&gt;=8/24,V$9&lt;14/24)</formula>
    </cfRule>
    <cfRule type="expression" dxfId="1066" priority="152">
      <formula>V$9&lt;8/24</formula>
    </cfRule>
  </conditionalFormatting>
  <conditionalFormatting sqref="V42:AB43 AD44:AF46">
    <cfRule type="expression" dxfId="1065" priority="136">
      <formula>V$9&gt;=20/24</formula>
    </cfRule>
    <cfRule type="expression" dxfId="1064" priority="137">
      <formula>AND(V$9&gt;=14/24,V$9&lt;20/24)</formula>
    </cfRule>
    <cfRule type="expression" dxfId="1063" priority="138">
      <formula>AND(V$9&gt;=8/24,V$9&lt;14/24)</formula>
    </cfRule>
    <cfRule type="expression" dxfId="1062" priority="139">
      <formula>V$9&lt;8/24</formula>
    </cfRule>
  </conditionalFormatting>
  <conditionalFormatting sqref="V42:AB43 AD44:AF46">
    <cfRule type="expression" dxfId="1061" priority="135">
      <formula>V42&gt;$AG42</formula>
    </cfRule>
  </conditionalFormatting>
  <conditionalFormatting sqref="M39:U44 V44:AC47 AD47:AF47">
    <cfRule type="expression" dxfId="1060" priority="131">
      <formula>M$9&gt;=20/24</formula>
    </cfRule>
    <cfRule type="expression" dxfId="1059" priority="132">
      <formula>AND(M$9&gt;=14/24,M$9&lt;20/24)</formula>
    </cfRule>
    <cfRule type="expression" dxfId="1058" priority="133">
      <formula>AND(M$9&gt;=8/24,M$9&lt;14/24)</formula>
    </cfRule>
    <cfRule type="expression" dxfId="1057" priority="134">
      <formula>M$9&lt;8/24</formula>
    </cfRule>
  </conditionalFormatting>
  <conditionalFormatting sqref="M39:U44 V44:AC47 AD47:AF47">
    <cfRule type="expression" dxfId="1056" priority="130">
      <formula>M39&gt;$AG39</formula>
    </cfRule>
  </conditionalFormatting>
  <conditionalFormatting sqref="AF23 Q17:AF17">
    <cfRule type="expression" dxfId="1055" priority="122">
      <formula>Q$9&gt;=20/24</formula>
    </cfRule>
    <cfRule type="expression" dxfId="1054" priority="123">
      <formula>AND(Q$9&gt;=14/24,Q$9&lt;20/24)</formula>
    </cfRule>
    <cfRule type="expression" dxfId="1053" priority="124">
      <formula>AND(Q$9&gt;=8/24,Q$9&lt;14/24)</formula>
    </cfRule>
    <cfRule type="expression" dxfId="1052" priority="125">
      <formula>Q$9&lt;8/24</formula>
    </cfRule>
  </conditionalFormatting>
  <conditionalFormatting sqref="AF23 Q17:AF17">
    <cfRule type="expression" dxfId="1051" priority="113">
      <formula>Q17&gt;$AG17</formula>
    </cfRule>
  </conditionalFormatting>
  <conditionalFormatting sqref="E44:L46 M45:U46 E48:AF50">
    <cfRule type="expression" dxfId="1050" priority="82">
      <formula>E$9&gt;=20/24</formula>
    </cfRule>
    <cfRule type="expression" dxfId="1049" priority="83">
      <formula>AND(E$9&gt;=14/24,E$9&lt;20/24)</formula>
    </cfRule>
    <cfRule type="expression" dxfId="1048" priority="84">
      <formula>AND(E$9&gt;=8/24,E$9&lt;14/24)</formula>
    </cfRule>
    <cfRule type="expression" dxfId="1047" priority="85">
      <formula>E$9&lt;8/24</formula>
    </cfRule>
  </conditionalFormatting>
  <conditionalFormatting sqref="E44:L46 M45:U46 E48:AF50">
    <cfRule type="expression" dxfId="1046" priority="81">
      <formula>E44&gt;$AG44</formula>
    </cfRule>
  </conditionalFormatting>
  <conditionalFormatting sqref="B94:B100 B74:AF74 B82:AF82 B11:P11">
    <cfRule type="expression" dxfId="1045" priority="68">
      <formula>B$9&gt;=20/24</formula>
    </cfRule>
    <cfRule type="expression" dxfId="1044" priority="69">
      <formula>AND(B$9&gt;=14/24,B$9&lt;20/24)</formula>
    </cfRule>
    <cfRule type="expression" dxfId="1043" priority="70">
      <formula>AND(B$9&gt;=8/24,B$9&lt;14/24)</formula>
    </cfRule>
    <cfRule type="expression" dxfId="1042" priority="71">
      <formula>B$9&lt;8/24</formula>
    </cfRule>
  </conditionalFormatting>
  <conditionalFormatting sqref="B37:L37">
    <cfRule type="expression" dxfId="1041" priority="64">
      <formula>B$9&gt;=20/24</formula>
    </cfRule>
    <cfRule type="expression" dxfId="1040" priority="65">
      <formula>AND(B$9&gt;=14/24,B$9&lt;20/24)</formula>
    </cfRule>
    <cfRule type="expression" dxfId="1039" priority="66">
      <formula>AND(B$9&gt;=8/24,B$9&lt;14/24)</formula>
    </cfRule>
    <cfRule type="expression" dxfId="1038" priority="67">
      <formula>B$9&lt;8/24</formula>
    </cfRule>
  </conditionalFormatting>
  <conditionalFormatting sqref="B37:L37 B11:P11">
    <cfRule type="expression" dxfId="1037" priority="63">
      <formula>B11&gt;$AG11</formula>
    </cfRule>
  </conditionalFormatting>
  <conditionalFormatting sqref="B84">
    <cfRule type="expression" dxfId="1036" priority="59">
      <formula>B$9&gt;=20/24</formula>
    </cfRule>
    <cfRule type="expression" dxfId="1035" priority="60">
      <formula>AND(B$9&gt;=14/24,B$9&lt;20/24)</formula>
    </cfRule>
    <cfRule type="expression" dxfId="1034" priority="61">
      <formula>AND(B$9&gt;=8/24,B$9&lt;14/24)</formula>
    </cfRule>
    <cfRule type="expression" dxfId="1033" priority="62">
      <formula>B$9&lt;8/24</formula>
    </cfRule>
  </conditionalFormatting>
  <conditionalFormatting sqref="B57 B40:D41 B36:M36">
    <cfRule type="expression" dxfId="1032" priority="55">
      <formula>B$9&gt;=20/24</formula>
    </cfRule>
    <cfRule type="expression" dxfId="1031" priority="56">
      <formula>AND(B$9&gt;=14/24,B$9&lt;20/24)</formula>
    </cfRule>
    <cfRule type="expression" dxfId="1030" priority="57">
      <formula>AND(B$9&gt;=8/24,B$9&lt;14/24)</formula>
    </cfRule>
    <cfRule type="expression" dxfId="1029" priority="58">
      <formula>B$9&lt;8/24</formula>
    </cfRule>
  </conditionalFormatting>
  <conditionalFormatting sqref="B39:D39">
    <cfRule type="expression" dxfId="1028" priority="51">
      <formula>B$9&gt;=20/24</formula>
    </cfRule>
    <cfRule type="expression" dxfId="1027" priority="52">
      <formula>AND(B$9&gt;=14/24,B$9&lt;20/24)</formula>
    </cfRule>
    <cfRule type="expression" dxfId="1026" priority="53">
      <formula>AND(B$9&gt;=8/24,B$9&lt;14/24)</formula>
    </cfRule>
    <cfRule type="expression" dxfId="1025" priority="54">
      <formula>B$9&lt;8/24</formula>
    </cfRule>
  </conditionalFormatting>
  <conditionalFormatting sqref="B39:D41 B36:M36">
    <cfRule type="expression" dxfId="1024" priority="50">
      <formula>B36&gt;$AG36</formula>
    </cfRule>
  </conditionalFormatting>
  <conditionalFormatting sqref="B85:B91 B53:B56 B58:B67 B69:B73 B75:AF75 C73:AF73 B81 B83:AF83 C60:L67 M63:M67 B16:O16 B28:O31 B24:P26 B12:U14 B18:AD22 AE18:AF21 Q24:AF25 P29:AF31">
    <cfRule type="expression" dxfId="1023" priority="46">
      <formula>B$9&gt;=20/24</formula>
    </cfRule>
    <cfRule type="expression" dxfId="1022" priority="47">
      <formula>AND(B$9&gt;=14/24,B$9&lt;20/24)</formula>
    </cfRule>
    <cfRule type="expression" dxfId="1021" priority="48">
      <formula>AND(B$9&gt;=8/24,B$9&lt;14/24)</formula>
    </cfRule>
    <cfRule type="expression" dxfId="1020" priority="49">
      <formula>B$9&lt;8/24</formula>
    </cfRule>
  </conditionalFormatting>
  <conditionalFormatting sqref="B32:AF32">
    <cfRule type="expression" dxfId="1019" priority="42">
      <formula>B$9&gt;=20/24</formula>
    </cfRule>
    <cfRule type="expression" dxfId="1018" priority="43">
      <formula>AND(B$9&gt;=14/24,B$9&lt;20/24)</formula>
    </cfRule>
    <cfRule type="expression" dxfId="1017" priority="44">
      <formula>AND(B$9&gt;=8/24,B$9&lt;14/24)</formula>
    </cfRule>
    <cfRule type="expression" dxfId="1016" priority="45">
      <formula>B$9&lt;8/24</formula>
    </cfRule>
  </conditionalFormatting>
  <conditionalFormatting sqref="B35:AF35">
    <cfRule type="expression" dxfId="1015" priority="38">
      <formula>B$9&gt;=20/24</formula>
    </cfRule>
    <cfRule type="expression" dxfId="1014" priority="39">
      <formula>AND(B$9&gt;=14/24,B$9&lt;20/24)</formula>
    </cfRule>
    <cfRule type="expression" dxfId="1013" priority="40">
      <formula>AND(B$9&gt;=8/24,B$9&lt;14/24)</formula>
    </cfRule>
    <cfRule type="expression" dxfId="1012" priority="41">
      <formula>B$9&lt;8/24</formula>
    </cfRule>
  </conditionalFormatting>
  <conditionalFormatting sqref="B51:B56 C52:AF52 B38:AF38 B42:D43 B24:O32 P24:P27 B18:AD22 AE18:AF21 Q24:AF25 Q27:AF27 B34:AF35 P29:AF32">
    <cfRule type="expression" dxfId="1011" priority="37">
      <formula>B18&gt;$AG18</formula>
    </cfRule>
  </conditionalFormatting>
  <conditionalFormatting sqref="B34:AF34">
    <cfRule type="expression" dxfId="1010" priority="33">
      <formula>B$9&gt;=20/24</formula>
    </cfRule>
    <cfRule type="expression" dxfId="1009" priority="34">
      <formula>AND(B$9&gt;=14/24,B$9&lt;20/24)</formula>
    </cfRule>
    <cfRule type="expression" dxfId="1008" priority="35">
      <formula>AND(B$9&gt;=8/24,B$9&lt;14/24)</formula>
    </cfRule>
    <cfRule type="expression" dxfId="1007" priority="36">
      <formula>B$9&lt;8/24</formula>
    </cfRule>
  </conditionalFormatting>
  <conditionalFormatting sqref="B15:U15">
    <cfRule type="expression" dxfId="1006" priority="29">
      <formula>B$9&gt;=20/24</formula>
    </cfRule>
    <cfRule type="expression" dxfId="1005" priority="30">
      <formula>AND(B$9&gt;=14/24,B$9&lt;20/24)</formula>
    </cfRule>
    <cfRule type="expression" dxfId="1004" priority="31">
      <formula>AND(B$9&gt;=8/24,B$9&lt;14/24)</formula>
    </cfRule>
    <cfRule type="expression" dxfId="1003" priority="32">
      <formula>B$9&lt;8/24</formula>
    </cfRule>
  </conditionalFormatting>
  <conditionalFormatting sqref="B33:AF33">
    <cfRule type="expression" dxfId="1002" priority="25">
      <formula>B$9&gt;=20/24</formula>
    </cfRule>
    <cfRule type="expression" dxfId="1001" priority="26">
      <formula>AND(B$9&gt;=14/24,B$9&lt;20/24)</formula>
    </cfRule>
    <cfRule type="expression" dxfId="1000" priority="27">
      <formula>AND(B$9&gt;=8/24,B$9&lt;14/24)</formula>
    </cfRule>
    <cfRule type="expression" dxfId="999" priority="28">
      <formula>B$9&lt;8/24</formula>
    </cfRule>
  </conditionalFormatting>
  <conditionalFormatting sqref="B33:AF33">
    <cfRule type="expression" dxfId="998" priority="24">
      <formula>B33&gt;$AG33</formula>
    </cfRule>
  </conditionalFormatting>
  <conditionalFormatting sqref="B44:D50 E47:U47">
    <cfRule type="expression" dxfId="997" priority="20">
      <formula>B$9&gt;=20/24</formula>
    </cfRule>
    <cfRule type="expression" dxfId="996" priority="21">
      <formula>AND(B$9&gt;=14/24,B$9&lt;20/24)</formula>
    </cfRule>
    <cfRule type="expression" dxfId="995" priority="22">
      <formula>AND(B$9&gt;=8/24,B$9&lt;14/24)</formula>
    </cfRule>
    <cfRule type="expression" dxfId="994" priority="23">
      <formula>B$9&lt;8/24</formula>
    </cfRule>
  </conditionalFormatting>
  <conditionalFormatting sqref="B44:D50 E47:U47">
    <cfRule type="expression" dxfId="993" priority="19">
      <formula>B44&gt;$AG44</formula>
    </cfRule>
  </conditionalFormatting>
  <conditionalFormatting sqref="B27:AF27">
    <cfRule type="expression" dxfId="992" priority="15">
      <formula>B$9&gt;=20/24</formula>
    </cfRule>
    <cfRule type="expression" dxfId="991" priority="16">
      <formula>AND(B$9&gt;=14/24,B$9&lt;20/24)</formula>
    </cfRule>
    <cfRule type="expression" dxfId="990" priority="17">
      <formula>AND(B$9&gt;=8/24,B$9&lt;14/24)</formula>
    </cfRule>
    <cfRule type="expression" dxfId="989" priority="18">
      <formula>B$9&lt;8/24</formula>
    </cfRule>
  </conditionalFormatting>
  <conditionalFormatting sqref="B17:P17 B23:AE23">
    <cfRule type="expression" dxfId="988" priority="11">
      <formula>B$9&gt;=20/24</formula>
    </cfRule>
    <cfRule type="expression" dxfId="987" priority="12">
      <formula>AND(B$9&gt;=14/24,B$9&lt;20/24)</formula>
    </cfRule>
    <cfRule type="expression" dxfId="986" priority="13">
      <formula>AND(B$9&gt;=8/24,B$9&lt;14/24)</formula>
    </cfRule>
    <cfRule type="expression" dxfId="985" priority="14">
      <formula>B$9&lt;8/24</formula>
    </cfRule>
  </conditionalFormatting>
  <conditionalFormatting sqref="B17:P17 B23:AE23">
    <cfRule type="expression" dxfId="984" priority="10">
      <formula>B17&gt;$AG17</formula>
    </cfRule>
  </conditionalFormatting>
  <conditionalFormatting sqref="A33">
    <cfRule type="expression" dxfId="983" priority="9">
      <formula>$AH33=0</formula>
    </cfRule>
  </conditionalFormatting>
  <conditionalFormatting sqref="B68:AF68">
    <cfRule type="expression" dxfId="982" priority="5">
      <formula>B$9&gt;=20/24</formula>
    </cfRule>
    <cfRule type="expression" dxfId="981" priority="6">
      <formula>AND(B$9&gt;=14/24,B$9&lt;20/24)</formula>
    </cfRule>
    <cfRule type="expression" dxfId="980" priority="7">
      <formula>AND(B$9&gt;=8/24,B$9&lt;14/24)</formula>
    </cfRule>
    <cfRule type="expression" dxfId="979" priority="8">
      <formula>B$9&lt;8/24</formula>
    </cfRule>
  </conditionalFormatting>
  <conditionalFormatting sqref="B76:AF80">
    <cfRule type="expression" dxfId="978" priority="1">
      <formula>B$9&gt;=20/24</formula>
    </cfRule>
    <cfRule type="expression" dxfId="977" priority="2">
      <formula>AND(B$9&gt;=14/24,B$9&lt;20/24)</formula>
    </cfRule>
    <cfRule type="expression" dxfId="976" priority="3">
      <formula>AND(B$9&gt;=8/24,B$9&lt;14/24)</formula>
    </cfRule>
    <cfRule type="expression" dxfId="975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F59" sqref="AF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2079/02/29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72</v>
      </c>
      <c r="C5" s="32">
        <f t="shared" si="0"/>
        <v>60.5</v>
      </c>
      <c r="D5" s="32">
        <f t="shared" si="0"/>
        <v>46.9</v>
      </c>
      <c r="E5" s="32">
        <f t="shared" si="0"/>
        <v>47</v>
      </c>
      <c r="F5" s="32">
        <f t="shared" si="0"/>
        <v>41</v>
      </c>
      <c r="G5" s="32">
        <f t="shared" si="0"/>
        <v>41</v>
      </c>
      <c r="H5" s="32">
        <f t="shared" si="0"/>
        <v>53.4</v>
      </c>
      <c r="I5" s="32">
        <f t="shared" si="0"/>
        <v>55.5</v>
      </c>
      <c r="J5" s="32">
        <f t="shared" si="0"/>
        <v>49.6</v>
      </c>
      <c r="K5" s="32">
        <f t="shared" si="0"/>
        <v>70.8</v>
      </c>
      <c r="L5" s="32">
        <f t="shared" si="0"/>
        <v>57.3</v>
      </c>
      <c r="M5" s="32">
        <f t="shared" si="0"/>
        <v>60</v>
      </c>
      <c r="N5" s="32">
        <f t="shared" si="0"/>
        <v>65.900000000000006</v>
      </c>
      <c r="O5" s="32">
        <f t="shared" si="0"/>
        <v>67.3</v>
      </c>
      <c r="P5" s="32">
        <f t="shared" si="0"/>
        <v>67</v>
      </c>
      <c r="Q5" s="32">
        <f t="shared" si="0"/>
        <v>74.5</v>
      </c>
      <c r="R5" s="32">
        <f t="shared" si="0"/>
        <v>65</v>
      </c>
      <c r="S5" s="32">
        <f t="shared" si="0"/>
        <v>61.9</v>
      </c>
      <c r="T5" s="32">
        <f t="shared" si="0"/>
        <v>62.3</v>
      </c>
      <c r="U5" s="32">
        <f t="shared" si="0"/>
        <v>62.3</v>
      </c>
      <c r="V5" s="32">
        <f t="shared" si="0"/>
        <v>40.700000000000003</v>
      </c>
      <c r="W5" s="32">
        <f t="shared" si="0"/>
        <v>64.2</v>
      </c>
      <c r="X5" s="32">
        <f t="shared" si="0"/>
        <v>83.6</v>
      </c>
      <c r="Y5" s="32">
        <f t="shared" si="0"/>
        <v>52.7</v>
      </c>
      <c r="Z5" s="32">
        <f t="shared" si="0"/>
        <v>61.4</v>
      </c>
      <c r="AA5" s="32">
        <f t="shared" si="0"/>
        <v>54.5</v>
      </c>
      <c r="AB5" s="32">
        <f t="shared" si="0"/>
        <v>54.5</v>
      </c>
      <c r="AC5" s="32">
        <f t="shared" si="0"/>
        <v>54.5</v>
      </c>
      <c r="AD5" s="32">
        <f t="shared" si="0"/>
        <v>73</v>
      </c>
      <c r="AE5" s="32">
        <f t="shared" si="0"/>
        <v>54</v>
      </c>
      <c r="AF5" s="32">
        <f>B68</f>
        <v>73.3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1802MW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Load=1663</v>
      </c>
      <c r="B7" s="37">
        <f>B75</f>
        <v>1781.0400000000002</v>
      </c>
      <c r="C7" s="37">
        <f t="shared" ref="C7:AF7" si="1">C75</f>
        <v>1762.44</v>
      </c>
      <c r="D7" s="37">
        <f t="shared" si="1"/>
        <v>1750.14</v>
      </c>
      <c r="E7" s="37">
        <f t="shared" si="1"/>
        <v>1743.9400000000003</v>
      </c>
      <c r="F7" s="37">
        <f t="shared" si="1"/>
        <v>1746.2400000000002</v>
      </c>
      <c r="G7" s="37">
        <f t="shared" si="1"/>
        <v>1741.94</v>
      </c>
      <c r="H7" s="37">
        <f t="shared" si="1"/>
        <v>1737.94</v>
      </c>
      <c r="I7" s="37">
        <f t="shared" si="1"/>
        <v>1750.14</v>
      </c>
      <c r="J7" s="37">
        <f t="shared" si="1"/>
        <v>1755.94</v>
      </c>
      <c r="K7" s="37">
        <f t="shared" si="1"/>
        <v>1752.54</v>
      </c>
      <c r="L7" s="37">
        <f t="shared" si="1"/>
        <v>1801.5400000000002</v>
      </c>
      <c r="M7" s="37">
        <f t="shared" si="1"/>
        <v>1792.64</v>
      </c>
      <c r="N7" s="37">
        <f t="shared" si="1"/>
        <v>1787.3400000000001</v>
      </c>
      <c r="O7" s="37">
        <f t="shared" si="1"/>
        <v>1785.4400000000003</v>
      </c>
      <c r="P7" s="37">
        <f t="shared" si="1"/>
        <v>1775.3400000000001</v>
      </c>
      <c r="Q7" s="37">
        <f t="shared" si="1"/>
        <v>1765.14</v>
      </c>
      <c r="R7" s="37">
        <f t="shared" si="1"/>
        <v>1785.2400000000002</v>
      </c>
      <c r="S7" s="37">
        <f t="shared" si="1"/>
        <v>1771.3400000000001</v>
      </c>
      <c r="T7" s="37">
        <f t="shared" si="1"/>
        <v>1767.6400000000003</v>
      </c>
      <c r="U7" s="37">
        <f t="shared" si="1"/>
        <v>1705.44</v>
      </c>
      <c r="V7" s="37">
        <f t="shared" si="1"/>
        <v>1716.14</v>
      </c>
      <c r="W7" s="37">
        <f t="shared" si="1"/>
        <v>1663.4400000000003</v>
      </c>
      <c r="X7" s="37">
        <f t="shared" si="1"/>
        <v>1705.9400000000003</v>
      </c>
      <c r="Y7" s="37">
        <f t="shared" si="1"/>
        <v>1669.44</v>
      </c>
      <c r="Z7" s="37">
        <f t="shared" si="1"/>
        <v>1696.5400000000002</v>
      </c>
      <c r="AA7" s="37">
        <f t="shared" si="1"/>
        <v>1781.3400000000001</v>
      </c>
      <c r="AB7" s="37">
        <f t="shared" si="1"/>
        <v>1775.44</v>
      </c>
      <c r="AC7" s="37">
        <f t="shared" si="1"/>
        <v>1775.44</v>
      </c>
      <c r="AD7" s="37">
        <f t="shared" si="1"/>
        <v>1701.44</v>
      </c>
      <c r="AE7" s="37">
        <f t="shared" si="1"/>
        <v>1752.94</v>
      </c>
      <c r="AF7" s="37">
        <f t="shared" si="1"/>
        <v>1736.94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1">
        <v>456</v>
      </c>
      <c r="L11" s="51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40</v>
      </c>
      <c r="W12" s="51">
        <v>10</v>
      </c>
      <c r="X12" s="51">
        <v>30</v>
      </c>
      <c r="Y12" s="51">
        <v>35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10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53.7</v>
      </c>
      <c r="C13" s="51">
        <v>53.7</v>
      </c>
      <c r="D13" s="51">
        <v>53.7</v>
      </c>
      <c r="E13" s="51">
        <v>53.7</v>
      </c>
      <c r="F13" s="51">
        <v>53.7</v>
      </c>
      <c r="G13" s="51">
        <v>53.7</v>
      </c>
      <c r="H13" s="51">
        <v>53.7</v>
      </c>
      <c r="I13" s="51">
        <v>53.7</v>
      </c>
      <c r="J13" s="51">
        <v>53.7</v>
      </c>
      <c r="K13" s="51">
        <v>53.7</v>
      </c>
      <c r="L13" s="51">
        <v>53.7</v>
      </c>
      <c r="M13" s="51">
        <v>53.7</v>
      </c>
      <c r="N13" s="51">
        <v>53.7</v>
      </c>
      <c r="O13" s="51">
        <v>53.7</v>
      </c>
      <c r="P13" s="51">
        <v>53.7</v>
      </c>
      <c r="Q13" s="51">
        <v>53.7</v>
      </c>
      <c r="R13" s="51">
        <v>53.7</v>
      </c>
      <c r="S13" s="51">
        <v>53.7</v>
      </c>
      <c r="T13" s="51">
        <v>53.7</v>
      </c>
      <c r="U13" s="51">
        <v>53.7</v>
      </c>
      <c r="V13" s="51">
        <v>53.7</v>
      </c>
      <c r="W13" s="51">
        <v>53.7</v>
      </c>
      <c r="X13" s="51">
        <v>53.7</v>
      </c>
      <c r="Y13" s="51">
        <v>53.7</v>
      </c>
      <c r="Z13" s="51">
        <v>53.7</v>
      </c>
      <c r="AA13" s="51">
        <v>54.2</v>
      </c>
      <c r="AB13" s="51">
        <v>54.2</v>
      </c>
      <c r="AC13" s="51">
        <v>54.2</v>
      </c>
      <c r="AD13" s="51">
        <v>54.2</v>
      </c>
      <c r="AE13" s="51">
        <v>54.2</v>
      </c>
      <c r="AF13" s="51">
        <v>54.2</v>
      </c>
      <c r="AG13" s="59">
        <v>52.4</v>
      </c>
      <c r="AH13" s="55">
        <f t="shared" si="2"/>
        <v>54.2</v>
      </c>
      <c r="AI13" s="56">
        <f t="shared" si="3"/>
        <v>53.7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50.5</v>
      </c>
      <c r="O14" s="51">
        <v>50.5</v>
      </c>
      <c r="P14" s="51">
        <v>50.5</v>
      </c>
      <c r="Q14" s="51">
        <v>50.5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9">
        <v>50</v>
      </c>
      <c r="AH14" s="55">
        <f t="shared" si="2"/>
        <v>50.5</v>
      </c>
      <c r="AI14" s="56">
        <f t="shared" si="3"/>
        <v>50.5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45.8</v>
      </c>
      <c r="C15" s="51">
        <v>45.8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45.8</v>
      </c>
      <c r="P15" s="51">
        <v>45.8</v>
      </c>
      <c r="Q15" s="51">
        <v>45.8</v>
      </c>
      <c r="R15" s="51">
        <v>45.8</v>
      </c>
      <c r="S15" s="51">
        <v>45.8</v>
      </c>
      <c r="T15" s="51">
        <v>45.8</v>
      </c>
      <c r="U15" s="51">
        <v>45.8</v>
      </c>
      <c r="V15" s="51">
        <v>45.8</v>
      </c>
      <c r="W15" s="51">
        <v>45.8</v>
      </c>
      <c r="X15" s="51">
        <v>45.8</v>
      </c>
      <c r="Y15" s="51">
        <v>45.8</v>
      </c>
      <c r="Z15" s="51">
        <v>45.8</v>
      </c>
      <c r="AA15" s="51">
        <v>45.8</v>
      </c>
      <c r="AB15" s="51">
        <v>45.8</v>
      </c>
      <c r="AC15" s="51">
        <v>45.8</v>
      </c>
      <c r="AD15" s="51">
        <v>45.8</v>
      </c>
      <c r="AE15" s="51">
        <v>45.8</v>
      </c>
      <c r="AF15" s="51">
        <v>45.8</v>
      </c>
      <c r="AG15" s="60">
        <v>45</v>
      </c>
      <c r="AH15" s="55">
        <f t="shared" si="2"/>
        <v>45.8</v>
      </c>
      <c r="AI15" s="56">
        <f t="shared" si="3"/>
        <v>45.8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40</v>
      </c>
      <c r="C16" s="51">
        <v>30</v>
      </c>
      <c r="D16" s="51">
        <v>30</v>
      </c>
      <c r="E16" s="51">
        <v>33</v>
      </c>
      <c r="F16" s="51">
        <v>33</v>
      </c>
      <c r="G16" s="51">
        <v>33</v>
      </c>
      <c r="H16" s="51">
        <v>33</v>
      </c>
      <c r="I16" s="51">
        <v>33</v>
      </c>
      <c r="J16" s="51">
        <v>33</v>
      </c>
      <c r="K16" s="51">
        <v>33</v>
      </c>
      <c r="L16" s="51">
        <v>33</v>
      </c>
      <c r="M16" s="51">
        <v>35</v>
      </c>
      <c r="N16" s="51">
        <v>41</v>
      </c>
      <c r="O16" s="51">
        <v>41</v>
      </c>
      <c r="P16" s="51">
        <v>41</v>
      </c>
      <c r="Q16" s="51">
        <v>41</v>
      </c>
      <c r="R16" s="51">
        <v>41</v>
      </c>
      <c r="S16" s="51">
        <v>41</v>
      </c>
      <c r="T16" s="51">
        <v>41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41</v>
      </c>
      <c r="AA16" s="51">
        <v>41</v>
      </c>
      <c r="AB16" s="51">
        <v>41</v>
      </c>
      <c r="AC16" s="51">
        <v>41</v>
      </c>
      <c r="AD16" s="51">
        <v>0</v>
      </c>
      <c r="AE16" s="51">
        <v>40</v>
      </c>
      <c r="AF16" s="51">
        <v>40</v>
      </c>
      <c r="AG16" s="59">
        <v>45</v>
      </c>
      <c r="AH16" s="55">
        <f t="shared" si="2"/>
        <v>41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0</v>
      </c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26.2</v>
      </c>
      <c r="D19" s="51">
        <v>26.2</v>
      </c>
      <c r="E19" s="51">
        <v>26.2</v>
      </c>
      <c r="F19" s="51">
        <v>26.2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23.4</v>
      </c>
      <c r="AB19" s="51">
        <v>23.4</v>
      </c>
      <c r="AC19" s="51">
        <v>23.4</v>
      </c>
      <c r="AD19" s="51">
        <v>23.4</v>
      </c>
      <c r="AE19" s="51">
        <v>23.4</v>
      </c>
      <c r="AF19" s="51">
        <v>23.4</v>
      </c>
      <c r="AG19" s="59">
        <v>30</v>
      </c>
      <c r="AH19" s="55">
        <f t="shared" si="2"/>
        <v>26.2</v>
      </c>
      <c r="AI19" s="56">
        <f t="shared" si="3"/>
        <v>23.4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23.6</v>
      </c>
      <c r="C20" s="51">
        <v>23.6</v>
      </c>
      <c r="D20" s="51">
        <v>23.6</v>
      </c>
      <c r="E20" s="51">
        <v>23.6</v>
      </c>
      <c r="F20" s="51">
        <v>23.6</v>
      </c>
      <c r="G20" s="51">
        <v>23.6</v>
      </c>
      <c r="H20" s="51">
        <v>23.6</v>
      </c>
      <c r="I20" s="51">
        <v>23.6</v>
      </c>
      <c r="J20" s="51">
        <v>23.6</v>
      </c>
      <c r="K20" s="51">
        <v>23.6</v>
      </c>
      <c r="L20" s="51">
        <v>23.6</v>
      </c>
      <c r="M20" s="51">
        <v>23.6</v>
      </c>
      <c r="N20" s="51">
        <v>23.6</v>
      </c>
      <c r="O20" s="51">
        <v>23.6</v>
      </c>
      <c r="P20" s="51">
        <v>23.6</v>
      </c>
      <c r="Q20" s="51">
        <v>23.6</v>
      </c>
      <c r="R20" s="51">
        <v>23.6</v>
      </c>
      <c r="S20" s="51">
        <v>23.6</v>
      </c>
      <c r="T20" s="51">
        <v>23.6</v>
      </c>
      <c r="U20" s="51">
        <v>23.6</v>
      </c>
      <c r="V20" s="51">
        <v>23.6</v>
      </c>
      <c r="W20" s="51">
        <v>23.6</v>
      </c>
      <c r="X20" s="51">
        <v>23.6</v>
      </c>
      <c r="Y20" s="51">
        <v>23.6</v>
      </c>
      <c r="Z20" s="51">
        <v>23.6</v>
      </c>
      <c r="AA20" s="51">
        <v>23.6</v>
      </c>
      <c r="AB20" s="51">
        <v>23.6</v>
      </c>
      <c r="AC20" s="51">
        <v>23.6</v>
      </c>
      <c r="AD20" s="51">
        <v>23.6</v>
      </c>
      <c r="AE20" s="51">
        <v>23.6</v>
      </c>
      <c r="AF20" s="51">
        <v>23.6</v>
      </c>
      <c r="AG20" s="59">
        <v>27</v>
      </c>
      <c r="AH20" s="55">
        <f t="shared" si="2"/>
        <v>23.6</v>
      </c>
      <c r="AI20" s="56">
        <f t="shared" si="3"/>
        <v>23.6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11</v>
      </c>
      <c r="C21" s="51">
        <v>11</v>
      </c>
      <c r="D21" s="51">
        <v>11</v>
      </c>
      <c r="E21" s="51">
        <v>11</v>
      </c>
      <c r="F21" s="51">
        <v>11</v>
      </c>
      <c r="G21" s="51">
        <v>11</v>
      </c>
      <c r="H21" s="51">
        <v>11</v>
      </c>
      <c r="I21" s="51">
        <v>11</v>
      </c>
      <c r="J21" s="51">
        <v>11</v>
      </c>
      <c r="K21" s="51">
        <v>11</v>
      </c>
      <c r="L21" s="51">
        <v>11</v>
      </c>
      <c r="M21" s="51">
        <v>11</v>
      </c>
      <c r="N21" s="51">
        <v>11</v>
      </c>
      <c r="O21" s="51">
        <v>0</v>
      </c>
      <c r="P21" s="51">
        <v>0</v>
      </c>
      <c r="Q21" s="51">
        <v>0</v>
      </c>
      <c r="R21" s="51">
        <v>13</v>
      </c>
      <c r="S21" s="51">
        <v>13</v>
      </c>
      <c r="T21" s="51">
        <v>13</v>
      </c>
      <c r="U21" s="51">
        <v>13</v>
      </c>
      <c r="V21" s="51">
        <v>13</v>
      </c>
      <c r="W21" s="51">
        <v>13</v>
      </c>
      <c r="X21" s="51">
        <v>13</v>
      </c>
      <c r="Y21" s="51">
        <v>13</v>
      </c>
      <c r="Z21" s="51">
        <v>13</v>
      </c>
      <c r="AA21" s="51">
        <v>13</v>
      </c>
      <c r="AB21" s="51">
        <v>13</v>
      </c>
      <c r="AC21" s="51">
        <v>13</v>
      </c>
      <c r="AD21" s="51">
        <v>13</v>
      </c>
      <c r="AE21" s="51">
        <v>13</v>
      </c>
      <c r="AF21" s="51">
        <v>13</v>
      </c>
      <c r="AG21" s="59">
        <v>25</v>
      </c>
      <c r="AH21" s="55">
        <f t="shared" si="2"/>
        <v>13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11</v>
      </c>
      <c r="C22" s="51">
        <v>21</v>
      </c>
      <c r="D22" s="51">
        <v>21</v>
      </c>
      <c r="E22" s="51">
        <v>21</v>
      </c>
      <c r="F22" s="51">
        <v>21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15</v>
      </c>
      <c r="AF22" s="51">
        <v>17</v>
      </c>
      <c r="AG22" s="59">
        <v>25</v>
      </c>
      <c r="AH22" s="55">
        <f t="shared" si="2"/>
        <v>22</v>
      </c>
      <c r="AI22" s="56">
        <f t="shared" si="3"/>
        <v>11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5</v>
      </c>
      <c r="D26" s="51">
        <v>5</v>
      </c>
      <c r="E26" s="51">
        <v>10</v>
      </c>
      <c r="F26" s="51">
        <v>10</v>
      </c>
      <c r="G26" s="51">
        <v>10</v>
      </c>
      <c r="H26" s="51">
        <v>5</v>
      </c>
      <c r="I26" s="51">
        <v>5</v>
      </c>
      <c r="J26" s="51">
        <v>5</v>
      </c>
      <c r="K26" s="51">
        <v>5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0</v>
      </c>
      <c r="AE26" s="51">
        <v>0</v>
      </c>
      <c r="AF26" s="51">
        <v>0</v>
      </c>
      <c r="AG26" s="59">
        <v>20</v>
      </c>
      <c r="AH26" s="55">
        <f t="shared" si="2"/>
        <v>10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8</v>
      </c>
      <c r="C28" s="51">
        <v>8</v>
      </c>
      <c r="D28" s="51">
        <v>8</v>
      </c>
      <c r="E28" s="51">
        <v>8</v>
      </c>
      <c r="F28" s="51">
        <v>8</v>
      </c>
      <c r="G28" s="51">
        <v>8</v>
      </c>
      <c r="H28" s="51">
        <v>8</v>
      </c>
      <c r="I28" s="51">
        <v>8</v>
      </c>
      <c r="J28" s="51">
        <v>8</v>
      </c>
      <c r="K28" s="51">
        <v>8</v>
      </c>
      <c r="L28" s="51">
        <v>8</v>
      </c>
      <c r="M28" s="51">
        <v>8</v>
      </c>
      <c r="N28" s="51">
        <v>8</v>
      </c>
      <c r="O28" s="51">
        <v>8</v>
      </c>
      <c r="P28" s="51">
        <v>8</v>
      </c>
      <c r="Q28" s="51">
        <v>8</v>
      </c>
      <c r="R28" s="51">
        <v>8</v>
      </c>
      <c r="S28" s="51">
        <v>8</v>
      </c>
      <c r="T28" s="51">
        <v>8</v>
      </c>
      <c r="U28" s="51">
        <v>8</v>
      </c>
      <c r="V28" s="51">
        <v>8</v>
      </c>
      <c r="W28" s="51">
        <v>8</v>
      </c>
      <c r="X28" s="51">
        <v>8</v>
      </c>
      <c r="Y28" s="51">
        <v>8</v>
      </c>
      <c r="Z28" s="51">
        <v>8</v>
      </c>
      <c r="AA28" s="51">
        <v>8</v>
      </c>
      <c r="AB28" s="51">
        <v>8</v>
      </c>
      <c r="AC28" s="51">
        <v>8</v>
      </c>
      <c r="AD28" s="51">
        <v>8</v>
      </c>
      <c r="AE28" s="51">
        <v>8</v>
      </c>
      <c r="AF28" s="51">
        <v>8</v>
      </c>
      <c r="AG28" s="59">
        <v>22.2</v>
      </c>
      <c r="AH28" s="55">
        <f t="shared" si="2"/>
        <v>8</v>
      </c>
      <c r="AI28" s="56">
        <f t="shared" si="3"/>
        <v>8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12</v>
      </c>
      <c r="C29" s="51">
        <v>12</v>
      </c>
      <c r="D29" s="51">
        <v>12</v>
      </c>
      <c r="E29" s="51">
        <v>12</v>
      </c>
      <c r="F29" s="51">
        <v>12</v>
      </c>
      <c r="G29" s="51">
        <v>12</v>
      </c>
      <c r="H29" s="51">
        <v>12</v>
      </c>
      <c r="I29" s="51">
        <v>12</v>
      </c>
      <c r="J29" s="51">
        <v>12</v>
      </c>
      <c r="K29" s="51">
        <v>12</v>
      </c>
      <c r="L29" s="51">
        <v>12</v>
      </c>
      <c r="M29" s="51">
        <v>12</v>
      </c>
      <c r="N29" s="51">
        <v>12</v>
      </c>
      <c r="O29" s="51">
        <v>12</v>
      </c>
      <c r="P29" s="51">
        <v>12</v>
      </c>
      <c r="Q29" s="51">
        <v>12</v>
      </c>
      <c r="R29" s="51">
        <v>12</v>
      </c>
      <c r="S29" s="51">
        <v>12</v>
      </c>
      <c r="T29" s="51">
        <v>12</v>
      </c>
      <c r="U29" s="51">
        <v>12</v>
      </c>
      <c r="V29" s="51">
        <v>12</v>
      </c>
      <c r="W29" s="51">
        <v>12</v>
      </c>
      <c r="X29" s="51">
        <v>12</v>
      </c>
      <c r="Y29" s="51">
        <v>12</v>
      </c>
      <c r="Z29" s="51">
        <v>12</v>
      </c>
      <c r="AA29" s="51">
        <v>12</v>
      </c>
      <c r="AB29" s="51">
        <v>12</v>
      </c>
      <c r="AC29" s="51">
        <v>12</v>
      </c>
      <c r="AD29" s="51">
        <v>12</v>
      </c>
      <c r="AE29" s="51">
        <v>12</v>
      </c>
      <c r="AF29" s="51">
        <v>12</v>
      </c>
      <c r="AG29" s="59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8</v>
      </c>
      <c r="C30" s="51">
        <v>8</v>
      </c>
      <c r="D30" s="51">
        <v>8</v>
      </c>
      <c r="E30" s="51">
        <v>8</v>
      </c>
      <c r="F30" s="51">
        <v>8</v>
      </c>
      <c r="G30" s="51">
        <v>8</v>
      </c>
      <c r="H30" s="51">
        <v>8</v>
      </c>
      <c r="I30" s="51">
        <v>8</v>
      </c>
      <c r="J30" s="51">
        <v>8</v>
      </c>
      <c r="K30" s="51">
        <v>8</v>
      </c>
      <c r="L30" s="51">
        <v>8</v>
      </c>
      <c r="M30" s="51">
        <v>8</v>
      </c>
      <c r="N30" s="51">
        <v>8</v>
      </c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51">
        <v>8</v>
      </c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8</v>
      </c>
      <c r="AB30" s="51">
        <v>8</v>
      </c>
      <c r="AC30" s="51">
        <v>8</v>
      </c>
      <c r="AD30" s="51">
        <v>8</v>
      </c>
      <c r="AE30" s="51">
        <v>8</v>
      </c>
      <c r="AF30" s="51">
        <v>8</v>
      </c>
      <c r="AG30" s="59">
        <v>22.1</v>
      </c>
      <c r="AH30" s="55">
        <f t="shared" si="2"/>
        <v>8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11</v>
      </c>
      <c r="U32" s="51">
        <v>11</v>
      </c>
      <c r="V32" s="51">
        <v>11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11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9</v>
      </c>
      <c r="C34" s="51">
        <v>9</v>
      </c>
      <c r="D34" s="51">
        <v>9</v>
      </c>
      <c r="E34" s="51">
        <v>9</v>
      </c>
      <c r="F34" s="51">
        <v>9</v>
      </c>
      <c r="G34" s="51">
        <v>9</v>
      </c>
      <c r="H34" s="51">
        <v>9</v>
      </c>
      <c r="I34" s="51">
        <v>9</v>
      </c>
      <c r="J34" s="51">
        <v>9</v>
      </c>
      <c r="K34" s="51">
        <v>9</v>
      </c>
      <c r="L34" s="51">
        <v>9</v>
      </c>
      <c r="M34" s="51">
        <v>9</v>
      </c>
      <c r="N34" s="51">
        <v>9</v>
      </c>
      <c r="O34" s="51">
        <v>9</v>
      </c>
      <c r="P34" s="51">
        <v>9</v>
      </c>
      <c r="Q34" s="51">
        <v>9</v>
      </c>
      <c r="R34" s="51">
        <v>9</v>
      </c>
      <c r="S34" s="51">
        <v>9</v>
      </c>
      <c r="T34" s="51">
        <v>9</v>
      </c>
      <c r="U34" s="51">
        <v>9</v>
      </c>
      <c r="V34" s="51">
        <v>9</v>
      </c>
      <c r="W34" s="51">
        <v>9</v>
      </c>
      <c r="X34" s="51">
        <v>9</v>
      </c>
      <c r="Y34" s="51">
        <v>9</v>
      </c>
      <c r="Z34" s="51">
        <v>9</v>
      </c>
      <c r="AA34" s="51">
        <v>9</v>
      </c>
      <c r="AB34" s="51">
        <v>9</v>
      </c>
      <c r="AC34" s="51">
        <v>9</v>
      </c>
      <c r="AD34" s="51">
        <v>0</v>
      </c>
      <c r="AE34" s="51">
        <v>0</v>
      </c>
      <c r="AF34" s="51">
        <v>0</v>
      </c>
      <c r="AG34" s="64">
        <v>20</v>
      </c>
      <c r="AH34" s="55">
        <f t="shared" si="2"/>
        <v>9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3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66+96</f>
        <v>162</v>
      </c>
      <c r="C37" s="66">
        <f>95.5+66.1</f>
        <v>161.6</v>
      </c>
      <c r="D37" s="66">
        <f>95.2+65.6</f>
        <v>160.80000000000001</v>
      </c>
      <c r="E37" s="66">
        <f>97.9+66.3</f>
        <v>164.2</v>
      </c>
      <c r="F37" s="66">
        <f>93.3+66.1</f>
        <v>159.39999999999998</v>
      </c>
      <c r="G37" s="66">
        <f>98.2+65.5</f>
        <v>163.69999999999999</v>
      </c>
      <c r="H37" s="66">
        <f>94.4+65.8</f>
        <v>160.19999999999999</v>
      </c>
      <c r="I37" s="66">
        <f>93.6+65.7</f>
        <v>159.30000000000001</v>
      </c>
      <c r="J37" s="66">
        <f>96.3+65.7</f>
        <v>162</v>
      </c>
      <c r="K37" s="66">
        <f>96.6+65.5</f>
        <v>162.1</v>
      </c>
      <c r="L37" s="66">
        <f>95.5+64.8</f>
        <v>160.30000000000001</v>
      </c>
      <c r="M37" s="66">
        <f>64.7+96.1</f>
        <v>160.80000000000001</v>
      </c>
      <c r="N37" s="66">
        <f>63.1+96.9</f>
        <v>160</v>
      </c>
      <c r="O37" s="66">
        <f>62.8+88</f>
        <v>150.80000000000001</v>
      </c>
      <c r="P37" s="66">
        <f>62.9+95.5</f>
        <v>158.4</v>
      </c>
      <c r="Q37" s="66">
        <f>62.6+96.1</f>
        <v>158.69999999999999</v>
      </c>
      <c r="R37" s="66">
        <f>63.4+95.8</f>
        <v>159.19999999999999</v>
      </c>
      <c r="S37" s="66">
        <f>63.4+95.8</f>
        <v>159.19999999999999</v>
      </c>
      <c r="T37" s="66">
        <f>60.4+97.4</f>
        <v>157.80000000000001</v>
      </c>
      <c r="U37" s="68">
        <f>61+97.4</f>
        <v>158.4</v>
      </c>
      <c r="V37" s="68">
        <f>63.2+97.2</f>
        <v>160.4</v>
      </c>
      <c r="W37" s="68">
        <f>61.7+96.3</f>
        <v>158</v>
      </c>
      <c r="X37" s="68">
        <f>96.6+61.7</f>
        <v>158.30000000000001</v>
      </c>
      <c r="Y37" s="68">
        <f>96.3+61.5</f>
        <v>157.80000000000001</v>
      </c>
      <c r="Z37" s="68">
        <f>61.2+95.2</f>
        <v>156.4</v>
      </c>
      <c r="AA37" s="68">
        <f>61.2+95.2</f>
        <v>156.4</v>
      </c>
      <c r="AB37" s="68">
        <f>60+95</f>
        <v>155</v>
      </c>
      <c r="AC37" s="68">
        <f t="shared" ref="AC37:AD37" si="4">60+95</f>
        <v>155</v>
      </c>
      <c r="AD37" s="68">
        <f t="shared" si="4"/>
        <v>155</v>
      </c>
      <c r="AE37" s="68">
        <v>158</v>
      </c>
      <c r="AF37" s="68">
        <v>158</v>
      </c>
      <c r="AG37" s="64">
        <v>240</v>
      </c>
      <c r="AH37" s="55">
        <f t="shared" si="2"/>
        <v>164.2</v>
      </c>
      <c r="AI37" s="56">
        <f t="shared" si="3"/>
        <v>150.80000000000001</v>
      </c>
      <c r="AK37" s="57"/>
    </row>
    <row r="38" spans="1:88" ht="15.75" thickBot="1" x14ac:dyDescent="0.3">
      <c r="A38" s="69" t="s">
        <v>46</v>
      </c>
      <c r="B38" s="70">
        <f t="shared" ref="B38:L38" si="5">SUM(B11:B36)</f>
        <v>1277.3000000000002</v>
      </c>
      <c r="C38" s="70">
        <f t="shared" si="5"/>
        <v>1272.3000000000002</v>
      </c>
      <c r="D38" s="70">
        <f t="shared" si="5"/>
        <v>1272.3000000000002</v>
      </c>
      <c r="E38" s="70">
        <f t="shared" si="5"/>
        <v>1280.3000000000002</v>
      </c>
      <c r="F38" s="70">
        <f t="shared" si="5"/>
        <v>1280.3000000000002</v>
      </c>
      <c r="G38" s="70">
        <f t="shared" si="5"/>
        <v>1281.3000000000002</v>
      </c>
      <c r="H38" s="70">
        <f t="shared" si="5"/>
        <v>1276.3000000000002</v>
      </c>
      <c r="I38" s="70">
        <f t="shared" si="5"/>
        <v>1276.3000000000002</v>
      </c>
      <c r="J38" s="70">
        <f t="shared" si="5"/>
        <v>1276.3000000000002</v>
      </c>
      <c r="K38" s="70">
        <f t="shared" si="5"/>
        <v>1276.3000000000002</v>
      </c>
      <c r="L38" s="70">
        <f t="shared" si="5"/>
        <v>1281.3000000000002</v>
      </c>
      <c r="M38" s="70">
        <f t="shared" ref="M38:S38" si="6">SUM(M11:M36)</f>
        <v>1286.3000000000002</v>
      </c>
      <c r="N38" s="70">
        <f t="shared" si="6"/>
        <v>1293.3000000000002</v>
      </c>
      <c r="O38" s="70">
        <f t="shared" si="6"/>
        <v>1282.3000000000002</v>
      </c>
      <c r="P38" s="70">
        <f t="shared" si="6"/>
        <v>1282.3000000000002</v>
      </c>
      <c r="Q38" s="70">
        <f t="shared" si="6"/>
        <v>1282.3000000000002</v>
      </c>
      <c r="R38" s="70">
        <f t="shared" si="6"/>
        <v>1295.3000000000002</v>
      </c>
      <c r="S38" s="70">
        <f t="shared" si="6"/>
        <v>1295.3000000000002</v>
      </c>
      <c r="T38" s="70">
        <f t="shared" ref="T38:AF38" si="7">SUM(T11:T36)</f>
        <v>1295.3000000000002</v>
      </c>
      <c r="U38" s="70">
        <f t="shared" si="7"/>
        <v>1229.3000000000002</v>
      </c>
      <c r="V38" s="70">
        <f t="shared" si="7"/>
        <v>1234.3000000000002</v>
      </c>
      <c r="W38" s="70">
        <f t="shared" si="7"/>
        <v>1204.3000000000002</v>
      </c>
      <c r="X38" s="70">
        <f t="shared" si="7"/>
        <v>1224.3000000000002</v>
      </c>
      <c r="Y38" s="70">
        <f t="shared" si="7"/>
        <v>1229.3000000000002</v>
      </c>
      <c r="Z38" s="70">
        <f t="shared" si="7"/>
        <v>1295.3000000000002</v>
      </c>
      <c r="AA38" s="70">
        <f t="shared" si="7"/>
        <v>1293</v>
      </c>
      <c r="AB38" s="70">
        <f t="shared" si="7"/>
        <v>1293</v>
      </c>
      <c r="AC38" s="70">
        <f t="shared" si="7"/>
        <v>1293</v>
      </c>
      <c r="AD38" s="70">
        <f t="shared" si="7"/>
        <v>1233</v>
      </c>
      <c r="AE38" s="70">
        <f t="shared" si="7"/>
        <v>1266</v>
      </c>
      <c r="AF38" s="70">
        <f t="shared" si="7"/>
        <v>1268</v>
      </c>
      <c r="AG38" s="64">
        <f>SUM(AG11:AG37)</f>
        <v>1492.8299999999997</v>
      </c>
      <c r="AH38" s="55">
        <f t="shared" si="2"/>
        <v>1295.3000000000002</v>
      </c>
      <c r="AI38" s="56">
        <f t="shared" si="3"/>
        <v>1204.3000000000002</v>
      </c>
      <c r="AK38" s="57"/>
    </row>
    <row r="39" spans="1:88" x14ac:dyDescent="0.25">
      <c r="A39" s="58" t="s">
        <v>47</v>
      </c>
      <c r="B39" s="51">
        <v>143.4</v>
      </c>
      <c r="C39" s="51">
        <v>143.19999999999999</v>
      </c>
      <c r="D39" s="51">
        <v>143.30000000000001</v>
      </c>
      <c r="E39" s="51">
        <v>143.5</v>
      </c>
      <c r="F39" s="51">
        <v>143.5</v>
      </c>
      <c r="G39" s="51">
        <v>143.5</v>
      </c>
      <c r="H39" s="51">
        <v>143.69999999999999</v>
      </c>
      <c r="I39" s="51">
        <v>143.6</v>
      </c>
      <c r="J39" s="51">
        <v>144</v>
      </c>
      <c r="K39" s="51">
        <v>143.30000000000001</v>
      </c>
      <c r="L39" s="51">
        <v>143.5</v>
      </c>
      <c r="M39" s="51">
        <v>143.6</v>
      </c>
      <c r="N39" s="51">
        <v>143.6</v>
      </c>
      <c r="O39" s="51">
        <v>143.6</v>
      </c>
      <c r="P39" s="51">
        <v>143.6</v>
      </c>
      <c r="Q39" s="51">
        <v>142.69999999999999</v>
      </c>
      <c r="R39" s="51">
        <v>142.80000000000001</v>
      </c>
      <c r="S39" s="51">
        <v>138.9</v>
      </c>
      <c r="T39" s="51">
        <v>138.9</v>
      </c>
      <c r="U39" s="51">
        <v>141.69999999999999</v>
      </c>
      <c r="V39" s="51">
        <v>142.6</v>
      </c>
      <c r="W39" s="51">
        <v>142.6</v>
      </c>
      <c r="X39" s="51">
        <v>142.6</v>
      </c>
      <c r="Y39" s="51">
        <v>142.6</v>
      </c>
      <c r="Z39" s="51">
        <v>142.6</v>
      </c>
      <c r="AA39" s="51">
        <v>142.6</v>
      </c>
      <c r="AB39" s="51">
        <v>143.6</v>
      </c>
      <c r="AC39" s="51">
        <v>143.6</v>
      </c>
      <c r="AD39" s="51">
        <v>143.6</v>
      </c>
      <c r="AE39" s="51">
        <v>143.6</v>
      </c>
      <c r="AF39" s="51">
        <v>143.6</v>
      </c>
      <c r="AG39" s="60">
        <v>144</v>
      </c>
      <c r="AH39" s="55">
        <f t="shared" si="2"/>
        <v>144</v>
      </c>
      <c r="AI39" s="56">
        <f t="shared" si="3"/>
        <v>138.9</v>
      </c>
      <c r="AK39" s="57"/>
    </row>
    <row r="40" spans="1:88" x14ac:dyDescent="0.25">
      <c r="A40" s="63" t="s">
        <v>48</v>
      </c>
      <c r="B40" s="49">
        <v>73</v>
      </c>
      <c r="C40" s="49">
        <v>71.3</v>
      </c>
      <c r="D40" s="49">
        <v>70.7</v>
      </c>
      <c r="E40" s="49">
        <v>70.8</v>
      </c>
      <c r="F40" s="49">
        <v>72.5</v>
      </c>
      <c r="G40" s="49">
        <v>72.900000000000006</v>
      </c>
      <c r="H40" s="49">
        <v>73.7</v>
      </c>
      <c r="I40" s="49">
        <v>73.3</v>
      </c>
      <c r="J40" s="49">
        <v>70</v>
      </c>
      <c r="K40" s="49">
        <v>73</v>
      </c>
      <c r="L40" s="49">
        <v>72.5</v>
      </c>
      <c r="M40" s="51">
        <v>72.5</v>
      </c>
      <c r="N40" s="51">
        <v>72.5</v>
      </c>
      <c r="O40" s="51">
        <v>72.5</v>
      </c>
      <c r="P40" s="51">
        <v>72.5</v>
      </c>
      <c r="Q40" s="51">
        <v>70.8</v>
      </c>
      <c r="R40" s="51">
        <v>71.099999999999994</v>
      </c>
      <c r="S40" s="51">
        <v>71.099999999999994</v>
      </c>
      <c r="T40" s="51">
        <v>70.5</v>
      </c>
      <c r="U40" s="49">
        <v>70.900000000000006</v>
      </c>
      <c r="V40" s="49">
        <v>71.099999999999994</v>
      </c>
      <c r="W40" s="49">
        <v>70</v>
      </c>
      <c r="X40" s="49">
        <v>70</v>
      </c>
      <c r="Y40" s="49">
        <v>70</v>
      </c>
      <c r="Z40" s="49">
        <v>70</v>
      </c>
      <c r="AA40" s="49">
        <v>70</v>
      </c>
      <c r="AB40" s="49">
        <v>70</v>
      </c>
      <c r="AC40" s="49">
        <v>70</v>
      </c>
      <c r="AD40" s="49">
        <v>70</v>
      </c>
      <c r="AE40" s="49">
        <v>70</v>
      </c>
      <c r="AF40" s="49">
        <v>70</v>
      </c>
      <c r="AG40" s="64">
        <v>70</v>
      </c>
      <c r="AH40" s="55">
        <f t="shared" si="2"/>
        <v>73.7</v>
      </c>
      <c r="AI40" s="56">
        <f t="shared" si="3"/>
        <v>70</v>
      </c>
      <c r="AK40" s="57"/>
    </row>
    <row r="41" spans="1:88" x14ac:dyDescent="0.25">
      <c r="A41" s="63" t="s">
        <v>49</v>
      </c>
      <c r="B41" s="49">
        <v>64.2</v>
      </c>
      <c r="C41" s="49">
        <v>63.7</v>
      </c>
      <c r="D41" s="49">
        <v>64</v>
      </c>
      <c r="E41" s="49">
        <v>63.1</v>
      </c>
      <c r="F41" s="49">
        <v>63.3</v>
      </c>
      <c r="G41" s="49">
        <v>63.6</v>
      </c>
      <c r="H41" s="49">
        <v>63.4</v>
      </c>
      <c r="I41" s="49">
        <v>63.7</v>
      </c>
      <c r="J41" s="49">
        <v>63.2</v>
      </c>
      <c r="K41" s="49">
        <v>63.4</v>
      </c>
      <c r="L41" s="49">
        <v>63.7</v>
      </c>
      <c r="M41" s="51">
        <v>63.6</v>
      </c>
      <c r="N41" s="51">
        <v>63.6</v>
      </c>
      <c r="O41" s="51">
        <v>63.6</v>
      </c>
      <c r="P41" s="51">
        <v>63.6</v>
      </c>
      <c r="Q41" s="51">
        <v>64.2</v>
      </c>
      <c r="R41" s="51">
        <v>64.5</v>
      </c>
      <c r="S41" s="51">
        <v>64</v>
      </c>
      <c r="T41" s="51">
        <v>64</v>
      </c>
      <c r="U41" s="49">
        <v>64.2</v>
      </c>
      <c r="V41" s="49">
        <v>64.2</v>
      </c>
      <c r="W41" s="49">
        <v>64.2</v>
      </c>
      <c r="X41" s="49">
        <v>64.2</v>
      </c>
      <c r="Y41" s="49">
        <v>64.2</v>
      </c>
      <c r="Z41" s="49">
        <v>64.2</v>
      </c>
      <c r="AA41" s="49">
        <v>64.2</v>
      </c>
      <c r="AB41" s="49">
        <v>64.2</v>
      </c>
      <c r="AC41" s="49">
        <v>64.2</v>
      </c>
      <c r="AD41" s="49">
        <v>64.2</v>
      </c>
      <c r="AE41" s="49">
        <v>64.2</v>
      </c>
      <c r="AF41" s="49">
        <v>64.2</v>
      </c>
      <c r="AG41" s="64">
        <v>69</v>
      </c>
      <c r="AH41" s="55">
        <f t="shared" si="2"/>
        <v>64.5</v>
      </c>
      <c r="AI41" s="56">
        <f t="shared" si="3"/>
        <v>63.1</v>
      </c>
      <c r="AK41" s="57"/>
    </row>
    <row r="42" spans="1:88" x14ac:dyDescent="0.25">
      <c r="A42" s="63" t="s">
        <v>50</v>
      </c>
      <c r="B42" s="66">
        <v>60.9</v>
      </c>
      <c r="C42" s="66">
        <v>60.9</v>
      </c>
      <c r="D42" s="66">
        <v>61.2</v>
      </c>
      <c r="E42" s="66">
        <v>61.2</v>
      </c>
      <c r="F42" s="66">
        <v>60.9</v>
      </c>
      <c r="G42" s="66">
        <v>60.9</v>
      </c>
      <c r="H42" s="66">
        <v>60.9</v>
      </c>
      <c r="I42" s="66">
        <v>60.9</v>
      </c>
      <c r="J42" s="66">
        <v>60.9</v>
      </c>
      <c r="K42" s="66">
        <v>60.9</v>
      </c>
      <c r="L42" s="66">
        <v>60.9</v>
      </c>
      <c r="M42" s="51">
        <v>60.9</v>
      </c>
      <c r="N42" s="51">
        <v>60.9</v>
      </c>
      <c r="O42" s="51">
        <v>60.9</v>
      </c>
      <c r="P42" s="51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0</v>
      </c>
      <c r="Z42" s="51">
        <v>0</v>
      </c>
      <c r="AA42" s="51">
        <v>60.9</v>
      </c>
      <c r="AB42" s="51">
        <v>60.9</v>
      </c>
      <c r="AC42" s="51">
        <v>60.9</v>
      </c>
      <c r="AD42" s="51">
        <v>60.9</v>
      </c>
      <c r="AE42" s="51">
        <v>60.9</v>
      </c>
      <c r="AF42" s="51">
        <v>60.9</v>
      </c>
      <c r="AG42" s="64">
        <v>60</v>
      </c>
      <c r="AH42" s="55">
        <f t="shared" si="2"/>
        <v>61.2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28.2</v>
      </c>
      <c r="C43" s="66">
        <v>28.3</v>
      </c>
      <c r="D43" s="66">
        <v>28.4</v>
      </c>
      <c r="E43" s="66">
        <v>28.4</v>
      </c>
      <c r="F43" s="66">
        <v>28.3</v>
      </c>
      <c r="G43" s="66">
        <v>28.3</v>
      </c>
      <c r="H43" s="66">
        <v>28.4</v>
      </c>
      <c r="I43" s="66">
        <v>28.4</v>
      </c>
      <c r="J43" s="66">
        <v>28.6</v>
      </c>
      <c r="K43" s="66">
        <v>28.6</v>
      </c>
      <c r="L43" s="66">
        <v>28.6</v>
      </c>
      <c r="M43" s="51">
        <v>28.4</v>
      </c>
      <c r="N43" s="51">
        <v>28.4</v>
      </c>
      <c r="O43" s="51">
        <v>28.4</v>
      </c>
      <c r="P43" s="51">
        <v>28.4</v>
      </c>
      <c r="Q43" s="51">
        <v>28.9</v>
      </c>
      <c r="R43" s="51">
        <v>28.9</v>
      </c>
      <c r="S43" s="51">
        <v>28.9</v>
      </c>
      <c r="T43" s="51">
        <v>28.9</v>
      </c>
      <c r="U43" s="51">
        <v>28.9</v>
      </c>
      <c r="V43" s="51">
        <v>28.9</v>
      </c>
      <c r="W43" s="51">
        <v>28.9</v>
      </c>
      <c r="X43" s="51">
        <v>28.9</v>
      </c>
      <c r="Y43" s="51">
        <v>28.9</v>
      </c>
      <c r="Z43" s="51">
        <v>28.9</v>
      </c>
      <c r="AA43" s="51">
        <v>28.9</v>
      </c>
      <c r="AB43" s="51">
        <v>28.9</v>
      </c>
      <c r="AC43" s="51">
        <v>28.9</v>
      </c>
      <c r="AD43" s="51">
        <v>28.9</v>
      </c>
      <c r="AE43" s="51">
        <v>28.9</v>
      </c>
      <c r="AF43" s="51">
        <v>28.9</v>
      </c>
      <c r="AG43" s="64">
        <v>30</v>
      </c>
      <c r="AH43" s="55">
        <f t="shared" si="2"/>
        <v>28.9</v>
      </c>
      <c r="AI43" s="56">
        <f t="shared" si="3"/>
        <v>28.2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5</v>
      </c>
      <c r="M44" s="51">
        <v>5</v>
      </c>
      <c r="N44" s="51">
        <v>5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15</v>
      </c>
      <c r="C45" s="49">
        <v>8</v>
      </c>
      <c r="D45" s="49">
        <v>7</v>
      </c>
      <c r="E45" s="49">
        <v>7</v>
      </c>
      <c r="F45" s="49">
        <v>8</v>
      </c>
      <c r="G45" s="49">
        <v>8</v>
      </c>
      <c r="H45" s="49">
        <v>7.9</v>
      </c>
      <c r="I45" s="49">
        <v>7.9</v>
      </c>
      <c r="J45" s="49">
        <v>11.8</v>
      </c>
      <c r="K45" s="49">
        <v>11.8</v>
      </c>
      <c r="L45" s="49">
        <v>10.6</v>
      </c>
      <c r="M45" s="51">
        <v>10.6</v>
      </c>
      <c r="N45" s="51">
        <v>10.6</v>
      </c>
      <c r="O45" s="51">
        <v>8.8000000000000007</v>
      </c>
      <c r="P45" s="51">
        <v>5</v>
      </c>
      <c r="Q45" s="51">
        <v>3.8</v>
      </c>
      <c r="R45" s="51">
        <v>3.8</v>
      </c>
      <c r="S45" s="51">
        <v>3.8</v>
      </c>
      <c r="T45" s="51">
        <v>3.8</v>
      </c>
      <c r="U45" s="51">
        <v>3.8</v>
      </c>
      <c r="V45" s="51">
        <v>3.8</v>
      </c>
      <c r="W45" s="51">
        <v>3.8</v>
      </c>
      <c r="X45" s="51">
        <v>3.8</v>
      </c>
      <c r="Y45" s="51">
        <v>3.8</v>
      </c>
      <c r="Z45" s="51">
        <v>3.8</v>
      </c>
      <c r="AA45" s="51">
        <v>14</v>
      </c>
      <c r="AB45" s="51">
        <v>14</v>
      </c>
      <c r="AC45" s="51">
        <v>14</v>
      </c>
      <c r="AD45" s="51">
        <v>14</v>
      </c>
      <c r="AE45" s="51">
        <v>14</v>
      </c>
      <c r="AF45" s="51">
        <v>15</v>
      </c>
      <c r="AG45" s="64">
        <v>24</v>
      </c>
      <c r="AH45" s="55">
        <f t="shared" si="2"/>
        <v>15</v>
      </c>
      <c r="AI45" s="56">
        <f t="shared" si="3"/>
        <v>3.8</v>
      </c>
      <c r="AK45" s="57"/>
    </row>
    <row r="46" spans="1:88" x14ac:dyDescent="0.25">
      <c r="A46" s="63" t="s">
        <v>54</v>
      </c>
      <c r="B46" s="49">
        <v>2.7</v>
      </c>
      <c r="C46" s="49">
        <v>2.7</v>
      </c>
      <c r="D46" s="49">
        <v>2.7</v>
      </c>
      <c r="E46" s="49">
        <v>2.7</v>
      </c>
      <c r="F46" s="49">
        <v>2.7</v>
      </c>
      <c r="G46" s="49">
        <v>2.7</v>
      </c>
      <c r="H46" s="49">
        <v>2.7</v>
      </c>
      <c r="I46" s="49">
        <v>2.7</v>
      </c>
      <c r="J46" s="49">
        <v>2.7</v>
      </c>
      <c r="K46" s="49">
        <v>2.7</v>
      </c>
      <c r="L46" s="49">
        <v>2.7</v>
      </c>
      <c r="M46" s="51">
        <v>2.7</v>
      </c>
      <c r="N46" s="51">
        <v>2.7</v>
      </c>
      <c r="O46" s="51">
        <v>2.7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4">
        <v>15</v>
      </c>
      <c r="AH46" s="55">
        <f t="shared" si="2"/>
        <v>2.7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10</v>
      </c>
      <c r="C47" s="49">
        <v>7</v>
      </c>
      <c r="D47" s="49">
        <v>7</v>
      </c>
      <c r="E47" s="49">
        <v>7</v>
      </c>
      <c r="F47" s="49">
        <v>7</v>
      </c>
      <c r="G47" s="49">
        <v>7</v>
      </c>
      <c r="H47" s="49">
        <v>7</v>
      </c>
      <c r="I47" s="49">
        <v>7</v>
      </c>
      <c r="J47" s="49">
        <v>10</v>
      </c>
      <c r="K47" s="49">
        <v>10</v>
      </c>
      <c r="L47" s="49">
        <v>9</v>
      </c>
      <c r="M47" s="51">
        <v>9</v>
      </c>
      <c r="N47" s="51">
        <v>9</v>
      </c>
      <c r="O47" s="51">
        <v>6</v>
      </c>
      <c r="P47" s="51">
        <v>6</v>
      </c>
      <c r="Q47" s="51">
        <v>4</v>
      </c>
      <c r="R47" s="51">
        <v>3.7</v>
      </c>
      <c r="S47" s="51">
        <v>3.7</v>
      </c>
      <c r="T47" s="51">
        <v>3.7</v>
      </c>
      <c r="U47" s="51">
        <v>3.7</v>
      </c>
      <c r="V47" s="51">
        <v>2.6</v>
      </c>
      <c r="W47" s="51">
        <v>2.6</v>
      </c>
      <c r="X47" s="51">
        <v>1.6</v>
      </c>
      <c r="Y47" s="51">
        <v>1.6</v>
      </c>
      <c r="Z47" s="51">
        <v>1.6</v>
      </c>
      <c r="AA47" s="51">
        <v>8.9</v>
      </c>
      <c r="AB47" s="51">
        <v>8.9</v>
      </c>
      <c r="AC47" s="51">
        <v>8.9</v>
      </c>
      <c r="AD47" s="51">
        <v>8.9</v>
      </c>
      <c r="AE47" s="51">
        <v>8.9</v>
      </c>
      <c r="AF47" s="51">
        <v>8.9</v>
      </c>
      <c r="AG47" s="64">
        <v>14.1</v>
      </c>
      <c r="AH47" s="55">
        <f t="shared" si="2"/>
        <v>10</v>
      </c>
      <c r="AI47" s="56">
        <f t="shared" si="3"/>
        <v>1.6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14</v>
      </c>
      <c r="C48" s="49">
        <v>14</v>
      </c>
      <c r="D48" s="49">
        <v>14</v>
      </c>
      <c r="E48" s="49">
        <v>14</v>
      </c>
      <c r="F48" s="49">
        <v>14</v>
      </c>
      <c r="G48" s="49">
        <v>14</v>
      </c>
      <c r="H48" s="49">
        <v>14</v>
      </c>
      <c r="I48" s="49">
        <v>14</v>
      </c>
      <c r="J48" s="49">
        <v>14</v>
      </c>
      <c r="K48" s="49">
        <v>14</v>
      </c>
      <c r="L48" s="49">
        <v>14</v>
      </c>
      <c r="M48" s="51">
        <v>13.8</v>
      </c>
      <c r="N48" s="51">
        <v>13.8</v>
      </c>
      <c r="O48" s="51">
        <v>13.8</v>
      </c>
      <c r="P48" s="51">
        <v>13.8</v>
      </c>
      <c r="Q48" s="51">
        <v>14</v>
      </c>
      <c r="R48" s="51">
        <v>14</v>
      </c>
      <c r="S48" s="51">
        <v>14</v>
      </c>
      <c r="T48" s="51">
        <v>14</v>
      </c>
      <c r="U48" s="51">
        <v>14</v>
      </c>
      <c r="V48" s="51">
        <v>14</v>
      </c>
      <c r="W48" s="51">
        <v>14</v>
      </c>
      <c r="X48" s="51">
        <v>14</v>
      </c>
      <c r="Y48" s="51">
        <v>14</v>
      </c>
      <c r="Z48" s="51">
        <v>14</v>
      </c>
      <c r="AA48" s="51">
        <v>14</v>
      </c>
      <c r="AB48" s="51">
        <v>14</v>
      </c>
      <c r="AC48" s="51">
        <v>14</v>
      </c>
      <c r="AD48" s="51">
        <v>0</v>
      </c>
      <c r="AE48" s="51">
        <v>0</v>
      </c>
      <c r="AF48" s="51">
        <v>0</v>
      </c>
      <c r="AG48" s="64">
        <v>14</v>
      </c>
      <c r="AH48" s="55">
        <f t="shared" si="2"/>
        <v>14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9.5</v>
      </c>
      <c r="C49" s="49">
        <v>9.5</v>
      </c>
      <c r="D49" s="49">
        <v>9.5</v>
      </c>
      <c r="E49" s="49">
        <v>9.5</v>
      </c>
      <c r="F49" s="49">
        <v>9.1999999999999993</v>
      </c>
      <c r="G49" s="49">
        <v>9.1999999999999993</v>
      </c>
      <c r="H49" s="49">
        <v>9.4</v>
      </c>
      <c r="I49" s="49">
        <v>9.4</v>
      </c>
      <c r="J49" s="49">
        <v>9.4</v>
      </c>
      <c r="K49" s="49">
        <v>9.4</v>
      </c>
      <c r="L49" s="49">
        <v>9.4</v>
      </c>
      <c r="M49" s="51">
        <v>9.4</v>
      </c>
      <c r="N49" s="51">
        <v>9.4</v>
      </c>
      <c r="O49" s="51">
        <v>9.4</v>
      </c>
      <c r="P49" s="51">
        <v>9.4</v>
      </c>
      <c r="Q49" s="51">
        <v>9</v>
      </c>
      <c r="R49" s="51">
        <v>8.1999999999999993</v>
      </c>
      <c r="S49" s="51">
        <v>8.1999999999999993</v>
      </c>
      <c r="T49" s="51">
        <v>8.1999999999999993</v>
      </c>
      <c r="U49" s="51">
        <v>8.1999999999999993</v>
      </c>
      <c r="V49" s="51">
        <v>13.9</v>
      </c>
      <c r="W49" s="51">
        <v>13.9</v>
      </c>
      <c r="X49" s="51">
        <v>13.9</v>
      </c>
      <c r="Y49" s="51">
        <v>13.9</v>
      </c>
      <c r="Z49" s="51">
        <v>13.9</v>
      </c>
      <c r="AA49" s="51">
        <v>13.9</v>
      </c>
      <c r="AB49" s="51">
        <v>13.9</v>
      </c>
      <c r="AC49" s="51">
        <v>13.9</v>
      </c>
      <c r="AD49" s="51">
        <v>13.9</v>
      </c>
      <c r="AE49" s="51">
        <v>13.9</v>
      </c>
      <c r="AF49" s="51">
        <v>13.9</v>
      </c>
      <c r="AG49" s="64">
        <v>10.050000000000001</v>
      </c>
      <c r="AH49" s="55">
        <f t="shared" si="2"/>
        <v>13.9</v>
      </c>
      <c r="AI49" s="56">
        <f t="shared" si="3"/>
        <v>8.1999999999999993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51">
        <v>6</v>
      </c>
      <c r="N50" s="51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51">
        <v>6</v>
      </c>
      <c r="AC50" s="51">
        <v>6</v>
      </c>
      <c r="AD50" s="51">
        <v>6</v>
      </c>
      <c r="AE50" s="51">
        <v>6</v>
      </c>
      <c r="AF50" s="51">
        <v>6</v>
      </c>
      <c r="AG50" s="64">
        <v>6.2</v>
      </c>
      <c r="AH50" s="55">
        <f t="shared" si="2"/>
        <v>6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8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9">SUM(B39:B51)</f>
        <v>430.44</v>
      </c>
      <c r="C52" s="70">
        <f t="shared" ref="C52:AF52" si="10">SUM(C39:C51)</f>
        <v>418.14</v>
      </c>
      <c r="D52" s="70">
        <f t="shared" si="10"/>
        <v>417.34</v>
      </c>
      <c r="E52" s="70">
        <f t="shared" si="10"/>
        <v>416.74</v>
      </c>
      <c r="F52" s="70">
        <f t="shared" si="10"/>
        <v>418.94</v>
      </c>
      <c r="G52" s="70">
        <f t="shared" si="10"/>
        <v>419.64</v>
      </c>
      <c r="H52" s="70">
        <f t="shared" si="10"/>
        <v>420.63999999999987</v>
      </c>
      <c r="I52" s="70">
        <f t="shared" si="10"/>
        <v>420.43999999999988</v>
      </c>
      <c r="J52" s="70">
        <f t="shared" si="10"/>
        <v>424.14</v>
      </c>
      <c r="K52" s="70">
        <f t="shared" si="10"/>
        <v>426.64</v>
      </c>
      <c r="L52" s="70">
        <f t="shared" si="10"/>
        <v>429.44</v>
      </c>
      <c r="M52" s="70">
        <f t="shared" si="10"/>
        <v>429.03999999999996</v>
      </c>
      <c r="N52" s="70">
        <f t="shared" si="10"/>
        <v>429.03999999999996</v>
      </c>
      <c r="O52" s="70">
        <f t="shared" si="10"/>
        <v>427.23999999999995</v>
      </c>
      <c r="P52" s="70">
        <f t="shared" si="10"/>
        <v>420.73999999999995</v>
      </c>
      <c r="Q52" s="70">
        <f t="shared" si="10"/>
        <v>415.84</v>
      </c>
      <c r="R52" s="70">
        <f t="shared" si="10"/>
        <v>415.43999999999994</v>
      </c>
      <c r="S52" s="70">
        <f t="shared" si="10"/>
        <v>411.03999999999996</v>
      </c>
      <c r="T52" s="70">
        <f t="shared" si="10"/>
        <v>410.43999999999994</v>
      </c>
      <c r="U52" s="70">
        <f t="shared" si="10"/>
        <v>413.84</v>
      </c>
      <c r="V52" s="70">
        <f t="shared" si="10"/>
        <v>419.53999999999996</v>
      </c>
      <c r="W52" s="70">
        <f t="shared" si="10"/>
        <v>418.44</v>
      </c>
      <c r="X52" s="70">
        <f t="shared" si="10"/>
        <v>417.44</v>
      </c>
      <c r="Y52" s="70">
        <f t="shared" si="10"/>
        <v>356.54</v>
      </c>
      <c r="Z52" s="70">
        <f t="shared" si="10"/>
        <v>348.54</v>
      </c>
      <c r="AA52" s="70">
        <f t="shared" si="10"/>
        <v>426.93999999999994</v>
      </c>
      <c r="AB52" s="70">
        <f t="shared" si="10"/>
        <v>427.93999999999994</v>
      </c>
      <c r="AC52" s="70">
        <f t="shared" si="10"/>
        <v>427.93999999999994</v>
      </c>
      <c r="AD52" s="70">
        <f t="shared" si="10"/>
        <v>413.93999999999994</v>
      </c>
      <c r="AE52" s="70">
        <f t="shared" si="10"/>
        <v>413.93999999999994</v>
      </c>
      <c r="AF52" s="70">
        <f t="shared" si="10"/>
        <v>414.93999999999994</v>
      </c>
      <c r="AG52" s="74">
        <f>SUM(AG39:AG51)</f>
        <v>489.91</v>
      </c>
      <c r="AH52" s="55">
        <f t="shared" si="2"/>
        <v>430.44</v>
      </c>
      <c r="AI52" s="56">
        <f t="shared" si="3"/>
        <v>348.54</v>
      </c>
      <c r="AK52" s="57"/>
    </row>
    <row r="53" spans="1:37" x14ac:dyDescent="0.25">
      <c r="A53" s="58" t="s">
        <v>61</v>
      </c>
      <c r="B53" s="51">
        <v>10</v>
      </c>
      <c r="C53" s="51">
        <v>10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20</v>
      </c>
      <c r="P53" s="51">
        <v>20</v>
      </c>
      <c r="Q53" s="51">
        <v>30</v>
      </c>
      <c r="R53" s="51">
        <v>29.4</v>
      </c>
      <c r="S53" s="51">
        <v>10.3</v>
      </c>
      <c r="T53" s="51">
        <v>10</v>
      </c>
      <c r="U53" s="51">
        <v>29.9</v>
      </c>
      <c r="V53" s="51">
        <v>10.4</v>
      </c>
      <c r="W53" s="51">
        <v>44.1</v>
      </c>
      <c r="X53" s="51">
        <v>10</v>
      </c>
      <c r="Y53" s="51">
        <v>0</v>
      </c>
      <c r="Z53" s="51">
        <v>30.5</v>
      </c>
      <c r="AA53" s="51">
        <v>42.8</v>
      </c>
      <c r="AB53" s="51">
        <v>49.6</v>
      </c>
      <c r="AC53" s="51">
        <v>59.5</v>
      </c>
      <c r="AD53" s="51">
        <v>59.5</v>
      </c>
      <c r="AE53" s="51">
        <v>20</v>
      </c>
      <c r="AF53" s="51">
        <v>0</v>
      </c>
      <c r="AG53" s="60">
        <v>60</v>
      </c>
      <c r="AH53" s="55">
        <f t="shared" si="2"/>
        <v>59.5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7.7</v>
      </c>
      <c r="C54" s="49">
        <v>7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10.9</v>
      </c>
      <c r="P54" s="49">
        <v>16.2</v>
      </c>
      <c r="Q54" s="49">
        <v>16.100000000000001</v>
      </c>
      <c r="R54" s="49">
        <v>16.399999999999999</v>
      </c>
      <c r="S54" s="49">
        <v>4.8</v>
      </c>
      <c r="T54" s="49">
        <v>10</v>
      </c>
      <c r="U54" s="49">
        <v>15.5</v>
      </c>
      <c r="V54" s="49">
        <v>7.9</v>
      </c>
      <c r="W54" s="49">
        <v>20.6</v>
      </c>
      <c r="X54" s="49">
        <v>20</v>
      </c>
      <c r="Y54" s="49">
        <v>0</v>
      </c>
      <c r="Z54" s="49">
        <v>15.1</v>
      </c>
      <c r="AA54" s="49">
        <v>20.9</v>
      </c>
      <c r="AB54" s="49">
        <v>23.3</v>
      </c>
      <c r="AC54" s="49">
        <v>31</v>
      </c>
      <c r="AD54" s="49">
        <v>31</v>
      </c>
      <c r="AE54" s="49">
        <v>10</v>
      </c>
      <c r="AF54" s="49">
        <v>0</v>
      </c>
      <c r="AG54" s="64">
        <v>32</v>
      </c>
      <c r="AH54" s="55">
        <f t="shared" si="2"/>
        <v>31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2.8</v>
      </c>
      <c r="C55" s="75">
        <v>2.6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4</v>
      </c>
      <c r="P55" s="75">
        <v>5.9</v>
      </c>
      <c r="Q55" s="75">
        <v>5.9</v>
      </c>
      <c r="R55" s="75">
        <v>6</v>
      </c>
      <c r="S55" s="75">
        <v>1.8</v>
      </c>
      <c r="T55" s="75">
        <v>3</v>
      </c>
      <c r="U55" s="75">
        <v>5.6</v>
      </c>
      <c r="V55" s="75">
        <v>2.9</v>
      </c>
      <c r="W55" s="75">
        <v>7.5</v>
      </c>
      <c r="X55" s="75">
        <v>7.4</v>
      </c>
      <c r="Y55" s="75">
        <v>0</v>
      </c>
      <c r="Z55" s="75">
        <v>5.5</v>
      </c>
      <c r="AA55" s="75">
        <v>7.6</v>
      </c>
      <c r="AB55" s="75">
        <v>8.5</v>
      </c>
      <c r="AC55" s="75">
        <v>11</v>
      </c>
      <c r="AD55" s="75">
        <v>11</v>
      </c>
      <c r="AE55" s="75">
        <v>3.6</v>
      </c>
      <c r="AF55" s="75">
        <v>0</v>
      </c>
      <c r="AG55" s="76">
        <v>14</v>
      </c>
      <c r="AH55" s="55">
        <f t="shared" si="2"/>
        <v>11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11">SUM(B53:B55)</f>
        <v>20.5</v>
      </c>
      <c r="C56" s="70">
        <f t="shared" ref="C56:AF56" si="12">SUM(C53:C55)</f>
        <v>19.600000000000001</v>
      </c>
      <c r="D56" s="70">
        <f t="shared" si="12"/>
        <v>0</v>
      </c>
      <c r="E56" s="70">
        <f t="shared" si="12"/>
        <v>0</v>
      </c>
      <c r="F56" s="70">
        <f t="shared" si="12"/>
        <v>0</v>
      </c>
      <c r="G56" s="70">
        <f t="shared" si="12"/>
        <v>0</v>
      </c>
      <c r="H56" s="70">
        <f t="shared" si="12"/>
        <v>0</v>
      </c>
      <c r="I56" s="70">
        <f t="shared" si="12"/>
        <v>0</v>
      </c>
      <c r="J56" s="70">
        <f t="shared" si="12"/>
        <v>0</v>
      </c>
      <c r="K56" s="70">
        <f t="shared" si="12"/>
        <v>0</v>
      </c>
      <c r="L56" s="70">
        <f t="shared" si="12"/>
        <v>0</v>
      </c>
      <c r="M56" s="70">
        <f t="shared" si="12"/>
        <v>0</v>
      </c>
      <c r="N56" s="70">
        <f t="shared" si="12"/>
        <v>0</v>
      </c>
      <c r="O56" s="70">
        <f t="shared" si="12"/>
        <v>34.9</v>
      </c>
      <c r="P56" s="70">
        <f t="shared" si="12"/>
        <v>42.1</v>
      </c>
      <c r="Q56" s="70">
        <f t="shared" si="12"/>
        <v>52</v>
      </c>
      <c r="R56" s="70">
        <f t="shared" si="12"/>
        <v>51.8</v>
      </c>
      <c r="S56" s="70">
        <f t="shared" si="12"/>
        <v>16.900000000000002</v>
      </c>
      <c r="T56" s="70">
        <f t="shared" si="12"/>
        <v>23</v>
      </c>
      <c r="U56" s="70">
        <f t="shared" si="12"/>
        <v>51</v>
      </c>
      <c r="V56" s="70">
        <f t="shared" si="12"/>
        <v>21.2</v>
      </c>
      <c r="W56" s="70">
        <f t="shared" si="12"/>
        <v>72.2</v>
      </c>
      <c r="X56" s="70">
        <f t="shared" si="12"/>
        <v>37.4</v>
      </c>
      <c r="Y56" s="70">
        <f t="shared" si="12"/>
        <v>0</v>
      </c>
      <c r="Z56" s="70">
        <f t="shared" si="12"/>
        <v>51.1</v>
      </c>
      <c r="AA56" s="70">
        <f t="shared" si="12"/>
        <v>71.3</v>
      </c>
      <c r="AB56" s="70">
        <f t="shared" si="12"/>
        <v>81.400000000000006</v>
      </c>
      <c r="AC56" s="70">
        <f t="shared" si="12"/>
        <v>101.5</v>
      </c>
      <c r="AD56" s="70">
        <f t="shared" si="12"/>
        <v>101.5</v>
      </c>
      <c r="AE56" s="70">
        <f t="shared" si="12"/>
        <v>33.6</v>
      </c>
      <c r="AF56" s="70">
        <f t="shared" si="12"/>
        <v>0</v>
      </c>
      <c r="AG56" s="74">
        <f>SUM(AG53:AG55)</f>
        <v>106</v>
      </c>
      <c r="AH56" s="55">
        <f t="shared" si="2"/>
        <v>101.5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68.3</v>
      </c>
      <c r="C57" s="51">
        <v>67</v>
      </c>
      <c r="D57" s="51">
        <v>55.5</v>
      </c>
      <c r="E57" s="51">
        <v>41.9</v>
      </c>
      <c r="F57" s="51">
        <v>42</v>
      </c>
      <c r="G57" s="51">
        <v>36</v>
      </c>
      <c r="H57" s="51">
        <v>36</v>
      </c>
      <c r="I57" s="51">
        <v>48.4</v>
      </c>
      <c r="J57" s="51">
        <v>50.5</v>
      </c>
      <c r="K57" s="51">
        <v>44.6</v>
      </c>
      <c r="L57" s="51">
        <v>65.8</v>
      </c>
      <c r="M57" s="51">
        <v>52.3</v>
      </c>
      <c r="N57" s="51">
        <v>55</v>
      </c>
      <c r="O57" s="51">
        <v>60.9</v>
      </c>
      <c r="P57" s="51">
        <v>62.3</v>
      </c>
      <c r="Q57" s="51">
        <v>62</v>
      </c>
      <c r="R57" s="51">
        <v>69.5</v>
      </c>
      <c r="S57" s="51">
        <v>60</v>
      </c>
      <c r="T57" s="51">
        <v>56.9</v>
      </c>
      <c r="U57" s="51">
        <v>57.3</v>
      </c>
      <c r="V57" s="51">
        <v>57.3</v>
      </c>
      <c r="W57" s="51">
        <v>35.700000000000003</v>
      </c>
      <c r="X57" s="51">
        <v>59.2</v>
      </c>
      <c r="Y57" s="51">
        <v>78.599999999999994</v>
      </c>
      <c r="Z57" s="51">
        <v>47.7</v>
      </c>
      <c r="AA57" s="51">
        <v>56.4</v>
      </c>
      <c r="AB57" s="51">
        <v>49.5</v>
      </c>
      <c r="AC57" s="51">
        <v>49.5</v>
      </c>
      <c r="AD57" s="51">
        <v>49.5</v>
      </c>
      <c r="AE57" s="51">
        <v>68</v>
      </c>
      <c r="AF57" s="51">
        <v>49</v>
      </c>
      <c r="AG57" s="60"/>
      <c r="AH57" s="55">
        <f t="shared" si="2"/>
        <v>78.599999999999994</v>
      </c>
      <c r="AI57" s="56">
        <f t="shared" si="3"/>
        <v>35.700000000000003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-359</v>
      </c>
      <c r="C59" s="49">
        <v>-367</v>
      </c>
      <c r="D59" s="49">
        <v>-365</v>
      </c>
      <c r="E59" s="49">
        <v>-355.5</v>
      </c>
      <c r="F59" s="49">
        <v>-362</v>
      </c>
      <c r="G59" s="49">
        <v>-385</v>
      </c>
      <c r="H59" s="49">
        <v>-390</v>
      </c>
      <c r="I59" s="49">
        <v>-387</v>
      </c>
      <c r="J59" s="49">
        <v>-360</v>
      </c>
      <c r="K59" s="49">
        <v>-310</v>
      </c>
      <c r="L59" s="49">
        <v>-300</v>
      </c>
      <c r="M59" s="49">
        <v>-279</v>
      </c>
      <c r="N59" s="49">
        <v>-269</v>
      </c>
      <c r="O59" s="49">
        <v>-222</v>
      </c>
      <c r="P59" s="49">
        <v>-236</v>
      </c>
      <c r="Q59" s="49">
        <v>-237</v>
      </c>
      <c r="R59" s="49">
        <v>-212</v>
      </c>
      <c r="S59" s="49">
        <v>-200</v>
      </c>
      <c r="T59" s="49">
        <v>-220</v>
      </c>
      <c r="U59" s="49">
        <v>-213.2</v>
      </c>
      <c r="V59" s="49">
        <v>-235</v>
      </c>
      <c r="W59" s="49">
        <v>-295</v>
      </c>
      <c r="X59" s="49">
        <v>-300</v>
      </c>
      <c r="Y59" s="49">
        <v>-210</v>
      </c>
      <c r="Z59" s="49">
        <v>-240</v>
      </c>
      <c r="AA59" s="49">
        <v>-224</v>
      </c>
      <c r="AB59" s="49">
        <v>-205</v>
      </c>
      <c r="AC59" s="49">
        <v>-205</v>
      </c>
      <c r="AD59" s="49">
        <v>-142</v>
      </c>
      <c r="AE59" s="49">
        <v>-295</v>
      </c>
      <c r="AF59" s="49">
        <v>-298</v>
      </c>
      <c r="AG59" s="77"/>
      <c r="AH59" s="55">
        <f t="shared" si="2"/>
        <v>-142</v>
      </c>
      <c r="AI59" s="56">
        <f t="shared" si="3"/>
        <v>-390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3">SUMIF(B57:B67,"&gt;0")</f>
        <v>73.3</v>
      </c>
      <c r="C68" s="70">
        <f t="shared" ref="C68:AF68" si="14">SUMIF(C57:C67,"&gt;0")</f>
        <v>72</v>
      </c>
      <c r="D68" s="70">
        <f t="shared" si="14"/>
        <v>60.5</v>
      </c>
      <c r="E68" s="70">
        <f t="shared" si="14"/>
        <v>46.9</v>
      </c>
      <c r="F68" s="70">
        <f t="shared" si="14"/>
        <v>47</v>
      </c>
      <c r="G68" s="70">
        <f t="shared" si="14"/>
        <v>41</v>
      </c>
      <c r="H68" s="70">
        <f t="shared" si="14"/>
        <v>41</v>
      </c>
      <c r="I68" s="70">
        <f t="shared" si="14"/>
        <v>53.4</v>
      </c>
      <c r="J68" s="70">
        <f t="shared" si="14"/>
        <v>55.5</v>
      </c>
      <c r="K68" s="70">
        <f t="shared" si="14"/>
        <v>49.6</v>
      </c>
      <c r="L68" s="70">
        <f t="shared" si="14"/>
        <v>70.8</v>
      </c>
      <c r="M68" s="70">
        <f t="shared" si="14"/>
        <v>57.3</v>
      </c>
      <c r="N68" s="70">
        <f t="shared" si="14"/>
        <v>60</v>
      </c>
      <c r="O68" s="70">
        <f t="shared" si="14"/>
        <v>65.900000000000006</v>
      </c>
      <c r="P68" s="70">
        <f t="shared" si="14"/>
        <v>67.3</v>
      </c>
      <c r="Q68" s="70">
        <f t="shared" si="14"/>
        <v>67</v>
      </c>
      <c r="R68" s="70">
        <f t="shared" si="14"/>
        <v>74.5</v>
      </c>
      <c r="S68" s="70">
        <f t="shared" si="14"/>
        <v>65</v>
      </c>
      <c r="T68" s="70">
        <f t="shared" si="14"/>
        <v>61.9</v>
      </c>
      <c r="U68" s="70">
        <f t="shared" si="14"/>
        <v>62.3</v>
      </c>
      <c r="V68" s="70">
        <f t="shared" si="14"/>
        <v>62.3</v>
      </c>
      <c r="W68" s="70">
        <f t="shared" si="14"/>
        <v>40.700000000000003</v>
      </c>
      <c r="X68" s="70">
        <f t="shared" si="14"/>
        <v>64.2</v>
      </c>
      <c r="Y68" s="70">
        <f t="shared" si="14"/>
        <v>83.6</v>
      </c>
      <c r="Z68" s="70">
        <f t="shared" si="14"/>
        <v>52.7</v>
      </c>
      <c r="AA68" s="70">
        <f t="shared" si="14"/>
        <v>61.4</v>
      </c>
      <c r="AB68" s="70">
        <f t="shared" si="14"/>
        <v>54.5</v>
      </c>
      <c r="AC68" s="70">
        <f t="shared" si="14"/>
        <v>54.5</v>
      </c>
      <c r="AD68" s="70">
        <f t="shared" si="14"/>
        <v>54.5</v>
      </c>
      <c r="AE68" s="70">
        <f t="shared" si="14"/>
        <v>73</v>
      </c>
      <c r="AF68" s="70">
        <f t="shared" si="14"/>
        <v>54</v>
      </c>
      <c r="AG68" s="74">
        <f>SUM(AG57:AG67)</f>
        <v>0</v>
      </c>
      <c r="AH68" s="55">
        <f t="shared" si="2"/>
        <v>83.6</v>
      </c>
      <c r="AI68" s="56">
        <f t="shared" si="3"/>
        <v>40.700000000000003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5">B38+B52+B68+B72</f>
        <v>1781.0400000000002</v>
      </c>
      <c r="C73" s="84">
        <f t="shared" ref="C73:AF73" si="16">C38+C52+C68+C72</f>
        <v>1762.44</v>
      </c>
      <c r="D73" s="84">
        <f t="shared" si="16"/>
        <v>1750.14</v>
      </c>
      <c r="E73" s="84">
        <f t="shared" si="16"/>
        <v>1743.9400000000003</v>
      </c>
      <c r="F73" s="84">
        <f t="shared" si="16"/>
        <v>1746.2400000000002</v>
      </c>
      <c r="G73" s="84">
        <f t="shared" si="16"/>
        <v>1741.94</v>
      </c>
      <c r="H73" s="84">
        <f t="shared" si="16"/>
        <v>1737.94</v>
      </c>
      <c r="I73" s="84">
        <f t="shared" si="16"/>
        <v>1750.14</v>
      </c>
      <c r="J73" s="84">
        <f t="shared" si="16"/>
        <v>1755.94</v>
      </c>
      <c r="K73" s="84">
        <f t="shared" si="16"/>
        <v>1752.54</v>
      </c>
      <c r="L73" s="84">
        <f t="shared" si="16"/>
        <v>1781.5400000000002</v>
      </c>
      <c r="M73" s="84">
        <f t="shared" si="16"/>
        <v>1772.64</v>
      </c>
      <c r="N73" s="84">
        <f t="shared" si="16"/>
        <v>1782.3400000000001</v>
      </c>
      <c r="O73" s="84">
        <f t="shared" si="16"/>
        <v>1775.4400000000003</v>
      </c>
      <c r="P73" s="84">
        <f t="shared" si="16"/>
        <v>1770.3400000000001</v>
      </c>
      <c r="Q73" s="84">
        <f t="shared" si="16"/>
        <v>1765.14</v>
      </c>
      <c r="R73" s="84">
        <f t="shared" si="16"/>
        <v>1785.2400000000002</v>
      </c>
      <c r="S73" s="84">
        <f t="shared" si="16"/>
        <v>1771.3400000000001</v>
      </c>
      <c r="T73" s="84">
        <f t="shared" si="16"/>
        <v>1767.6400000000003</v>
      </c>
      <c r="U73" s="84">
        <f t="shared" si="16"/>
        <v>1705.44</v>
      </c>
      <c r="V73" s="84">
        <f t="shared" si="16"/>
        <v>1716.14</v>
      </c>
      <c r="W73" s="84">
        <f t="shared" si="16"/>
        <v>1663.4400000000003</v>
      </c>
      <c r="X73" s="84">
        <f t="shared" si="16"/>
        <v>1705.9400000000003</v>
      </c>
      <c r="Y73" s="84">
        <f t="shared" si="16"/>
        <v>1669.44</v>
      </c>
      <c r="Z73" s="84">
        <f t="shared" si="16"/>
        <v>1696.5400000000002</v>
      </c>
      <c r="AA73" s="84">
        <f t="shared" si="16"/>
        <v>1781.3400000000001</v>
      </c>
      <c r="AB73" s="84">
        <f t="shared" si="16"/>
        <v>1775.44</v>
      </c>
      <c r="AC73" s="84">
        <f t="shared" si="16"/>
        <v>1775.44</v>
      </c>
      <c r="AD73" s="84">
        <f t="shared" si="16"/>
        <v>1701.44</v>
      </c>
      <c r="AE73" s="84">
        <f t="shared" si="16"/>
        <v>1752.94</v>
      </c>
      <c r="AF73" s="84">
        <f t="shared" si="16"/>
        <v>1736.94</v>
      </c>
      <c r="AG73" s="84">
        <f t="shared" ref="AG73" si="17">AG68+AG56+AG52+AG38+AG72</f>
        <v>2144.14</v>
      </c>
      <c r="AH73" s="55">
        <f t="shared" si="2"/>
        <v>1785.2400000000002</v>
      </c>
      <c r="AI73" s="56">
        <f t="shared" si="3"/>
        <v>1663.4400000000003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>
        <v>20</v>
      </c>
      <c r="M74" s="86">
        <v>20</v>
      </c>
      <c r="N74" s="86">
        <v>5</v>
      </c>
      <c r="O74" s="86">
        <v>10</v>
      </c>
      <c r="P74" s="86">
        <v>5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20</v>
      </c>
      <c r="AI74" s="56">
        <f t="shared" si="3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8">B73+B74</f>
        <v>1781.0400000000002</v>
      </c>
      <c r="C75" s="84">
        <f t="shared" ref="C75:AF75" si="19">C73+C74</f>
        <v>1762.44</v>
      </c>
      <c r="D75" s="84">
        <f t="shared" si="19"/>
        <v>1750.14</v>
      </c>
      <c r="E75" s="84">
        <f t="shared" si="19"/>
        <v>1743.9400000000003</v>
      </c>
      <c r="F75" s="84">
        <f t="shared" si="19"/>
        <v>1746.2400000000002</v>
      </c>
      <c r="G75" s="84">
        <f t="shared" si="19"/>
        <v>1741.94</v>
      </c>
      <c r="H75" s="84">
        <f t="shared" si="19"/>
        <v>1737.94</v>
      </c>
      <c r="I75" s="84">
        <f t="shared" si="19"/>
        <v>1750.14</v>
      </c>
      <c r="J75" s="84">
        <f t="shared" si="19"/>
        <v>1755.94</v>
      </c>
      <c r="K75" s="84">
        <f t="shared" si="19"/>
        <v>1752.54</v>
      </c>
      <c r="L75" s="84">
        <f t="shared" si="19"/>
        <v>1801.5400000000002</v>
      </c>
      <c r="M75" s="84">
        <f t="shared" si="19"/>
        <v>1792.64</v>
      </c>
      <c r="N75" s="84">
        <f t="shared" si="19"/>
        <v>1787.3400000000001</v>
      </c>
      <c r="O75" s="84">
        <f t="shared" si="19"/>
        <v>1785.4400000000003</v>
      </c>
      <c r="P75" s="84">
        <f t="shared" si="19"/>
        <v>1775.3400000000001</v>
      </c>
      <c r="Q75" s="84">
        <f t="shared" si="19"/>
        <v>1765.14</v>
      </c>
      <c r="R75" s="84">
        <f t="shared" si="19"/>
        <v>1785.2400000000002</v>
      </c>
      <c r="S75" s="84">
        <f t="shared" si="19"/>
        <v>1771.3400000000001</v>
      </c>
      <c r="T75" s="84">
        <f t="shared" si="19"/>
        <v>1767.6400000000003</v>
      </c>
      <c r="U75" s="84">
        <f t="shared" si="19"/>
        <v>1705.44</v>
      </c>
      <c r="V75" s="84">
        <f t="shared" si="19"/>
        <v>1716.14</v>
      </c>
      <c r="W75" s="84">
        <f t="shared" si="19"/>
        <v>1663.4400000000003</v>
      </c>
      <c r="X75" s="84">
        <f t="shared" si="19"/>
        <v>1705.9400000000003</v>
      </c>
      <c r="Y75" s="84">
        <f t="shared" si="19"/>
        <v>1669.44</v>
      </c>
      <c r="Z75" s="84">
        <f t="shared" si="19"/>
        <v>1696.5400000000002</v>
      </c>
      <c r="AA75" s="84">
        <f t="shared" si="19"/>
        <v>1781.3400000000001</v>
      </c>
      <c r="AB75" s="84">
        <f t="shared" si="19"/>
        <v>1775.44</v>
      </c>
      <c r="AC75" s="84">
        <f t="shared" si="19"/>
        <v>1775.44</v>
      </c>
      <c r="AD75" s="84">
        <f t="shared" si="19"/>
        <v>1701.44</v>
      </c>
      <c r="AE75" s="84">
        <f t="shared" si="19"/>
        <v>1752.94</v>
      </c>
      <c r="AF75" s="84">
        <f t="shared" si="19"/>
        <v>1736.94</v>
      </c>
      <c r="AG75" s="74">
        <f>AG72+AG68+AG56+AG52+AG38+AG74</f>
        <v>2144.14</v>
      </c>
      <c r="AH75" s="55">
        <f t="shared" si="2"/>
        <v>1801.5400000000002</v>
      </c>
      <c r="AI75" s="56">
        <f t="shared" si="3"/>
        <v>1663.4400000000003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20">IF(B60&lt;0,B60*-1,0)</f>
        <v>0</v>
      </c>
      <c r="C76" s="78">
        <f t="shared" ref="C76:AF76" si="21">IF(C60&lt;0,C60*-1,0)</f>
        <v>0</v>
      </c>
      <c r="D76" s="78">
        <f t="shared" si="21"/>
        <v>0</v>
      </c>
      <c r="E76" s="78">
        <f t="shared" si="21"/>
        <v>0</v>
      </c>
      <c r="F76" s="78">
        <f t="shared" si="21"/>
        <v>0</v>
      </c>
      <c r="G76" s="78">
        <f t="shared" si="21"/>
        <v>0</v>
      </c>
      <c r="H76" s="78">
        <f t="shared" si="21"/>
        <v>0</v>
      </c>
      <c r="I76" s="78">
        <f t="shared" si="21"/>
        <v>0</v>
      </c>
      <c r="J76" s="78">
        <f t="shared" si="21"/>
        <v>0</v>
      </c>
      <c r="K76" s="78">
        <f t="shared" si="21"/>
        <v>0</v>
      </c>
      <c r="L76" s="78">
        <f t="shared" si="21"/>
        <v>0</v>
      </c>
      <c r="M76" s="78">
        <f t="shared" si="21"/>
        <v>0</v>
      </c>
      <c r="N76" s="78">
        <f t="shared" si="21"/>
        <v>0</v>
      </c>
      <c r="O76" s="78">
        <f t="shared" si="21"/>
        <v>0</v>
      </c>
      <c r="P76" s="78">
        <f t="shared" si="21"/>
        <v>0</v>
      </c>
      <c r="Q76" s="78">
        <f t="shared" si="21"/>
        <v>0</v>
      </c>
      <c r="R76" s="78">
        <f t="shared" si="21"/>
        <v>0</v>
      </c>
      <c r="S76" s="78">
        <f t="shared" si="21"/>
        <v>0</v>
      </c>
      <c r="T76" s="78">
        <f t="shared" si="21"/>
        <v>0</v>
      </c>
      <c r="U76" s="78">
        <f t="shared" si="21"/>
        <v>0</v>
      </c>
      <c r="V76" s="78">
        <f t="shared" si="21"/>
        <v>0</v>
      </c>
      <c r="W76" s="78">
        <f t="shared" si="21"/>
        <v>0</v>
      </c>
      <c r="X76" s="78">
        <f t="shared" si="21"/>
        <v>0</v>
      </c>
      <c r="Y76" s="78">
        <f t="shared" si="21"/>
        <v>0</v>
      </c>
      <c r="Z76" s="78">
        <f t="shared" si="21"/>
        <v>0</v>
      </c>
      <c r="AA76" s="78">
        <f t="shared" si="21"/>
        <v>0</v>
      </c>
      <c r="AB76" s="78">
        <f t="shared" si="21"/>
        <v>0</v>
      </c>
      <c r="AC76" s="78">
        <f t="shared" si="21"/>
        <v>0</v>
      </c>
      <c r="AD76" s="78">
        <f t="shared" si="21"/>
        <v>0</v>
      </c>
      <c r="AE76" s="78">
        <f t="shared" si="21"/>
        <v>0</v>
      </c>
      <c r="AF76" s="78">
        <f t="shared" si="21"/>
        <v>0</v>
      </c>
      <c r="AG76" s="60"/>
      <c r="AH76" s="55">
        <f t="shared" ref="AH76:AH91" si="22">MAX(B76:AF76)</f>
        <v>0</v>
      </c>
      <c r="AI76" s="56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4">IF(B58&lt;0,B58*-1,0)</f>
        <v>0</v>
      </c>
      <c r="C77" s="78">
        <f t="shared" ref="C77:AF77" si="25">IF(C58&lt;0,C58*-1,0)</f>
        <v>0</v>
      </c>
      <c r="D77" s="78">
        <f t="shared" si="25"/>
        <v>0</v>
      </c>
      <c r="E77" s="78">
        <f t="shared" si="25"/>
        <v>0</v>
      </c>
      <c r="F77" s="78">
        <f t="shared" si="25"/>
        <v>0</v>
      </c>
      <c r="G77" s="78">
        <f t="shared" si="25"/>
        <v>0</v>
      </c>
      <c r="H77" s="78">
        <f t="shared" si="25"/>
        <v>0</v>
      </c>
      <c r="I77" s="78">
        <f t="shared" si="25"/>
        <v>0</v>
      </c>
      <c r="J77" s="78">
        <f t="shared" si="25"/>
        <v>0</v>
      </c>
      <c r="K77" s="78">
        <f t="shared" si="25"/>
        <v>0</v>
      </c>
      <c r="L77" s="78">
        <f t="shared" si="25"/>
        <v>0</v>
      </c>
      <c r="M77" s="78">
        <f t="shared" si="25"/>
        <v>0</v>
      </c>
      <c r="N77" s="78">
        <f t="shared" si="25"/>
        <v>0</v>
      </c>
      <c r="O77" s="78">
        <f t="shared" si="25"/>
        <v>0</v>
      </c>
      <c r="P77" s="78">
        <f t="shared" si="25"/>
        <v>0</v>
      </c>
      <c r="Q77" s="78">
        <f t="shared" si="25"/>
        <v>0</v>
      </c>
      <c r="R77" s="78">
        <f t="shared" si="25"/>
        <v>0</v>
      </c>
      <c r="S77" s="78">
        <f t="shared" si="25"/>
        <v>0</v>
      </c>
      <c r="T77" s="78">
        <f t="shared" si="25"/>
        <v>0</v>
      </c>
      <c r="U77" s="78">
        <f t="shared" si="25"/>
        <v>0</v>
      </c>
      <c r="V77" s="78">
        <f t="shared" si="25"/>
        <v>0</v>
      </c>
      <c r="W77" s="78">
        <f t="shared" si="25"/>
        <v>0</v>
      </c>
      <c r="X77" s="78">
        <f t="shared" si="25"/>
        <v>0</v>
      </c>
      <c r="Y77" s="78">
        <f t="shared" si="25"/>
        <v>0</v>
      </c>
      <c r="Z77" s="78">
        <f t="shared" si="25"/>
        <v>0</v>
      </c>
      <c r="AA77" s="78">
        <f t="shared" si="25"/>
        <v>0</v>
      </c>
      <c r="AB77" s="78">
        <f t="shared" si="25"/>
        <v>0</v>
      </c>
      <c r="AC77" s="78">
        <f t="shared" si="25"/>
        <v>0</v>
      </c>
      <c r="AD77" s="78">
        <f t="shared" si="25"/>
        <v>0</v>
      </c>
      <c r="AE77" s="78">
        <f t="shared" si="25"/>
        <v>0</v>
      </c>
      <c r="AF77" s="78">
        <f t="shared" si="25"/>
        <v>0</v>
      </c>
      <c r="AG77" s="64"/>
      <c r="AH77" s="55">
        <f t="shared" si="22"/>
        <v>0</v>
      </c>
      <c r="AI77" s="56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6">IF(B61&lt;0,B61*-1,0)</f>
        <v>0</v>
      </c>
      <c r="C78" s="78">
        <f t="shared" ref="C78:AF78" si="27">IF(C61&lt;0,C61*-1,0)</f>
        <v>0</v>
      </c>
      <c r="D78" s="78">
        <f t="shared" si="27"/>
        <v>0</v>
      </c>
      <c r="E78" s="78">
        <f t="shared" si="27"/>
        <v>0</v>
      </c>
      <c r="F78" s="78">
        <f t="shared" si="27"/>
        <v>0</v>
      </c>
      <c r="G78" s="78">
        <f t="shared" si="27"/>
        <v>0</v>
      </c>
      <c r="H78" s="78">
        <f t="shared" si="27"/>
        <v>0</v>
      </c>
      <c r="I78" s="78">
        <f t="shared" si="27"/>
        <v>0</v>
      </c>
      <c r="J78" s="78">
        <f t="shared" si="27"/>
        <v>0</v>
      </c>
      <c r="K78" s="78">
        <f t="shared" si="27"/>
        <v>0</v>
      </c>
      <c r="L78" s="78">
        <f t="shared" si="27"/>
        <v>0</v>
      </c>
      <c r="M78" s="78">
        <f t="shared" si="27"/>
        <v>0</v>
      </c>
      <c r="N78" s="78">
        <f t="shared" si="27"/>
        <v>0</v>
      </c>
      <c r="O78" s="78">
        <f t="shared" si="27"/>
        <v>0</v>
      </c>
      <c r="P78" s="78">
        <f t="shared" si="27"/>
        <v>0</v>
      </c>
      <c r="Q78" s="78">
        <f t="shared" si="27"/>
        <v>0</v>
      </c>
      <c r="R78" s="78">
        <f t="shared" si="27"/>
        <v>0</v>
      </c>
      <c r="S78" s="78">
        <f t="shared" si="27"/>
        <v>0</v>
      </c>
      <c r="T78" s="78">
        <f t="shared" si="27"/>
        <v>0</v>
      </c>
      <c r="U78" s="78">
        <f t="shared" si="27"/>
        <v>0</v>
      </c>
      <c r="V78" s="78">
        <f t="shared" si="27"/>
        <v>0</v>
      </c>
      <c r="W78" s="78">
        <f t="shared" si="27"/>
        <v>0</v>
      </c>
      <c r="X78" s="78">
        <f t="shared" si="27"/>
        <v>0</v>
      </c>
      <c r="Y78" s="78">
        <f t="shared" si="27"/>
        <v>0</v>
      </c>
      <c r="Z78" s="78">
        <f t="shared" si="27"/>
        <v>0</v>
      </c>
      <c r="AA78" s="78">
        <f t="shared" si="27"/>
        <v>0</v>
      </c>
      <c r="AB78" s="78">
        <f t="shared" si="27"/>
        <v>0</v>
      </c>
      <c r="AC78" s="78">
        <f t="shared" si="27"/>
        <v>0</v>
      </c>
      <c r="AD78" s="78">
        <f t="shared" si="27"/>
        <v>0</v>
      </c>
      <c r="AE78" s="78">
        <f t="shared" si="27"/>
        <v>0</v>
      </c>
      <c r="AF78" s="78">
        <f t="shared" si="27"/>
        <v>0</v>
      </c>
      <c r="AG78" s="87"/>
      <c r="AH78" s="55">
        <f t="shared" si="22"/>
        <v>0</v>
      </c>
      <c r="AI78" s="56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28">IF(B59&lt;0,B59*-1,0)</f>
        <v>359</v>
      </c>
      <c r="C79" s="78">
        <f t="shared" ref="C79:AF79" si="29">IF(C59&lt;0,C59*-1,0)</f>
        <v>367</v>
      </c>
      <c r="D79" s="78">
        <f t="shared" si="29"/>
        <v>365</v>
      </c>
      <c r="E79" s="78">
        <f t="shared" si="29"/>
        <v>355.5</v>
      </c>
      <c r="F79" s="78">
        <f t="shared" si="29"/>
        <v>362</v>
      </c>
      <c r="G79" s="78">
        <f t="shared" si="29"/>
        <v>385</v>
      </c>
      <c r="H79" s="78">
        <f t="shared" si="29"/>
        <v>390</v>
      </c>
      <c r="I79" s="78">
        <f t="shared" si="29"/>
        <v>387</v>
      </c>
      <c r="J79" s="78">
        <f t="shared" si="29"/>
        <v>360</v>
      </c>
      <c r="K79" s="78">
        <f t="shared" si="29"/>
        <v>310</v>
      </c>
      <c r="L79" s="78">
        <f t="shared" si="29"/>
        <v>300</v>
      </c>
      <c r="M79" s="78">
        <f t="shared" si="29"/>
        <v>279</v>
      </c>
      <c r="N79" s="78">
        <f t="shared" si="29"/>
        <v>269</v>
      </c>
      <c r="O79" s="78">
        <f t="shared" si="29"/>
        <v>222</v>
      </c>
      <c r="P79" s="78">
        <f t="shared" si="29"/>
        <v>236</v>
      </c>
      <c r="Q79" s="78">
        <f t="shared" si="29"/>
        <v>237</v>
      </c>
      <c r="R79" s="78">
        <f t="shared" si="29"/>
        <v>212</v>
      </c>
      <c r="S79" s="78">
        <f t="shared" si="29"/>
        <v>200</v>
      </c>
      <c r="T79" s="78">
        <f t="shared" si="29"/>
        <v>220</v>
      </c>
      <c r="U79" s="78">
        <f t="shared" si="29"/>
        <v>213.2</v>
      </c>
      <c r="V79" s="78">
        <f t="shared" si="29"/>
        <v>235</v>
      </c>
      <c r="W79" s="78">
        <f t="shared" si="29"/>
        <v>295</v>
      </c>
      <c r="X79" s="78">
        <f t="shared" si="29"/>
        <v>300</v>
      </c>
      <c r="Y79" s="78">
        <f t="shared" si="29"/>
        <v>210</v>
      </c>
      <c r="Z79" s="78">
        <f t="shared" si="29"/>
        <v>240</v>
      </c>
      <c r="AA79" s="78">
        <f t="shared" si="29"/>
        <v>224</v>
      </c>
      <c r="AB79" s="78">
        <f t="shared" si="29"/>
        <v>205</v>
      </c>
      <c r="AC79" s="78">
        <f t="shared" si="29"/>
        <v>205</v>
      </c>
      <c r="AD79" s="78">
        <f t="shared" si="29"/>
        <v>142</v>
      </c>
      <c r="AE79" s="78">
        <f t="shared" si="29"/>
        <v>295</v>
      </c>
      <c r="AF79" s="78">
        <f t="shared" si="29"/>
        <v>298</v>
      </c>
      <c r="AG79" s="87"/>
      <c r="AH79" s="55">
        <f t="shared" si="22"/>
        <v>390</v>
      </c>
      <c r="AI79" s="56">
        <f t="shared" si="23"/>
        <v>142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30">IF(B57&lt;0,B57*-1,0)</f>
        <v>0</v>
      </c>
      <c r="C80" s="78">
        <f t="shared" ref="C80:AF80" si="31">IF(C57&lt;0,C57*-1,0)</f>
        <v>0</v>
      </c>
      <c r="D80" s="78">
        <f t="shared" si="31"/>
        <v>0</v>
      </c>
      <c r="E80" s="78">
        <f t="shared" si="31"/>
        <v>0</v>
      </c>
      <c r="F80" s="78">
        <f t="shared" si="31"/>
        <v>0</v>
      </c>
      <c r="G80" s="78">
        <f t="shared" si="31"/>
        <v>0</v>
      </c>
      <c r="H80" s="78">
        <f t="shared" si="31"/>
        <v>0</v>
      </c>
      <c r="I80" s="78">
        <f t="shared" si="31"/>
        <v>0</v>
      </c>
      <c r="J80" s="78">
        <f t="shared" si="31"/>
        <v>0</v>
      </c>
      <c r="K80" s="78">
        <f t="shared" si="31"/>
        <v>0</v>
      </c>
      <c r="L80" s="78">
        <f t="shared" si="31"/>
        <v>0</v>
      </c>
      <c r="M80" s="78">
        <f t="shared" si="31"/>
        <v>0</v>
      </c>
      <c r="N80" s="78">
        <f t="shared" si="31"/>
        <v>0</v>
      </c>
      <c r="O80" s="78">
        <f t="shared" si="31"/>
        <v>0</v>
      </c>
      <c r="P80" s="78">
        <f t="shared" si="31"/>
        <v>0</v>
      </c>
      <c r="Q80" s="78">
        <f t="shared" si="31"/>
        <v>0</v>
      </c>
      <c r="R80" s="78">
        <f t="shared" si="31"/>
        <v>0</v>
      </c>
      <c r="S80" s="78">
        <f t="shared" si="31"/>
        <v>0</v>
      </c>
      <c r="T80" s="78">
        <f t="shared" si="31"/>
        <v>0</v>
      </c>
      <c r="U80" s="78">
        <f t="shared" si="31"/>
        <v>0</v>
      </c>
      <c r="V80" s="78">
        <f t="shared" si="31"/>
        <v>0</v>
      </c>
      <c r="W80" s="78">
        <f t="shared" si="31"/>
        <v>0</v>
      </c>
      <c r="X80" s="78">
        <f t="shared" si="31"/>
        <v>0</v>
      </c>
      <c r="Y80" s="78">
        <f t="shared" si="31"/>
        <v>0</v>
      </c>
      <c r="Z80" s="78">
        <f t="shared" si="31"/>
        <v>0</v>
      </c>
      <c r="AA80" s="78">
        <f t="shared" si="31"/>
        <v>0</v>
      </c>
      <c r="AB80" s="78">
        <f t="shared" si="31"/>
        <v>0</v>
      </c>
      <c r="AC80" s="78">
        <f t="shared" si="31"/>
        <v>0</v>
      </c>
      <c r="AD80" s="78">
        <f t="shared" si="31"/>
        <v>0</v>
      </c>
      <c r="AE80" s="78">
        <f t="shared" si="31"/>
        <v>0</v>
      </c>
      <c r="AF80" s="78">
        <f t="shared" si="31"/>
        <v>0</v>
      </c>
      <c r="AG80" s="87"/>
      <c r="AH80" s="55">
        <f t="shared" si="22"/>
        <v>0</v>
      </c>
      <c r="AI80" s="56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2"/>
        <v>0</v>
      </c>
      <c r="AI81" s="56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32">SUM(B76:B81)</f>
        <v>359</v>
      </c>
      <c r="C82" s="70">
        <f t="shared" ref="C82:AG82" si="33">SUM(C76:C81)</f>
        <v>367</v>
      </c>
      <c r="D82" s="70">
        <f t="shared" si="33"/>
        <v>365</v>
      </c>
      <c r="E82" s="70">
        <f t="shared" si="33"/>
        <v>355.5</v>
      </c>
      <c r="F82" s="70">
        <f t="shared" si="33"/>
        <v>362</v>
      </c>
      <c r="G82" s="70">
        <f t="shared" si="33"/>
        <v>385</v>
      </c>
      <c r="H82" s="70">
        <f t="shared" si="33"/>
        <v>390</v>
      </c>
      <c r="I82" s="70">
        <f t="shared" si="33"/>
        <v>387</v>
      </c>
      <c r="J82" s="70">
        <f t="shared" si="33"/>
        <v>360</v>
      </c>
      <c r="K82" s="70">
        <f t="shared" si="33"/>
        <v>310</v>
      </c>
      <c r="L82" s="70">
        <f t="shared" si="33"/>
        <v>300</v>
      </c>
      <c r="M82" s="70">
        <f t="shared" si="33"/>
        <v>279</v>
      </c>
      <c r="N82" s="70">
        <f t="shared" si="33"/>
        <v>269</v>
      </c>
      <c r="O82" s="70">
        <f t="shared" si="33"/>
        <v>222</v>
      </c>
      <c r="P82" s="70">
        <f t="shared" si="33"/>
        <v>236</v>
      </c>
      <c r="Q82" s="70">
        <f t="shared" si="33"/>
        <v>237</v>
      </c>
      <c r="R82" s="70">
        <f t="shared" si="33"/>
        <v>212</v>
      </c>
      <c r="S82" s="70">
        <f t="shared" si="33"/>
        <v>200</v>
      </c>
      <c r="T82" s="70">
        <f t="shared" si="33"/>
        <v>220</v>
      </c>
      <c r="U82" s="70">
        <f t="shared" si="33"/>
        <v>213.2</v>
      </c>
      <c r="V82" s="70">
        <f t="shared" si="33"/>
        <v>235</v>
      </c>
      <c r="W82" s="70">
        <f t="shared" si="33"/>
        <v>295</v>
      </c>
      <c r="X82" s="70">
        <f t="shared" si="33"/>
        <v>300</v>
      </c>
      <c r="Y82" s="70">
        <f t="shared" si="33"/>
        <v>210</v>
      </c>
      <c r="Z82" s="70">
        <f t="shared" si="33"/>
        <v>240</v>
      </c>
      <c r="AA82" s="70">
        <f t="shared" si="33"/>
        <v>224</v>
      </c>
      <c r="AB82" s="70">
        <f t="shared" si="33"/>
        <v>205</v>
      </c>
      <c r="AC82" s="70">
        <f t="shared" si="33"/>
        <v>205</v>
      </c>
      <c r="AD82" s="70">
        <f t="shared" si="33"/>
        <v>142</v>
      </c>
      <c r="AE82" s="70">
        <f t="shared" si="33"/>
        <v>295</v>
      </c>
      <c r="AF82" s="70">
        <f t="shared" si="33"/>
        <v>298</v>
      </c>
      <c r="AG82" s="74">
        <f t="shared" si="33"/>
        <v>0</v>
      </c>
      <c r="AH82" s="55">
        <f t="shared" si="22"/>
        <v>390</v>
      </c>
      <c r="AI82" s="56">
        <f t="shared" si="23"/>
        <v>142</v>
      </c>
      <c r="AK82" s="57"/>
    </row>
    <row r="83" spans="1:88" s="1" customFormat="1" ht="15.75" thickBot="1" x14ac:dyDescent="0.3">
      <c r="A83" s="69" t="s">
        <v>88</v>
      </c>
      <c r="B83" s="70">
        <f t="shared" ref="B83" si="34">B68-B82</f>
        <v>-285.7</v>
      </c>
      <c r="C83" s="70">
        <f t="shared" ref="C83:AF83" si="35">C68-C82</f>
        <v>-295</v>
      </c>
      <c r="D83" s="70">
        <f t="shared" si="35"/>
        <v>-304.5</v>
      </c>
      <c r="E83" s="70">
        <f t="shared" si="35"/>
        <v>-308.60000000000002</v>
      </c>
      <c r="F83" s="70">
        <f t="shared" si="35"/>
        <v>-315</v>
      </c>
      <c r="G83" s="70">
        <f t="shared" si="35"/>
        <v>-344</v>
      </c>
      <c r="H83" s="70">
        <f t="shared" si="35"/>
        <v>-349</v>
      </c>
      <c r="I83" s="70">
        <f t="shared" si="35"/>
        <v>-333.6</v>
      </c>
      <c r="J83" s="70">
        <f t="shared" si="35"/>
        <v>-304.5</v>
      </c>
      <c r="K83" s="70">
        <f t="shared" si="35"/>
        <v>-260.39999999999998</v>
      </c>
      <c r="L83" s="70">
        <f t="shared" si="35"/>
        <v>-229.2</v>
      </c>
      <c r="M83" s="70">
        <f t="shared" si="35"/>
        <v>-221.7</v>
      </c>
      <c r="N83" s="70">
        <f t="shared" si="35"/>
        <v>-209</v>
      </c>
      <c r="O83" s="70">
        <f t="shared" si="35"/>
        <v>-156.1</v>
      </c>
      <c r="P83" s="70">
        <f t="shared" si="35"/>
        <v>-168.7</v>
      </c>
      <c r="Q83" s="70">
        <f t="shared" si="35"/>
        <v>-170</v>
      </c>
      <c r="R83" s="70">
        <f t="shared" si="35"/>
        <v>-137.5</v>
      </c>
      <c r="S83" s="70">
        <f t="shared" si="35"/>
        <v>-135</v>
      </c>
      <c r="T83" s="70">
        <f t="shared" si="35"/>
        <v>-158.1</v>
      </c>
      <c r="U83" s="70">
        <f t="shared" si="35"/>
        <v>-150.89999999999998</v>
      </c>
      <c r="V83" s="70">
        <f t="shared" si="35"/>
        <v>-172.7</v>
      </c>
      <c r="W83" s="70">
        <f t="shared" si="35"/>
        <v>-254.3</v>
      </c>
      <c r="X83" s="70">
        <f t="shared" si="35"/>
        <v>-235.8</v>
      </c>
      <c r="Y83" s="70">
        <f t="shared" si="35"/>
        <v>-126.4</v>
      </c>
      <c r="Z83" s="70">
        <f t="shared" si="35"/>
        <v>-187.3</v>
      </c>
      <c r="AA83" s="70">
        <f t="shared" si="35"/>
        <v>-162.6</v>
      </c>
      <c r="AB83" s="70">
        <f t="shared" si="35"/>
        <v>-150.5</v>
      </c>
      <c r="AC83" s="70">
        <f t="shared" si="35"/>
        <v>-150.5</v>
      </c>
      <c r="AD83" s="70">
        <f t="shared" si="35"/>
        <v>-87.5</v>
      </c>
      <c r="AE83" s="70">
        <f t="shared" si="35"/>
        <v>-222</v>
      </c>
      <c r="AF83" s="70">
        <f t="shared" si="35"/>
        <v>-244</v>
      </c>
      <c r="AG83" s="74">
        <f t="shared" ref="AG83" si="36">SUM(AG70:AG82)</f>
        <v>4360.08</v>
      </c>
      <c r="AH83" s="55">
        <f t="shared" si="22"/>
        <v>-87.5</v>
      </c>
      <c r="AI83" s="56">
        <f t="shared" si="23"/>
        <v>-349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50.067</v>
      </c>
      <c r="C84" s="90">
        <v>50.029000000000003</v>
      </c>
      <c r="D84" s="90">
        <v>50.018000000000001</v>
      </c>
      <c r="E84" s="90">
        <v>49.99</v>
      </c>
      <c r="F84" s="90">
        <v>50.042000000000002</v>
      </c>
      <c r="G84" s="90">
        <v>50.027999999999999</v>
      </c>
      <c r="H84" s="90">
        <v>50.015000000000001</v>
      </c>
      <c r="I84" s="90">
        <v>49.844999999999999</v>
      </c>
      <c r="J84" s="90">
        <v>49.862000000000002</v>
      </c>
      <c r="K84" s="90">
        <v>50.04</v>
      </c>
      <c r="L84" s="90">
        <v>50.018000000000001</v>
      </c>
      <c r="M84" s="90">
        <v>50.029000000000003</v>
      </c>
      <c r="N84" s="90">
        <v>50.040999999999997</v>
      </c>
      <c r="O84" s="90">
        <v>50.042000000000002</v>
      </c>
      <c r="P84" s="90">
        <v>50.048999999999999</v>
      </c>
      <c r="Q84" s="90">
        <v>49.773000000000003</v>
      </c>
      <c r="R84" s="90">
        <v>49.988</v>
      </c>
      <c r="S84" s="90">
        <v>50.06</v>
      </c>
      <c r="T84" s="90">
        <v>49.933999999999997</v>
      </c>
      <c r="U84" s="90">
        <v>50.01</v>
      </c>
      <c r="V84" s="90">
        <v>49.993000000000002</v>
      </c>
      <c r="W84" s="90">
        <v>50.018999999999998</v>
      </c>
      <c r="X84" s="90">
        <v>50.045999999999999</v>
      </c>
      <c r="Y84" s="90">
        <v>50.069000000000003</v>
      </c>
      <c r="Z84" s="90">
        <v>50.055999999999997</v>
      </c>
      <c r="AA84" s="90">
        <v>50.048999999999999</v>
      </c>
      <c r="AB84" s="90">
        <v>50.048999999999999</v>
      </c>
      <c r="AC84" s="90">
        <v>50.048999999999999</v>
      </c>
      <c r="AD84" s="90">
        <v>49.978999999999999</v>
      </c>
      <c r="AE84" s="90">
        <v>50.03</v>
      </c>
      <c r="AF84" s="90">
        <v>50</v>
      </c>
      <c r="AG84" s="91"/>
      <c r="AH84" s="55">
        <f t="shared" si="22"/>
        <v>50.069000000000003</v>
      </c>
      <c r="AI84" s="56">
        <f t="shared" si="23"/>
        <v>49.773000000000003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124.4</v>
      </c>
      <c r="C85" s="49">
        <v>124.7</v>
      </c>
      <c r="D85" s="49">
        <v>123.4</v>
      </c>
      <c r="E85" s="49">
        <v>124</v>
      </c>
      <c r="F85" s="49">
        <v>123.2</v>
      </c>
      <c r="G85" s="49">
        <v>123.4</v>
      </c>
      <c r="H85" s="49">
        <v>123.6</v>
      </c>
      <c r="I85" s="49">
        <v>123.5</v>
      </c>
      <c r="J85" s="49">
        <v>123.9</v>
      </c>
      <c r="K85" s="49">
        <v>123</v>
      </c>
      <c r="L85" s="49">
        <v>122.2</v>
      </c>
      <c r="M85" s="49">
        <v>121.2</v>
      </c>
      <c r="N85" s="49">
        <v>121.1</v>
      </c>
      <c r="O85" s="49">
        <v>121.7</v>
      </c>
      <c r="P85" s="49">
        <v>120.4</v>
      </c>
      <c r="Q85" s="49">
        <v>121.1</v>
      </c>
      <c r="R85" s="49">
        <v>120.5</v>
      </c>
      <c r="S85" s="49">
        <v>119.6</v>
      </c>
      <c r="T85" s="49">
        <v>121.5</v>
      </c>
      <c r="U85" s="49">
        <v>122.2</v>
      </c>
      <c r="V85" s="49">
        <v>123.5</v>
      </c>
      <c r="W85" s="49">
        <v>126.1</v>
      </c>
      <c r="X85" s="49">
        <v>126.6</v>
      </c>
      <c r="Y85" s="49">
        <v>122.1</v>
      </c>
      <c r="Z85" s="49">
        <v>123.2</v>
      </c>
      <c r="AA85" s="49">
        <v>124.6</v>
      </c>
      <c r="AB85" s="49">
        <v>124.6</v>
      </c>
      <c r="AC85" s="49">
        <v>124.6</v>
      </c>
      <c r="AD85" s="49">
        <v>124.6</v>
      </c>
      <c r="AE85" s="49">
        <v>124.6</v>
      </c>
      <c r="AF85" s="49">
        <v>122</v>
      </c>
      <c r="AG85" s="93"/>
      <c r="AH85" s="55">
        <f t="shared" si="22"/>
        <v>126.6</v>
      </c>
      <c r="AI85" s="56">
        <f t="shared" si="23"/>
        <v>119.6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129.30000000000001</v>
      </c>
      <c r="C86" s="49">
        <v>129.19999999999999</v>
      </c>
      <c r="D86" s="49">
        <v>128.5</v>
      </c>
      <c r="E86" s="49">
        <v>128.80000000000001</v>
      </c>
      <c r="F86" s="49">
        <v>1282</v>
      </c>
      <c r="G86" s="49">
        <v>128.1</v>
      </c>
      <c r="H86" s="49">
        <v>128.1</v>
      </c>
      <c r="I86" s="49">
        <v>127.6</v>
      </c>
      <c r="J86" s="49">
        <v>127.6</v>
      </c>
      <c r="K86" s="49">
        <v>126.3</v>
      </c>
      <c r="L86" s="49">
        <v>125.9</v>
      </c>
      <c r="M86" s="49">
        <v>125.6</v>
      </c>
      <c r="N86" s="49">
        <v>124.8</v>
      </c>
      <c r="O86" s="49">
        <v>125.7</v>
      </c>
      <c r="P86" s="49">
        <v>124.4</v>
      </c>
      <c r="Q86" s="49">
        <v>124.9</v>
      </c>
      <c r="R86" s="49">
        <v>124.5</v>
      </c>
      <c r="S86" s="49">
        <v>123.6</v>
      </c>
      <c r="T86" s="49">
        <v>125</v>
      </c>
      <c r="U86" s="49">
        <v>125.7</v>
      </c>
      <c r="V86" s="49">
        <v>126.9</v>
      </c>
      <c r="W86" s="49">
        <v>129.6</v>
      </c>
      <c r="X86" s="49">
        <v>129.69999999999999</v>
      </c>
      <c r="Y86" s="49">
        <v>126.1</v>
      </c>
      <c r="Z86" s="49">
        <v>125.9</v>
      </c>
      <c r="AA86" s="49">
        <v>128.19999999999999</v>
      </c>
      <c r="AB86" s="49">
        <v>128.19999999999999</v>
      </c>
      <c r="AC86" s="49">
        <v>128.19999999999999</v>
      </c>
      <c r="AD86" s="49">
        <v>128.19999999999999</v>
      </c>
      <c r="AE86" s="49">
        <v>128.19999999999999</v>
      </c>
      <c r="AF86" s="49">
        <v>128</v>
      </c>
      <c r="AG86" s="93"/>
      <c r="AH86" s="55">
        <f t="shared" si="22"/>
        <v>1282</v>
      </c>
      <c r="AI86" s="56">
        <f t="shared" si="23"/>
        <v>123.6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</v>
      </c>
      <c r="C87" s="49">
        <v>128.1</v>
      </c>
      <c r="D87" s="49">
        <v>126</v>
      </c>
      <c r="E87" s="49">
        <v>127.7</v>
      </c>
      <c r="F87" s="49">
        <v>127.5</v>
      </c>
      <c r="G87" s="49">
        <v>126.8</v>
      </c>
      <c r="H87" s="49">
        <v>127.4</v>
      </c>
      <c r="I87" s="49">
        <v>126.9</v>
      </c>
      <c r="J87" s="49">
        <v>125.9</v>
      </c>
      <c r="K87" s="49">
        <v>126.5</v>
      </c>
      <c r="L87" s="49">
        <v>128.6</v>
      </c>
      <c r="M87" s="49">
        <v>123.4</v>
      </c>
      <c r="N87" s="49">
        <v>121.1</v>
      </c>
      <c r="O87" s="49">
        <v>118.5</v>
      </c>
      <c r="P87" s="49">
        <v>123.9</v>
      </c>
      <c r="Q87" s="49">
        <v>124</v>
      </c>
      <c r="R87" s="49">
        <v>123.2</v>
      </c>
      <c r="S87" s="49">
        <v>123.7</v>
      </c>
      <c r="T87" s="49">
        <v>123.5</v>
      </c>
      <c r="U87" s="49">
        <v>125.9</v>
      </c>
      <c r="V87" s="49">
        <v>126.4</v>
      </c>
      <c r="W87" s="49">
        <v>128.4</v>
      </c>
      <c r="X87" s="49">
        <v>127.3</v>
      </c>
      <c r="Y87" s="49">
        <v>127.3</v>
      </c>
      <c r="Z87" s="49">
        <v>125.1</v>
      </c>
      <c r="AA87" s="49">
        <v>123.6</v>
      </c>
      <c r="AB87" s="49">
        <v>123.6</v>
      </c>
      <c r="AC87" s="49">
        <v>123.6</v>
      </c>
      <c r="AD87" s="49">
        <v>123.6</v>
      </c>
      <c r="AE87" s="49">
        <v>123.6</v>
      </c>
      <c r="AF87" s="49">
        <v>127</v>
      </c>
      <c r="AG87" s="93"/>
      <c r="AH87" s="55">
        <f t="shared" si="22"/>
        <v>128.6</v>
      </c>
      <c r="AI87" s="56">
        <f t="shared" si="23"/>
        <v>118.5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131.69999999999999</v>
      </c>
      <c r="C88" s="49">
        <v>132.69999999999999</v>
      </c>
      <c r="D88" s="49">
        <v>131.1</v>
      </c>
      <c r="E88" s="49">
        <v>132.6</v>
      </c>
      <c r="F88" s="49">
        <v>132.6</v>
      </c>
      <c r="G88" s="49">
        <v>132.4</v>
      </c>
      <c r="H88" s="49">
        <v>131.80000000000001</v>
      </c>
      <c r="I88" s="49">
        <v>131</v>
      </c>
      <c r="J88" s="49">
        <v>130.69999999999999</v>
      </c>
      <c r="K88" s="49">
        <v>129.69999999999999</v>
      </c>
      <c r="L88" s="49">
        <v>133.1</v>
      </c>
      <c r="M88" s="49">
        <v>126.5</v>
      </c>
      <c r="N88" s="49">
        <v>126</v>
      </c>
      <c r="O88" s="49">
        <v>122.6</v>
      </c>
      <c r="P88" s="49">
        <v>127</v>
      </c>
      <c r="Q88" s="49">
        <v>126.7</v>
      </c>
      <c r="R88" s="49">
        <v>126.4</v>
      </c>
      <c r="S88" s="49">
        <v>127.9</v>
      </c>
      <c r="T88" s="49">
        <v>125.8</v>
      </c>
      <c r="U88" s="49">
        <v>128.30000000000001</v>
      </c>
      <c r="V88" s="49">
        <v>129.4</v>
      </c>
      <c r="W88" s="49">
        <v>131.1</v>
      </c>
      <c r="X88" s="49">
        <v>129.9</v>
      </c>
      <c r="Y88" s="49">
        <v>129.80000000000001</v>
      </c>
      <c r="Z88" s="49">
        <v>128.19999999999999</v>
      </c>
      <c r="AA88" s="49">
        <v>127.5</v>
      </c>
      <c r="AB88" s="49">
        <v>127.5</v>
      </c>
      <c r="AC88" s="49">
        <v>127.5</v>
      </c>
      <c r="AD88" s="49">
        <v>127.5</v>
      </c>
      <c r="AE88" s="49">
        <v>127.5</v>
      </c>
      <c r="AF88" s="49">
        <v>132</v>
      </c>
      <c r="AG88" s="93"/>
      <c r="AH88" s="55">
        <f t="shared" si="22"/>
        <v>133.1</v>
      </c>
      <c r="AI88" s="56">
        <f t="shared" si="23"/>
        <v>122.6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129.30000000000001</v>
      </c>
      <c r="C89" s="95">
        <v>129.80000000000001</v>
      </c>
      <c r="D89" s="95">
        <v>131.6</v>
      </c>
      <c r="E89" s="95">
        <v>131.9</v>
      </c>
      <c r="F89" s="95">
        <v>131.6</v>
      </c>
      <c r="G89" s="95">
        <v>132.69999999999999</v>
      </c>
      <c r="H89" s="95">
        <v>132.69999999999999</v>
      </c>
      <c r="I89" s="95">
        <v>134.19999999999999</v>
      </c>
      <c r="J89" s="95">
        <v>133.80000000000001</v>
      </c>
      <c r="K89" s="95">
        <v>131.80000000000001</v>
      </c>
      <c r="L89" s="95">
        <v>133.1</v>
      </c>
      <c r="M89" s="95">
        <v>131.9</v>
      </c>
      <c r="N89" s="95">
        <v>129.5</v>
      </c>
      <c r="O89" s="95">
        <v>133.69999999999999</v>
      </c>
      <c r="P89" s="95">
        <v>130.9</v>
      </c>
      <c r="Q89" s="95">
        <v>132.80000000000001</v>
      </c>
      <c r="R89" s="95">
        <v>130.4</v>
      </c>
      <c r="S89" s="95">
        <v>134.30000000000001</v>
      </c>
      <c r="T89" s="95">
        <v>130.19999999999999</v>
      </c>
      <c r="U89" s="95">
        <v>134.6</v>
      </c>
      <c r="V89" s="95">
        <v>135.4</v>
      </c>
      <c r="W89" s="95">
        <v>134.30000000000001</v>
      </c>
      <c r="X89" s="95">
        <v>134.19999999999999</v>
      </c>
      <c r="Y89" s="95">
        <v>134.80000000000001</v>
      </c>
      <c r="Z89" s="95">
        <v>131.6</v>
      </c>
      <c r="AA89" s="95">
        <v>132.4</v>
      </c>
      <c r="AB89" s="95">
        <v>132.4</v>
      </c>
      <c r="AC89" s="95">
        <v>132.4</v>
      </c>
      <c r="AD89" s="95">
        <v>132.4</v>
      </c>
      <c r="AE89" s="95">
        <v>132.4</v>
      </c>
      <c r="AF89" s="95">
        <v>129</v>
      </c>
      <c r="AG89" s="96"/>
      <c r="AH89" s="55">
        <f t="shared" si="22"/>
        <v>135.4</v>
      </c>
      <c r="AI89" s="56">
        <f t="shared" si="23"/>
        <v>129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125</v>
      </c>
      <c r="C90" s="49">
        <v>126.7</v>
      </c>
      <c r="D90" s="49">
        <v>126.7</v>
      </c>
      <c r="E90" s="49">
        <v>132.5</v>
      </c>
      <c r="F90" s="49">
        <v>130.4</v>
      </c>
      <c r="G90" s="49">
        <v>129.5</v>
      </c>
      <c r="H90" s="49">
        <v>129.1</v>
      </c>
      <c r="I90" s="49">
        <v>131.80000000000001</v>
      </c>
      <c r="J90" s="49">
        <v>126</v>
      </c>
      <c r="K90" s="49">
        <v>128</v>
      </c>
      <c r="L90" s="49">
        <v>129.4</v>
      </c>
      <c r="M90" s="49">
        <v>125.9</v>
      </c>
      <c r="N90" s="49">
        <v>124.4</v>
      </c>
      <c r="O90" s="49">
        <v>127.7</v>
      </c>
      <c r="P90" s="49">
        <v>126.2</v>
      </c>
      <c r="Q90" s="49">
        <v>126.9</v>
      </c>
      <c r="R90" s="49">
        <v>128.30000000000001</v>
      </c>
      <c r="S90" s="49">
        <v>133.80000000000001</v>
      </c>
      <c r="T90" s="49">
        <v>131.19999999999999</v>
      </c>
      <c r="U90" s="49">
        <v>131.69999999999999</v>
      </c>
      <c r="V90" s="49">
        <v>133.6</v>
      </c>
      <c r="W90" s="49">
        <v>132.5</v>
      </c>
      <c r="X90" s="49">
        <v>135.5</v>
      </c>
      <c r="Y90" s="49">
        <v>122.2</v>
      </c>
      <c r="Z90" s="49">
        <v>132.30000000000001</v>
      </c>
      <c r="AA90" s="49">
        <v>132.30000000000001</v>
      </c>
      <c r="AB90" s="49">
        <v>132.30000000000001</v>
      </c>
      <c r="AC90" s="49">
        <v>132.30000000000001</v>
      </c>
      <c r="AD90" s="49">
        <v>132.30000000000001</v>
      </c>
      <c r="AE90" s="49">
        <v>132.30000000000001</v>
      </c>
      <c r="AF90" s="49">
        <v>126</v>
      </c>
      <c r="AG90" s="93"/>
      <c r="AH90" s="55">
        <f t="shared" si="22"/>
        <v>135.5</v>
      </c>
      <c r="AI90" s="56">
        <f t="shared" si="23"/>
        <v>122.2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65.099999999999994</v>
      </c>
      <c r="C91" s="97">
        <v>65.599999999999994</v>
      </c>
      <c r="D91" s="97">
        <v>64.900000000000006</v>
      </c>
      <c r="E91" s="97">
        <v>65.2</v>
      </c>
      <c r="F91" s="97">
        <v>64.900000000000006</v>
      </c>
      <c r="G91" s="97">
        <v>65</v>
      </c>
      <c r="H91" s="97">
        <v>64.7</v>
      </c>
      <c r="I91" s="97">
        <v>64.8</v>
      </c>
      <c r="J91" s="97">
        <v>64.5</v>
      </c>
      <c r="K91" s="97">
        <v>63.5</v>
      </c>
      <c r="L91" s="97">
        <v>63.2</v>
      </c>
      <c r="M91" s="97">
        <v>63.1</v>
      </c>
      <c r="N91" s="97">
        <v>62.8</v>
      </c>
      <c r="O91" s="97">
        <v>63</v>
      </c>
      <c r="P91" s="97">
        <v>62.4</v>
      </c>
      <c r="Q91" s="97">
        <v>62.4</v>
      </c>
      <c r="R91" s="97">
        <v>62.6</v>
      </c>
      <c r="S91" s="97">
        <v>61.8</v>
      </c>
      <c r="T91" s="97">
        <v>62.4</v>
      </c>
      <c r="U91" s="97">
        <v>63</v>
      </c>
      <c r="V91" s="97">
        <v>63.9</v>
      </c>
      <c r="W91" s="97">
        <v>65.3</v>
      </c>
      <c r="X91" s="97">
        <v>65.3</v>
      </c>
      <c r="Y91" s="97">
        <v>63.3</v>
      </c>
      <c r="Z91" s="97">
        <v>63.7</v>
      </c>
      <c r="AA91" s="97">
        <v>64.400000000000006</v>
      </c>
      <c r="AB91" s="97">
        <v>64.400000000000006</v>
      </c>
      <c r="AC91" s="97">
        <v>64.400000000000006</v>
      </c>
      <c r="AD91" s="97">
        <v>64.400000000000006</v>
      </c>
      <c r="AE91" s="97">
        <v>64.400000000000006</v>
      </c>
      <c r="AF91" s="97">
        <v>64.7</v>
      </c>
      <c r="AG91" s="98"/>
      <c r="AH91" s="55">
        <f t="shared" si="22"/>
        <v>65.599999999999994</v>
      </c>
      <c r="AI91" s="56">
        <f t="shared" si="23"/>
        <v>61.8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37">SUM(B15,B18,B21:B22,B42,B44:B45,B47,B49,B94:B97,B103,B109,B115,B124,B126,B138,B145,B148:B149,B156,B158,B160,B164:B166,B168:B170,B175,B181:B182,B184:B186,B194,B199)</f>
        <v>239.03999999999996</v>
      </c>
      <c r="C93" s="103">
        <f t="shared" si="37"/>
        <v>241.33999999999997</v>
      </c>
      <c r="D93" s="103">
        <f t="shared" si="37"/>
        <v>232.83999999999997</v>
      </c>
      <c r="E93" s="103">
        <f t="shared" si="37"/>
        <v>248.83999999999997</v>
      </c>
      <c r="F93" s="103">
        <f t="shared" si="37"/>
        <v>82.439999999999984</v>
      </c>
      <c r="G93" s="103">
        <f t="shared" si="37"/>
        <v>93.24</v>
      </c>
      <c r="H93" s="103">
        <f t="shared" si="37"/>
        <v>121.54</v>
      </c>
      <c r="I93" s="103">
        <f t="shared" si="37"/>
        <v>139.23999999999998</v>
      </c>
      <c r="J93" s="103">
        <f t="shared" si="37"/>
        <v>169.13999999999996</v>
      </c>
      <c r="K93" s="103">
        <f t="shared" si="37"/>
        <v>191.14</v>
      </c>
      <c r="L93" s="103">
        <f t="shared" si="37"/>
        <v>202.64</v>
      </c>
      <c r="M93" s="103">
        <f t="shared" si="37"/>
        <v>280.44</v>
      </c>
      <c r="N93" s="103">
        <f t="shared" si="37"/>
        <v>280.14</v>
      </c>
      <c r="O93" s="103">
        <f t="shared" si="37"/>
        <v>329.24</v>
      </c>
      <c r="P93" s="103">
        <f t="shared" si="37"/>
        <v>322.44000000000005</v>
      </c>
      <c r="Q93" s="103">
        <f t="shared" si="37"/>
        <v>326.24000000000007</v>
      </c>
      <c r="R93" s="103">
        <f t="shared" si="37"/>
        <v>332.44</v>
      </c>
      <c r="S93" s="103">
        <f t="shared" si="37"/>
        <v>327.14</v>
      </c>
      <c r="T93" s="103">
        <f t="shared" si="37"/>
        <v>338.84000000000003</v>
      </c>
      <c r="U93" s="103">
        <f t="shared" si="37"/>
        <v>255.53999999999996</v>
      </c>
      <c r="V93" s="103">
        <f t="shared" si="37"/>
        <v>332.64000000000004</v>
      </c>
      <c r="W93" s="103">
        <f t="shared" si="37"/>
        <v>313.04000000000002</v>
      </c>
      <c r="X93" s="103">
        <f t="shared" si="37"/>
        <v>310.14000000000004</v>
      </c>
      <c r="Y93" s="103">
        <f t="shared" si="37"/>
        <v>286.14</v>
      </c>
      <c r="Z93" s="103">
        <f t="shared" si="37"/>
        <v>230.73999999999995</v>
      </c>
      <c r="AA93" s="103">
        <f t="shared" si="37"/>
        <v>304.04000000000002</v>
      </c>
      <c r="AB93" s="103">
        <f t="shared" si="37"/>
        <v>295.34000000000003</v>
      </c>
      <c r="AC93" s="103">
        <f t="shared" si="37"/>
        <v>238.33999999999997</v>
      </c>
      <c r="AD93" s="103">
        <f t="shared" si="37"/>
        <v>339.34000000000003</v>
      </c>
      <c r="AE93" s="103">
        <f t="shared" si="37"/>
        <v>144.33999999999997</v>
      </c>
      <c r="AF93" s="103">
        <f t="shared" si="37"/>
        <v>85.34</v>
      </c>
      <c r="AG93" s="104"/>
      <c r="AH93" s="55">
        <f>MAX(C93:AF93)</f>
        <v>339.34000000000003</v>
      </c>
      <c r="AI93" s="56">
        <f>MIN(C93:AF93)</f>
        <v>82.439999999999984</v>
      </c>
    </row>
    <row r="94" spans="1:88" x14ac:dyDescent="0.25">
      <c r="A94" s="105" t="s">
        <v>98</v>
      </c>
      <c r="B94" s="106">
        <v>15.8</v>
      </c>
      <c r="C94" s="106">
        <v>17.5</v>
      </c>
      <c r="D94" s="106">
        <v>21.5</v>
      </c>
      <c r="E94" s="106">
        <v>17.2</v>
      </c>
      <c r="F94" s="106">
        <v>19.600000000000001</v>
      </c>
      <c r="G94" s="106">
        <v>20.9</v>
      </c>
      <c r="H94" s="106">
        <v>27</v>
      </c>
      <c r="I94" s="106">
        <v>32.4</v>
      </c>
      <c r="J94" s="106">
        <v>31.7</v>
      </c>
      <c r="K94" s="106">
        <v>29.4</v>
      </c>
      <c r="L94" s="106">
        <v>36.799999999999997</v>
      </c>
      <c r="M94" s="106">
        <v>35.299999999999997</v>
      </c>
      <c r="N94" s="106">
        <v>34.200000000000003</v>
      </c>
      <c r="O94" s="106">
        <v>30.1</v>
      </c>
      <c r="P94" s="106">
        <v>28.4</v>
      </c>
      <c r="Q94" s="106">
        <v>23.8</v>
      </c>
      <c r="R94" s="106">
        <v>23.3</v>
      </c>
      <c r="S94" s="106">
        <v>23</v>
      </c>
      <c r="T94" s="106">
        <v>23.9</v>
      </c>
      <c r="U94" s="106">
        <v>19</v>
      </c>
      <c r="V94" s="106">
        <v>31.3</v>
      </c>
      <c r="W94" s="106">
        <v>24.5</v>
      </c>
      <c r="X94" s="106">
        <v>34.5</v>
      </c>
      <c r="Y94" s="106">
        <v>34.1</v>
      </c>
      <c r="Z94" s="106">
        <v>39.299999999999997</v>
      </c>
      <c r="AA94" s="106">
        <v>29.7</v>
      </c>
      <c r="AB94" s="106">
        <v>15</v>
      </c>
      <c r="AC94" s="106"/>
      <c r="AD94" s="106">
        <v>-6</v>
      </c>
      <c r="AE94" s="106">
        <v>24</v>
      </c>
      <c r="AF94" s="106">
        <v>20</v>
      </c>
      <c r="AG94" s="107">
        <v>75</v>
      </c>
      <c r="AH94" s="55">
        <f t="shared" ref="AH94:AH100" si="38">IF(ABS(MAX(C94:AF94))&gt;ABS(MIN(C94:AF94)),MAX(C94:AF94),MIN(C94:AF94))</f>
        <v>39.299999999999997</v>
      </c>
      <c r="AI94" s="108">
        <f t="shared" ref="AI94:AI100" si="39">INDEX($C$9:$AF$9,1,MATCH(AH94,C94:AF94,0))</f>
        <v>0.79166666666666663</v>
      </c>
    </row>
    <row r="95" spans="1:88" x14ac:dyDescent="0.25">
      <c r="A95" s="109" t="s">
        <v>99</v>
      </c>
      <c r="B95" s="110"/>
      <c r="C95" s="110"/>
      <c r="D95" s="110"/>
      <c r="E95" s="110"/>
      <c r="F95" s="110">
        <v>-153</v>
      </c>
      <c r="G95" s="110">
        <v>-147</v>
      </c>
      <c r="H95" s="110">
        <v>-127</v>
      </c>
      <c r="I95" s="110">
        <v>-117</v>
      </c>
      <c r="J95" s="110">
        <v>-97</v>
      </c>
      <c r="K95" s="110">
        <v>-78</v>
      </c>
      <c r="L95" s="110">
        <v>-77</v>
      </c>
      <c r="M95" s="110"/>
      <c r="N95" s="110"/>
      <c r="O95" s="110"/>
      <c r="P95" s="110"/>
      <c r="Q95" s="110"/>
      <c r="R95" s="110"/>
      <c r="S95" s="110"/>
      <c r="T95" s="110"/>
      <c r="U95" s="110">
        <f>-34-39.1</f>
        <v>-73.099999999999994</v>
      </c>
      <c r="V95" s="110"/>
      <c r="W95" s="110"/>
      <c r="X95" s="110"/>
      <c r="Y95" s="110"/>
      <c r="Z95" s="110"/>
      <c r="AA95" s="110"/>
      <c r="AB95" s="110"/>
      <c r="AC95" s="110"/>
      <c r="AD95" s="110"/>
      <c r="AE95" s="110">
        <v>-125</v>
      </c>
      <c r="AF95" s="110">
        <v>-172</v>
      </c>
      <c r="AG95" s="107">
        <v>240</v>
      </c>
      <c r="AH95" s="55">
        <f t="shared" si="38"/>
        <v>-172</v>
      </c>
      <c r="AI95" s="108">
        <f t="shared" si="39"/>
        <v>0.95833333333333304</v>
      </c>
    </row>
    <row r="96" spans="1:88" x14ac:dyDescent="0.25">
      <c r="A96" s="109" t="s">
        <v>100</v>
      </c>
      <c r="B96" s="110">
        <v>0.2</v>
      </c>
      <c r="C96" s="110">
        <v>0.8</v>
      </c>
      <c r="D96" s="110">
        <v>-11</v>
      </c>
      <c r="E96" s="110">
        <v>9.3000000000000007</v>
      </c>
      <c r="F96" s="110">
        <v>-6.9</v>
      </c>
      <c r="G96" s="110">
        <v>-4.4000000000000004</v>
      </c>
      <c r="H96" s="110">
        <v>-2.2999999999999998</v>
      </c>
      <c r="I96" s="110">
        <v>0</v>
      </c>
      <c r="J96" s="110">
        <v>3.7</v>
      </c>
      <c r="K96" s="110">
        <v>9</v>
      </c>
      <c r="L96" s="110">
        <v>9.3000000000000007</v>
      </c>
      <c r="M96" s="110">
        <v>11.6</v>
      </c>
      <c r="N96" s="110">
        <v>12.4</v>
      </c>
      <c r="O96" s="110">
        <v>23</v>
      </c>
      <c r="P96" s="110">
        <v>20.9</v>
      </c>
      <c r="Q96" s="110">
        <v>27.3</v>
      </c>
      <c r="R96" s="110">
        <v>23.1</v>
      </c>
      <c r="S96" s="110">
        <v>13.1</v>
      </c>
      <c r="T96" s="110">
        <v>16.5</v>
      </c>
      <c r="U96" s="110">
        <v>29.8</v>
      </c>
      <c r="V96" s="110">
        <v>17.8</v>
      </c>
      <c r="W96" s="110">
        <v>37.299999999999997</v>
      </c>
      <c r="X96" s="110">
        <v>34.5</v>
      </c>
      <c r="Y96" s="110">
        <v>13</v>
      </c>
      <c r="Z96" s="110">
        <v>31.5</v>
      </c>
      <c r="AA96" s="110">
        <v>36</v>
      </c>
      <c r="AB96" s="110">
        <v>42</v>
      </c>
      <c r="AC96" s="110"/>
      <c r="AD96" s="110">
        <v>43</v>
      </c>
      <c r="AE96" s="110">
        <v>14</v>
      </c>
      <c r="AF96" s="110">
        <v>3</v>
      </c>
      <c r="AG96" s="107">
        <v>60</v>
      </c>
      <c r="AH96" s="55">
        <f t="shared" si="38"/>
        <v>43</v>
      </c>
      <c r="AI96" s="108">
        <f t="shared" si="39"/>
        <v>0.875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  <c r="O97" s="112">
        <v>55.4</v>
      </c>
      <c r="P97" s="112">
        <v>56.2</v>
      </c>
      <c r="Q97" s="112">
        <v>61.8</v>
      </c>
      <c r="R97" s="112">
        <v>60.8</v>
      </c>
      <c r="S97" s="112">
        <v>65.8</v>
      </c>
      <c r="T97" s="112">
        <v>73.2</v>
      </c>
      <c r="U97" s="112">
        <v>79.599999999999994</v>
      </c>
      <c r="V97" s="112">
        <v>53.7</v>
      </c>
      <c r="W97" s="112">
        <v>21.4</v>
      </c>
      <c r="X97" s="112">
        <v>12.3</v>
      </c>
      <c r="Y97" s="112">
        <v>71.099999999999994</v>
      </c>
      <c r="Z97" s="112"/>
      <c r="AA97" s="112"/>
      <c r="AB97" s="112"/>
      <c r="AC97" s="112"/>
      <c r="AD97" s="112">
        <v>64</v>
      </c>
      <c r="AE97" s="112">
        <v>0</v>
      </c>
      <c r="AF97" s="112">
        <v>0</v>
      </c>
      <c r="AG97" s="113">
        <v>120</v>
      </c>
      <c r="AH97" s="55">
        <f t="shared" si="38"/>
        <v>79.599999999999994</v>
      </c>
      <c r="AI97" s="108">
        <f t="shared" si="39"/>
        <v>0.66666666666666696</v>
      </c>
    </row>
    <row r="98" spans="1:37" x14ac:dyDescent="0.25">
      <c r="A98" s="111" t="s">
        <v>102</v>
      </c>
      <c r="B98" s="112">
        <v>40.299999999999997</v>
      </c>
      <c r="C98" s="112">
        <v>339.5</v>
      </c>
      <c r="D98" s="112">
        <v>39.700000000000003</v>
      </c>
      <c r="E98" s="112">
        <v>38.6</v>
      </c>
      <c r="F98" s="112">
        <v>33</v>
      </c>
      <c r="G98" s="112">
        <v>35</v>
      </c>
      <c r="H98" s="112">
        <v>29</v>
      </c>
      <c r="I98" s="112">
        <v>39</v>
      </c>
      <c r="J98" s="112">
        <v>45</v>
      </c>
      <c r="K98" s="112">
        <v>66</v>
      </c>
      <c r="L98" s="112">
        <v>63</v>
      </c>
      <c r="M98" s="112">
        <v>83.9</v>
      </c>
      <c r="N98" s="112">
        <v>81.5</v>
      </c>
      <c r="O98" s="112">
        <v>65.7</v>
      </c>
      <c r="P98" s="112">
        <v>62.3</v>
      </c>
      <c r="Q98" s="112">
        <v>68.2</v>
      </c>
      <c r="R98" s="112">
        <v>69</v>
      </c>
      <c r="S98" s="112">
        <v>76.5</v>
      </c>
      <c r="T98" s="112">
        <v>68.400000000000006</v>
      </c>
      <c r="U98" s="112">
        <v>71.8</v>
      </c>
      <c r="V98" s="112">
        <v>60.8</v>
      </c>
      <c r="W98" s="112">
        <v>48.1</v>
      </c>
      <c r="X98" s="112">
        <v>19.399999999999999</v>
      </c>
      <c r="Y98" s="112">
        <v>73.2</v>
      </c>
      <c r="Z98" s="112">
        <v>56</v>
      </c>
      <c r="AA98" s="112">
        <v>50</v>
      </c>
      <c r="AB98" s="112">
        <v>56</v>
      </c>
      <c r="AC98" s="112"/>
      <c r="AD98" s="112">
        <v>67</v>
      </c>
      <c r="AE98" s="112">
        <v>45</v>
      </c>
      <c r="AF98" s="112">
        <v>44</v>
      </c>
      <c r="AG98" s="113"/>
      <c r="AH98" s="55">
        <f t="shared" si="38"/>
        <v>339.5</v>
      </c>
      <c r="AI98" s="108">
        <f t="shared" si="39"/>
        <v>4.1666666666666664E-2</v>
      </c>
    </row>
    <row r="99" spans="1:37" x14ac:dyDescent="0.25">
      <c r="A99" s="111" t="s">
        <v>253</v>
      </c>
      <c r="B99" s="112">
        <v>25.8</v>
      </c>
      <c r="C99" s="112">
        <v>20.5</v>
      </c>
      <c r="D99" s="112">
        <v>2.2000000000000002</v>
      </c>
      <c r="E99" s="112">
        <v>32.200000000000003</v>
      </c>
      <c r="F99" s="112">
        <v>29</v>
      </c>
      <c r="G99" s="112">
        <v>28</v>
      </c>
      <c r="H99" s="112">
        <v>-3.3</v>
      </c>
      <c r="I99" s="112">
        <v>-14</v>
      </c>
      <c r="J99" s="112">
        <v>-9.9</v>
      </c>
      <c r="K99" s="112">
        <v>-2</v>
      </c>
      <c r="L99" s="112">
        <v>-23.2</v>
      </c>
      <c r="M99" s="112">
        <v>-13.1</v>
      </c>
      <c r="N99" s="112">
        <v>-7.9</v>
      </c>
      <c r="O99" s="112">
        <v>1</v>
      </c>
      <c r="P99" s="112"/>
      <c r="Q99" s="112"/>
      <c r="R99" s="112"/>
      <c r="S99" s="112"/>
      <c r="T99" s="112">
        <v>16.100000000000001</v>
      </c>
      <c r="U99" s="112">
        <v>33.700000000000003</v>
      </c>
      <c r="V99" s="112">
        <v>19.100000000000001</v>
      </c>
      <c r="W99" s="112">
        <v>27</v>
      </c>
      <c r="X99" s="112">
        <v>-10.4</v>
      </c>
      <c r="Y99" s="112">
        <v>-5.2</v>
      </c>
      <c r="Z99" s="112">
        <v>-22</v>
      </c>
      <c r="AA99" s="112">
        <v>5</v>
      </c>
      <c r="AB99" s="112"/>
      <c r="AC99" s="112"/>
      <c r="AD99" s="112"/>
      <c r="AE99" s="112">
        <v>18</v>
      </c>
      <c r="AF99" s="112">
        <v>35</v>
      </c>
      <c r="AG99" s="114"/>
      <c r="AH99" s="55">
        <f t="shared" si="38"/>
        <v>35</v>
      </c>
      <c r="AI99" s="108">
        <f t="shared" si="39"/>
        <v>0.95833333333333304</v>
      </c>
    </row>
    <row r="100" spans="1:37" ht="15.75" thickBot="1" x14ac:dyDescent="0.3">
      <c r="A100" s="115" t="s">
        <v>259</v>
      </c>
      <c r="B100" s="95">
        <v>87.1</v>
      </c>
      <c r="C100" s="95">
        <v>82.2</v>
      </c>
      <c r="D100" s="95">
        <v>76.099999999999994</v>
      </c>
      <c r="E100" s="95">
        <v>88.8</v>
      </c>
      <c r="F100" s="95">
        <v>87</v>
      </c>
      <c r="G100" s="95">
        <v>98</v>
      </c>
      <c r="H100" s="95">
        <v>90</v>
      </c>
      <c r="I100" s="95">
        <v>86</v>
      </c>
      <c r="J100" s="95">
        <v>86.4</v>
      </c>
      <c r="K100" s="95">
        <v>77.2</v>
      </c>
      <c r="L100" s="95">
        <v>103</v>
      </c>
      <c r="M100" s="95">
        <v>77.3</v>
      </c>
      <c r="N100" s="95">
        <v>72.7</v>
      </c>
      <c r="O100" s="95">
        <v>62.8</v>
      </c>
      <c r="P100" s="95">
        <v>76.099999999999994</v>
      </c>
      <c r="Q100" s="95">
        <v>68.099999999999994</v>
      </c>
      <c r="R100" s="95">
        <v>70.400000000000006</v>
      </c>
      <c r="S100" s="95">
        <v>69</v>
      </c>
      <c r="T100" s="95">
        <v>66.599999999999994</v>
      </c>
      <c r="U100" s="95">
        <v>67.2</v>
      </c>
      <c r="V100" s="95">
        <v>69.7</v>
      </c>
      <c r="W100" s="95">
        <v>68.099999999999994</v>
      </c>
      <c r="X100" s="95">
        <v>70.2</v>
      </c>
      <c r="Y100" s="95">
        <v>65.400000000000006</v>
      </c>
      <c r="Z100" s="95">
        <v>61.7</v>
      </c>
      <c r="AA100" s="95">
        <v>62</v>
      </c>
      <c r="AB100" s="95"/>
      <c r="AC100" s="95"/>
      <c r="AD100" s="95">
        <v>62</v>
      </c>
      <c r="AE100" s="95">
        <v>75</v>
      </c>
      <c r="AF100" s="95">
        <v>76</v>
      </c>
      <c r="AG100" s="114"/>
      <c r="AH100" s="55">
        <f t="shared" si="38"/>
        <v>103</v>
      </c>
      <c r="AI100" s="108">
        <f t="shared" si="39"/>
        <v>0.3125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40">AF102</f>
        <v>9.9</v>
      </c>
      <c r="C102" s="54">
        <v>9.9</v>
      </c>
      <c r="D102" s="121">
        <f t="shared" ref="D102:S107" si="41">C102</f>
        <v>9.9</v>
      </c>
      <c r="E102" s="121">
        <f t="shared" si="41"/>
        <v>9.9</v>
      </c>
      <c r="F102" s="121">
        <f t="shared" si="41"/>
        <v>9.9</v>
      </c>
      <c r="G102" s="121">
        <f t="shared" si="41"/>
        <v>9.9</v>
      </c>
      <c r="H102" s="121">
        <f t="shared" si="41"/>
        <v>9.9</v>
      </c>
      <c r="I102" s="121">
        <f t="shared" si="41"/>
        <v>9.9</v>
      </c>
      <c r="J102" s="121">
        <f t="shared" si="41"/>
        <v>9.9</v>
      </c>
      <c r="K102" s="121">
        <f t="shared" si="41"/>
        <v>9.9</v>
      </c>
      <c r="L102" s="121">
        <f t="shared" si="41"/>
        <v>9.9</v>
      </c>
      <c r="M102" s="121">
        <f t="shared" si="41"/>
        <v>9.9</v>
      </c>
      <c r="N102" s="121">
        <f t="shared" si="41"/>
        <v>9.9</v>
      </c>
      <c r="O102" s="121">
        <f t="shared" si="41"/>
        <v>9.9</v>
      </c>
      <c r="P102" s="121">
        <f t="shared" si="41"/>
        <v>9.9</v>
      </c>
      <c r="Q102" s="121">
        <f t="shared" si="41"/>
        <v>9.9</v>
      </c>
      <c r="R102" s="121">
        <f t="shared" si="41"/>
        <v>9.9</v>
      </c>
      <c r="S102" s="121">
        <f t="shared" si="41"/>
        <v>9.9</v>
      </c>
      <c r="T102" s="121">
        <f t="shared" ref="T102:AF107" si="42">S102</f>
        <v>9.9</v>
      </c>
      <c r="U102" s="121">
        <f t="shared" si="42"/>
        <v>9.9</v>
      </c>
      <c r="V102" s="121">
        <f t="shared" si="42"/>
        <v>9.9</v>
      </c>
      <c r="W102" s="121">
        <f t="shared" si="42"/>
        <v>9.9</v>
      </c>
      <c r="X102" s="121">
        <f t="shared" si="42"/>
        <v>9.9</v>
      </c>
      <c r="Y102" s="121">
        <f t="shared" si="42"/>
        <v>9.9</v>
      </c>
      <c r="Z102" s="121">
        <f t="shared" si="42"/>
        <v>9.9</v>
      </c>
      <c r="AA102" s="121">
        <f t="shared" si="42"/>
        <v>9.9</v>
      </c>
      <c r="AB102" s="121">
        <f t="shared" si="42"/>
        <v>9.9</v>
      </c>
      <c r="AC102" s="121">
        <f t="shared" si="42"/>
        <v>9.9</v>
      </c>
      <c r="AD102" s="121">
        <f t="shared" si="42"/>
        <v>9.9</v>
      </c>
      <c r="AE102" s="121">
        <f t="shared" si="42"/>
        <v>9.9</v>
      </c>
      <c r="AF102" s="121">
        <f t="shared" si="42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40"/>
        <v>9.6</v>
      </c>
      <c r="C103" s="124">
        <v>9.6</v>
      </c>
      <c r="D103" s="123">
        <f t="shared" si="41"/>
        <v>9.6</v>
      </c>
      <c r="E103" s="123">
        <f t="shared" si="41"/>
        <v>9.6</v>
      </c>
      <c r="F103" s="123">
        <f t="shared" si="41"/>
        <v>9.6</v>
      </c>
      <c r="G103" s="123">
        <f t="shared" si="41"/>
        <v>9.6</v>
      </c>
      <c r="H103" s="123">
        <f t="shared" si="41"/>
        <v>9.6</v>
      </c>
      <c r="I103" s="123">
        <f t="shared" si="41"/>
        <v>9.6</v>
      </c>
      <c r="J103" s="123">
        <f t="shared" si="41"/>
        <v>9.6</v>
      </c>
      <c r="K103" s="123">
        <f t="shared" si="41"/>
        <v>9.6</v>
      </c>
      <c r="L103" s="123">
        <f t="shared" si="41"/>
        <v>9.6</v>
      </c>
      <c r="M103" s="123">
        <f t="shared" si="41"/>
        <v>9.6</v>
      </c>
      <c r="N103" s="123">
        <f t="shared" si="41"/>
        <v>9.6</v>
      </c>
      <c r="O103" s="123">
        <f t="shared" si="41"/>
        <v>9.6</v>
      </c>
      <c r="P103" s="123">
        <f t="shared" si="41"/>
        <v>9.6</v>
      </c>
      <c r="Q103" s="123">
        <f t="shared" si="41"/>
        <v>9.6</v>
      </c>
      <c r="R103" s="123">
        <f t="shared" si="41"/>
        <v>9.6</v>
      </c>
      <c r="S103" s="123">
        <f t="shared" si="41"/>
        <v>9.6</v>
      </c>
      <c r="T103" s="123">
        <f t="shared" si="42"/>
        <v>9.6</v>
      </c>
      <c r="U103" s="123">
        <f t="shared" si="42"/>
        <v>9.6</v>
      </c>
      <c r="V103" s="123">
        <f t="shared" si="42"/>
        <v>9.6</v>
      </c>
      <c r="W103" s="123">
        <f t="shared" si="42"/>
        <v>9.6</v>
      </c>
      <c r="X103" s="123">
        <f t="shared" si="42"/>
        <v>9.6</v>
      </c>
      <c r="Y103" s="123">
        <f t="shared" si="42"/>
        <v>9.6</v>
      </c>
      <c r="Z103" s="123">
        <f t="shared" si="42"/>
        <v>9.6</v>
      </c>
      <c r="AA103" s="123">
        <f t="shared" si="42"/>
        <v>9.6</v>
      </c>
      <c r="AB103" s="123">
        <f t="shared" si="42"/>
        <v>9.6</v>
      </c>
      <c r="AC103" s="123">
        <f t="shared" si="42"/>
        <v>9.6</v>
      </c>
      <c r="AD103" s="123">
        <f t="shared" si="42"/>
        <v>9.6</v>
      </c>
      <c r="AE103" s="123">
        <f t="shared" si="42"/>
        <v>9.6</v>
      </c>
      <c r="AF103" s="123">
        <f t="shared" si="42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40"/>
        <v>9.98</v>
      </c>
      <c r="C104" s="124">
        <v>9.98</v>
      </c>
      <c r="D104" s="123">
        <f t="shared" si="41"/>
        <v>9.98</v>
      </c>
      <c r="E104" s="123">
        <f t="shared" si="41"/>
        <v>9.98</v>
      </c>
      <c r="F104" s="123">
        <f t="shared" si="41"/>
        <v>9.98</v>
      </c>
      <c r="G104" s="123">
        <f t="shared" si="41"/>
        <v>9.98</v>
      </c>
      <c r="H104" s="123">
        <f t="shared" si="41"/>
        <v>9.98</v>
      </c>
      <c r="I104" s="123">
        <f t="shared" si="41"/>
        <v>9.98</v>
      </c>
      <c r="J104" s="123">
        <f t="shared" si="41"/>
        <v>9.98</v>
      </c>
      <c r="K104" s="123">
        <f t="shared" si="41"/>
        <v>9.98</v>
      </c>
      <c r="L104" s="123">
        <f t="shared" si="41"/>
        <v>9.98</v>
      </c>
      <c r="M104" s="123">
        <f t="shared" si="41"/>
        <v>9.98</v>
      </c>
      <c r="N104" s="123">
        <f t="shared" si="41"/>
        <v>9.98</v>
      </c>
      <c r="O104" s="123">
        <f t="shared" si="41"/>
        <v>9.98</v>
      </c>
      <c r="P104" s="123">
        <f t="shared" si="41"/>
        <v>9.98</v>
      </c>
      <c r="Q104" s="123">
        <f t="shared" si="41"/>
        <v>9.98</v>
      </c>
      <c r="R104" s="123">
        <f t="shared" si="41"/>
        <v>9.98</v>
      </c>
      <c r="S104" s="123">
        <f t="shared" si="41"/>
        <v>9.98</v>
      </c>
      <c r="T104" s="123">
        <f t="shared" si="42"/>
        <v>9.98</v>
      </c>
      <c r="U104" s="123">
        <f t="shared" si="42"/>
        <v>9.98</v>
      </c>
      <c r="V104" s="123">
        <f t="shared" si="42"/>
        <v>9.98</v>
      </c>
      <c r="W104" s="123">
        <f t="shared" si="42"/>
        <v>9.98</v>
      </c>
      <c r="X104" s="123">
        <f t="shared" si="42"/>
        <v>9.98</v>
      </c>
      <c r="Y104" s="123">
        <f t="shared" si="42"/>
        <v>9.98</v>
      </c>
      <c r="Z104" s="123">
        <f t="shared" si="42"/>
        <v>9.98</v>
      </c>
      <c r="AA104" s="123">
        <f t="shared" si="42"/>
        <v>9.98</v>
      </c>
      <c r="AB104" s="123">
        <f t="shared" si="42"/>
        <v>9.98</v>
      </c>
      <c r="AC104" s="123">
        <f t="shared" si="42"/>
        <v>9.98</v>
      </c>
      <c r="AD104" s="123">
        <f t="shared" si="42"/>
        <v>9.98</v>
      </c>
      <c r="AE104" s="123">
        <f t="shared" si="42"/>
        <v>9.98</v>
      </c>
      <c r="AF104" s="123">
        <f t="shared" si="42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40"/>
        <v>9.1</v>
      </c>
      <c r="C105" s="124">
        <v>9.1</v>
      </c>
      <c r="D105" s="123">
        <f t="shared" si="41"/>
        <v>9.1</v>
      </c>
      <c r="E105" s="123">
        <f t="shared" si="41"/>
        <v>9.1</v>
      </c>
      <c r="F105" s="123">
        <f t="shared" si="41"/>
        <v>9.1</v>
      </c>
      <c r="G105" s="123">
        <f t="shared" si="41"/>
        <v>9.1</v>
      </c>
      <c r="H105" s="123">
        <f t="shared" si="41"/>
        <v>9.1</v>
      </c>
      <c r="I105" s="123">
        <f t="shared" si="41"/>
        <v>9.1</v>
      </c>
      <c r="J105" s="123">
        <f t="shared" si="41"/>
        <v>9.1</v>
      </c>
      <c r="K105" s="123">
        <f t="shared" si="41"/>
        <v>9.1</v>
      </c>
      <c r="L105" s="123">
        <f t="shared" si="41"/>
        <v>9.1</v>
      </c>
      <c r="M105" s="123">
        <f t="shared" si="41"/>
        <v>9.1</v>
      </c>
      <c r="N105" s="123">
        <f t="shared" si="41"/>
        <v>9.1</v>
      </c>
      <c r="O105" s="123">
        <f t="shared" si="41"/>
        <v>9.1</v>
      </c>
      <c r="P105" s="123">
        <f t="shared" si="41"/>
        <v>9.1</v>
      </c>
      <c r="Q105" s="123">
        <f t="shared" si="41"/>
        <v>9.1</v>
      </c>
      <c r="R105" s="123">
        <f t="shared" si="41"/>
        <v>9.1</v>
      </c>
      <c r="S105" s="123">
        <f t="shared" si="41"/>
        <v>9.1</v>
      </c>
      <c r="T105" s="123">
        <f t="shared" si="42"/>
        <v>9.1</v>
      </c>
      <c r="U105" s="123">
        <f t="shared" si="42"/>
        <v>9.1</v>
      </c>
      <c r="V105" s="123">
        <f t="shared" si="42"/>
        <v>9.1</v>
      </c>
      <c r="W105" s="123">
        <f t="shared" si="42"/>
        <v>9.1</v>
      </c>
      <c r="X105" s="123">
        <f t="shared" si="42"/>
        <v>9.1</v>
      </c>
      <c r="Y105" s="123">
        <f t="shared" si="42"/>
        <v>9.1</v>
      </c>
      <c r="Z105" s="123">
        <f t="shared" si="42"/>
        <v>9.1</v>
      </c>
      <c r="AA105" s="123">
        <f t="shared" si="42"/>
        <v>9.1</v>
      </c>
      <c r="AB105" s="123">
        <f t="shared" si="42"/>
        <v>9.1</v>
      </c>
      <c r="AC105" s="123">
        <f t="shared" si="42"/>
        <v>9.1</v>
      </c>
      <c r="AD105" s="123">
        <f t="shared" si="42"/>
        <v>9.1</v>
      </c>
      <c r="AE105" s="123">
        <f t="shared" si="42"/>
        <v>9.1</v>
      </c>
      <c r="AF105" s="123">
        <f t="shared" si="42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40"/>
        <v>9.18</v>
      </c>
      <c r="C106" s="124">
        <v>9.18</v>
      </c>
      <c r="D106" s="123">
        <f t="shared" si="41"/>
        <v>9.18</v>
      </c>
      <c r="E106" s="123">
        <f t="shared" si="41"/>
        <v>9.18</v>
      </c>
      <c r="F106" s="123">
        <f t="shared" si="41"/>
        <v>9.18</v>
      </c>
      <c r="G106" s="123">
        <f t="shared" si="41"/>
        <v>9.18</v>
      </c>
      <c r="H106" s="123">
        <f t="shared" si="41"/>
        <v>9.18</v>
      </c>
      <c r="I106" s="123">
        <f t="shared" si="41"/>
        <v>9.18</v>
      </c>
      <c r="J106" s="123">
        <f t="shared" si="41"/>
        <v>9.18</v>
      </c>
      <c r="K106" s="123">
        <f t="shared" si="41"/>
        <v>9.18</v>
      </c>
      <c r="L106" s="123">
        <f t="shared" si="41"/>
        <v>9.18</v>
      </c>
      <c r="M106" s="123">
        <f t="shared" si="41"/>
        <v>9.18</v>
      </c>
      <c r="N106" s="123">
        <f t="shared" si="41"/>
        <v>9.18</v>
      </c>
      <c r="O106" s="123">
        <f t="shared" si="41"/>
        <v>9.18</v>
      </c>
      <c r="P106" s="123">
        <f t="shared" si="41"/>
        <v>9.18</v>
      </c>
      <c r="Q106" s="123">
        <f t="shared" si="41"/>
        <v>9.18</v>
      </c>
      <c r="R106" s="123">
        <f t="shared" si="41"/>
        <v>9.18</v>
      </c>
      <c r="S106" s="123">
        <f t="shared" si="41"/>
        <v>9.18</v>
      </c>
      <c r="T106" s="123">
        <f t="shared" si="42"/>
        <v>9.18</v>
      </c>
      <c r="U106" s="123">
        <f t="shared" si="42"/>
        <v>9.18</v>
      </c>
      <c r="V106" s="123">
        <f t="shared" si="42"/>
        <v>9.18</v>
      </c>
      <c r="W106" s="123">
        <f t="shared" si="42"/>
        <v>9.18</v>
      </c>
      <c r="X106" s="123">
        <f t="shared" si="42"/>
        <v>9.18</v>
      </c>
      <c r="Y106" s="123">
        <f t="shared" si="42"/>
        <v>9.18</v>
      </c>
      <c r="Z106" s="123">
        <f t="shared" si="42"/>
        <v>9.18</v>
      </c>
      <c r="AA106" s="123">
        <f t="shared" si="42"/>
        <v>9.18</v>
      </c>
      <c r="AB106" s="123">
        <f t="shared" si="42"/>
        <v>9.18</v>
      </c>
      <c r="AC106" s="123">
        <f t="shared" si="42"/>
        <v>9.18</v>
      </c>
      <c r="AD106" s="123">
        <f t="shared" si="42"/>
        <v>9.18</v>
      </c>
      <c r="AE106" s="123">
        <f t="shared" si="42"/>
        <v>9.18</v>
      </c>
      <c r="AF106" s="123">
        <f t="shared" si="42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40"/>
        <v>7</v>
      </c>
      <c r="C107" s="124">
        <v>7</v>
      </c>
      <c r="D107" s="123">
        <f t="shared" si="41"/>
        <v>7</v>
      </c>
      <c r="E107" s="123">
        <f t="shared" si="41"/>
        <v>7</v>
      </c>
      <c r="F107" s="123">
        <f t="shared" si="41"/>
        <v>7</v>
      </c>
      <c r="G107" s="123">
        <f t="shared" si="41"/>
        <v>7</v>
      </c>
      <c r="H107" s="123">
        <f t="shared" si="41"/>
        <v>7</v>
      </c>
      <c r="I107" s="123">
        <f t="shared" si="41"/>
        <v>7</v>
      </c>
      <c r="J107" s="123">
        <f t="shared" si="41"/>
        <v>7</v>
      </c>
      <c r="K107" s="123">
        <f t="shared" si="41"/>
        <v>7</v>
      </c>
      <c r="L107" s="123">
        <f t="shared" si="41"/>
        <v>7</v>
      </c>
      <c r="M107" s="123">
        <f t="shared" si="41"/>
        <v>7</v>
      </c>
      <c r="N107" s="123">
        <f t="shared" si="41"/>
        <v>7</v>
      </c>
      <c r="O107" s="123">
        <f t="shared" si="41"/>
        <v>7</v>
      </c>
      <c r="P107" s="123">
        <f t="shared" si="41"/>
        <v>7</v>
      </c>
      <c r="Q107" s="123">
        <f t="shared" si="41"/>
        <v>7</v>
      </c>
      <c r="R107" s="123">
        <f t="shared" si="41"/>
        <v>7</v>
      </c>
      <c r="S107" s="123">
        <f t="shared" si="41"/>
        <v>7</v>
      </c>
      <c r="T107" s="123">
        <f t="shared" si="42"/>
        <v>7</v>
      </c>
      <c r="U107" s="123">
        <f t="shared" si="42"/>
        <v>7</v>
      </c>
      <c r="V107" s="123">
        <f t="shared" si="42"/>
        <v>7</v>
      </c>
      <c r="W107" s="123">
        <f t="shared" si="42"/>
        <v>7</v>
      </c>
      <c r="X107" s="123">
        <f t="shared" si="42"/>
        <v>7</v>
      </c>
      <c r="Y107" s="123">
        <f t="shared" si="42"/>
        <v>7</v>
      </c>
      <c r="Z107" s="123">
        <f t="shared" si="42"/>
        <v>7</v>
      </c>
      <c r="AA107" s="123">
        <f t="shared" si="42"/>
        <v>7</v>
      </c>
      <c r="AB107" s="123">
        <f t="shared" si="42"/>
        <v>7</v>
      </c>
      <c r="AC107" s="123">
        <f t="shared" si="42"/>
        <v>7</v>
      </c>
      <c r="AD107" s="123">
        <f t="shared" si="42"/>
        <v>7</v>
      </c>
      <c r="AE107" s="123">
        <f t="shared" si="42"/>
        <v>7</v>
      </c>
      <c r="AF107" s="123">
        <f t="shared" si="42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3">C109</f>
        <v>2.25</v>
      </c>
      <c r="E109" s="123">
        <f t="shared" si="43"/>
        <v>2.25</v>
      </c>
      <c r="F109" s="123">
        <f t="shared" si="43"/>
        <v>2.25</v>
      </c>
      <c r="G109" s="123">
        <f t="shared" si="43"/>
        <v>2.25</v>
      </c>
      <c r="H109" s="123">
        <f t="shared" si="43"/>
        <v>2.25</v>
      </c>
      <c r="I109" s="123">
        <f t="shared" si="43"/>
        <v>2.25</v>
      </c>
      <c r="J109" s="123">
        <f t="shared" si="43"/>
        <v>2.25</v>
      </c>
      <c r="K109" s="123">
        <f t="shared" si="43"/>
        <v>2.25</v>
      </c>
      <c r="L109" s="123">
        <f t="shared" si="43"/>
        <v>2.25</v>
      </c>
      <c r="M109" s="123">
        <f t="shared" si="43"/>
        <v>2.25</v>
      </c>
      <c r="N109" s="123">
        <f t="shared" si="43"/>
        <v>2.25</v>
      </c>
      <c r="O109" s="123">
        <f t="shared" si="43"/>
        <v>2.25</v>
      </c>
      <c r="P109" s="123">
        <f t="shared" si="43"/>
        <v>2.25</v>
      </c>
      <c r="Q109" s="123">
        <f t="shared" si="43"/>
        <v>2.25</v>
      </c>
      <c r="R109" s="123">
        <f t="shared" si="43"/>
        <v>2.25</v>
      </c>
      <c r="S109" s="123">
        <f t="shared" si="43"/>
        <v>2.25</v>
      </c>
      <c r="T109" s="123">
        <f t="shared" ref="T109:AF110" si="44">S109</f>
        <v>2.25</v>
      </c>
      <c r="U109" s="123">
        <f t="shared" si="44"/>
        <v>2.25</v>
      </c>
      <c r="V109" s="123">
        <f t="shared" si="44"/>
        <v>2.25</v>
      </c>
      <c r="W109" s="123">
        <f t="shared" si="44"/>
        <v>2.25</v>
      </c>
      <c r="X109" s="123">
        <f t="shared" si="44"/>
        <v>2.25</v>
      </c>
      <c r="Y109" s="123">
        <f t="shared" si="44"/>
        <v>2.25</v>
      </c>
      <c r="Z109" s="123">
        <f t="shared" si="44"/>
        <v>2.25</v>
      </c>
      <c r="AA109" s="123">
        <f t="shared" si="44"/>
        <v>2.25</v>
      </c>
      <c r="AB109" s="123">
        <f t="shared" si="44"/>
        <v>2.25</v>
      </c>
      <c r="AC109" s="123">
        <f t="shared" si="44"/>
        <v>2.25</v>
      </c>
      <c r="AD109" s="123">
        <f t="shared" si="44"/>
        <v>2.25</v>
      </c>
      <c r="AE109" s="123">
        <f t="shared" si="44"/>
        <v>2.25</v>
      </c>
      <c r="AF109" s="123">
        <f t="shared" si="44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3"/>
        <v>1.64</v>
      </c>
      <c r="E110" s="123">
        <f t="shared" si="43"/>
        <v>1.64</v>
      </c>
      <c r="F110" s="123">
        <f t="shared" si="43"/>
        <v>1.64</v>
      </c>
      <c r="G110" s="123">
        <f t="shared" si="43"/>
        <v>1.64</v>
      </c>
      <c r="H110" s="123">
        <f t="shared" si="43"/>
        <v>1.64</v>
      </c>
      <c r="I110" s="123">
        <f t="shared" si="43"/>
        <v>1.64</v>
      </c>
      <c r="J110" s="123">
        <f t="shared" si="43"/>
        <v>1.64</v>
      </c>
      <c r="K110" s="123">
        <f t="shared" si="43"/>
        <v>1.64</v>
      </c>
      <c r="L110" s="123">
        <f t="shared" si="43"/>
        <v>1.64</v>
      </c>
      <c r="M110" s="123">
        <f t="shared" si="43"/>
        <v>1.64</v>
      </c>
      <c r="N110" s="123">
        <f t="shared" si="43"/>
        <v>1.64</v>
      </c>
      <c r="O110" s="123">
        <f t="shared" si="43"/>
        <v>1.64</v>
      </c>
      <c r="P110" s="123">
        <f t="shared" si="43"/>
        <v>1.64</v>
      </c>
      <c r="Q110" s="123">
        <f t="shared" si="43"/>
        <v>1.64</v>
      </c>
      <c r="R110" s="123">
        <f t="shared" si="43"/>
        <v>1.64</v>
      </c>
      <c r="S110" s="123">
        <f t="shared" si="43"/>
        <v>1.64</v>
      </c>
      <c r="T110" s="123">
        <f t="shared" si="44"/>
        <v>1.64</v>
      </c>
      <c r="U110" s="123">
        <f t="shared" si="44"/>
        <v>1.64</v>
      </c>
      <c r="V110" s="123">
        <f t="shared" si="44"/>
        <v>1.64</v>
      </c>
      <c r="W110" s="123">
        <f t="shared" si="44"/>
        <v>1.64</v>
      </c>
      <c r="X110" s="123">
        <f t="shared" si="44"/>
        <v>1.64</v>
      </c>
      <c r="Y110" s="123">
        <f t="shared" si="44"/>
        <v>1.64</v>
      </c>
      <c r="Z110" s="123">
        <f t="shared" si="44"/>
        <v>1.64</v>
      </c>
      <c r="AA110" s="123">
        <f t="shared" si="44"/>
        <v>1.64</v>
      </c>
      <c r="AB110" s="123">
        <f t="shared" si="44"/>
        <v>1.64</v>
      </c>
      <c r="AC110" s="123">
        <f t="shared" si="44"/>
        <v>1.64</v>
      </c>
      <c r="AD110" s="123">
        <f t="shared" si="44"/>
        <v>1.64</v>
      </c>
      <c r="AE110" s="123">
        <f t="shared" si="44"/>
        <v>1.64</v>
      </c>
      <c r="AF110" s="123">
        <f t="shared" si="44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5">AF112</f>
        <v>1.62</v>
      </c>
      <c r="C112" s="124">
        <v>1.62</v>
      </c>
      <c r="D112" s="123">
        <f t="shared" ref="D112:S119" si="46">C112</f>
        <v>1.62</v>
      </c>
      <c r="E112" s="123">
        <f t="shared" si="46"/>
        <v>1.62</v>
      </c>
      <c r="F112" s="123">
        <f t="shared" si="46"/>
        <v>1.62</v>
      </c>
      <c r="G112" s="123">
        <f t="shared" si="46"/>
        <v>1.62</v>
      </c>
      <c r="H112" s="123">
        <f t="shared" si="46"/>
        <v>1.62</v>
      </c>
      <c r="I112" s="123">
        <f t="shared" si="46"/>
        <v>1.62</v>
      </c>
      <c r="J112" s="123">
        <f t="shared" si="46"/>
        <v>1.62</v>
      </c>
      <c r="K112" s="123">
        <f t="shared" si="46"/>
        <v>1.62</v>
      </c>
      <c r="L112" s="123">
        <f t="shared" si="46"/>
        <v>1.62</v>
      </c>
      <c r="M112" s="123">
        <f t="shared" si="46"/>
        <v>1.62</v>
      </c>
      <c r="N112" s="123">
        <f t="shared" si="46"/>
        <v>1.62</v>
      </c>
      <c r="O112" s="123">
        <f t="shared" si="46"/>
        <v>1.62</v>
      </c>
      <c r="P112" s="123">
        <f t="shared" si="46"/>
        <v>1.62</v>
      </c>
      <c r="Q112" s="123">
        <f t="shared" si="46"/>
        <v>1.62</v>
      </c>
      <c r="R112" s="123">
        <f t="shared" si="46"/>
        <v>1.62</v>
      </c>
      <c r="S112" s="123">
        <f t="shared" si="46"/>
        <v>1.62</v>
      </c>
      <c r="T112" s="123">
        <f t="shared" ref="T112:AF127" si="47">S112</f>
        <v>1.62</v>
      </c>
      <c r="U112" s="123">
        <f t="shared" si="47"/>
        <v>1.62</v>
      </c>
      <c r="V112" s="123">
        <f t="shared" si="47"/>
        <v>1.62</v>
      </c>
      <c r="W112" s="123">
        <f t="shared" si="47"/>
        <v>1.62</v>
      </c>
      <c r="X112" s="123">
        <f t="shared" si="47"/>
        <v>1.62</v>
      </c>
      <c r="Y112" s="123">
        <f t="shared" si="47"/>
        <v>1.62</v>
      </c>
      <c r="Z112" s="123">
        <f t="shared" si="47"/>
        <v>1.62</v>
      </c>
      <c r="AA112" s="123">
        <f t="shared" si="47"/>
        <v>1.62</v>
      </c>
      <c r="AB112" s="123">
        <f t="shared" si="47"/>
        <v>1.62</v>
      </c>
      <c r="AC112" s="123">
        <f t="shared" si="47"/>
        <v>1.62</v>
      </c>
      <c r="AD112" s="123">
        <f t="shared" si="47"/>
        <v>1.62</v>
      </c>
      <c r="AE112" s="123">
        <f t="shared" si="47"/>
        <v>1.62</v>
      </c>
      <c r="AF112" s="123">
        <f t="shared" si="47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5"/>
        <v>8.36</v>
      </c>
      <c r="C113" s="124">
        <v>8.36</v>
      </c>
      <c r="D113" s="123">
        <f t="shared" si="46"/>
        <v>8.36</v>
      </c>
      <c r="E113" s="123">
        <f t="shared" si="46"/>
        <v>8.36</v>
      </c>
      <c r="F113" s="123">
        <f t="shared" si="46"/>
        <v>8.36</v>
      </c>
      <c r="G113" s="123">
        <f t="shared" si="46"/>
        <v>8.36</v>
      </c>
      <c r="H113" s="123">
        <f t="shared" si="46"/>
        <v>8.36</v>
      </c>
      <c r="I113" s="123">
        <f t="shared" si="46"/>
        <v>8.36</v>
      </c>
      <c r="J113" s="123">
        <f t="shared" si="46"/>
        <v>8.36</v>
      </c>
      <c r="K113" s="123">
        <f t="shared" si="46"/>
        <v>8.36</v>
      </c>
      <c r="L113" s="123">
        <f t="shared" si="46"/>
        <v>8.36</v>
      </c>
      <c r="M113" s="123">
        <f t="shared" si="46"/>
        <v>8.36</v>
      </c>
      <c r="N113" s="123">
        <f t="shared" si="46"/>
        <v>8.36</v>
      </c>
      <c r="O113" s="123">
        <f t="shared" si="46"/>
        <v>8.36</v>
      </c>
      <c r="P113" s="123">
        <f t="shared" si="46"/>
        <v>8.36</v>
      </c>
      <c r="Q113" s="123">
        <f t="shared" si="46"/>
        <v>8.36</v>
      </c>
      <c r="R113" s="123">
        <f t="shared" si="46"/>
        <v>8.36</v>
      </c>
      <c r="S113" s="123">
        <f t="shared" si="46"/>
        <v>8.36</v>
      </c>
      <c r="T113" s="123">
        <f t="shared" si="47"/>
        <v>8.36</v>
      </c>
      <c r="U113" s="123">
        <f t="shared" si="47"/>
        <v>8.36</v>
      </c>
      <c r="V113" s="123">
        <f t="shared" si="47"/>
        <v>8.36</v>
      </c>
      <c r="W113" s="123">
        <f t="shared" si="47"/>
        <v>8.36</v>
      </c>
      <c r="X113" s="123">
        <f t="shared" si="47"/>
        <v>8.36</v>
      </c>
      <c r="Y113" s="123">
        <f t="shared" si="47"/>
        <v>8.36</v>
      </c>
      <c r="Z113" s="123">
        <f t="shared" si="47"/>
        <v>8.36</v>
      </c>
      <c r="AA113" s="123">
        <f t="shared" si="47"/>
        <v>8.36</v>
      </c>
      <c r="AB113" s="123">
        <f t="shared" si="47"/>
        <v>8.36</v>
      </c>
      <c r="AC113" s="123">
        <f t="shared" si="47"/>
        <v>8.36</v>
      </c>
      <c r="AD113" s="123">
        <f t="shared" si="47"/>
        <v>8.36</v>
      </c>
      <c r="AE113" s="123">
        <f t="shared" si="47"/>
        <v>8.36</v>
      </c>
      <c r="AF113" s="123">
        <f t="shared" si="47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5"/>
        <v>5.4</v>
      </c>
      <c r="C114" s="124">
        <v>8</v>
      </c>
      <c r="D114" s="123">
        <f t="shared" si="46"/>
        <v>8</v>
      </c>
      <c r="E114" s="123">
        <f t="shared" si="46"/>
        <v>8</v>
      </c>
      <c r="F114" s="123">
        <f t="shared" si="46"/>
        <v>8</v>
      </c>
      <c r="G114" s="123">
        <f t="shared" si="46"/>
        <v>8</v>
      </c>
      <c r="H114" s="123">
        <f t="shared" si="46"/>
        <v>8</v>
      </c>
      <c r="I114" s="123">
        <f t="shared" si="46"/>
        <v>8</v>
      </c>
      <c r="J114" s="123">
        <v>5.4</v>
      </c>
      <c r="K114" s="123">
        <f t="shared" si="46"/>
        <v>5.4</v>
      </c>
      <c r="L114" s="123">
        <f t="shared" si="46"/>
        <v>5.4</v>
      </c>
      <c r="M114" s="123">
        <f t="shared" si="46"/>
        <v>5.4</v>
      </c>
      <c r="N114" s="123">
        <f t="shared" si="46"/>
        <v>5.4</v>
      </c>
      <c r="O114" s="123">
        <f t="shared" si="46"/>
        <v>5.4</v>
      </c>
      <c r="P114" s="123">
        <f t="shared" si="46"/>
        <v>5.4</v>
      </c>
      <c r="Q114" s="123">
        <f t="shared" si="46"/>
        <v>5.4</v>
      </c>
      <c r="R114" s="123">
        <f t="shared" si="46"/>
        <v>5.4</v>
      </c>
      <c r="S114" s="123">
        <f t="shared" si="46"/>
        <v>5.4</v>
      </c>
      <c r="T114" s="123">
        <f t="shared" si="47"/>
        <v>5.4</v>
      </c>
      <c r="U114" s="123">
        <f t="shared" si="47"/>
        <v>5.4</v>
      </c>
      <c r="V114" s="123">
        <f t="shared" si="47"/>
        <v>5.4</v>
      </c>
      <c r="W114" s="123">
        <f t="shared" si="47"/>
        <v>5.4</v>
      </c>
      <c r="X114" s="123">
        <f t="shared" si="47"/>
        <v>5.4</v>
      </c>
      <c r="Y114" s="123">
        <f t="shared" si="47"/>
        <v>5.4</v>
      </c>
      <c r="Z114" s="123">
        <f t="shared" si="47"/>
        <v>5.4</v>
      </c>
      <c r="AA114" s="123">
        <f t="shared" si="47"/>
        <v>5.4</v>
      </c>
      <c r="AB114" s="123">
        <f t="shared" si="47"/>
        <v>5.4</v>
      </c>
      <c r="AC114" s="123">
        <f t="shared" si="47"/>
        <v>5.4</v>
      </c>
      <c r="AD114" s="123">
        <f t="shared" si="47"/>
        <v>5.4</v>
      </c>
      <c r="AE114" s="123">
        <f t="shared" si="47"/>
        <v>5.4</v>
      </c>
      <c r="AF114" s="123">
        <f t="shared" si="47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5"/>
        <v>6.57</v>
      </c>
      <c r="C115" s="124">
        <v>6.57</v>
      </c>
      <c r="D115" s="123">
        <f t="shared" si="46"/>
        <v>6.57</v>
      </c>
      <c r="E115" s="123">
        <f t="shared" si="46"/>
        <v>6.57</v>
      </c>
      <c r="F115" s="123">
        <f t="shared" si="46"/>
        <v>6.57</v>
      </c>
      <c r="G115" s="123">
        <f t="shared" si="46"/>
        <v>6.57</v>
      </c>
      <c r="H115" s="123">
        <f t="shared" si="46"/>
        <v>6.57</v>
      </c>
      <c r="I115" s="123">
        <f t="shared" si="46"/>
        <v>6.57</v>
      </c>
      <c r="J115" s="123">
        <f t="shared" si="46"/>
        <v>6.57</v>
      </c>
      <c r="K115" s="123">
        <f t="shared" si="46"/>
        <v>6.57</v>
      </c>
      <c r="L115" s="123">
        <f t="shared" si="46"/>
        <v>6.57</v>
      </c>
      <c r="M115" s="123">
        <f t="shared" si="46"/>
        <v>6.57</v>
      </c>
      <c r="N115" s="123">
        <f t="shared" si="46"/>
        <v>6.57</v>
      </c>
      <c r="O115" s="123">
        <f t="shared" si="46"/>
        <v>6.57</v>
      </c>
      <c r="P115" s="123">
        <f t="shared" si="46"/>
        <v>6.57</v>
      </c>
      <c r="Q115" s="123">
        <f t="shared" si="46"/>
        <v>6.57</v>
      </c>
      <c r="R115" s="123">
        <f t="shared" si="46"/>
        <v>6.57</v>
      </c>
      <c r="S115" s="123">
        <f t="shared" si="46"/>
        <v>6.57</v>
      </c>
      <c r="T115" s="123">
        <f t="shared" si="47"/>
        <v>6.57</v>
      </c>
      <c r="U115" s="123">
        <f t="shared" si="47"/>
        <v>6.57</v>
      </c>
      <c r="V115" s="123">
        <f t="shared" si="47"/>
        <v>6.57</v>
      </c>
      <c r="W115" s="123">
        <f t="shared" si="47"/>
        <v>6.57</v>
      </c>
      <c r="X115" s="123">
        <f t="shared" si="47"/>
        <v>6.57</v>
      </c>
      <c r="Y115" s="123">
        <f t="shared" si="47"/>
        <v>6.57</v>
      </c>
      <c r="Z115" s="123">
        <f t="shared" si="47"/>
        <v>6.57</v>
      </c>
      <c r="AA115" s="123">
        <f t="shared" si="47"/>
        <v>6.57</v>
      </c>
      <c r="AB115" s="123">
        <f t="shared" si="47"/>
        <v>6.57</v>
      </c>
      <c r="AC115" s="123">
        <f t="shared" si="47"/>
        <v>6.57</v>
      </c>
      <c r="AD115" s="123">
        <f t="shared" si="47"/>
        <v>6.57</v>
      </c>
      <c r="AE115" s="123">
        <f t="shared" si="47"/>
        <v>6.57</v>
      </c>
      <c r="AF115" s="123">
        <f t="shared" si="47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5"/>
        <v>3.43</v>
      </c>
      <c r="C116" s="124">
        <v>3.43</v>
      </c>
      <c r="D116" s="123">
        <f t="shared" si="46"/>
        <v>3.43</v>
      </c>
      <c r="E116" s="123">
        <f t="shared" si="46"/>
        <v>3.43</v>
      </c>
      <c r="F116" s="123">
        <f t="shared" si="46"/>
        <v>3.43</v>
      </c>
      <c r="G116" s="123">
        <f t="shared" si="46"/>
        <v>3.43</v>
      </c>
      <c r="H116" s="123">
        <f t="shared" si="46"/>
        <v>3.43</v>
      </c>
      <c r="I116" s="123">
        <f t="shared" si="46"/>
        <v>3.43</v>
      </c>
      <c r="J116" s="123">
        <f t="shared" si="46"/>
        <v>3.43</v>
      </c>
      <c r="K116" s="123">
        <f t="shared" si="46"/>
        <v>3.43</v>
      </c>
      <c r="L116" s="123">
        <f t="shared" si="46"/>
        <v>3.43</v>
      </c>
      <c r="M116" s="123">
        <f t="shared" si="46"/>
        <v>3.43</v>
      </c>
      <c r="N116" s="123">
        <f t="shared" si="46"/>
        <v>3.43</v>
      </c>
      <c r="O116" s="123">
        <f t="shared" si="46"/>
        <v>3.43</v>
      </c>
      <c r="P116" s="123">
        <f t="shared" si="46"/>
        <v>3.43</v>
      </c>
      <c r="Q116" s="123">
        <f t="shared" si="46"/>
        <v>3.43</v>
      </c>
      <c r="R116" s="123">
        <f t="shared" si="46"/>
        <v>3.43</v>
      </c>
      <c r="S116" s="123">
        <f t="shared" si="46"/>
        <v>3.43</v>
      </c>
      <c r="T116" s="123">
        <f t="shared" si="47"/>
        <v>3.43</v>
      </c>
      <c r="U116" s="123">
        <f t="shared" si="47"/>
        <v>3.43</v>
      </c>
      <c r="V116" s="123">
        <f t="shared" si="47"/>
        <v>3.43</v>
      </c>
      <c r="W116" s="123">
        <f t="shared" si="47"/>
        <v>3.43</v>
      </c>
      <c r="X116" s="123">
        <f t="shared" si="47"/>
        <v>3.43</v>
      </c>
      <c r="Y116" s="123">
        <f t="shared" si="47"/>
        <v>3.43</v>
      </c>
      <c r="Z116" s="123">
        <f t="shared" si="47"/>
        <v>3.43</v>
      </c>
      <c r="AA116" s="123">
        <f t="shared" si="47"/>
        <v>3.43</v>
      </c>
      <c r="AB116" s="123">
        <f t="shared" si="47"/>
        <v>3.43</v>
      </c>
      <c r="AC116" s="123">
        <f t="shared" si="47"/>
        <v>3.43</v>
      </c>
      <c r="AD116" s="123">
        <f t="shared" si="47"/>
        <v>3.43</v>
      </c>
      <c r="AE116" s="123">
        <f t="shared" si="47"/>
        <v>3.43</v>
      </c>
      <c r="AF116" s="123">
        <f t="shared" si="47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5"/>
        <v>2.96</v>
      </c>
      <c r="C117" s="124">
        <v>2.96</v>
      </c>
      <c r="D117" s="123">
        <f t="shared" si="46"/>
        <v>2.96</v>
      </c>
      <c r="E117" s="123">
        <f t="shared" si="46"/>
        <v>2.96</v>
      </c>
      <c r="F117" s="123">
        <f t="shared" si="46"/>
        <v>2.96</v>
      </c>
      <c r="G117" s="123">
        <f t="shared" si="46"/>
        <v>2.96</v>
      </c>
      <c r="H117" s="123">
        <f t="shared" si="46"/>
        <v>2.96</v>
      </c>
      <c r="I117" s="123">
        <f t="shared" si="46"/>
        <v>2.96</v>
      </c>
      <c r="J117" s="123">
        <f t="shared" si="46"/>
        <v>2.96</v>
      </c>
      <c r="K117" s="123">
        <f t="shared" si="46"/>
        <v>2.96</v>
      </c>
      <c r="L117" s="123">
        <f t="shared" si="46"/>
        <v>2.96</v>
      </c>
      <c r="M117" s="123">
        <f t="shared" si="46"/>
        <v>2.96</v>
      </c>
      <c r="N117" s="123">
        <f t="shared" si="46"/>
        <v>2.96</v>
      </c>
      <c r="O117" s="123">
        <f t="shared" si="46"/>
        <v>2.96</v>
      </c>
      <c r="P117" s="123">
        <f t="shared" si="46"/>
        <v>2.96</v>
      </c>
      <c r="Q117" s="123">
        <f t="shared" si="46"/>
        <v>2.96</v>
      </c>
      <c r="R117" s="123">
        <f t="shared" si="46"/>
        <v>2.96</v>
      </c>
      <c r="S117" s="123">
        <f t="shared" si="46"/>
        <v>2.96</v>
      </c>
      <c r="T117" s="123">
        <f t="shared" si="47"/>
        <v>2.96</v>
      </c>
      <c r="U117" s="123">
        <f t="shared" si="47"/>
        <v>2.96</v>
      </c>
      <c r="V117" s="123">
        <f t="shared" si="47"/>
        <v>2.96</v>
      </c>
      <c r="W117" s="123">
        <f t="shared" si="47"/>
        <v>2.96</v>
      </c>
      <c r="X117" s="123">
        <f t="shared" si="47"/>
        <v>2.96</v>
      </c>
      <c r="Y117" s="123">
        <f t="shared" si="47"/>
        <v>2.96</v>
      </c>
      <c r="Z117" s="123">
        <f t="shared" si="47"/>
        <v>2.96</v>
      </c>
      <c r="AA117" s="123">
        <f t="shared" si="47"/>
        <v>2.96</v>
      </c>
      <c r="AB117" s="123">
        <f t="shared" si="47"/>
        <v>2.96</v>
      </c>
      <c r="AC117" s="123">
        <f t="shared" si="47"/>
        <v>2.96</v>
      </c>
      <c r="AD117" s="123">
        <f t="shared" si="47"/>
        <v>2.96</v>
      </c>
      <c r="AE117" s="123">
        <f t="shared" si="47"/>
        <v>2.96</v>
      </c>
      <c r="AF117" s="123">
        <f t="shared" si="47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5"/>
        <v>8</v>
      </c>
      <c r="C118" s="124">
        <v>8</v>
      </c>
      <c r="D118" s="123">
        <f t="shared" si="46"/>
        <v>8</v>
      </c>
      <c r="E118" s="123">
        <f t="shared" si="46"/>
        <v>8</v>
      </c>
      <c r="F118" s="123">
        <f t="shared" si="46"/>
        <v>8</v>
      </c>
      <c r="G118" s="123">
        <f t="shared" si="46"/>
        <v>8</v>
      </c>
      <c r="H118" s="123">
        <f t="shared" si="46"/>
        <v>8</v>
      </c>
      <c r="I118" s="123">
        <f t="shared" si="46"/>
        <v>8</v>
      </c>
      <c r="J118" s="123">
        <f t="shared" si="46"/>
        <v>8</v>
      </c>
      <c r="K118" s="123">
        <f t="shared" si="46"/>
        <v>8</v>
      </c>
      <c r="L118" s="123">
        <f t="shared" si="46"/>
        <v>8</v>
      </c>
      <c r="M118" s="123">
        <f t="shared" si="46"/>
        <v>8</v>
      </c>
      <c r="N118" s="123">
        <f t="shared" si="46"/>
        <v>8</v>
      </c>
      <c r="O118" s="123">
        <f t="shared" si="46"/>
        <v>8</v>
      </c>
      <c r="P118" s="123">
        <f t="shared" si="46"/>
        <v>8</v>
      </c>
      <c r="Q118" s="123">
        <f t="shared" si="46"/>
        <v>8</v>
      </c>
      <c r="R118" s="123">
        <f t="shared" si="46"/>
        <v>8</v>
      </c>
      <c r="S118" s="123">
        <f t="shared" si="46"/>
        <v>8</v>
      </c>
      <c r="T118" s="123">
        <f t="shared" si="47"/>
        <v>8</v>
      </c>
      <c r="U118" s="123">
        <f t="shared" si="47"/>
        <v>8</v>
      </c>
      <c r="V118" s="123">
        <f t="shared" si="47"/>
        <v>8</v>
      </c>
      <c r="W118" s="123">
        <f t="shared" si="47"/>
        <v>8</v>
      </c>
      <c r="X118" s="123">
        <f t="shared" si="47"/>
        <v>8</v>
      </c>
      <c r="Y118" s="123">
        <f t="shared" si="47"/>
        <v>8</v>
      </c>
      <c r="Z118" s="123">
        <f t="shared" si="47"/>
        <v>8</v>
      </c>
      <c r="AA118" s="123">
        <f t="shared" si="47"/>
        <v>8</v>
      </c>
      <c r="AB118" s="123">
        <f t="shared" si="47"/>
        <v>8</v>
      </c>
      <c r="AC118" s="123">
        <f t="shared" si="47"/>
        <v>8</v>
      </c>
      <c r="AD118" s="123">
        <f t="shared" si="47"/>
        <v>8</v>
      </c>
      <c r="AE118" s="123">
        <f t="shared" si="47"/>
        <v>8</v>
      </c>
      <c r="AF118" s="123">
        <f t="shared" si="47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5"/>
        <v>7</v>
      </c>
      <c r="C119" s="124">
        <v>7</v>
      </c>
      <c r="D119" s="123">
        <f>C119</f>
        <v>7</v>
      </c>
      <c r="E119" s="123">
        <f t="shared" si="46"/>
        <v>7</v>
      </c>
      <c r="F119" s="123">
        <f t="shared" si="46"/>
        <v>7</v>
      </c>
      <c r="G119" s="123">
        <f t="shared" si="46"/>
        <v>7</v>
      </c>
      <c r="H119" s="123">
        <f t="shared" si="46"/>
        <v>7</v>
      </c>
      <c r="I119" s="123">
        <f t="shared" si="46"/>
        <v>7</v>
      </c>
      <c r="J119" s="123">
        <f t="shared" si="46"/>
        <v>7</v>
      </c>
      <c r="K119" s="123">
        <f t="shared" si="46"/>
        <v>7</v>
      </c>
      <c r="L119" s="123">
        <f t="shared" si="46"/>
        <v>7</v>
      </c>
      <c r="M119" s="123">
        <f t="shared" si="46"/>
        <v>7</v>
      </c>
      <c r="N119" s="123">
        <f t="shared" si="46"/>
        <v>7</v>
      </c>
      <c r="O119" s="123">
        <f t="shared" si="46"/>
        <v>7</v>
      </c>
      <c r="P119" s="123">
        <f t="shared" si="46"/>
        <v>7</v>
      </c>
      <c r="Q119" s="123">
        <f t="shared" si="46"/>
        <v>7</v>
      </c>
      <c r="R119" s="123">
        <f t="shared" si="46"/>
        <v>7</v>
      </c>
      <c r="S119" s="123">
        <f t="shared" si="46"/>
        <v>7</v>
      </c>
      <c r="T119" s="123">
        <f t="shared" si="47"/>
        <v>7</v>
      </c>
      <c r="U119" s="123">
        <f t="shared" si="47"/>
        <v>7</v>
      </c>
      <c r="V119" s="123">
        <f t="shared" si="47"/>
        <v>7</v>
      </c>
      <c r="W119" s="123">
        <f t="shared" si="47"/>
        <v>7</v>
      </c>
      <c r="X119" s="123">
        <f t="shared" si="47"/>
        <v>7</v>
      </c>
      <c r="Y119" s="123">
        <f t="shared" si="47"/>
        <v>7</v>
      </c>
      <c r="Z119" s="123">
        <f t="shared" si="47"/>
        <v>7</v>
      </c>
      <c r="AA119" s="123">
        <f t="shared" si="47"/>
        <v>7</v>
      </c>
      <c r="AB119" s="123">
        <f t="shared" si="47"/>
        <v>7</v>
      </c>
      <c r="AC119" s="123">
        <f t="shared" si="47"/>
        <v>7</v>
      </c>
      <c r="AD119" s="123">
        <f t="shared" si="47"/>
        <v>7</v>
      </c>
      <c r="AE119" s="123">
        <f t="shared" si="47"/>
        <v>7</v>
      </c>
      <c r="AF119" s="123">
        <f t="shared" si="47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5"/>
        <v>3.47</v>
      </c>
      <c r="C120" s="124">
        <v>3.47</v>
      </c>
      <c r="D120" s="123">
        <f t="shared" ref="D120:S129" si="48">C120</f>
        <v>3.47</v>
      </c>
      <c r="E120" s="123">
        <f t="shared" si="48"/>
        <v>3.47</v>
      </c>
      <c r="F120" s="123">
        <f t="shared" si="48"/>
        <v>3.47</v>
      </c>
      <c r="G120" s="123">
        <f t="shared" si="48"/>
        <v>3.47</v>
      </c>
      <c r="H120" s="123">
        <f t="shared" si="48"/>
        <v>3.47</v>
      </c>
      <c r="I120" s="123">
        <f t="shared" si="48"/>
        <v>3.47</v>
      </c>
      <c r="J120" s="123">
        <f t="shared" si="48"/>
        <v>3.47</v>
      </c>
      <c r="K120" s="123">
        <f t="shared" si="48"/>
        <v>3.47</v>
      </c>
      <c r="L120" s="123">
        <f t="shared" si="48"/>
        <v>3.47</v>
      </c>
      <c r="M120" s="123">
        <f t="shared" si="48"/>
        <v>3.47</v>
      </c>
      <c r="N120" s="123">
        <f t="shared" si="48"/>
        <v>3.47</v>
      </c>
      <c r="O120" s="123">
        <f t="shared" si="48"/>
        <v>3.47</v>
      </c>
      <c r="P120" s="123">
        <f t="shared" si="48"/>
        <v>3.47</v>
      </c>
      <c r="Q120" s="123">
        <f t="shared" si="48"/>
        <v>3.47</v>
      </c>
      <c r="R120" s="123">
        <f t="shared" si="48"/>
        <v>3.47</v>
      </c>
      <c r="S120" s="123">
        <f t="shared" si="48"/>
        <v>3.47</v>
      </c>
      <c r="T120" s="123">
        <f t="shared" si="47"/>
        <v>3.47</v>
      </c>
      <c r="U120" s="123">
        <f t="shared" si="47"/>
        <v>3.47</v>
      </c>
      <c r="V120" s="123">
        <f t="shared" si="47"/>
        <v>3.47</v>
      </c>
      <c r="W120" s="123">
        <f t="shared" si="47"/>
        <v>3.47</v>
      </c>
      <c r="X120" s="123">
        <f t="shared" si="47"/>
        <v>3.47</v>
      </c>
      <c r="Y120" s="123">
        <f t="shared" si="47"/>
        <v>3.47</v>
      </c>
      <c r="Z120" s="123">
        <f t="shared" si="47"/>
        <v>3.47</v>
      </c>
      <c r="AA120" s="123">
        <f t="shared" si="47"/>
        <v>3.47</v>
      </c>
      <c r="AB120" s="123">
        <f t="shared" si="47"/>
        <v>3.47</v>
      </c>
      <c r="AC120" s="123">
        <f t="shared" si="47"/>
        <v>3.47</v>
      </c>
      <c r="AD120" s="123">
        <f t="shared" si="47"/>
        <v>3.47</v>
      </c>
      <c r="AE120" s="123">
        <f t="shared" si="47"/>
        <v>3.47</v>
      </c>
      <c r="AF120" s="123">
        <f t="shared" si="47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5"/>
        <v>2.1</v>
      </c>
      <c r="C121" s="124">
        <v>2.1</v>
      </c>
      <c r="D121" s="123">
        <f t="shared" si="48"/>
        <v>2.1</v>
      </c>
      <c r="E121" s="123">
        <f t="shared" si="48"/>
        <v>2.1</v>
      </c>
      <c r="F121" s="123">
        <f t="shared" si="48"/>
        <v>2.1</v>
      </c>
      <c r="G121" s="123">
        <f t="shared" si="48"/>
        <v>2.1</v>
      </c>
      <c r="H121" s="123">
        <f t="shared" si="48"/>
        <v>2.1</v>
      </c>
      <c r="I121" s="123">
        <f t="shared" si="48"/>
        <v>2.1</v>
      </c>
      <c r="J121" s="123">
        <f t="shared" si="48"/>
        <v>2.1</v>
      </c>
      <c r="K121" s="123">
        <f t="shared" si="48"/>
        <v>2.1</v>
      </c>
      <c r="L121" s="123">
        <f t="shared" si="48"/>
        <v>2.1</v>
      </c>
      <c r="M121" s="123">
        <f t="shared" si="48"/>
        <v>2.1</v>
      </c>
      <c r="N121" s="123">
        <f t="shared" si="48"/>
        <v>2.1</v>
      </c>
      <c r="O121" s="123">
        <f t="shared" si="48"/>
        <v>2.1</v>
      </c>
      <c r="P121" s="123">
        <f t="shared" si="48"/>
        <v>2.1</v>
      </c>
      <c r="Q121" s="123">
        <f t="shared" si="48"/>
        <v>2.1</v>
      </c>
      <c r="R121" s="123">
        <f t="shared" si="48"/>
        <v>2.1</v>
      </c>
      <c r="S121" s="123">
        <f t="shared" si="48"/>
        <v>2.1</v>
      </c>
      <c r="T121" s="123">
        <f t="shared" si="47"/>
        <v>2.1</v>
      </c>
      <c r="U121" s="123">
        <f t="shared" si="47"/>
        <v>2.1</v>
      </c>
      <c r="V121" s="123">
        <f t="shared" si="47"/>
        <v>2.1</v>
      </c>
      <c r="W121" s="123">
        <f t="shared" si="47"/>
        <v>2.1</v>
      </c>
      <c r="X121" s="123">
        <f t="shared" si="47"/>
        <v>2.1</v>
      </c>
      <c r="Y121" s="123">
        <f t="shared" si="47"/>
        <v>2.1</v>
      </c>
      <c r="Z121" s="123">
        <f t="shared" si="47"/>
        <v>2.1</v>
      </c>
      <c r="AA121" s="123">
        <f t="shared" si="47"/>
        <v>2.1</v>
      </c>
      <c r="AB121" s="123">
        <f t="shared" si="47"/>
        <v>2.1</v>
      </c>
      <c r="AC121" s="123">
        <f t="shared" si="47"/>
        <v>2.1</v>
      </c>
      <c r="AD121" s="123">
        <f t="shared" si="47"/>
        <v>2.1</v>
      </c>
      <c r="AE121" s="123">
        <f t="shared" si="47"/>
        <v>2.1</v>
      </c>
      <c r="AF121" s="123">
        <f t="shared" si="47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5"/>
        <v>9.3000000000000007</v>
      </c>
      <c r="C122" s="124">
        <v>9.3000000000000007</v>
      </c>
      <c r="D122" s="123">
        <f t="shared" si="48"/>
        <v>9.3000000000000007</v>
      </c>
      <c r="E122" s="123">
        <f t="shared" si="48"/>
        <v>9.3000000000000007</v>
      </c>
      <c r="F122" s="123">
        <f t="shared" si="48"/>
        <v>9.3000000000000007</v>
      </c>
      <c r="G122" s="123">
        <f t="shared" si="48"/>
        <v>9.3000000000000007</v>
      </c>
      <c r="H122" s="123">
        <f t="shared" si="48"/>
        <v>9.3000000000000007</v>
      </c>
      <c r="I122" s="123">
        <f t="shared" si="48"/>
        <v>9.3000000000000007</v>
      </c>
      <c r="J122" s="123">
        <f t="shared" si="48"/>
        <v>9.3000000000000007</v>
      </c>
      <c r="K122" s="123">
        <f t="shared" si="48"/>
        <v>9.3000000000000007</v>
      </c>
      <c r="L122" s="123">
        <f t="shared" si="48"/>
        <v>9.3000000000000007</v>
      </c>
      <c r="M122" s="123">
        <f t="shared" si="48"/>
        <v>9.3000000000000007</v>
      </c>
      <c r="N122" s="123">
        <f t="shared" si="48"/>
        <v>9.3000000000000007</v>
      </c>
      <c r="O122" s="123">
        <f t="shared" si="48"/>
        <v>9.3000000000000007</v>
      </c>
      <c r="P122" s="123">
        <f t="shared" si="48"/>
        <v>9.3000000000000007</v>
      </c>
      <c r="Q122" s="123">
        <f t="shared" si="48"/>
        <v>9.3000000000000007</v>
      </c>
      <c r="R122" s="123">
        <f t="shared" si="48"/>
        <v>9.3000000000000007</v>
      </c>
      <c r="S122" s="123">
        <f t="shared" si="48"/>
        <v>9.3000000000000007</v>
      </c>
      <c r="T122" s="123">
        <f t="shared" si="47"/>
        <v>9.3000000000000007</v>
      </c>
      <c r="U122" s="123">
        <f t="shared" si="47"/>
        <v>9.3000000000000007</v>
      </c>
      <c r="V122" s="123">
        <f t="shared" si="47"/>
        <v>9.3000000000000007</v>
      </c>
      <c r="W122" s="123">
        <f t="shared" si="47"/>
        <v>9.3000000000000007</v>
      </c>
      <c r="X122" s="123">
        <f t="shared" si="47"/>
        <v>9.3000000000000007</v>
      </c>
      <c r="Y122" s="123">
        <f t="shared" si="47"/>
        <v>9.3000000000000007</v>
      </c>
      <c r="Z122" s="123">
        <f t="shared" si="47"/>
        <v>9.3000000000000007</v>
      </c>
      <c r="AA122" s="123">
        <f t="shared" si="47"/>
        <v>9.3000000000000007</v>
      </c>
      <c r="AB122" s="123">
        <f t="shared" si="47"/>
        <v>9.3000000000000007</v>
      </c>
      <c r="AC122" s="123">
        <f t="shared" si="47"/>
        <v>9.3000000000000007</v>
      </c>
      <c r="AD122" s="123">
        <f t="shared" si="47"/>
        <v>9.3000000000000007</v>
      </c>
      <c r="AE122" s="123">
        <f t="shared" si="47"/>
        <v>9.3000000000000007</v>
      </c>
      <c r="AF122" s="123">
        <f t="shared" si="47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5"/>
        <v>0</v>
      </c>
      <c r="C123" s="124">
        <v>0</v>
      </c>
      <c r="D123" s="123">
        <f t="shared" si="48"/>
        <v>0</v>
      </c>
      <c r="E123" s="123">
        <f t="shared" si="48"/>
        <v>0</v>
      </c>
      <c r="F123" s="123">
        <f t="shared" si="48"/>
        <v>0</v>
      </c>
      <c r="G123" s="123">
        <f t="shared" si="48"/>
        <v>0</v>
      </c>
      <c r="H123" s="123">
        <f t="shared" si="48"/>
        <v>0</v>
      </c>
      <c r="I123" s="123">
        <f t="shared" si="48"/>
        <v>0</v>
      </c>
      <c r="J123" s="123">
        <f t="shared" si="48"/>
        <v>0</v>
      </c>
      <c r="K123" s="123">
        <f t="shared" si="48"/>
        <v>0</v>
      </c>
      <c r="L123" s="123">
        <f t="shared" si="48"/>
        <v>0</v>
      </c>
      <c r="M123" s="123">
        <f t="shared" si="48"/>
        <v>0</v>
      </c>
      <c r="N123" s="123">
        <f t="shared" si="48"/>
        <v>0</v>
      </c>
      <c r="O123" s="123">
        <f t="shared" si="48"/>
        <v>0</v>
      </c>
      <c r="P123" s="123">
        <f t="shared" si="48"/>
        <v>0</v>
      </c>
      <c r="Q123" s="123">
        <f t="shared" si="48"/>
        <v>0</v>
      </c>
      <c r="R123" s="123">
        <f t="shared" si="48"/>
        <v>0</v>
      </c>
      <c r="S123" s="123">
        <f t="shared" si="48"/>
        <v>0</v>
      </c>
      <c r="T123" s="123">
        <f t="shared" si="47"/>
        <v>0</v>
      </c>
      <c r="U123" s="123">
        <f t="shared" si="47"/>
        <v>0</v>
      </c>
      <c r="V123" s="123">
        <f t="shared" si="47"/>
        <v>0</v>
      </c>
      <c r="W123" s="123">
        <f t="shared" si="47"/>
        <v>0</v>
      </c>
      <c r="X123" s="123">
        <f t="shared" si="47"/>
        <v>0</v>
      </c>
      <c r="Y123" s="123">
        <f t="shared" si="47"/>
        <v>0</v>
      </c>
      <c r="Z123" s="123">
        <f t="shared" si="47"/>
        <v>0</v>
      </c>
      <c r="AA123" s="123">
        <f t="shared" si="47"/>
        <v>0</v>
      </c>
      <c r="AB123" s="123">
        <f t="shared" si="47"/>
        <v>0</v>
      </c>
      <c r="AC123" s="123">
        <f t="shared" si="47"/>
        <v>0</v>
      </c>
      <c r="AD123" s="123">
        <f t="shared" si="47"/>
        <v>0</v>
      </c>
      <c r="AE123" s="123">
        <f t="shared" si="47"/>
        <v>0</v>
      </c>
      <c r="AF123" s="123">
        <f t="shared" si="47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5"/>
        <v>0</v>
      </c>
      <c r="C124" s="124">
        <v>0</v>
      </c>
      <c r="D124" s="123">
        <f t="shared" si="48"/>
        <v>0</v>
      </c>
      <c r="E124" s="123">
        <f t="shared" si="48"/>
        <v>0</v>
      </c>
      <c r="F124" s="123">
        <f t="shared" si="48"/>
        <v>0</v>
      </c>
      <c r="G124" s="123">
        <f t="shared" si="48"/>
        <v>0</v>
      </c>
      <c r="H124" s="123">
        <f t="shared" si="48"/>
        <v>0</v>
      </c>
      <c r="I124" s="123">
        <f t="shared" si="48"/>
        <v>0</v>
      </c>
      <c r="J124" s="123">
        <f t="shared" si="48"/>
        <v>0</v>
      </c>
      <c r="K124" s="123">
        <f t="shared" si="48"/>
        <v>0</v>
      </c>
      <c r="L124" s="123">
        <f t="shared" si="48"/>
        <v>0</v>
      </c>
      <c r="M124" s="123">
        <f t="shared" si="48"/>
        <v>0</v>
      </c>
      <c r="N124" s="123">
        <f t="shared" si="48"/>
        <v>0</v>
      </c>
      <c r="O124" s="123">
        <f t="shared" si="48"/>
        <v>0</v>
      </c>
      <c r="P124" s="123">
        <f t="shared" si="48"/>
        <v>0</v>
      </c>
      <c r="Q124" s="123">
        <f t="shared" si="48"/>
        <v>0</v>
      </c>
      <c r="R124" s="123">
        <f t="shared" si="48"/>
        <v>0</v>
      </c>
      <c r="S124" s="123">
        <f t="shared" si="48"/>
        <v>0</v>
      </c>
      <c r="T124" s="123">
        <f t="shared" si="47"/>
        <v>0</v>
      </c>
      <c r="U124" s="123">
        <f t="shared" si="47"/>
        <v>0</v>
      </c>
      <c r="V124" s="123">
        <f t="shared" si="47"/>
        <v>0</v>
      </c>
      <c r="W124" s="123">
        <f t="shared" si="47"/>
        <v>0</v>
      </c>
      <c r="X124" s="123">
        <f t="shared" si="47"/>
        <v>0</v>
      </c>
      <c r="Y124" s="123">
        <f t="shared" si="47"/>
        <v>0</v>
      </c>
      <c r="Z124" s="123">
        <f t="shared" si="47"/>
        <v>0</v>
      </c>
      <c r="AA124" s="123">
        <f t="shared" si="47"/>
        <v>0</v>
      </c>
      <c r="AB124" s="123">
        <f t="shared" si="47"/>
        <v>0</v>
      </c>
      <c r="AC124" s="123">
        <f t="shared" si="47"/>
        <v>0</v>
      </c>
      <c r="AD124" s="123">
        <f t="shared" si="47"/>
        <v>0</v>
      </c>
      <c r="AE124" s="123">
        <f t="shared" si="47"/>
        <v>0</v>
      </c>
      <c r="AF124" s="123">
        <f t="shared" si="47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5"/>
        <v>;/</v>
      </c>
      <c r="C125" s="124">
        <v>5</v>
      </c>
      <c r="D125" s="123">
        <f t="shared" si="48"/>
        <v>5</v>
      </c>
      <c r="E125" s="123">
        <f t="shared" si="48"/>
        <v>5</v>
      </c>
      <c r="F125" s="123">
        <f t="shared" si="48"/>
        <v>5</v>
      </c>
      <c r="G125" s="123">
        <f t="shared" si="48"/>
        <v>5</v>
      </c>
      <c r="H125" s="123">
        <f t="shared" si="48"/>
        <v>5</v>
      </c>
      <c r="I125" s="123" t="s">
        <v>130</v>
      </c>
      <c r="J125" s="123" t="str">
        <f t="shared" si="48"/>
        <v>;/</v>
      </c>
      <c r="K125" s="123" t="str">
        <f t="shared" si="48"/>
        <v>;/</v>
      </c>
      <c r="L125" s="123" t="str">
        <f t="shared" si="48"/>
        <v>;/</v>
      </c>
      <c r="M125" s="123" t="str">
        <f t="shared" si="48"/>
        <v>;/</v>
      </c>
      <c r="N125" s="123" t="str">
        <f t="shared" si="48"/>
        <v>;/</v>
      </c>
      <c r="O125" s="123" t="str">
        <f t="shared" si="48"/>
        <v>;/</v>
      </c>
      <c r="P125" s="123" t="str">
        <f t="shared" si="48"/>
        <v>;/</v>
      </c>
      <c r="Q125" s="123" t="str">
        <f t="shared" si="48"/>
        <v>;/</v>
      </c>
      <c r="R125" s="123" t="str">
        <f t="shared" si="48"/>
        <v>;/</v>
      </c>
      <c r="S125" s="123" t="str">
        <f t="shared" si="48"/>
        <v>;/</v>
      </c>
      <c r="T125" s="123" t="str">
        <f t="shared" si="47"/>
        <v>;/</v>
      </c>
      <c r="U125" s="123" t="str">
        <f t="shared" si="47"/>
        <v>;/</v>
      </c>
      <c r="V125" s="123" t="str">
        <f t="shared" si="47"/>
        <v>;/</v>
      </c>
      <c r="W125" s="123" t="str">
        <f t="shared" si="47"/>
        <v>;/</v>
      </c>
      <c r="X125" s="123" t="str">
        <f t="shared" si="47"/>
        <v>;/</v>
      </c>
      <c r="Y125" s="123" t="str">
        <f t="shared" si="47"/>
        <v>;/</v>
      </c>
      <c r="Z125" s="123" t="str">
        <f t="shared" si="47"/>
        <v>;/</v>
      </c>
      <c r="AA125" s="123" t="str">
        <f t="shared" si="47"/>
        <v>;/</v>
      </c>
      <c r="AB125" s="123" t="str">
        <f t="shared" si="47"/>
        <v>;/</v>
      </c>
      <c r="AC125" s="123" t="str">
        <f t="shared" si="47"/>
        <v>;/</v>
      </c>
      <c r="AD125" s="123" t="str">
        <f t="shared" si="47"/>
        <v>;/</v>
      </c>
      <c r="AE125" s="123" t="str">
        <f t="shared" si="47"/>
        <v>;/</v>
      </c>
      <c r="AF125" s="123" t="str">
        <f t="shared" si="47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5"/>
        <v>1</v>
      </c>
      <c r="C126" s="124">
        <v>1</v>
      </c>
      <c r="D126" s="123">
        <f t="shared" si="48"/>
        <v>1</v>
      </c>
      <c r="E126" s="123">
        <f t="shared" si="48"/>
        <v>1</v>
      </c>
      <c r="F126" s="123">
        <f t="shared" si="48"/>
        <v>1</v>
      </c>
      <c r="G126" s="123">
        <f t="shared" si="48"/>
        <v>1</v>
      </c>
      <c r="H126" s="123">
        <f t="shared" si="48"/>
        <v>1</v>
      </c>
      <c r="I126" s="123">
        <f t="shared" si="48"/>
        <v>1</v>
      </c>
      <c r="J126" s="123">
        <f t="shared" si="48"/>
        <v>1</v>
      </c>
      <c r="K126" s="123">
        <f t="shared" si="48"/>
        <v>1</v>
      </c>
      <c r="L126" s="123">
        <f t="shared" si="48"/>
        <v>1</v>
      </c>
      <c r="M126" s="123">
        <f t="shared" si="48"/>
        <v>1</v>
      </c>
      <c r="N126" s="123">
        <f t="shared" si="48"/>
        <v>1</v>
      </c>
      <c r="O126" s="123">
        <f t="shared" si="48"/>
        <v>1</v>
      </c>
      <c r="P126" s="123">
        <f t="shared" si="48"/>
        <v>1</v>
      </c>
      <c r="Q126" s="123">
        <f t="shared" si="48"/>
        <v>1</v>
      </c>
      <c r="R126" s="123">
        <f t="shared" si="48"/>
        <v>1</v>
      </c>
      <c r="S126" s="123">
        <f t="shared" si="48"/>
        <v>1</v>
      </c>
      <c r="T126" s="123">
        <f t="shared" si="47"/>
        <v>1</v>
      </c>
      <c r="U126" s="123">
        <f t="shared" si="47"/>
        <v>1</v>
      </c>
      <c r="V126" s="123">
        <f t="shared" si="47"/>
        <v>1</v>
      </c>
      <c r="W126" s="123">
        <f t="shared" si="47"/>
        <v>1</v>
      </c>
      <c r="X126" s="123">
        <f t="shared" si="47"/>
        <v>1</v>
      </c>
      <c r="Y126" s="123">
        <f t="shared" si="47"/>
        <v>1</v>
      </c>
      <c r="Z126" s="123">
        <f t="shared" si="47"/>
        <v>1</v>
      </c>
      <c r="AA126" s="123">
        <f t="shared" si="47"/>
        <v>1</v>
      </c>
      <c r="AB126" s="123">
        <f t="shared" si="47"/>
        <v>1</v>
      </c>
      <c r="AC126" s="123">
        <f t="shared" si="47"/>
        <v>1</v>
      </c>
      <c r="AD126" s="123">
        <f t="shared" si="47"/>
        <v>1</v>
      </c>
      <c r="AE126" s="123">
        <f t="shared" si="47"/>
        <v>1</v>
      </c>
      <c r="AF126" s="123">
        <f t="shared" si="47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5"/>
        <v>1.58</v>
      </c>
      <c r="C127" s="124">
        <v>1.58</v>
      </c>
      <c r="D127" s="123">
        <f t="shared" si="48"/>
        <v>1.58</v>
      </c>
      <c r="E127" s="123">
        <f t="shared" si="48"/>
        <v>1.58</v>
      </c>
      <c r="F127" s="123">
        <f t="shared" si="48"/>
        <v>1.58</v>
      </c>
      <c r="G127" s="123">
        <f t="shared" si="48"/>
        <v>1.58</v>
      </c>
      <c r="H127" s="123">
        <f t="shared" si="48"/>
        <v>1.58</v>
      </c>
      <c r="I127" s="123">
        <f t="shared" si="48"/>
        <v>1.58</v>
      </c>
      <c r="J127" s="123">
        <f t="shared" si="48"/>
        <v>1.58</v>
      </c>
      <c r="K127" s="123">
        <f t="shared" si="48"/>
        <v>1.58</v>
      </c>
      <c r="L127" s="123">
        <f t="shared" si="48"/>
        <v>1.58</v>
      </c>
      <c r="M127" s="123">
        <f t="shared" si="48"/>
        <v>1.58</v>
      </c>
      <c r="N127" s="123">
        <f t="shared" si="48"/>
        <v>1.58</v>
      </c>
      <c r="O127" s="123">
        <f t="shared" si="48"/>
        <v>1.58</v>
      </c>
      <c r="P127" s="123">
        <f t="shared" si="48"/>
        <v>1.58</v>
      </c>
      <c r="Q127" s="123">
        <f t="shared" si="48"/>
        <v>1.58</v>
      </c>
      <c r="R127" s="123">
        <f t="shared" si="48"/>
        <v>1.58</v>
      </c>
      <c r="S127" s="123">
        <f t="shared" si="48"/>
        <v>1.58</v>
      </c>
      <c r="T127" s="123">
        <f t="shared" si="47"/>
        <v>1.58</v>
      </c>
      <c r="U127" s="123">
        <f t="shared" si="47"/>
        <v>1.58</v>
      </c>
      <c r="V127" s="123">
        <f t="shared" si="47"/>
        <v>1.58</v>
      </c>
      <c r="W127" s="123">
        <f t="shared" si="47"/>
        <v>1.58</v>
      </c>
      <c r="X127" s="123">
        <f t="shared" si="47"/>
        <v>1.58</v>
      </c>
      <c r="Y127" s="123">
        <f t="shared" si="47"/>
        <v>1.58</v>
      </c>
      <c r="Z127" s="123">
        <f t="shared" si="47"/>
        <v>1.58</v>
      </c>
      <c r="AA127" s="123">
        <f t="shared" si="47"/>
        <v>1.58</v>
      </c>
      <c r="AB127" s="123">
        <f t="shared" si="47"/>
        <v>1.58</v>
      </c>
      <c r="AC127" s="123">
        <f t="shared" si="47"/>
        <v>1.58</v>
      </c>
      <c r="AD127" s="123">
        <f t="shared" si="47"/>
        <v>1.58</v>
      </c>
      <c r="AE127" s="123">
        <f t="shared" si="47"/>
        <v>1.58</v>
      </c>
      <c r="AF127" s="123">
        <f t="shared" si="47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5"/>
        <v>1.46</v>
      </c>
      <c r="C128" s="124">
        <v>1.46</v>
      </c>
      <c r="D128" s="123">
        <f t="shared" si="48"/>
        <v>1.46</v>
      </c>
      <c r="E128" s="123">
        <f t="shared" si="48"/>
        <v>1.46</v>
      </c>
      <c r="F128" s="123">
        <f t="shared" si="48"/>
        <v>1.46</v>
      </c>
      <c r="G128" s="123">
        <f t="shared" si="48"/>
        <v>1.46</v>
      </c>
      <c r="H128" s="123">
        <f t="shared" si="48"/>
        <v>1.46</v>
      </c>
      <c r="I128" s="123">
        <f t="shared" si="48"/>
        <v>1.46</v>
      </c>
      <c r="J128" s="123">
        <f t="shared" si="48"/>
        <v>1.46</v>
      </c>
      <c r="K128" s="123">
        <f t="shared" si="48"/>
        <v>1.46</v>
      </c>
      <c r="L128" s="123">
        <f t="shared" si="48"/>
        <v>1.46</v>
      </c>
      <c r="M128" s="123">
        <f t="shared" si="48"/>
        <v>1.46</v>
      </c>
      <c r="N128" s="123">
        <f t="shared" si="48"/>
        <v>1.46</v>
      </c>
      <c r="O128" s="123">
        <f t="shared" si="48"/>
        <v>1.46</v>
      </c>
      <c r="P128" s="123">
        <f t="shared" si="48"/>
        <v>1.46</v>
      </c>
      <c r="Q128" s="123">
        <f t="shared" si="48"/>
        <v>1.46</v>
      </c>
      <c r="R128" s="123">
        <f t="shared" si="48"/>
        <v>1.46</v>
      </c>
      <c r="S128" s="123">
        <f t="shared" si="48"/>
        <v>1.46</v>
      </c>
      <c r="T128" s="123">
        <f t="shared" ref="T128:AF129" si="49">S128</f>
        <v>1.46</v>
      </c>
      <c r="U128" s="123">
        <f t="shared" si="49"/>
        <v>1.46</v>
      </c>
      <c r="V128" s="123">
        <f t="shared" si="49"/>
        <v>1.46</v>
      </c>
      <c r="W128" s="123">
        <f t="shared" si="49"/>
        <v>1.46</v>
      </c>
      <c r="X128" s="123">
        <f t="shared" si="49"/>
        <v>1.46</v>
      </c>
      <c r="Y128" s="123">
        <f t="shared" si="49"/>
        <v>1.46</v>
      </c>
      <c r="Z128" s="123">
        <f t="shared" si="49"/>
        <v>1.46</v>
      </c>
      <c r="AA128" s="123">
        <f t="shared" si="49"/>
        <v>1.46</v>
      </c>
      <c r="AB128" s="123">
        <f t="shared" si="49"/>
        <v>1.46</v>
      </c>
      <c r="AC128" s="123">
        <f t="shared" si="49"/>
        <v>1.46</v>
      </c>
      <c r="AD128" s="123">
        <f t="shared" si="49"/>
        <v>1.46</v>
      </c>
      <c r="AE128" s="123">
        <f t="shared" si="49"/>
        <v>1.46</v>
      </c>
      <c r="AF128" s="123">
        <f t="shared" si="49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5"/>
        <v>1.48</v>
      </c>
      <c r="C129" s="124">
        <v>1.48</v>
      </c>
      <c r="D129" s="123">
        <f t="shared" si="48"/>
        <v>1.48</v>
      </c>
      <c r="E129" s="123">
        <f t="shared" si="48"/>
        <v>1.48</v>
      </c>
      <c r="F129" s="123">
        <f t="shared" si="48"/>
        <v>1.48</v>
      </c>
      <c r="G129" s="123">
        <f t="shared" si="48"/>
        <v>1.48</v>
      </c>
      <c r="H129" s="123">
        <f t="shared" si="48"/>
        <v>1.48</v>
      </c>
      <c r="I129" s="123">
        <f t="shared" si="48"/>
        <v>1.48</v>
      </c>
      <c r="J129" s="123">
        <f t="shared" si="48"/>
        <v>1.48</v>
      </c>
      <c r="K129" s="123">
        <f t="shared" si="48"/>
        <v>1.48</v>
      </c>
      <c r="L129" s="123">
        <f t="shared" si="48"/>
        <v>1.48</v>
      </c>
      <c r="M129" s="123">
        <f t="shared" si="48"/>
        <v>1.48</v>
      </c>
      <c r="N129" s="123">
        <f t="shared" si="48"/>
        <v>1.48</v>
      </c>
      <c r="O129" s="123">
        <f t="shared" si="48"/>
        <v>1.48</v>
      </c>
      <c r="P129" s="123">
        <f t="shared" si="48"/>
        <v>1.48</v>
      </c>
      <c r="Q129" s="123">
        <f t="shared" si="48"/>
        <v>1.48</v>
      </c>
      <c r="R129" s="123">
        <f t="shared" si="48"/>
        <v>1.48</v>
      </c>
      <c r="S129" s="123">
        <f t="shared" si="48"/>
        <v>1.48</v>
      </c>
      <c r="T129" s="123">
        <f t="shared" si="49"/>
        <v>1.48</v>
      </c>
      <c r="U129" s="123">
        <f t="shared" si="49"/>
        <v>1.48</v>
      </c>
      <c r="V129" s="123">
        <f t="shared" si="49"/>
        <v>1.48</v>
      </c>
      <c r="W129" s="123">
        <f t="shared" si="49"/>
        <v>1.48</v>
      </c>
      <c r="X129" s="123">
        <f t="shared" si="49"/>
        <v>1.48</v>
      </c>
      <c r="Y129" s="123">
        <f t="shared" si="49"/>
        <v>1.48</v>
      </c>
      <c r="Z129" s="123">
        <f t="shared" si="49"/>
        <v>1.48</v>
      </c>
      <c r="AA129" s="123">
        <f t="shared" si="49"/>
        <v>1.48</v>
      </c>
      <c r="AB129" s="123">
        <f t="shared" si="49"/>
        <v>1.48</v>
      </c>
      <c r="AC129" s="123">
        <f t="shared" si="49"/>
        <v>1.48</v>
      </c>
      <c r="AD129" s="123">
        <f t="shared" si="49"/>
        <v>1.48</v>
      </c>
      <c r="AE129" s="123">
        <f t="shared" si="49"/>
        <v>1.48</v>
      </c>
      <c r="AF129" s="123">
        <f t="shared" si="49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50">AF131</f>
        <v>2.2000000000000002</v>
      </c>
      <c r="C131" s="124">
        <v>2.2000000000000002</v>
      </c>
      <c r="D131" s="123">
        <f t="shared" ref="D131:S138" si="51">C131</f>
        <v>2.2000000000000002</v>
      </c>
      <c r="E131" s="123">
        <f t="shared" si="51"/>
        <v>2.2000000000000002</v>
      </c>
      <c r="F131" s="123">
        <f t="shared" si="51"/>
        <v>2.2000000000000002</v>
      </c>
      <c r="G131" s="123">
        <f t="shared" si="51"/>
        <v>2.2000000000000002</v>
      </c>
      <c r="H131" s="123">
        <f t="shared" si="51"/>
        <v>2.2000000000000002</v>
      </c>
      <c r="I131" s="123">
        <f t="shared" si="51"/>
        <v>2.2000000000000002</v>
      </c>
      <c r="J131" s="123">
        <f t="shared" si="51"/>
        <v>2.2000000000000002</v>
      </c>
      <c r="K131" s="123">
        <f t="shared" si="51"/>
        <v>2.2000000000000002</v>
      </c>
      <c r="L131" s="123">
        <f t="shared" si="51"/>
        <v>2.2000000000000002</v>
      </c>
      <c r="M131" s="123">
        <f t="shared" si="51"/>
        <v>2.2000000000000002</v>
      </c>
      <c r="N131" s="123">
        <f t="shared" si="51"/>
        <v>2.2000000000000002</v>
      </c>
      <c r="O131" s="123">
        <f t="shared" si="51"/>
        <v>2.2000000000000002</v>
      </c>
      <c r="P131" s="123">
        <f t="shared" si="51"/>
        <v>2.2000000000000002</v>
      </c>
      <c r="Q131" s="123">
        <f t="shared" si="51"/>
        <v>2.2000000000000002</v>
      </c>
      <c r="R131" s="123">
        <f t="shared" si="51"/>
        <v>2.2000000000000002</v>
      </c>
      <c r="S131" s="123">
        <f t="shared" si="51"/>
        <v>2.2000000000000002</v>
      </c>
      <c r="T131" s="123">
        <f t="shared" ref="T131:AF138" si="52">S131</f>
        <v>2.2000000000000002</v>
      </c>
      <c r="U131" s="123">
        <f t="shared" si="52"/>
        <v>2.2000000000000002</v>
      </c>
      <c r="V131" s="123">
        <f t="shared" si="52"/>
        <v>2.2000000000000002</v>
      </c>
      <c r="W131" s="123">
        <f t="shared" si="52"/>
        <v>2.2000000000000002</v>
      </c>
      <c r="X131" s="123">
        <f t="shared" si="52"/>
        <v>2.2000000000000002</v>
      </c>
      <c r="Y131" s="123">
        <f t="shared" si="52"/>
        <v>2.2000000000000002</v>
      </c>
      <c r="Z131" s="123">
        <f t="shared" si="52"/>
        <v>2.2000000000000002</v>
      </c>
      <c r="AA131" s="123">
        <f t="shared" si="52"/>
        <v>2.2000000000000002</v>
      </c>
      <c r="AB131" s="123">
        <f t="shared" si="52"/>
        <v>2.2000000000000002</v>
      </c>
      <c r="AC131" s="123">
        <f t="shared" si="52"/>
        <v>2.2000000000000002</v>
      </c>
      <c r="AD131" s="123">
        <f t="shared" si="52"/>
        <v>2.2000000000000002</v>
      </c>
      <c r="AE131" s="123">
        <f t="shared" si="52"/>
        <v>2.2000000000000002</v>
      </c>
      <c r="AF131" s="123">
        <f t="shared" si="52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50"/>
        <v>2</v>
      </c>
      <c r="C132" s="124">
        <v>2</v>
      </c>
      <c r="D132" s="123">
        <f t="shared" si="51"/>
        <v>2</v>
      </c>
      <c r="E132" s="123">
        <f t="shared" si="51"/>
        <v>2</v>
      </c>
      <c r="F132" s="123">
        <f t="shared" si="51"/>
        <v>2</v>
      </c>
      <c r="G132" s="123">
        <f t="shared" si="51"/>
        <v>2</v>
      </c>
      <c r="H132" s="123">
        <f t="shared" si="51"/>
        <v>2</v>
      </c>
      <c r="I132" s="123">
        <f t="shared" si="51"/>
        <v>2</v>
      </c>
      <c r="J132" s="123">
        <f t="shared" si="51"/>
        <v>2</v>
      </c>
      <c r="K132" s="123">
        <f t="shared" si="51"/>
        <v>2</v>
      </c>
      <c r="L132" s="123">
        <f t="shared" si="51"/>
        <v>2</v>
      </c>
      <c r="M132" s="123">
        <f t="shared" si="51"/>
        <v>2</v>
      </c>
      <c r="N132" s="123">
        <f t="shared" si="51"/>
        <v>2</v>
      </c>
      <c r="O132" s="123">
        <f t="shared" si="51"/>
        <v>2</v>
      </c>
      <c r="P132" s="123">
        <f t="shared" si="51"/>
        <v>2</v>
      </c>
      <c r="Q132" s="123">
        <f t="shared" si="51"/>
        <v>2</v>
      </c>
      <c r="R132" s="123">
        <f t="shared" si="51"/>
        <v>2</v>
      </c>
      <c r="S132" s="123">
        <f t="shared" si="51"/>
        <v>2</v>
      </c>
      <c r="T132" s="123">
        <f t="shared" si="52"/>
        <v>2</v>
      </c>
      <c r="U132" s="123">
        <f t="shared" si="52"/>
        <v>2</v>
      </c>
      <c r="V132" s="123">
        <f t="shared" si="52"/>
        <v>2</v>
      </c>
      <c r="W132" s="123">
        <f t="shared" si="52"/>
        <v>2</v>
      </c>
      <c r="X132" s="123">
        <f t="shared" si="52"/>
        <v>2</v>
      </c>
      <c r="Y132" s="123">
        <f t="shared" si="52"/>
        <v>2</v>
      </c>
      <c r="Z132" s="123">
        <f t="shared" si="52"/>
        <v>2</v>
      </c>
      <c r="AA132" s="123">
        <f t="shared" si="52"/>
        <v>2</v>
      </c>
      <c r="AB132" s="123">
        <f t="shared" si="52"/>
        <v>2</v>
      </c>
      <c r="AC132" s="123">
        <f t="shared" si="52"/>
        <v>2</v>
      </c>
      <c r="AD132" s="123">
        <f t="shared" si="52"/>
        <v>2</v>
      </c>
      <c r="AE132" s="123">
        <f t="shared" si="52"/>
        <v>2</v>
      </c>
      <c r="AF132" s="123">
        <f t="shared" si="52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50"/>
        <v>1.25</v>
      </c>
      <c r="C133" s="124">
        <v>1.25</v>
      </c>
      <c r="D133" s="123">
        <f t="shared" si="51"/>
        <v>1.25</v>
      </c>
      <c r="E133" s="123">
        <f t="shared" si="51"/>
        <v>1.25</v>
      </c>
      <c r="F133" s="123">
        <f t="shared" si="51"/>
        <v>1.25</v>
      </c>
      <c r="G133" s="123">
        <f t="shared" si="51"/>
        <v>1.25</v>
      </c>
      <c r="H133" s="123">
        <f t="shared" si="51"/>
        <v>1.25</v>
      </c>
      <c r="I133" s="123">
        <f t="shared" si="51"/>
        <v>1.25</v>
      </c>
      <c r="J133" s="123">
        <f t="shared" si="51"/>
        <v>1.25</v>
      </c>
      <c r="K133" s="123">
        <f t="shared" si="51"/>
        <v>1.25</v>
      </c>
      <c r="L133" s="123">
        <f t="shared" si="51"/>
        <v>1.25</v>
      </c>
      <c r="M133" s="123">
        <f t="shared" si="51"/>
        <v>1.25</v>
      </c>
      <c r="N133" s="123">
        <f t="shared" si="51"/>
        <v>1.25</v>
      </c>
      <c r="O133" s="123">
        <f t="shared" si="51"/>
        <v>1.25</v>
      </c>
      <c r="P133" s="123">
        <f t="shared" si="51"/>
        <v>1.25</v>
      </c>
      <c r="Q133" s="123">
        <f t="shared" si="51"/>
        <v>1.25</v>
      </c>
      <c r="R133" s="123">
        <f t="shared" si="51"/>
        <v>1.25</v>
      </c>
      <c r="S133" s="123">
        <f t="shared" si="51"/>
        <v>1.25</v>
      </c>
      <c r="T133" s="123">
        <f t="shared" si="52"/>
        <v>1.25</v>
      </c>
      <c r="U133" s="123">
        <f t="shared" si="52"/>
        <v>1.25</v>
      </c>
      <c r="V133" s="123">
        <f t="shared" si="52"/>
        <v>1.25</v>
      </c>
      <c r="W133" s="123">
        <f t="shared" si="52"/>
        <v>1.25</v>
      </c>
      <c r="X133" s="123">
        <f t="shared" si="52"/>
        <v>1.25</v>
      </c>
      <c r="Y133" s="123">
        <f t="shared" si="52"/>
        <v>1.25</v>
      </c>
      <c r="Z133" s="123">
        <f t="shared" si="52"/>
        <v>1.25</v>
      </c>
      <c r="AA133" s="123">
        <f t="shared" si="52"/>
        <v>1.25</v>
      </c>
      <c r="AB133" s="123">
        <f t="shared" si="52"/>
        <v>1.25</v>
      </c>
      <c r="AC133" s="123">
        <f t="shared" si="52"/>
        <v>1.25</v>
      </c>
      <c r="AD133" s="123">
        <f t="shared" si="52"/>
        <v>1.25</v>
      </c>
      <c r="AE133" s="123">
        <f t="shared" si="52"/>
        <v>1.25</v>
      </c>
      <c r="AF133" s="123">
        <f t="shared" si="52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50"/>
        <v>1.1499999999999999</v>
      </c>
      <c r="C134" s="124">
        <v>1.1499999999999999</v>
      </c>
      <c r="D134" s="123">
        <f t="shared" si="51"/>
        <v>1.1499999999999999</v>
      </c>
      <c r="E134" s="123">
        <f t="shared" si="51"/>
        <v>1.1499999999999999</v>
      </c>
      <c r="F134" s="123">
        <f t="shared" si="51"/>
        <v>1.1499999999999999</v>
      </c>
      <c r="G134" s="123">
        <f t="shared" si="51"/>
        <v>1.1499999999999999</v>
      </c>
      <c r="H134" s="123">
        <f t="shared" si="51"/>
        <v>1.1499999999999999</v>
      </c>
      <c r="I134" s="123">
        <f t="shared" si="51"/>
        <v>1.1499999999999999</v>
      </c>
      <c r="J134" s="123">
        <f t="shared" si="51"/>
        <v>1.1499999999999999</v>
      </c>
      <c r="K134" s="123">
        <f t="shared" si="51"/>
        <v>1.1499999999999999</v>
      </c>
      <c r="L134" s="123">
        <f t="shared" si="51"/>
        <v>1.1499999999999999</v>
      </c>
      <c r="M134" s="123">
        <f t="shared" si="51"/>
        <v>1.1499999999999999</v>
      </c>
      <c r="N134" s="123">
        <f t="shared" si="51"/>
        <v>1.1499999999999999</v>
      </c>
      <c r="O134" s="123">
        <f t="shared" si="51"/>
        <v>1.1499999999999999</v>
      </c>
      <c r="P134" s="123">
        <f t="shared" si="51"/>
        <v>1.1499999999999999</v>
      </c>
      <c r="Q134" s="123">
        <f t="shared" si="51"/>
        <v>1.1499999999999999</v>
      </c>
      <c r="R134" s="123">
        <f t="shared" si="51"/>
        <v>1.1499999999999999</v>
      </c>
      <c r="S134" s="123">
        <f t="shared" si="51"/>
        <v>1.1499999999999999</v>
      </c>
      <c r="T134" s="123">
        <f t="shared" si="52"/>
        <v>1.1499999999999999</v>
      </c>
      <c r="U134" s="123">
        <f t="shared" si="52"/>
        <v>1.1499999999999999</v>
      </c>
      <c r="V134" s="123">
        <f t="shared" si="52"/>
        <v>1.1499999999999999</v>
      </c>
      <c r="W134" s="123">
        <f t="shared" si="52"/>
        <v>1.1499999999999999</v>
      </c>
      <c r="X134" s="123">
        <f t="shared" si="52"/>
        <v>1.1499999999999999</v>
      </c>
      <c r="Y134" s="123">
        <f t="shared" si="52"/>
        <v>1.1499999999999999</v>
      </c>
      <c r="Z134" s="123">
        <f t="shared" si="52"/>
        <v>1.1499999999999999</v>
      </c>
      <c r="AA134" s="123">
        <f t="shared" si="52"/>
        <v>1.1499999999999999</v>
      </c>
      <c r="AB134" s="123">
        <f t="shared" si="52"/>
        <v>1.1499999999999999</v>
      </c>
      <c r="AC134" s="123">
        <f t="shared" si="52"/>
        <v>1.1499999999999999</v>
      </c>
      <c r="AD134" s="123">
        <f t="shared" si="52"/>
        <v>1.1499999999999999</v>
      </c>
      <c r="AE134" s="123">
        <f t="shared" si="52"/>
        <v>1.1499999999999999</v>
      </c>
      <c r="AF134" s="123">
        <f t="shared" si="52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50"/>
        <v>2.133</v>
      </c>
      <c r="C135" s="124">
        <v>2.133</v>
      </c>
      <c r="D135" s="123">
        <f t="shared" si="51"/>
        <v>2.133</v>
      </c>
      <c r="E135" s="123">
        <f t="shared" si="51"/>
        <v>2.133</v>
      </c>
      <c r="F135" s="123">
        <f t="shared" si="51"/>
        <v>2.133</v>
      </c>
      <c r="G135" s="123">
        <f t="shared" si="51"/>
        <v>2.133</v>
      </c>
      <c r="H135" s="123">
        <f t="shared" si="51"/>
        <v>2.133</v>
      </c>
      <c r="I135" s="123">
        <f t="shared" si="51"/>
        <v>2.133</v>
      </c>
      <c r="J135" s="123">
        <f t="shared" si="51"/>
        <v>2.133</v>
      </c>
      <c r="K135" s="123">
        <f t="shared" si="51"/>
        <v>2.133</v>
      </c>
      <c r="L135" s="123">
        <f t="shared" si="51"/>
        <v>2.133</v>
      </c>
      <c r="M135" s="123">
        <f t="shared" si="51"/>
        <v>2.133</v>
      </c>
      <c r="N135" s="123">
        <f t="shared" si="51"/>
        <v>2.133</v>
      </c>
      <c r="O135" s="123">
        <f t="shared" si="51"/>
        <v>2.133</v>
      </c>
      <c r="P135" s="123">
        <f t="shared" si="51"/>
        <v>2.133</v>
      </c>
      <c r="Q135" s="123">
        <f t="shared" si="51"/>
        <v>2.133</v>
      </c>
      <c r="R135" s="123">
        <f t="shared" si="51"/>
        <v>2.133</v>
      </c>
      <c r="S135" s="123">
        <f t="shared" si="51"/>
        <v>2.133</v>
      </c>
      <c r="T135" s="123">
        <f t="shared" si="52"/>
        <v>2.133</v>
      </c>
      <c r="U135" s="123">
        <f t="shared" si="52"/>
        <v>2.133</v>
      </c>
      <c r="V135" s="123">
        <f t="shared" si="52"/>
        <v>2.133</v>
      </c>
      <c r="W135" s="123">
        <f t="shared" si="52"/>
        <v>2.133</v>
      </c>
      <c r="X135" s="123">
        <f t="shared" si="52"/>
        <v>2.133</v>
      </c>
      <c r="Y135" s="123">
        <f t="shared" si="52"/>
        <v>2.133</v>
      </c>
      <c r="Z135" s="123">
        <f t="shared" si="52"/>
        <v>2.133</v>
      </c>
      <c r="AA135" s="123">
        <f t="shared" si="52"/>
        <v>2.133</v>
      </c>
      <c r="AB135" s="123">
        <f t="shared" si="52"/>
        <v>2.133</v>
      </c>
      <c r="AC135" s="123">
        <f t="shared" si="52"/>
        <v>2.133</v>
      </c>
      <c r="AD135" s="123">
        <f t="shared" si="52"/>
        <v>2.133</v>
      </c>
      <c r="AE135" s="123">
        <f t="shared" si="52"/>
        <v>2.133</v>
      </c>
      <c r="AF135" s="123">
        <f t="shared" si="52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50"/>
        <v>2.09</v>
      </c>
      <c r="C136" s="124">
        <v>2.09</v>
      </c>
      <c r="D136" s="123">
        <f t="shared" si="51"/>
        <v>2.09</v>
      </c>
      <c r="E136" s="123">
        <f t="shared" si="51"/>
        <v>2.09</v>
      </c>
      <c r="F136" s="123">
        <f t="shared" si="51"/>
        <v>2.09</v>
      </c>
      <c r="G136" s="123">
        <f t="shared" si="51"/>
        <v>2.09</v>
      </c>
      <c r="H136" s="123">
        <f t="shared" si="51"/>
        <v>2.09</v>
      </c>
      <c r="I136" s="123">
        <f t="shared" si="51"/>
        <v>2.09</v>
      </c>
      <c r="J136" s="123">
        <f t="shared" si="51"/>
        <v>2.09</v>
      </c>
      <c r="K136" s="123">
        <f t="shared" si="51"/>
        <v>2.09</v>
      </c>
      <c r="L136" s="123">
        <f t="shared" si="51"/>
        <v>2.09</v>
      </c>
      <c r="M136" s="123">
        <f t="shared" si="51"/>
        <v>2.09</v>
      </c>
      <c r="N136" s="123">
        <f t="shared" si="51"/>
        <v>2.09</v>
      </c>
      <c r="O136" s="123">
        <f t="shared" si="51"/>
        <v>2.09</v>
      </c>
      <c r="P136" s="123">
        <f t="shared" si="51"/>
        <v>2.09</v>
      </c>
      <c r="Q136" s="123">
        <f t="shared" si="51"/>
        <v>2.09</v>
      </c>
      <c r="R136" s="123">
        <f t="shared" si="51"/>
        <v>2.09</v>
      </c>
      <c r="S136" s="123">
        <f t="shared" si="51"/>
        <v>2.09</v>
      </c>
      <c r="T136" s="123">
        <f t="shared" si="52"/>
        <v>2.09</v>
      </c>
      <c r="U136" s="123">
        <f t="shared" si="52"/>
        <v>2.09</v>
      </c>
      <c r="V136" s="123">
        <f t="shared" si="52"/>
        <v>2.09</v>
      </c>
      <c r="W136" s="123">
        <f t="shared" si="52"/>
        <v>2.09</v>
      </c>
      <c r="X136" s="123">
        <f t="shared" si="52"/>
        <v>2.09</v>
      </c>
      <c r="Y136" s="123">
        <f t="shared" si="52"/>
        <v>2.09</v>
      </c>
      <c r="Z136" s="123">
        <f t="shared" si="52"/>
        <v>2.09</v>
      </c>
      <c r="AA136" s="123">
        <f t="shared" si="52"/>
        <v>2.09</v>
      </c>
      <c r="AB136" s="123">
        <f t="shared" si="52"/>
        <v>2.09</v>
      </c>
      <c r="AC136" s="123">
        <f t="shared" si="52"/>
        <v>2.09</v>
      </c>
      <c r="AD136" s="123">
        <f t="shared" si="52"/>
        <v>2.09</v>
      </c>
      <c r="AE136" s="123">
        <f t="shared" si="52"/>
        <v>2.09</v>
      </c>
      <c r="AF136" s="123">
        <f t="shared" si="52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50"/>
        <v>1.1399999999999999</v>
      </c>
      <c r="C137" s="124">
        <v>1.1399999999999999</v>
      </c>
      <c r="D137" s="123">
        <f t="shared" si="51"/>
        <v>1.1399999999999999</v>
      </c>
      <c r="E137" s="123">
        <f t="shared" si="51"/>
        <v>1.1399999999999999</v>
      </c>
      <c r="F137" s="123">
        <f t="shared" si="51"/>
        <v>1.1399999999999999</v>
      </c>
      <c r="G137" s="123">
        <f t="shared" si="51"/>
        <v>1.1399999999999999</v>
      </c>
      <c r="H137" s="123">
        <f t="shared" si="51"/>
        <v>1.1399999999999999</v>
      </c>
      <c r="I137" s="123">
        <f t="shared" si="51"/>
        <v>1.1399999999999999</v>
      </c>
      <c r="J137" s="123">
        <f t="shared" si="51"/>
        <v>1.1399999999999999</v>
      </c>
      <c r="K137" s="123">
        <f t="shared" si="51"/>
        <v>1.1399999999999999</v>
      </c>
      <c r="L137" s="123">
        <f t="shared" si="51"/>
        <v>1.1399999999999999</v>
      </c>
      <c r="M137" s="123">
        <f t="shared" si="51"/>
        <v>1.1399999999999999</v>
      </c>
      <c r="N137" s="123">
        <f t="shared" si="51"/>
        <v>1.1399999999999999</v>
      </c>
      <c r="O137" s="123">
        <f t="shared" si="51"/>
        <v>1.1399999999999999</v>
      </c>
      <c r="P137" s="123">
        <f t="shared" si="51"/>
        <v>1.1399999999999999</v>
      </c>
      <c r="Q137" s="123">
        <f t="shared" si="51"/>
        <v>1.1399999999999999</v>
      </c>
      <c r="R137" s="123">
        <f t="shared" si="51"/>
        <v>1.1399999999999999</v>
      </c>
      <c r="S137" s="123">
        <f t="shared" si="51"/>
        <v>1.1399999999999999</v>
      </c>
      <c r="T137" s="123">
        <f t="shared" si="52"/>
        <v>1.1399999999999999</v>
      </c>
      <c r="U137" s="123">
        <f t="shared" si="52"/>
        <v>1.1399999999999999</v>
      </c>
      <c r="V137" s="123">
        <f t="shared" si="52"/>
        <v>1.1399999999999999</v>
      </c>
      <c r="W137" s="123">
        <f t="shared" si="52"/>
        <v>1.1399999999999999</v>
      </c>
      <c r="X137" s="123">
        <f t="shared" si="52"/>
        <v>1.1399999999999999</v>
      </c>
      <c r="Y137" s="123">
        <f t="shared" si="52"/>
        <v>1.1399999999999999</v>
      </c>
      <c r="Z137" s="123">
        <f t="shared" si="52"/>
        <v>1.1399999999999999</v>
      </c>
      <c r="AA137" s="123">
        <f t="shared" si="52"/>
        <v>1.1399999999999999</v>
      </c>
      <c r="AB137" s="123">
        <f t="shared" si="52"/>
        <v>1.1399999999999999</v>
      </c>
      <c r="AC137" s="123">
        <f t="shared" si="52"/>
        <v>1.1399999999999999</v>
      </c>
      <c r="AD137" s="123">
        <f t="shared" si="52"/>
        <v>1.1399999999999999</v>
      </c>
      <c r="AE137" s="123">
        <f t="shared" si="52"/>
        <v>1.1399999999999999</v>
      </c>
      <c r="AF137" s="123">
        <f t="shared" si="52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50"/>
        <v>0.82</v>
      </c>
      <c r="C138" s="124">
        <v>0.82</v>
      </c>
      <c r="D138" s="123">
        <f t="shared" si="51"/>
        <v>0.82</v>
      </c>
      <c r="E138" s="123">
        <f t="shared" si="51"/>
        <v>0.82</v>
      </c>
      <c r="F138" s="123">
        <f t="shared" si="51"/>
        <v>0.82</v>
      </c>
      <c r="G138" s="123">
        <f t="shared" si="51"/>
        <v>0.82</v>
      </c>
      <c r="H138" s="123">
        <f t="shared" si="51"/>
        <v>0.82</v>
      </c>
      <c r="I138" s="123">
        <f t="shared" si="51"/>
        <v>0.82</v>
      </c>
      <c r="J138" s="123">
        <f t="shared" si="51"/>
        <v>0.82</v>
      </c>
      <c r="K138" s="123">
        <f t="shared" si="51"/>
        <v>0.82</v>
      </c>
      <c r="L138" s="123">
        <f t="shared" si="51"/>
        <v>0.82</v>
      </c>
      <c r="M138" s="123">
        <f t="shared" si="51"/>
        <v>0.82</v>
      </c>
      <c r="N138" s="123">
        <f t="shared" si="51"/>
        <v>0.82</v>
      </c>
      <c r="O138" s="123">
        <f t="shared" si="51"/>
        <v>0.82</v>
      </c>
      <c r="P138" s="123">
        <f t="shared" si="51"/>
        <v>0.82</v>
      </c>
      <c r="Q138" s="123">
        <f t="shared" si="51"/>
        <v>0.82</v>
      </c>
      <c r="R138" s="123">
        <f t="shared" si="51"/>
        <v>0.82</v>
      </c>
      <c r="S138" s="123">
        <f t="shared" si="51"/>
        <v>0.82</v>
      </c>
      <c r="T138" s="123">
        <f t="shared" si="52"/>
        <v>0.82</v>
      </c>
      <c r="U138" s="123">
        <f t="shared" si="52"/>
        <v>0.82</v>
      </c>
      <c r="V138" s="123">
        <f t="shared" si="52"/>
        <v>0.82</v>
      </c>
      <c r="W138" s="123">
        <f t="shared" si="52"/>
        <v>0.82</v>
      </c>
      <c r="X138" s="123">
        <f t="shared" si="52"/>
        <v>0.82</v>
      </c>
      <c r="Y138" s="123">
        <f t="shared" si="52"/>
        <v>0.82</v>
      </c>
      <c r="Z138" s="123">
        <f t="shared" si="52"/>
        <v>0.82</v>
      </c>
      <c r="AA138" s="123">
        <f t="shared" si="52"/>
        <v>0.82</v>
      </c>
      <c r="AB138" s="123">
        <f t="shared" si="52"/>
        <v>0.82</v>
      </c>
      <c r="AC138" s="123">
        <f t="shared" si="52"/>
        <v>0.82</v>
      </c>
      <c r="AD138" s="123">
        <f t="shared" si="52"/>
        <v>0.82</v>
      </c>
      <c r="AE138" s="123">
        <f t="shared" si="52"/>
        <v>0.82</v>
      </c>
      <c r="AF138" s="123">
        <f t="shared" si="52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3">AF140</f>
        <v>2</v>
      </c>
      <c r="C140" s="124">
        <v>2</v>
      </c>
      <c r="D140" s="123">
        <f t="shared" ref="D140:S146" si="54">C140</f>
        <v>2</v>
      </c>
      <c r="E140" s="123">
        <f t="shared" si="54"/>
        <v>2</v>
      </c>
      <c r="F140" s="123">
        <f t="shared" si="54"/>
        <v>2</v>
      </c>
      <c r="G140" s="123">
        <f t="shared" si="54"/>
        <v>2</v>
      </c>
      <c r="H140" s="123">
        <f t="shared" si="54"/>
        <v>2</v>
      </c>
      <c r="I140" s="123">
        <f t="shared" si="54"/>
        <v>2</v>
      </c>
      <c r="J140" s="123">
        <f t="shared" si="54"/>
        <v>2</v>
      </c>
      <c r="K140" s="123">
        <f t="shared" si="54"/>
        <v>2</v>
      </c>
      <c r="L140" s="123">
        <f t="shared" si="54"/>
        <v>2</v>
      </c>
      <c r="M140" s="123">
        <f t="shared" si="54"/>
        <v>2</v>
      </c>
      <c r="N140" s="123">
        <f t="shared" si="54"/>
        <v>2</v>
      </c>
      <c r="O140" s="123">
        <f t="shared" si="54"/>
        <v>2</v>
      </c>
      <c r="P140" s="123">
        <f t="shared" si="54"/>
        <v>2</v>
      </c>
      <c r="Q140" s="123">
        <f t="shared" si="54"/>
        <v>2</v>
      </c>
      <c r="R140" s="123">
        <f t="shared" si="54"/>
        <v>2</v>
      </c>
      <c r="S140" s="123">
        <f t="shared" si="54"/>
        <v>2</v>
      </c>
      <c r="T140" s="123">
        <f t="shared" ref="T140:AF146" si="55">S140</f>
        <v>2</v>
      </c>
      <c r="U140" s="123">
        <f t="shared" si="55"/>
        <v>2</v>
      </c>
      <c r="V140" s="123">
        <f t="shared" si="55"/>
        <v>2</v>
      </c>
      <c r="W140" s="123">
        <f t="shared" si="55"/>
        <v>2</v>
      </c>
      <c r="X140" s="123">
        <f t="shared" si="55"/>
        <v>2</v>
      </c>
      <c r="Y140" s="123">
        <f t="shared" si="55"/>
        <v>2</v>
      </c>
      <c r="Z140" s="123">
        <f t="shared" si="55"/>
        <v>2</v>
      </c>
      <c r="AA140" s="123">
        <f t="shared" si="55"/>
        <v>2</v>
      </c>
      <c r="AB140" s="123">
        <f t="shared" si="55"/>
        <v>2</v>
      </c>
      <c r="AC140" s="123">
        <f t="shared" si="55"/>
        <v>2</v>
      </c>
      <c r="AD140" s="123">
        <f t="shared" si="55"/>
        <v>2</v>
      </c>
      <c r="AE140" s="123">
        <f t="shared" si="55"/>
        <v>2</v>
      </c>
      <c r="AF140" s="123">
        <f t="shared" si="55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3"/>
        <v>5.61</v>
      </c>
      <c r="C141" s="124">
        <v>5.61</v>
      </c>
      <c r="D141" s="123">
        <f t="shared" si="54"/>
        <v>5.61</v>
      </c>
      <c r="E141" s="123">
        <f t="shared" si="54"/>
        <v>5.61</v>
      </c>
      <c r="F141" s="123">
        <f t="shared" si="54"/>
        <v>5.61</v>
      </c>
      <c r="G141" s="123">
        <f t="shared" si="54"/>
        <v>5.61</v>
      </c>
      <c r="H141" s="123">
        <f t="shared" si="54"/>
        <v>5.61</v>
      </c>
      <c r="I141" s="123">
        <f t="shared" si="54"/>
        <v>5.61</v>
      </c>
      <c r="J141" s="123">
        <f t="shared" si="54"/>
        <v>5.61</v>
      </c>
      <c r="K141" s="123">
        <f t="shared" si="54"/>
        <v>5.61</v>
      </c>
      <c r="L141" s="123">
        <f t="shared" si="54"/>
        <v>5.61</v>
      </c>
      <c r="M141" s="123">
        <f t="shared" si="54"/>
        <v>5.61</v>
      </c>
      <c r="N141" s="123">
        <f t="shared" si="54"/>
        <v>5.61</v>
      </c>
      <c r="O141" s="123">
        <f t="shared" si="54"/>
        <v>5.61</v>
      </c>
      <c r="P141" s="123">
        <f t="shared" si="54"/>
        <v>5.61</v>
      </c>
      <c r="Q141" s="123">
        <f t="shared" si="54"/>
        <v>5.61</v>
      </c>
      <c r="R141" s="123">
        <f t="shared" si="54"/>
        <v>5.61</v>
      </c>
      <c r="S141" s="123">
        <f t="shared" si="54"/>
        <v>5.61</v>
      </c>
      <c r="T141" s="123">
        <f t="shared" si="55"/>
        <v>5.61</v>
      </c>
      <c r="U141" s="123">
        <f t="shared" si="55"/>
        <v>5.61</v>
      </c>
      <c r="V141" s="123">
        <f t="shared" si="55"/>
        <v>5.61</v>
      </c>
      <c r="W141" s="123">
        <f t="shared" si="55"/>
        <v>5.61</v>
      </c>
      <c r="X141" s="123">
        <f t="shared" si="55"/>
        <v>5.61</v>
      </c>
      <c r="Y141" s="123">
        <f t="shared" si="55"/>
        <v>5.61</v>
      </c>
      <c r="Z141" s="123">
        <f t="shared" si="55"/>
        <v>5.61</v>
      </c>
      <c r="AA141" s="123">
        <f t="shared" si="55"/>
        <v>5.61</v>
      </c>
      <c r="AB141" s="123">
        <f t="shared" si="55"/>
        <v>5.61</v>
      </c>
      <c r="AC141" s="123">
        <f t="shared" si="55"/>
        <v>5.61</v>
      </c>
      <c r="AD141" s="123">
        <f t="shared" si="55"/>
        <v>5.61</v>
      </c>
      <c r="AE141" s="123">
        <f t="shared" si="55"/>
        <v>5.61</v>
      </c>
      <c r="AF141" s="123">
        <f t="shared" si="55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3"/>
        <v>1.25</v>
      </c>
      <c r="C142" s="124">
        <v>1.25</v>
      </c>
      <c r="D142" s="123">
        <f t="shared" si="54"/>
        <v>1.25</v>
      </c>
      <c r="E142" s="123">
        <f t="shared" si="54"/>
        <v>1.25</v>
      </c>
      <c r="F142" s="123">
        <f t="shared" si="54"/>
        <v>1.25</v>
      </c>
      <c r="G142" s="123">
        <f t="shared" si="54"/>
        <v>1.25</v>
      </c>
      <c r="H142" s="123">
        <f t="shared" si="54"/>
        <v>1.25</v>
      </c>
      <c r="I142" s="123">
        <f t="shared" si="54"/>
        <v>1.25</v>
      </c>
      <c r="J142" s="123">
        <f t="shared" si="54"/>
        <v>1.25</v>
      </c>
      <c r="K142" s="123">
        <f t="shared" si="54"/>
        <v>1.25</v>
      </c>
      <c r="L142" s="123">
        <f t="shared" si="54"/>
        <v>1.25</v>
      </c>
      <c r="M142" s="123">
        <f t="shared" si="54"/>
        <v>1.25</v>
      </c>
      <c r="N142" s="123">
        <f t="shared" si="54"/>
        <v>1.25</v>
      </c>
      <c r="O142" s="123">
        <f t="shared" si="54"/>
        <v>1.25</v>
      </c>
      <c r="P142" s="123">
        <f t="shared" si="54"/>
        <v>1.25</v>
      </c>
      <c r="Q142" s="123">
        <f t="shared" si="54"/>
        <v>1.25</v>
      </c>
      <c r="R142" s="123">
        <f t="shared" si="54"/>
        <v>1.25</v>
      </c>
      <c r="S142" s="123">
        <f t="shared" si="54"/>
        <v>1.25</v>
      </c>
      <c r="T142" s="123">
        <f t="shared" si="55"/>
        <v>1.25</v>
      </c>
      <c r="U142" s="123">
        <f t="shared" si="55"/>
        <v>1.25</v>
      </c>
      <c r="V142" s="123">
        <f t="shared" si="55"/>
        <v>1.25</v>
      </c>
      <c r="W142" s="123">
        <f t="shared" si="55"/>
        <v>1.25</v>
      </c>
      <c r="X142" s="123">
        <f t="shared" si="55"/>
        <v>1.25</v>
      </c>
      <c r="Y142" s="123">
        <f t="shared" si="55"/>
        <v>1.25</v>
      </c>
      <c r="Z142" s="123">
        <f t="shared" si="55"/>
        <v>1.25</v>
      </c>
      <c r="AA142" s="123">
        <f t="shared" si="55"/>
        <v>1.25</v>
      </c>
      <c r="AB142" s="123">
        <f t="shared" si="55"/>
        <v>1.25</v>
      </c>
      <c r="AC142" s="123">
        <f t="shared" si="55"/>
        <v>1.25</v>
      </c>
      <c r="AD142" s="123">
        <f t="shared" si="55"/>
        <v>1.25</v>
      </c>
      <c r="AE142" s="123">
        <f t="shared" si="55"/>
        <v>1.25</v>
      </c>
      <c r="AF142" s="123">
        <f t="shared" si="55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3"/>
        <v>1.25</v>
      </c>
      <c r="C143" s="124">
        <v>1.25</v>
      </c>
      <c r="D143" s="123">
        <f t="shared" si="54"/>
        <v>1.25</v>
      </c>
      <c r="E143" s="123">
        <f t="shared" si="54"/>
        <v>1.25</v>
      </c>
      <c r="F143" s="123">
        <f t="shared" si="54"/>
        <v>1.25</v>
      </c>
      <c r="G143" s="123">
        <f t="shared" si="54"/>
        <v>1.25</v>
      </c>
      <c r="H143" s="123">
        <f t="shared" si="54"/>
        <v>1.25</v>
      </c>
      <c r="I143" s="123">
        <f t="shared" si="54"/>
        <v>1.25</v>
      </c>
      <c r="J143" s="123">
        <f t="shared" si="54"/>
        <v>1.25</v>
      </c>
      <c r="K143" s="123">
        <f t="shared" si="54"/>
        <v>1.25</v>
      </c>
      <c r="L143" s="123">
        <f t="shared" si="54"/>
        <v>1.25</v>
      </c>
      <c r="M143" s="123">
        <f t="shared" si="54"/>
        <v>1.25</v>
      </c>
      <c r="N143" s="123">
        <f t="shared" si="54"/>
        <v>1.25</v>
      </c>
      <c r="O143" s="123">
        <f t="shared" si="54"/>
        <v>1.25</v>
      </c>
      <c r="P143" s="123">
        <f t="shared" si="54"/>
        <v>1.25</v>
      </c>
      <c r="Q143" s="123">
        <f t="shared" si="54"/>
        <v>1.25</v>
      </c>
      <c r="R143" s="123">
        <f t="shared" si="54"/>
        <v>1.25</v>
      </c>
      <c r="S143" s="123">
        <f t="shared" si="54"/>
        <v>1.25</v>
      </c>
      <c r="T143" s="123">
        <f t="shared" si="55"/>
        <v>1.25</v>
      </c>
      <c r="U143" s="123">
        <f t="shared" si="55"/>
        <v>1.25</v>
      </c>
      <c r="V143" s="123">
        <f t="shared" si="55"/>
        <v>1.25</v>
      </c>
      <c r="W143" s="123">
        <f t="shared" si="55"/>
        <v>1.25</v>
      </c>
      <c r="X143" s="123">
        <f t="shared" si="55"/>
        <v>1.25</v>
      </c>
      <c r="Y143" s="123">
        <f t="shared" si="55"/>
        <v>1.25</v>
      </c>
      <c r="Z143" s="123">
        <f t="shared" si="55"/>
        <v>1.25</v>
      </c>
      <c r="AA143" s="123">
        <f t="shared" si="55"/>
        <v>1.25</v>
      </c>
      <c r="AB143" s="123">
        <f t="shared" si="55"/>
        <v>1.25</v>
      </c>
      <c r="AC143" s="123">
        <f t="shared" si="55"/>
        <v>1.25</v>
      </c>
      <c r="AD143" s="123">
        <f t="shared" si="55"/>
        <v>1.25</v>
      </c>
      <c r="AE143" s="123">
        <f t="shared" si="55"/>
        <v>1.25</v>
      </c>
      <c r="AF143" s="123">
        <f t="shared" si="55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3"/>
        <v>1.46</v>
      </c>
      <c r="C144" s="124">
        <v>1.46</v>
      </c>
      <c r="D144" s="123">
        <f t="shared" si="54"/>
        <v>1.46</v>
      </c>
      <c r="E144" s="123">
        <f t="shared" si="54"/>
        <v>1.46</v>
      </c>
      <c r="F144" s="123">
        <f t="shared" si="54"/>
        <v>1.46</v>
      </c>
      <c r="G144" s="123">
        <f t="shared" si="54"/>
        <v>1.46</v>
      </c>
      <c r="H144" s="123">
        <f t="shared" si="54"/>
        <v>1.46</v>
      </c>
      <c r="I144" s="123">
        <f t="shared" si="54"/>
        <v>1.46</v>
      </c>
      <c r="J144" s="123">
        <f t="shared" si="54"/>
        <v>1.46</v>
      </c>
      <c r="K144" s="123">
        <f t="shared" si="54"/>
        <v>1.46</v>
      </c>
      <c r="L144" s="123">
        <f t="shared" si="54"/>
        <v>1.46</v>
      </c>
      <c r="M144" s="123">
        <f t="shared" si="54"/>
        <v>1.46</v>
      </c>
      <c r="N144" s="123">
        <f t="shared" si="54"/>
        <v>1.46</v>
      </c>
      <c r="O144" s="123">
        <f t="shared" si="54"/>
        <v>1.46</v>
      </c>
      <c r="P144" s="123">
        <f t="shared" si="54"/>
        <v>1.46</v>
      </c>
      <c r="Q144" s="123">
        <f t="shared" si="54"/>
        <v>1.46</v>
      </c>
      <c r="R144" s="123">
        <f t="shared" si="54"/>
        <v>1.46</v>
      </c>
      <c r="S144" s="123">
        <f t="shared" si="54"/>
        <v>1.46</v>
      </c>
      <c r="T144" s="123">
        <f t="shared" si="55"/>
        <v>1.46</v>
      </c>
      <c r="U144" s="123">
        <f t="shared" si="55"/>
        <v>1.46</v>
      </c>
      <c r="V144" s="123">
        <f t="shared" si="55"/>
        <v>1.46</v>
      </c>
      <c r="W144" s="123">
        <f t="shared" si="55"/>
        <v>1.46</v>
      </c>
      <c r="X144" s="123">
        <f t="shared" si="55"/>
        <v>1.46</v>
      </c>
      <c r="Y144" s="123">
        <f t="shared" si="55"/>
        <v>1.46</v>
      </c>
      <c r="Z144" s="123">
        <f t="shared" si="55"/>
        <v>1.46</v>
      </c>
      <c r="AA144" s="123">
        <f t="shared" si="55"/>
        <v>1.46</v>
      </c>
      <c r="AB144" s="123">
        <f t="shared" si="55"/>
        <v>1.46</v>
      </c>
      <c r="AC144" s="123">
        <f t="shared" si="55"/>
        <v>1.46</v>
      </c>
      <c r="AD144" s="123">
        <f t="shared" si="55"/>
        <v>1.46</v>
      </c>
      <c r="AE144" s="123">
        <f t="shared" si="55"/>
        <v>1.46</v>
      </c>
      <c r="AF144" s="123">
        <f t="shared" si="55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3"/>
        <v>3</v>
      </c>
      <c r="C145" s="124">
        <v>3</v>
      </c>
      <c r="D145" s="123">
        <f t="shared" si="54"/>
        <v>3</v>
      </c>
      <c r="E145" s="123">
        <f t="shared" si="54"/>
        <v>3</v>
      </c>
      <c r="F145" s="123">
        <f t="shared" si="54"/>
        <v>3</v>
      </c>
      <c r="G145" s="123">
        <f t="shared" si="54"/>
        <v>3</v>
      </c>
      <c r="H145" s="123">
        <f t="shared" si="54"/>
        <v>3</v>
      </c>
      <c r="I145" s="123">
        <f t="shared" si="54"/>
        <v>3</v>
      </c>
      <c r="J145" s="123">
        <f t="shared" si="54"/>
        <v>3</v>
      </c>
      <c r="K145" s="123">
        <f t="shared" si="54"/>
        <v>3</v>
      </c>
      <c r="L145" s="123">
        <f t="shared" si="54"/>
        <v>3</v>
      </c>
      <c r="M145" s="123">
        <f t="shared" si="54"/>
        <v>3</v>
      </c>
      <c r="N145" s="123">
        <f t="shared" si="54"/>
        <v>3</v>
      </c>
      <c r="O145" s="123">
        <f t="shared" si="54"/>
        <v>3</v>
      </c>
      <c r="P145" s="123">
        <f t="shared" si="54"/>
        <v>3</v>
      </c>
      <c r="Q145" s="123">
        <f t="shared" si="54"/>
        <v>3</v>
      </c>
      <c r="R145" s="123">
        <f t="shared" si="54"/>
        <v>3</v>
      </c>
      <c r="S145" s="123">
        <f t="shared" si="54"/>
        <v>3</v>
      </c>
      <c r="T145" s="123">
        <f t="shared" si="55"/>
        <v>3</v>
      </c>
      <c r="U145" s="123">
        <f t="shared" si="55"/>
        <v>3</v>
      </c>
      <c r="V145" s="123">
        <f t="shared" si="55"/>
        <v>3</v>
      </c>
      <c r="W145" s="123">
        <f t="shared" si="55"/>
        <v>3</v>
      </c>
      <c r="X145" s="123">
        <f t="shared" si="55"/>
        <v>3</v>
      </c>
      <c r="Y145" s="123">
        <f t="shared" si="55"/>
        <v>3</v>
      </c>
      <c r="Z145" s="123">
        <f t="shared" si="55"/>
        <v>3</v>
      </c>
      <c r="AA145" s="123">
        <f t="shared" si="55"/>
        <v>3</v>
      </c>
      <c r="AB145" s="123">
        <f t="shared" si="55"/>
        <v>3</v>
      </c>
      <c r="AC145" s="123">
        <f t="shared" si="55"/>
        <v>3</v>
      </c>
      <c r="AD145" s="123">
        <f t="shared" si="55"/>
        <v>3</v>
      </c>
      <c r="AE145" s="123">
        <f t="shared" si="55"/>
        <v>3</v>
      </c>
      <c r="AF145" s="123">
        <f t="shared" si="55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3"/>
        <v>3.3</v>
      </c>
      <c r="C146" s="124">
        <v>3.3</v>
      </c>
      <c r="D146" s="123">
        <f t="shared" si="54"/>
        <v>3.3</v>
      </c>
      <c r="E146" s="123">
        <f t="shared" si="54"/>
        <v>3.3</v>
      </c>
      <c r="F146" s="123">
        <f t="shared" si="54"/>
        <v>3.3</v>
      </c>
      <c r="G146" s="123">
        <f t="shared" si="54"/>
        <v>3.3</v>
      </c>
      <c r="H146" s="123">
        <f t="shared" si="54"/>
        <v>3.3</v>
      </c>
      <c r="I146" s="123">
        <f t="shared" si="54"/>
        <v>3.3</v>
      </c>
      <c r="J146" s="123">
        <f t="shared" si="54"/>
        <v>3.3</v>
      </c>
      <c r="K146" s="123">
        <f t="shared" si="54"/>
        <v>3.3</v>
      </c>
      <c r="L146" s="123">
        <f t="shared" si="54"/>
        <v>3.3</v>
      </c>
      <c r="M146" s="123">
        <f t="shared" si="54"/>
        <v>3.3</v>
      </c>
      <c r="N146" s="123">
        <f t="shared" si="54"/>
        <v>3.3</v>
      </c>
      <c r="O146" s="123">
        <f t="shared" si="54"/>
        <v>3.3</v>
      </c>
      <c r="P146" s="123">
        <f t="shared" si="54"/>
        <v>3.3</v>
      </c>
      <c r="Q146" s="123">
        <f t="shared" si="54"/>
        <v>3.3</v>
      </c>
      <c r="R146" s="123">
        <f t="shared" si="54"/>
        <v>3.3</v>
      </c>
      <c r="S146" s="123">
        <f t="shared" si="54"/>
        <v>3.3</v>
      </c>
      <c r="T146" s="123">
        <f t="shared" si="55"/>
        <v>3.3</v>
      </c>
      <c r="U146" s="123">
        <f t="shared" si="55"/>
        <v>3.3</v>
      </c>
      <c r="V146" s="123">
        <f t="shared" si="55"/>
        <v>3.3</v>
      </c>
      <c r="W146" s="123">
        <f t="shared" si="55"/>
        <v>3.3</v>
      </c>
      <c r="X146" s="123">
        <f t="shared" si="55"/>
        <v>3.3</v>
      </c>
      <c r="Y146" s="123">
        <f t="shared" si="55"/>
        <v>3.3</v>
      </c>
      <c r="Z146" s="123">
        <f t="shared" si="55"/>
        <v>3.3</v>
      </c>
      <c r="AA146" s="123">
        <f t="shared" si="55"/>
        <v>3.3</v>
      </c>
      <c r="AB146" s="123">
        <f t="shared" si="55"/>
        <v>3.3</v>
      </c>
      <c r="AC146" s="123">
        <f t="shared" si="55"/>
        <v>3.3</v>
      </c>
      <c r="AD146" s="123">
        <f t="shared" si="55"/>
        <v>3.3</v>
      </c>
      <c r="AE146" s="123">
        <f t="shared" si="55"/>
        <v>3.3</v>
      </c>
      <c r="AF146" s="123">
        <f t="shared" si="55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6">C148</f>
        <v>1.76</v>
      </c>
      <c r="E148" s="123">
        <f t="shared" si="56"/>
        <v>1.76</v>
      </c>
      <c r="F148" s="123">
        <f t="shared" si="56"/>
        <v>1.76</v>
      </c>
      <c r="G148" s="123">
        <f t="shared" si="56"/>
        <v>1.76</v>
      </c>
      <c r="H148" s="123">
        <f t="shared" si="56"/>
        <v>1.76</v>
      </c>
      <c r="I148" s="123">
        <f t="shared" si="56"/>
        <v>1.76</v>
      </c>
      <c r="J148" s="123">
        <f t="shared" si="56"/>
        <v>1.76</v>
      </c>
      <c r="K148" s="123">
        <f t="shared" si="56"/>
        <v>1.76</v>
      </c>
      <c r="L148" s="123">
        <f t="shared" si="56"/>
        <v>1.76</v>
      </c>
      <c r="M148" s="123">
        <f t="shared" si="56"/>
        <v>1.76</v>
      </c>
      <c r="N148" s="123">
        <f t="shared" si="56"/>
        <v>1.76</v>
      </c>
      <c r="O148" s="123">
        <f t="shared" si="56"/>
        <v>1.76</v>
      </c>
      <c r="P148" s="123">
        <f t="shared" si="56"/>
        <v>1.76</v>
      </c>
      <c r="Q148" s="123">
        <f t="shared" si="56"/>
        <v>1.76</v>
      </c>
      <c r="R148" s="123">
        <f t="shared" si="56"/>
        <v>1.76</v>
      </c>
      <c r="S148" s="123">
        <f t="shared" si="56"/>
        <v>1.76</v>
      </c>
      <c r="T148" s="123">
        <f t="shared" ref="T148:AF149" si="57">S148</f>
        <v>1.76</v>
      </c>
      <c r="U148" s="123">
        <f t="shared" si="57"/>
        <v>1.76</v>
      </c>
      <c r="V148" s="123">
        <f t="shared" si="57"/>
        <v>1.76</v>
      </c>
      <c r="W148" s="123">
        <f t="shared" si="57"/>
        <v>1.76</v>
      </c>
      <c r="X148" s="123">
        <f t="shared" si="57"/>
        <v>1.76</v>
      </c>
      <c r="Y148" s="123">
        <f t="shared" si="57"/>
        <v>1.76</v>
      </c>
      <c r="Z148" s="123">
        <f t="shared" si="57"/>
        <v>1.76</v>
      </c>
      <c r="AA148" s="123">
        <f t="shared" si="57"/>
        <v>1.76</v>
      </c>
      <c r="AB148" s="123">
        <f t="shared" si="57"/>
        <v>1.76</v>
      </c>
      <c r="AC148" s="123">
        <f t="shared" si="57"/>
        <v>1.76</v>
      </c>
      <c r="AD148" s="123">
        <f t="shared" si="57"/>
        <v>1.76</v>
      </c>
      <c r="AE148" s="123">
        <f t="shared" si="57"/>
        <v>1.76</v>
      </c>
      <c r="AF148" s="123">
        <f t="shared" si="57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6"/>
        <v>0</v>
      </c>
      <c r="E149" s="123">
        <f t="shared" si="56"/>
        <v>0</v>
      </c>
      <c r="F149" s="123">
        <f t="shared" si="56"/>
        <v>0</v>
      </c>
      <c r="G149" s="123">
        <f t="shared" si="56"/>
        <v>0</v>
      </c>
      <c r="H149" s="123">
        <f t="shared" si="56"/>
        <v>0</v>
      </c>
      <c r="I149" s="123">
        <f t="shared" si="56"/>
        <v>0</v>
      </c>
      <c r="J149" s="123">
        <f t="shared" si="56"/>
        <v>0</v>
      </c>
      <c r="K149" s="123">
        <f t="shared" si="56"/>
        <v>0</v>
      </c>
      <c r="L149" s="123">
        <f t="shared" si="56"/>
        <v>0</v>
      </c>
      <c r="M149" s="123">
        <f t="shared" si="56"/>
        <v>0</v>
      </c>
      <c r="N149" s="123">
        <f t="shared" si="56"/>
        <v>0</v>
      </c>
      <c r="O149" s="123">
        <f t="shared" si="56"/>
        <v>0</v>
      </c>
      <c r="P149" s="123">
        <f t="shared" si="56"/>
        <v>0</v>
      </c>
      <c r="Q149" s="123">
        <f t="shared" si="56"/>
        <v>0</v>
      </c>
      <c r="R149" s="123">
        <f t="shared" si="56"/>
        <v>0</v>
      </c>
      <c r="S149" s="123">
        <f t="shared" si="56"/>
        <v>0</v>
      </c>
      <c r="T149" s="123">
        <f t="shared" si="57"/>
        <v>0</v>
      </c>
      <c r="U149" s="123">
        <f t="shared" si="57"/>
        <v>0</v>
      </c>
      <c r="V149" s="123">
        <f t="shared" si="57"/>
        <v>0</v>
      </c>
      <c r="W149" s="123">
        <f t="shared" si="57"/>
        <v>0</v>
      </c>
      <c r="X149" s="123">
        <f t="shared" si="57"/>
        <v>0</v>
      </c>
      <c r="Y149" s="123">
        <f t="shared" si="57"/>
        <v>0</v>
      </c>
      <c r="Z149" s="123">
        <f t="shared" si="57"/>
        <v>0</v>
      </c>
      <c r="AA149" s="123">
        <f t="shared" si="57"/>
        <v>0</v>
      </c>
      <c r="AB149" s="123">
        <f t="shared" si="57"/>
        <v>0</v>
      </c>
      <c r="AC149" s="123">
        <f t="shared" si="57"/>
        <v>0</v>
      </c>
      <c r="AD149" s="123">
        <f t="shared" si="57"/>
        <v>0</v>
      </c>
      <c r="AE149" s="123">
        <f t="shared" si="57"/>
        <v>0</v>
      </c>
      <c r="AF149" s="123">
        <f t="shared" si="57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58">C151</f>
        <v>0.1</v>
      </c>
      <c r="E151" s="123">
        <f t="shared" si="58"/>
        <v>0.1</v>
      </c>
      <c r="F151" s="123">
        <f t="shared" si="58"/>
        <v>0.1</v>
      </c>
      <c r="G151" s="123">
        <f t="shared" si="58"/>
        <v>0.1</v>
      </c>
      <c r="H151" s="123">
        <f t="shared" si="58"/>
        <v>0.1</v>
      </c>
      <c r="I151" s="123">
        <f t="shared" si="58"/>
        <v>0.1</v>
      </c>
      <c r="J151" s="123">
        <f t="shared" si="58"/>
        <v>0.1</v>
      </c>
      <c r="K151" s="123">
        <f t="shared" si="58"/>
        <v>0.1</v>
      </c>
      <c r="L151" s="123">
        <f t="shared" si="58"/>
        <v>0.1</v>
      </c>
      <c r="M151" s="123">
        <f t="shared" si="58"/>
        <v>0.1</v>
      </c>
      <c r="N151" s="123">
        <f t="shared" si="58"/>
        <v>0.1</v>
      </c>
      <c r="O151" s="123">
        <f t="shared" si="58"/>
        <v>0.1</v>
      </c>
      <c r="P151" s="123">
        <f t="shared" si="58"/>
        <v>0.1</v>
      </c>
      <c r="Q151" s="123">
        <f t="shared" si="58"/>
        <v>0.1</v>
      </c>
      <c r="R151" s="123">
        <f t="shared" si="58"/>
        <v>0.1</v>
      </c>
      <c r="S151" s="123">
        <f t="shared" si="58"/>
        <v>0.1</v>
      </c>
      <c r="T151" s="123">
        <f t="shared" ref="T151:AF154" si="59">S151</f>
        <v>0.1</v>
      </c>
      <c r="U151" s="123">
        <f t="shared" si="59"/>
        <v>0.1</v>
      </c>
      <c r="V151" s="123">
        <f t="shared" si="59"/>
        <v>0.1</v>
      </c>
      <c r="W151" s="123">
        <f t="shared" si="59"/>
        <v>0.1</v>
      </c>
      <c r="X151" s="123">
        <f t="shared" si="59"/>
        <v>0.1</v>
      </c>
      <c r="Y151" s="123">
        <f t="shared" si="59"/>
        <v>0.1</v>
      </c>
      <c r="Z151" s="123">
        <f t="shared" si="59"/>
        <v>0.1</v>
      </c>
      <c r="AA151" s="123">
        <f t="shared" si="59"/>
        <v>0.1</v>
      </c>
      <c r="AB151" s="123">
        <f t="shared" si="59"/>
        <v>0.1</v>
      </c>
      <c r="AC151" s="123">
        <f t="shared" si="59"/>
        <v>0.1</v>
      </c>
      <c r="AD151" s="123">
        <f t="shared" si="59"/>
        <v>0.1</v>
      </c>
      <c r="AE151" s="123">
        <f t="shared" si="59"/>
        <v>0.1</v>
      </c>
      <c r="AF151" s="123">
        <f t="shared" si="59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58"/>
        <v>2.0499999999999998</v>
      </c>
      <c r="E152" s="123">
        <f t="shared" si="58"/>
        <v>2.0499999999999998</v>
      </c>
      <c r="F152" s="123">
        <f t="shared" si="58"/>
        <v>2.0499999999999998</v>
      </c>
      <c r="G152" s="123">
        <f t="shared" si="58"/>
        <v>2.0499999999999998</v>
      </c>
      <c r="H152" s="123">
        <f t="shared" si="58"/>
        <v>2.0499999999999998</v>
      </c>
      <c r="I152" s="123">
        <f t="shared" si="58"/>
        <v>2.0499999999999998</v>
      </c>
      <c r="J152" s="123">
        <f t="shared" si="58"/>
        <v>2.0499999999999998</v>
      </c>
      <c r="K152" s="123">
        <f t="shared" si="58"/>
        <v>2.0499999999999998</v>
      </c>
      <c r="L152" s="123">
        <f t="shared" si="58"/>
        <v>2.0499999999999998</v>
      </c>
      <c r="M152" s="123">
        <f t="shared" si="58"/>
        <v>2.0499999999999998</v>
      </c>
      <c r="N152" s="123">
        <f t="shared" si="58"/>
        <v>2.0499999999999998</v>
      </c>
      <c r="O152" s="123">
        <f t="shared" si="58"/>
        <v>2.0499999999999998</v>
      </c>
      <c r="P152" s="123">
        <f t="shared" si="58"/>
        <v>2.0499999999999998</v>
      </c>
      <c r="Q152" s="123">
        <f t="shared" si="58"/>
        <v>2.0499999999999998</v>
      </c>
      <c r="R152" s="123">
        <f t="shared" si="58"/>
        <v>2.0499999999999998</v>
      </c>
      <c r="S152" s="123">
        <f t="shared" si="58"/>
        <v>2.0499999999999998</v>
      </c>
      <c r="T152" s="123">
        <f t="shared" si="59"/>
        <v>2.0499999999999998</v>
      </c>
      <c r="U152" s="123">
        <f t="shared" si="59"/>
        <v>2.0499999999999998</v>
      </c>
      <c r="V152" s="123">
        <f t="shared" si="59"/>
        <v>2.0499999999999998</v>
      </c>
      <c r="W152" s="123">
        <f t="shared" si="59"/>
        <v>2.0499999999999998</v>
      </c>
      <c r="X152" s="123">
        <f t="shared" si="59"/>
        <v>2.0499999999999998</v>
      </c>
      <c r="Y152" s="123">
        <f t="shared" si="59"/>
        <v>2.0499999999999998</v>
      </c>
      <c r="Z152" s="123">
        <f t="shared" si="59"/>
        <v>2.0499999999999998</v>
      </c>
      <c r="AA152" s="123">
        <f t="shared" si="59"/>
        <v>2.0499999999999998</v>
      </c>
      <c r="AB152" s="123">
        <f t="shared" si="59"/>
        <v>2.0499999999999998</v>
      </c>
      <c r="AC152" s="123">
        <f t="shared" si="59"/>
        <v>2.0499999999999998</v>
      </c>
      <c r="AD152" s="123">
        <f t="shared" si="59"/>
        <v>2.0499999999999998</v>
      </c>
      <c r="AE152" s="123">
        <f t="shared" si="59"/>
        <v>2.0499999999999998</v>
      </c>
      <c r="AF152" s="123">
        <f t="shared" si="59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58"/>
        <v>2.7</v>
      </c>
      <c r="E153" s="123">
        <f t="shared" si="58"/>
        <v>2.7</v>
      </c>
      <c r="F153" s="123">
        <f t="shared" si="58"/>
        <v>2.7</v>
      </c>
      <c r="G153" s="123">
        <f t="shared" si="58"/>
        <v>2.7</v>
      </c>
      <c r="H153" s="123">
        <f t="shared" si="58"/>
        <v>2.7</v>
      </c>
      <c r="I153" s="123">
        <f t="shared" si="58"/>
        <v>2.7</v>
      </c>
      <c r="J153" s="123">
        <f t="shared" si="58"/>
        <v>2.7</v>
      </c>
      <c r="K153" s="123">
        <f t="shared" si="58"/>
        <v>2.7</v>
      </c>
      <c r="L153" s="123">
        <f t="shared" si="58"/>
        <v>2.7</v>
      </c>
      <c r="M153" s="123">
        <f t="shared" si="58"/>
        <v>2.7</v>
      </c>
      <c r="N153" s="123">
        <f t="shared" si="58"/>
        <v>2.7</v>
      </c>
      <c r="O153" s="123">
        <f t="shared" si="58"/>
        <v>2.7</v>
      </c>
      <c r="P153" s="123">
        <f t="shared" si="58"/>
        <v>2.7</v>
      </c>
      <c r="Q153" s="123">
        <f t="shared" si="58"/>
        <v>2.7</v>
      </c>
      <c r="R153" s="123">
        <f t="shared" si="58"/>
        <v>2.7</v>
      </c>
      <c r="S153" s="123">
        <f t="shared" si="58"/>
        <v>2.7</v>
      </c>
      <c r="T153" s="123">
        <f t="shared" si="59"/>
        <v>2.7</v>
      </c>
      <c r="U153" s="123">
        <f t="shared" si="59"/>
        <v>2.7</v>
      </c>
      <c r="V153" s="123">
        <f t="shared" si="59"/>
        <v>2.7</v>
      </c>
      <c r="W153" s="123">
        <f t="shared" si="59"/>
        <v>2.7</v>
      </c>
      <c r="X153" s="123">
        <f t="shared" si="59"/>
        <v>2.7</v>
      </c>
      <c r="Y153" s="123">
        <f t="shared" si="59"/>
        <v>2.7</v>
      </c>
      <c r="Z153" s="123">
        <f t="shared" si="59"/>
        <v>2.7</v>
      </c>
      <c r="AA153" s="123">
        <f t="shared" si="59"/>
        <v>2.7</v>
      </c>
      <c r="AB153" s="123">
        <f t="shared" si="59"/>
        <v>2.7</v>
      </c>
      <c r="AC153" s="123">
        <f t="shared" si="59"/>
        <v>2.7</v>
      </c>
      <c r="AD153" s="123">
        <f t="shared" si="59"/>
        <v>2.7</v>
      </c>
      <c r="AE153" s="123">
        <f t="shared" si="59"/>
        <v>2.7</v>
      </c>
      <c r="AF153" s="123">
        <f t="shared" si="59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58"/>
        <v>2.15</v>
      </c>
      <c r="E154" s="123">
        <f t="shared" si="58"/>
        <v>2.15</v>
      </c>
      <c r="F154" s="123">
        <f t="shared" si="58"/>
        <v>2.15</v>
      </c>
      <c r="G154" s="123">
        <f t="shared" si="58"/>
        <v>2.15</v>
      </c>
      <c r="H154" s="123">
        <f t="shared" si="58"/>
        <v>2.15</v>
      </c>
      <c r="I154" s="123">
        <f t="shared" si="58"/>
        <v>2.15</v>
      </c>
      <c r="J154" s="123">
        <f t="shared" si="58"/>
        <v>2.15</v>
      </c>
      <c r="K154" s="123">
        <f t="shared" si="58"/>
        <v>2.15</v>
      </c>
      <c r="L154" s="123">
        <f t="shared" si="58"/>
        <v>2.15</v>
      </c>
      <c r="M154" s="123">
        <f t="shared" si="58"/>
        <v>2.15</v>
      </c>
      <c r="N154" s="123">
        <f t="shared" si="58"/>
        <v>2.15</v>
      </c>
      <c r="O154" s="123">
        <f t="shared" si="58"/>
        <v>2.15</v>
      </c>
      <c r="P154" s="123">
        <f t="shared" si="58"/>
        <v>2.15</v>
      </c>
      <c r="Q154" s="123">
        <f t="shared" si="58"/>
        <v>2.15</v>
      </c>
      <c r="R154" s="123">
        <f t="shared" si="58"/>
        <v>2.15</v>
      </c>
      <c r="S154" s="123">
        <f t="shared" si="58"/>
        <v>2.15</v>
      </c>
      <c r="T154" s="123">
        <f t="shared" si="59"/>
        <v>2.15</v>
      </c>
      <c r="U154" s="123">
        <f t="shared" si="59"/>
        <v>2.15</v>
      </c>
      <c r="V154" s="123">
        <f t="shared" si="59"/>
        <v>2.15</v>
      </c>
      <c r="W154" s="123">
        <f t="shared" si="59"/>
        <v>2.15</v>
      </c>
      <c r="X154" s="123">
        <f t="shared" si="59"/>
        <v>2.15</v>
      </c>
      <c r="Y154" s="123">
        <f t="shared" si="59"/>
        <v>2.15</v>
      </c>
      <c r="Z154" s="123">
        <f t="shared" si="59"/>
        <v>2.15</v>
      </c>
      <c r="AA154" s="123">
        <f t="shared" si="59"/>
        <v>2.15</v>
      </c>
      <c r="AB154" s="123">
        <f t="shared" si="59"/>
        <v>2.15</v>
      </c>
      <c r="AC154" s="123">
        <f t="shared" si="59"/>
        <v>2.15</v>
      </c>
      <c r="AD154" s="123">
        <f t="shared" si="59"/>
        <v>2.15</v>
      </c>
      <c r="AE154" s="123">
        <f t="shared" si="59"/>
        <v>2.15</v>
      </c>
      <c r="AF154" s="123">
        <f t="shared" si="59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60">AF156</f>
        <v>0.9</v>
      </c>
      <c r="C156" s="124">
        <v>0.9</v>
      </c>
      <c r="D156" s="123">
        <f t="shared" ref="D156:S168" si="61">C156</f>
        <v>0.9</v>
      </c>
      <c r="E156" s="123">
        <f t="shared" si="61"/>
        <v>0.9</v>
      </c>
      <c r="F156" s="123">
        <f t="shared" si="61"/>
        <v>0.9</v>
      </c>
      <c r="G156" s="123">
        <f t="shared" si="61"/>
        <v>0.9</v>
      </c>
      <c r="H156" s="123">
        <f t="shared" si="61"/>
        <v>0.9</v>
      </c>
      <c r="I156" s="123">
        <f t="shared" si="61"/>
        <v>0.9</v>
      </c>
      <c r="J156" s="123">
        <f t="shared" si="61"/>
        <v>0.9</v>
      </c>
      <c r="K156" s="123">
        <f t="shared" si="61"/>
        <v>0.9</v>
      </c>
      <c r="L156" s="123">
        <f t="shared" si="61"/>
        <v>0.9</v>
      </c>
      <c r="M156" s="123">
        <f t="shared" si="61"/>
        <v>0.9</v>
      </c>
      <c r="N156" s="123">
        <f t="shared" si="61"/>
        <v>0.9</v>
      </c>
      <c r="O156" s="123">
        <f t="shared" si="61"/>
        <v>0.9</v>
      </c>
      <c r="P156" s="123">
        <f t="shared" si="61"/>
        <v>0.9</v>
      </c>
      <c r="Q156" s="123">
        <f t="shared" si="61"/>
        <v>0.9</v>
      </c>
      <c r="R156" s="123">
        <f t="shared" si="61"/>
        <v>0.9</v>
      </c>
      <c r="S156" s="123">
        <f t="shared" si="61"/>
        <v>0.9</v>
      </c>
      <c r="T156" s="123">
        <f t="shared" ref="S156:AF168" si="62">S156</f>
        <v>0.9</v>
      </c>
      <c r="U156" s="123">
        <f t="shared" si="62"/>
        <v>0.9</v>
      </c>
      <c r="V156" s="123">
        <f t="shared" si="62"/>
        <v>0.9</v>
      </c>
      <c r="W156" s="123">
        <f t="shared" si="62"/>
        <v>0.9</v>
      </c>
      <c r="X156" s="123">
        <f t="shared" si="62"/>
        <v>0.9</v>
      </c>
      <c r="Y156" s="123">
        <f t="shared" si="62"/>
        <v>0.9</v>
      </c>
      <c r="Z156" s="123">
        <f t="shared" si="62"/>
        <v>0.9</v>
      </c>
      <c r="AA156" s="123">
        <f t="shared" si="62"/>
        <v>0.9</v>
      </c>
      <c r="AB156" s="123">
        <f t="shared" si="62"/>
        <v>0.9</v>
      </c>
      <c r="AC156" s="123">
        <f t="shared" si="62"/>
        <v>0.9</v>
      </c>
      <c r="AD156" s="123">
        <f t="shared" si="62"/>
        <v>0.9</v>
      </c>
      <c r="AE156" s="123">
        <f t="shared" si="62"/>
        <v>0.9</v>
      </c>
      <c r="AF156" s="123">
        <f t="shared" si="62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60"/>
        <v>1.08</v>
      </c>
      <c r="C157" s="124">
        <v>1.08</v>
      </c>
      <c r="D157" s="123">
        <f t="shared" si="61"/>
        <v>1.08</v>
      </c>
      <c r="E157" s="123">
        <f t="shared" si="61"/>
        <v>1.08</v>
      </c>
      <c r="F157" s="123">
        <f t="shared" si="61"/>
        <v>1.08</v>
      </c>
      <c r="G157" s="123">
        <f t="shared" si="61"/>
        <v>1.08</v>
      </c>
      <c r="H157" s="123">
        <f t="shared" si="61"/>
        <v>1.08</v>
      </c>
      <c r="I157" s="123">
        <f t="shared" si="61"/>
        <v>1.08</v>
      </c>
      <c r="J157" s="123">
        <f t="shared" si="61"/>
        <v>1.08</v>
      </c>
      <c r="K157" s="123">
        <f t="shared" si="61"/>
        <v>1.08</v>
      </c>
      <c r="L157" s="123">
        <f t="shared" si="61"/>
        <v>1.08</v>
      </c>
      <c r="M157" s="123">
        <f t="shared" si="61"/>
        <v>1.08</v>
      </c>
      <c r="N157" s="123">
        <f t="shared" si="61"/>
        <v>1.08</v>
      </c>
      <c r="O157" s="123">
        <f t="shared" si="61"/>
        <v>1.08</v>
      </c>
      <c r="P157" s="123">
        <f t="shared" si="61"/>
        <v>1.08</v>
      </c>
      <c r="Q157" s="123">
        <f t="shared" si="61"/>
        <v>1.08</v>
      </c>
      <c r="R157" s="123">
        <f t="shared" si="61"/>
        <v>1.08</v>
      </c>
      <c r="S157" s="123">
        <f t="shared" si="61"/>
        <v>1.08</v>
      </c>
      <c r="T157" s="123">
        <f t="shared" si="62"/>
        <v>1.08</v>
      </c>
      <c r="U157" s="123">
        <f t="shared" si="62"/>
        <v>1.08</v>
      </c>
      <c r="V157" s="123">
        <f t="shared" si="62"/>
        <v>1.08</v>
      </c>
      <c r="W157" s="123">
        <f t="shared" si="62"/>
        <v>1.08</v>
      </c>
      <c r="X157" s="123">
        <f t="shared" si="62"/>
        <v>1.08</v>
      </c>
      <c r="Y157" s="123">
        <f t="shared" si="62"/>
        <v>1.08</v>
      </c>
      <c r="Z157" s="123">
        <f t="shared" si="62"/>
        <v>1.08</v>
      </c>
      <c r="AA157" s="123">
        <f t="shared" si="62"/>
        <v>1.08</v>
      </c>
      <c r="AB157" s="123">
        <f t="shared" si="62"/>
        <v>1.08</v>
      </c>
      <c r="AC157" s="123">
        <f t="shared" si="62"/>
        <v>1.08</v>
      </c>
      <c r="AD157" s="123">
        <f t="shared" si="62"/>
        <v>1.08</v>
      </c>
      <c r="AE157" s="123">
        <f t="shared" si="62"/>
        <v>1.08</v>
      </c>
      <c r="AF157" s="123">
        <f t="shared" si="62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60"/>
        <v>2.37</v>
      </c>
      <c r="C158" s="124">
        <v>2.37</v>
      </c>
      <c r="D158" s="123">
        <f t="shared" si="61"/>
        <v>2.37</v>
      </c>
      <c r="E158" s="123">
        <f t="shared" si="61"/>
        <v>2.37</v>
      </c>
      <c r="F158" s="123">
        <f t="shared" si="61"/>
        <v>2.37</v>
      </c>
      <c r="G158" s="123">
        <f t="shared" si="61"/>
        <v>2.37</v>
      </c>
      <c r="H158" s="123">
        <f t="shared" si="61"/>
        <v>2.37</v>
      </c>
      <c r="I158" s="123">
        <f t="shared" si="61"/>
        <v>2.37</v>
      </c>
      <c r="J158" s="123">
        <f t="shared" si="61"/>
        <v>2.37</v>
      </c>
      <c r="K158" s="123">
        <f t="shared" si="61"/>
        <v>2.37</v>
      </c>
      <c r="L158" s="123">
        <f t="shared" si="61"/>
        <v>2.37</v>
      </c>
      <c r="M158" s="123">
        <f t="shared" si="61"/>
        <v>2.37</v>
      </c>
      <c r="N158" s="123">
        <f t="shared" si="61"/>
        <v>2.37</v>
      </c>
      <c r="O158" s="123">
        <f t="shared" si="61"/>
        <v>2.37</v>
      </c>
      <c r="P158" s="123">
        <f t="shared" si="61"/>
        <v>2.37</v>
      </c>
      <c r="Q158" s="123">
        <f t="shared" si="61"/>
        <v>2.37</v>
      </c>
      <c r="R158" s="123">
        <f t="shared" si="61"/>
        <v>2.37</v>
      </c>
      <c r="S158" s="123">
        <f t="shared" si="61"/>
        <v>2.37</v>
      </c>
      <c r="T158" s="123">
        <f t="shared" si="62"/>
        <v>2.37</v>
      </c>
      <c r="U158" s="123">
        <f t="shared" si="62"/>
        <v>2.37</v>
      </c>
      <c r="V158" s="123">
        <f t="shared" si="62"/>
        <v>2.37</v>
      </c>
      <c r="W158" s="123">
        <f t="shared" si="62"/>
        <v>2.37</v>
      </c>
      <c r="X158" s="123">
        <f t="shared" si="62"/>
        <v>2.37</v>
      </c>
      <c r="Y158" s="123">
        <f t="shared" si="62"/>
        <v>2.37</v>
      </c>
      <c r="Z158" s="123">
        <f t="shared" si="62"/>
        <v>2.37</v>
      </c>
      <c r="AA158" s="123">
        <f t="shared" si="62"/>
        <v>2.37</v>
      </c>
      <c r="AB158" s="123">
        <f t="shared" si="62"/>
        <v>2.37</v>
      </c>
      <c r="AC158" s="123">
        <f t="shared" si="62"/>
        <v>2.37</v>
      </c>
      <c r="AD158" s="123">
        <f t="shared" si="62"/>
        <v>2.37</v>
      </c>
      <c r="AE158" s="123">
        <f t="shared" si="62"/>
        <v>2.37</v>
      </c>
      <c r="AF158" s="123">
        <f t="shared" si="62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60"/>
        <v>1.81</v>
      </c>
      <c r="C159" s="124">
        <v>1.81</v>
      </c>
      <c r="D159" s="123">
        <f t="shared" si="61"/>
        <v>1.81</v>
      </c>
      <c r="E159" s="123">
        <f t="shared" si="61"/>
        <v>1.81</v>
      </c>
      <c r="F159" s="123">
        <f t="shared" si="61"/>
        <v>1.81</v>
      </c>
      <c r="G159" s="123">
        <f t="shared" si="61"/>
        <v>1.81</v>
      </c>
      <c r="H159" s="123">
        <f t="shared" si="61"/>
        <v>1.81</v>
      </c>
      <c r="I159" s="123">
        <f t="shared" si="61"/>
        <v>1.81</v>
      </c>
      <c r="J159" s="123">
        <f t="shared" si="61"/>
        <v>1.81</v>
      </c>
      <c r="K159" s="123">
        <f t="shared" si="61"/>
        <v>1.81</v>
      </c>
      <c r="L159" s="123">
        <f t="shared" si="61"/>
        <v>1.81</v>
      </c>
      <c r="M159" s="123">
        <f t="shared" si="61"/>
        <v>1.81</v>
      </c>
      <c r="N159" s="123">
        <f t="shared" si="61"/>
        <v>1.81</v>
      </c>
      <c r="O159" s="123">
        <f t="shared" si="61"/>
        <v>1.81</v>
      </c>
      <c r="P159" s="123">
        <f t="shared" si="61"/>
        <v>1.81</v>
      </c>
      <c r="Q159" s="123">
        <f t="shared" si="61"/>
        <v>1.81</v>
      </c>
      <c r="R159" s="123">
        <f t="shared" si="61"/>
        <v>1.81</v>
      </c>
      <c r="S159" s="123">
        <f t="shared" si="61"/>
        <v>1.81</v>
      </c>
      <c r="T159" s="123">
        <f t="shared" si="62"/>
        <v>1.81</v>
      </c>
      <c r="U159" s="123">
        <f t="shared" si="62"/>
        <v>1.81</v>
      </c>
      <c r="V159" s="123">
        <f t="shared" si="62"/>
        <v>1.81</v>
      </c>
      <c r="W159" s="123">
        <f t="shared" si="62"/>
        <v>1.81</v>
      </c>
      <c r="X159" s="123">
        <f t="shared" si="62"/>
        <v>1.81</v>
      </c>
      <c r="Y159" s="123">
        <f t="shared" si="62"/>
        <v>1.81</v>
      </c>
      <c r="Z159" s="123">
        <f t="shared" si="62"/>
        <v>1.81</v>
      </c>
      <c r="AA159" s="123">
        <f t="shared" si="62"/>
        <v>1.81</v>
      </c>
      <c r="AB159" s="123">
        <f t="shared" si="62"/>
        <v>1.81</v>
      </c>
      <c r="AC159" s="123">
        <f t="shared" si="62"/>
        <v>1.81</v>
      </c>
      <c r="AD159" s="123">
        <f t="shared" si="62"/>
        <v>1.81</v>
      </c>
      <c r="AE159" s="123">
        <f t="shared" si="62"/>
        <v>1.81</v>
      </c>
      <c r="AF159" s="123">
        <f t="shared" si="62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60"/>
        <v>1.0900000000000001</v>
      </c>
      <c r="C160" s="124">
        <v>1.0900000000000001</v>
      </c>
      <c r="D160" s="123">
        <f t="shared" si="61"/>
        <v>1.0900000000000001</v>
      </c>
      <c r="E160" s="123">
        <f t="shared" si="61"/>
        <v>1.0900000000000001</v>
      </c>
      <c r="F160" s="123">
        <f t="shared" si="61"/>
        <v>1.0900000000000001</v>
      </c>
      <c r="G160" s="123">
        <f t="shared" si="61"/>
        <v>1.0900000000000001</v>
      </c>
      <c r="H160" s="123">
        <f t="shared" si="61"/>
        <v>1.0900000000000001</v>
      </c>
      <c r="I160" s="123">
        <f t="shared" si="61"/>
        <v>1.0900000000000001</v>
      </c>
      <c r="J160" s="123">
        <f t="shared" si="61"/>
        <v>1.0900000000000001</v>
      </c>
      <c r="K160" s="123">
        <f t="shared" si="61"/>
        <v>1.0900000000000001</v>
      </c>
      <c r="L160" s="123">
        <f t="shared" si="61"/>
        <v>1.0900000000000001</v>
      </c>
      <c r="M160" s="123">
        <f t="shared" si="61"/>
        <v>1.0900000000000001</v>
      </c>
      <c r="N160" s="123">
        <f t="shared" si="61"/>
        <v>1.0900000000000001</v>
      </c>
      <c r="O160" s="123">
        <f t="shared" si="61"/>
        <v>1.0900000000000001</v>
      </c>
      <c r="P160" s="123">
        <f t="shared" si="61"/>
        <v>1.0900000000000001</v>
      </c>
      <c r="Q160" s="123">
        <f t="shared" si="61"/>
        <v>1.0900000000000001</v>
      </c>
      <c r="R160" s="123">
        <f t="shared" si="61"/>
        <v>1.0900000000000001</v>
      </c>
      <c r="S160" s="123">
        <f t="shared" si="61"/>
        <v>1.0900000000000001</v>
      </c>
      <c r="T160" s="123">
        <f t="shared" si="62"/>
        <v>1.0900000000000001</v>
      </c>
      <c r="U160" s="123">
        <f t="shared" si="62"/>
        <v>1.0900000000000001</v>
      </c>
      <c r="V160" s="123">
        <f t="shared" si="62"/>
        <v>1.0900000000000001</v>
      </c>
      <c r="W160" s="123">
        <f t="shared" si="62"/>
        <v>1.0900000000000001</v>
      </c>
      <c r="X160" s="123">
        <f t="shared" si="62"/>
        <v>1.0900000000000001</v>
      </c>
      <c r="Y160" s="123">
        <f t="shared" si="62"/>
        <v>1.0900000000000001</v>
      </c>
      <c r="Z160" s="123">
        <f t="shared" si="62"/>
        <v>1.0900000000000001</v>
      </c>
      <c r="AA160" s="123">
        <f t="shared" si="62"/>
        <v>1.0900000000000001</v>
      </c>
      <c r="AB160" s="123">
        <f t="shared" si="62"/>
        <v>1.0900000000000001</v>
      </c>
      <c r="AC160" s="123">
        <f t="shared" si="62"/>
        <v>1.0900000000000001</v>
      </c>
      <c r="AD160" s="123">
        <f t="shared" si="62"/>
        <v>1.0900000000000001</v>
      </c>
      <c r="AE160" s="123">
        <f t="shared" si="62"/>
        <v>1.0900000000000001</v>
      </c>
      <c r="AF160" s="123">
        <f t="shared" si="62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60"/>
        <v>1.58</v>
      </c>
      <c r="C161" s="124">
        <v>1.58</v>
      </c>
      <c r="D161" s="123">
        <f t="shared" si="61"/>
        <v>1.58</v>
      </c>
      <c r="E161" s="123">
        <f t="shared" si="61"/>
        <v>1.58</v>
      </c>
      <c r="F161" s="123">
        <f t="shared" si="61"/>
        <v>1.58</v>
      </c>
      <c r="G161" s="123">
        <f t="shared" si="61"/>
        <v>1.58</v>
      </c>
      <c r="H161" s="123">
        <f t="shared" si="61"/>
        <v>1.58</v>
      </c>
      <c r="I161" s="123">
        <f t="shared" si="61"/>
        <v>1.58</v>
      </c>
      <c r="J161" s="123">
        <f t="shared" si="61"/>
        <v>1.58</v>
      </c>
      <c r="K161" s="123">
        <f t="shared" si="61"/>
        <v>1.58</v>
      </c>
      <c r="L161" s="123">
        <f t="shared" si="61"/>
        <v>1.58</v>
      </c>
      <c r="M161" s="123">
        <f t="shared" si="61"/>
        <v>1.58</v>
      </c>
      <c r="N161" s="123">
        <f t="shared" si="61"/>
        <v>1.58</v>
      </c>
      <c r="O161" s="123">
        <f t="shared" si="61"/>
        <v>1.58</v>
      </c>
      <c r="P161" s="123">
        <f t="shared" si="61"/>
        <v>1.58</v>
      </c>
      <c r="Q161" s="123">
        <f t="shared" si="61"/>
        <v>1.58</v>
      </c>
      <c r="R161" s="123">
        <f t="shared" si="61"/>
        <v>1.58</v>
      </c>
      <c r="S161" s="123">
        <f t="shared" si="61"/>
        <v>1.58</v>
      </c>
      <c r="T161" s="123">
        <f t="shared" si="62"/>
        <v>1.58</v>
      </c>
      <c r="U161" s="123">
        <f t="shared" si="62"/>
        <v>1.58</v>
      </c>
      <c r="V161" s="123">
        <f t="shared" si="62"/>
        <v>1.58</v>
      </c>
      <c r="W161" s="123">
        <f t="shared" si="62"/>
        <v>1.58</v>
      </c>
      <c r="X161" s="123">
        <f t="shared" si="62"/>
        <v>1.58</v>
      </c>
      <c r="Y161" s="123">
        <f t="shared" si="62"/>
        <v>1.58</v>
      </c>
      <c r="Z161" s="123">
        <f t="shared" si="62"/>
        <v>1.58</v>
      </c>
      <c r="AA161" s="123">
        <f t="shared" si="62"/>
        <v>1.58</v>
      </c>
      <c r="AB161" s="123">
        <f t="shared" si="62"/>
        <v>1.58</v>
      </c>
      <c r="AC161" s="123">
        <f t="shared" si="62"/>
        <v>1.58</v>
      </c>
      <c r="AD161" s="123">
        <f t="shared" si="62"/>
        <v>1.58</v>
      </c>
      <c r="AE161" s="123">
        <f t="shared" si="62"/>
        <v>1.58</v>
      </c>
      <c r="AF161" s="123">
        <f t="shared" si="62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60"/>
        <v>2</v>
      </c>
      <c r="C162" s="124">
        <v>2</v>
      </c>
      <c r="D162" s="123">
        <f t="shared" si="61"/>
        <v>2</v>
      </c>
      <c r="E162" s="123">
        <f t="shared" si="61"/>
        <v>2</v>
      </c>
      <c r="F162" s="123">
        <f t="shared" si="61"/>
        <v>2</v>
      </c>
      <c r="G162" s="123">
        <f t="shared" si="61"/>
        <v>2</v>
      </c>
      <c r="H162" s="123">
        <f t="shared" si="61"/>
        <v>2</v>
      </c>
      <c r="I162" s="123">
        <f t="shared" si="61"/>
        <v>2</v>
      </c>
      <c r="J162" s="123">
        <f t="shared" si="61"/>
        <v>2</v>
      </c>
      <c r="K162" s="123">
        <f t="shared" si="61"/>
        <v>2</v>
      </c>
      <c r="L162" s="123">
        <f t="shared" si="61"/>
        <v>2</v>
      </c>
      <c r="M162" s="123">
        <f t="shared" si="61"/>
        <v>2</v>
      </c>
      <c r="N162" s="123">
        <f t="shared" si="61"/>
        <v>2</v>
      </c>
      <c r="O162" s="123">
        <f t="shared" si="61"/>
        <v>2</v>
      </c>
      <c r="P162" s="123">
        <f t="shared" si="61"/>
        <v>2</v>
      </c>
      <c r="Q162" s="123">
        <f t="shared" si="61"/>
        <v>2</v>
      </c>
      <c r="R162" s="123">
        <f t="shared" si="61"/>
        <v>2</v>
      </c>
      <c r="S162" s="123">
        <f t="shared" si="61"/>
        <v>2</v>
      </c>
      <c r="T162" s="123">
        <f t="shared" si="62"/>
        <v>2</v>
      </c>
      <c r="U162" s="123">
        <f t="shared" si="62"/>
        <v>2</v>
      </c>
      <c r="V162" s="123">
        <f t="shared" si="62"/>
        <v>2</v>
      </c>
      <c r="W162" s="123">
        <f t="shared" si="62"/>
        <v>2</v>
      </c>
      <c r="X162" s="123">
        <f t="shared" si="62"/>
        <v>2</v>
      </c>
      <c r="Y162" s="123">
        <f t="shared" si="62"/>
        <v>2</v>
      </c>
      <c r="Z162" s="123">
        <f t="shared" si="62"/>
        <v>2</v>
      </c>
      <c r="AA162" s="123">
        <f t="shared" si="62"/>
        <v>2</v>
      </c>
      <c r="AB162" s="123">
        <f t="shared" si="62"/>
        <v>2</v>
      </c>
      <c r="AC162" s="123">
        <f t="shared" si="62"/>
        <v>2</v>
      </c>
      <c r="AD162" s="123">
        <f t="shared" si="62"/>
        <v>2</v>
      </c>
      <c r="AE162" s="123">
        <f t="shared" si="62"/>
        <v>2</v>
      </c>
      <c r="AF162" s="123">
        <f t="shared" si="62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60"/>
        <v>0.47</v>
      </c>
      <c r="C163" s="124">
        <v>0.47</v>
      </c>
      <c r="D163" s="123">
        <f t="shared" si="61"/>
        <v>0.47</v>
      </c>
      <c r="E163" s="123">
        <f t="shared" si="61"/>
        <v>0.47</v>
      </c>
      <c r="F163" s="123">
        <f t="shared" si="61"/>
        <v>0.47</v>
      </c>
      <c r="G163" s="123">
        <f t="shared" si="61"/>
        <v>0.47</v>
      </c>
      <c r="H163" s="123">
        <f t="shared" si="61"/>
        <v>0.47</v>
      </c>
      <c r="I163" s="123">
        <f t="shared" si="61"/>
        <v>0.47</v>
      </c>
      <c r="J163" s="123">
        <f t="shared" si="61"/>
        <v>0.47</v>
      </c>
      <c r="K163" s="123">
        <f t="shared" si="61"/>
        <v>0.47</v>
      </c>
      <c r="L163" s="123">
        <f t="shared" si="61"/>
        <v>0.47</v>
      </c>
      <c r="M163" s="123">
        <f t="shared" si="61"/>
        <v>0.47</v>
      </c>
      <c r="N163" s="123">
        <f t="shared" si="61"/>
        <v>0.47</v>
      </c>
      <c r="O163" s="123">
        <f t="shared" si="61"/>
        <v>0.47</v>
      </c>
      <c r="P163" s="123">
        <f t="shared" si="61"/>
        <v>0.47</v>
      </c>
      <c r="Q163" s="123">
        <f t="shared" si="61"/>
        <v>0.47</v>
      </c>
      <c r="R163" s="123">
        <f t="shared" si="61"/>
        <v>0.47</v>
      </c>
      <c r="S163" s="123">
        <f t="shared" si="61"/>
        <v>0.47</v>
      </c>
      <c r="T163" s="123">
        <f t="shared" si="62"/>
        <v>0.47</v>
      </c>
      <c r="U163" s="123">
        <f t="shared" si="62"/>
        <v>0.47</v>
      </c>
      <c r="V163" s="123">
        <f t="shared" si="62"/>
        <v>0.47</v>
      </c>
      <c r="W163" s="123">
        <f t="shared" si="62"/>
        <v>0.47</v>
      </c>
      <c r="X163" s="123">
        <f t="shared" si="62"/>
        <v>0.47</v>
      </c>
      <c r="Y163" s="123">
        <f t="shared" si="62"/>
        <v>0.47</v>
      </c>
      <c r="Z163" s="123">
        <f t="shared" si="62"/>
        <v>0.47</v>
      </c>
      <c r="AA163" s="123">
        <f t="shared" si="62"/>
        <v>0.47</v>
      </c>
      <c r="AB163" s="123">
        <f t="shared" si="62"/>
        <v>0.47</v>
      </c>
      <c r="AC163" s="123">
        <f t="shared" si="62"/>
        <v>0.47</v>
      </c>
      <c r="AD163" s="123">
        <f t="shared" si="62"/>
        <v>0.47</v>
      </c>
      <c r="AE163" s="123">
        <f t="shared" si="62"/>
        <v>0.47</v>
      </c>
      <c r="AF163" s="123">
        <f t="shared" si="62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60"/>
        <v>0</v>
      </c>
      <c r="C164" s="124">
        <v>0</v>
      </c>
      <c r="D164" s="123">
        <f t="shared" si="61"/>
        <v>0</v>
      </c>
      <c r="E164" s="123">
        <f t="shared" si="61"/>
        <v>0</v>
      </c>
      <c r="F164" s="123">
        <f t="shared" si="61"/>
        <v>0</v>
      </c>
      <c r="G164" s="123">
        <f t="shared" si="61"/>
        <v>0</v>
      </c>
      <c r="H164" s="123">
        <f t="shared" si="61"/>
        <v>0</v>
      </c>
      <c r="I164" s="123">
        <f t="shared" si="61"/>
        <v>0</v>
      </c>
      <c r="J164" s="123">
        <f t="shared" si="61"/>
        <v>0</v>
      </c>
      <c r="K164" s="123">
        <f t="shared" si="61"/>
        <v>0</v>
      </c>
      <c r="L164" s="123">
        <f t="shared" si="61"/>
        <v>0</v>
      </c>
      <c r="M164" s="123">
        <f t="shared" si="61"/>
        <v>0</v>
      </c>
      <c r="N164" s="123">
        <f t="shared" si="61"/>
        <v>0</v>
      </c>
      <c r="O164" s="123">
        <f t="shared" si="61"/>
        <v>0</v>
      </c>
      <c r="P164" s="123">
        <f t="shared" si="61"/>
        <v>0</v>
      </c>
      <c r="Q164" s="123">
        <f t="shared" si="61"/>
        <v>0</v>
      </c>
      <c r="R164" s="123">
        <f t="shared" si="61"/>
        <v>0</v>
      </c>
      <c r="S164" s="123">
        <f t="shared" si="61"/>
        <v>0</v>
      </c>
      <c r="T164" s="123">
        <f t="shared" si="62"/>
        <v>0</v>
      </c>
      <c r="U164" s="123">
        <f t="shared" si="62"/>
        <v>0</v>
      </c>
      <c r="V164" s="123">
        <f t="shared" si="62"/>
        <v>0</v>
      </c>
      <c r="W164" s="123">
        <f t="shared" si="62"/>
        <v>0</v>
      </c>
      <c r="X164" s="123">
        <f t="shared" si="62"/>
        <v>0</v>
      </c>
      <c r="Y164" s="123">
        <f t="shared" si="62"/>
        <v>0</v>
      </c>
      <c r="Z164" s="123">
        <f t="shared" si="62"/>
        <v>0</v>
      </c>
      <c r="AA164" s="123">
        <f t="shared" si="62"/>
        <v>0</v>
      </c>
      <c r="AB164" s="123">
        <f t="shared" si="62"/>
        <v>0</v>
      </c>
      <c r="AC164" s="123">
        <f t="shared" si="62"/>
        <v>0</v>
      </c>
      <c r="AD164" s="123">
        <f t="shared" si="62"/>
        <v>0</v>
      </c>
      <c r="AE164" s="123">
        <f t="shared" si="62"/>
        <v>0</v>
      </c>
      <c r="AF164" s="123">
        <f t="shared" si="62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60"/>
        <v>0</v>
      </c>
      <c r="C165" s="124">
        <v>0</v>
      </c>
      <c r="D165" s="123">
        <f t="shared" si="61"/>
        <v>0</v>
      </c>
      <c r="E165" s="123">
        <f t="shared" si="61"/>
        <v>0</v>
      </c>
      <c r="F165" s="123">
        <f t="shared" si="61"/>
        <v>0</v>
      </c>
      <c r="G165" s="123">
        <f t="shared" si="61"/>
        <v>0</v>
      </c>
      <c r="H165" s="123">
        <f t="shared" si="61"/>
        <v>0</v>
      </c>
      <c r="I165" s="123">
        <f t="shared" si="61"/>
        <v>0</v>
      </c>
      <c r="J165" s="123">
        <f t="shared" si="61"/>
        <v>0</v>
      </c>
      <c r="K165" s="123">
        <f t="shared" si="61"/>
        <v>0</v>
      </c>
      <c r="L165" s="123">
        <f t="shared" si="61"/>
        <v>0</v>
      </c>
      <c r="M165" s="123">
        <f t="shared" si="61"/>
        <v>0</v>
      </c>
      <c r="N165" s="123">
        <f t="shared" si="61"/>
        <v>0</v>
      </c>
      <c r="O165" s="123">
        <f t="shared" si="61"/>
        <v>0</v>
      </c>
      <c r="P165" s="123">
        <f t="shared" si="61"/>
        <v>0</v>
      </c>
      <c r="Q165" s="123">
        <f t="shared" si="61"/>
        <v>0</v>
      </c>
      <c r="R165" s="123">
        <f t="shared" si="61"/>
        <v>0</v>
      </c>
      <c r="S165" s="123">
        <f t="shared" si="62"/>
        <v>0</v>
      </c>
      <c r="T165" s="123">
        <f t="shared" si="62"/>
        <v>0</v>
      </c>
      <c r="U165" s="123">
        <f t="shared" si="62"/>
        <v>0</v>
      </c>
      <c r="V165" s="123">
        <f t="shared" si="62"/>
        <v>0</v>
      </c>
      <c r="W165" s="123">
        <f t="shared" si="62"/>
        <v>0</v>
      </c>
      <c r="X165" s="123">
        <f t="shared" si="62"/>
        <v>0</v>
      </c>
      <c r="Y165" s="123">
        <f t="shared" si="62"/>
        <v>0</v>
      </c>
      <c r="Z165" s="123">
        <f t="shared" si="62"/>
        <v>0</v>
      </c>
      <c r="AA165" s="123">
        <f t="shared" si="62"/>
        <v>0</v>
      </c>
      <c r="AB165" s="123">
        <f t="shared" si="62"/>
        <v>0</v>
      </c>
      <c r="AC165" s="123">
        <f t="shared" si="62"/>
        <v>0</v>
      </c>
      <c r="AD165" s="123">
        <f t="shared" si="62"/>
        <v>0</v>
      </c>
      <c r="AE165" s="123">
        <f t="shared" si="62"/>
        <v>0</v>
      </c>
      <c r="AF165" s="123">
        <f t="shared" si="62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60"/>
        <v>0.8</v>
      </c>
      <c r="C166" s="124">
        <v>0.8</v>
      </c>
      <c r="D166" s="123">
        <f t="shared" si="61"/>
        <v>0.8</v>
      </c>
      <c r="E166" s="123">
        <f t="shared" si="61"/>
        <v>0.8</v>
      </c>
      <c r="F166" s="123">
        <f t="shared" si="61"/>
        <v>0.8</v>
      </c>
      <c r="G166" s="123">
        <f t="shared" si="61"/>
        <v>0.8</v>
      </c>
      <c r="H166" s="123">
        <f t="shared" si="61"/>
        <v>0.8</v>
      </c>
      <c r="I166" s="123">
        <f t="shared" si="61"/>
        <v>0.8</v>
      </c>
      <c r="J166" s="123">
        <f t="shared" si="61"/>
        <v>0.8</v>
      </c>
      <c r="K166" s="123">
        <f t="shared" si="61"/>
        <v>0.8</v>
      </c>
      <c r="L166" s="123">
        <f t="shared" si="61"/>
        <v>0.8</v>
      </c>
      <c r="M166" s="123">
        <f t="shared" si="61"/>
        <v>0.8</v>
      </c>
      <c r="N166" s="123">
        <f t="shared" si="61"/>
        <v>0.8</v>
      </c>
      <c r="O166" s="123">
        <f t="shared" si="61"/>
        <v>0.8</v>
      </c>
      <c r="P166" s="123">
        <f t="shared" si="61"/>
        <v>0.8</v>
      </c>
      <c r="Q166" s="123">
        <f t="shared" si="61"/>
        <v>0.8</v>
      </c>
      <c r="R166" s="123">
        <f t="shared" si="61"/>
        <v>0.8</v>
      </c>
      <c r="S166" s="123">
        <f t="shared" si="62"/>
        <v>0.8</v>
      </c>
      <c r="T166" s="123">
        <f t="shared" si="62"/>
        <v>0.8</v>
      </c>
      <c r="U166" s="123">
        <f t="shared" si="62"/>
        <v>0.8</v>
      </c>
      <c r="V166" s="123">
        <f t="shared" si="62"/>
        <v>0.8</v>
      </c>
      <c r="W166" s="123">
        <f t="shared" si="62"/>
        <v>0.8</v>
      </c>
      <c r="X166" s="123">
        <f t="shared" si="62"/>
        <v>0.8</v>
      </c>
      <c r="Y166" s="123">
        <f t="shared" si="62"/>
        <v>0.8</v>
      </c>
      <c r="Z166" s="123">
        <f t="shared" si="62"/>
        <v>0.8</v>
      </c>
      <c r="AA166" s="123">
        <f t="shared" si="62"/>
        <v>0.8</v>
      </c>
      <c r="AB166" s="123">
        <f t="shared" si="62"/>
        <v>0.8</v>
      </c>
      <c r="AC166" s="123">
        <f t="shared" si="62"/>
        <v>0.8</v>
      </c>
      <c r="AD166" s="123">
        <f t="shared" si="62"/>
        <v>0.8</v>
      </c>
      <c r="AE166" s="123">
        <f t="shared" si="62"/>
        <v>0.8</v>
      </c>
      <c r="AF166" s="123">
        <f t="shared" si="62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60"/>
        <v>1.5</v>
      </c>
      <c r="C167" s="124">
        <v>1.5</v>
      </c>
      <c r="D167" s="123">
        <f t="shared" si="61"/>
        <v>1.5</v>
      </c>
      <c r="E167" s="123">
        <f t="shared" si="61"/>
        <v>1.5</v>
      </c>
      <c r="F167" s="123">
        <f t="shared" si="61"/>
        <v>1.5</v>
      </c>
      <c r="G167" s="123">
        <f t="shared" si="61"/>
        <v>1.5</v>
      </c>
      <c r="H167" s="123">
        <f t="shared" si="61"/>
        <v>1.5</v>
      </c>
      <c r="I167" s="123">
        <f t="shared" si="61"/>
        <v>1.5</v>
      </c>
      <c r="J167" s="123">
        <f t="shared" si="61"/>
        <v>1.5</v>
      </c>
      <c r="K167" s="123">
        <f t="shared" si="61"/>
        <v>1.5</v>
      </c>
      <c r="L167" s="123">
        <f t="shared" si="61"/>
        <v>1.5</v>
      </c>
      <c r="M167" s="123">
        <f t="shared" si="61"/>
        <v>1.5</v>
      </c>
      <c r="N167" s="123">
        <f t="shared" si="61"/>
        <v>1.5</v>
      </c>
      <c r="O167" s="123">
        <f t="shared" si="61"/>
        <v>1.5</v>
      </c>
      <c r="P167" s="123">
        <f t="shared" si="61"/>
        <v>1.5</v>
      </c>
      <c r="Q167" s="123">
        <f t="shared" si="61"/>
        <v>1.5</v>
      </c>
      <c r="R167" s="123">
        <f t="shared" si="61"/>
        <v>1.5</v>
      </c>
      <c r="S167" s="123">
        <f t="shared" si="62"/>
        <v>1.5</v>
      </c>
      <c r="T167" s="123">
        <f t="shared" si="62"/>
        <v>1.5</v>
      </c>
      <c r="U167" s="123">
        <f t="shared" si="62"/>
        <v>1.5</v>
      </c>
      <c r="V167" s="123">
        <f t="shared" si="62"/>
        <v>1.5</v>
      </c>
      <c r="W167" s="123">
        <f t="shared" si="62"/>
        <v>1.5</v>
      </c>
      <c r="X167" s="123">
        <f t="shared" si="62"/>
        <v>1.5</v>
      </c>
      <c r="Y167" s="123">
        <f t="shared" si="62"/>
        <v>1.5</v>
      </c>
      <c r="Z167" s="123">
        <f t="shared" si="62"/>
        <v>1.5</v>
      </c>
      <c r="AA167" s="123">
        <f t="shared" si="62"/>
        <v>1.5</v>
      </c>
      <c r="AB167" s="123">
        <f t="shared" si="62"/>
        <v>1.5</v>
      </c>
      <c r="AC167" s="123">
        <f t="shared" si="62"/>
        <v>1.5</v>
      </c>
      <c r="AD167" s="123">
        <f t="shared" si="62"/>
        <v>1.5</v>
      </c>
      <c r="AE167" s="123">
        <f t="shared" si="62"/>
        <v>1.5</v>
      </c>
      <c r="AF167" s="123">
        <f t="shared" si="62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60"/>
        <v>1</v>
      </c>
      <c r="C168" s="124">
        <v>1</v>
      </c>
      <c r="D168" s="123">
        <f t="shared" si="61"/>
        <v>1</v>
      </c>
      <c r="E168" s="123">
        <f t="shared" si="61"/>
        <v>1</v>
      </c>
      <c r="F168" s="123">
        <f t="shared" si="61"/>
        <v>1</v>
      </c>
      <c r="G168" s="123">
        <f t="shared" si="61"/>
        <v>1</v>
      </c>
      <c r="H168" s="123">
        <f t="shared" si="61"/>
        <v>1</v>
      </c>
      <c r="I168" s="123">
        <f t="shared" si="61"/>
        <v>1</v>
      </c>
      <c r="J168" s="123">
        <f t="shared" si="61"/>
        <v>1</v>
      </c>
      <c r="K168" s="123">
        <f t="shared" si="61"/>
        <v>1</v>
      </c>
      <c r="L168" s="123">
        <f t="shared" si="61"/>
        <v>1</v>
      </c>
      <c r="M168" s="123">
        <f t="shared" si="61"/>
        <v>1</v>
      </c>
      <c r="N168" s="123">
        <f t="shared" si="61"/>
        <v>1</v>
      </c>
      <c r="O168" s="123">
        <f t="shared" si="61"/>
        <v>1</v>
      </c>
      <c r="P168" s="123">
        <f t="shared" si="61"/>
        <v>1</v>
      </c>
      <c r="Q168" s="123">
        <f t="shared" si="61"/>
        <v>1</v>
      </c>
      <c r="R168" s="123">
        <f t="shared" si="61"/>
        <v>1</v>
      </c>
      <c r="S168" s="123">
        <f t="shared" si="62"/>
        <v>1</v>
      </c>
      <c r="T168" s="123">
        <f t="shared" si="62"/>
        <v>1</v>
      </c>
      <c r="U168" s="123">
        <f t="shared" si="62"/>
        <v>1</v>
      </c>
      <c r="V168" s="123">
        <f t="shared" si="62"/>
        <v>1</v>
      </c>
      <c r="W168" s="123">
        <f t="shared" si="62"/>
        <v>1</v>
      </c>
      <c r="X168" s="123">
        <f t="shared" si="62"/>
        <v>1</v>
      </c>
      <c r="Y168" s="123">
        <f t="shared" si="62"/>
        <v>1</v>
      </c>
      <c r="Z168" s="123">
        <f t="shared" si="62"/>
        <v>1</v>
      </c>
      <c r="AA168" s="123">
        <f t="shared" si="62"/>
        <v>1</v>
      </c>
      <c r="AB168" s="123">
        <f t="shared" si="62"/>
        <v>1</v>
      </c>
      <c r="AC168" s="123">
        <f t="shared" si="62"/>
        <v>1</v>
      </c>
      <c r="AD168" s="123">
        <f t="shared" si="62"/>
        <v>1</v>
      </c>
      <c r="AE168" s="123">
        <f t="shared" si="62"/>
        <v>1</v>
      </c>
      <c r="AF168" s="123">
        <f t="shared" si="62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3">AF170</f>
        <v>1</v>
      </c>
      <c r="C170" s="124">
        <v>1</v>
      </c>
      <c r="D170" s="123">
        <f t="shared" ref="D170:S177" si="64">C170</f>
        <v>1</v>
      </c>
      <c r="E170" s="123">
        <f t="shared" si="64"/>
        <v>1</v>
      </c>
      <c r="F170" s="123">
        <f t="shared" si="64"/>
        <v>1</v>
      </c>
      <c r="G170" s="123">
        <f t="shared" si="64"/>
        <v>1</v>
      </c>
      <c r="H170" s="123">
        <f t="shared" si="64"/>
        <v>1</v>
      </c>
      <c r="I170" s="123">
        <f t="shared" si="64"/>
        <v>1</v>
      </c>
      <c r="J170" s="123">
        <f t="shared" si="64"/>
        <v>1</v>
      </c>
      <c r="K170" s="123">
        <f t="shared" si="64"/>
        <v>1</v>
      </c>
      <c r="L170" s="123">
        <f t="shared" si="64"/>
        <v>1</v>
      </c>
      <c r="M170" s="123">
        <f t="shared" si="64"/>
        <v>1</v>
      </c>
      <c r="N170" s="123">
        <f t="shared" si="64"/>
        <v>1</v>
      </c>
      <c r="O170" s="123">
        <f t="shared" si="64"/>
        <v>1</v>
      </c>
      <c r="P170" s="123">
        <f t="shared" si="64"/>
        <v>1</v>
      </c>
      <c r="Q170" s="123">
        <f t="shared" si="64"/>
        <v>1</v>
      </c>
      <c r="R170" s="123">
        <f t="shared" si="64"/>
        <v>1</v>
      </c>
      <c r="S170" s="123">
        <f t="shared" si="64"/>
        <v>1</v>
      </c>
      <c r="T170" s="123">
        <f t="shared" ref="S170:AF177" si="65">S170</f>
        <v>1</v>
      </c>
      <c r="U170" s="123">
        <f t="shared" si="65"/>
        <v>1</v>
      </c>
      <c r="V170" s="123">
        <f t="shared" si="65"/>
        <v>1</v>
      </c>
      <c r="W170" s="123">
        <f t="shared" si="65"/>
        <v>1</v>
      </c>
      <c r="X170" s="123">
        <f t="shared" si="65"/>
        <v>1</v>
      </c>
      <c r="Y170" s="123">
        <f t="shared" si="65"/>
        <v>1</v>
      </c>
      <c r="Z170" s="123">
        <f t="shared" si="65"/>
        <v>1</v>
      </c>
      <c r="AA170" s="123">
        <f t="shared" si="65"/>
        <v>1</v>
      </c>
      <c r="AB170" s="123">
        <f t="shared" si="65"/>
        <v>1</v>
      </c>
      <c r="AC170" s="123">
        <f t="shared" si="65"/>
        <v>1</v>
      </c>
      <c r="AD170" s="123">
        <f t="shared" si="65"/>
        <v>1</v>
      </c>
      <c r="AE170" s="123">
        <f t="shared" si="65"/>
        <v>1</v>
      </c>
      <c r="AF170" s="123">
        <f t="shared" si="65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3"/>
        <v>0.42</v>
      </c>
      <c r="C171" s="124">
        <v>0.42</v>
      </c>
      <c r="D171" s="123">
        <f t="shared" si="64"/>
        <v>0.42</v>
      </c>
      <c r="E171" s="123">
        <f t="shared" si="64"/>
        <v>0.42</v>
      </c>
      <c r="F171" s="123">
        <f t="shared" si="64"/>
        <v>0.42</v>
      </c>
      <c r="G171" s="123">
        <f t="shared" si="64"/>
        <v>0.42</v>
      </c>
      <c r="H171" s="123">
        <f t="shared" si="64"/>
        <v>0.42</v>
      </c>
      <c r="I171" s="123">
        <f t="shared" si="64"/>
        <v>0.42</v>
      </c>
      <c r="J171" s="123">
        <f t="shared" si="64"/>
        <v>0.42</v>
      </c>
      <c r="K171" s="123">
        <f t="shared" si="64"/>
        <v>0.42</v>
      </c>
      <c r="L171" s="123">
        <f t="shared" si="64"/>
        <v>0.42</v>
      </c>
      <c r="M171" s="123">
        <f t="shared" si="64"/>
        <v>0.42</v>
      </c>
      <c r="N171" s="123">
        <f t="shared" si="64"/>
        <v>0.42</v>
      </c>
      <c r="O171" s="123">
        <f t="shared" si="64"/>
        <v>0.42</v>
      </c>
      <c r="P171" s="123">
        <f t="shared" si="64"/>
        <v>0.42</v>
      </c>
      <c r="Q171" s="123">
        <f t="shared" si="64"/>
        <v>0.42</v>
      </c>
      <c r="R171" s="123">
        <f t="shared" si="64"/>
        <v>0.42</v>
      </c>
      <c r="S171" s="123">
        <f t="shared" si="65"/>
        <v>0.42</v>
      </c>
      <c r="T171" s="123">
        <f t="shared" si="65"/>
        <v>0.42</v>
      </c>
      <c r="U171" s="123">
        <f t="shared" si="65"/>
        <v>0.42</v>
      </c>
      <c r="V171" s="123">
        <f t="shared" si="65"/>
        <v>0.42</v>
      </c>
      <c r="W171" s="123">
        <f t="shared" si="65"/>
        <v>0.42</v>
      </c>
      <c r="X171" s="123">
        <f t="shared" si="65"/>
        <v>0.42</v>
      </c>
      <c r="Y171" s="123">
        <f t="shared" si="65"/>
        <v>0.42</v>
      </c>
      <c r="Z171" s="123">
        <f t="shared" si="65"/>
        <v>0.42</v>
      </c>
      <c r="AA171" s="123">
        <f t="shared" si="65"/>
        <v>0.42</v>
      </c>
      <c r="AB171" s="123">
        <f t="shared" si="65"/>
        <v>0.42</v>
      </c>
      <c r="AC171" s="123">
        <f t="shared" si="65"/>
        <v>0.42</v>
      </c>
      <c r="AD171" s="123">
        <f t="shared" si="65"/>
        <v>0.42</v>
      </c>
      <c r="AE171" s="123">
        <f t="shared" si="65"/>
        <v>0.42</v>
      </c>
      <c r="AF171" s="123">
        <f t="shared" si="65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3"/>
        <v>0.46</v>
      </c>
      <c r="C172" s="124">
        <v>0.46</v>
      </c>
      <c r="D172" s="123">
        <f t="shared" si="64"/>
        <v>0.46</v>
      </c>
      <c r="E172" s="123">
        <f t="shared" si="64"/>
        <v>0.46</v>
      </c>
      <c r="F172" s="123">
        <f t="shared" si="64"/>
        <v>0.46</v>
      </c>
      <c r="G172" s="123">
        <f t="shared" si="64"/>
        <v>0.46</v>
      </c>
      <c r="H172" s="123">
        <f t="shared" si="64"/>
        <v>0.46</v>
      </c>
      <c r="I172" s="123">
        <f t="shared" si="64"/>
        <v>0.46</v>
      </c>
      <c r="J172" s="123">
        <f t="shared" si="64"/>
        <v>0.46</v>
      </c>
      <c r="K172" s="123">
        <f t="shared" si="64"/>
        <v>0.46</v>
      </c>
      <c r="L172" s="123">
        <f t="shared" si="64"/>
        <v>0.46</v>
      </c>
      <c r="M172" s="123">
        <f t="shared" si="64"/>
        <v>0.46</v>
      </c>
      <c r="N172" s="123">
        <f t="shared" si="64"/>
        <v>0.46</v>
      </c>
      <c r="O172" s="123">
        <f t="shared" si="64"/>
        <v>0.46</v>
      </c>
      <c r="P172" s="123">
        <f t="shared" si="64"/>
        <v>0.46</v>
      </c>
      <c r="Q172" s="123">
        <f t="shared" si="64"/>
        <v>0.46</v>
      </c>
      <c r="R172" s="123">
        <f t="shared" si="64"/>
        <v>0.46</v>
      </c>
      <c r="S172" s="123">
        <f t="shared" si="65"/>
        <v>0.46</v>
      </c>
      <c r="T172" s="123">
        <f t="shared" si="65"/>
        <v>0.46</v>
      </c>
      <c r="U172" s="123">
        <f t="shared" si="65"/>
        <v>0.46</v>
      </c>
      <c r="V172" s="123">
        <f t="shared" si="65"/>
        <v>0.46</v>
      </c>
      <c r="W172" s="123">
        <f t="shared" si="65"/>
        <v>0.46</v>
      </c>
      <c r="X172" s="123">
        <f t="shared" si="65"/>
        <v>0.46</v>
      </c>
      <c r="Y172" s="123">
        <f t="shared" si="65"/>
        <v>0.46</v>
      </c>
      <c r="Z172" s="123">
        <f t="shared" si="65"/>
        <v>0.46</v>
      </c>
      <c r="AA172" s="123">
        <f t="shared" si="65"/>
        <v>0.46</v>
      </c>
      <c r="AB172" s="123">
        <f t="shared" si="65"/>
        <v>0.46</v>
      </c>
      <c r="AC172" s="123">
        <f t="shared" si="65"/>
        <v>0.46</v>
      </c>
      <c r="AD172" s="123">
        <f t="shared" si="65"/>
        <v>0.46</v>
      </c>
      <c r="AE172" s="123">
        <f t="shared" si="65"/>
        <v>0.46</v>
      </c>
      <c r="AF172" s="123">
        <f t="shared" si="65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3"/>
        <v>0.85</v>
      </c>
      <c r="C173" s="124">
        <v>0.85</v>
      </c>
      <c r="D173" s="123">
        <f t="shared" si="64"/>
        <v>0.85</v>
      </c>
      <c r="E173" s="123">
        <f t="shared" si="64"/>
        <v>0.85</v>
      </c>
      <c r="F173" s="123">
        <f t="shared" si="64"/>
        <v>0.85</v>
      </c>
      <c r="G173" s="123">
        <f t="shared" si="64"/>
        <v>0.85</v>
      </c>
      <c r="H173" s="123">
        <f t="shared" si="64"/>
        <v>0.85</v>
      </c>
      <c r="I173" s="123">
        <f t="shared" si="64"/>
        <v>0.85</v>
      </c>
      <c r="J173" s="123">
        <f t="shared" si="64"/>
        <v>0.85</v>
      </c>
      <c r="K173" s="123">
        <f t="shared" si="64"/>
        <v>0.85</v>
      </c>
      <c r="L173" s="123">
        <f t="shared" si="64"/>
        <v>0.85</v>
      </c>
      <c r="M173" s="123">
        <f t="shared" si="64"/>
        <v>0.85</v>
      </c>
      <c r="N173" s="123">
        <f t="shared" si="64"/>
        <v>0.85</v>
      </c>
      <c r="O173" s="123">
        <f t="shared" si="64"/>
        <v>0.85</v>
      </c>
      <c r="P173" s="123">
        <f t="shared" si="64"/>
        <v>0.85</v>
      </c>
      <c r="Q173" s="123">
        <f t="shared" si="64"/>
        <v>0.85</v>
      </c>
      <c r="R173" s="123">
        <f t="shared" si="64"/>
        <v>0.85</v>
      </c>
      <c r="S173" s="123">
        <f t="shared" si="65"/>
        <v>0.85</v>
      </c>
      <c r="T173" s="123">
        <f t="shared" si="65"/>
        <v>0.85</v>
      </c>
      <c r="U173" s="123">
        <f t="shared" si="65"/>
        <v>0.85</v>
      </c>
      <c r="V173" s="123">
        <f t="shared" si="65"/>
        <v>0.85</v>
      </c>
      <c r="W173" s="123">
        <f t="shared" si="65"/>
        <v>0.85</v>
      </c>
      <c r="X173" s="123">
        <f t="shared" si="65"/>
        <v>0.85</v>
      </c>
      <c r="Y173" s="123">
        <f t="shared" si="65"/>
        <v>0.85</v>
      </c>
      <c r="Z173" s="123">
        <f t="shared" si="65"/>
        <v>0.85</v>
      </c>
      <c r="AA173" s="123">
        <f t="shared" si="65"/>
        <v>0.85</v>
      </c>
      <c r="AB173" s="123">
        <f t="shared" si="65"/>
        <v>0.85</v>
      </c>
      <c r="AC173" s="123">
        <f t="shared" si="65"/>
        <v>0.85</v>
      </c>
      <c r="AD173" s="123">
        <f t="shared" si="65"/>
        <v>0.85</v>
      </c>
      <c r="AE173" s="123">
        <f t="shared" si="65"/>
        <v>0.85</v>
      </c>
      <c r="AF173" s="123">
        <f t="shared" si="65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3"/>
        <v>0.9</v>
      </c>
      <c r="C174" s="124">
        <v>0.9</v>
      </c>
      <c r="D174" s="123">
        <f t="shared" si="64"/>
        <v>0.9</v>
      </c>
      <c r="E174" s="123">
        <f t="shared" si="64"/>
        <v>0.9</v>
      </c>
      <c r="F174" s="123">
        <f t="shared" si="64"/>
        <v>0.9</v>
      </c>
      <c r="G174" s="123">
        <f t="shared" si="64"/>
        <v>0.9</v>
      </c>
      <c r="H174" s="123">
        <f t="shared" si="64"/>
        <v>0.9</v>
      </c>
      <c r="I174" s="123">
        <f t="shared" si="64"/>
        <v>0.9</v>
      </c>
      <c r="J174" s="123">
        <f t="shared" si="64"/>
        <v>0.9</v>
      </c>
      <c r="K174" s="123">
        <f t="shared" si="64"/>
        <v>0.9</v>
      </c>
      <c r="L174" s="123">
        <f t="shared" si="64"/>
        <v>0.9</v>
      </c>
      <c r="M174" s="123">
        <f t="shared" si="64"/>
        <v>0.9</v>
      </c>
      <c r="N174" s="123">
        <f t="shared" si="64"/>
        <v>0.9</v>
      </c>
      <c r="O174" s="123">
        <f t="shared" si="64"/>
        <v>0.9</v>
      </c>
      <c r="P174" s="123">
        <f t="shared" si="64"/>
        <v>0.9</v>
      </c>
      <c r="Q174" s="123">
        <f t="shared" si="64"/>
        <v>0.9</v>
      </c>
      <c r="R174" s="123">
        <f t="shared" si="64"/>
        <v>0.9</v>
      </c>
      <c r="S174" s="123">
        <f t="shared" si="65"/>
        <v>0.9</v>
      </c>
      <c r="T174" s="123">
        <f t="shared" si="65"/>
        <v>0.9</v>
      </c>
      <c r="U174" s="123">
        <f t="shared" si="65"/>
        <v>0.9</v>
      </c>
      <c r="V174" s="123">
        <f t="shared" si="65"/>
        <v>0.9</v>
      </c>
      <c r="W174" s="123">
        <f t="shared" si="65"/>
        <v>0.9</v>
      </c>
      <c r="X174" s="123">
        <f t="shared" si="65"/>
        <v>0.9</v>
      </c>
      <c r="Y174" s="123">
        <f t="shared" si="65"/>
        <v>0.9</v>
      </c>
      <c r="Z174" s="123">
        <f t="shared" si="65"/>
        <v>0.9</v>
      </c>
      <c r="AA174" s="123">
        <f t="shared" si="65"/>
        <v>0.9</v>
      </c>
      <c r="AB174" s="123">
        <f t="shared" si="65"/>
        <v>0.9</v>
      </c>
      <c r="AC174" s="123">
        <f t="shared" si="65"/>
        <v>0.9</v>
      </c>
      <c r="AD174" s="123">
        <f t="shared" si="65"/>
        <v>0.9</v>
      </c>
      <c r="AE174" s="123">
        <f t="shared" si="65"/>
        <v>0.9</v>
      </c>
      <c r="AF174" s="123">
        <f t="shared" si="65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3"/>
        <v>0.44</v>
      </c>
      <c r="C175" s="124">
        <v>0.44</v>
      </c>
      <c r="D175" s="123">
        <f t="shared" si="64"/>
        <v>0.44</v>
      </c>
      <c r="E175" s="123">
        <f t="shared" si="64"/>
        <v>0.44</v>
      </c>
      <c r="F175" s="123">
        <f t="shared" si="64"/>
        <v>0.44</v>
      </c>
      <c r="G175" s="123">
        <f t="shared" si="64"/>
        <v>0.44</v>
      </c>
      <c r="H175" s="123">
        <f t="shared" si="64"/>
        <v>0.44</v>
      </c>
      <c r="I175" s="123">
        <f t="shared" si="64"/>
        <v>0.44</v>
      </c>
      <c r="J175" s="123">
        <f t="shared" si="64"/>
        <v>0.44</v>
      </c>
      <c r="K175" s="123">
        <f t="shared" si="64"/>
        <v>0.44</v>
      </c>
      <c r="L175" s="123">
        <f t="shared" si="64"/>
        <v>0.44</v>
      </c>
      <c r="M175" s="123">
        <f t="shared" si="64"/>
        <v>0.44</v>
      </c>
      <c r="N175" s="123">
        <f t="shared" si="64"/>
        <v>0.44</v>
      </c>
      <c r="O175" s="123">
        <f t="shared" si="64"/>
        <v>0.44</v>
      </c>
      <c r="P175" s="123">
        <f t="shared" si="64"/>
        <v>0.44</v>
      </c>
      <c r="Q175" s="123">
        <f t="shared" si="64"/>
        <v>0.44</v>
      </c>
      <c r="R175" s="123">
        <f t="shared" si="64"/>
        <v>0.44</v>
      </c>
      <c r="S175" s="123">
        <f t="shared" si="65"/>
        <v>0.44</v>
      </c>
      <c r="T175" s="123">
        <f t="shared" si="65"/>
        <v>0.44</v>
      </c>
      <c r="U175" s="123">
        <f t="shared" si="65"/>
        <v>0.44</v>
      </c>
      <c r="V175" s="123">
        <f t="shared" si="65"/>
        <v>0.44</v>
      </c>
      <c r="W175" s="123">
        <f t="shared" si="65"/>
        <v>0.44</v>
      </c>
      <c r="X175" s="123">
        <f t="shared" si="65"/>
        <v>0.44</v>
      </c>
      <c r="Y175" s="123">
        <f t="shared" si="65"/>
        <v>0.44</v>
      </c>
      <c r="Z175" s="123">
        <f t="shared" si="65"/>
        <v>0.44</v>
      </c>
      <c r="AA175" s="123">
        <f t="shared" si="65"/>
        <v>0.44</v>
      </c>
      <c r="AB175" s="123">
        <f t="shared" si="65"/>
        <v>0.44</v>
      </c>
      <c r="AC175" s="123">
        <f t="shared" si="65"/>
        <v>0.44</v>
      </c>
      <c r="AD175" s="123">
        <f t="shared" si="65"/>
        <v>0.44</v>
      </c>
      <c r="AE175" s="123">
        <f t="shared" si="65"/>
        <v>0.44</v>
      </c>
      <c r="AF175" s="123">
        <f t="shared" si="65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3"/>
        <v>2.1</v>
      </c>
      <c r="C176" s="124">
        <v>2.1</v>
      </c>
      <c r="D176" s="123">
        <f t="shared" si="64"/>
        <v>2.1</v>
      </c>
      <c r="E176" s="123">
        <f t="shared" si="64"/>
        <v>2.1</v>
      </c>
      <c r="F176" s="123">
        <f t="shared" si="64"/>
        <v>2.1</v>
      </c>
      <c r="G176" s="123">
        <f t="shared" si="64"/>
        <v>2.1</v>
      </c>
      <c r="H176" s="123">
        <f t="shared" si="64"/>
        <v>2.1</v>
      </c>
      <c r="I176" s="123">
        <f t="shared" si="64"/>
        <v>2.1</v>
      </c>
      <c r="J176" s="123">
        <f t="shared" si="64"/>
        <v>2.1</v>
      </c>
      <c r="K176" s="123">
        <f t="shared" si="64"/>
        <v>2.1</v>
      </c>
      <c r="L176" s="123">
        <f t="shared" si="64"/>
        <v>2.1</v>
      </c>
      <c r="M176" s="123">
        <f t="shared" si="64"/>
        <v>2.1</v>
      </c>
      <c r="N176" s="123">
        <f t="shared" si="64"/>
        <v>2.1</v>
      </c>
      <c r="O176" s="123">
        <f t="shared" si="64"/>
        <v>2.1</v>
      </c>
      <c r="P176" s="123">
        <f t="shared" si="64"/>
        <v>2.1</v>
      </c>
      <c r="Q176" s="123">
        <f t="shared" si="64"/>
        <v>2.1</v>
      </c>
      <c r="R176" s="123">
        <f t="shared" si="64"/>
        <v>2.1</v>
      </c>
      <c r="S176" s="123">
        <f t="shared" si="65"/>
        <v>2.1</v>
      </c>
      <c r="T176" s="123">
        <f t="shared" si="65"/>
        <v>2.1</v>
      </c>
      <c r="U176" s="123">
        <f t="shared" si="65"/>
        <v>2.1</v>
      </c>
      <c r="V176" s="123">
        <f t="shared" si="65"/>
        <v>2.1</v>
      </c>
      <c r="W176" s="123">
        <f t="shared" si="65"/>
        <v>2.1</v>
      </c>
      <c r="X176" s="123">
        <f t="shared" si="65"/>
        <v>2.1</v>
      </c>
      <c r="Y176" s="123">
        <f t="shared" si="65"/>
        <v>2.1</v>
      </c>
      <c r="Z176" s="123">
        <f t="shared" si="65"/>
        <v>2.1</v>
      </c>
      <c r="AA176" s="123">
        <f t="shared" si="65"/>
        <v>2.1</v>
      </c>
      <c r="AB176" s="123">
        <f t="shared" si="65"/>
        <v>2.1</v>
      </c>
      <c r="AC176" s="123">
        <f t="shared" si="65"/>
        <v>2.1</v>
      </c>
      <c r="AD176" s="123">
        <f t="shared" si="65"/>
        <v>2.1</v>
      </c>
      <c r="AE176" s="123">
        <f t="shared" si="65"/>
        <v>2.1</v>
      </c>
      <c r="AF176" s="123">
        <f t="shared" si="65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3"/>
        <v>0.9</v>
      </c>
      <c r="C177" s="124">
        <v>0.9</v>
      </c>
      <c r="D177" s="123">
        <f t="shared" si="64"/>
        <v>0.9</v>
      </c>
      <c r="E177" s="123">
        <f t="shared" si="64"/>
        <v>0.9</v>
      </c>
      <c r="F177" s="123">
        <f t="shared" si="64"/>
        <v>0.9</v>
      </c>
      <c r="G177" s="123">
        <f t="shared" si="64"/>
        <v>0.9</v>
      </c>
      <c r="H177" s="123">
        <f t="shared" si="64"/>
        <v>0.9</v>
      </c>
      <c r="I177" s="123">
        <f t="shared" si="64"/>
        <v>0.9</v>
      </c>
      <c r="J177" s="123">
        <f t="shared" si="64"/>
        <v>0.9</v>
      </c>
      <c r="K177" s="123">
        <f t="shared" si="64"/>
        <v>0.9</v>
      </c>
      <c r="L177" s="123">
        <f t="shared" si="64"/>
        <v>0.9</v>
      </c>
      <c r="M177" s="123">
        <f t="shared" si="64"/>
        <v>0.9</v>
      </c>
      <c r="N177" s="123">
        <f t="shared" si="64"/>
        <v>0.9</v>
      </c>
      <c r="O177" s="123">
        <f t="shared" si="64"/>
        <v>0.9</v>
      </c>
      <c r="P177" s="123">
        <f t="shared" si="64"/>
        <v>0.9</v>
      </c>
      <c r="Q177" s="123">
        <f t="shared" si="64"/>
        <v>0.9</v>
      </c>
      <c r="R177" s="123">
        <f t="shared" si="64"/>
        <v>0.9</v>
      </c>
      <c r="S177" s="123">
        <f t="shared" si="65"/>
        <v>0.9</v>
      </c>
      <c r="T177" s="123">
        <f t="shared" si="65"/>
        <v>0.9</v>
      </c>
      <c r="U177" s="123">
        <f t="shared" si="65"/>
        <v>0.9</v>
      </c>
      <c r="V177" s="123">
        <f t="shared" si="65"/>
        <v>0.9</v>
      </c>
      <c r="W177" s="123">
        <f t="shared" si="65"/>
        <v>0.9</v>
      </c>
      <c r="X177" s="123">
        <f t="shared" si="65"/>
        <v>0.9</v>
      </c>
      <c r="Y177" s="123">
        <f t="shared" si="65"/>
        <v>0.9</v>
      </c>
      <c r="Z177" s="123">
        <f t="shared" si="65"/>
        <v>0.9</v>
      </c>
      <c r="AA177" s="123">
        <f t="shared" si="65"/>
        <v>0.9</v>
      </c>
      <c r="AB177" s="123">
        <f t="shared" si="65"/>
        <v>0.9</v>
      </c>
      <c r="AC177" s="123">
        <f t="shared" si="65"/>
        <v>0.9</v>
      </c>
      <c r="AD177" s="123">
        <f t="shared" si="65"/>
        <v>0.9</v>
      </c>
      <c r="AE177" s="123">
        <f t="shared" si="65"/>
        <v>0.9</v>
      </c>
      <c r="AF177" s="123">
        <f t="shared" si="65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6">AF179</f>
        <v>0.57999999999999996</v>
      </c>
      <c r="C179" s="124">
        <v>0.57999999999999996</v>
      </c>
      <c r="D179" s="123">
        <f t="shared" ref="D179:S191" si="67">C179</f>
        <v>0.57999999999999996</v>
      </c>
      <c r="E179" s="123">
        <f t="shared" si="67"/>
        <v>0.57999999999999996</v>
      </c>
      <c r="F179" s="123">
        <f t="shared" si="67"/>
        <v>0.57999999999999996</v>
      </c>
      <c r="G179" s="123">
        <f t="shared" si="67"/>
        <v>0.57999999999999996</v>
      </c>
      <c r="H179" s="123">
        <f t="shared" si="67"/>
        <v>0.57999999999999996</v>
      </c>
      <c r="I179" s="123">
        <f t="shared" si="67"/>
        <v>0.57999999999999996</v>
      </c>
      <c r="J179" s="123">
        <f t="shared" si="67"/>
        <v>0.57999999999999996</v>
      </c>
      <c r="K179" s="123">
        <f t="shared" si="67"/>
        <v>0.57999999999999996</v>
      </c>
      <c r="L179" s="123">
        <f t="shared" si="67"/>
        <v>0.57999999999999996</v>
      </c>
      <c r="M179" s="123">
        <f t="shared" si="67"/>
        <v>0.57999999999999996</v>
      </c>
      <c r="N179" s="123">
        <f t="shared" si="67"/>
        <v>0.57999999999999996</v>
      </c>
      <c r="O179" s="123">
        <f t="shared" si="67"/>
        <v>0.57999999999999996</v>
      </c>
      <c r="P179" s="123">
        <f t="shared" si="67"/>
        <v>0.57999999999999996</v>
      </c>
      <c r="Q179" s="123">
        <f t="shared" si="67"/>
        <v>0.57999999999999996</v>
      </c>
      <c r="R179" s="123">
        <f t="shared" si="67"/>
        <v>0.57999999999999996</v>
      </c>
      <c r="S179" s="123">
        <f t="shared" si="67"/>
        <v>0.57999999999999996</v>
      </c>
      <c r="T179" s="123">
        <f t="shared" ref="S179:AF191" si="68">S179</f>
        <v>0.57999999999999996</v>
      </c>
      <c r="U179" s="123">
        <f t="shared" si="68"/>
        <v>0.57999999999999996</v>
      </c>
      <c r="V179" s="123">
        <f t="shared" si="68"/>
        <v>0.57999999999999996</v>
      </c>
      <c r="W179" s="123">
        <f t="shared" si="68"/>
        <v>0.57999999999999996</v>
      </c>
      <c r="X179" s="123">
        <f t="shared" si="68"/>
        <v>0.57999999999999996</v>
      </c>
      <c r="Y179" s="123">
        <f t="shared" si="68"/>
        <v>0.57999999999999996</v>
      </c>
      <c r="Z179" s="123">
        <f t="shared" si="68"/>
        <v>0.57999999999999996</v>
      </c>
      <c r="AA179" s="123">
        <f t="shared" si="68"/>
        <v>0.57999999999999996</v>
      </c>
      <c r="AB179" s="123">
        <f t="shared" si="68"/>
        <v>0.57999999999999996</v>
      </c>
      <c r="AC179" s="123">
        <f t="shared" si="68"/>
        <v>0.57999999999999996</v>
      </c>
      <c r="AD179" s="123">
        <f t="shared" si="68"/>
        <v>0.57999999999999996</v>
      </c>
      <c r="AE179" s="123">
        <f t="shared" si="68"/>
        <v>0.57999999999999996</v>
      </c>
      <c r="AF179" s="123">
        <f t="shared" si="68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6"/>
        <v>0.8</v>
      </c>
      <c r="C180" s="124">
        <v>0.8</v>
      </c>
      <c r="D180" s="123">
        <f t="shared" si="67"/>
        <v>0.8</v>
      </c>
      <c r="E180" s="123">
        <f t="shared" si="67"/>
        <v>0.8</v>
      </c>
      <c r="F180" s="123">
        <f t="shared" si="67"/>
        <v>0.8</v>
      </c>
      <c r="G180" s="123">
        <f t="shared" si="67"/>
        <v>0.8</v>
      </c>
      <c r="H180" s="123">
        <f t="shared" si="67"/>
        <v>0.8</v>
      </c>
      <c r="I180" s="123">
        <f t="shared" si="67"/>
        <v>0.8</v>
      </c>
      <c r="J180" s="123">
        <f t="shared" si="67"/>
        <v>0.8</v>
      </c>
      <c r="K180" s="123">
        <f t="shared" si="67"/>
        <v>0.8</v>
      </c>
      <c r="L180" s="123">
        <f t="shared" si="67"/>
        <v>0.8</v>
      </c>
      <c r="M180" s="123">
        <f t="shared" si="67"/>
        <v>0.8</v>
      </c>
      <c r="N180" s="123">
        <f t="shared" si="67"/>
        <v>0.8</v>
      </c>
      <c r="O180" s="123">
        <f t="shared" si="67"/>
        <v>0.8</v>
      </c>
      <c r="P180" s="123">
        <f t="shared" si="67"/>
        <v>0.8</v>
      </c>
      <c r="Q180" s="123">
        <f t="shared" si="67"/>
        <v>0.8</v>
      </c>
      <c r="R180" s="123">
        <f t="shared" si="67"/>
        <v>0.8</v>
      </c>
      <c r="S180" s="123">
        <f t="shared" si="67"/>
        <v>0.8</v>
      </c>
      <c r="T180" s="123">
        <f t="shared" si="68"/>
        <v>0.8</v>
      </c>
      <c r="U180" s="123">
        <f t="shared" si="68"/>
        <v>0.8</v>
      </c>
      <c r="V180" s="123">
        <f t="shared" si="68"/>
        <v>0.8</v>
      </c>
      <c r="W180" s="123">
        <f t="shared" si="68"/>
        <v>0.8</v>
      </c>
      <c r="X180" s="123">
        <f t="shared" si="68"/>
        <v>0.8</v>
      </c>
      <c r="Y180" s="123">
        <f t="shared" si="68"/>
        <v>0.8</v>
      </c>
      <c r="Z180" s="123">
        <f t="shared" si="68"/>
        <v>0.8</v>
      </c>
      <c r="AA180" s="123">
        <f t="shared" si="68"/>
        <v>0.8</v>
      </c>
      <c r="AB180" s="123">
        <f t="shared" si="68"/>
        <v>0.8</v>
      </c>
      <c r="AC180" s="123">
        <f t="shared" si="68"/>
        <v>0.8</v>
      </c>
      <c r="AD180" s="123">
        <f t="shared" si="68"/>
        <v>0.8</v>
      </c>
      <c r="AE180" s="123">
        <f t="shared" si="68"/>
        <v>0.8</v>
      </c>
      <c r="AF180" s="123">
        <f t="shared" si="68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6"/>
        <v>0</v>
      </c>
      <c r="C181" s="124">
        <v>0</v>
      </c>
      <c r="D181" s="123">
        <f t="shared" si="67"/>
        <v>0</v>
      </c>
      <c r="E181" s="123">
        <f t="shared" si="67"/>
        <v>0</v>
      </c>
      <c r="F181" s="123">
        <f t="shared" si="67"/>
        <v>0</v>
      </c>
      <c r="G181" s="123">
        <f t="shared" si="67"/>
        <v>0</v>
      </c>
      <c r="H181" s="123">
        <f t="shared" si="67"/>
        <v>0</v>
      </c>
      <c r="I181" s="123">
        <f t="shared" si="67"/>
        <v>0</v>
      </c>
      <c r="J181" s="123">
        <f t="shared" si="67"/>
        <v>0</v>
      </c>
      <c r="K181" s="123">
        <f t="shared" si="67"/>
        <v>0</v>
      </c>
      <c r="L181" s="123">
        <f t="shared" si="67"/>
        <v>0</v>
      </c>
      <c r="M181" s="123">
        <f t="shared" si="67"/>
        <v>0</v>
      </c>
      <c r="N181" s="123">
        <f t="shared" si="67"/>
        <v>0</v>
      </c>
      <c r="O181" s="123">
        <f t="shared" si="67"/>
        <v>0</v>
      </c>
      <c r="P181" s="123">
        <f t="shared" si="67"/>
        <v>0</v>
      </c>
      <c r="Q181" s="123">
        <f t="shared" si="67"/>
        <v>0</v>
      </c>
      <c r="R181" s="123">
        <f t="shared" si="67"/>
        <v>0</v>
      </c>
      <c r="S181" s="123">
        <f t="shared" si="67"/>
        <v>0</v>
      </c>
      <c r="T181" s="123">
        <f t="shared" si="68"/>
        <v>0</v>
      </c>
      <c r="U181" s="123">
        <f t="shared" si="68"/>
        <v>0</v>
      </c>
      <c r="V181" s="123">
        <f t="shared" si="68"/>
        <v>0</v>
      </c>
      <c r="W181" s="123">
        <f t="shared" si="68"/>
        <v>0</v>
      </c>
      <c r="X181" s="123">
        <f t="shared" si="68"/>
        <v>0</v>
      </c>
      <c r="Y181" s="123">
        <f t="shared" si="68"/>
        <v>0</v>
      </c>
      <c r="Z181" s="123">
        <f t="shared" si="68"/>
        <v>0</v>
      </c>
      <c r="AA181" s="123">
        <f t="shared" si="68"/>
        <v>0</v>
      </c>
      <c r="AB181" s="123">
        <f t="shared" si="68"/>
        <v>0</v>
      </c>
      <c r="AC181" s="123">
        <f t="shared" si="68"/>
        <v>0</v>
      </c>
      <c r="AD181" s="123">
        <f t="shared" si="68"/>
        <v>0</v>
      </c>
      <c r="AE181" s="123">
        <f t="shared" si="68"/>
        <v>0</v>
      </c>
      <c r="AF181" s="123">
        <f t="shared" si="68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6"/>
        <v>0.6</v>
      </c>
      <c r="C182" s="124">
        <v>0.6</v>
      </c>
      <c r="D182" s="123">
        <f t="shared" si="67"/>
        <v>0.6</v>
      </c>
      <c r="E182" s="123">
        <f t="shared" si="67"/>
        <v>0.6</v>
      </c>
      <c r="F182" s="123">
        <f t="shared" si="67"/>
        <v>0.6</v>
      </c>
      <c r="G182" s="123">
        <f t="shared" si="67"/>
        <v>0.6</v>
      </c>
      <c r="H182" s="123">
        <f t="shared" si="67"/>
        <v>0.6</v>
      </c>
      <c r="I182" s="123">
        <f t="shared" si="67"/>
        <v>0.6</v>
      </c>
      <c r="J182" s="123">
        <f t="shared" si="67"/>
        <v>0.6</v>
      </c>
      <c r="K182" s="123">
        <f t="shared" si="67"/>
        <v>0.6</v>
      </c>
      <c r="L182" s="123">
        <f t="shared" si="67"/>
        <v>0.6</v>
      </c>
      <c r="M182" s="123">
        <f t="shared" si="67"/>
        <v>0.6</v>
      </c>
      <c r="N182" s="123">
        <f t="shared" si="67"/>
        <v>0.6</v>
      </c>
      <c r="O182" s="123">
        <f t="shared" si="67"/>
        <v>0.6</v>
      </c>
      <c r="P182" s="123">
        <f t="shared" si="67"/>
        <v>0.6</v>
      </c>
      <c r="Q182" s="123">
        <f t="shared" si="67"/>
        <v>0.6</v>
      </c>
      <c r="R182" s="123">
        <f t="shared" si="67"/>
        <v>0.6</v>
      </c>
      <c r="S182" s="123">
        <f t="shared" si="67"/>
        <v>0.6</v>
      </c>
      <c r="T182" s="123">
        <f t="shared" si="68"/>
        <v>0.6</v>
      </c>
      <c r="U182" s="123">
        <f t="shared" si="68"/>
        <v>0.6</v>
      </c>
      <c r="V182" s="123">
        <f t="shared" si="68"/>
        <v>0.6</v>
      </c>
      <c r="W182" s="123">
        <f t="shared" si="68"/>
        <v>0.6</v>
      </c>
      <c r="X182" s="123">
        <f t="shared" si="68"/>
        <v>0.6</v>
      </c>
      <c r="Y182" s="123">
        <f t="shared" si="68"/>
        <v>0.6</v>
      </c>
      <c r="Z182" s="123">
        <f t="shared" si="68"/>
        <v>0.6</v>
      </c>
      <c r="AA182" s="123">
        <f t="shared" si="68"/>
        <v>0.6</v>
      </c>
      <c r="AB182" s="123">
        <f t="shared" si="68"/>
        <v>0.6</v>
      </c>
      <c r="AC182" s="123">
        <f t="shared" si="68"/>
        <v>0.6</v>
      </c>
      <c r="AD182" s="123">
        <f t="shared" si="68"/>
        <v>0.6</v>
      </c>
      <c r="AE182" s="123">
        <f t="shared" si="68"/>
        <v>0.6</v>
      </c>
      <c r="AF182" s="123">
        <f t="shared" si="68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6"/>
        <v>0.6</v>
      </c>
      <c r="C183" s="124">
        <v>0.6</v>
      </c>
      <c r="D183" s="123">
        <f t="shared" si="67"/>
        <v>0.6</v>
      </c>
      <c r="E183" s="123">
        <f t="shared" si="67"/>
        <v>0.6</v>
      </c>
      <c r="F183" s="123">
        <f t="shared" si="67"/>
        <v>0.6</v>
      </c>
      <c r="G183" s="123">
        <f t="shared" si="67"/>
        <v>0.6</v>
      </c>
      <c r="H183" s="123">
        <f t="shared" si="67"/>
        <v>0.6</v>
      </c>
      <c r="I183" s="123">
        <f t="shared" si="67"/>
        <v>0.6</v>
      </c>
      <c r="J183" s="123">
        <f t="shared" si="67"/>
        <v>0.6</v>
      </c>
      <c r="K183" s="123">
        <f t="shared" si="67"/>
        <v>0.6</v>
      </c>
      <c r="L183" s="123">
        <f t="shared" si="67"/>
        <v>0.6</v>
      </c>
      <c r="M183" s="123">
        <f t="shared" si="67"/>
        <v>0.6</v>
      </c>
      <c r="N183" s="123">
        <f t="shared" si="67"/>
        <v>0.6</v>
      </c>
      <c r="O183" s="123">
        <f t="shared" si="67"/>
        <v>0.6</v>
      </c>
      <c r="P183" s="123">
        <f t="shared" si="67"/>
        <v>0.6</v>
      </c>
      <c r="Q183" s="123">
        <f t="shared" si="67"/>
        <v>0.6</v>
      </c>
      <c r="R183" s="123">
        <f t="shared" si="67"/>
        <v>0.6</v>
      </c>
      <c r="S183" s="123">
        <f t="shared" si="67"/>
        <v>0.6</v>
      </c>
      <c r="T183" s="123">
        <f t="shared" si="68"/>
        <v>0.6</v>
      </c>
      <c r="U183" s="123">
        <f t="shared" si="68"/>
        <v>0.6</v>
      </c>
      <c r="V183" s="123">
        <f t="shared" si="68"/>
        <v>0.6</v>
      </c>
      <c r="W183" s="123">
        <f t="shared" si="68"/>
        <v>0.6</v>
      </c>
      <c r="X183" s="123">
        <f t="shared" si="68"/>
        <v>0.6</v>
      </c>
      <c r="Y183" s="123">
        <f t="shared" si="68"/>
        <v>0.6</v>
      </c>
      <c r="Z183" s="123">
        <f t="shared" si="68"/>
        <v>0.6</v>
      </c>
      <c r="AA183" s="123">
        <f t="shared" si="68"/>
        <v>0.6</v>
      </c>
      <c r="AB183" s="123">
        <f t="shared" si="68"/>
        <v>0.6</v>
      </c>
      <c r="AC183" s="123">
        <f t="shared" si="68"/>
        <v>0.6</v>
      </c>
      <c r="AD183" s="123">
        <f t="shared" si="68"/>
        <v>0.6</v>
      </c>
      <c r="AE183" s="123">
        <f t="shared" si="68"/>
        <v>0.6</v>
      </c>
      <c r="AF183" s="123">
        <f t="shared" si="68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6"/>
        <v>0.35</v>
      </c>
      <c r="C184" s="124">
        <v>0.35</v>
      </c>
      <c r="D184" s="123">
        <f t="shared" si="67"/>
        <v>0.35</v>
      </c>
      <c r="E184" s="123">
        <f t="shared" si="67"/>
        <v>0.35</v>
      </c>
      <c r="F184" s="123">
        <f t="shared" si="67"/>
        <v>0.35</v>
      </c>
      <c r="G184" s="123">
        <f t="shared" si="67"/>
        <v>0.35</v>
      </c>
      <c r="H184" s="123">
        <f t="shared" si="67"/>
        <v>0.35</v>
      </c>
      <c r="I184" s="123">
        <f t="shared" si="67"/>
        <v>0.35</v>
      </c>
      <c r="J184" s="123">
        <f t="shared" si="67"/>
        <v>0.35</v>
      </c>
      <c r="K184" s="123">
        <f t="shared" si="67"/>
        <v>0.35</v>
      </c>
      <c r="L184" s="123">
        <f t="shared" si="67"/>
        <v>0.35</v>
      </c>
      <c r="M184" s="123">
        <f t="shared" si="67"/>
        <v>0.35</v>
      </c>
      <c r="N184" s="123">
        <f t="shared" si="67"/>
        <v>0.35</v>
      </c>
      <c r="O184" s="123">
        <f t="shared" si="67"/>
        <v>0.35</v>
      </c>
      <c r="P184" s="123">
        <f t="shared" si="67"/>
        <v>0.35</v>
      </c>
      <c r="Q184" s="123">
        <f t="shared" si="67"/>
        <v>0.35</v>
      </c>
      <c r="R184" s="123">
        <f t="shared" si="67"/>
        <v>0.35</v>
      </c>
      <c r="S184" s="123">
        <f t="shared" si="67"/>
        <v>0.35</v>
      </c>
      <c r="T184" s="123">
        <f t="shared" si="68"/>
        <v>0.35</v>
      </c>
      <c r="U184" s="123">
        <f t="shared" si="68"/>
        <v>0.35</v>
      </c>
      <c r="V184" s="123">
        <f t="shared" si="68"/>
        <v>0.35</v>
      </c>
      <c r="W184" s="123">
        <f t="shared" si="68"/>
        <v>0.35</v>
      </c>
      <c r="X184" s="123">
        <f t="shared" si="68"/>
        <v>0.35</v>
      </c>
      <c r="Y184" s="123">
        <f t="shared" si="68"/>
        <v>0.35</v>
      </c>
      <c r="Z184" s="123">
        <f t="shared" si="68"/>
        <v>0.35</v>
      </c>
      <c r="AA184" s="123">
        <f t="shared" si="68"/>
        <v>0.35</v>
      </c>
      <c r="AB184" s="123">
        <f t="shared" si="68"/>
        <v>0.35</v>
      </c>
      <c r="AC184" s="123">
        <f t="shared" si="68"/>
        <v>0.35</v>
      </c>
      <c r="AD184" s="123">
        <f t="shared" si="68"/>
        <v>0.35</v>
      </c>
      <c r="AE184" s="123">
        <f t="shared" si="68"/>
        <v>0.35</v>
      </c>
      <c r="AF184" s="123">
        <f t="shared" si="68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6"/>
        <v>0.28999999999999998</v>
      </c>
      <c r="C185" s="124">
        <v>0.28999999999999998</v>
      </c>
      <c r="D185" s="123">
        <f t="shared" si="67"/>
        <v>0.28999999999999998</v>
      </c>
      <c r="E185" s="123">
        <f t="shared" si="67"/>
        <v>0.28999999999999998</v>
      </c>
      <c r="F185" s="123">
        <f t="shared" si="67"/>
        <v>0.28999999999999998</v>
      </c>
      <c r="G185" s="123">
        <f t="shared" si="67"/>
        <v>0.28999999999999998</v>
      </c>
      <c r="H185" s="123">
        <f t="shared" si="67"/>
        <v>0.28999999999999998</v>
      </c>
      <c r="I185" s="123">
        <f t="shared" si="67"/>
        <v>0.28999999999999998</v>
      </c>
      <c r="J185" s="123">
        <f t="shared" si="67"/>
        <v>0.28999999999999998</v>
      </c>
      <c r="K185" s="123">
        <f t="shared" si="67"/>
        <v>0.28999999999999998</v>
      </c>
      <c r="L185" s="123">
        <f t="shared" si="67"/>
        <v>0.28999999999999998</v>
      </c>
      <c r="M185" s="123">
        <f t="shared" si="67"/>
        <v>0.28999999999999998</v>
      </c>
      <c r="N185" s="123">
        <f t="shared" si="67"/>
        <v>0.28999999999999998</v>
      </c>
      <c r="O185" s="123">
        <f t="shared" si="67"/>
        <v>0.28999999999999998</v>
      </c>
      <c r="P185" s="123">
        <f t="shared" si="67"/>
        <v>0.28999999999999998</v>
      </c>
      <c r="Q185" s="123">
        <f t="shared" si="67"/>
        <v>0.28999999999999998</v>
      </c>
      <c r="R185" s="123">
        <f t="shared" si="67"/>
        <v>0.28999999999999998</v>
      </c>
      <c r="S185" s="123">
        <f t="shared" si="67"/>
        <v>0.28999999999999998</v>
      </c>
      <c r="T185" s="123">
        <f t="shared" si="68"/>
        <v>0.28999999999999998</v>
      </c>
      <c r="U185" s="123">
        <f t="shared" si="68"/>
        <v>0.28999999999999998</v>
      </c>
      <c r="V185" s="123">
        <f t="shared" si="68"/>
        <v>0.28999999999999998</v>
      </c>
      <c r="W185" s="123">
        <f t="shared" si="68"/>
        <v>0.28999999999999998</v>
      </c>
      <c r="X185" s="123">
        <f t="shared" si="68"/>
        <v>0.28999999999999998</v>
      </c>
      <c r="Y185" s="123">
        <f t="shared" si="68"/>
        <v>0.28999999999999998</v>
      </c>
      <c r="Z185" s="123">
        <f t="shared" si="68"/>
        <v>0.28999999999999998</v>
      </c>
      <c r="AA185" s="123">
        <f t="shared" si="68"/>
        <v>0.28999999999999998</v>
      </c>
      <c r="AB185" s="123">
        <f t="shared" si="68"/>
        <v>0.28999999999999998</v>
      </c>
      <c r="AC185" s="123">
        <f t="shared" si="68"/>
        <v>0.28999999999999998</v>
      </c>
      <c r="AD185" s="123">
        <f t="shared" si="68"/>
        <v>0.28999999999999998</v>
      </c>
      <c r="AE185" s="123">
        <f t="shared" si="68"/>
        <v>0.28999999999999998</v>
      </c>
      <c r="AF185" s="123">
        <f t="shared" si="68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6"/>
        <v>0.06</v>
      </c>
      <c r="C186" s="124">
        <v>0.06</v>
      </c>
      <c r="D186" s="123">
        <f t="shared" si="67"/>
        <v>0.06</v>
      </c>
      <c r="E186" s="123">
        <f t="shared" si="67"/>
        <v>0.06</v>
      </c>
      <c r="F186" s="123">
        <f t="shared" si="67"/>
        <v>0.06</v>
      </c>
      <c r="G186" s="123">
        <f t="shared" si="67"/>
        <v>0.06</v>
      </c>
      <c r="H186" s="123">
        <f t="shared" si="67"/>
        <v>0.06</v>
      </c>
      <c r="I186" s="123">
        <f t="shared" si="67"/>
        <v>0.06</v>
      </c>
      <c r="J186" s="123">
        <f t="shared" si="67"/>
        <v>0.06</v>
      </c>
      <c r="K186" s="123">
        <f t="shared" si="67"/>
        <v>0.06</v>
      </c>
      <c r="L186" s="123">
        <f t="shared" si="67"/>
        <v>0.06</v>
      </c>
      <c r="M186" s="123">
        <f t="shared" si="67"/>
        <v>0.06</v>
      </c>
      <c r="N186" s="123">
        <f t="shared" si="67"/>
        <v>0.06</v>
      </c>
      <c r="O186" s="123">
        <f t="shared" si="67"/>
        <v>0.06</v>
      </c>
      <c r="P186" s="123">
        <f t="shared" si="67"/>
        <v>0.06</v>
      </c>
      <c r="Q186" s="123">
        <f t="shared" si="67"/>
        <v>0.06</v>
      </c>
      <c r="R186" s="123">
        <f t="shared" si="67"/>
        <v>0.06</v>
      </c>
      <c r="S186" s="123">
        <f t="shared" si="67"/>
        <v>0.06</v>
      </c>
      <c r="T186" s="123">
        <f t="shared" si="68"/>
        <v>0.06</v>
      </c>
      <c r="U186" s="123">
        <f t="shared" si="68"/>
        <v>0.06</v>
      </c>
      <c r="V186" s="123">
        <f t="shared" si="68"/>
        <v>0.06</v>
      </c>
      <c r="W186" s="123">
        <f t="shared" si="68"/>
        <v>0.06</v>
      </c>
      <c r="X186" s="123">
        <f t="shared" si="68"/>
        <v>0.06</v>
      </c>
      <c r="Y186" s="123">
        <f t="shared" si="68"/>
        <v>0.06</v>
      </c>
      <c r="Z186" s="123">
        <f t="shared" si="68"/>
        <v>0.06</v>
      </c>
      <c r="AA186" s="123">
        <f t="shared" si="68"/>
        <v>0.06</v>
      </c>
      <c r="AB186" s="123">
        <f t="shared" si="68"/>
        <v>0.06</v>
      </c>
      <c r="AC186" s="123">
        <f t="shared" si="68"/>
        <v>0.06</v>
      </c>
      <c r="AD186" s="123">
        <f t="shared" si="68"/>
        <v>0.06</v>
      </c>
      <c r="AE186" s="123">
        <f t="shared" si="68"/>
        <v>0.06</v>
      </c>
      <c r="AF186" s="123">
        <f t="shared" si="68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6"/>
        <v>0.11</v>
      </c>
      <c r="C187" s="124">
        <v>0.11</v>
      </c>
      <c r="D187" s="123">
        <f t="shared" si="67"/>
        <v>0.11</v>
      </c>
      <c r="E187" s="123">
        <f t="shared" si="67"/>
        <v>0.11</v>
      </c>
      <c r="F187" s="123">
        <f t="shared" si="67"/>
        <v>0.11</v>
      </c>
      <c r="G187" s="123">
        <f t="shared" si="67"/>
        <v>0.11</v>
      </c>
      <c r="H187" s="123">
        <f t="shared" si="67"/>
        <v>0.11</v>
      </c>
      <c r="I187" s="123">
        <f t="shared" si="67"/>
        <v>0.11</v>
      </c>
      <c r="J187" s="123">
        <f t="shared" si="67"/>
        <v>0.11</v>
      </c>
      <c r="K187" s="123">
        <f t="shared" si="67"/>
        <v>0.11</v>
      </c>
      <c r="L187" s="123">
        <f t="shared" si="67"/>
        <v>0.11</v>
      </c>
      <c r="M187" s="123">
        <f t="shared" si="67"/>
        <v>0.11</v>
      </c>
      <c r="N187" s="123">
        <f t="shared" si="67"/>
        <v>0.11</v>
      </c>
      <c r="O187" s="123">
        <f t="shared" si="67"/>
        <v>0.11</v>
      </c>
      <c r="P187" s="123">
        <f t="shared" si="67"/>
        <v>0.11</v>
      </c>
      <c r="Q187" s="123">
        <f t="shared" si="67"/>
        <v>0.11</v>
      </c>
      <c r="R187" s="123">
        <f t="shared" si="67"/>
        <v>0.11</v>
      </c>
      <c r="S187" s="123">
        <f t="shared" si="67"/>
        <v>0.11</v>
      </c>
      <c r="T187" s="123">
        <f t="shared" si="68"/>
        <v>0.11</v>
      </c>
      <c r="U187" s="123">
        <f t="shared" si="68"/>
        <v>0.11</v>
      </c>
      <c r="V187" s="123">
        <f t="shared" si="68"/>
        <v>0.11</v>
      </c>
      <c r="W187" s="123">
        <f t="shared" si="68"/>
        <v>0.11</v>
      </c>
      <c r="X187" s="123">
        <f t="shared" si="68"/>
        <v>0.11</v>
      </c>
      <c r="Y187" s="123">
        <f t="shared" si="68"/>
        <v>0.11</v>
      </c>
      <c r="Z187" s="123">
        <f t="shared" si="68"/>
        <v>0.11</v>
      </c>
      <c r="AA187" s="123">
        <f t="shared" si="68"/>
        <v>0.11</v>
      </c>
      <c r="AB187" s="123">
        <f t="shared" si="68"/>
        <v>0.11</v>
      </c>
      <c r="AC187" s="123">
        <f t="shared" si="68"/>
        <v>0.11</v>
      </c>
      <c r="AD187" s="123">
        <f t="shared" si="68"/>
        <v>0.11</v>
      </c>
      <c r="AE187" s="123">
        <f t="shared" si="68"/>
        <v>0.11</v>
      </c>
      <c r="AF187" s="123">
        <f t="shared" si="68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6"/>
        <v>0.1</v>
      </c>
      <c r="C188" s="124">
        <v>0.1</v>
      </c>
      <c r="D188" s="123">
        <f t="shared" si="67"/>
        <v>0.1</v>
      </c>
      <c r="E188" s="123">
        <f t="shared" si="67"/>
        <v>0.1</v>
      </c>
      <c r="F188" s="123">
        <f t="shared" si="67"/>
        <v>0.1</v>
      </c>
      <c r="G188" s="123">
        <f t="shared" si="67"/>
        <v>0.1</v>
      </c>
      <c r="H188" s="123">
        <f t="shared" si="67"/>
        <v>0.1</v>
      </c>
      <c r="I188" s="123">
        <f t="shared" si="67"/>
        <v>0.1</v>
      </c>
      <c r="J188" s="123">
        <f t="shared" si="67"/>
        <v>0.1</v>
      </c>
      <c r="K188" s="123">
        <f t="shared" si="67"/>
        <v>0.1</v>
      </c>
      <c r="L188" s="123">
        <f t="shared" si="67"/>
        <v>0.1</v>
      </c>
      <c r="M188" s="123">
        <f t="shared" si="67"/>
        <v>0.1</v>
      </c>
      <c r="N188" s="123">
        <f t="shared" si="67"/>
        <v>0.1</v>
      </c>
      <c r="O188" s="123">
        <f t="shared" si="67"/>
        <v>0.1</v>
      </c>
      <c r="P188" s="123">
        <f t="shared" si="67"/>
        <v>0.1</v>
      </c>
      <c r="Q188" s="123">
        <f t="shared" si="67"/>
        <v>0.1</v>
      </c>
      <c r="R188" s="123">
        <f t="shared" si="67"/>
        <v>0.1</v>
      </c>
      <c r="S188" s="123">
        <f t="shared" si="68"/>
        <v>0.1</v>
      </c>
      <c r="T188" s="123">
        <f t="shared" si="68"/>
        <v>0.1</v>
      </c>
      <c r="U188" s="123">
        <f t="shared" si="68"/>
        <v>0.1</v>
      </c>
      <c r="V188" s="123">
        <f t="shared" si="68"/>
        <v>0.1</v>
      </c>
      <c r="W188" s="123">
        <f t="shared" si="68"/>
        <v>0.1</v>
      </c>
      <c r="X188" s="123">
        <f t="shared" si="68"/>
        <v>0.1</v>
      </c>
      <c r="Y188" s="123">
        <f t="shared" si="68"/>
        <v>0.1</v>
      </c>
      <c r="Z188" s="123">
        <f t="shared" si="68"/>
        <v>0.1</v>
      </c>
      <c r="AA188" s="123">
        <f t="shared" si="68"/>
        <v>0.1</v>
      </c>
      <c r="AB188" s="123">
        <f t="shared" si="68"/>
        <v>0.1</v>
      </c>
      <c r="AC188" s="123">
        <f t="shared" si="68"/>
        <v>0.1</v>
      </c>
      <c r="AD188" s="123">
        <f t="shared" si="68"/>
        <v>0.1</v>
      </c>
      <c r="AE188" s="123">
        <f t="shared" si="68"/>
        <v>0.1</v>
      </c>
      <c r="AF188" s="123">
        <f t="shared" si="68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6"/>
        <v>0.09</v>
      </c>
      <c r="C189" s="124">
        <v>0.09</v>
      </c>
      <c r="D189" s="123">
        <f t="shared" si="67"/>
        <v>0.09</v>
      </c>
      <c r="E189" s="123">
        <f t="shared" si="67"/>
        <v>0.09</v>
      </c>
      <c r="F189" s="123">
        <f t="shared" si="67"/>
        <v>0.09</v>
      </c>
      <c r="G189" s="123">
        <f t="shared" si="67"/>
        <v>0.09</v>
      </c>
      <c r="H189" s="123">
        <f t="shared" si="67"/>
        <v>0.09</v>
      </c>
      <c r="I189" s="123">
        <f t="shared" si="67"/>
        <v>0.09</v>
      </c>
      <c r="J189" s="123">
        <f t="shared" si="67"/>
        <v>0.09</v>
      </c>
      <c r="K189" s="123">
        <f t="shared" si="67"/>
        <v>0.09</v>
      </c>
      <c r="L189" s="123">
        <f t="shared" si="67"/>
        <v>0.09</v>
      </c>
      <c r="M189" s="123">
        <f t="shared" si="67"/>
        <v>0.09</v>
      </c>
      <c r="N189" s="123">
        <f t="shared" si="67"/>
        <v>0.09</v>
      </c>
      <c r="O189" s="123">
        <f t="shared" si="67"/>
        <v>0.09</v>
      </c>
      <c r="P189" s="123">
        <f t="shared" si="67"/>
        <v>0.09</v>
      </c>
      <c r="Q189" s="123">
        <f t="shared" si="67"/>
        <v>0.09</v>
      </c>
      <c r="R189" s="123">
        <f t="shared" si="67"/>
        <v>0.09</v>
      </c>
      <c r="S189" s="123">
        <f t="shared" si="68"/>
        <v>0.09</v>
      </c>
      <c r="T189" s="123">
        <f t="shared" si="68"/>
        <v>0.09</v>
      </c>
      <c r="U189" s="123">
        <f t="shared" si="68"/>
        <v>0.09</v>
      </c>
      <c r="V189" s="123">
        <f t="shared" si="68"/>
        <v>0.09</v>
      </c>
      <c r="W189" s="123">
        <f t="shared" si="68"/>
        <v>0.09</v>
      </c>
      <c r="X189" s="123">
        <f t="shared" si="68"/>
        <v>0.09</v>
      </c>
      <c r="Y189" s="123">
        <f t="shared" si="68"/>
        <v>0.09</v>
      </c>
      <c r="Z189" s="123">
        <f t="shared" si="68"/>
        <v>0.09</v>
      </c>
      <c r="AA189" s="123">
        <f t="shared" si="68"/>
        <v>0.09</v>
      </c>
      <c r="AB189" s="123">
        <f t="shared" si="68"/>
        <v>0.09</v>
      </c>
      <c r="AC189" s="123">
        <f t="shared" si="68"/>
        <v>0.09</v>
      </c>
      <c r="AD189" s="123">
        <f t="shared" si="68"/>
        <v>0.09</v>
      </c>
      <c r="AE189" s="123">
        <f t="shared" si="68"/>
        <v>0.09</v>
      </c>
      <c r="AF189" s="123">
        <f t="shared" si="68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6"/>
        <v>0.04</v>
      </c>
      <c r="C190" s="54">
        <v>0.04</v>
      </c>
      <c r="D190" s="123">
        <f t="shared" si="67"/>
        <v>0.04</v>
      </c>
      <c r="E190" s="123">
        <f t="shared" si="67"/>
        <v>0.04</v>
      </c>
      <c r="F190" s="123">
        <f t="shared" si="67"/>
        <v>0.04</v>
      </c>
      <c r="G190" s="123">
        <f t="shared" si="67"/>
        <v>0.04</v>
      </c>
      <c r="H190" s="123">
        <f t="shared" si="67"/>
        <v>0.04</v>
      </c>
      <c r="I190" s="123">
        <f t="shared" si="67"/>
        <v>0.04</v>
      </c>
      <c r="J190" s="123">
        <f t="shared" si="67"/>
        <v>0.04</v>
      </c>
      <c r="K190" s="123">
        <f t="shared" si="67"/>
        <v>0.04</v>
      </c>
      <c r="L190" s="123">
        <f t="shared" si="67"/>
        <v>0.04</v>
      </c>
      <c r="M190" s="123">
        <f t="shared" si="67"/>
        <v>0.04</v>
      </c>
      <c r="N190" s="123">
        <f t="shared" si="67"/>
        <v>0.04</v>
      </c>
      <c r="O190" s="123">
        <f t="shared" si="67"/>
        <v>0.04</v>
      </c>
      <c r="P190" s="123">
        <f t="shared" si="67"/>
        <v>0.04</v>
      </c>
      <c r="Q190" s="123">
        <f t="shared" si="67"/>
        <v>0.04</v>
      </c>
      <c r="R190" s="123">
        <f t="shared" si="67"/>
        <v>0.04</v>
      </c>
      <c r="S190" s="123">
        <f t="shared" si="68"/>
        <v>0.04</v>
      </c>
      <c r="T190" s="123">
        <f t="shared" si="68"/>
        <v>0.04</v>
      </c>
      <c r="U190" s="123">
        <f t="shared" si="68"/>
        <v>0.04</v>
      </c>
      <c r="V190" s="123">
        <f t="shared" si="68"/>
        <v>0.04</v>
      </c>
      <c r="W190" s="123">
        <f t="shared" si="68"/>
        <v>0.04</v>
      </c>
      <c r="X190" s="123">
        <f t="shared" si="68"/>
        <v>0.04</v>
      </c>
      <c r="Y190" s="123">
        <f t="shared" si="68"/>
        <v>0.04</v>
      </c>
      <c r="Z190" s="123">
        <f t="shared" si="68"/>
        <v>0.04</v>
      </c>
      <c r="AA190" s="123">
        <f t="shared" si="68"/>
        <v>0.04</v>
      </c>
      <c r="AB190" s="123">
        <f t="shared" si="68"/>
        <v>0.04</v>
      </c>
      <c r="AC190" s="123">
        <f t="shared" si="68"/>
        <v>0.04</v>
      </c>
      <c r="AD190" s="123">
        <f t="shared" si="68"/>
        <v>0.04</v>
      </c>
      <c r="AE190" s="123">
        <f t="shared" si="68"/>
        <v>0.04</v>
      </c>
      <c r="AF190" s="123">
        <f t="shared" si="68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6"/>
        <v>2.3E-2</v>
      </c>
      <c r="C191" s="54">
        <v>2.3E-2</v>
      </c>
      <c r="D191" s="123">
        <f>C191</f>
        <v>2.3E-2</v>
      </c>
      <c r="E191" s="123">
        <f t="shared" si="67"/>
        <v>2.3E-2</v>
      </c>
      <c r="F191" s="123">
        <f t="shared" si="67"/>
        <v>2.3E-2</v>
      </c>
      <c r="G191" s="123">
        <f t="shared" si="67"/>
        <v>2.3E-2</v>
      </c>
      <c r="H191" s="123">
        <f t="shared" si="67"/>
        <v>2.3E-2</v>
      </c>
      <c r="I191" s="123">
        <f t="shared" si="67"/>
        <v>2.3E-2</v>
      </c>
      <c r="J191" s="123">
        <f t="shared" si="67"/>
        <v>2.3E-2</v>
      </c>
      <c r="K191" s="123">
        <f t="shared" si="67"/>
        <v>2.3E-2</v>
      </c>
      <c r="L191" s="123">
        <f t="shared" si="67"/>
        <v>2.3E-2</v>
      </c>
      <c r="M191" s="123">
        <f t="shared" si="67"/>
        <v>2.3E-2</v>
      </c>
      <c r="N191" s="123">
        <f t="shared" si="67"/>
        <v>2.3E-2</v>
      </c>
      <c r="O191" s="123">
        <f t="shared" si="67"/>
        <v>2.3E-2</v>
      </c>
      <c r="P191" s="123">
        <f t="shared" si="67"/>
        <v>2.3E-2</v>
      </c>
      <c r="Q191" s="123">
        <f t="shared" si="67"/>
        <v>2.3E-2</v>
      </c>
      <c r="R191" s="123">
        <f t="shared" si="67"/>
        <v>2.3E-2</v>
      </c>
      <c r="S191" s="123">
        <f t="shared" si="68"/>
        <v>2.3E-2</v>
      </c>
      <c r="T191" s="123">
        <f t="shared" si="68"/>
        <v>2.3E-2</v>
      </c>
      <c r="U191" s="123">
        <f t="shared" si="68"/>
        <v>2.3E-2</v>
      </c>
      <c r="V191" s="123">
        <f t="shared" si="68"/>
        <v>2.3E-2</v>
      </c>
      <c r="W191" s="123">
        <f t="shared" si="68"/>
        <v>2.3E-2</v>
      </c>
      <c r="X191" s="123">
        <f t="shared" si="68"/>
        <v>2.3E-2</v>
      </c>
      <c r="Y191" s="123">
        <f t="shared" si="68"/>
        <v>2.3E-2</v>
      </c>
      <c r="Z191" s="123">
        <f t="shared" si="68"/>
        <v>2.3E-2</v>
      </c>
      <c r="AA191" s="123">
        <f t="shared" si="68"/>
        <v>2.3E-2</v>
      </c>
      <c r="AB191" s="123">
        <f t="shared" si="68"/>
        <v>2.3E-2</v>
      </c>
      <c r="AC191" s="123">
        <f t="shared" si="68"/>
        <v>2.3E-2</v>
      </c>
      <c r="AD191" s="123">
        <f t="shared" si="68"/>
        <v>2.3E-2</v>
      </c>
      <c r="AE191" s="123">
        <f t="shared" si="68"/>
        <v>2.3E-2</v>
      </c>
      <c r="AF191" s="123">
        <f t="shared" si="68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69">SUM(C102:C191)</f>
        <v>194.70600000000002</v>
      </c>
      <c r="D192" s="128">
        <f t="shared" si="69"/>
        <v>194.70600000000002</v>
      </c>
      <c r="E192" s="128">
        <f t="shared" si="69"/>
        <v>194.70600000000002</v>
      </c>
      <c r="F192" s="128">
        <f t="shared" si="69"/>
        <v>194.70600000000002</v>
      </c>
      <c r="G192" s="128">
        <f t="shared" si="69"/>
        <v>194.70600000000002</v>
      </c>
      <c r="H192" s="128">
        <f t="shared" si="69"/>
        <v>194.70600000000002</v>
      </c>
      <c r="I192" s="128">
        <f t="shared" si="69"/>
        <v>189.70600000000005</v>
      </c>
      <c r="J192" s="128">
        <f t="shared" si="69"/>
        <v>187.10600000000005</v>
      </c>
      <c r="K192" s="128">
        <f t="shared" si="69"/>
        <v>187.10600000000005</v>
      </c>
      <c r="L192" s="128">
        <f t="shared" si="69"/>
        <v>187.10600000000005</v>
      </c>
      <c r="M192" s="128">
        <f t="shared" si="69"/>
        <v>187.10600000000005</v>
      </c>
      <c r="N192" s="128">
        <f t="shared" si="69"/>
        <v>187.10600000000005</v>
      </c>
      <c r="O192" s="128">
        <f t="shared" si="69"/>
        <v>187.10600000000005</v>
      </c>
      <c r="P192" s="128">
        <f t="shared" si="69"/>
        <v>187.10600000000005</v>
      </c>
      <c r="Q192" s="128">
        <f t="shared" si="69"/>
        <v>187.10600000000005</v>
      </c>
      <c r="R192" s="128">
        <f t="shared" si="69"/>
        <v>187.10600000000005</v>
      </c>
      <c r="S192" s="128">
        <f t="shared" si="69"/>
        <v>187.10600000000005</v>
      </c>
      <c r="T192" s="128">
        <f t="shared" si="69"/>
        <v>187.10600000000005</v>
      </c>
      <c r="U192" s="128">
        <f t="shared" si="69"/>
        <v>187.10600000000005</v>
      </c>
      <c r="V192" s="128">
        <f t="shared" si="69"/>
        <v>187.10600000000005</v>
      </c>
      <c r="W192" s="128">
        <f t="shared" si="69"/>
        <v>187.10600000000005</v>
      </c>
      <c r="X192" s="128">
        <f t="shared" si="69"/>
        <v>187.10600000000005</v>
      </c>
      <c r="Y192" s="128">
        <f t="shared" si="69"/>
        <v>187.10600000000005</v>
      </c>
      <c r="Z192" s="128">
        <f t="shared" si="69"/>
        <v>187.10600000000005</v>
      </c>
      <c r="AA192" s="128">
        <f t="shared" si="69"/>
        <v>187.10600000000005</v>
      </c>
      <c r="AB192" s="128">
        <f t="shared" si="69"/>
        <v>187.10600000000005</v>
      </c>
      <c r="AC192" s="128">
        <f t="shared" si="69"/>
        <v>187.10600000000005</v>
      </c>
      <c r="AD192" s="128">
        <f t="shared" si="69"/>
        <v>187.10600000000005</v>
      </c>
      <c r="AE192" s="128">
        <f t="shared" si="69"/>
        <v>187.10600000000005</v>
      </c>
      <c r="AF192" s="128">
        <f t="shared" si="69"/>
        <v>187.10600000000005</v>
      </c>
      <c r="AG192" s="129">
        <f t="shared" si="69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70">AF194</f>
        <v>0.3</v>
      </c>
      <c r="C194" s="130">
        <v>0.3</v>
      </c>
      <c r="D194" s="130">
        <f t="shared" ref="D194:S199" si="71">C194</f>
        <v>0.3</v>
      </c>
      <c r="E194" s="130">
        <f t="shared" si="71"/>
        <v>0.3</v>
      </c>
      <c r="F194" s="130">
        <f t="shared" si="71"/>
        <v>0.3</v>
      </c>
      <c r="G194" s="130">
        <f t="shared" si="71"/>
        <v>0.3</v>
      </c>
      <c r="H194" s="130">
        <f t="shared" si="71"/>
        <v>0.3</v>
      </c>
      <c r="I194" s="130">
        <f t="shared" si="71"/>
        <v>0.3</v>
      </c>
      <c r="J194" s="130">
        <f t="shared" si="71"/>
        <v>0.3</v>
      </c>
      <c r="K194" s="130">
        <f t="shared" si="71"/>
        <v>0.3</v>
      </c>
      <c r="L194" s="130">
        <f t="shared" si="71"/>
        <v>0.3</v>
      </c>
      <c r="M194" s="130">
        <f t="shared" si="71"/>
        <v>0.3</v>
      </c>
      <c r="N194" s="130">
        <f t="shared" si="71"/>
        <v>0.3</v>
      </c>
      <c r="O194" s="130">
        <f t="shared" si="71"/>
        <v>0.3</v>
      </c>
      <c r="P194" s="130">
        <f t="shared" si="71"/>
        <v>0.3</v>
      </c>
      <c r="Q194" s="130">
        <f t="shared" si="71"/>
        <v>0.3</v>
      </c>
      <c r="R194" s="130">
        <f t="shared" si="71"/>
        <v>0.3</v>
      </c>
      <c r="S194" s="130">
        <f t="shared" si="71"/>
        <v>0.3</v>
      </c>
      <c r="T194" s="130">
        <f t="shared" ref="T194:AF199" si="72">S194</f>
        <v>0.3</v>
      </c>
      <c r="U194" s="130">
        <f t="shared" si="72"/>
        <v>0.3</v>
      </c>
      <c r="V194" s="130">
        <f t="shared" si="72"/>
        <v>0.3</v>
      </c>
      <c r="W194" s="130">
        <f t="shared" si="72"/>
        <v>0.3</v>
      </c>
      <c r="X194" s="130">
        <f t="shared" si="72"/>
        <v>0.3</v>
      </c>
      <c r="Y194" s="130">
        <f t="shared" si="72"/>
        <v>0.3</v>
      </c>
      <c r="Z194" s="130">
        <f t="shared" si="72"/>
        <v>0.3</v>
      </c>
      <c r="AA194" s="130">
        <f t="shared" si="72"/>
        <v>0.3</v>
      </c>
      <c r="AB194" s="130">
        <f t="shared" si="72"/>
        <v>0.3</v>
      </c>
      <c r="AC194" s="130">
        <f t="shared" si="72"/>
        <v>0.3</v>
      </c>
      <c r="AD194" s="130">
        <f t="shared" si="72"/>
        <v>0.3</v>
      </c>
      <c r="AE194" s="130">
        <f t="shared" si="72"/>
        <v>0.3</v>
      </c>
      <c r="AF194" s="130">
        <f t="shared" si="72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70"/>
        <v>0.4</v>
      </c>
      <c r="C195" s="123">
        <v>0.4</v>
      </c>
      <c r="D195" s="123">
        <f t="shared" si="71"/>
        <v>0.4</v>
      </c>
      <c r="E195" s="123">
        <f t="shared" si="71"/>
        <v>0.4</v>
      </c>
      <c r="F195" s="123">
        <f t="shared" si="71"/>
        <v>0.4</v>
      </c>
      <c r="G195" s="123">
        <f t="shared" si="71"/>
        <v>0.4</v>
      </c>
      <c r="H195" s="123">
        <f t="shared" si="71"/>
        <v>0.4</v>
      </c>
      <c r="I195" s="123">
        <f t="shared" si="71"/>
        <v>0.4</v>
      </c>
      <c r="J195" s="123">
        <f t="shared" si="71"/>
        <v>0.4</v>
      </c>
      <c r="K195" s="123">
        <f t="shared" si="71"/>
        <v>0.4</v>
      </c>
      <c r="L195" s="123">
        <f t="shared" si="71"/>
        <v>0.4</v>
      </c>
      <c r="M195" s="123">
        <f t="shared" si="71"/>
        <v>0.4</v>
      </c>
      <c r="N195" s="123">
        <f t="shared" si="71"/>
        <v>0.4</v>
      </c>
      <c r="O195" s="123">
        <f t="shared" si="71"/>
        <v>0.4</v>
      </c>
      <c r="P195" s="123">
        <f t="shared" si="71"/>
        <v>0.4</v>
      </c>
      <c r="Q195" s="123">
        <f t="shared" si="71"/>
        <v>0.4</v>
      </c>
      <c r="R195" s="123">
        <f t="shared" si="71"/>
        <v>0.4</v>
      </c>
      <c r="S195" s="123">
        <f t="shared" si="71"/>
        <v>0.4</v>
      </c>
      <c r="T195" s="123">
        <f t="shared" si="72"/>
        <v>0.4</v>
      </c>
      <c r="U195" s="123">
        <f t="shared" si="72"/>
        <v>0.4</v>
      </c>
      <c r="V195" s="123">
        <f t="shared" si="72"/>
        <v>0.4</v>
      </c>
      <c r="W195" s="123">
        <f>V195</f>
        <v>0.4</v>
      </c>
      <c r="X195" s="123">
        <f>W195</f>
        <v>0.4</v>
      </c>
      <c r="Y195" s="123">
        <f t="shared" si="72"/>
        <v>0.4</v>
      </c>
      <c r="Z195" s="123">
        <f t="shared" si="72"/>
        <v>0.4</v>
      </c>
      <c r="AA195" s="123">
        <f t="shared" si="72"/>
        <v>0.4</v>
      </c>
      <c r="AB195" s="123">
        <f t="shared" si="72"/>
        <v>0.4</v>
      </c>
      <c r="AC195" s="123">
        <f t="shared" si="72"/>
        <v>0.4</v>
      </c>
      <c r="AD195" s="123">
        <f t="shared" si="72"/>
        <v>0.4</v>
      </c>
      <c r="AE195" s="123">
        <f t="shared" si="72"/>
        <v>0.4</v>
      </c>
      <c r="AF195" s="123">
        <f t="shared" si="72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70"/>
        <v>1.5</v>
      </c>
      <c r="C196" s="123">
        <v>1.5</v>
      </c>
      <c r="D196" s="123">
        <f t="shared" si="71"/>
        <v>1.5</v>
      </c>
      <c r="E196" s="123">
        <f t="shared" si="71"/>
        <v>1.5</v>
      </c>
      <c r="F196" s="123">
        <f t="shared" si="71"/>
        <v>1.5</v>
      </c>
      <c r="G196" s="123">
        <f t="shared" si="71"/>
        <v>1.5</v>
      </c>
      <c r="H196" s="123">
        <f t="shared" si="71"/>
        <v>1.5</v>
      </c>
      <c r="I196" s="123">
        <f t="shared" si="71"/>
        <v>1.5</v>
      </c>
      <c r="J196" s="123">
        <f t="shared" si="71"/>
        <v>1.5</v>
      </c>
      <c r="K196" s="123">
        <f t="shared" si="71"/>
        <v>1.5</v>
      </c>
      <c r="L196" s="123">
        <f t="shared" si="71"/>
        <v>1.5</v>
      </c>
      <c r="M196" s="123">
        <f t="shared" si="71"/>
        <v>1.5</v>
      </c>
      <c r="N196" s="123">
        <f t="shared" si="71"/>
        <v>1.5</v>
      </c>
      <c r="O196" s="123">
        <f t="shared" si="71"/>
        <v>1.5</v>
      </c>
      <c r="P196" s="123">
        <f t="shared" si="71"/>
        <v>1.5</v>
      </c>
      <c r="Q196" s="123">
        <f t="shared" si="71"/>
        <v>1.5</v>
      </c>
      <c r="R196" s="123">
        <f t="shared" si="71"/>
        <v>1.5</v>
      </c>
      <c r="S196" s="123">
        <f t="shared" si="71"/>
        <v>1.5</v>
      </c>
      <c r="T196" s="123">
        <f t="shared" si="72"/>
        <v>1.5</v>
      </c>
      <c r="U196" s="123">
        <f t="shared" si="72"/>
        <v>1.5</v>
      </c>
      <c r="V196" s="123">
        <f t="shared" si="72"/>
        <v>1.5</v>
      </c>
      <c r="W196" s="123">
        <f t="shared" si="72"/>
        <v>1.5</v>
      </c>
      <c r="X196" s="123">
        <f t="shared" si="72"/>
        <v>1.5</v>
      </c>
      <c r="Y196" s="123">
        <f t="shared" si="72"/>
        <v>1.5</v>
      </c>
      <c r="Z196" s="123">
        <f t="shared" si="72"/>
        <v>1.5</v>
      </c>
      <c r="AA196" s="123">
        <f t="shared" si="72"/>
        <v>1.5</v>
      </c>
      <c r="AB196" s="123">
        <f t="shared" si="72"/>
        <v>1.5</v>
      </c>
      <c r="AC196" s="123">
        <f t="shared" si="72"/>
        <v>1.5</v>
      </c>
      <c r="AD196" s="123">
        <f t="shared" si="72"/>
        <v>1.5</v>
      </c>
      <c r="AE196" s="123">
        <f t="shared" si="72"/>
        <v>1.5</v>
      </c>
      <c r="AF196" s="123">
        <f t="shared" si="72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70"/>
        <v>0.3</v>
      </c>
      <c r="C197" s="123">
        <v>0.3</v>
      </c>
      <c r="D197" s="123">
        <f t="shared" si="71"/>
        <v>0.3</v>
      </c>
      <c r="E197" s="123">
        <f t="shared" si="71"/>
        <v>0.3</v>
      </c>
      <c r="F197" s="123">
        <f t="shared" si="71"/>
        <v>0.3</v>
      </c>
      <c r="G197" s="123">
        <f t="shared" si="71"/>
        <v>0.3</v>
      </c>
      <c r="H197" s="123">
        <f t="shared" si="71"/>
        <v>0.3</v>
      </c>
      <c r="I197" s="123">
        <f t="shared" si="71"/>
        <v>0.3</v>
      </c>
      <c r="J197" s="123">
        <f t="shared" si="71"/>
        <v>0.3</v>
      </c>
      <c r="K197" s="123">
        <f t="shared" si="71"/>
        <v>0.3</v>
      </c>
      <c r="L197" s="123">
        <f t="shared" si="71"/>
        <v>0.3</v>
      </c>
      <c r="M197" s="123">
        <f t="shared" si="71"/>
        <v>0.3</v>
      </c>
      <c r="N197" s="123">
        <f t="shared" si="71"/>
        <v>0.3</v>
      </c>
      <c r="O197" s="123">
        <f t="shared" si="71"/>
        <v>0.3</v>
      </c>
      <c r="P197" s="123">
        <f t="shared" si="71"/>
        <v>0.3</v>
      </c>
      <c r="Q197" s="123">
        <f t="shared" si="71"/>
        <v>0.3</v>
      </c>
      <c r="R197" s="123">
        <f t="shared" si="71"/>
        <v>0.3</v>
      </c>
      <c r="S197" s="123">
        <f t="shared" si="71"/>
        <v>0.3</v>
      </c>
      <c r="T197" s="123">
        <f t="shared" si="72"/>
        <v>0.3</v>
      </c>
      <c r="U197" s="123">
        <f t="shared" si="72"/>
        <v>0.3</v>
      </c>
      <c r="V197" s="123">
        <f t="shared" si="72"/>
        <v>0.3</v>
      </c>
      <c r="W197" s="123">
        <f t="shared" si="72"/>
        <v>0.3</v>
      </c>
      <c r="X197" s="123">
        <f t="shared" si="72"/>
        <v>0.3</v>
      </c>
      <c r="Y197" s="123">
        <f t="shared" si="72"/>
        <v>0.3</v>
      </c>
      <c r="Z197" s="123">
        <f t="shared" si="72"/>
        <v>0.3</v>
      </c>
      <c r="AA197" s="123">
        <f t="shared" si="72"/>
        <v>0.3</v>
      </c>
      <c r="AB197" s="123">
        <f t="shared" si="72"/>
        <v>0.3</v>
      </c>
      <c r="AC197" s="123">
        <f t="shared" si="72"/>
        <v>0.3</v>
      </c>
      <c r="AD197" s="123">
        <f t="shared" si="72"/>
        <v>0.3</v>
      </c>
      <c r="AE197" s="123">
        <f t="shared" si="72"/>
        <v>0.3</v>
      </c>
      <c r="AF197" s="123">
        <f t="shared" si="72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70"/>
        <v>0.4</v>
      </c>
      <c r="C198" s="123">
        <v>0.4</v>
      </c>
      <c r="D198" s="123">
        <f t="shared" si="71"/>
        <v>0.4</v>
      </c>
      <c r="E198" s="123">
        <f t="shared" si="71"/>
        <v>0.4</v>
      </c>
      <c r="F198" s="123">
        <f t="shared" si="71"/>
        <v>0.4</v>
      </c>
      <c r="G198" s="123">
        <f t="shared" si="71"/>
        <v>0.4</v>
      </c>
      <c r="H198" s="123">
        <f t="shared" si="71"/>
        <v>0.4</v>
      </c>
      <c r="I198" s="123">
        <f t="shared" si="71"/>
        <v>0.4</v>
      </c>
      <c r="J198" s="123">
        <f t="shared" si="71"/>
        <v>0.4</v>
      </c>
      <c r="K198" s="123">
        <f t="shared" si="71"/>
        <v>0.4</v>
      </c>
      <c r="L198" s="123">
        <f t="shared" si="71"/>
        <v>0.4</v>
      </c>
      <c r="M198" s="123">
        <f t="shared" si="71"/>
        <v>0.4</v>
      </c>
      <c r="N198" s="123">
        <f t="shared" si="71"/>
        <v>0.4</v>
      </c>
      <c r="O198" s="123">
        <f t="shared" si="71"/>
        <v>0.4</v>
      </c>
      <c r="P198" s="123">
        <f t="shared" si="71"/>
        <v>0.4</v>
      </c>
      <c r="Q198" s="123">
        <f t="shared" si="71"/>
        <v>0.4</v>
      </c>
      <c r="R198" s="123">
        <f t="shared" si="71"/>
        <v>0.4</v>
      </c>
      <c r="S198" s="123">
        <f t="shared" si="71"/>
        <v>0.4</v>
      </c>
      <c r="T198" s="123">
        <f t="shared" si="72"/>
        <v>0.4</v>
      </c>
      <c r="U198" s="123">
        <f t="shared" si="72"/>
        <v>0.4</v>
      </c>
      <c r="V198" s="123">
        <f t="shared" si="72"/>
        <v>0.4</v>
      </c>
      <c r="W198" s="123">
        <f t="shared" si="72"/>
        <v>0.4</v>
      </c>
      <c r="X198" s="123">
        <f t="shared" si="72"/>
        <v>0.4</v>
      </c>
      <c r="Y198" s="123">
        <f t="shared" si="72"/>
        <v>0.4</v>
      </c>
      <c r="Z198" s="123">
        <f t="shared" si="72"/>
        <v>0.4</v>
      </c>
      <c r="AA198" s="123">
        <f t="shared" si="72"/>
        <v>0.4</v>
      </c>
      <c r="AB198" s="123">
        <f t="shared" si="72"/>
        <v>0.4</v>
      </c>
      <c r="AC198" s="123">
        <f t="shared" si="72"/>
        <v>0.4</v>
      </c>
      <c r="AD198" s="123">
        <f t="shared" si="72"/>
        <v>0.4</v>
      </c>
      <c r="AE198" s="123">
        <f t="shared" si="72"/>
        <v>0.4</v>
      </c>
      <c r="AF198" s="123">
        <f t="shared" si="72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70"/>
        <v>0.64</v>
      </c>
      <c r="C199" s="133">
        <v>0.64</v>
      </c>
      <c r="D199" s="133">
        <f t="shared" si="71"/>
        <v>0.64</v>
      </c>
      <c r="E199" s="133">
        <f t="shared" si="71"/>
        <v>0.64</v>
      </c>
      <c r="F199" s="133">
        <f t="shared" si="71"/>
        <v>0.64</v>
      </c>
      <c r="G199" s="133">
        <f t="shared" si="71"/>
        <v>0.64</v>
      </c>
      <c r="H199" s="133">
        <f t="shared" si="71"/>
        <v>0.64</v>
      </c>
      <c r="I199" s="133">
        <f t="shared" si="71"/>
        <v>0.64</v>
      </c>
      <c r="J199" s="133">
        <f t="shared" si="71"/>
        <v>0.64</v>
      </c>
      <c r="K199" s="133">
        <f t="shared" si="71"/>
        <v>0.64</v>
      </c>
      <c r="L199" s="133">
        <f t="shared" si="71"/>
        <v>0.64</v>
      </c>
      <c r="M199" s="133">
        <f t="shared" si="71"/>
        <v>0.64</v>
      </c>
      <c r="N199" s="133">
        <f t="shared" si="71"/>
        <v>0.64</v>
      </c>
      <c r="O199" s="133">
        <f t="shared" si="71"/>
        <v>0.64</v>
      </c>
      <c r="P199" s="133">
        <f t="shared" si="71"/>
        <v>0.64</v>
      </c>
      <c r="Q199" s="133">
        <f t="shared" si="71"/>
        <v>0.64</v>
      </c>
      <c r="R199" s="133">
        <f t="shared" si="71"/>
        <v>0.64</v>
      </c>
      <c r="S199" s="133">
        <f t="shared" si="71"/>
        <v>0.64</v>
      </c>
      <c r="T199" s="133">
        <f t="shared" si="72"/>
        <v>0.64</v>
      </c>
      <c r="U199" s="133">
        <f t="shared" si="72"/>
        <v>0.64</v>
      </c>
      <c r="V199" s="133">
        <f t="shared" si="72"/>
        <v>0.64</v>
      </c>
      <c r="W199" s="133">
        <f t="shared" si="72"/>
        <v>0.64</v>
      </c>
      <c r="X199" s="133">
        <f t="shared" si="72"/>
        <v>0.64</v>
      </c>
      <c r="Y199" s="133">
        <f t="shared" si="72"/>
        <v>0.64</v>
      </c>
      <c r="Z199" s="133">
        <f t="shared" si="72"/>
        <v>0.64</v>
      </c>
      <c r="AA199" s="133">
        <f t="shared" si="72"/>
        <v>0.64</v>
      </c>
      <c r="AB199" s="133">
        <f t="shared" si="72"/>
        <v>0.64</v>
      </c>
      <c r="AC199" s="133">
        <f t="shared" si="72"/>
        <v>0.64</v>
      </c>
      <c r="AD199" s="133">
        <f t="shared" si="72"/>
        <v>0.64</v>
      </c>
      <c r="AE199" s="133">
        <f t="shared" si="72"/>
        <v>0.64</v>
      </c>
      <c r="AF199" s="133">
        <f t="shared" si="72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3">SUM(D194:D199)</f>
        <v>3.54</v>
      </c>
      <c r="E200" s="136">
        <f t="shared" si="73"/>
        <v>3.54</v>
      </c>
      <c r="F200" s="136">
        <f t="shared" si="73"/>
        <v>3.54</v>
      </c>
      <c r="G200" s="136">
        <f t="shared" si="73"/>
        <v>3.54</v>
      </c>
      <c r="H200" s="136">
        <f t="shared" si="73"/>
        <v>3.54</v>
      </c>
      <c r="I200" s="136">
        <f t="shared" si="73"/>
        <v>3.54</v>
      </c>
      <c r="J200" s="136">
        <f t="shared" si="73"/>
        <v>3.54</v>
      </c>
      <c r="K200" s="136">
        <f t="shared" si="73"/>
        <v>3.54</v>
      </c>
      <c r="L200" s="136">
        <f t="shared" si="73"/>
        <v>3.54</v>
      </c>
      <c r="M200" s="136">
        <f>SUM(M194:M199)</f>
        <v>3.54</v>
      </c>
      <c r="N200" s="136">
        <f t="shared" ref="N200:S200" si="74">SUM(N194:N199)</f>
        <v>3.54</v>
      </c>
      <c r="O200" s="136">
        <f t="shared" si="74"/>
        <v>3.54</v>
      </c>
      <c r="P200" s="136">
        <f t="shared" si="74"/>
        <v>3.54</v>
      </c>
      <c r="Q200" s="136">
        <f t="shared" si="74"/>
        <v>3.54</v>
      </c>
      <c r="R200" s="136">
        <f t="shared" si="74"/>
        <v>3.54</v>
      </c>
      <c r="S200" s="136">
        <f t="shared" si="74"/>
        <v>3.54</v>
      </c>
      <c r="T200" s="136">
        <f>SUM(T194:T199)</f>
        <v>3.54</v>
      </c>
      <c r="U200" s="136">
        <f t="shared" ref="U200:AG200" si="75">SUM(U194:U199)</f>
        <v>3.54</v>
      </c>
      <c r="V200" s="136">
        <f t="shared" si="75"/>
        <v>3.54</v>
      </c>
      <c r="W200" s="136">
        <f t="shared" si="75"/>
        <v>3.54</v>
      </c>
      <c r="X200" s="136">
        <f t="shared" si="75"/>
        <v>3.54</v>
      </c>
      <c r="Y200" s="136">
        <f t="shared" si="75"/>
        <v>3.54</v>
      </c>
      <c r="Z200" s="136">
        <f t="shared" si="75"/>
        <v>3.54</v>
      </c>
      <c r="AA200" s="136">
        <f t="shared" si="75"/>
        <v>3.54</v>
      </c>
      <c r="AB200" s="136">
        <f t="shared" si="75"/>
        <v>3.54</v>
      </c>
      <c r="AC200" s="136">
        <f t="shared" si="75"/>
        <v>3.54</v>
      </c>
      <c r="AD200" s="136">
        <f t="shared" si="75"/>
        <v>3.54</v>
      </c>
      <c r="AE200" s="136">
        <f t="shared" si="75"/>
        <v>3.54</v>
      </c>
      <c r="AF200" s="136">
        <f t="shared" si="75"/>
        <v>3.54</v>
      </c>
      <c r="AG200" s="137">
        <f t="shared" si="75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1801.5400000000002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29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2079/02/29)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2079/02/29)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6">B75</f>
        <v>1781.0400000000002</v>
      </c>
      <c r="U214" s="161">
        <f t="shared" si="76"/>
        <v>1762.44</v>
      </c>
      <c r="V214" s="161">
        <f t="shared" si="76"/>
        <v>1750.14</v>
      </c>
      <c r="W214" s="161">
        <f t="shared" si="76"/>
        <v>1743.9400000000003</v>
      </c>
      <c r="X214" s="161">
        <f t="shared" si="76"/>
        <v>1746.2400000000002</v>
      </c>
      <c r="Y214" s="161">
        <f t="shared" si="76"/>
        <v>1741.94</v>
      </c>
      <c r="Z214" s="161">
        <f t="shared" si="76"/>
        <v>1737.94</v>
      </c>
      <c r="AA214" s="161">
        <f t="shared" si="76"/>
        <v>1750.14</v>
      </c>
      <c r="AB214" s="161">
        <f t="shared" si="76"/>
        <v>1755.94</v>
      </c>
      <c r="AC214" s="161">
        <f t="shared" si="76"/>
        <v>1752.54</v>
      </c>
      <c r="AD214" s="161">
        <f t="shared" si="76"/>
        <v>1801.5400000000002</v>
      </c>
      <c r="AE214" s="161">
        <f t="shared" si="76"/>
        <v>1792.64</v>
      </c>
      <c r="AF214" s="161">
        <f t="shared" si="76"/>
        <v>1787.3400000000001</v>
      </c>
      <c r="AG214" s="161">
        <f t="shared" si="76"/>
        <v>1785.4400000000003</v>
      </c>
      <c r="AH214" s="161">
        <f t="shared" si="76"/>
        <v>1775.3400000000001</v>
      </c>
      <c r="AI214" s="161">
        <f t="shared" si="76"/>
        <v>1765.14</v>
      </c>
      <c r="AJ214" s="161">
        <f t="shared" si="76"/>
        <v>1785.2400000000002</v>
      </c>
      <c r="AK214" s="161">
        <f t="shared" si="76"/>
        <v>1771.3400000000001</v>
      </c>
      <c r="AL214" s="161">
        <f t="shared" si="76"/>
        <v>1767.6400000000003</v>
      </c>
      <c r="AM214" s="161">
        <f t="shared" si="76"/>
        <v>1705.44</v>
      </c>
      <c r="AN214" s="161">
        <f t="shared" si="76"/>
        <v>1716.14</v>
      </c>
      <c r="AO214" s="161">
        <f t="shared" si="76"/>
        <v>1663.4400000000003</v>
      </c>
      <c r="AP214" s="161">
        <f t="shared" si="76"/>
        <v>1705.9400000000003</v>
      </c>
      <c r="AQ214" s="161">
        <f t="shared" si="76"/>
        <v>1669.44</v>
      </c>
      <c r="AR214" s="161">
        <f t="shared" si="76"/>
        <v>1696.5400000000002</v>
      </c>
      <c r="AS214" s="161">
        <f t="shared" si="76"/>
        <v>1781.3400000000001</v>
      </c>
      <c r="AT214" s="161">
        <f t="shared" si="76"/>
        <v>1775.44</v>
      </c>
      <c r="AU214" s="161">
        <f t="shared" si="76"/>
        <v>1775.44</v>
      </c>
      <c r="AV214" s="161">
        <f t="shared" si="76"/>
        <v>1701.44</v>
      </c>
      <c r="AW214" s="161">
        <f t="shared" si="76"/>
        <v>1752.94</v>
      </c>
      <c r="AX214" s="161">
        <f t="shared" si="76"/>
        <v>1736.94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7">C199</f>
        <v>0.64</v>
      </c>
      <c r="C235" s="164">
        <f t="shared" si="77"/>
        <v>0.64</v>
      </c>
      <c r="D235" s="164">
        <f t="shared" si="77"/>
        <v>0.64</v>
      </c>
      <c r="E235" s="164">
        <f t="shared" si="77"/>
        <v>0.64</v>
      </c>
      <c r="F235" s="164">
        <f t="shared" si="77"/>
        <v>0.64</v>
      </c>
      <c r="G235" s="164">
        <f t="shared" si="77"/>
        <v>0.64</v>
      </c>
      <c r="H235" s="164">
        <f t="shared" si="77"/>
        <v>0.64</v>
      </c>
      <c r="I235" s="164">
        <f t="shared" si="77"/>
        <v>0.64</v>
      </c>
      <c r="J235" s="164">
        <f t="shared" si="77"/>
        <v>0.64</v>
      </c>
      <c r="K235" s="164">
        <f t="shared" si="77"/>
        <v>0.64</v>
      </c>
      <c r="L235" s="164">
        <f t="shared" si="77"/>
        <v>0.64</v>
      </c>
      <c r="M235" s="164">
        <f t="shared" si="77"/>
        <v>0.64</v>
      </c>
      <c r="N235" s="164">
        <f t="shared" si="77"/>
        <v>0.64</v>
      </c>
      <c r="O235" s="164">
        <f t="shared" si="77"/>
        <v>0.64</v>
      </c>
      <c r="P235" s="164">
        <f t="shared" si="77"/>
        <v>0.64</v>
      </c>
      <c r="Q235" s="164">
        <f t="shared" si="77"/>
        <v>0.64</v>
      </c>
      <c r="R235" s="164">
        <f t="shared" si="77"/>
        <v>0.64</v>
      </c>
      <c r="S235" s="164">
        <f t="shared" si="77"/>
        <v>0.64</v>
      </c>
      <c r="T235" s="164">
        <f t="shared" si="77"/>
        <v>0.64</v>
      </c>
      <c r="U235" s="164">
        <f t="shared" si="77"/>
        <v>0.64</v>
      </c>
      <c r="V235" s="164">
        <f t="shared" si="77"/>
        <v>0.64</v>
      </c>
      <c r="W235" s="164">
        <f t="shared" si="77"/>
        <v>0.64</v>
      </c>
      <c r="X235" s="164">
        <f t="shared" si="77"/>
        <v>0.64</v>
      </c>
      <c r="Y235" s="164">
        <f t="shared" si="77"/>
        <v>0.64</v>
      </c>
      <c r="Z235" s="164">
        <f t="shared" si="77"/>
        <v>0.64</v>
      </c>
      <c r="AA235" s="164">
        <f t="shared" si="77"/>
        <v>0.64</v>
      </c>
      <c r="AB235" s="164">
        <f t="shared" si="77"/>
        <v>0.64</v>
      </c>
      <c r="AC235" s="164">
        <f t="shared" si="77"/>
        <v>0.64</v>
      </c>
      <c r="AD235" s="164">
        <f t="shared" si="77"/>
        <v>0.64</v>
      </c>
      <c r="AE235" s="164">
        <f t="shared" si="77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78">IF(C203&lt;100,"",C203-520)</f>
        <v/>
      </c>
      <c r="D236" s="107" t="str">
        <f t="shared" si="78"/>
        <v/>
      </c>
      <c r="E236" s="107" t="str">
        <f t="shared" si="78"/>
        <v/>
      </c>
      <c r="F236" s="107" t="str">
        <f t="shared" si="78"/>
        <v/>
      </c>
      <c r="G236" s="107" t="str">
        <f t="shared" si="78"/>
        <v/>
      </c>
      <c r="H236" s="107" t="str">
        <f t="shared" si="78"/>
        <v/>
      </c>
      <c r="I236" s="107" t="str">
        <f t="shared" si="78"/>
        <v/>
      </c>
      <c r="J236" s="107" t="str">
        <f t="shared" si="78"/>
        <v/>
      </c>
      <c r="K236" s="107" t="str">
        <f t="shared" si="78"/>
        <v/>
      </c>
      <c r="L236" s="107" t="str">
        <f t="shared" si="78"/>
        <v/>
      </c>
      <c r="M236" s="107" t="str">
        <f t="shared" si="78"/>
        <v/>
      </c>
      <c r="N236" s="107" t="str">
        <f t="shared" si="78"/>
        <v/>
      </c>
      <c r="O236" s="107" t="str">
        <f t="shared" si="78"/>
        <v/>
      </c>
      <c r="P236" s="107" t="str">
        <f t="shared" si="78"/>
        <v/>
      </c>
      <c r="Q236" s="107" t="str">
        <f t="shared" si="78"/>
        <v/>
      </c>
      <c r="R236" s="107" t="str">
        <f t="shared" si="78"/>
        <v/>
      </c>
      <c r="S236" s="107" t="str">
        <f t="shared" si="78"/>
        <v/>
      </c>
      <c r="T236" s="107" t="str">
        <f t="shared" si="78"/>
        <v/>
      </c>
      <c r="U236" s="107" t="str">
        <f t="shared" si="78"/>
        <v/>
      </c>
      <c r="V236" s="107" t="str">
        <f t="shared" si="78"/>
        <v/>
      </c>
      <c r="W236" s="107" t="str">
        <f t="shared" si="78"/>
        <v/>
      </c>
      <c r="X236" s="107" t="str">
        <f t="shared" si="78"/>
        <v/>
      </c>
      <c r="Y236" s="107" t="str">
        <f t="shared" si="78"/>
        <v/>
      </c>
      <c r="Z236" s="107" t="str">
        <f t="shared" si="78"/>
        <v/>
      </c>
      <c r="AA236" s="107" t="str">
        <f t="shared" si="78"/>
        <v/>
      </c>
      <c r="AB236" s="107" t="str">
        <f t="shared" si="78"/>
        <v/>
      </c>
      <c r="AC236" s="107" t="str">
        <f t="shared" si="78"/>
        <v/>
      </c>
      <c r="AD236" s="107" t="str">
        <f t="shared" si="78"/>
        <v/>
      </c>
      <c r="AE236" s="107" t="str">
        <f t="shared" si="78"/>
        <v/>
      </c>
      <c r="AF236" s="107" t="str">
        <f t="shared" si="78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79">IF(B204&lt;100,"",B204-620)</f>
        <v/>
      </c>
      <c r="C237" s="107" t="str">
        <f t="shared" si="79"/>
        <v/>
      </c>
      <c r="D237" s="107" t="str">
        <f t="shared" si="79"/>
        <v/>
      </c>
      <c r="E237" s="107" t="str">
        <f t="shared" si="79"/>
        <v/>
      </c>
      <c r="F237" s="107" t="str">
        <f t="shared" si="79"/>
        <v/>
      </c>
      <c r="G237" s="107" t="str">
        <f t="shared" si="79"/>
        <v/>
      </c>
      <c r="H237" s="107" t="str">
        <f t="shared" si="79"/>
        <v/>
      </c>
      <c r="I237" s="107" t="str">
        <f t="shared" si="79"/>
        <v/>
      </c>
      <c r="J237" s="107" t="str">
        <f t="shared" si="79"/>
        <v/>
      </c>
      <c r="K237" s="107" t="str">
        <f t="shared" si="79"/>
        <v/>
      </c>
      <c r="L237" s="107" t="str">
        <f t="shared" si="79"/>
        <v/>
      </c>
      <c r="M237" s="107" t="str">
        <f t="shared" si="79"/>
        <v/>
      </c>
      <c r="N237" s="107" t="str">
        <f t="shared" si="79"/>
        <v/>
      </c>
      <c r="O237" s="107" t="str">
        <f t="shared" si="79"/>
        <v/>
      </c>
      <c r="P237" s="107" t="str">
        <f t="shared" si="79"/>
        <v/>
      </c>
      <c r="Q237" s="107" t="str">
        <f t="shared" si="79"/>
        <v/>
      </c>
      <c r="R237" s="107" t="str">
        <f t="shared" si="79"/>
        <v/>
      </c>
      <c r="S237" s="107" t="str">
        <f t="shared" si="79"/>
        <v/>
      </c>
      <c r="T237" s="107" t="str">
        <f t="shared" si="79"/>
        <v/>
      </c>
      <c r="U237" s="107" t="str">
        <f t="shared" si="79"/>
        <v/>
      </c>
      <c r="V237" s="107" t="str">
        <f t="shared" si="79"/>
        <v/>
      </c>
      <c r="W237" s="107" t="str">
        <f t="shared" si="79"/>
        <v/>
      </c>
      <c r="X237" s="107" t="str">
        <f t="shared" si="79"/>
        <v/>
      </c>
      <c r="Y237" s="107" t="str">
        <f t="shared" si="79"/>
        <v/>
      </c>
      <c r="Z237" s="107" t="str">
        <f t="shared" si="79"/>
        <v/>
      </c>
      <c r="AA237" s="107" t="str">
        <f t="shared" si="79"/>
        <v/>
      </c>
      <c r="AB237" s="107" t="str">
        <f t="shared" si="79"/>
        <v/>
      </c>
      <c r="AC237" s="107" t="str">
        <f t="shared" si="79"/>
        <v/>
      </c>
      <c r="AD237" s="107" t="str">
        <f t="shared" si="79"/>
        <v/>
      </c>
      <c r="AE237" s="107" t="str">
        <f t="shared" si="79"/>
        <v/>
      </c>
      <c r="AF237" s="107" t="str">
        <f t="shared" si="79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80">IF(B205&lt;100,"",B205-330)</f>
        <v/>
      </c>
      <c r="C238" s="107" t="str">
        <f t="shared" si="80"/>
        <v/>
      </c>
      <c r="D238" s="107" t="str">
        <f t="shared" si="80"/>
        <v/>
      </c>
      <c r="E238" s="107" t="str">
        <f t="shared" si="80"/>
        <v/>
      </c>
      <c r="F238" s="107" t="str">
        <f t="shared" si="80"/>
        <v/>
      </c>
      <c r="G238" s="107" t="str">
        <f t="shared" si="80"/>
        <v/>
      </c>
      <c r="H238" s="107" t="str">
        <f t="shared" si="80"/>
        <v/>
      </c>
      <c r="I238" s="107" t="str">
        <f t="shared" si="80"/>
        <v/>
      </c>
      <c r="J238" s="107" t="str">
        <f t="shared" si="80"/>
        <v/>
      </c>
      <c r="K238" s="107" t="str">
        <f t="shared" si="80"/>
        <v/>
      </c>
      <c r="L238" s="107" t="str">
        <f t="shared" si="80"/>
        <v/>
      </c>
      <c r="M238" s="107" t="str">
        <f t="shared" si="80"/>
        <v/>
      </c>
      <c r="N238" s="107" t="str">
        <f t="shared" si="80"/>
        <v/>
      </c>
      <c r="O238" s="107" t="str">
        <f t="shared" si="80"/>
        <v/>
      </c>
      <c r="P238" s="107" t="str">
        <f t="shared" si="80"/>
        <v/>
      </c>
      <c r="Q238" s="107" t="str">
        <f t="shared" si="80"/>
        <v/>
      </c>
      <c r="R238" s="107" t="str">
        <f t="shared" si="80"/>
        <v/>
      </c>
      <c r="S238" s="107" t="str">
        <f t="shared" si="80"/>
        <v/>
      </c>
      <c r="T238" s="107" t="str">
        <f t="shared" si="80"/>
        <v/>
      </c>
      <c r="U238" s="107" t="str">
        <f t="shared" si="80"/>
        <v/>
      </c>
      <c r="V238" s="107" t="str">
        <f t="shared" si="80"/>
        <v/>
      </c>
      <c r="W238" s="107" t="str">
        <f t="shared" si="80"/>
        <v/>
      </c>
      <c r="X238" s="107" t="str">
        <f t="shared" si="80"/>
        <v/>
      </c>
      <c r="Y238" s="107" t="str">
        <f t="shared" si="80"/>
        <v/>
      </c>
      <c r="Z238" s="107" t="str">
        <f t="shared" si="80"/>
        <v/>
      </c>
      <c r="AA238" s="107" t="str">
        <f t="shared" si="80"/>
        <v/>
      </c>
      <c r="AB238" s="107" t="str">
        <f t="shared" si="80"/>
        <v/>
      </c>
      <c r="AC238" s="107" t="str">
        <f t="shared" si="80"/>
        <v/>
      </c>
      <c r="AD238" s="107" t="str">
        <f t="shared" si="80"/>
        <v/>
      </c>
      <c r="AE238" s="107" t="str">
        <f t="shared" si="80"/>
        <v/>
      </c>
      <c r="AF238" s="107" t="str">
        <f t="shared" si="80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1">IF(C206&lt;100,"",C206-1500)</f>
        <v/>
      </c>
      <c r="D239" s="107" t="str">
        <f t="shared" si="81"/>
        <v/>
      </c>
      <c r="E239" s="107" t="str">
        <f t="shared" si="81"/>
        <v/>
      </c>
      <c r="F239" s="107" t="str">
        <f t="shared" si="81"/>
        <v/>
      </c>
      <c r="G239" s="107" t="str">
        <f t="shared" si="81"/>
        <v/>
      </c>
      <c r="H239" s="107" t="str">
        <f t="shared" si="81"/>
        <v/>
      </c>
      <c r="I239" s="107" t="str">
        <f t="shared" si="81"/>
        <v/>
      </c>
      <c r="J239" s="107" t="str">
        <f t="shared" si="81"/>
        <v/>
      </c>
      <c r="K239" s="107" t="str">
        <f t="shared" si="81"/>
        <v/>
      </c>
      <c r="L239" s="107" t="str">
        <f t="shared" si="81"/>
        <v/>
      </c>
      <c r="M239" s="107" t="str">
        <f t="shared" si="81"/>
        <v/>
      </c>
      <c r="N239" s="107" t="str">
        <f t="shared" si="81"/>
        <v/>
      </c>
      <c r="O239" s="107" t="str">
        <f t="shared" si="81"/>
        <v/>
      </c>
      <c r="P239" s="107" t="str">
        <f t="shared" si="81"/>
        <v/>
      </c>
      <c r="Q239" s="107" t="str">
        <f t="shared" si="81"/>
        <v/>
      </c>
      <c r="R239" s="107" t="str">
        <f t="shared" si="81"/>
        <v/>
      </c>
      <c r="S239" s="107" t="str">
        <f t="shared" si="81"/>
        <v/>
      </c>
      <c r="T239" s="107" t="str">
        <f t="shared" si="81"/>
        <v/>
      </c>
      <c r="U239" s="107" t="str">
        <f t="shared" si="81"/>
        <v/>
      </c>
      <c r="V239" s="107" t="str">
        <f t="shared" si="81"/>
        <v/>
      </c>
      <c r="W239" s="107" t="str">
        <f t="shared" si="81"/>
        <v/>
      </c>
      <c r="X239" s="107" t="str">
        <f t="shared" si="81"/>
        <v/>
      </c>
      <c r="Y239" s="107" t="str">
        <f t="shared" si="81"/>
        <v/>
      </c>
      <c r="Z239" s="107" t="str">
        <f t="shared" si="81"/>
        <v/>
      </c>
      <c r="AA239" s="107" t="str">
        <f t="shared" si="81"/>
        <v/>
      </c>
      <c r="AB239" s="107" t="str">
        <f t="shared" si="81"/>
        <v/>
      </c>
      <c r="AC239" s="107" t="str">
        <f t="shared" si="81"/>
        <v/>
      </c>
      <c r="AD239" s="107" t="str">
        <f t="shared" si="81"/>
        <v/>
      </c>
      <c r="AE239" s="107" t="str">
        <f t="shared" si="81"/>
        <v/>
      </c>
      <c r="AF239" s="107" t="str">
        <f t="shared" si="81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U11:AF11">
    <cfRule type="expression" dxfId="974" priority="210">
      <formula>B$9&gt;=20/24</formula>
    </cfRule>
    <cfRule type="expression" dxfId="973" priority="211">
      <formula>AND(B$9&gt;=14/24,B$9&lt;20/24)</formula>
    </cfRule>
    <cfRule type="expression" dxfId="972" priority="212">
      <formula>AND(B$9&gt;=8/24,B$9&lt;14/24)</formula>
    </cfRule>
    <cfRule type="expression" dxfId="971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U37:AF37">
    <cfRule type="expression" dxfId="970" priority="205">
      <formula>U$9&gt;=20/24</formula>
    </cfRule>
    <cfRule type="expression" dxfId="969" priority="206">
      <formula>AND(U$9&gt;=14/24,U$9&lt;20/24)</formula>
    </cfRule>
    <cfRule type="expression" dxfId="968" priority="207">
      <formula>AND(U$9&gt;=8/24,U$9&lt;14/24)</formula>
    </cfRule>
    <cfRule type="expression" dxfId="967" priority="208">
      <formula>U$9&lt;8/24</formula>
    </cfRule>
  </conditionalFormatting>
  <conditionalFormatting sqref="AG51 B12:E16 M11:T11 U11:Z12 F13:Z16 U37:AF37 AA11:AF16">
    <cfRule type="expression" dxfId="966" priority="204">
      <formula>B11&gt;$AG11</formula>
    </cfRule>
  </conditionalFormatting>
  <conditionalFormatting sqref="A101:A157 A84:A97 A11:A14 A45:A72 A80:A82 A74:A78 A35:A43 A170:A200 A16:A32">
    <cfRule type="expression" dxfId="965" priority="203">
      <formula>$AH11=0</formula>
    </cfRule>
  </conditionalFormatting>
  <conditionalFormatting sqref="A98">
    <cfRule type="expression" dxfId="964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963" priority="200">
      <formula>$AH34=0</formula>
    </cfRule>
  </conditionalFormatting>
  <conditionalFormatting sqref="A83">
    <cfRule type="expression" dxfId="962" priority="199">
      <formula>$AH83=0</formula>
    </cfRule>
  </conditionalFormatting>
  <conditionalFormatting sqref="A15">
    <cfRule type="expression" dxfId="961" priority="198">
      <formula>$AH15=0</formula>
    </cfRule>
  </conditionalFormatting>
  <conditionalFormatting sqref="A164:A169">
    <cfRule type="expression" dxfId="960" priority="197">
      <formula>$AH164=0</formula>
    </cfRule>
  </conditionalFormatting>
  <conditionalFormatting sqref="A158:A163">
    <cfRule type="expression" dxfId="959" priority="196">
      <formula>$AH158=0</formula>
    </cfRule>
  </conditionalFormatting>
  <conditionalFormatting sqref="A44">
    <cfRule type="expression" dxfId="958" priority="195">
      <formula>$AH44=0</formula>
    </cfRule>
  </conditionalFormatting>
  <conditionalFormatting sqref="A79">
    <cfRule type="expression" dxfId="957" priority="194">
      <formula>$AH79=0</formula>
    </cfRule>
  </conditionalFormatting>
  <conditionalFormatting sqref="A73">
    <cfRule type="expression" dxfId="956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955" priority="189">
      <formula>C$9&gt;=20/24</formula>
    </cfRule>
    <cfRule type="expression" dxfId="954" priority="190">
      <formula>AND(C$9&gt;=14/24,C$9&lt;20/24)</formula>
    </cfRule>
    <cfRule type="expression" dxfId="953" priority="191">
      <formula>AND(C$9&gt;=8/24,C$9&lt;14/24)</formula>
    </cfRule>
    <cfRule type="expression" dxfId="952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51" priority="217">
      <formula>C$9&gt;=20/24</formula>
    </cfRule>
    <cfRule type="expression" dxfId="950" priority="218">
      <formula>AND(C$9&gt;=14/24,C$9&lt;20/24)</formula>
    </cfRule>
    <cfRule type="expression" dxfId="949" priority="219">
      <formula>AND(C$9&gt;=8/24,C$9&lt;14/24)</formula>
    </cfRule>
    <cfRule type="expression" dxfId="948" priority="220">
      <formula>C$9&lt;8/24</formula>
    </cfRule>
  </conditionalFormatting>
  <conditionalFormatting sqref="A201">
    <cfRule type="expression" dxfId="947" priority="221">
      <formula>$AH201=0</formula>
    </cfRule>
  </conditionalFormatting>
  <conditionalFormatting sqref="AG213">
    <cfRule type="expression" dxfId="946" priority="222">
      <formula>B$9&gt;=20/24</formula>
    </cfRule>
    <cfRule type="expression" dxfId="945" priority="223">
      <formula>AND(B$9&gt;=14/24,B$9&lt;20/24)</formula>
    </cfRule>
    <cfRule type="expression" dxfId="944" priority="224">
      <formula>AND(B$9&gt;=8/24,B$9&lt;14/24)</formula>
    </cfRule>
    <cfRule type="expression" dxfId="943" priority="225">
      <formula>B$9&lt;8/24</formula>
    </cfRule>
  </conditionalFormatting>
  <conditionalFormatting sqref="S8">
    <cfRule type="expression" dxfId="942" priority="184">
      <formula>U$9&gt;=20/24</formula>
    </cfRule>
    <cfRule type="expression" dxfId="941" priority="185">
      <formula>AND(U$9&gt;=14/24,U$9&lt;20/24)</formula>
    </cfRule>
    <cfRule type="expression" dxfId="940" priority="186">
      <formula>AND(U$9&gt;=8/24,U$9&lt;14/24)</formula>
    </cfRule>
    <cfRule type="expression" dxfId="939" priority="187">
      <formula>U$9&lt;8/24</formula>
    </cfRule>
  </conditionalFormatting>
  <conditionalFormatting sqref="AB8">
    <cfRule type="expression" dxfId="938" priority="180">
      <formula>AD$9&gt;=20/24</formula>
    </cfRule>
    <cfRule type="expression" dxfId="937" priority="181">
      <formula>AND(AD$9&gt;=14/24,AD$9&lt;20/24)</formula>
    </cfRule>
    <cfRule type="expression" dxfId="936" priority="182">
      <formula>AND(AD$9&gt;=8/24,AD$9&lt;14/24)</formula>
    </cfRule>
    <cfRule type="expression" dxfId="935" priority="183">
      <formula>AD$9&lt;8/24</formula>
    </cfRule>
  </conditionalFormatting>
  <conditionalFormatting sqref="AH213:AX213">
    <cfRule type="expression" dxfId="934" priority="226">
      <formula>AG$9&gt;=20/24</formula>
    </cfRule>
    <cfRule type="expression" dxfId="933" priority="227">
      <formula>AND(AG$9&gt;=14/24,AG$9&lt;20/24)</formula>
    </cfRule>
    <cfRule type="expression" dxfId="932" priority="228">
      <formula>AND(AG$9&gt;=8/24,AG$9&lt;14/24)</formula>
    </cfRule>
    <cfRule type="expression" dxfId="931" priority="229">
      <formula>AG$9&lt;8/24</formula>
    </cfRule>
  </conditionalFormatting>
  <conditionalFormatting sqref="T213">
    <cfRule type="expression" dxfId="930" priority="230">
      <formula>AX$9&gt;=20/24</formula>
    </cfRule>
    <cfRule type="expression" dxfId="929" priority="231">
      <formula>AND(AX$9&gt;=14/24,AX$9&lt;20/24)</formula>
    </cfRule>
    <cfRule type="expression" dxfId="928" priority="232">
      <formula>AND(AX$9&gt;=8/24,AX$9&lt;14/24)</formula>
    </cfRule>
    <cfRule type="expression" dxfId="927" priority="233">
      <formula>AX$9&lt;8/24</formula>
    </cfRule>
  </conditionalFormatting>
  <conditionalFormatting sqref="A99:A100">
    <cfRule type="expression" dxfId="926" priority="179">
      <formula>$AH99=0</formula>
    </cfRule>
  </conditionalFormatting>
  <conditionalFormatting sqref="E40:L41 F11:L11 C57:AF57 U40:AF41">
    <cfRule type="expression" dxfId="925" priority="175">
      <formula>C$9&gt;=20/24</formula>
    </cfRule>
    <cfRule type="expression" dxfId="924" priority="176">
      <formula>AND(C$9&gt;=14/24,C$9&lt;20/24)</formula>
    </cfRule>
    <cfRule type="expression" dxfId="923" priority="177">
      <formula>AND(C$9&gt;=8/24,C$9&lt;14/24)</formula>
    </cfRule>
    <cfRule type="expression" dxfId="922" priority="178">
      <formula>C$9&lt;8/24</formula>
    </cfRule>
  </conditionalFormatting>
  <conditionalFormatting sqref="E39:L39 U39:AF39">
    <cfRule type="expression" dxfId="921" priority="171">
      <formula>E$9&gt;=20/24</formula>
    </cfRule>
    <cfRule type="expression" dxfId="920" priority="172">
      <formula>AND(E$9&gt;=14/24,E$9&lt;20/24)</formula>
    </cfRule>
    <cfRule type="expression" dxfId="919" priority="173">
      <formula>AND(E$9&gt;=8/24,E$9&lt;14/24)</formula>
    </cfRule>
    <cfRule type="expression" dxfId="918" priority="174">
      <formula>E$9&lt;8/24</formula>
    </cfRule>
  </conditionalFormatting>
  <conditionalFormatting sqref="E39:L41 F11:L11 U39:AF41">
    <cfRule type="expression" dxfId="917" priority="170">
      <formula>E11&gt;$AG11</formula>
    </cfRule>
  </conditionalFormatting>
  <conditionalFormatting sqref="M11 C81:AF81 C58:R59 C69:AF72 M64:M66 F67:M67 N62:O67 F61:O61 P61:R67 F60:R60 M37:R37 F12:M12 F62:M63 F36:R36 S36:T37 N11:T12 U12:Z12 Z13:Z14 C53:AF56 C85:AF91 Z16:AF16 AA12:AF14 V18:AF18 U36:AF36 S58:AF67">
    <cfRule type="expression" dxfId="916" priority="166">
      <formula>C$9&gt;=20/24</formula>
    </cfRule>
    <cfRule type="expression" dxfId="915" priority="167">
      <formula>AND(C$9&gt;=14/24,C$9&lt;20/24)</formula>
    </cfRule>
    <cfRule type="expression" dxfId="914" priority="168">
      <formula>AND(C$9&gt;=8/24,C$9&lt;14/24)</formula>
    </cfRule>
    <cfRule type="expression" dxfId="913" priority="169">
      <formula>C$9&lt;8/24</formula>
    </cfRule>
  </conditionalFormatting>
  <conditionalFormatting sqref="M11 C51:AF51 C37:R37 E42:L42 F43:L44 F12:M12 F36:R36 S36:T37 N11:T12 C53:AF56 V18:AF18 U36:AF36">
    <cfRule type="expression" dxfId="912" priority="157">
      <formula>C11&gt;$AG11</formula>
    </cfRule>
  </conditionalFormatting>
  <conditionalFormatting sqref="Z15:AF15">
    <cfRule type="expression" dxfId="911" priority="149">
      <formula>Z$9&gt;=20/24</formula>
    </cfRule>
    <cfRule type="expression" dxfId="910" priority="150">
      <formula>AND(Z$9&gt;=14/24,Z$9&lt;20/24)</formula>
    </cfRule>
    <cfRule type="expression" dxfId="909" priority="151">
      <formula>AND(Z$9&gt;=8/24,Z$9&lt;14/24)</formula>
    </cfRule>
    <cfRule type="expression" dxfId="908" priority="152">
      <formula>Z$9&lt;8/24</formula>
    </cfRule>
  </conditionalFormatting>
  <conditionalFormatting sqref="M39:T50 U42:AF50">
    <cfRule type="expression" dxfId="907" priority="131">
      <formula>M$9&gt;=20/24</formula>
    </cfRule>
    <cfRule type="expression" dxfId="906" priority="132">
      <formula>AND(M$9&gt;=14/24,M$9&lt;20/24)</formula>
    </cfRule>
    <cfRule type="expression" dxfId="905" priority="133">
      <formula>AND(M$9&gt;=8/24,M$9&lt;14/24)</formula>
    </cfRule>
    <cfRule type="expression" dxfId="904" priority="134">
      <formula>M$9&lt;8/24</formula>
    </cfRule>
  </conditionalFormatting>
  <conditionalFormatting sqref="M39:T50 U42:AF50">
    <cfRule type="expression" dxfId="903" priority="130">
      <formula>M39&gt;$AG39</formula>
    </cfRule>
  </conditionalFormatting>
  <conditionalFormatting sqref="E16:Y16 E26:AF26 C22:AF22">
    <cfRule type="expression" dxfId="902" priority="122">
      <formula>C$9&gt;=20/24</formula>
    </cfRule>
    <cfRule type="expression" dxfId="901" priority="123">
      <formula>AND(C$9&gt;=14/24,C$9&lt;20/24)</formula>
    </cfRule>
    <cfRule type="expression" dxfId="900" priority="124">
      <formula>AND(C$9&gt;=8/24,C$9&lt;14/24)</formula>
    </cfRule>
    <cfRule type="expression" dxfId="899" priority="125">
      <formula>C$9&lt;8/24</formula>
    </cfRule>
  </conditionalFormatting>
  <conditionalFormatting sqref="E26:AF26 C22:AF22">
    <cfRule type="expression" dxfId="898" priority="113">
      <formula>C22&gt;$AG22</formula>
    </cfRule>
  </conditionalFormatting>
  <conditionalFormatting sqref="C40:D41">
    <cfRule type="expression" dxfId="897" priority="96">
      <formula>C$9&gt;=20/24</formula>
    </cfRule>
    <cfRule type="expression" dxfId="896" priority="97">
      <formula>AND(C$9&gt;=14/24,C$9&lt;20/24)</formula>
    </cfRule>
    <cfRule type="expression" dxfId="895" priority="98">
      <formula>AND(C$9&gt;=8/24,C$9&lt;14/24)</formula>
    </cfRule>
    <cfRule type="expression" dxfId="894" priority="99">
      <formula>C$9&lt;8/24</formula>
    </cfRule>
  </conditionalFormatting>
  <conditionalFormatting sqref="C39:D39">
    <cfRule type="expression" dxfId="893" priority="92">
      <formula>C$9&gt;=20/24</formula>
    </cfRule>
    <cfRule type="expression" dxfId="892" priority="93">
      <formula>AND(C$9&gt;=14/24,C$9&lt;20/24)</formula>
    </cfRule>
    <cfRule type="expression" dxfId="891" priority="94">
      <formula>AND(C$9&gt;=8/24,C$9&lt;14/24)</formula>
    </cfRule>
    <cfRule type="expression" dxfId="890" priority="95">
      <formula>C$9&lt;8/24</formula>
    </cfRule>
  </conditionalFormatting>
  <conditionalFormatting sqref="C39:D41">
    <cfRule type="expression" dxfId="889" priority="91">
      <formula>C39&gt;$AG39</formula>
    </cfRule>
  </conditionalFormatting>
  <conditionalFormatting sqref="F64:L66">
    <cfRule type="expression" dxfId="888" priority="87">
      <formula>F$9&gt;=20/24</formula>
    </cfRule>
    <cfRule type="expression" dxfId="887" priority="88">
      <formula>AND(F$9&gt;=14/24,F$9&lt;20/24)</formula>
    </cfRule>
    <cfRule type="expression" dxfId="886" priority="89">
      <formula>AND(F$9&gt;=8/24,F$9&lt;14/24)</formula>
    </cfRule>
    <cfRule type="expression" dxfId="885" priority="90">
      <formula>F$9&lt;8/24</formula>
    </cfRule>
  </conditionalFormatting>
  <conditionalFormatting sqref="C42:D43 E43">
    <cfRule type="expression" dxfId="884" priority="86">
      <formula>C42&gt;$AG42</formula>
    </cfRule>
  </conditionalFormatting>
  <conditionalFormatting sqref="C44:D45 D46:D49 E44:E49 B50:E50 F45:L50">
    <cfRule type="expression" dxfId="883" priority="82">
      <formula>B$9&gt;=20/24</formula>
    </cfRule>
    <cfRule type="expression" dxfId="882" priority="83">
      <formula>AND(B$9&gt;=14/24,B$9&lt;20/24)</formula>
    </cfRule>
    <cfRule type="expression" dxfId="881" priority="84">
      <formula>AND(B$9&gt;=8/24,B$9&lt;14/24)</formula>
    </cfRule>
    <cfRule type="expression" dxfId="880" priority="85">
      <formula>B$9&lt;8/24</formula>
    </cfRule>
  </conditionalFormatting>
  <conditionalFormatting sqref="C44:D45 D46:D49 E44:E49 B50:E50 F45:L50">
    <cfRule type="expression" dxfId="879" priority="81">
      <formula>B44&gt;$AG44</formula>
    </cfRule>
  </conditionalFormatting>
  <conditionalFormatting sqref="B94:B100 B74:AF74 B82:AF82 B11:E11">
    <cfRule type="expression" dxfId="878" priority="68">
      <formula>B$9&gt;=20/24</formula>
    </cfRule>
    <cfRule type="expression" dxfId="877" priority="69">
      <formula>AND(B$9&gt;=14/24,B$9&lt;20/24)</formula>
    </cfRule>
    <cfRule type="expression" dxfId="876" priority="70">
      <formula>AND(B$9&gt;=8/24,B$9&lt;14/24)</formula>
    </cfRule>
    <cfRule type="expression" dxfId="875" priority="71">
      <formula>B$9&lt;8/24</formula>
    </cfRule>
  </conditionalFormatting>
  <conditionalFormatting sqref="B37">
    <cfRule type="expression" dxfId="874" priority="64">
      <formula>B$9&gt;=20/24</formula>
    </cfRule>
    <cfRule type="expression" dxfId="873" priority="65">
      <formula>AND(B$9&gt;=14/24,B$9&lt;20/24)</formula>
    </cfRule>
    <cfRule type="expression" dxfId="872" priority="66">
      <formula>AND(B$9&gt;=8/24,B$9&lt;14/24)</formula>
    </cfRule>
    <cfRule type="expression" dxfId="871" priority="67">
      <formula>B$9&lt;8/24</formula>
    </cfRule>
  </conditionalFormatting>
  <conditionalFormatting sqref="B37 B11:E11">
    <cfRule type="expression" dxfId="870" priority="63">
      <formula>B11&gt;$AG11</formula>
    </cfRule>
  </conditionalFormatting>
  <conditionalFormatting sqref="B84">
    <cfRule type="expression" dxfId="869" priority="59">
      <formula>B$9&gt;=20/24</formula>
    </cfRule>
    <cfRule type="expression" dxfId="868" priority="60">
      <formula>AND(B$9&gt;=14/24,B$9&lt;20/24)</formula>
    </cfRule>
    <cfRule type="expression" dxfId="867" priority="61">
      <formula>AND(B$9&gt;=8/24,B$9&lt;14/24)</formula>
    </cfRule>
    <cfRule type="expression" dxfId="866" priority="62">
      <formula>B$9&lt;8/24</formula>
    </cfRule>
  </conditionalFormatting>
  <conditionalFormatting sqref="B40:B41 B57 B36:E36">
    <cfRule type="expression" dxfId="865" priority="55">
      <formula>B$9&gt;=20/24</formula>
    </cfRule>
    <cfRule type="expression" dxfId="864" priority="56">
      <formula>AND(B$9&gt;=14/24,B$9&lt;20/24)</formula>
    </cfRule>
    <cfRule type="expression" dxfId="863" priority="57">
      <formula>AND(B$9&gt;=8/24,B$9&lt;14/24)</formula>
    </cfRule>
    <cfRule type="expression" dxfId="862" priority="58">
      <formula>B$9&lt;8/24</formula>
    </cfRule>
  </conditionalFormatting>
  <conditionalFormatting sqref="B39">
    <cfRule type="expression" dxfId="861" priority="51">
      <formula>B$9&gt;=20/24</formula>
    </cfRule>
    <cfRule type="expression" dxfId="860" priority="52">
      <formula>AND(B$9&gt;=14/24,B$9&lt;20/24)</formula>
    </cfRule>
    <cfRule type="expression" dxfId="859" priority="53">
      <formula>AND(B$9&gt;=8/24,B$9&lt;14/24)</formula>
    </cfRule>
    <cfRule type="expression" dxfId="858" priority="54">
      <formula>B$9&lt;8/24</formula>
    </cfRule>
  </conditionalFormatting>
  <conditionalFormatting sqref="B39:B41 B36:E36">
    <cfRule type="expression" dxfId="857" priority="50">
      <formula>B36&gt;$AG36</formula>
    </cfRule>
  </conditionalFormatting>
  <conditionalFormatting sqref="B85:B91 B18:B22 B53:B56 B58:B67 B69:B73 B75:AF75 C73:AF73 B81 B83:AF83 B16:D16 B24:D26 B12:E14 C60:E67 C18:U21 F13:AF14 V19:AF21 E24:AF25 B28:AF31">
    <cfRule type="expression" dxfId="856" priority="46">
      <formula>B$9&gt;=20/24</formula>
    </cfRule>
    <cfRule type="expression" dxfId="855" priority="47">
      <formula>AND(B$9&gt;=14/24,B$9&lt;20/24)</formula>
    </cfRule>
    <cfRule type="expression" dxfId="854" priority="48">
      <formula>AND(B$9&gt;=8/24,B$9&lt;14/24)</formula>
    </cfRule>
    <cfRule type="expression" dxfId="853" priority="49">
      <formula>B$9&lt;8/24</formula>
    </cfRule>
  </conditionalFormatting>
  <conditionalFormatting sqref="B32:AF32">
    <cfRule type="expression" dxfId="852" priority="42">
      <formula>B$9&gt;=20/24</formula>
    </cfRule>
    <cfRule type="expression" dxfId="851" priority="43">
      <formula>AND(B$9&gt;=14/24,B$9&lt;20/24)</formula>
    </cfRule>
    <cfRule type="expression" dxfId="850" priority="44">
      <formula>AND(B$9&gt;=8/24,B$9&lt;14/24)</formula>
    </cfRule>
    <cfRule type="expression" dxfId="849" priority="45">
      <formula>B$9&lt;8/24</formula>
    </cfRule>
  </conditionalFormatting>
  <conditionalFormatting sqref="B35:AF35">
    <cfRule type="expression" dxfId="848" priority="38">
      <formula>B$9&gt;=20/24</formula>
    </cfRule>
    <cfRule type="expression" dxfId="847" priority="39">
      <formula>AND(B$9&gt;=14/24,B$9&lt;20/24)</formula>
    </cfRule>
    <cfRule type="expression" dxfId="846" priority="40">
      <formula>AND(B$9&gt;=8/24,B$9&lt;14/24)</formula>
    </cfRule>
    <cfRule type="expression" dxfId="845" priority="41">
      <formula>B$9&lt;8/24</formula>
    </cfRule>
  </conditionalFormatting>
  <conditionalFormatting sqref="B42:B43 B18:B22 B51:B56 C52:AF52 B38:AF38 B24:D32 C18:U21 V19:AF21 E24:AF25 E27:AF32 B34:AF35">
    <cfRule type="expression" dxfId="844" priority="37">
      <formula>B18&gt;$AG18</formula>
    </cfRule>
  </conditionalFormatting>
  <conditionalFormatting sqref="B34:AF34">
    <cfRule type="expression" dxfId="843" priority="33">
      <formula>B$9&gt;=20/24</formula>
    </cfRule>
    <cfRule type="expression" dxfId="842" priority="34">
      <formula>AND(B$9&gt;=14/24,B$9&lt;20/24)</formula>
    </cfRule>
    <cfRule type="expression" dxfId="841" priority="35">
      <formula>AND(B$9&gt;=8/24,B$9&lt;14/24)</formula>
    </cfRule>
    <cfRule type="expression" dxfId="840" priority="36">
      <formula>B$9&lt;8/24</formula>
    </cfRule>
  </conditionalFormatting>
  <conditionalFormatting sqref="B15:AF15">
    <cfRule type="expression" dxfId="839" priority="29">
      <formula>B$9&gt;=20/24</formula>
    </cfRule>
    <cfRule type="expression" dxfId="838" priority="30">
      <formula>AND(B$9&gt;=14/24,B$9&lt;20/24)</formula>
    </cfRule>
    <cfRule type="expression" dxfId="837" priority="31">
      <formula>AND(B$9&gt;=8/24,B$9&lt;14/24)</formula>
    </cfRule>
    <cfRule type="expression" dxfId="836" priority="32">
      <formula>B$9&lt;8/24</formula>
    </cfRule>
  </conditionalFormatting>
  <conditionalFormatting sqref="B33:AF33">
    <cfRule type="expression" dxfId="835" priority="25">
      <formula>B$9&gt;=20/24</formula>
    </cfRule>
    <cfRule type="expression" dxfId="834" priority="26">
      <formula>AND(B$9&gt;=14/24,B$9&lt;20/24)</formula>
    </cfRule>
    <cfRule type="expression" dxfId="833" priority="27">
      <formula>AND(B$9&gt;=8/24,B$9&lt;14/24)</formula>
    </cfRule>
    <cfRule type="expression" dxfId="832" priority="28">
      <formula>B$9&lt;8/24</formula>
    </cfRule>
  </conditionalFormatting>
  <conditionalFormatting sqref="B33:AF33">
    <cfRule type="expression" dxfId="831" priority="24">
      <formula>B33&gt;$AG33</formula>
    </cfRule>
  </conditionalFormatting>
  <conditionalFormatting sqref="B44:B49 C46:C49">
    <cfRule type="expression" dxfId="830" priority="20">
      <formula>B$9&gt;=20/24</formula>
    </cfRule>
    <cfRule type="expression" dxfId="829" priority="21">
      <formula>AND(B$9&gt;=14/24,B$9&lt;20/24)</formula>
    </cfRule>
    <cfRule type="expression" dxfId="828" priority="22">
      <formula>AND(B$9&gt;=8/24,B$9&lt;14/24)</formula>
    </cfRule>
    <cfRule type="expression" dxfId="827" priority="23">
      <formula>B$9&lt;8/24</formula>
    </cfRule>
  </conditionalFormatting>
  <conditionalFormatting sqref="B44:B49 C46:C49">
    <cfRule type="expression" dxfId="826" priority="19">
      <formula>B44&gt;$AG44</formula>
    </cfRule>
  </conditionalFormatting>
  <conditionalFormatting sqref="B27:AF27">
    <cfRule type="expression" dxfId="825" priority="15">
      <formula>B$9&gt;=20/24</formula>
    </cfRule>
    <cfRule type="expression" dxfId="824" priority="16">
      <formula>AND(B$9&gt;=14/24,B$9&lt;20/24)</formula>
    </cfRule>
    <cfRule type="expression" dxfId="823" priority="17">
      <formula>AND(B$9&gt;=8/24,B$9&lt;14/24)</formula>
    </cfRule>
    <cfRule type="expression" dxfId="822" priority="18">
      <formula>B$9&lt;8/24</formula>
    </cfRule>
  </conditionalFormatting>
  <conditionalFormatting sqref="B17:AF17 B23:AF23">
    <cfRule type="expression" dxfId="821" priority="11">
      <formula>B$9&gt;=20/24</formula>
    </cfRule>
    <cfRule type="expression" dxfId="820" priority="12">
      <formula>AND(B$9&gt;=14/24,B$9&lt;20/24)</formula>
    </cfRule>
    <cfRule type="expression" dxfId="819" priority="13">
      <formula>AND(B$9&gt;=8/24,B$9&lt;14/24)</formula>
    </cfRule>
    <cfRule type="expression" dxfId="818" priority="14">
      <formula>B$9&lt;8/24</formula>
    </cfRule>
  </conditionalFormatting>
  <conditionalFormatting sqref="B17:AF17 B23:AF23">
    <cfRule type="expression" dxfId="817" priority="10">
      <formula>B17&gt;$AG17</formula>
    </cfRule>
  </conditionalFormatting>
  <conditionalFormatting sqref="A33">
    <cfRule type="expression" dxfId="816" priority="9">
      <formula>$AH33=0</formula>
    </cfRule>
  </conditionalFormatting>
  <conditionalFormatting sqref="B68:AF68">
    <cfRule type="expression" dxfId="815" priority="5">
      <formula>B$9&gt;=20/24</formula>
    </cfRule>
    <cfRule type="expression" dxfId="814" priority="6">
      <formula>AND(B$9&gt;=14/24,B$9&lt;20/24)</formula>
    </cfRule>
    <cfRule type="expression" dxfId="813" priority="7">
      <formula>AND(B$9&gt;=8/24,B$9&lt;14/24)</formula>
    </cfRule>
    <cfRule type="expression" dxfId="812" priority="8">
      <formula>B$9&lt;8/24</formula>
    </cfRule>
  </conditionalFormatting>
  <conditionalFormatting sqref="B76:AF80">
    <cfRule type="expression" dxfId="811" priority="1">
      <formula>B$9&gt;=20/24</formula>
    </cfRule>
    <cfRule type="expression" dxfId="810" priority="2">
      <formula>AND(B$9&gt;=14/24,B$9&lt;20/24)</formula>
    </cfRule>
    <cfRule type="expression" dxfId="809" priority="3">
      <formula>AND(B$9&gt;=8/24,B$9&lt;14/24)</formula>
    </cfRule>
    <cfRule type="expression" dxfId="808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A97" sqref="A97:XFD9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2079/02/30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50</v>
      </c>
      <c r="C5" s="32">
        <f t="shared" si="0"/>
        <v>49</v>
      </c>
      <c r="D5" s="32">
        <f t="shared" si="0"/>
        <v>50</v>
      </c>
      <c r="E5" s="32">
        <f t="shared" si="0"/>
        <v>42</v>
      </c>
      <c r="F5" s="32">
        <f t="shared" si="0"/>
        <v>44</v>
      </c>
      <c r="G5" s="32">
        <f t="shared" si="0"/>
        <v>50</v>
      </c>
      <c r="H5" s="32">
        <f t="shared" si="0"/>
        <v>45</v>
      </c>
      <c r="I5" s="32">
        <f t="shared" si="0"/>
        <v>75</v>
      </c>
      <c r="J5" s="32">
        <f t="shared" si="0"/>
        <v>73</v>
      </c>
      <c r="K5" s="32">
        <f t="shared" si="0"/>
        <v>0</v>
      </c>
      <c r="L5" s="32">
        <f t="shared" si="0"/>
        <v>70.900000000000006</v>
      </c>
      <c r="M5" s="32">
        <f t="shared" si="0"/>
        <v>75</v>
      </c>
      <c r="N5" s="32">
        <f t="shared" si="0"/>
        <v>61.6</v>
      </c>
      <c r="O5" s="32">
        <f t="shared" si="0"/>
        <v>64.099999999999994</v>
      </c>
      <c r="P5" s="32">
        <f t="shared" si="0"/>
        <v>71</v>
      </c>
      <c r="Q5" s="32">
        <f t="shared" si="0"/>
        <v>61.8</v>
      </c>
      <c r="R5" s="32">
        <f t="shared" si="0"/>
        <v>66.52000000000001</v>
      </c>
      <c r="S5" s="32">
        <f t="shared" si="0"/>
        <v>68.11</v>
      </c>
      <c r="T5" s="32">
        <f t="shared" si="0"/>
        <v>62</v>
      </c>
      <c r="U5" s="32">
        <f t="shared" si="0"/>
        <v>62</v>
      </c>
      <c r="V5" s="32">
        <f t="shared" si="0"/>
        <v>70</v>
      </c>
      <c r="W5" s="32">
        <f t="shared" si="0"/>
        <v>43.3</v>
      </c>
      <c r="X5" s="32">
        <f t="shared" si="0"/>
        <v>54.9</v>
      </c>
      <c r="Y5" s="32">
        <f t="shared" si="0"/>
        <v>48.2</v>
      </c>
      <c r="Z5" s="32">
        <f t="shared" si="0"/>
        <v>55.5</v>
      </c>
      <c r="AA5" s="32">
        <f t="shared" si="0"/>
        <v>77.3</v>
      </c>
      <c r="AB5" s="32">
        <f t="shared" si="0"/>
        <v>81</v>
      </c>
      <c r="AC5" s="32">
        <f t="shared" si="0"/>
        <v>83</v>
      </c>
      <c r="AD5" s="32">
        <f t="shared" si="0"/>
        <v>76.099999999999994</v>
      </c>
      <c r="AE5" s="32">
        <f t="shared" si="0"/>
        <v>50</v>
      </c>
      <c r="AF5" s="32">
        <f>B68</f>
        <v>51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1789MW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Load=1587</v>
      </c>
      <c r="B7" s="37">
        <f>B75</f>
        <v>1733.04</v>
      </c>
      <c r="C7" s="37">
        <f t="shared" ref="C7:AF7" si="1">C75</f>
        <v>1732.6399999999999</v>
      </c>
      <c r="D7" s="37">
        <f t="shared" si="1"/>
        <v>1731.6399999999999</v>
      </c>
      <c r="E7" s="37">
        <f t="shared" si="1"/>
        <v>1742.6399999999999</v>
      </c>
      <c r="F7" s="37">
        <f t="shared" si="1"/>
        <v>1729.1399999999999</v>
      </c>
      <c r="G7" s="37">
        <f t="shared" si="1"/>
        <v>1735.04</v>
      </c>
      <c r="H7" s="37">
        <f t="shared" si="1"/>
        <v>1732.1399999999999</v>
      </c>
      <c r="I7" s="37">
        <f t="shared" si="1"/>
        <v>1702.1399999999999</v>
      </c>
      <c r="J7" s="37">
        <f t="shared" si="1"/>
        <v>1712.1399999999999</v>
      </c>
      <c r="K7" s="37">
        <f t="shared" si="1"/>
        <v>1710.1399999999999</v>
      </c>
      <c r="L7" s="37">
        <f t="shared" si="1"/>
        <v>1662.1399999999999</v>
      </c>
      <c r="M7" s="37">
        <f t="shared" si="1"/>
        <v>1774.6400000000003</v>
      </c>
      <c r="N7" s="37">
        <f t="shared" si="1"/>
        <v>1788.54</v>
      </c>
      <c r="O7" s="37">
        <f t="shared" si="1"/>
        <v>1769.94</v>
      </c>
      <c r="P7" s="37">
        <f t="shared" si="1"/>
        <v>1724.94</v>
      </c>
      <c r="Q7" s="37">
        <f t="shared" si="1"/>
        <v>1737.24</v>
      </c>
      <c r="R7" s="37">
        <f t="shared" si="1"/>
        <v>1730.44</v>
      </c>
      <c r="S7" s="37">
        <f t="shared" si="1"/>
        <v>1741.16</v>
      </c>
      <c r="T7" s="37">
        <f t="shared" si="1"/>
        <v>1784.85</v>
      </c>
      <c r="U7" s="37">
        <f t="shared" si="1"/>
        <v>1783.34</v>
      </c>
      <c r="V7" s="37">
        <f t="shared" si="1"/>
        <v>1587.2399999999998</v>
      </c>
      <c r="W7" s="37">
        <f t="shared" si="1"/>
        <v>1745.4</v>
      </c>
      <c r="X7" s="37">
        <f t="shared" si="1"/>
        <v>1740.34</v>
      </c>
      <c r="Y7" s="37">
        <f t="shared" si="1"/>
        <v>1747.94</v>
      </c>
      <c r="Z7" s="37">
        <f t="shared" si="1"/>
        <v>1695.44</v>
      </c>
      <c r="AA7" s="37">
        <f t="shared" si="1"/>
        <v>1732.3400000000001</v>
      </c>
      <c r="AB7" s="37">
        <f t="shared" si="1"/>
        <v>1798.0400000000002</v>
      </c>
      <c r="AC7" s="37">
        <f t="shared" si="1"/>
        <v>1801.7400000000002</v>
      </c>
      <c r="AD7" s="37">
        <f t="shared" si="1"/>
        <v>1779.44</v>
      </c>
      <c r="AE7" s="37">
        <f t="shared" si="1"/>
        <v>1791.7399999999998</v>
      </c>
      <c r="AF7" s="37">
        <f t="shared" si="1"/>
        <v>1765.3400000000001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customHeight="1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49">
        <v>456</v>
      </c>
      <c r="G11" s="49">
        <v>456</v>
      </c>
      <c r="H11" s="49">
        <v>456</v>
      </c>
      <c r="I11" s="49">
        <v>456</v>
      </c>
      <c r="J11" s="49">
        <v>456</v>
      </c>
      <c r="K11" s="49">
        <v>456</v>
      </c>
      <c r="L11" s="49">
        <v>456</v>
      </c>
      <c r="M11" s="49">
        <v>456</v>
      </c>
      <c r="N11" s="49">
        <v>456</v>
      </c>
      <c r="O11" s="49">
        <v>456</v>
      </c>
      <c r="P11" s="49">
        <v>456</v>
      </c>
      <c r="Q11" s="49">
        <v>456</v>
      </c>
      <c r="R11" s="49">
        <v>456</v>
      </c>
      <c r="S11" s="49">
        <v>456</v>
      </c>
      <c r="T11" s="49">
        <v>456</v>
      </c>
      <c r="U11" s="53">
        <v>456</v>
      </c>
      <c r="V11" s="53">
        <v>456</v>
      </c>
      <c r="W11" s="53">
        <v>456</v>
      </c>
      <c r="X11" s="53">
        <v>456</v>
      </c>
      <c r="Y11" s="53">
        <v>456</v>
      </c>
      <c r="Z11" s="53">
        <v>456</v>
      </c>
      <c r="AA11" s="53">
        <v>456</v>
      </c>
      <c r="AB11" s="53">
        <v>456</v>
      </c>
      <c r="AC11" s="53">
        <v>456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456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54.2</v>
      </c>
      <c r="C13" s="51">
        <v>54.2</v>
      </c>
      <c r="D13" s="51">
        <v>54.2</v>
      </c>
      <c r="E13" s="51">
        <v>54.2</v>
      </c>
      <c r="F13" s="51">
        <v>54.2</v>
      </c>
      <c r="G13" s="51">
        <v>54.2</v>
      </c>
      <c r="H13" s="51">
        <v>54.2</v>
      </c>
      <c r="I13" s="51">
        <v>54.2</v>
      </c>
      <c r="J13" s="51">
        <v>54.2</v>
      </c>
      <c r="K13" s="51">
        <v>54.2</v>
      </c>
      <c r="L13" s="51">
        <v>54.2</v>
      </c>
      <c r="M13" s="51">
        <v>54.2</v>
      </c>
      <c r="N13" s="51">
        <v>54.2</v>
      </c>
      <c r="O13" s="51">
        <v>54.2</v>
      </c>
      <c r="P13" s="51">
        <v>54.2</v>
      </c>
      <c r="Q13" s="51">
        <v>54.2</v>
      </c>
      <c r="R13" s="51">
        <v>54.2</v>
      </c>
      <c r="S13" s="51">
        <v>54.2</v>
      </c>
      <c r="T13" s="51">
        <v>45.9</v>
      </c>
      <c r="U13" s="51">
        <v>45.9</v>
      </c>
      <c r="V13" s="51">
        <v>0</v>
      </c>
      <c r="W13" s="51">
        <v>27.26</v>
      </c>
      <c r="X13" s="51">
        <v>27.6</v>
      </c>
      <c r="Y13" s="51">
        <v>27.6</v>
      </c>
      <c r="Z13" s="51">
        <v>27.6</v>
      </c>
      <c r="AA13" s="51">
        <v>54.2</v>
      </c>
      <c r="AB13" s="51">
        <v>54.2</v>
      </c>
      <c r="AC13" s="51">
        <v>54.2</v>
      </c>
      <c r="AD13" s="51">
        <v>29.9</v>
      </c>
      <c r="AE13" s="51">
        <v>54.2</v>
      </c>
      <c r="AF13" s="51">
        <v>54.2</v>
      </c>
      <c r="AG13" s="59">
        <v>52.4</v>
      </c>
      <c r="AH13" s="55">
        <f t="shared" si="2"/>
        <v>54.2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50.5</v>
      </c>
      <c r="O14" s="51">
        <v>50.5</v>
      </c>
      <c r="P14" s="51">
        <v>0</v>
      </c>
      <c r="Q14" s="51">
        <v>0</v>
      </c>
      <c r="R14" s="51">
        <v>0</v>
      </c>
      <c r="S14" s="51">
        <v>0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50.3</v>
      </c>
      <c r="AC14" s="51">
        <v>50.3</v>
      </c>
      <c r="AD14" s="51">
        <v>50.3</v>
      </c>
      <c r="AE14" s="51">
        <v>50.3</v>
      </c>
      <c r="AF14" s="51">
        <v>50.6</v>
      </c>
      <c r="AG14" s="59">
        <v>50</v>
      </c>
      <c r="AH14" s="55">
        <f t="shared" si="2"/>
        <v>50.6</v>
      </c>
      <c r="AI14" s="56">
        <f t="shared" si="3"/>
        <v>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45.8</v>
      </c>
      <c r="C15" s="51">
        <v>45.8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45.8</v>
      </c>
      <c r="N15" s="51">
        <v>45.8</v>
      </c>
      <c r="O15" s="51">
        <v>45.8</v>
      </c>
      <c r="P15" s="51">
        <v>45.8</v>
      </c>
      <c r="Q15" s="51">
        <v>45.8</v>
      </c>
      <c r="R15" s="51">
        <v>45.8</v>
      </c>
      <c r="S15" s="51">
        <v>45.8</v>
      </c>
      <c r="T15" s="51">
        <v>45.8</v>
      </c>
      <c r="U15" s="51">
        <v>45.8</v>
      </c>
      <c r="V15" s="51">
        <v>0</v>
      </c>
      <c r="W15" s="51">
        <v>23.5</v>
      </c>
      <c r="X15" s="51">
        <v>45.8</v>
      </c>
      <c r="Y15" s="51">
        <v>45.8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45.9</v>
      </c>
      <c r="AF15" s="51">
        <v>45.8</v>
      </c>
      <c r="AG15" s="60">
        <v>45</v>
      </c>
      <c r="AH15" s="55">
        <f t="shared" si="2"/>
        <v>45.9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20</v>
      </c>
      <c r="C16" s="51">
        <v>20</v>
      </c>
      <c r="D16" s="51">
        <v>20</v>
      </c>
      <c r="E16" s="51">
        <v>30</v>
      </c>
      <c r="F16" s="51">
        <v>30</v>
      </c>
      <c r="G16" s="51">
        <v>30</v>
      </c>
      <c r="H16" s="51">
        <v>30</v>
      </c>
      <c r="I16" s="51">
        <v>30</v>
      </c>
      <c r="J16" s="51">
        <v>30</v>
      </c>
      <c r="K16" s="51">
        <v>30</v>
      </c>
      <c r="L16" s="51">
        <v>30</v>
      </c>
      <c r="M16" s="51">
        <v>40</v>
      </c>
      <c r="N16" s="51">
        <v>40</v>
      </c>
      <c r="O16" s="51">
        <v>40</v>
      </c>
      <c r="P16" s="51">
        <v>40</v>
      </c>
      <c r="Q16" s="51">
        <v>35</v>
      </c>
      <c r="R16" s="51">
        <v>35</v>
      </c>
      <c r="S16" s="51">
        <v>39</v>
      </c>
      <c r="T16" s="51">
        <v>39</v>
      </c>
      <c r="U16" s="51">
        <v>39</v>
      </c>
      <c r="V16" s="51">
        <v>39</v>
      </c>
      <c r="W16" s="51">
        <v>39</v>
      </c>
      <c r="X16" s="51">
        <v>39</v>
      </c>
      <c r="Y16" s="51">
        <v>39</v>
      </c>
      <c r="Z16" s="51">
        <v>39</v>
      </c>
      <c r="AA16" s="51">
        <v>39</v>
      </c>
      <c r="AB16" s="51">
        <v>39</v>
      </c>
      <c r="AC16" s="51">
        <v>39</v>
      </c>
      <c r="AD16" s="51">
        <v>39</v>
      </c>
      <c r="AE16" s="51">
        <v>36</v>
      </c>
      <c r="AF16" s="51">
        <v>36</v>
      </c>
      <c r="AG16" s="59">
        <v>45</v>
      </c>
      <c r="AH16" s="55">
        <f t="shared" si="2"/>
        <v>40</v>
      </c>
      <c r="AI16" s="56">
        <f t="shared" si="3"/>
        <v>20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0</v>
      </c>
      <c r="J18" s="51">
        <v>0</v>
      </c>
      <c r="K18" s="51">
        <v>0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51">
        <v>25</v>
      </c>
      <c r="V18" s="51">
        <v>0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23.4</v>
      </c>
      <c r="C19" s="51">
        <v>23.4</v>
      </c>
      <c r="D19" s="51">
        <v>23.4</v>
      </c>
      <c r="E19" s="51">
        <v>23.4</v>
      </c>
      <c r="F19" s="51">
        <v>23.4</v>
      </c>
      <c r="G19" s="51">
        <v>23.4</v>
      </c>
      <c r="H19" s="51">
        <v>23.4</v>
      </c>
      <c r="I19" s="51">
        <v>23.4</v>
      </c>
      <c r="J19" s="51">
        <v>23.4</v>
      </c>
      <c r="K19" s="51">
        <v>23.4</v>
      </c>
      <c r="L19" s="51">
        <v>23.4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26.2</v>
      </c>
      <c r="AI19" s="56">
        <f t="shared" si="3"/>
        <v>23.4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23.6</v>
      </c>
      <c r="C20" s="51">
        <v>23.6</v>
      </c>
      <c r="D20" s="51">
        <v>23.6</v>
      </c>
      <c r="E20" s="51">
        <v>23.6</v>
      </c>
      <c r="F20" s="51">
        <v>23.6</v>
      </c>
      <c r="G20" s="51">
        <v>23.6</v>
      </c>
      <c r="H20" s="51">
        <v>23.6</v>
      </c>
      <c r="I20" s="51">
        <v>23.6</v>
      </c>
      <c r="J20" s="51">
        <v>23.6</v>
      </c>
      <c r="K20" s="51">
        <v>23.6</v>
      </c>
      <c r="L20" s="51">
        <v>23.6</v>
      </c>
      <c r="M20" s="51">
        <v>23.6</v>
      </c>
      <c r="N20" s="51">
        <v>23.6</v>
      </c>
      <c r="O20" s="51">
        <v>23.6</v>
      </c>
      <c r="P20" s="51">
        <v>23.6</v>
      </c>
      <c r="Q20" s="51">
        <v>23.6</v>
      </c>
      <c r="R20" s="51">
        <v>23.6</v>
      </c>
      <c r="S20" s="51">
        <v>23.6</v>
      </c>
      <c r="T20" s="51">
        <v>23.6</v>
      </c>
      <c r="U20" s="51">
        <v>23.6</v>
      </c>
      <c r="V20" s="51">
        <v>23.6</v>
      </c>
      <c r="W20" s="51">
        <v>23.6</v>
      </c>
      <c r="X20" s="51">
        <v>23.6</v>
      </c>
      <c r="Y20" s="51">
        <v>23.6</v>
      </c>
      <c r="Z20" s="51">
        <v>23.6</v>
      </c>
      <c r="AA20" s="51">
        <v>23.6</v>
      </c>
      <c r="AB20" s="51">
        <v>23.6</v>
      </c>
      <c r="AC20" s="51">
        <v>23.6</v>
      </c>
      <c r="AD20" s="51">
        <v>23.6</v>
      </c>
      <c r="AE20" s="51">
        <v>23.6</v>
      </c>
      <c r="AF20" s="51">
        <v>23.6</v>
      </c>
      <c r="AG20" s="59">
        <v>27</v>
      </c>
      <c r="AH20" s="55">
        <f t="shared" si="2"/>
        <v>23.6</v>
      </c>
      <c r="AI20" s="56">
        <f t="shared" si="3"/>
        <v>23.6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13</v>
      </c>
      <c r="C21" s="51">
        <v>13</v>
      </c>
      <c r="D21" s="51">
        <v>13</v>
      </c>
      <c r="E21" s="51">
        <v>13</v>
      </c>
      <c r="F21" s="51">
        <v>13</v>
      </c>
      <c r="G21" s="51">
        <v>13</v>
      </c>
      <c r="H21" s="51">
        <v>13</v>
      </c>
      <c r="I21" s="51">
        <v>13</v>
      </c>
      <c r="J21" s="51">
        <v>13</v>
      </c>
      <c r="K21" s="51">
        <v>13</v>
      </c>
      <c r="L21" s="51">
        <v>13</v>
      </c>
      <c r="M21" s="51">
        <v>13</v>
      </c>
      <c r="N21" s="51">
        <v>13</v>
      </c>
      <c r="O21" s="51">
        <v>13</v>
      </c>
      <c r="P21" s="51">
        <v>13</v>
      </c>
      <c r="Q21" s="51">
        <v>13</v>
      </c>
      <c r="R21" s="51">
        <v>13</v>
      </c>
      <c r="S21" s="51">
        <v>13</v>
      </c>
      <c r="T21" s="51">
        <v>13</v>
      </c>
      <c r="U21" s="51">
        <v>13</v>
      </c>
      <c r="V21" s="51">
        <v>0</v>
      </c>
      <c r="W21" s="51">
        <v>13</v>
      </c>
      <c r="X21" s="51">
        <v>13</v>
      </c>
      <c r="Y21" s="51">
        <v>13</v>
      </c>
      <c r="Z21" s="51">
        <v>13</v>
      </c>
      <c r="AA21" s="51">
        <v>13</v>
      </c>
      <c r="AB21" s="51">
        <v>13</v>
      </c>
      <c r="AC21" s="51">
        <v>13</v>
      </c>
      <c r="AD21" s="51">
        <v>13</v>
      </c>
      <c r="AE21" s="51">
        <v>13</v>
      </c>
      <c r="AF21" s="51">
        <v>13</v>
      </c>
      <c r="AG21" s="59">
        <v>25</v>
      </c>
      <c r="AH21" s="55">
        <f t="shared" si="2"/>
        <v>13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17</v>
      </c>
      <c r="C22" s="51">
        <v>19</v>
      </c>
      <c r="D22" s="51">
        <v>19</v>
      </c>
      <c r="E22" s="51">
        <v>19</v>
      </c>
      <c r="F22" s="51">
        <v>21</v>
      </c>
      <c r="G22" s="51">
        <v>21</v>
      </c>
      <c r="H22" s="51">
        <v>21</v>
      </c>
      <c r="I22" s="51">
        <v>21</v>
      </c>
      <c r="J22" s="51">
        <v>21</v>
      </c>
      <c r="K22" s="51">
        <v>21</v>
      </c>
      <c r="L22" s="51">
        <v>21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>
        <v>21</v>
      </c>
      <c r="Z22" s="51">
        <v>21</v>
      </c>
      <c r="AA22" s="51">
        <v>21</v>
      </c>
      <c r="AB22" s="51">
        <v>22.1</v>
      </c>
      <c r="AC22" s="51">
        <v>22.1</v>
      </c>
      <c r="AD22" s="51">
        <v>22.1</v>
      </c>
      <c r="AE22" s="51">
        <v>22.1</v>
      </c>
      <c r="AF22" s="51">
        <v>22.1</v>
      </c>
      <c r="AG22" s="59">
        <v>25</v>
      </c>
      <c r="AH22" s="55">
        <f t="shared" si="2"/>
        <v>22.1</v>
      </c>
      <c r="AI22" s="56">
        <f t="shared" si="3"/>
        <v>17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10.199999999999999</v>
      </c>
      <c r="C26" s="51">
        <v>10.199999999999999</v>
      </c>
      <c r="D26" s="51">
        <v>10.199999999999999</v>
      </c>
      <c r="E26" s="51">
        <v>10.199999999999999</v>
      </c>
      <c r="F26" s="51">
        <v>10.199999999999999</v>
      </c>
      <c r="G26" s="51">
        <v>10.199999999999999</v>
      </c>
      <c r="H26" s="51">
        <v>10.199999999999999</v>
      </c>
      <c r="I26" s="51">
        <v>10.199999999999999</v>
      </c>
      <c r="J26" s="51">
        <v>10.199999999999999</v>
      </c>
      <c r="K26" s="51">
        <v>10.199999999999999</v>
      </c>
      <c r="L26" s="51">
        <v>10.199999999999999</v>
      </c>
      <c r="M26" s="51">
        <v>10.199999999999999</v>
      </c>
      <c r="N26" s="51">
        <v>10.199999999999999</v>
      </c>
      <c r="O26" s="51">
        <v>5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10.199999999999999</v>
      </c>
      <c r="AI26" s="56">
        <f t="shared" si="3"/>
        <v>5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51">
        <v>14</v>
      </c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8</v>
      </c>
      <c r="C28" s="51">
        <v>8</v>
      </c>
      <c r="D28" s="51">
        <v>8</v>
      </c>
      <c r="E28" s="51">
        <v>8</v>
      </c>
      <c r="F28" s="51">
        <v>8</v>
      </c>
      <c r="G28" s="51">
        <v>8</v>
      </c>
      <c r="H28" s="51">
        <v>8</v>
      </c>
      <c r="I28" s="51">
        <v>8</v>
      </c>
      <c r="J28" s="51">
        <v>8</v>
      </c>
      <c r="K28" s="51">
        <v>8</v>
      </c>
      <c r="L28" s="51">
        <v>8</v>
      </c>
      <c r="M28" s="51">
        <v>8</v>
      </c>
      <c r="N28" s="51">
        <v>8</v>
      </c>
      <c r="O28" s="51">
        <v>8</v>
      </c>
      <c r="P28" s="51">
        <v>8</v>
      </c>
      <c r="Q28" s="51">
        <v>8</v>
      </c>
      <c r="R28" s="51">
        <v>8</v>
      </c>
      <c r="S28" s="51">
        <v>8</v>
      </c>
      <c r="T28" s="51">
        <v>8</v>
      </c>
      <c r="U28" s="51">
        <v>8</v>
      </c>
      <c r="V28" s="51">
        <v>8</v>
      </c>
      <c r="W28" s="51">
        <v>8</v>
      </c>
      <c r="X28" s="51">
        <v>8</v>
      </c>
      <c r="Y28" s="51">
        <v>8</v>
      </c>
      <c r="Z28" s="51">
        <v>8</v>
      </c>
      <c r="AA28" s="51">
        <v>8</v>
      </c>
      <c r="AB28" s="51">
        <v>8</v>
      </c>
      <c r="AC28" s="51">
        <v>8</v>
      </c>
      <c r="AD28" s="51">
        <v>8</v>
      </c>
      <c r="AE28" s="51">
        <v>8</v>
      </c>
      <c r="AF28" s="51">
        <v>8</v>
      </c>
      <c r="AG28" s="59">
        <v>22.2</v>
      </c>
      <c r="AH28" s="55">
        <f t="shared" si="2"/>
        <v>8</v>
      </c>
      <c r="AI28" s="56">
        <f t="shared" si="3"/>
        <v>8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12</v>
      </c>
      <c r="C29" s="51">
        <v>12</v>
      </c>
      <c r="D29" s="51">
        <v>12</v>
      </c>
      <c r="E29" s="51">
        <v>12</v>
      </c>
      <c r="F29" s="51">
        <v>12</v>
      </c>
      <c r="G29" s="51">
        <v>12</v>
      </c>
      <c r="H29" s="51">
        <v>12</v>
      </c>
      <c r="I29" s="51">
        <v>12</v>
      </c>
      <c r="J29" s="51">
        <v>12</v>
      </c>
      <c r="K29" s="51">
        <v>12</v>
      </c>
      <c r="L29" s="51">
        <v>12</v>
      </c>
      <c r="M29" s="51">
        <v>12</v>
      </c>
      <c r="N29" s="51">
        <v>12</v>
      </c>
      <c r="O29" s="51">
        <v>12</v>
      </c>
      <c r="P29" s="51">
        <v>12</v>
      </c>
      <c r="Q29" s="51">
        <v>12</v>
      </c>
      <c r="R29" s="51">
        <v>12</v>
      </c>
      <c r="S29" s="51">
        <v>12</v>
      </c>
      <c r="T29" s="51">
        <v>12</v>
      </c>
      <c r="U29" s="51">
        <v>12</v>
      </c>
      <c r="V29" s="51">
        <v>12</v>
      </c>
      <c r="W29" s="51">
        <v>12</v>
      </c>
      <c r="X29" s="51">
        <v>12</v>
      </c>
      <c r="Y29" s="51">
        <v>12</v>
      </c>
      <c r="Z29" s="51">
        <v>12</v>
      </c>
      <c r="AA29" s="51">
        <v>12</v>
      </c>
      <c r="AB29" s="51">
        <v>12</v>
      </c>
      <c r="AC29" s="51">
        <v>12</v>
      </c>
      <c r="AD29" s="51">
        <v>12</v>
      </c>
      <c r="AE29" s="51">
        <v>12</v>
      </c>
      <c r="AF29" s="51">
        <v>12</v>
      </c>
      <c r="AG29" s="59">
        <v>22.1</v>
      </c>
      <c r="AH29" s="55">
        <f t="shared" si="2"/>
        <v>12</v>
      </c>
      <c r="AI29" s="56">
        <f t="shared" si="3"/>
        <v>12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8</v>
      </c>
      <c r="C30" s="51">
        <v>8</v>
      </c>
      <c r="D30" s="51">
        <v>8</v>
      </c>
      <c r="E30" s="51">
        <v>8</v>
      </c>
      <c r="F30" s="51">
        <v>4.0999999999999996</v>
      </c>
      <c r="G30" s="51">
        <v>8</v>
      </c>
      <c r="H30" s="51">
        <v>8</v>
      </c>
      <c r="I30" s="51">
        <v>8</v>
      </c>
      <c r="J30" s="51">
        <v>8</v>
      </c>
      <c r="K30" s="51">
        <v>8</v>
      </c>
      <c r="L30" s="51">
        <v>8</v>
      </c>
      <c r="M30" s="51">
        <v>8</v>
      </c>
      <c r="N30" s="51">
        <v>8</v>
      </c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51">
        <v>8</v>
      </c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8</v>
      </c>
      <c r="AB30" s="51">
        <v>8</v>
      </c>
      <c r="AC30" s="51">
        <v>8</v>
      </c>
      <c r="AD30" s="51">
        <v>8</v>
      </c>
      <c r="AE30" s="51">
        <v>8</v>
      </c>
      <c r="AF30" s="51">
        <v>8</v>
      </c>
      <c r="AG30" s="59">
        <v>22.1</v>
      </c>
      <c r="AH30" s="55">
        <f t="shared" si="2"/>
        <v>8</v>
      </c>
      <c r="AI30" s="56">
        <f t="shared" si="3"/>
        <v>4.0999999999999996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11</v>
      </c>
      <c r="U32" s="51">
        <v>11</v>
      </c>
      <c r="V32" s="51">
        <v>11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11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8.9</v>
      </c>
      <c r="C34" s="51">
        <v>8.9</v>
      </c>
      <c r="D34" s="51">
        <v>8.9</v>
      </c>
      <c r="E34" s="51">
        <v>8.9</v>
      </c>
      <c r="F34" s="51">
        <v>8.9</v>
      </c>
      <c r="G34" s="51">
        <v>8.9</v>
      </c>
      <c r="H34" s="51">
        <v>8.9</v>
      </c>
      <c r="I34" s="51">
        <v>8.9</v>
      </c>
      <c r="J34" s="51">
        <v>8.9</v>
      </c>
      <c r="K34" s="51">
        <v>8.9</v>
      </c>
      <c r="L34" s="51">
        <v>8.9</v>
      </c>
      <c r="M34" s="51">
        <v>8.9</v>
      </c>
      <c r="N34" s="51">
        <v>8.9</v>
      </c>
      <c r="O34" s="51">
        <v>8.9</v>
      </c>
      <c r="P34" s="51">
        <v>8.9</v>
      </c>
      <c r="Q34" s="51">
        <v>8.9</v>
      </c>
      <c r="R34" s="51">
        <v>8.9</v>
      </c>
      <c r="S34" s="51">
        <v>8.9</v>
      </c>
      <c r="T34" s="51">
        <v>8.9</v>
      </c>
      <c r="U34" s="51">
        <v>8.9</v>
      </c>
      <c r="V34" s="51">
        <v>8.9</v>
      </c>
      <c r="W34" s="51">
        <v>8.9</v>
      </c>
      <c r="X34" s="51">
        <v>8.9</v>
      </c>
      <c r="Y34" s="51">
        <v>8.9</v>
      </c>
      <c r="Z34" s="51">
        <v>8.9</v>
      </c>
      <c r="AA34" s="51">
        <v>8.9</v>
      </c>
      <c r="AB34" s="51">
        <v>8.9</v>
      </c>
      <c r="AC34" s="51">
        <v>8.9</v>
      </c>
      <c r="AD34" s="51">
        <v>8.9</v>
      </c>
      <c r="AE34" s="51">
        <v>8.9</v>
      </c>
      <c r="AF34" s="51">
        <v>8.9</v>
      </c>
      <c r="AG34" s="64">
        <v>20</v>
      </c>
      <c r="AH34" s="55">
        <f t="shared" si="2"/>
        <v>8.9</v>
      </c>
      <c r="AI34" s="56">
        <f t="shared" si="3"/>
        <v>8.9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51">
        <v>4</v>
      </c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4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158</v>
      </c>
      <c r="C37" s="68">
        <v>160</v>
      </c>
      <c r="D37" s="68">
        <v>160</v>
      </c>
      <c r="E37" s="68">
        <v>160</v>
      </c>
      <c r="F37" s="68">
        <v>160</v>
      </c>
      <c r="G37" s="68">
        <v>160</v>
      </c>
      <c r="H37" s="68">
        <v>160</v>
      </c>
      <c r="I37" s="68">
        <f>62+97</f>
        <v>159</v>
      </c>
      <c r="J37" s="68">
        <f>62+97</f>
        <v>159</v>
      </c>
      <c r="K37" s="68">
        <v>158</v>
      </c>
      <c r="L37" s="68">
        <v>158</v>
      </c>
      <c r="M37" s="68">
        <v>158</v>
      </c>
      <c r="N37" s="68">
        <v>158</v>
      </c>
      <c r="O37" s="66">
        <f>65.4+96.3</f>
        <v>161.69999999999999</v>
      </c>
      <c r="P37" s="66">
        <f>96.2+60.3</f>
        <v>156.5</v>
      </c>
      <c r="Q37" s="66">
        <f>91.2+59.3</f>
        <v>150.5</v>
      </c>
      <c r="R37" s="66">
        <f>91.2+59.3</f>
        <v>150.5</v>
      </c>
      <c r="S37" s="66">
        <f>185</f>
        <v>185</v>
      </c>
      <c r="T37" s="66">
        <f>185</f>
        <v>185</v>
      </c>
      <c r="U37" s="68">
        <f>62.4+85.7</f>
        <v>148.1</v>
      </c>
      <c r="V37" s="68">
        <f>62.4+85.7</f>
        <v>148.1</v>
      </c>
      <c r="W37" s="68">
        <f>94.9+61.4</f>
        <v>156.30000000000001</v>
      </c>
      <c r="X37" s="68">
        <f>94.9+61.4</f>
        <v>156.30000000000001</v>
      </c>
      <c r="Y37" s="68">
        <f>61.3+94.5</f>
        <v>155.80000000000001</v>
      </c>
      <c r="Z37" s="68">
        <f>60.3+92.8</f>
        <v>153.1</v>
      </c>
      <c r="AA37" s="68">
        <f>59.7+92.6</f>
        <v>152.30000000000001</v>
      </c>
      <c r="AB37" s="68">
        <f>59.2+93.1</f>
        <v>152.30000000000001</v>
      </c>
      <c r="AC37" s="68">
        <f>59.2+93.1</f>
        <v>152.30000000000001</v>
      </c>
      <c r="AD37" s="68">
        <f>59.2+93.1</f>
        <v>152.30000000000001</v>
      </c>
      <c r="AE37" s="68">
        <f>59.5+95.5</f>
        <v>155</v>
      </c>
      <c r="AF37" s="68">
        <f>59.7+95.8</f>
        <v>155.5</v>
      </c>
      <c r="AG37" s="64">
        <v>240</v>
      </c>
      <c r="AH37" s="55">
        <f t="shared" si="2"/>
        <v>185</v>
      </c>
      <c r="AI37" s="56">
        <f t="shared" si="3"/>
        <v>148.1</v>
      </c>
      <c r="AK37" s="57"/>
    </row>
    <row r="38" spans="1:88" ht="15.75" thickBot="1" x14ac:dyDescent="0.3">
      <c r="A38" s="69" t="s">
        <v>46</v>
      </c>
      <c r="B38" s="70">
        <f t="shared" ref="B38:L38" si="4">SUM(B11:B36)</f>
        <v>1267.0999999999999</v>
      </c>
      <c r="C38" s="70">
        <f t="shared" si="4"/>
        <v>1269.0999999999999</v>
      </c>
      <c r="D38" s="70">
        <f t="shared" si="4"/>
        <v>1269.0999999999999</v>
      </c>
      <c r="E38" s="70">
        <f t="shared" si="4"/>
        <v>1279.0999999999999</v>
      </c>
      <c r="F38" s="70">
        <f t="shared" si="4"/>
        <v>1277.2</v>
      </c>
      <c r="G38" s="70">
        <f t="shared" si="4"/>
        <v>1281.0999999999999</v>
      </c>
      <c r="H38" s="70">
        <f t="shared" si="4"/>
        <v>1281.0999999999999</v>
      </c>
      <c r="I38" s="70">
        <f t="shared" si="4"/>
        <v>1256.0999999999999</v>
      </c>
      <c r="J38" s="70">
        <f t="shared" si="4"/>
        <v>1256.0999999999999</v>
      </c>
      <c r="K38" s="70">
        <f t="shared" si="4"/>
        <v>1256.0999999999999</v>
      </c>
      <c r="L38" s="70">
        <f t="shared" si="4"/>
        <v>1281.0999999999999</v>
      </c>
      <c r="M38" s="70">
        <f t="shared" ref="M38:S38" si="5">SUM(M11:M36)</f>
        <v>1293.9000000000001</v>
      </c>
      <c r="N38" s="70">
        <f t="shared" si="5"/>
        <v>1293.9000000000001</v>
      </c>
      <c r="O38" s="70">
        <f t="shared" si="5"/>
        <v>1288.7</v>
      </c>
      <c r="P38" s="70">
        <f t="shared" si="5"/>
        <v>1243.2</v>
      </c>
      <c r="Q38" s="70">
        <f t="shared" si="5"/>
        <v>1238.2</v>
      </c>
      <c r="R38" s="70">
        <f t="shared" si="5"/>
        <v>1238.2</v>
      </c>
      <c r="S38" s="70">
        <f t="shared" si="5"/>
        <v>1242.2</v>
      </c>
      <c r="T38" s="70">
        <f t="shared" ref="T38:AF38" si="6">SUM(T11:T36)</f>
        <v>1284.3</v>
      </c>
      <c r="U38" s="70">
        <f t="shared" si="6"/>
        <v>1284.3</v>
      </c>
      <c r="V38" s="70">
        <f t="shared" si="6"/>
        <v>1094.5999999999999</v>
      </c>
      <c r="W38" s="70">
        <f t="shared" si="6"/>
        <v>1243.3600000000001</v>
      </c>
      <c r="X38" s="70">
        <f t="shared" si="6"/>
        <v>1266</v>
      </c>
      <c r="Y38" s="70">
        <f t="shared" si="6"/>
        <v>1266</v>
      </c>
      <c r="Z38" s="70">
        <f t="shared" si="6"/>
        <v>1220.2</v>
      </c>
      <c r="AA38" s="70">
        <f t="shared" si="6"/>
        <v>1246.8000000000002</v>
      </c>
      <c r="AB38" s="70">
        <f t="shared" si="6"/>
        <v>1247.8000000000002</v>
      </c>
      <c r="AC38" s="70">
        <f t="shared" si="6"/>
        <v>1247.8000000000002</v>
      </c>
      <c r="AD38" s="70">
        <f t="shared" si="6"/>
        <v>1223.5</v>
      </c>
      <c r="AE38" s="70">
        <f t="shared" si="6"/>
        <v>1290.7</v>
      </c>
      <c r="AF38" s="70">
        <f t="shared" si="6"/>
        <v>1290.9000000000001</v>
      </c>
      <c r="AG38" s="64">
        <f>SUM(AG11:AG37)</f>
        <v>1492.8299999999997</v>
      </c>
      <c r="AH38" s="55">
        <f t="shared" si="2"/>
        <v>1293.9000000000001</v>
      </c>
      <c r="AI38" s="56">
        <f t="shared" si="3"/>
        <v>1094.5999999999999</v>
      </c>
      <c r="AK38" s="57"/>
    </row>
    <row r="39" spans="1:88" x14ac:dyDescent="0.25">
      <c r="A39" s="58" t="s">
        <v>47</v>
      </c>
      <c r="B39" s="51">
        <v>143.6</v>
      </c>
      <c r="C39" s="51">
        <v>143.6</v>
      </c>
      <c r="D39" s="51">
        <v>143.6</v>
      </c>
      <c r="E39" s="51">
        <v>143.6</v>
      </c>
      <c r="F39" s="51">
        <v>143.6</v>
      </c>
      <c r="G39" s="51">
        <v>143.6</v>
      </c>
      <c r="H39" s="51">
        <v>143.6</v>
      </c>
      <c r="I39" s="51">
        <v>143.6</v>
      </c>
      <c r="J39" s="51">
        <v>143.6</v>
      </c>
      <c r="K39" s="51">
        <v>143.6</v>
      </c>
      <c r="L39" s="51">
        <v>143.6</v>
      </c>
      <c r="M39" s="51">
        <v>142.5</v>
      </c>
      <c r="N39" s="51">
        <v>141.5</v>
      </c>
      <c r="O39" s="51">
        <v>141.5</v>
      </c>
      <c r="P39" s="51">
        <v>141.5</v>
      </c>
      <c r="Q39" s="51">
        <v>141.5</v>
      </c>
      <c r="R39" s="51">
        <v>141.5</v>
      </c>
      <c r="S39" s="51">
        <v>141.5</v>
      </c>
      <c r="T39" s="51">
        <v>141.5</v>
      </c>
      <c r="U39" s="51">
        <v>144</v>
      </c>
      <c r="V39" s="51">
        <v>144</v>
      </c>
      <c r="W39" s="51">
        <v>144</v>
      </c>
      <c r="X39" s="51">
        <v>144</v>
      </c>
      <c r="Y39" s="51">
        <v>144</v>
      </c>
      <c r="Z39" s="51">
        <v>144</v>
      </c>
      <c r="AA39" s="51">
        <v>144.9</v>
      </c>
      <c r="AB39" s="51">
        <v>144.69999999999999</v>
      </c>
      <c r="AC39" s="51">
        <v>144.69999999999999</v>
      </c>
      <c r="AD39" s="51">
        <v>144.69999999999999</v>
      </c>
      <c r="AE39" s="51">
        <v>143.6</v>
      </c>
      <c r="AF39" s="51">
        <v>144</v>
      </c>
      <c r="AG39" s="60">
        <v>144</v>
      </c>
      <c r="AH39" s="55">
        <f t="shared" si="2"/>
        <v>144.9</v>
      </c>
      <c r="AI39" s="56">
        <f t="shared" si="3"/>
        <v>141.5</v>
      </c>
      <c r="AK39" s="57"/>
    </row>
    <row r="40" spans="1:88" x14ac:dyDescent="0.25">
      <c r="A40" s="63" t="s">
        <v>48</v>
      </c>
      <c r="B40" s="49">
        <v>70</v>
      </c>
      <c r="C40" s="49">
        <v>70</v>
      </c>
      <c r="D40" s="49">
        <v>70</v>
      </c>
      <c r="E40" s="49">
        <v>70</v>
      </c>
      <c r="F40" s="49">
        <v>70</v>
      </c>
      <c r="G40" s="49">
        <v>70</v>
      </c>
      <c r="H40" s="49">
        <v>70</v>
      </c>
      <c r="I40" s="49">
        <v>70</v>
      </c>
      <c r="J40" s="49">
        <v>70</v>
      </c>
      <c r="K40" s="49">
        <v>70</v>
      </c>
      <c r="L40" s="49">
        <v>70</v>
      </c>
      <c r="M40" s="51">
        <v>72.5</v>
      </c>
      <c r="N40" s="51">
        <v>72.5</v>
      </c>
      <c r="O40" s="51">
        <v>72.5</v>
      </c>
      <c r="P40" s="51">
        <v>72.5</v>
      </c>
      <c r="Q40" s="51">
        <v>69</v>
      </c>
      <c r="R40" s="51">
        <v>69</v>
      </c>
      <c r="S40" s="51">
        <v>70</v>
      </c>
      <c r="T40" s="51">
        <v>70</v>
      </c>
      <c r="U40" s="51">
        <v>72.2</v>
      </c>
      <c r="V40" s="51">
        <v>72.2</v>
      </c>
      <c r="W40" s="51">
        <v>72.2</v>
      </c>
      <c r="X40" s="51">
        <v>72.2</v>
      </c>
      <c r="Y40" s="51">
        <v>72.2</v>
      </c>
      <c r="Z40" s="51">
        <v>72.2</v>
      </c>
      <c r="AA40" s="49">
        <v>71.7</v>
      </c>
      <c r="AB40" s="49">
        <v>72.8</v>
      </c>
      <c r="AC40" s="49">
        <v>72.8</v>
      </c>
      <c r="AD40" s="49">
        <v>72.8</v>
      </c>
      <c r="AE40" s="49">
        <v>72.900000000000006</v>
      </c>
      <c r="AF40" s="49">
        <v>72.099999999999994</v>
      </c>
      <c r="AG40" s="64">
        <v>70</v>
      </c>
      <c r="AH40" s="55">
        <f t="shared" si="2"/>
        <v>72.900000000000006</v>
      </c>
      <c r="AI40" s="56">
        <f t="shared" si="3"/>
        <v>69</v>
      </c>
      <c r="AK40" s="57"/>
    </row>
    <row r="41" spans="1:88" x14ac:dyDescent="0.25">
      <c r="A41" s="63" t="s">
        <v>49</v>
      </c>
      <c r="B41" s="49">
        <v>64.2</v>
      </c>
      <c r="C41" s="49">
        <v>64.2</v>
      </c>
      <c r="D41" s="49">
        <v>64.2</v>
      </c>
      <c r="E41" s="49">
        <v>64.2</v>
      </c>
      <c r="F41" s="49">
        <v>64.2</v>
      </c>
      <c r="G41" s="49">
        <v>64.2</v>
      </c>
      <c r="H41" s="49">
        <v>64.2</v>
      </c>
      <c r="I41" s="49">
        <v>64.2</v>
      </c>
      <c r="J41" s="49">
        <v>64.2</v>
      </c>
      <c r="K41" s="49">
        <v>64.2</v>
      </c>
      <c r="L41" s="49">
        <v>64.2</v>
      </c>
      <c r="M41" s="51">
        <v>63.5</v>
      </c>
      <c r="N41" s="51">
        <v>63.5</v>
      </c>
      <c r="O41" s="51">
        <v>63.5</v>
      </c>
      <c r="P41" s="51">
        <v>63.5</v>
      </c>
      <c r="Q41" s="51">
        <v>63.5</v>
      </c>
      <c r="R41" s="51">
        <v>63.5</v>
      </c>
      <c r="S41" s="51">
        <v>64.5</v>
      </c>
      <c r="T41" s="51">
        <v>64.5</v>
      </c>
      <c r="U41" s="51">
        <v>63.8</v>
      </c>
      <c r="V41" s="51">
        <v>63.8</v>
      </c>
      <c r="W41" s="51">
        <v>63.8</v>
      </c>
      <c r="X41" s="51">
        <v>63.8</v>
      </c>
      <c r="Y41" s="51">
        <v>63.8</v>
      </c>
      <c r="Z41" s="51">
        <v>63.8</v>
      </c>
      <c r="AA41" s="49">
        <v>64.3</v>
      </c>
      <c r="AB41" s="49">
        <v>64.400000000000006</v>
      </c>
      <c r="AC41" s="49">
        <v>64.400000000000006</v>
      </c>
      <c r="AD41" s="49">
        <v>64.400000000000006</v>
      </c>
      <c r="AE41" s="49">
        <v>63.5</v>
      </c>
      <c r="AF41" s="49">
        <v>63.7</v>
      </c>
      <c r="AG41" s="64">
        <v>69</v>
      </c>
      <c r="AH41" s="55">
        <f t="shared" si="2"/>
        <v>64.5</v>
      </c>
      <c r="AI41" s="56">
        <f t="shared" si="3"/>
        <v>63.5</v>
      </c>
      <c r="AK41" s="57"/>
    </row>
    <row r="42" spans="1:88" x14ac:dyDescent="0.25">
      <c r="A42" s="63" t="s">
        <v>50</v>
      </c>
      <c r="B42" s="66">
        <v>60.9</v>
      </c>
      <c r="C42" s="66">
        <v>60.9</v>
      </c>
      <c r="D42" s="66">
        <v>60.9</v>
      </c>
      <c r="E42" s="66">
        <v>60.9</v>
      </c>
      <c r="F42" s="66">
        <v>60.9</v>
      </c>
      <c r="G42" s="66">
        <v>60.9</v>
      </c>
      <c r="H42" s="66">
        <v>60.9</v>
      </c>
      <c r="I42" s="66">
        <v>60.9</v>
      </c>
      <c r="J42" s="66">
        <v>60.9</v>
      </c>
      <c r="K42" s="66">
        <v>60.9</v>
      </c>
      <c r="L42" s="66">
        <v>60.9</v>
      </c>
      <c r="M42" s="51">
        <v>60.2</v>
      </c>
      <c r="N42" s="51">
        <v>60.2</v>
      </c>
      <c r="O42" s="51">
        <v>60.2</v>
      </c>
      <c r="P42" s="51">
        <v>60.2</v>
      </c>
      <c r="Q42" s="51">
        <v>60.2</v>
      </c>
      <c r="R42" s="51">
        <v>60.2</v>
      </c>
      <c r="S42" s="51">
        <v>60.2</v>
      </c>
      <c r="T42" s="51">
        <v>60.2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49">
        <v>60.9</v>
      </c>
      <c r="AB42" s="66">
        <v>60.9</v>
      </c>
      <c r="AC42" s="66">
        <v>60.9</v>
      </c>
      <c r="AD42" s="66">
        <v>60.9</v>
      </c>
      <c r="AE42" s="66">
        <v>60.9</v>
      </c>
      <c r="AF42" s="66">
        <v>60.9</v>
      </c>
      <c r="AG42" s="64">
        <v>60</v>
      </c>
      <c r="AH42" s="55">
        <f t="shared" si="2"/>
        <v>60.9</v>
      </c>
      <c r="AI42" s="56">
        <f t="shared" si="3"/>
        <v>60.2</v>
      </c>
      <c r="AK42" s="57"/>
    </row>
    <row r="43" spans="1:88" x14ac:dyDescent="0.25">
      <c r="A43" s="63" t="s">
        <v>51</v>
      </c>
      <c r="B43" s="66">
        <v>28.9</v>
      </c>
      <c r="C43" s="66">
        <v>28.9</v>
      </c>
      <c r="D43" s="66">
        <v>28.9</v>
      </c>
      <c r="E43" s="66">
        <v>28.9</v>
      </c>
      <c r="F43" s="66">
        <v>28.9</v>
      </c>
      <c r="G43" s="66">
        <v>28.9</v>
      </c>
      <c r="H43" s="66">
        <v>20</v>
      </c>
      <c r="I43" s="66">
        <v>20</v>
      </c>
      <c r="J43" s="66">
        <v>0</v>
      </c>
      <c r="K43" s="66">
        <v>0</v>
      </c>
      <c r="L43" s="66">
        <v>0</v>
      </c>
      <c r="M43" s="51">
        <v>12.1</v>
      </c>
      <c r="N43" s="51">
        <v>28.6</v>
      </c>
      <c r="O43" s="51">
        <v>28.6</v>
      </c>
      <c r="P43" s="51">
        <v>28.6</v>
      </c>
      <c r="Q43" s="51">
        <v>29</v>
      </c>
      <c r="R43" s="51">
        <v>29</v>
      </c>
      <c r="S43" s="51">
        <v>29</v>
      </c>
      <c r="T43" s="51">
        <v>29</v>
      </c>
      <c r="U43" s="51">
        <v>28.9</v>
      </c>
      <c r="V43" s="51">
        <v>28.9</v>
      </c>
      <c r="W43" s="51">
        <v>28.9</v>
      </c>
      <c r="X43" s="51">
        <v>28.9</v>
      </c>
      <c r="Y43" s="51">
        <v>28.9</v>
      </c>
      <c r="Z43" s="51">
        <v>28.9</v>
      </c>
      <c r="AA43" s="49">
        <v>28.9</v>
      </c>
      <c r="AB43" s="66">
        <v>29</v>
      </c>
      <c r="AC43" s="66">
        <v>29</v>
      </c>
      <c r="AD43" s="66">
        <v>29</v>
      </c>
      <c r="AE43" s="66">
        <v>29.1</v>
      </c>
      <c r="AF43" s="66">
        <v>28.9</v>
      </c>
      <c r="AG43" s="64">
        <v>30</v>
      </c>
      <c r="AH43" s="55">
        <f t="shared" si="2"/>
        <v>29.1</v>
      </c>
      <c r="AI43" s="56">
        <f t="shared" si="3"/>
        <v>0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51">
        <v>10</v>
      </c>
      <c r="N44" s="51">
        <v>10</v>
      </c>
      <c r="O44" s="51">
        <v>10</v>
      </c>
      <c r="P44" s="51">
        <v>10</v>
      </c>
      <c r="Q44" s="51">
        <v>10</v>
      </c>
      <c r="R44" s="51">
        <v>10</v>
      </c>
      <c r="S44" s="51">
        <v>10</v>
      </c>
      <c r="T44" s="51">
        <v>10</v>
      </c>
      <c r="U44" s="51">
        <v>10</v>
      </c>
      <c r="V44" s="51">
        <v>10</v>
      </c>
      <c r="W44" s="51">
        <v>5</v>
      </c>
      <c r="X44" s="51">
        <v>4</v>
      </c>
      <c r="Y44" s="51">
        <v>0</v>
      </c>
      <c r="Z44" s="51">
        <v>0</v>
      </c>
      <c r="AA44" s="51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64">
        <v>25</v>
      </c>
      <c r="AH44" s="55">
        <f t="shared" si="2"/>
        <v>10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15</v>
      </c>
      <c r="C45" s="49">
        <v>13.6</v>
      </c>
      <c r="D45" s="49">
        <v>13.6</v>
      </c>
      <c r="E45" s="49">
        <v>13.6</v>
      </c>
      <c r="F45" s="49">
        <v>10</v>
      </c>
      <c r="G45" s="49">
        <v>10</v>
      </c>
      <c r="H45" s="49">
        <v>10</v>
      </c>
      <c r="I45" s="49">
        <v>10</v>
      </c>
      <c r="J45" s="49">
        <v>10</v>
      </c>
      <c r="K45" s="49">
        <v>10</v>
      </c>
      <c r="L45" s="49">
        <v>10</v>
      </c>
      <c r="M45" s="51">
        <v>8.3000000000000007</v>
      </c>
      <c r="N45" s="51">
        <v>5.7</v>
      </c>
      <c r="O45" s="51">
        <v>5.7</v>
      </c>
      <c r="P45" s="51">
        <v>5.7</v>
      </c>
      <c r="Q45" s="51">
        <v>14.1</v>
      </c>
      <c r="R45" s="51">
        <v>14.1</v>
      </c>
      <c r="S45" s="51">
        <v>14.1</v>
      </c>
      <c r="T45" s="51">
        <v>14.1</v>
      </c>
      <c r="U45" s="51">
        <v>14.1</v>
      </c>
      <c r="V45" s="51">
        <v>14.1</v>
      </c>
      <c r="W45" s="51">
        <v>14.1</v>
      </c>
      <c r="X45" s="51">
        <v>14.1</v>
      </c>
      <c r="Y45" s="51">
        <v>14.1</v>
      </c>
      <c r="Z45" s="51">
        <v>14.1</v>
      </c>
      <c r="AA45" s="51">
        <v>16.3</v>
      </c>
      <c r="AB45" s="49">
        <v>16.2</v>
      </c>
      <c r="AC45" s="49">
        <v>16.2</v>
      </c>
      <c r="AD45" s="49">
        <v>16.2</v>
      </c>
      <c r="AE45" s="49">
        <v>16.2</v>
      </c>
      <c r="AF45" s="49">
        <v>16.2</v>
      </c>
      <c r="AG45" s="64">
        <v>24</v>
      </c>
      <c r="AH45" s="55">
        <f t="shared" si="2"/>
        <v>16.3</v>
      </c>
      <c r="AI45" s="56">
        <f t="shared" si="3"/>
        <v>5.7</v>
      </c>
      <c r="AK45" s="57"/>
    </row>
    <row r="46" spans="1:88" x14ac:dyDescent="0.25">
      <c r="A46" s="63" t="s">
        <v>54</v>
      </c>
      <c r="B46" s="49">
        <v>0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51">
        <v>2</v>
      </c>
      <c r="N46" s="51">
        <v>2</v>
      </c>
      <c r="O46" s="51">
        <v>2</v>
      </c>
      <c r="P46" s="51">
        <v>0</v>
      </c>
      <c r="Q46" s="51">
        <v>0</v>
      </c>
      <c r="R46" s="51">
        <v>2.4</v>
      </c>
      <c r="S46" s="51">
        <v>2.4</v>
      </c>
      <c r="T46" s="51">
        <v>2.4</v>
      </c>
      <c r="U46" s="51">
        <v>2.4</v>
      </c>
      <c r="V46" s="51">
        <v>2.4</v>
      </c>
      <c r="W46" s="51">
        <v>2.4</v>
      </c>
      <c r="X46" s="51">
        <v>2.4</v>
      </c>
      <c r="Y46" s="51">
        <v>2.4</v>
      </c>
      <c r="Z46" s="51">
        <v>2.4</v>
      </c>
      <c r="AA46" s="51">
        <v>2.4</v>
      </c>
      <c r="AB46" s="49">
        <v>2.4</v>
      </c>
      <c r="AC46" s="49">
        <v>2.4</v>
      </c>
      <c r="AD46" s="49">
        <v>2.4</v>
      </c>
      <c r="AE46" s="49">
        <v>2.4</v>
      </c>
      <c r="AF46" s="49">
        <v>2.4</v>
      </c>
      <c r="AG46" s="64">
        <v>15</v>
      </c>
      <c r="AH46" s="55">
        <f t="shared" si="2"/>
        <v>2.4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8.9</v>
      </c>
      <c r="C47" s="49">
        <v>8.9</v>
      </c>
      <c r="D47" s="49">
        <v>8.9</v>
      </c>
      <c r="E47" s="49">
        <v>8.9</v>
      </c>
      <c r="F47" s="49">
        <v>8.9</v>
      </c>
      <c r="G47" s="49">
        <v>8.9</v>
      </c>
      <c r="H47" s="49">
        <v>8.9</v>
      </c>
      <c r="I47" s="49">
        <v>8.9</v>
      </c>
      <c r="J47" s="49">
        <v>8.9</v>
      </c>
      <c r="K47" s="49">
        <v>8.9</v>
      </c>
      <c r="L47" s="49">
        <v>8.9</v>
      </c>
      <c r="M47" s="51">
        <v>9</v>
      </c>
      <c r="N47" s="51">
        <v>5.9</v>
      </c>
      <c r="O47" s="51">
        <v>5.9</v>
      </c>
      <c r="P47" s="51">
        <v>5.9</v>
      </c>
      <c r="Q47" s="51">
        <v>11</v>
      </c>
      <c r="R47" s="51">
        <v>11</v>
      </c>
      <c r="S47" s="51">
        <v>11</v>
      </c>
      <c r="T47" s="51">
        <v>11</v>
      </c>
      <c r="U47" s="51">
        <v>11</v>
      </c>
      <c r="V47" s="51">
        <v>11</v>
      </c>
      <c r="W47" s="51">
        <v>11</v>
      </c>
      <c r="X47" s="51">
        <v>11</v>
      </c>
      <c r="Y47" s="51">
        <v>11</v>
      </c>
      <c r="Z47" s="51">
        <v>11</v>
      </c>
      <c r="AA47" s="51">
        <v>11</v>
      </c>
      <c r="AB47" s="49">
        <v>13</v>
      </c>
      <c r="AC47" s="49">
        <v>13</v>
      </c>
      <c r="AD47" s="49">
        <v>13</v>
      </c>
      <c r="AE47" s="49">
        <v>12.9</v>
      </c>
      <c r="AF47" s="49">
        <v>12.8</v>
      </c>
      <c r="AG47" s="64">
        <v>14.1</v>
      </c>
      <c r="AH47" s="55">
        <f t="shared" si="2"/>
        <v>13</v>
      </c>
      <c r="AI47" s="56">
        <f t="shared" si="3"/>
        <v>5.9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0</v>
      </c>
      <c r="C48" s="49">
        <v>0</v>
      </c>
      <c r="D48" s="49">
        <v>0</v>
      </c>
      <c r="E48" s="49">
        <v>0</v>
      </c>
      <c r="F48" s="49">
        <v>0</v>
      </c>
      <c r="G48" s="49">
        <v>0</v>
      </c>
      <c r="H48" s="49">
        <v>0</v>
      </c>
      <c r="I48" s="49">
        <v>0</v>
      </c>
      <c r="J48" s="49">
        <v>0</v>
      </c>
      <c r="K48" s="49">
        <v>0</v>
      </c>
      <c r="L48" s="49">
        <v>0</v>
      </c>
      <c r="M48" s="51">
        <v>13.8</v>
      </c>
      <c r="N48" s="51">
        <v>13.8</v>
      </c>
      <c r="O48" s="51">
        <v>13.8</v>
      </c>
      <c r="P48" s="51">
        <v>13.8</v>
      </c>
      <c r="Q48" s="51">
        <v>13.8</v>
      </c>
      <c r="R48" s="51">
        <v>13.8</v>
      </c>
      <c r="S48" s="51">
        <v>13.8</v>
      </c>
      <c r="T48" s="51">
        <v>13.8</v>
      </c>
      <c r="U48" s="51">
        <v>13.8</v>
      </c>
      <c r="V48" s="51">
        <v>13.8</v>
      </c>
      <c r="W48" s="51">
        <v>13.8</v>
      </c>
      <c r="X48" s="51">
        <v>13.8</v>
      </c>
      <c r="Y48" s="51">
        <v>13.8</v>
      </c>
      <c r="Z48" s="51">
        <v>13.8</v>
      </c>
      <c r="AA48" s="51">
        <v>13.7</v>
      </c>
      <c r="AB48" s="49">
        <v>13.7</v>
      </c>
      <c r="AC48" s="49">
        <v>13.7</v>
      </c>
      <c r="AD48" s="49">
        <v>13.7</v>
      </c>
      <c r="AE48" s="49">
        <v>13.7</v>
      </c>
      <c r="AF48" s="49">
        <v>13.7</v>
      </c>
      <c r="AG48" s="64">
        <v>14</v>
      </c>
      <c r="AH48" s="55">
        <f t="shared" si="2"/>
        <v>13.8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13.9</v>
      </c>
      <c r="C49" s="49">
        <v>13.9</v>
      </c>
      <c r="D49" s="49">
        <v>13.9</v>
      </c>
      <c r="E49" s="49">
        <v>13.9</v>
      </c>
      <c r="F49" s="49">
        <v>13.9</v>
      </c>
      <c r="G49" s="49">
        <v>13.9</v>
      </c>
      <c r="H49" s="49">
        <v>13.9</v>
      </c>
      <c r="I49" s="49">
        <v>13.9</v>
      </c>
      <c r="J49" s="49">
        <v>13.9</v>
      </c>
      <c r="K49" s="49">
        <v>13.9</v>
      </c>
      <c r="L49" s="49">
        <v>13.9</v>
      </c>
      <c r="M49" s="51">
        <v>6.4</v>
      </c>
      <c r="N49" s="51">
        <v>6.4</v>
      </c>
      <c r="O49" s="51">
        <v>6.4</v>
      </c>
      <c r="P49" s="51">
        <v>6.4</v>
      </c>
      <c r="Q49" s="51">
        <v>6.4</v>
      </c>
      <c r="R49" s="51">
        <v>6.4</v>
      </c>
      <c r="S49" s="51">
        <v>6.4</v>
      </c>
      <c r="T49" s="51">
        <v>6.4</v>
      </c>
      <c r="U49" s="51">
        <v>6.4</v>
      </c>
      <c r="V49" s="51">
        <v>0</v>
      </c>
      <c r="W49" s="51">
        <v>6.4</v>
      </c>
      <c r="X49" s="51">
        <v>6.4</v>
      </c>
      <c r="Y49" s="51">
        <v>6.4</v>
      </c>
      <c r="Z49" s="51">
        <v>6.4</v>
      </c>
      <c r="AA49" s="51">
        <v>6.4</v>
      </c>
      <c r="AB49" s="49">
        <v>6.1</v>
      </c>
      <c r="AC49" s="49">
        <v>6.1</v>
      </c>
      <c r="AD49" s="49">
        <v>6.1</v>
      </c>
      <c r="AE49" s="49">
        <v>0</v>
      </c>
      <c r="AF49" s="49">
        <v>0</v>
      </c>
      <c r="AG49" s="64">
        <v>10.050000000000001</v>
      </c>
      <c r="AH49" s="55">
        <f t="shared" si="2"/>
        <v>13.9</v>
      </c>
      <c r="AI49" s="56">
        <f t="shared" si="3"/>
        <v>0</v>
      </c>
      <c r="AK49" s="57"/>
    </row>
    <row r="50" spans="1:37" x14ac:dyDescent="0.25">
      <c r="A50" s="63" t="s">
        <v>58</v>
      </c>
      <c r="B50" s="49">
        <v>6</v>
      </c>
      <c r="C50" s="49">
        <v>6</v>
      </c>
      <c r="D50" s="49">
        <v>6</v>
      </c>
      <c r="E50" s="49">
        <v>6</v>
      </c>
      <c r="F50" s="49">
        <v>6</v>
      </c>
      <c r="G50" s="49">
        <v>6</v>
      </c>
      <c r="H50" s="49">
        <v>6</v>
      </c>
      <c r="I50" s="49">
        <v>6</v>
      </c>
      <c r="J50" s="49">
        <v>6</v>
      </c>
      <c r="K50" s="49">
        <v>6</v>
      </c>
      <c r="L50" s="49">
        <v>6</v>
      </c>
      <c r="M50" s="51">
        <v>6</v>
      </c>
      <c r="N50" s="51">
        <v>6</v>
      </c>
      <c r="O50" s="51">
        <v>6</v>
      </c>
      <c r="P50" s="51">
        <v>6</v>
      </c>
      <c r="Q50" s="51">
        <v>6</v>
      </c>
      <c r="R50" s="51">
        <v>6</v>
      </c>
      <c r="S50" s="51">
        <v>6</v>
      </c>
      <c r="T50" s="51">
        <v>6</v>
      </c>
      <c r="U50" s="51">
        <v>6</v>
      </c>
      <c r="V50" s="51">
        <v>6</v>
      </c>
      <c r="W50" s="51">
        <v>6</v>
      </c>
      <c r="X50" s="51">
        <v>6</v>
      </c>
      <c r="Y50" s="51">
        <v>6</v>
      </c>
      <c r="Z50" s="51">
        <v>6</v>
      </c>
      <c r="AA50" s="51">
        <v>6</v>
      </c>
      <c r="AB50" s="49">
        <v>6.2</v>
      </c>
      <c r="AC50" s="49">
        <v>6.2</v>
      </c>
      <c r="AD50" s="49">
        <v>6.2</v>
      </c>
      <c r="AE50" s="49">
        <v>6.2</v>
      </c>
      <c r="AF50" s="49">
        <v>6.2</v>
      </c>
      <c r="AG50" s="64">
        <v>6.2</v>
      </c>
      <c r="AH50" s="55">
        <f t="shared" si="2"/>
        <v>6.2</v>
      </c>
      <c r="AI50" s="56">
        <f t="shared" si="3"/>
        <v>6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414.93999999999994</v>
      </c>
      <c r="C52" s="70">
        <f t="shared" ref="C52:AF52" si="8">SUM(C39:C51)</f>
        <v>413.53999999999996</v>
      </c>
      <c r="D52" s="70">
        <f t="shared" si="8"/>
        <v>413.53999999999996</v>
      </c>
      <c r="E52" s="70">
        <f t="shared" si="8"/>
        <v>413.53999999999996</v>
      </c>
      <c r="F52" s="70">
        <f t="shared" si="8"/>
        <v>409.93999999999994</v>
      </c>
      <c r="G52" s="70">
        <f t="shared" si="8"/>
        <v>409.93999999999994</v>
      </c>
      <c r="H52" s="70">
        <f t="shared" si="8"/>
        <v>401.03999999999996</v>
      </c>
      <c r="I52" s="70">
        <f t="shared" si="8"/>
        <v>401.03999999999996</v>
      </c>
      <c r="J52" s="70">
        <f t="shared" si="8"/>
        <v>381.03999999999996</v>
      </c>
      <c r="K52" s="70">
        <f t="shared" si="8"/>
        <v>381.03999999999996</v>
      </c>
      <c r="L52" s="70">
        <f t="shared" si="8"/>
        <v>381.03999999999996</v>
      </c>
      <c r="M52" s="70">
        <f t="shared" si="8"/>
        <v>409.84000000000003</v>
      </c>
      <c r="N52" s="70">
        <f t="shared" si="8"/>
        <v>419.64</v>
      </c>
      <c r="O52" s="70">
        <f t="shared" si="8"/>
        <v>419.64</v>
      </c>
      <c r="P52" s="70">
        <f t="shared" si="8"/>
        <v>417.64</v>
      </c>
      <c r="Q52" s="70">
        <f t="shared" si="8"/>
        <v>428.04</v>
      </c>
      <c r="R52" s="70">
        <f t="shared" si="8"/>
        <v>430.44</v>
      </c>
      <c r="S52" s="70">
        <f t="shared" si="8"/>
        <v>432.44</v>
      </c>
      <c r="T52" s="70">
        <f t="shared" si="8"/>
        <v>432.44</v>
      </c>
      <c r="U52" s="70">
        <f t="shared" si="8"/>
        <v>437.03999999999996</v>
      </c>
      <c r="V52" s="70">
        <f t="shared" si="8"/>
        <v>430.64</v>
      </c>
      <c r="W52" s="70">
        <f t="shared" si="8"/>
        <v>432.03999999999996</v>
      </c>
      <c r="X52" s="70">
        <f t="shared" si="8"/>
        <v>431.03999999999996</v>
      </c>
      <c r="Y52" s="70">
        <f t="shared" si="8"/>
        <v>427.03999999999996</v>
      </c>
      <c r="Z52" s="70">
        <f t="shared" si="8"/>
        <v>427.03999999999996</v>
      </c>
      <c r="AA52" s="70">
        <f t="shared" si="8"/>
        <v>430.03999999999996</v>
      </c>
      <c r="AB52" s="70">
        <f t="shared" si="8"/>
        <v>432.93999999999994</v>
      </c>
      <c r="AC52" s="70">
        <f t="shared" si="8"/>
        <v>432.93999999999994</v>
      </c>
      <c r="AD52" s="70">
        <f t="shared" si="8"/>
        <v>432.93999999999994</v>
      </c>
      <c r="AE52" s="70">
        <f t="shared" si="8"/>
        <v>424.93999999999994</v>
      </c>
      <c r="AF52" s="70">
        <f t="shared" si="8"/>
        <v>424.43999999999994</v>
      </c>
      <c r="AG52" s="74">
        <f>SUM(AG39:AG51)</f>
        <v>489.91</v>
      </c>
      <c r="AH52" s="55">
        <f t="shared" si="2"/>
        <v>437.03999999999996</v>
      </c>
      <c r="AI52" s="56">
        <f t="shared" si="3"/>
        <v>381.03999999999996</v>
      </c>
      <c r="AK52" s="57"/>
    </row>
    <row r="53" spans="1:37" x14ac:dyDescent="0.25">
      <c r="A53" s="58" t="s">
        <v>61</v>
      </c>
      <c r="B53" s="51">
        <v>30</v>
      </c>
      <c r="C53" s="51">
        <v>14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/>
      <c r="M53" s="51">
        <v>0</v>
      </c>
      <c r="N53" s="51">
        <v>0</v>
      </c>
      <c r="O53" s="51">
        <v>0</v>
      </c>
      <c r="P53" s="51">
        <v>10.4</v>
      </c>
      <c r="Q53" s="51">
        <v>10.7</v>
      </c>
      <c r="R53" s="51">
        <v>10.7</v>
      </c>
      <c r="S53" s="51">
        <v>19.600000000000001</v>
      </c>
      <c r="T53" s="51">
        <v>10.1</v>
      </c>
      <c r="U53" s="51">
        <v>10.1</v>
      </c>
      <c r="V53" s="51">
        <v>30.6</v>
      </c>
      <c r="W53" s="51">
        <v>29</v>
      </c>
      <c r="X53" s="51">
        <v>0</v>
      </c>
      <c r="Y53" s="51">
        <v>0</v>
      </c>
      <c r="Z53" s="51">
        <v>0</v>
      </c>
      <c r="AA53" s="51">
        <v>59.5</v>
      </c>
      <c r="AB53" s="51">
        <v>14</v>
      </c>
      <c r="AC53" s="51">
        <v>25</v>
      </c>
      <c r="AD53" s="51">
        <v>30</v>
      </c>
      <c r="AE53" s="51">
        <v>14.1</v>
      </c>
      <c r="AF53" s="51">
        <v>0</v>
      </c>
      <c r="AG53" s="60">
        <v>60</v>
      </c>
      <c r="AH53" s="55">
        <f t="shared" si="2"/>
        <v>59.5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15</v>
      </c>
      <c r="C54" s="49">
        <v>6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/>
      <c r="M54" s="49">
        <v>0</v>
      </c>
      <c r="N54" s="49">
        <v>0</v>
      </c>
      <c r="O54" s="49">
        <v>0</v>
      </c>
      <c r="P54" s="49">
        <v>3.7</v>
      </c>
      <c r="Q54" s="49">
        <v>5.4</v>
      </c>
      <c r="R54" s="49">
        <v>5.4</v>
      </c>
      <c r="S54" s="49">
        <v>7.6</v>
      </c>
      <c r="T54" s="49">
        <v>7.1</v>
      </c>
      <c r="U54" s="49">
        <v>5</v>
      </c>
      <c r="V54" s="49">
        <v>16.3</v>
      </c>
      <c r="W54" s="49">
        <v>11</v>
      </c>
      <c r="X54" s="49">
        <v>11</v>
      </c>
      <c r="Y54" s="49">
        <v>0</v>
      </c>
      <c r="Z54" s="49">
        <v>0</v>
      </c>
      <c r="AA54" s="49">
        <v>27.6</v>
      </c>
      <c r="AB54" s="49">
        <v>5.0999999999999996</v>
      </c>
      <c r="AC54" s="49">
        <v>13</v>
      </c>
      <c r="AD54" s="49">
        <v>13</v>
      </c>
      <c r="AE54" s="49">
        <v>6.8</v>
      </c>
      <c r="AF54" s="49">
        <v>0</v>
      </c>
      <c r="AG54" s="64">
        <v>32</v>
      </c>
      <c r="AH54" s="55">
        <f t="shared" si="2"/>
        <v>27.6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5</v>
      </c>
      <c r="C55" s="75">
        <v>3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/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2.7</v>
      </c>
      <c r="T55" s="75">
        <v>2.6</v>
      </c>
      <c r="U55" s="75">
        <v>1.8</v>
      </c>
      <c r="V55" s="75">
        <v>7.8</v>
      </c>
      <c r="W55" s="75">
        <v>4</v>
      </c>
      <c r="X55" s="75">
        <v>4</v>
      </c>
      <c r="Y55" s="75">
        <v>0</v>
      </c>
      <c r="Z55" s="75">
        <v>0</v>
      </c>
      <c r="AA55" s="75">
        <v>10.1</v>
      </c>
      <c r="AB55" s="75">
        <v>1.9</v>
      </c>
      <c r="AC55" s="75">
        <v>5</v>
      </c>
      <c r="AD55" s="75">
        <v>5</v>
      </c>
      <c r="AE55" s="75">
        <v>2.5</v>
      </c>
      <c r="AF55" s="75">
        <v>0</v>
      </c>
      <c r="AG55" s="76">
        <v>14</v>
      </c>
      <c r="AH55" s="55">
        <f t="shared" si="2"/>
        <v>10.1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50</v>
      </c>
      <c r="C56" s="70">
        <f t="shared" si="9"/>
        <v>23</v>
      </c>
      <c r="D56" s="70">
        <f t="shared" si="9"/>
        <v>0</v>
      </c>
      <c r="E56" s="70">
        <f t="shared" si="9"/>
        <v>0</v>
      </c>
      <c r="F56" s="70">
        <f t="shared" si="9"/>
        <v>0</v>
      </c>
      <c r="G56" s="70">
        <f t="shared" si="9"/>
        <v>0</v>
      </c>
      <c r="H56" s="70">
        <f t="shared" si="9"/>
        <v>0</v>
      </c>
      <c r="I56" s="70">
        <f t="shared" si="9"/>
        <v>0</v>
      </c>
      <c r="J56" s="70">
        <f t="shared" si="9"/>
        <v>0</v>
      </c>
      <c r="K56" s="70">
        <f t="shared" si="9"/>
        <v>0</v>
      </c>
      <c r="L56" s="70">
        <f t="shared" si="9"/>
        <v>0</v>
      </c>
      <c r="M56" s="70">
        <f t="shared" si="9"/>
        <v>0</v>
      </c>
      <c r="N56" s="70">
        <f t="shared" si="9"/>
        <v>0</v>
      </c>
      <c r="O56" s="70">
        <f t="shared" si="9"/>
        <v>0</v>
      </c>
      <c r="P56" s="70">
        <f t="shared" si="9"/>
        <v>14.100000000000001</v>
      </c>
      <c r="Q56" s="70">
        <f t="shared" si="9"/>
        <v>16.100000000000001</v>
      </c>
      <c r="R56" s="70">
        <f t="shared" si="9"/>
        <v>16.100000000000001</v>
      </c>
      <c r="S56" s="70">
        <f t="shared" si="9"/>
        <v>29.900000000000002</v>
      </c>
      <c r="T56" s="70">
        <f t="shared" si="9"/>
        <v>19.8</v>
      </c>
      <c r="U56" s="70">
        <f t="shared" si="9"/>
        <v>16.899999999999999</v>
      </c>
      <c r="V56" s="70">
        <f t="shared" si="9"/>
        <v>54.7</v>
      </c>
      <c r="W56" s="70">
        <f t="shared" si="9"/>
        <v>44</v>
      </c>
      <c r="X56" s="70">
        <f t="shared" si="9"/>
        <v>15</v>
      </c>
      <c r="Y56" s="70">
        <f t="shared" si="9"/>
        <v>0</v>
      </c>
      <c r="Z56" s="70">
        <f t="shared" si="9"/>
        <v>0</v>
      </c>
      <c r="AA56" s="70">
        <f t="shared" si="9"/>
        <v>97.199999999999989</v>
      </c>
      <c r="AB56" s="70">
        <f t="shared" si="9"/>
        <v>21</v>
      </c>
      <c r="AC56" s="70">
        <f t="shared" si="9"/>
        <v>43</v>
      </c>
      <c r="AD56" s="70">
        <f t="shared" si="9"/>
        <v>48</v>
      </c>
      <c r="AE56" s="70">
        <f t="shared" si="9"/>
        <v>23.4</v>
      </c>
      <c r="AF56" s="70">
        <f t="shared" si="9"/>
        <v>0</v>
      </c>
      <c r="AG56" s="74">
        <f>SUM(AG53:AG55)</f>
        <v>106</v>
      </c>
      <c r="AH56" s="55">
        <f t="shared" si="2"/>
        <v>97.199999999999989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46</v>
      </c>
      <c r="C57" s="51">
        <v>45</v>
      </c>
      <c r="D57" s="51">
        <v>44</v>
      </c>
      <c r="E57" s="51">
        <v>45</v>
      </c>
      <c r="F57" s="51">
        <v>37</v>
      </c>
      <c r="G57" s="51">
        <v>39</v>
      </c>
      <c r="H57" s="51">
        <v>45</v>
      </c>
      <c r="I57" s="51">
        <v>40</v>
      </c>
      <c r="J57" s="51">
        <v>70</v>
      </c>
      <c r="K57" s="51">
        <v>68</v>
      </c>
      <c r="L57" s="51"/>
      <c r="M57" s="51">
        <v>55.9</v>
      </c>
      <c r="N57" s="51">
        <v>70</v>
      </c>
      <c r="O57" s="51">
        <v>56.6</v>
      </c>
      <c r="P57" s="51">
        <v>59.1</v>
      </c>
      <c r="Q57" s="51">
        <v>66</v>
      </c>
      <c r="R57" s="51">
        <v>56.8</v>
      </c>
      <c r="S57" s="51">
        <v>61.52</v>
      </c>
      <c r="T57" s="51">
        <v>63.11</v>
      </c>
      <c r="U57" s="51">
        <v>57</v>
      </c>
      <c r="V57" s="51">
        <v>57</v>
      </c>
      <c r="W57" s="51">
        <v>65</v>
      </c>
      <c r="X57" s="51">
        <v>38.299999999999997</v>
      </c>
      <c r="Y57" s="51">
        <v>49.9</v>
      </c>
      <c r="Z57" s="51">
        <v>43.2</v>
      </c>
      <c r="AA57" s="51">
        <v>50.5</v>
      </c>
      <c r="AB57" s="51">
        <v>64.3</v>
      </c>
      <c r="AC57" s="51">
        <v>68</v>
      </c>
      <c r="AD57" s="51">
        <v>70</v>
      </c>
      <c r="AE57" s="51">
        <v>71.099999999999994</v>
      </c>
      <c r="AF57" s="51">
        <v>45</v>
      </c>
      <c r="AG57" s="60"/>
      <c r="AH57" s="55">
        <f t="shared" si="2"/>
        <v>71.099999999999994</v>
      </c>
      <c r="AI57" s="56">
        <f t="shared" si="3"/>
        <v>37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/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-353</v>
      </c>
      <c r="C59" s="49">
        <v>-358</v>
      </c>
      <c r="D59" s="49">
        <v>-320</v>
      </c>
      <c r="E59" s="49">
        <v>-373</v>
      </c>
      <c r="F59" s="49">
        <v>-365</v>
      </c>
      <c r="G59" s="49">
        <v>-380</v>
      </c>
      <c r="H59" s="49">
        <v>-384</v>
      </c>
      <c r="I59" s="49">
        <v>-360</v>
      </c>
      <c r="J59" s="49">
        <v>-304</v>
      </c>
      <c r="K59" s="49">
        <v>-298</v>
      </c>
      <c r="L59" s="49"/>
      <c r="M59" s="49">
        <v>-243.3</v>
      </c>
      <c r="N59" s="49">
        <v>-309</v>
      </c>
      <c r="O59" s="49">
        <v>-225</v>
      </c>
      <c r="P59" s="49">
        <v>-200</v>
      </c>
      <c r="Q59" s="49">
        <v>-206</v>
      </c>
      <c r="R59" s="49">
        <v>-235</v>
      </c>
      <c r="S59" s="49">
        <v>-185</v>
      </c>
      <c r="T59" s="49">
        <v>-237</v>
      </c>
      <c r="U59" s="49">
        <v>-268.60000000000002</v>
      </c>
      <c r="V59" s="49">
        <v>-94</v>
      </c>
      <c r="W59" s="49">
        <v>-283</v>
      </c>
      <c r="X59" s="49">
        <v>-316</v>
      </c>
      <c r="Y59" s="49">
        <v>-325</v>
      </c>
      <c r="Z59" s="49">
        <v>-255</v>
      </c>
      <c r="AA59" s="49">
        <v>-225</v>
      </c>
      <c r="AB59" s="49">
        <v>-220.6</v>
      </c>
      <c r="AC59" s="49">
        <v>-244</v>
      </c>
      <c r="AD59" s="49">
        <v>-202</v>
      </c>
      <c r="AE59" s="49">
        <v>-310</v>
      </c>
      <c r="AF59" s="49">
        <v>-356</v>
      </c>
      <c r="AG59" s="77"/>
      <c r="AH59" s="55">
        <f t="shared" si="2"/>
        <v>-94</v>
      </c>
      <c r="AI59" s="56">
        <f t="shared" si="3"/>
        <v>-384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/>
      <c r="M60" s="78">
        <v>10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10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/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/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/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/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8</v>
      </c>
      <c r="AC64" s="78">
        <v>8</v>
      </c>
      <c r="AD64" s="78">
        <v>8</v>
      </c>
      <c r="AE64" s="78">
        <v>0</v>
      </c>
      <c r="AF64" s="78">
        <v>0</v>
      </c>
      <c r="AG64" s="77"/>
      <c r="AH64" s="55">
        <f t="shared" si="2"/>
        <v>8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/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/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/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51</v>
      </c>
      <c r="C68" s="70">
        <f t="shared" ref="C68:AF68" si="10">SUMIF(C57:C67,"&gt;0")</f>
        <v>50</v>
      </c>
      <c r="D68" s="70">
        <f t="shared" si="10"/>
        <v>49</v>
      </c>
      <c r="E68" s="70">
        <f t="shared" si="10"/>
        <v>50</v>
      </c>
      <c r="F68" s="70">
        <f t="shared" si="10"/>
        <v>42</v>
      </c>
      <c r="G68" s="70">
        <f t="shared" si="10"/>
        <v>44</v>
      </c>
      <c r="H68" s="70">
        <f t="shared" si="10"/>
        <v>50</v>
      </c>
      <c r="I68" s="70">
        <f t="shared" si="10"/>
        <v>45</v>
      </c>
      <c r="J68" s="70">
        <f t="shared" si="10"/>
        <v>75</v>
      </c>
      <c r="K68" s="70">
        <f t="shared" si="10"/>
        <v>73</v>
      </c>
      <c r="L68" s="70">
        <f t="shared" si="10"/>
        <v>0</v>
      </c>
      <c r="M68" s="70">
        <f t="shared" si="10"/>
        <v>70.900000000000006</v>
      </c>
      <c r="N68" s="70">
        <f t="shared" si="10"/>
        <v>75</v>
      </c>
      <c r="O68" s="70">
        <f t="shared" si="10"/>
        <v>61.6</v>
      </c>
      <c r="P68" s="70">
        <f t="shared" si="10"/>
        <v>64.099999999999994</v>
      </c>
      <c r="Q68" s="70">
        <f t="shared" si="10"/>
        <v>71</v>
      </c>
      <c r="R68" s="70">
        <f t="shared" si="10"/>
        <v>61.8</v>
      </c>
      <c r="S68" s="70">
        <f t="shared" si="10"/>
        <v>66.52000000000001</v>
      </c>
      <c r="T68" s="70">
        <f t="shared" si="10"/>
        <v>68.11</v>
      </c>
      <c r="U68" s="70">
        <f t="shared" si="10"/>
        <v>62</v>
      </c>
      <c r="V68" s="70">
        <f t="shared" si="10"/>
        <v>62</v>
      </c>
      <c r="W68" s="70">
        <f t="shared" si="10"/>
        <v>70</v>
      </c>
      <c r="X68" s="70">
        <f t="shared" si="10"/>
        <v>43.3</v>
      </c>
      <c r="Y68" s="70">
        <f t="shared" si="10"/>
        <v>54.9</v>
      </c>
      <c r="Z68" s="70">
        <f t="shared" si="10"/>
        <v>48.2</v>
      </c>
      <c r="AA68" s="70">
        <f t="shared" si="10"/>
        <v>55.5</v>
      </c>
      <c r="AB68" s="70">
        <f t="shared" si="10"/>
        <v>77.3</v>
      </c>
      <c r="AC68" s="70">
        <f t="shared" si="10"/>
        <v>81</v>
      </c>
      <c r="AD68" s="70">
        <f t="shared" si="10"/>
        <v>83</v>
      </c>
      <c r="AE68" s="70">
        <f t="shared" si="10"/>
        <v>76.099999999999994</v>
      </c>
      <c r="AF68" s="70">
        <f t="shared" si="10"/>
        <v>50</v>
      </c>
      <c r="AG68" s="74">
        <f>SUM(AG57:AG67)</f>
        <v>0</v>
      </c>
      <c r="AH68" s="55">
        <f t="shared" si="2"/>
        <v>83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1733.04</v>
      </c>
      <c r="C73" s="84">
        <f t="shared" ref="C73:AF73" si="11">C38+C52+C68+C72</f>
        <v>1732.6399999999999</v>
      </c>
      <c r="D73" s="84">
        <f t="shared" si="11"/>
        <v>1731.6399999999999</v>
      </c>
      <c r="E73" s="84">
        <f t="shared" si="11"/>
        <v>1742.6399999999999</v>
      </c>
      <c r="F73" s="84">
        <f t="shared" si="11"/>
        <v>1729.1399999999999</v>
      </c>
      <c r="G73" s="84">
        <f t="shared" si="11"/>
        <v>1735.04</v>
      </c>
      <c r="H73" s="84">
        <f t="shared" si="11"/>
        <v>1732.1399999999999</v>
      </c>
      <c r="I73" s="84">
        <f t="shared" si="11"/>
        <v>1702.1399999999999</v>
      </c>
      <c r="J73" s="84">
        <f t="shared" si="11"/>
        <v>1712.1399999999999</v>
      </c>
      <c r="K73" s="84">
        <f t="shared" si="11"/>
        <v>1710.1399999999999</v>
      </c>
      <c r="L73" s="84">
        <f t="shared" si="11"/>
        <v>1662.1399999999999</v>
      </c>
      <c r="M73" s="84">
        <f t="shared" si="11"/>
        <v>1774.6400000000003</v>
      </c>
      <c r="N73" s="84">
        <f t="shared" si="11"/>
        <v>1788.54</v>
      </c>
      <c r="O73" s="84">
        <f t="shared" si="11"/>
        <v>1769.94</v>
      </c>
      <c r="P73" s="84">
        <f t="shared" si="11"/>
        <v>1724.94</v>
      </c>
      <c r="Q73" s="84">
        <f t="shared" si="11"/>
        <v>1737.24</v>
      </c>
      <c r="R73" s="84">
        <f t="shared" si="11"/>
        <v>1730.44</v>
      </c>
      <c r="S73" s="84">
        <f t="shared" si="11"/>
        <v>1741.16</v>
      </c>
      <c r="T73" s="84">
        <f t="shared" si="11"/>
        <v>1784.85</v>
      </c>
      <c r="U73" s="84">
        <f t="shared" si="11"/>
        <v>1783.34</v>
      </c>
      <c r="V73" s="84">
        <f t="shared" si="11"/>
        <v>1587.2399999999998</v>
      </c>
      <c r="W73" s="84">
        <f t="shared" si="11"/>
        <v>1745.4</v>
      </c>
      <c r="X73" s="84">
        <f t="shared" si="11"/>
        <v>1740.34</v>
      </c>
      <c r="Y73" s="84">
        <f t="shared" si="11"/>
        <v>1747.94</v>
      </c>
      <c r="Z73" s="84">
        <f t="shared" si="11"/>
        <v>1695.44</v>
      </c>
      <c r="AA73" s="84">
        <f t="shared" si="11"/>
        <v>1732.3400000000001</v>
      </c>
      <c r="AB73" s="84">
        <f t="shared" si="11"/>
        <v>1758.0400000000002</v>
      </c>
      <c r="AC73" s="84">
        <f t="shared" si="11"/>
        <v>1761.7400000000002</v>
      </c>
      <c r="AD73" s="84">
        <f t="shared" si="11"/>
        <v>1739.44</v>
      </c>
      <c r="AE73" s="84">
        <f t="shared" si="11"/>
        <v>1791.7399999999998</v>
      </c>
      <c r="AF73" s="84">
        <f t="shared" si="11"/>
        <v>1765.3400000000001</v>
      </c>
      <c r="AG73" s="84">
        <f t="shared" ref="AG73" si="12">AG68+AG56+AG52+AG38+AG72</f>
        <v>2144.14</v>
      </c>
      <c r="AH73" s="55">
        <f t="shared" si="2"/>
        <v>1791.7399999999998</v>
      </c>
      <c r="AI73" s="56">
        <f t="shared" si="3"/>
        <v>1587.2399999999998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>
        <v>40</v>
      </c>
      <c r="AC74" s="86">
        <v>40</v>
      </c>
      <c r="AD74" s="86">
        <v>40</v>
      </c>
      <c r="AE74" s="86"/>
      <c r="AF74" s="86"/>
      <c r="AG74" s="74"/>
      <c r="AH74" s="55">
        <f t="shared" si="2"/>
        <v>40</v>
      </c>
      <c r="AI74" s="56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1733.04</v>
      </c>
      <c r="C75" s="84">
        <f t="shared" ref="C75:AF75" si="13">C73+C74</f>
        <v>1732.6399999999999</v>
      </c>
      <c r="D75" s="84">
        <f t="shared" si="13"/>
        <v>1731.6399999999999</v>
      </c>
      <c r="E75" s="84">
        <f t="shared" si="13"/>
        <v>1742.6399999999999</v>
      </c>
      <c r="F75" s="84">
        <f t="shared" si="13"/>
        <v>1729.1399999999999</v>
      </c>
      <c r="G75" s="84">
        <f t="shared" si="13"/>
        <v>1735.04</v>
      </c>
      <c r="H75" s="84">
        <f t="shared" si="13"/>
        <v>1732.1399999999999</v>
      </c>
      <c r="I75" s="84">
        <f t="shared" si="13"/>
        <v>1702.1399999999999</v>
      </c>
      <c r="J75" s="84">
        <f t="shared" si="13"/>
        <v>1712.1399999999999</v>
      </c>
      <c r="K75" s="84">
        <f t="shared" si="13"/>
        <v>1710.1399999999999</v>
      </c>
      <c r="L75" s="84">
        <f t="shared" si="13"/>
        <v>1662.1399999999999</v>
      </c>
      <c r="M75" s="84">
        <f t="shared" si="13"/>
        <v>1774.6400000000003</v>
      </c>
      <c r="N75" s="84">
        <f t="shared" si="13"/>
        <v>1788.54</v>
      </c>
      <c r="O75" s="84">
        <f t="shared" si="13"/>
        <v>1769.94</v>
      </c>
      <c r="P75" s="84">
        <f t="shared" si="13"/>
        <v>1724.94</v>
      </c>
      <c r="Q75" s="84">
        <f t="shared" si="13"/>
        <v>1737.24</v>
      </c>
      <c r="R75" s="84">
        <f t="shared" si="13"/>
        <v>1730.44</v>
      </c>
      <c r="S75" s="84">
        <f t="shared" si="13"/>
        <v>1741.16</v>
      </c>
      <c r="T75" s="84">
        <f t="shared" si="13"/>
        <v>1784.85</v>
      </c>
      <c r="U75" s="84">
        <f t="shared" si="13"/>
        <v>1783.34</v>
      </c>
      <c r="V75" s="84">
        <f t="shared" si="13"/>
        <v>1587.2399999999998</v>
      </c>
      <c r="W75" s="84">
        <f t="shared" si="13"/>
        <v>1745.4</v>
      </c>
      <c r="X75" s="84">
        <f t="shared" si="13"/>
        <v>1740.34</v>
      </c>
      <c r="Y75" s="84">
        <f t="shared" si="13"/>
        <v>1747.94</v>
      </c>
      <c r="Z75" s="84">
        <f t="shared" si="13"/>
        <v>1695.44</v>
      </c>
      <c r="AA75" s="84">
        <f t="shared" si="13"/>
        <v>1732.3400000000001</v>
      </c>
      <c r="AB75" s="84">
        <f t="shared" si="13"/>
        <v>1798.0400000000002</v>
      </c>
      <c r="AC75" s="84">
        <f t="shared" si="13"/>
        <v>1801.7400000000002</v>
      </c>
      <c r="AD75" s="84">
        <f t="shared" si="13"/>
        <v>1779.44</v>
      </c>
      <c r="AE75" s="84">
        <f t="shared" si="13"/>
        <v>1791.7399999999998</v>
      </c>
      <c r="AF75" s="84">
        <f t="shared" si="13"/>
        <v>1765.3400000000001</v>
      </c>
      <c r="AG75" s="74">
        <f>AG72+AG68+AG56+AG52+AG38+AG74</f>
        <v>2144.14</v>
      </c>
      <c r="AH75" s="55">
        <f t="shared" si="2"/>
        <v>1801.7400000000002</v>
      </c>
      <c r="AI75" s="56">
        <f t="shared" si="3"/>
        <v>1587.2399999999998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353</v>
      </c>
      <c r="C79" s="78">
        <f t="shared" ref="C79:AF79" si="19">IF(C59&lt;0,C59*-1,0)</f>
        <v>358</v>
      </c>
      <c r="D79" s="78">
        <f t="shared" si="19"/>
        <v>320</v>
      </c>
      <c r="E79" s="78">
        <f t="shared" si="19"/>
        <v>373</v>
      </c>
      <c r="F79" s="78">
        <f t="shared" si="19"/>
        <v>365</v>
      </c>
      <c r="G79" s="78">
        <f t="shared" si="19"/>
        <v>380</v>
      </c>
      <c r="H79" s="78">
        <f t="shared" si="19"/>
        <v>384</v>
      </c>
      <c r="I79" s="78">
        <f t="shared" si="19"/>
        <v>360</v>
      </c>
      <c r="J79" s="78">
        <f t="shared" si="19"/>
        <v>304</v>
      </c>
      <c r="K79" s="78">
        <f t="shared" si="19"/>
        <v>298</v>
      </c>
      <c r="L79" s="78">
        <f t="shared" si="19"/>
        <v>0</v>
      </c>
      <c r="M79" s="78">
        <f t="shared" si="19"/>
        <v>243.3</v>
      </c>
      <c r="N79" s="78">
        <f t="shared" si="19"/>
        <v>309</v>
      </c>
      <c r="O79" s="78">
        <f t="shared" si="19"/>
        <v>225</v>
      </c>
      <c r="P79" s="78">
        <f t="shared" si="19"/>
        <v>200</v>
      </c>
      <c r="Q79" s="78">
        <f t="shared" si="19"/>
        <v>206</v>
      </c>
      <c r="R79" s="78">
        <f t="shared" si="19"/>
        <v>235</v>
      </c>
      <c r="S79" s="78">
        <f t="shared" si="19"/>
        <v>185</v>
      </c>
      <c r="T79" s="78">
        <f t="shared" si="19"/>
        <v>237</v>
      </c>
      <c r="U79" s="78">
        <f t="shared" si="19"/>
        <v>268.60000000000002</v>
      </c>
      <c r="V79" s="78">
        <f t="shared" si="19"/>
        <v>94</v>
      </c>
      <c r="W79" s="78">
        <f t="shared" si="19"/>
        <v>283</v>
      </c>
      <c r="X79" s="78">
        <f t="shared" si="19"/>
        <v>316</v>
      </c>
      <c r="Y79" s="78">
        <f t="shared" si="19"/>
        <v>325</v>
      </c>
      <c r="Z79" s="78">
        <f t="shared" si="19"/>
        <v>255</v>
      </c>
      <c r="AA79" s="78">
        <f t="shared" si="19"/>
        <v>225</v>
      </c>
      <c r="AB79" s="78">
        <f t="shared" si="19"/>
        <v>220.6</v>
      </c>
      <c r="AC79" s="78">
        <f t="shared" si="19"/>
        <v>244</v>
      </c>
      <c r="AD79" s="78">
        <f t="shared" si="19"/>
        <v>202</v>
      </c>
      <c r="AE79" s="78">
        <f t="shared" si="19"/>
        <v>310</v>
      </c>
      <c r="AF79" s="78">
        <f t="shared" si="19"/>
        <v>356</v>
      </c>
      <c r="AG79" s="87"/>
      <c r="AH79" s="55">
        <f t="shared" si="15"/>
        <v>384</v>
      </c>
      <c r="AI79" s="56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353</v>
      </c>
      <c r="C82" s="70">
        <f t="shared" ref="C82:AG82" si="21">SUM(C76:C81)</f>
        <v>358</v>
      </c>
      <c r="D82" s="70">
        <f t="shared" si="21"/>
        <v>320</v>
      </c>
      <c r="E82" s="70">
        <f t="shared" si="21"/>
        <v>373</v>
      </c>
      <c r="F82" s="70">
        <f t="shared" si="21"/>
        <v>365</v>
      </c>
      <c r="G82" s="70">
        <f t="shared" si="21"/>
        <v>380</v>
      </c>
      <c r="H82" s="70">
        <f t="shared" si="21"/>
        <v>384</v>
      </c>
      <c r="I82" s="70">
        <f t="shared" si="21"/>
        <v>360</v>
      </c>
      <c r="J82" s="70">
        <f t="shared" si="21"/>
        <v>304</v>
      </c>
      <c r="K82" s="70">
        <f t="shared" si="21"/>
        <v>298</v>
      </c>
      <c r="L82" s="70">
        <f t="shared" si="21"/>
        <v>0</v>
      </c>
      <c r="M82" s="70">
        <f t="shared" si="21"/>
        <v>243.3</v>
      </c>
      <c r="N82" s="70">
        <f t="shared" si="21"/>
        <v>309</v>
      </c>
      <c r="O82" s="70">
        <f t="shared" si="21"/>
        <v>225</v>
      </c>
      <c r="P82" s="70">
        <f t="shared" si="21"/>
        <v>200</v>
      </c>
      <c r="Q82" s="70">
        <f t="shared" si="21"/>
        <v>206</v>
      </c>
      <c r="R82" s="70">
        <f t="shared" si="21"/>
        <v>235</v>
      </c>
      <c r="S82" s="70">
        <f t="shared" si="21"/>
        <v>185</v>
      </c>
      <c r="T82" s="70">
        <f t="shared" si="21"/>
        <v>237</v>
      </c>
      <c r="U82" s="70">
        <f t="shared" si="21"/>
        <v>268.60000000000002</v>
      </c>
      <c r="V82" s="70">
        <f t="shared" si="21"/>
        <v>94</v>
      </c>
      <c r="W82" s="70">
        <f t="shared" si="21"/>
        <v>283</v>
      </c>
      <c r="X82" s="70">
        <f t="shared" si="21"/>
        <v>316</v>
      </c>
      <c r="Y82" s="70">
        <f t="shared" si="21"/>
        <v>325</v>
      </c>
      <c r="Z82" s="70">
        <f t="shared" si="21"/>
        <v>255</v>
      </c>
      <c r="AA82" s="70">
        <f t="shared" si="21"/>
        <v>225</v>
      </c>
      <c r="AB82" s="70">
        <f t="shared" si="21"/>
        <v>220.6</v>
      </c>
      <c r="AC82" s="70">
        <f t="shared" si="21"/>
        <v>244</v>
      </c>
      <c r="AD82" s="70">
        <f t="shared" si="21"/>
        <v>202</v>
      </c>
      <c r="AE82" s="70">
        <f t="shared" si="21"/>
        <v>310</v>
      </c>
      <c r="AF82" s="70">
        <f t="shared" si="21"/>
        <v>356</v>
      </c>
      <c r="AG82" s="74">
        <f t="shared" si="21"/>
        <v>0</v>
      </c>
      <c r="AH82" s="55">
        <f t="shared" si="15"/>
        <v>384</v>
      </c>
      <c r="AI82" s="56">
        <f t="shared" si="16"/>
        <v>0</v>
      </c>
      <c r="AK82" s="57"/>
    </row>
    <row r="83" spans="1:88" s="1" customFormat="1" ht="15.75" thickBot="1" x14ac:dyDescent="0.3">
      <c r="A83" s="69" t="s">
        <v>88</v>
      </c>
      <c r="B83" s="70">
        <f>B68-B82</f>
        <v>-302</v>
      </c>
      <c r="C83" s="70">
        <f t="shared" ref="C83:AF83" si="22">C68-C82</f>
        <v>-308</v>
      </c>
      <c r="D83" s="70">
        <f t="shared" si="22"/>
        <v>-271</v>
      </c>
      <c r="E83" s="70">
        <f t="shared" si="22"/>
        <v>-323</v>
      </c>
      <c r="F83" s="70">
        <f t="shared" si="22"/>
        <v>-323</v>
      </c>
      <c r="G83" s="70">
        <f t="shared" si="22"/>
        <v>-336</v>
      </c>
      <c r="H83" s="70">
        <f t="shared" si="22"/>
        <v>-334</v>
      </c>
      <c r="I83" s="70">
        <f t="shared" si="22"/>
        <v>-315</v>
      </c>
      <c r="J83" s="70">
        <f t="shared" si="22"/>
        <v>-229</v>
      </c>
      <c r="K83" s="70">
        <f t="shared" si="22"/>
        <v>-225</v>
      </c>
      <c r="L83" s="70">
        <f t="shared" si="22"/>
        <v>0</v>
      </c>
      <c r="M83" s="70">
        <f t="shared" si="22"/>
        <v>-172.4</v>
      </c>
      <c r="N83" s="70">
        <f t="shared" si="22"/>
        <v>-234</v>
      </c>
      <c r="O83" s="70">
        <f t="shared" si="22"/>
        <v>-163.4</v>
      </c>
      <c r="P83" s="70">
        <f t="shared" si="22"/>
        <v>-135.9</v>
      </c>
      <c r="Q83" s="70">
        <f t="shared" si="22"/>
        <v>-135</v>
      </c>
      <c r="R83" s="70">
        <f t="shared" si="22"/>
        <v>-173.2</v>
      </c>
      <c r="S83" s="70">
        <f t="shared" si="22"/>
        <v>-118.47999999999999</v>
      </c>
      <c r="T83" s="70">
        <f t="shared" si="22"/>
        <v>-168.89</v>
      </c>
      <c r="U83" s="70">
        <f t="shared" si="22"/>
        <v>-206.60000000000002</v>
      </c>
      <c r="V83" s="70">
        <f t="shared" si="22"/>
        <v>-32</v>
      </c>
      <c r="W83" s="70">
        <f t="shared" si="22"/>
        <v>-213</v>
      </c>
      <c r="X83" s="70">
        <f t="shared" si="22"/>
        <v>-272.7</v>
      </c>
      <c r="Y83" s="70">
        <f t="shared" si="22"/>
        <v>-270.10000000000002</v>
      </c>
      <c r="Z83" s="70">
        <f t="shared" si="22"/>
        <v>-206.8</v>
      </c>
      <c r="AA83" s="70">
        <f t="shared" si="22"/>
        <v>-169.5</v>
      </c>
      <c r="AB83" s="70">
        <f t="shared" si="22"/>
        <v>-143.30000000000001</v>
      </c>
      <c r="AC83" s="70">
        <f t="shared" si="22"/>
        <v>-163</v>
      </c>
      <c r="AD83" s="70">
        <f t="shared" si="22"/>
        <v>-119</v>
      </c>
      <c r="AE83" s="70">
        <f t="shared" si="22"/>
        <v>-233.9</v>
      </c>
      <c r="AF83" s="70">
        <f t="shared" si="22"/>
        <v>-306</v>
      </c>
      <c r="AG83" s="74">
        <f t="shared" ref="AG83" si="23">SUM(AG70:AG82)</f>
        <v>4360.08</v>
      </c>
      <c r="AH83" s="55">
        <f t="shared" si="15"/>
        <v>0</v>
      </c>
      <c r="AI83" s="56">
        <f t="shared" si="16"/>
        <v>-336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50.03</v>
      </c>
      <c r="C84" s="90">
        <v>50.04</v>
      </c>
      <c r="D84" s="90">
        <v>50.051000000000002</v>
      </c>
      <c r="E84" s="90">
        <v>50.02</v>
      </c>
      <c r="F84" s="90">
        <v>50.012</v>
      </c>
      <c r="G84" s="90">
        <v>50.02</v>
      </c>
      <c r="H84" s="90">
        <v>50.02</v>
      </c>
      <c r="I84" s="90">
        <v>49.985999999999997</v>
      </c>
      <c r="J84" s="90">
        <v>49.956000000000003</v>
      </c>
      <c r="K84" s="90">
        <v>50.034999999999997</v>
      </c>
      <c r="L84" s="90"/>
      <c r="M84" s="90">
        <v>50.036000000000001</v>
      </c>
      <c r="N84" s="90">
        <v>50.027000000000001</v>
      </c>
      <c r="O84" s="90">
        <v>50.02</v>
      </c>
      <c r="P84" s="90">
        <v>50.04</v>
      </c>
      <c r="Q84" s="90">
        <v>50.048999999999999</v>
      </c>
      <c r="R84" s="90">
        <v>50.045999999999999</v>
      </c>
      <c r="S84" s="90">
        <v>50.08</v>
      </c>
      <c r="T84" s="90">
        <v>49.96</v>
      </c>
      <c r="U84" s="90">
        <v>49.798000000000002</v>
      </c>
      <c r="V84" s="90">
        <v>49.798000000000002</v>
      </c>
      <c r="W84" s="90">
        <v>49.984999999999999</v>
      </c>
      <c r="X84" s="90">
        <v>49.984999999999999</v>
      </c>
      <c r="Y84" s="90">
        <v>50</v>
      </c>
      <c r="Z84" s="90">
        <v>50.03</v>
      </c>
      <c r="AA84" s="90">
        <v>49.87</v>
      </c>
      <c r="AB84" s="90">
        <v>50.03</v>
      </c>
      <c r="AC84" s="90">
        <v>50.03</v>
      </c>
      <c r="AD84" s="90">
        <v>49.973999999999997</v>
      </c>
      <c r="AE84" s="90">
        <v>50.02</v>
      </c>
      <c r="AF84" s="90">
        <v>50.05</v>
      </c>
      <c r="AG84" s="91"/>
      <c r="AH84" s="55">
        <f t="shared" si="15"/>
        <v>50.08</v>
      </c>
      <c r="AI84" s="56">
        <f t="shared" si="16"/>
        <v>49.798000000000002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122.5</v>
      </c>
      <c r="C85" s="49">
        <v>122</v>
      </c>
      <c r="D85" s="49">
        <v>122.6</v>
      </c>
      <c r="E85" s="49">
        <v>122.6</v>
      </c>
      <c r="F85" s="49">
        <v>122.6</v>
      </c>
      <c r="G85" s="49">
        <v>123.6</v>
      </c>
      <c r="H85" s="49">
        <v>123.6</v>
      </c>
      <c r="I85" s="49">
        <v>123.6</v>
      </c>
      <c r="J85" s="49">
        <v>123</v>
      </c>
      <c r="K85" s="49">
        <v>122</v>
      </c>
      <c r="L85" s="49"/>
      <c r="M85" s="49">
        <v>119.6</v>
      </c>
      <c r="N85" s="49">
        <v>120.4</v>
      </c>
      <c r="O85" s="49">
        <v>119.1</v>
      </c>
      <c r="P85" s="49">
        <v>121.5</v>
      </c>
      <c r="Q85" s="49">
        <v>121.5</v>
      </c>
      <c r="R85" s="49">
        <v>124</v>
      </c>
      <c r="S85" s="49">
        <v>123.6</v>
      </c>
      <c r="T85" s="49">
        <v>123.3</v>
      </c>
      <c r="U85" s="49">
        <v>123.6</v>
      </c>
      <c r="V85" s="49">
        <v>123.6</v>
      </c>
      <c r="W85" s="49">
        <v>124.1</v>
      </c>
      <c r="X85" s="49">
        <v>124.1</v>
      </c>
      <c r="Y85" s="49">
        <v>123.7</v>
      </c>
      <c r="Z85" s="49">
        <v>124.6</v>
      </c>
      <c r="AA85" s="49">
        <v>124.1</v>
      </c>
      <c r="AB85" s="49">
        <v>124.3</v>
      </c>
      <c r="AC85" s="49">
        <v>124.3</v>
      </c>
      <c r="AD85" s="49">
        <v>124.3</v>
      </c>
      <c r="AE85" s="49">
        <v>123.9</v>
      </c>
      <c r="AF85" s="49">
        <v>123.6</v>
      </c>
      <c r="AG85" s="93"/>
      <c r="AH85" s="55">
        <f t="shared" si="15"/>
        <v>124.6</v>
      </c>
      <c r="AI85" s="56">
        <f t="shared" si="16"/>
        <v>119.1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</v>
      </c>
      <c r="C86" s="49">
        <v>128</v>
      </c>
      <c r="D86" s="49">
        <v>128</v>
      </c>
      <c r="E86" s="49">
        <v>128</v>
      </c>
      <c r="F86" s="49">
        <v>128</v>
      </c>
      <c r="G86" s="49">
        <v>128.6</v>
      </c>
      <c r="H86" s="49">
        <v>128.6</v>
      </c>
      <c r="I86" s="49">
        <v>128.6</v>
      </c>
      <c r="J86" s="49">
        <v>128.6</v>
      </c>
      <c r="K86" s="49">
        <v>127</v>
      </c>
      <c r="L86" s="49"/>
      <c r="M86" s="49">
        <v>125</v>
      </c>
      <c r="N86" s="49">
        <v>124.9</v>
      </c>
      <c r="O86" s="49">
        <v>123</v>
      </c>
      <c r="P86" s="49">
        <v>125.2</v>
      </c>
      <c r="Q86" s="49">
        <v>125</v>
      </c>
      <c r="R86" s="49">
        <v>127</v>
      </c>
      <c r="S86" s="49">
        <v>126.7</v>
      </c>
      <c r="T86" s="49">
        <v>127.4</v>
      </c>
      <c r="U86" s="49">
        <v>126.9</v>
      </c>
      <c r="V86" s="49">
        <v>126.9</v>
      </c>
      <c r="W86" s="49">
        <v>127</v>
      </c>
      <c r="X86" s="49">
        <v>127</v>
      </c>
      <c r="Y86" s="49">
        <v>127.1</v>
      </c>
      <c r="Z86" s="49">
        <v>127.9</v>
      </c>
      <c r="AA86" s="49">
        <v>127.7</v>
      </c>
      <c r="AB86" s="49">
        <v>128.1</v>
      </c>
      <c r="AC86" s="49">
        <v>128.1</v>
      </c>
      <c r="AD86" s="49">
        <v>128.1</v>
      </c>
      <c r="AE86" s="49">
        <v>128.4</v>
      </c>
      <c r="AF86" s="49">
        <v>128</v>
      </c>
      <c r="AG86" s="93"/>
      <c r="AH86" s="55">
        <f t="shared" si="15"/>
        <v>128.6</v>
      </c>
      <c r="AI86" s="56">
        <f t="shared" si="16"/>
        <v>123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</v>
      </c>
      <c r="C87" s="49">
        <v>127</v>
      </c>
      <c r="D87" s="49">
        <v>128</v>
      </c>
      <c r="E87" s="49">
        <v>128</v>
      </c>
      <c r="F87" s="49">
        <v>128</v>
      </c>
      <c r="G87" s="49">
        <v>129.4</v>
      </c>
      <c r="H87" s="49">
        <v>129.4</v>
      </c>
      <c r="I87" s="49">
        <v>129.4</v>
      </c>
      <c r="J87" s="49">
        <v>129.4</v>
      </c>
      <c r="K87" s="49">
        <v>129.4</v>
      </c>
      <c r="L87" s="49"/>
      <c r="M87" s="49">
        <v>126.7</v>
      </c>
      <c r="N87" s="49">
        <v>128</v>
      </c>
      <c r="O87" s="49">
        <v>127.5</v>
      </c>
      <c r="P87" s="49">
        <v>126.8</v>
      </c>
      <c r="Q87" s="49">
        <v>128.4</v>
      </c>
      <c r="R87" s="49">
        <v>125.8</v>
      </c>
      <c r="S87" s="49">
        <v>125.1</v>
      </c>
      <c r="T87" s="49">
        <v>126.7</v>
      </c>
      <c r="U87" s="49">
        <v>127.3</v>
      </c>
      <c r="V87" s="49">
        <v>127.3</v>
      </c>
      <c r="W87" s="49">
        <v>129.80000000000001</v>
      </c>
      <c r="X87" s="49">
        <v>129.80000000000001</v>
      </c>
      <c r="Y87" s="49">
        <v>129.4</v>
      </c>
      <c r="Z87" s="49">
        <v>128.5</v>
      </c>
      <c r="AA87" s="49">
        <v>125.8</v>
      </c>
      <c r="AB87" s="49">
        <v>127.2</v>
      </c>
      <c r="AC87" s="49">
        <v>127.2</v>
      </c>
      <c r="AD87" s="49">
        <v>127.2</v>
      </c>
      <c r="AE87" s="49">
        <v>124.8</v>
      </c>
      <c r="AF87" s="49">
        <v>127.4</v>
      </c>
      <c r="AG87" s="93"/>
      <c r="AH87" s="55">
        <f t="shared" si="15"/>
        <v>129.80000000000001</v>
      </c>
      <c r="AI87" s="56">
        <f t="shared" si="16"/>
        <v>124.8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131</v>
      </c>
      <c r="C88" s="49">
        <v>132.5</v>
      </c>
      <c r="D88" s="49">
        <v>133</v>
      </c>
      <c r="E88" s="49">
        <v>133</v>
      </c>
      <c r="F88" s="49">
        <v>133</v>
      </c>
      <c r="G88" s="49">
        <v>134.19999999999999</v>
      </c>
      <c r="H88" s="49">
        <v>134.19999999999999</v>
      </c>
      <c r="I88" s="49">
        <v>134.19999999999999</v>
      </c>
      <c r="J88" s="49">
        <v>134.19999999999999</v>
      </c>
      <c r="K88" s="49">
        <v>134.19999999999999</v>
      </c>
      <c r="L88" s="49"/>
      <c r="M88" s="49">
        <v>129.30000000000001</v>
      </c>
      <c r="N88" s="49">
        <v>132.30000000000001</v>
      </c>
      <c r="O88" s="49">
        <v>130.5</v>
      </c>
      <c r="P88" s="49">
        <v>131.30000000000001</v>
      </c>
      <c r="Q88" s="49">
        <v>133.19999999999999</v>
      </c>
      <c r="R88" s="49">
        <v>130.19999999999999</v>
      </c>
      <c r="S88" s="49">
        <v>129.69999999999999</v>
      </c>
      <c r="T88" s="49">
        <v>130.9</v>
      </c>
      <c r="U88" s="49">
        <v>131.9</v>
      </c>
      <c r="V88" s="49">
        <v>131.9</v>
      </c>
      <c r="W88" s="49">
        <v>132.9</v>
      </c>
      <c r="X88" s="49">
        <v>132.9</v>
      </c>
      <c r="Y88" s="49">
        <v>132.80000000000001</v>
      </c>
      <c r="Z88" s="49">
        <v>132.4</v>
      </c>
      <c r="AA88" s="49">
        <v>129.6</v>
      </c>
      <c r="AB88" s="49">
        <v>131.9</v>
      </c>
      <c r="AC88" s="49">
        <v>131.9</v>
      </c>
      <c r="AD88" s="49">
        <v>131.9</v>
      </c>
      <c r="AE88" s="49">
        <v>129.1</v>
      </c>
      <c r="AF88" s="49">
        <v>132.19999999999999</v>
      </c>
      <c r="AG88" s="93"/>
      <c r="AH88" s="55">
        <f t="shared" si="15"/>
        <v>134.19999999999999</v>
      </c>
      <c r="AI88" s="56">
        <f t="shared" si="16"/>
        <v>129.1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130</v>
      </c>
      <c r="C89" s="95">
        <v>128</v>
      </c>
      <c r="D89" s="95">
        <v>130.4</v>
      </c>
      <c r="E89" s="95">
        <v>130.4</v>
      </c>
      <c r="F89" s="95">
        <v>130.4</v>
      </c>
      <c r="G89" s="95">
        <v>131.30000000000001</v>
      </c>
      <c r="H89" s="95">
        <v>131.30000000000001</v>
      </c>
      <c r="I89" s="95">
        <v>131.30000000000001</v>
      </c>
      <c r="J89" s="95">
        <v>131.30000000000001</v>
      </c>
      <c r="K89" s="95">
        <v>133</v>
      </c>
      <c r="L89" s="95"/>
      <c r="M89" s="95">
        <v>130</v>
      </c>
      <c r="N89" s="95">
        <v>128.30000000000001</v>
      </c>
      <c r="O89" s="95">
        <v>130.4</v>
      </c>
      <c r="P89" s="95">
        <v>132.4</v>
      </c>
      <c r="Q89" s="95">
        <v>132.1</v>
      </c>
      <c r="R89" s="95">
        <v>134.6</v>
      </c>
      <c r="S89" s="95">
        <v>131.4</v>
      </c>
      <c r="T89" s="95">
        <v>134</v>
      </c>
      <c r="U89" s="95">
        <v>131.69999999999999</v>
      </c>
      <c r="V89" s="95">
        <v>131.69999999999999</v>
      </c>
      <c r="W89" s="95">
        <v>129.80000000000001</v>
      </c>
      <c r="X89" s="95">
        <v>129.80000000000001</v>
      </c>
      <c r="Y89" s="95">
        <v>131.1</v>
      </c>
      <c r="Z89" s="95">
        <v>136.30000000000001</v>
      </c>
      <c r="AA89" s="95">
        <v>133</v>
      </c>
      <c r="AB89" s="95">
        <v>134</v>
      </c>
      <c r="AC89" s="95">
        <v>134</v>
      </c>
      <c r="AD89" s="95">
        <v>134</v>
      </c>
      <c r="AE89" s="95">
        <v>131.9</v>
      </c>
      <c r="AF89" s="95">
        <v>131.80000000000001</v>
      </c>
      <c r="AG89" s="96"/>
      <c r="AH89" s="55">
        <f t="shared" si="15"/>
        <v>136.30000000000001</v>
      </c>
      <c r="AI89" s="56">
        <f t="shared" si="16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128</v>
      </c>
      <c r="C90" s="49">
        <v>124</v>
      </c>
      <c r="D90" s="49">
        <v>125.6</v>
      </c>
      <c r="E90" s="49">
        <v>125.6</v>
      </c>
      <c r="F90" s="49">
        <v>125.6</v>
      </c>
      <c r="G90" s="49">
        <v>125</v>
      </c>
      <c r="H90" s="49">
        <v>125</v>
      </c>
      <c r="I90" s="49">
        <v>125</v>
      </c>
      <c r="J90" s="49">
        <v>125</v>
      </c>
      <c r="K90" s="49">
        <v>125</v>
      </c>
      <c r="L90" s="49"/>
      <c r="M90" s="49">
        <v>123</v>
      </c>
      <c r="N90" s="49">
        <v>126.7</v>
      </c>
      <c r="O90" s="49">
        <v>130</v>
      </c>
      <c r="P90" s="49">
        <v>131.1</v>
      </c>
      <c r="Q90" s="49">
        <v>132</v>
      </c>
      <c r="R90" s="49">
        <v>133.1</v>
      </c>
      <c r="S90" s="49">
        <v>133.5</v>
      </c>
      <c r="T90" s="49">
        <v>133.19999999999999</v>
      </c>
      <c r="U90" s="49">
        <v>131.5</v>
      </c>
      <c r="V90" s="49">
        <v>131.5</v>
      </c>
      <c r="W90" s="49">
        <v>128.1</v>
      </c>
      <c r="X90" s="49">
        <v>128.1</v>
      </c>
      <c r="Y90" s="49">
        <v>127.7</v>
      </c>
      <c r="Z90" s="49">
        <v>135.9</v>
      </c>
      <c r="AA90" s="49">
        <v>131.69999999999999</v>
      </c>
      <c r="AB90" s="49">
        <v>125.6</v>
      </c>
      <c r="AC90" s="49">
        <v>125.6</v>
      </c>
      <c r="AD90" s="49">
        <v>125.6</v>
      </c>
      <c r="AE90" s="49">
        <v>126.1</v>
      </c>
      <c r="AF90" s="49">
        <v>130.6</v>
      </c>
      <c r="AG90" s="93"/>
      <c r="AH90" s="55">
        <f t="shared" si="15"/>
        <v>135.9</v>
      </c>
      <c r="AI90" s="56">
        <f t="shared" si="16"/>
        <v>123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64.8</v>
      </c>
      <c r="C91" s="97">
        <v>64.5</v>
      </c>
      <c r="D91" s="97">
        <v>64.599999999999994</v>
      </c>
      <c r="E91" s="97">
        <v>64.599999999999994</v>
      </c>
      <c r="F91" s="97">
        <v>64.599999999999994</v>
      </c>
      <c r="G91" s="97">
        <v>64.900000000000006</v>
      </c>
      <c r="H91" s="97">
        <v>64.900000000000006</v>
      </c>
      <c r="I91" s="97">
        <v>64.900000000000006</v>
      </c>
      <c r="J91" s="97">
        <v>64.900000000000006</v>
      </c>
      <c r="K91" s="97">
        <v>64.900000000000006</v>
      </c>
      <c r="L91" s="97"/>
      <c r="M91" s="97">
        <v>62.7</v>
      </c>
      <c r="N91" s="97">
        <v>62.6</v>
      </c>
      <c r="O91" s="97">
        <v>61.4</v>
      </c>
      <c r="P91" s="97">
        <v>62.9</v>
      </c>
      <c r="Q91" s="97">
        <v>62.7</v>
      </c>
      <c r="R91" s="97">
        <v>63.3</v>
      </c>
      <c r="S91" s="97">
        <v>63.6</v>
      </c>
      <c r="T91" s="97">
        <v>63.8</v>
      </c>
      <c r="U91" s="97">
        <v>63.7</v>
      </c>
      <c r="V91" s="97">
        <v>63.7</v>
      </c>
      <c r="W91" s="97">
        <v>64.3</v>
      </c>
      <c r="X91" s="97">
        <v>64.3</v>
      </c>
      <c r="Y91" s="97">
        <v>64.3</v>
      </c>
      <c r="Z91" s="97">
        <v>64.900000000000006</v>
      </c>
      <c r="AA91" s="97">
        <v>64.7</v>
      </c>
      <c r="AB91" s="97">
        <v>65</v>
      </c>
      <c r="AC91" s="97">
        <v>65</v>
      </c>
      <c r="AD91" s="97">
        <v>65</v>
      </c>
      <c r="AE91" s="97">
        <v>65.3</v>
      </c>
      <c r="AF91" s="97">
        <v>64.8</v>
      </c>
      <c r="AG91" s="98"/>
      <c r="AH91" s="55">
        <f t="shared" si="15"/>
        <v>65.3</v>
      </c>
      <c r="AI91" s="56">
        <f t="shared" si="16"/>
        <v>61.4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4">SUM(B15,B18,B21:B22,B42,B44:B45,B47,B49,B94:B97,B103,B109,B115,B124,B126,B138,B145,B148:B149,B156,B158,B160,B164:B166,B168:B170,B175,B181:B182,B184:B186,B194,B199)</f>
        <v>133.54</v>
      </c>
      <c r="C93" s="103">
        <f t="shared" si="24"/>
        <v>143.94</v>
      </c>
      <c r="D93" s="103">
        <f t="shared" si="24"/>
        <v>131.93999999999997</v>
      </c>
      <c r="E93" s="103">
        <f t="shared" si="24"/>
        <v>149.94</v>
      </c>
      <c r="F93" s="103">
        <f t="shared" si="24"/>
        <v>81.34</v>
      </c>
      <c r="G93" s="103">
        <f t="shared" si="24"/>
        <v>106.33999999999999</v>
      </c>
      <c r="H93" s="103">
        <f t="shared" si="24"/>
        <v>124.33999999999999</v>
      </c>
      <c r="I93" s="103">
        <f t="shared" si="24"/>
        <v>146.33999999999997</v>
      </c>
      <c r="J93" s="103">
        <f t="shared" si="24"/>
        <v>173.33999999999997</v>
      </c>
      <c r="K93" s="103">
        <f t="shared" si="24"/>
        <v>207.33999999999997</v>
      </c>
      <c r="L93" s="103">
        <f t="shared" si="24"/>
        <v>233.33999999999997</v>
      </c>
      <c r="M93" s="103">
        <f t="shared" si="24"/>
        <v>233.54</v>
      </c>
      <c r="N93" s="103">
        <f t="shared" si="24"/>
        <v>224.33999999999997</v>
      </c>
      <c r="O93" s="103">
        <f t="shared" si="24"/>
        <v>246.03999999999996</v>
      </c>
      <c r="P93" s="103">
        <f t="shared" si="24"/>
        <v>255.43999999999997</v>
      </c>
      <c r="Q93" s="103">
        <f t="shared" si="24"/>
        <v>272.94000000000005</v>
      </c>
      <c r="R93" s="103">
        <f t="shared" si="24"/>
        <v>265.34000000000003</v>
      </c>
      <c r="S93" s="103">
        <f t="shared" si="24"/>
        <v>-192.46000000000004</v>
      </c>
      <c r="T93" s="103">
        <f t="shared" si="24"/>
        <v>209.03999999999996</v>
      </c>
      <c r="U93" s="103">
        <f t="shared" si="24"/>
        <v>215.73999999999995</v>
      </c>
      <c r="V93" s="103">
        <f t="shared" si="24"/>
        <v>126.54</v>
      </c>
      <c r="W93" s="103">
        <f t="shared" si="24"/>
        <v>247.74</v>
      </c>
      <c r="X93" s="103">
        <f t="shared" si="24"/>
        <v>270.03999999999996</v>
      </c>
      <c r="Y93" s="103">
        <f t="shared" si="24"/>
        <v>210.73999999999995</v>
      </c>
      <c r="Z93" s="103">
        <f t="shared" si="24"/>
        <v>249.54</v>
      </c>
      <c r="AA93" s="103">
        <f t="shared" si="24"/>
        <v>244.94</v>
      </c>
      <c r="AB93" s="103">
        <f t="shared" si="24"/>
        <v>293.44</v>
      </c>
      <c r="AC93" s="103">
        <f t="shared" si="24"/>
        <v>188.13999999999996</v>
      </c>
      <c r="AD93" s="103">
        <f t="shared" si="24"/>
        <v>177.13999999999996</v>
      </c>
      <c r="AE93" s="103">
        <f t="shared" si="24"/>
        <v>190.34</v>
      </c>
      <c r="AF93" s="103">
        <f t="shared" si="24"/>
        <v>156.04</v>
      </c>
      <c r="AG93" s="104"/>
      <c r="AH93" s="55">
        <f>MAX(C93:AF93)</f>
        <v>293.44</v>
      </c>
      <c r="AI93" s="56">
        <f>MIN(C93:AF93)</f>
        <v>-192.46000000000004</v>
      </c>
    </row>
    <row r="94" spans="1:88" x14ac:dyDescent="0.25">
      <c r="A94" s="105" t="s">
        <v>98</v>
      </c>
      <c r="B94" s="106">
        <v>50</v>
      </c>
      <c r="C94" s="106">
        <v>60</v>
      </c>
      <c r="D94" s="106">
        <v>50</v>
      </c>
      <c r="E94" s="106">
        <v>61</v>
      </c>
      <c r="F94" s="106">
        <v>22</v>
      </c>
      <c r="G94" s="106">
        <v>24</v>
      </c>
      <c r="H94" s="106">
        <v>25</v>
      </c>
      <c r="I94" s="106">
        <v>29</v>
      </c>
      <c r="J94" s="106">
        <v>32</v>
      </c>
      <c r="K94" s="106">
        <v>26</v>
      </c>
      <c r="L94" s="106"/>
      <c r="M94" s="106">
        <v>25.7</v>
      </c>
      <c r="N94" s="106">
        <v>33.9</v>
      </c>
      <c r="O94" s="106">
        <v>27</v>
      </c>
      <c r="P94" s="106">
        <v>14.7</v>
      </c>
      <c r="Q94" s="106">
        <v>7.8</v>
      </c>
      <c r="R94" s="106">
        <v>11.7</v>
      </c>
      <c r="S94" s="106">
        <v>11.6</v>
      </c>
      <c r="T94" s="106">
        <v>31.7</v>
      </c>
      <c r="U94" s="106">
        <v>29.9</v>
      </c>
      <c r="V94" s="106">
        <v>30.9</v>
      </c>
      <c r="W94" s="106">
        <v>40.200000000000003</v>
      </c>
      <c r="X94" s="106">
        <v>41.2</v>
      </c>
      <c r="Y94" s="106">
        <v>46.6</v>
      </c>
      <c r="Z94" s="106">
        <v>41.7</v>
      </c>
      <c r="AA94" s="106">
        <v>32.299999999999997</v>
      </c>
      <c r="AB94" s="106">
        <f>52.7+34.8</f>
        <v>87.5</v>
      </c>
      <c r="AC94" s="106">
        <v>36</v>
      </c>
      <c r="AD94" s="106">
        <v>32</v>
      </c>
      <c r="AE94" s="106">
        <f>50.1+31.5</f>
        <v>81.599999999999994</v>
      </c>
      <c r="AF94" s="106">
        <f>47.1+27.9</f>
        <v>75</v>
      </c>
      <c r="AG94" s="107">
        <v>75</v>
      </c>
      <c r="AH94" s="55">
        <f t="shared" ref="AH94:AH100" si="25">IF(ABS(MAX(C94:AF94))&gt;ABS(MIN(C94:AF94)),MAX(C94:AF94),MIN(C94:AF94))</f>
        <v>87.5</v>
      </c>
      <c r="AI94" s="108">
        <f t="shared" ref="AI94:AI100" si="26">INDEX($C$9:$AF$9,1,MATCH(AH94,C94:AF94,0))</f>
        <v>0.83333333333333337</v>
      </c>
    </row>
    <row r="95" spans="1:88" x14ac:dyDescent="0.25">
      <c r="A95" s="109" t="s">
        <v>99</v>
      </c>
      <c r="B95" s="110">
        <v>-160</v>
      </c>
      <c r="C95" s="110">
        <v>-160</v>
      </c>
      <c r="D95" s="110">
        <v>-144</v>
      </c>
      <c r="E95" s="110">
        <v>-156</v>
      </c>
      <c r="F95" s="110">
        <v>-166</v>
      </c>
      <c r="G95" s="110">
        <v>-147</v>
      </c>
      <c r="H95" s="110">
        <v>-132</v>
      </c>
      <c r="I95" s="110">
        <v>-96</v>
      </c>
      <c r="J95" s="110">
        <v>-71</v>
      </c>
      <c r="K95" s="110">
        <v>-75</v>
      </c>
      <c r="L95" s="110"/>
      <c r="M95" s="110">
        <v>-74</v>
      </c>
      <c r="N95" s="110">
        <f>-49.5-46.1</f>
        <v>-95.6</v>
      </c>
      <c r="O95" s="110">
        <f>-45.4-42.4</f>
        <v>-87.8</v>
      </c>
      <c r="P95" s="110">
        <f>-40.5-40.6</f>
        <v>-81.099999999999994</v>
      </c>
      <c r="Q95" s="110">
        <f>-39-40+5.4</f>
        <v>-73.599999999999994</v>
      </c>
      <c r="R95" s="110">
        <f>-37.9-39.1+4.8</f>
        <v>-72.2</v>
      </c>
      <c r="S95" s="110">
        <f>-476-41.1</f>
        <v>-517.1</v>
      </c>
      <c r="T95" s="110">
        <f>-56.2-51.8</f>
        <v>-108</v>
      </c>
      <c r="U95" s="110">
        <f>-46-50.2</f>
        <v>-96.2</v>
      </c>
      <c r="V95" s="110">
        <f>-46-50.2</f>
        <v>-96.2</v>
      </c>
      <c r="W95" s="110">
        <f>-39.2-40</f>
        <v>-79.2</v>
      </c>
      <c r="X95" s="110">
        <f>-39.2-40</f>
        <v>-79.2</v>
      </c>
      <c r="Y95" s="110">
        <f>-53-51.9</f>
        <v>-104.9</v>
      </c>
      <c r="Z95" s="110">
        <f>-36.2-38.9</f>
        <v>-75.099999999999994</v>
      </c>
      <c r="AA95" s="110">
        <f>-66.4-33.7</f>
        <v>-100.10000000000001</v>
      </c>
      <c r="AB95" s="110">
        <f>-38-40.9</f>
        <v>-78.900000000000006</v>
      </c>
      <c r="AC95" s="110">
        <v>-115</v>
      </c>
      <c r="AD95" s="110">
        <v>-119</v>
      </c>
      <c r="AE95" s="110">
        <f>-60-66.6</f>
        <v>-126.6</v>
      </c>
      <c r="AF95" s="110">
        <f>-69.3-74.7</f>
        <v>-144</v>
      </c>
      <c r="AG95" s="107">
        <v>240</v>
      </c>
      <c r="AH95" s="55">
        <f t="shared" si="25"/>
        <v>-517.1</v>
      </c>
      <c r="AI95" s="108">
        <f t="shared" si="26"/>
        <v>0.58333333333333304</v>
      </c>
    </row>
    <row r="96" spans="1:88" x14ac:dyDescent="0.25">
      <c r="A96" s="109" t="s">
        <v>100</v>
      </c>
      <c r="B96" s="110">
        <v>9.1999999999999993</v>
      </c>
      <c r="C96" s="110">
        <v>9</v>
      </c>
      <c r="D96" s="110">
        <v>-9</v>
      </c>
      <c r="E96" s="110">
        <v>10</v>
      </c>
      <c r="F96" s="110">
        <v>-8</v>
      </c>
      <c r="G96" s="110">
        <v>-4</v>
      </c>
      <c r="H96" s="110">
        <v>-2</v>
      </c>
      <c r="I96" s="110">
        <v>5</v>
      </c>
      <c r="J96" s="110">
        <v>4</v>
      </c>
      <c r="K96" s="110">
        <v>-7</v>
      </c>
      <c r="L96" s="110"/>
      <c r="M96" s="110">
        <v>-6.6</v>
      </c>
      <c r="N96" s="110">
        <v>0</v>
      </c>
      <c r="O96" s="110">
        <v>7</v>
      </c>
      <c r="P96" s="110">
        <v>15.4</v>
      </c>
      <c r="Q96" s="110">
        <v>12.6</v>
      </c>
      <c r="R96" s="110">
        <v>12.9</v>
      </c>
      <c r="S96" s="110">
        <v>15.7</v>
      </c>
      <c r="T96" s="110">
        <v>12.7</v>
      </c>
      <c r="U96" s="110">
        <v>10.3</v>
      </c>
      <c r="V96" s="110">
        <v>10.3</v>
      </c>
      <c r="W96" s="110">
        <v>22.2</v>
      </c>
      <c r="X96" s="110">
        <v>22.2</v>
      </c>
      <c r="Y96" s="110">
        <v>8.6</v>
      </c>
      <c r="Z96" s="110">
        <v>23.7</v>
      </c>
      <c r="AA96" s="110">
        <v>47.6</v>
      </c>
      <c r="AB96" s="110">
        <v>16.399999999999999</v>
      </c>
      <c r="AC96" s="110">
        <v>20</v>
      </c>
      <c r="AD96" s="110">
        <v>21</v>
      </c>
      <c r="AE96" s="110">
        <v>4.5</v>
      </c>
      <c r="AF96" s="110">
        <v>-5.6</v>
      </c>
      <c r="AG96" s="107">
        <v>60</v>
      </c>
      <c r="AH96" s="55">
        <f t="shared" si="25"/>
        <v>47.6</v>
      </c>
      <c r="AI96" s="108">
        <f t="shared" si="26"/>
        <v>0.8125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55</v>
      </c>
      <c r="L97" s="112"/>
      <c r="M97" s="112">
        <v>54.9</v>
      </c>
      <c r="N97" s="112">
        <v>58.2</v>
      </c>
      <c r="O97" s="112">
        <v>72</v>
      </c>
      <c r="P97" s="112">
        <v>78.599999999999994</v>
      </c>
      <c r="Q97" s="112">
        <v>84.8</v>
      </c>
      <c r="R97" s="112">
        <v>71.599999999999994</v>
      </c>
      <c r="S97" s="112">
        <v>56</v>
      </c>
      <c r="T97" s="112">
        <v>31.3</v>
      </c>
      <c r="U97" s="112">
        <v>29.7</v>
      </c>
      <c r="V97" s="112">
        <v>29.7</v>
      </c>
      <c r="W97" s="112">
        <v>49.8</v>
      </c>
      <c r="X97" s="112">
        <v>49.8</v>
      </c>
      <c r="Y97" s="112">
        <v>28.4</v>
      </c>
      <c r="Z97" s="112">
        <v>73</v>
      </c>
      <c r="AA97" s="112">
        <v>76.7</v>
      </c>
      <c r="AB97" s="112">
        <v>77.3</v>
      </c>
      <c r="AC97" s="112">
        <v>56</v>
      </c>
      <c r="AD97" s="112">
        <v>52</v>
      </c>
      <c r="AE97" s="112">
        <v>0</v>
      </c>
      <c r="AF97" s="112">
        <v>0</v>
      </c>
      <c r="AG97" s="113">
        <v>120</v>
      </c>
      <c r="AH97" s="55">
        <f t="shared" si="25"/>
        <v>84.8</v>
      </c>
      <c r="AI97" s="108">
        <f t="shared" si="26"/>
        <v>0.5</v>
      </c>
    </row>
    <row r="98" spans="1:37" x14ac:dyDescent="0.25">
      <c r="A98" s="111" t="s">
        <v>102</v>
      </c>
      <c r="B98" s="112">
        <v>24</v>
      </c>
      <c r="C98" s="112">
        <v>28</v>
      </c>
      <c r="D98" s="112">
        <v>41</v>
      </c>
      <c r="E98" s="112">
        <v>25</v>
      </c>
      <c r="F98" s="112">
        <v>26</v>
      </c>
      <c r="G98" s="112">
        <v>24</v>
      </c>
      <c r="H98" s="112">
        <v>32</v>
      </c>
      <c r="I98" s="112">
        <v>43</v>
      </c>
      <c r="J98" s="112">
        <v>65</v>
      </c>
      <c r="K98" s="112">
        <v>57</v>
      </c>
      <c r="L98" s="112"/>
      <c r="M98" s="112">
        <v>63.6</v>
      </c>
      <c r="N98" s="112">
        <v>64</v>
      </c>
      <c r="O98" s="112">
        <v>82</v>
      </c>
      <c r="P98" s="112">
        <v>83.4</v>
      </c>
      <c r="Q98" s="112">
        <v>89</v>
      </c>
      <c r="R98" s="112">
        <v>71.599999999999994</v>
      </c>
      <c r="S98" s="112">
        <v>71.900000000000006</v>
      </c>
      <c r="T98" s="112">
        <v>51.1</v>
      </c>
      <c r="U98" s="112">
        <v>46.1</v>
      </c>
      <c r="V98" s="112">
        <v>46.1</v>
      </c>
      <c r="W98" s="112">
        <v>33.4</v>
      </c>
      <c r="X98" s="112">
        <v>33.4</v>
      </c>
      <c r="Y98" s="112">
        <v>31.2</v>
      </c>
      <c r="Z98" s="112">
        <v>45.2</v>
      </c>
      <c r="AA98" s="112">
        <v>53.1</v>
      </c>
      <c r="AB98" s="112">
        <v>58</v>
      </c>
      <c r="AC98" s="112">
        <v>46</v>
      </c>
      <c r="AD98" s="112">
        <v>41</v>
      </c>
      <c r="AE98" s="112">
        <v>29.6</v>
      </c>
      <c r="AF98" s="112">
        <v>25.2</v>
      </c>
      <c r="AG98" s="113"/>
      <c r="AH98" s="55">
        <f t="shared" si="25"/>
        <v>89</v>
      </c>
      <c r="AI98" s="108">
        <f t="shared" si="26"/>
        <v>0.5</v>
      </c>
    </row>
    <row r="99" spans="1:37" x14ac:dyDescent="0.25">
      <c r="A99" s="111" t="s">
        <v>253</v>
      </c>
      <c r="B99" s="112">
        <v>44</v>
      </c>
      <c r="C99" s="112">
        <v>25</v>
      </c>
      <c r="D99" s="112">
        <v>47</v>
      </c>
      <c r="E99" s="112">
        <v>26</v>
      </c>
      <c r="F99" s="112">
        <v>12</v>
      </c>
      <c r="G99" s="112">
        <v>15</v>
      </c>
      <c r="H99" s="112">
        <v>20</v>
      </c>
      <c r="I99" s="112">
        <v>10</v>
      </c>
      <c r="J99" s="112">
        <v>7</v>
      </c>
      <c r="K99" s="112">
        <v>11</v>
      </c>
      <c r="L99" s="112"/>
      <c r="M99" s="112">
        <v>7.1</v>
      </c>
      <c r="N99" s="112">
        <v>-0.6</v>
      </c>
      <c r="O99" s="112">
        <v>15.5</v>
      </c>
      <c r="P99" s="112">
        <v>15.7</v>
      </c>
      <c r="Q99" s="112">
        <v>30.4</v>
      </c>
      <c r="R99" s="112">
        <v>17.3</v>
      </c>
      <c r="S99" s="112">
        <v>0</v>
      </c>
      <c r="T99" s="112">
        <v>0</v>
      </c>
      <c r="U99" s="112">
        <v>-1.5</v>
      </c>
      <c r="V99" s="112">
        <v>-1.5</v>
      </c>
      <c r="W99" s="112">
        <v>-0.6</v>
      </c>
      <c r="X99" s="112">
        <v>-0.6</v>
      </c>
      <c r="Y99" s="112">
        <v>48.1</v>
      </c>
      <c r="Z99" s="112">
        <v>-27</v>
      </c>
      <c r="AA99" s="112">
        <v>5.2</v>
      </c>
      <c r="AB99" s="112">
        <v>5.9</v>
      </c>
      <c r="AC99" s="112">
        <v>-7</v>
      </c>
      <c r="AD99" s="112">
        <v>3.4</v>
      </c>
      <c r="AE99" s="112">
        <v>-4.5</v>
      </c>
      <c r="AF99" s="112">
        <v>8.9</v>
      </c>
      <c r="AG99" s="114"/>
      <c r="AH99" s="55">
        <f t="shared" si="25"/>
        <v>48.1</v>
      </c>
      <c r="AI99" s="108">
        <f t="shared" si="26"/>
        <v>0.77083333333333337</v>
      </c>
    </row>
    <row r="100" spans="1:37" ht="15.75" thickBot="1" x14ac:dyDescent="0.3">
      <c r="A100" s="115" t="s">
        <v>259</v>
      </c>
      <c r="B100" s="95">
        <v>77</v>
      </c>
      <c r="C100" s="95">
        <v>80</v>
      </c>
      <c r="D100" s="95">
        <v>80</v>
      </c>
      <c r="E100" s="95">
        <v>82</v>
      </c>
      <c r="F100" s="95">
        <v>84</v>
      </c>
      <c r="G100" s="95">
        <v>84</v>
      </c>
      <c r="H100" s="95">
        <v>79</v>
      </c>
      <c r="I100" s="95">
        <v>80</v>
      </c>
      <c r="J100" s="95">
        <v>72</v>
      </c>
      <c r="K100" s="95">
        <v>78</v>
      </c>
      <c r="L100" s="95"/>
      <c r="M100" s="95">
        <v>45.5</v>
      </c>
      <c r="N100" s="95">
        <v>103</v>
      </c>
      <c r="O100" s="95">
        <v>82</v>
      </c>
      <c r="P100" s="95">
        <v>86.7</v>
      </c>
      <c r="Q100" s="95">
        <v>84.5</v>
      </c>
      <c r="R100" s="95">
        <v>81</v>
      </c>
      <c r="S100" s="95">
        <v>60.1</v>
      </c>
      <c r="T100" s="95">
        <v>57</v>
      </c>
      <c r="U100" s="95">
        <v>69.7</v>
      </c>
      <c r="V100" s="95">
        <v>69.7</v>
      </c>
      <c r="W100" s="95">
        <v>72.3</v>
      </c>
      <c r="X100" s="95">
        <v>72.3</v>
      </c>
      <c r="Y100" s="95">
        <v>69.099999999999994</v>
      </c>
      <c r="Z100" s="95">
        <v>66.400000000000006</v>
      </c>
      <c r="AA100" s="95">
        <v>59.6</v>
      </c>
      <c r="AB100" s="95">
        <v>63.2</v>
      </c>
      <c r="AC100" s="95">
        <v>60</v>
      </c>
      <c r="AD100" s="95">
        <v>65.5</v>
      </c>
      <c r="AE100" s="95">
        <v>70.400000000000006</v>
      </c>
      <c r="AF100" s="95">
        <v>72.400000000000006</v>
      </c>
      <c r="AG100" s="114"/>
      <c r="AH100" s="55">
        <f t="shared" si="25"/>
        <v>103</v>
      </c>
      <c r="AI100" s="108">
        <f t="shared" si="26"/>
        <v>0.375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7">AF102</f>
        <v>9.9</v>
      </c>
      <c r="C102" s="54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130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3"/>
        <v>0.04</v>
      </c>
      <c r="C190" s="54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3"/>
        <v>2.3E-2</v>
      </c>
      <c r="C191" s="54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1788.54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30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2079/02/30)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2079/02/30)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3">B75</f>
        <v>1733.04</v>
      </c>
      <c r="U214" s="161">
        <f t="shared" si="63"/>
        <v>1732.6399999999999</v>
      </c>
      <c r="V214" s="161">
        <f t="shared" si="63"/>
        <v>1731.6399999999999</v>
      </c>
      <c r="W214" s="161">
        <f t="shared" si="63"/>
        <v>1742.6399999999999</v>
      </c>
      <c r="X214" s="161">
        <f t="shared" si="63"/>
        <v>1729.1399999999999</v>
      </c>
      <c r="Y214" s="161">
        <f t="shared" si="63"/>
        <v>1735.04</v>
      </c>
      <c r="Z214" s="161">
        <f t="shared" si="63"/>
        <v>1732.1399999999999</v>
      </c>
      <c r="AA214" s="161">
        <f t="shared" si="63"/>
        <v>1702.1399999999999</v>
      </c>
      <c r="AB214" s="161">
        <f t="shared" si="63"/>
        <v>1712.1399999999999</v>
      </c>
      <c r="AC214" s="161">
        <f t="shared" si="63"/>
        <v>1710.1399999999999</v>
      </c>
      <c r="AD214" s="161">
        <f t="shared" si="63"/>
        <v>1662.1399999999999</v>
      </c>
      <c r="AE214" s="161">
        <f t="shared" si="63"/>
        <v>1774.6400000000003</v>
      </c>
      <c r="AF214" s="161">
        <f t="shared" si="63"/>
        <v>1788.54</v>
      </c>
      <c r="AG214" s="161">
        <f t="shared" si="63"/>
        <v>1769.94</v>
      </c>
      <c r="AH214" s="161">
        <f t="shared" si="63"/>
        <v>1724.94</v>
      </c>
      <c r="AI214" s="161">
        <f t="shared" si="63"/>
        <v>1737.24</v>
      </c>
      <c r="AJ214" s="161">
        <f t="shared" si="63"/>
        <v>1730.44</v>
      </c>
      <c r="AK214" s="161">
        <f t="shared" si="63"/>
        <v>1741.16</v>
      </c>
      <c r="AL214" s="161">
        <f t="shared" si="63"/>
        <v>1784.85</v>
      </c>
      <c r="AM214" s="161">
        <f t="shared" si="63"/>
        <v>1783.34</v>
      </c>
      <c r="AN214" s="161">
        <f t="shared" si="63"/>
        <v>1587.2399999999998</v>
      </c>
      <c r="AO214" s="161">
        <f t="shared" si="63"/>
        <v>1745.4</v>
      </c>
      <c r="AP214" s="161">
        <f t="shared" si="63"/>
        <v>1740.34</v>
      </c>
      <c r="AQ214" s="161">
        <f t="shared" si="63"/>
        <v>1747.94</v>
      </c>
      <c r="AR214" s="161">
        <f t="shared" si="63"/>
        <v>1695.44</v>
      </c>
      <c r="AS214" s="161">
        <f t="shared" si="63"/>
        <v>1732.3400000000001</v>
      </c>
      <c r="AT214" s="161">
        <f t="shared" si="63"/>
        <v>1798.0400000000002</v>
      </c>
      <c r="AU214" s="161">
        <f t="shared" si="63"/>
        <v>1801.7400000000002</v>
      </c>
      <c r="AV214" s="161">
        <f t="shared" si="63"/>
        <v>1779.44</v>
      </c>
      <c r="AW214" s="161">
        <f t="shared" si="63"/>
        <v>1791.7399999999998</v>
      </c>
      <c r="AX214" s="161">
        <f t="shared" si="63"/>
        <v>1765.3400000000001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192:AF192 AG73 U213:AF213 C94:AF100 B9:AF10 U11:AF11">
    <cfRule type="expression" dxfId="807" priority="210">
      <formula>B$9&gt;=20/24</formula>
    </cfRule>
    <cfRule type="expression" dxfId="806" priority="211">
      <formula>AND(B$9&gt;=14/24,B$9&lt;20/24)</formula>
    </cfRule>
    <cfRule type="expression" dxfId="805" priority="212">
      <formula>AND(B$9&gt;=8/24,B$9&lt;14/24)</formula>
    </cfRule>
    <cfRule type="expression" dxfId="804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U37:AF37">
    <cfRule type="expression" dxfId="803" priority="205">
      <formula>U$9&gt;=20/24</formula>
    </cfRule>
    <cfRule type="expression" dxfId="802" priority="206">
      <formula>AND(U$9&gt;=14/24,U$9&lt;20/24)</formula>
    </cfRule>
    <cfRule type="expression" dxfId="801" priority="207">
      <formula>AND(U$9&gt;=8/24,U$9&lt;14/24)</formula>
    </cfRule>
    <cfRule type="expression" dxfId="800" priority="208">
      <formula>U$9&lt;8/24</formula>
    </cfRule>
  </conditionalFormatting>
  <conditionalFormatting sqref="AG51 U11 B12:U16 V11:AF16 U37:AF37">
    <cfRule type="expression" dxfId="799" priority="204">
      <formula>B11&gt;$AG11</formula>
    </cfRule>
  </conditionalFormatting>
  <conditionalFormatting sqref="A101:A157 A84:A97 A11:A14 A45:A72 A80:A82 A74:A78 A35:A43 A170:A200 A16:A32">
    <cfRule type="expression" dxfId="798" priority="203">
      <formula>$AH11=0</formula>
    </cfRule>
  </conditionalFormatting>
  <conditionalFormatting sqref="A98">
    <cfRule type="expression" dxfId="797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796" priority="200">
      <formula>$AH34=0</formula>
    </cfRule>
  </conditionalFormatting>
  <conditionalFormatting sqref="A83">
    <cfRule type="expression" dxfId="795" priority="199">
      <formula>$AH83=0</formula>
    </cfRule>
  </conditionalFormatting>
  <conditionalFormatting sqref="A15">
    <cfRule type="expression" dxfId="794" priority="198">
      <formula>$AH15=0</formula>
    </cfRule>
  </conditionalFormatting>
  <conditionalFormatting sqref="A164:A169">
    <cfRule type="expression" dxfId="793" priority="197">
      <formula>$AH164=0</formula>
    </cfRule>
  </conditionalFormatting>
  <conditionalFormatting sqref="A158:A163">
    <cfRule type="expression" dxfId="792" priority="196">
      <formula>$AH158=0</formula>
    </cfRule>
  </conditionalFormatting>
  <conditionalFormatting sqref="A44">
    <cfRule type="expression" dxfId="791" priority="195">
      <formula>$AH44=0</formula>
    </cfRule>
  </conditionalFormatting>
  <conditionalFormatting sqref="A79">
    <cfRule type="expression" dxfId="790" priority="194">
      <formula>$AH79=0</formula>
    </cfRule>
  </conditionalFormatting>
  <conditionalFormatting sqref="A73">
    <cfRule type="expression" dxfId="789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788" priority="189">
      <formula>C$9&gt;=20/24</formula>
    </cfRule>
    <cfRule type="expression" dxfId="787" priority="190">
      <formula>AND(C$9&gt;=14/24,C$9&lt;20/24)</formula>
    </cfRule>
    <cfRule type="expression" dxfId="786" priority="191">
      <formula>AND(C$9&gt;=8/24,C$9&lt;14/24)</formula>
    </cfRule>
    <cfRule type="expression" dxfId="785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84" priority="217">
      <formula>C$9&gt;=20/24</formula>
    </cfRule>
    <cfRule type="expression" dxfId="783" priority="218">
      <formula>AND(C$9&gt;=14/24,C$9&lt;20/24)</formula>
    </cfRule>
    <cfRule type="expression" dxfId="782" priority="219">
      <formula>AND(C$9&gt;=8/24,C$9&lt;14/24)</formula>
    </cfRule>
    <cfRule type="expression" dxfId="781" priority="220">
      <formula>C$9&lt;8/24</formula>
    </cfRule>
  </conditionalFormatting>
  <conditionalFormatting sqref="A201">
    <cfRule type="expression" dxfId="780" priority="221">
      <formula>$AH201=0</formula>
    </cfRule>
  </conditionalFormatting>
  <conditionalFormatting sqref="AG213">
    <cfRule type="expression" dxfId="779" priority="222">
      <formula>B$9&gt;=20/24</formula>
    </cfRule>
    <cfRule type="expression" dxfId="778" priority="223">
      <formula>AND(B$9&gt;=14/24,B$9&lt;20/24)</formula>
    </cfRule>
    <cfRule type="expression" dxfId="777" priority="224">
      <formula>AND(B$9&gt;=8/24,B$9&lt;14/24)</formula>
    </cfRule>
    <cfRule type="expression" dxfId="776" priority="225">
      <formula>B$9&lt;8/24</formula>
    </cfRule>
  </conditionalFormatting>
  <conditionalFormatting sqref="S8">
    <cfRule type="expression" dxfId="775" priority="184">
      <formula>U$9&gt;=20/24</formula>
    </cfRule>
    <cfRule type="expression" dxfId="774" priority="185">
      <formula>AND(U$9&gt;=14/24,U$9&lt;20/24)</formula>
    </cfRule>
    <cfRule type="expression" dxfId="773" priority="186">
      <formula>AND(U$9&gt;=8/24,U$9&lt;14/24)</formula>
    </cfRule>
    <cfRule type="expression" dxfId="772" priority="187">
      <formula>U$9&lt;8/24</formula>
    </cfRule>
  </conditionalFormatting>
  <conditionalFormatting sqref="AB8">
    <cfRule type="expression" dxfId="771" priority="180">
      <formula>AD$9&gt;=20/24</formula>
    </cfRule>
    <cfRule type="expression" dxfId="770" priority="181">
      <formula>AND(AD$9&gt;=14/24,AD$9&lt;20/24)</formula>
    </cfRule>
    <cfRule type="expression" dxfId="769" priority="182">
      <formula>AND(AD$9&gt;=8/24,AD$9&lt;14/24)</formula>
    </cfRule>
    <cfRule type="expression" dxfId="768" priority="183">
      <formula>AD$9&lt;8/24</formula>
    </cfRule>
  </conditionalFormatting>
  <conditionalFormatting sqref="AH213:AX213">
    <cfRule type="expression" dxfId="767" priority="226">
      <formula>AG$9&gt;=20/24</formula>
    </cfRule>
    <cfRule type="expression" dxfId="766" priority="227">
      <formula>AND(AG$9&gt;=14/24,AG$9&lt;20/24)</formula>
    </cfRule>
    <cfRule type="expression" dxfId="765" priority="228">
      <formula>AND(AG$9&gt;=8/24,AG$9&lt;14/24)</formula>
    </cfRule>
    <cfRule type="expression" dxfId="764" priority="229">
      <formula>AG$9&lt;8/24</formula>
    </cfRule>
  </conditionalFormatting>
  <conditionalFormatting sqref="T213">
    <cfRule type="expression" dxfId="763" priority="230">
      <formula>AX$9&gt;=20/24</formula>
    </cfRule>
    <cfRule type="expression" dxfId="762" priority="231">
      <formula>AND(AX$9&gt;=14/24,AX$9&lt;20/24)</formula>
    </cfRule>
    <cfRule type="expression" dxfId="761" priority="232">
      <formula>AND(AX$9&gt;=8/24,AX$9&lt;14/24)</formula>
    </cfRule>
    <cfRule type="expression" dxfId="760" priority="233">
      <formula>AX$9&lt;8/24</formula>
    </cfRule>
  </conditionalFormatting>
  <conditionalFormatting sqref="A99:A100">
    <cfRule type="expression" dxfId="759" priority="179">
      <formula>$AH99=0</formula>
    </cfRule>
  </conditionalFormatting>
  <conditionalFormatting sqref="C57:AF57 AA40:AF41">
    <cfRule type="expression" dxfId="758" priority="175">
      <formula>C$9&gt;=20/24</formula>
    </cfRule>
    <cfRule type="expression" dxfId="757" priority="176">
      <formula>AND(C$9&gt;=14/24,C$9&lt;20/24)</formula>
    </cfRule>
    <cfRule type="expression" dxfId="756" priority="177">
      <formula>AND(C$9&gt;=8/24,C$9&lt;14/24)</formula>
    </cfRule>
    <cfRule type="expression" dxfId="755" priority="178">
      <formula>C$9&lt;8/24</formula>
    </cfRule>
  </conditionalFormatting>
  <conditionalFormatting sqref="AA39:AF39">
    <cfRule type="expression" dxfId="754" priority="171">
      <formula>AA$9&gt;=20/24</formula>
    </cfRule>
    <cfRule type="expression" dxfId="753" priority="172">
      <formula>AND(AA$9&gt;=14/24,AA$9&lt;20/24)</formula>
    </cfRule>
    <cfRule type="expression" dxfId="752" priority="173">
      <formula>AND(AA$9&gt;=8/24,AA$9&lt;14/24)</formula>
    </cfRule>
    <cfRule type="expression" dxfId="751" priority="174">
      <formula>AA$9&lt;8/24</formula>
    </cfRule>
  </conditionalFormatting>
  <conditionalFormatting sqref="AA39:AF41">
    <cfRule type="expression" dxfId="750" priority="170">
      <formula>AA39&gt;$AG39</formula>
    </cfRule>
  </conditionalFormatting>
  <conditionalFormatting sqref="C81:AF81 C58:N59 C69:AF72 M64:M66 L60:N60 L61:M63 C67:M67 C60:K63 N61:N67 O37:T37 C53:AF56 O58:AF67 C85:AF91 P26:AF26 O16:AF16">
    <cfRule type="expression" dxfId="749" priority="166">
      <formula>C$9&gt;=20/24</formula>
    </cfRule>
    <cfRule type="expression" dxfId="748" priority="167">
      <formula>AND(C$9&gt;=14/24,C$9&lt;20/24)</formula>
    </cfRule>
    <cfRule type="expression" dxfId="747" priority="168">
      <formula>AND(C$9&gt;=8/24,C$9&lt;14/24)</formula>
    </cfRule>
    <cfRule type="expression" dxfId="746" priority="169">
      <formula>C$9&lt;8/24</formula>
    </cfRule>
  </conditionalFormatting>
  <conditionalFormatting sqref="C51:AF51 O37:T37 C53:AF56 AB42:AF43 P26:AF26">
    <cfRule type="expression" dxfId="745" priority="157">
      <formula>C26&gt;$AG26</formula>
    </cfRule>
  </conditionalFormatting>
  <conditionalFormatting sqref="AA42:AA43 AB44:AF50">
    <cfRule type="expression" dxfId="744" priority="136">
      <formula>AA$9&gt;=20/24</formula>
    </cfRule>
    <cfRule type="expression" dxfId="743" priority="137">
      <formula>AND(AA$9&gt;=14/24,AA$9&lt;20/24)</formula>
    </cfRule>
    <cfRule type="expression" dxfId="742" priority="138">
      <formula>AND(AA$9&gt;=8/24,AA$9&lt;14/24)</formula>
    </cfRule>
    <cfRule type="expression" dxfId="741" priority="139">
      <formula>AA$9&lt;8/24</formula>
    </cfRule>
  </conditionalFormatting>
  <conditionalFormatting sqref="AA42:AA43 AB44:AF50">
    <cfRule type="expression" dxfId="740" priority="135">
      <formula>AA42&gt;$AG42</formula>
    </cfRule>
  </conditionalFormatting>
  <conditionalFormatting sqref="AA44:AA50 M39:Z50">
    <cfRule type="expression" dxfId="739" priority="131">
      <formula>M$9&gt;=20/24</formula>
    </cfRule>
    <cfRule type="expression" dxfId="738" priority="132">
      <formula>AND(M$9&gt;=14/24,M$9&lt;20/24)</formula>
    </cfRule>
    <cfRule type="expression" dxfId="737" priority="133">
      <formula>AND(M$9&gt;=8/24,M$9&lt;14/24)</formula>
    </cfRule>
    <cfRule type="expression" dxfId="736" priority="134">
      <formula>M$9&lt;8/24</formula>
    </cfRule>
  </conditionalFormatting>
  <conditionalFormatting sqref="AA44:AA50 M39:Z50">
    <cfRule type="expression" dxfId="735" priority="130">
      <formula>M39&gt;$AG39</formula>
    </cfRule>
  </conditionalFormatting>
  <conditionalFormatting sqref="E16:N16">
    <cfRule type="expression" dxfId="734" priority="122">
      <formula>E$9&gt;=20/24</formula>
    </cfRule>
    <cfRule type="expression" dxfId="733" priority="123">
      <formula>AND(E$9&gt;=14/24,E$9&lt;20/24)</formula>
    </cfRule>
    <cfRule type="expression" dxfId="732" priority="124">
      <formula>AND(E$9&gt;=8/24,E$9&lt;14/24)</formula>
    </cfRule>
    <cfRule type="expression" dxfId="731" priority="125">
      <formula>E$9&lt;8/24</formula>
    </cfRule>
  </conditionalFormatting>
  <conditionalFormatting sqref="C64:L66">
    <cfRule type="expression" dxfId="730" priority="87">
      <formula>C$9&gt;=20/24</formula>
    </cfRule>
    <cfRule type="expression" dxfId="729" priority="88">
      <formula>AND(C$9&gt;=14/24,C$9&lt;20/24)</formula>
    </cfRule>
    <cfRule type="expression" dxfId="728" priority="89">
      <formula>AND(C$9&gt;=8/24,C$9&lt;14/24)</formula>
    </cfRule>
    <cfRule type="expression" dxfId="727" priority="90">
      <formula>C$9&lt;8/24</formula>
    </cfRule>
  </conditionalFormatting>
  <conditionalFormatting sqref="B94:B100 B74:AF74 B82:AF82 B11:T11">
    <cfRule type="expression" dxfId="726" priority="68">
      <formula>B$9&gt;=20/24</formula>
    </cfRule>
    <cfRule type="expression" dxfId="725" priority="69">
      <formula>AND(B$9&gt;=14/24,B$9&lt;20/24)</formula>
    </cfRule>
    <cfRule type="expression" dxfId="724" priority="70">
      <formula>AND(B$9&gt;=8/24,B$9&lt;14/24)</formula>
    </cfRule>
    <cfRule type="expression" dxfId="723" priority="71">
      <formula>B$9&lt;8/24</formula>
    </cfRule>
  </conditionalFormatting>
  <conditionalFormatting sqref="B37:N37">
    <cfRule type="expression" dxfId="722" priority="64">
      <formula>B$9&gt;=20/24</formula>
    </cfRule>
    <cfRule type="expression" dxfId="721" priority="65">
      <formula>AND(B$9&gt;=14/24,B$9&lt;20/24)</formula>
    </cfRule>
    <cfRule type="expression" dxfId="720" priority="66">
      <formula>AND(B$9&gt;=8/24,B$9&lt;14/24)</formula>
    </cfRule>
    <cfRule type="expression" dxfId="719" priority="67">
      <formula>B$9&lt;8/24</formula>
    </cfRule>
  </conditionalFormatting>
  <conditionalFormatting sqref="B37:N37 B11:T11">
    <cfRule type="expression" dxfId="718" priority="63">
      <formula>B11&gt;$AG11</formula>
    </cfRule>
  </conditionalFormatting>
  <conditionalFormatting sqref="B84">
    <cfRule type="expression" dxfId="717" priority="59">
      <formula>B$9&gt;=20/24</formula>
    </cfRule>
    <cfRule type="expression" dxfId="716" priority="60">
      <formula>AND(B$9&gt;=14/24,B$9&lt;20/24)</formula>
    </cfRule>
    <cfRule type="expression" dxfId="715" priority="61">
      <formula>AND(B$9&gt;=8/24,B$9&lt;14/24)</formula>
    </cfRule>
    <cfRule type="expression" dxfId="714" priority="62">
      <formula>B$9&lt;8/24</formula>
    </cfRule>
  </conditionalFormatting>
  <conditionalFormatting sqref="B57 B40:L41 B36:AF36">
    <cfRule type="expression" dxfId="713" priority="55">
      <formula>B$9&gt;=20/24</formula>
    </cfRule>
    <cfRule type="expression" dxfId="712" priority="56">
      <formula>AND(B$9&gt;=14/24,B$9&lt;20/24)</formula>
    </cfRule>
    <cfRule type="expression" dxfId="711" priority="57">
      <formula>AND(B$9&gt;=8/24,B$9&lt;14/24)</formula>
    </cfRule>
    <cfRule type="expression" dxfId="710" priority="58">
      <formula>B$9&lt;8/24</formula>
    </cfRule>
  </conditionalFormatting>
  <conditionalFormatting sqref="B39:L39">
    <cfRule type="expression" dxfId="709" priority="51">
      <formula>B$9&gt;=20/24</formula>
    </cfRule>
    <cfRule type="expression" dxfId="708" priority="52">
      <formula>AND(B$9&gt;=14/24,B$9&lt;20/24)</formula>
    </cfRule>
    <cfRule type="expression" dxfId="707" priority="53">
      <formula>AND(B$9&gt;=8/24,B$9&lt;14/24)</formula>
    </cfRule>
    <cfRule type="expression" dxfId="706" priority="54">
      <formula>B$9&lt;8/24</formula>
    </cfRule>
  </conditionalFormatting>
  <conditionalFormatting sqref="B39:L41 B36:AF36">
    <cfRule type="expression" dxfId="705" priority="50">
      <formula>B36&gt;$AG36</formula>
    </cfRule>
  </conditionalFormatting>
  <conditionalFormatting sqref="B85:B91 B53:B56 B58:B67 B69:B73 B75:AF75 C73:AF73 B81 B83:AF83 B16:D16 B24:O26 B18:AF22 P24:AF25 B28:AF31 B12:AF14">
    <cfRule type="expression" dxfId="704" priority="46">
      <formula>B$9&gt;=20/24</formula>
    </cfRule>
    <cfRule type="expression" dxfId="703" priority="47">
      <formula>AND(B$9&gt;=14/24,B$9&lt;20/24)</formula>
    </cfRule>
    <cfRule type="expression" dxfId="702" priority="48">
      <formula>AND(B$9&gt;=8/24,B$9&lt;14/24)</formula>
    </cfRule>
    <cfRule type="expression" dxfId="701" priority="49">
      <formula>B$9&lt;8/24</formula>
    </cfRule>
  </conditionalFormatting>
  <conditionalFormatting sqref="B32:AF32">
    <cfRule type="expression" dxfId="700" priority="42">
      <formula>B$9&gt;=20/24</formula>
    </cfRule>
    <cfRule type="expression" dxfId="699" priority="43">
      <formula>AND(B$9&gt;=14/24,B$9&lt;20/24)</formula>
    </cfRule>
    <cfRule type="expression" dxfId="698" priority="44">
      <formula>AND(B$9&gt;=8/24,B$9&lt;14/24)</formula>
    </cfRule>
    <cfRule type="expression" dxfId="697" priority="45">
      <formula>B$9&lt;8/24</formula>
    </cfRule>
  </conditionalFormatting>
  <conditionalFormatting sqref="B35:AF35">
    <cfRule type="expression" dxfId="696" priority="38">
      <formula>B$9&gt;=20/24</formula>
    </cfRule>
    <cfRule type="expression" dxfId="695" priority="39">
      <formula>AND(B$9&gt;=14/24,B$9&lt;20/24)</formula>
    </cfRule>
    <cfRule type="expression" dxfId="694" priority="40">
      <formula>AND(B$9&gt;=8/24,B$9&lt;14/24)</formula>
    </cfRule>
    <cfRule type="expression" dxfId="693" priority="41">
      <formula>B$9&lt;8/24</formula>
    </cfRule>
  </conditionalFormatting>
  <conditionalFormatting sqref="B51:B56 C52:AF52 B38:AF38 B42:L43 B24:O32 B18:AF22 P24:AF25 P27:AF32 B34:AF35">
    <cfRule type="expression" dxfId="692" priority="37">
      <formula>B18&gt;$AG18</formula>
    </cfRule>
  </conditionalFormatting>
  <conditionalFormatting sqref="B34:AF34">
    <cfRule type="expression" dxfId="691" priority="33">
      <formula>B$9&gt;=20/24</formula>
    </cfRule>
    <cfRule type="expression" dxfId="690" priority="34">
      <formula>AND(B$9&gt;=14/24,B$9&lt;20/24)</formula>
    </cfRule>
    <cfRule type="expression" dxfId="689" priority="35">
      <formula>AND(B$9&gt;=8/24,B$9&lt;14/24)</formula>
    </cfRule>
    <cfRule type="expression" dxfId="688" priority="36">
      <formula>B$9&lt;8/24</formula>
    </cfRule>
  </conditionalFormatting>
  <conditionalFormatting sqref="B15:AF15">
    <cfRule type="expression" dxfId="687" priority="29">
      <formula>B$9&gt;=20/24</formula>
    </cfRule>
    <cfRule type="expression" dxfId="686" priority="30">
      <formula>AND(B$9&gt;=14/24,B$9&lt;20/24)</formula>
    </cfRule>
    <cfRule type="expression" dxfId="685" priority="31">
      <formula>AND(B$9&gt;=8/24,B$9&lt;14/24)</formula>
    </cfRule>
    <cfRule type="expression" dxfId="684" priority="32">
      <formula>B$9&lt;8/24</formula>
    </cfRule>
  </conditionalFormatting>
  <conditionalFormatting sqref="B33:AF33">
    <cfRule type="expression" dxfId="683" priority="25">
      <formula>B$9&gt;=20/24</formula>
    </cfRule>
    <cfRule type="expression" dxfId="682" priority="26">
      <formula>AND(B$9&gt;=14/24,B$9&lt;20/24)</formula>
    </cfRule>
    <cfRule type="expression" dxfId="681" priority="27">
      <formula>AND(B$9&gt;=8/24,B$9&lt;14/24)</formula>
    </cfRule>
    <cfRule type="expression" dxfId="680" priority="28">
      <formula>B$9&lt;8/24</formula>
    </cfRule>
  </conditionalFormatting>
  <conditionalFormatting sqref="B33:AF33">
    <cfRule type="expression" dxfId="679" priority="24">
      <formula>B33&gt;$AG33</formula>
    </cfRule>
  </conditionalFormatting>
  <conditionalFormatting sqref="B44:L50">
    <cfRule type="expression" dxfId="678" priority="20">
      <formula>B$9&gt;=20/24</formula>
    </cfRule>
    <cfRule type="expression" dxfId="677" priority="21">
      <formula>AND(B$9&gt;=14/24,B$9&lt;20/24)</formula>
    </cfRule>
    <cfRule type="expression" dxfId="676" priority="22">
      <formula>AND(B$9&gt;=8/24,B$9&lt;14/24)</formula>
    </cfRule>
    <cfRule type="expression" dxfId="675" priority="23">
      <formula>B$9&lt;8/24</formula>
    </cfRule>
  </conditionalFormatting>
  <conditionalFormatting sqref="B44:L50">
    <cfRule type="expression" dxfId="674" priority="19">
      <formula>B44&gt;$AG44</formula>
    </cfRule>
  </conditionalFormatting>
  <conditionalFormatting sqref="B27:AF27">
    <cfRule type="expression" dxfId="673" priority="15">
      <formula>B$9&gt;=20/24</formula>
    </cfRule>
    <cfRule type="expression" dxfId="672" priority="16">
      <formula>AND(B$9&gt;=14/24,B$9&lt;20/24)</formula>
    </cfRule>
    <cfRule type="expression" dxfId="671" priority="17">
      <formula>AND(B$9&gt;=8/24,B$9&lt;14/24)</formula>
    </cfRule>
    <cfRule type="expression" dxfId="670" priority="18">
      <formula>B$9&lt;8/24</formula>
    </cfRule>
  </conditionalFormatting>
  <conditionalFormatting sqref="B17:AF17 B23:AF23">
    <cfRule type="expression" dxfId="669" priority="11">
      <formula>B$9&gt;=20/24</formula>
    </cfRule>
    <cfRule type="expression" dxfId="668" priority="12">
      <formula>AND(B$9&gt;=14/24,B$9&lt;20/24)</formula>
    </cfRule>
    <cfRule type="expression" dxfId="667" priority="13">
      <formula>AND(B$9&gt;=8/24,B$9&lt;14/24)</formula>
    </cfRule>
    <cfRule type="expression" dxfId="666" priority="14">
      <formula>B$9&lt;8/24</formula>
    </cfRule>
  </conditionalFormatting>
  <conditionalFormatting sqref="B17:AF17 B23:AF23">
    <cfRule type="expression" dxfId="665" priority="10">
      <formula>B17&gt;$AG17</formula>
    </cfRule>
  </conditionalFormatting>
  <conditionalFormatting sqref="A33">
    <cfRule type="expression" dxfId="664" priority="9">
      <formula>$AH33=0</formula>
    </cfRule>
  </conditionalFormatting>
  <conditionalFormatting sqref="B68:AF68">
    <cfRule type="expression" dxfId="663" priority="5">
      <formula>B$9&gt;=20/24</formula>
    </cfRule>
    <cfRule type="expression" dxfId="662" priority="6">
      <formula>AND(B$9&gt;=14/24,B$9&lt;20/24)</formula>
    </cfRule>
    <cfRule type="expression" dxfId="661" priority="7">
      <formula>AND(B$9&gt;=8/24,B$9&lt;14/24)</formula>
    </cfRule>
    <cfRule type="expression" dxfId="660" priority="8">
      <formula>B$9&lt;8/24</formula>
    </cfRule>
  </conditionalFormatting>
  <conditionalFormatting sqref="B76:AF80">
    <cfRule type="expression" dxfId="659" priority="1">
      <formula>B$9&gt;=20/24</formula>
    </cfRule>
    <cfRule type="expression" dxfId="658" priority="2">
      <formula>AND(B$9&gt;=14/24,B$9&lt;20/24)</formula>
    </cfRule>
    <cfRule type="expression" dxfId="657" priority="3">
      <formula>AND(B$9&gt;=8/24,B$9&lt;14/24)</formula>
    </cfRule>
    <cfRule type="expression" dxfId="656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85" sqref="A85:XFD8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2079/02/31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41.8</v>
      </c>
      <c r="C5" s="32">
        <f t="shared" si="0"/>
        <v>40.6</v>
      </c>
      <c r="D5" s="32">
        <f t="shared" si="0"/>
        <v>40</v>
      </c>
      <c r="E5" s="32">
        <f t="shared" si="0"/>
        <v>39</v>
      </c>
      <c r="F5" s="32">
        <f t="shared" si="0"/>
        <v>37</v>
      </c>
      <c r="G5" s="32">
        <f t="shared" si="0"/>
        <v>33</v>
      </c>
      <c r="H5" s="32">
        <f t="shared" si="0"/>
        <v>53</v>
      </c>
      <c r="I5" s="32">
        <f t="shared" si="0"/>
        <v>34</v>
      </c>
      <c r="J5" s="32">
        <f t="shared" si="0"/>
        <v>34</v>
      </c>
      <c r="K5" s="32">
        <f t="shared" si="0"/>
        <v>62</v>
      </c>
      <c r="L5" s="32">
        <f t="shared" si="0"/>
        <v>55.5</v>
      </c>
      <c r="M5" s="32">
        <f t="shared" si="0"/>
        <v>61.2</v>
      </c>
      <c r="N5" s="32">
        <f t="shared" si="0"/>
        <v>60.6</v>
      </c>
      <c r="O5" s="32">
        <f t="shared" si="0"/>
        <v>72.599999999999994</v>
      </c>
      <c r="P5" s="32">
        <f t="shared" si="0"/>
        <v>71.2</v>
      </c>
      <c r="Q5" s="32">
        <f t="shared" si="0"/>
        <v>71.8</v>
      </c>
      <c r="R5" s="32">
        <f t="shared" si="0"/>
        <v>74.400000000000006</v>
      </c>
      <c r="S5" s="32">
        <f t="shared" si="0"/>
        <v>68</v>
      </c>
      <c r="T5" s="32">
        <f t="shared" si="0"/>
        <v>0</v>
      </c>
      <c r="U5" s="32">
        <f t="shared" si="0"/>
        <v>205</v>
      </c>
      <c r="V5" s="32">
        <f t="shared" si="0"/>
        <v>5</v>
      </c>
      <c r="W5" s="32">
        <f t="shared" si="0"/>
        <v>5</v>
      </c>
      <c r="X5" s="32">
        <f t="shared" si="0"/>
        <v>5</v>
      </c>
      <c r="Y5" s="32">
        <f t="shared" si="0"/>
        <v>5</v>
      </c>
      <c r="Z5" s="32">
        <f t="shared" si="0"/>
        <v>5</v>
      </c>
      <c r="AA5" s="32">
        <f t="shared" si="0"/>
        <v>5</v>
      </c>
      <c r="AB5" s="32">
        <f t="shared" si="0"/>
        <v>35.299999999999997</v>
      </c>
      <c r="AC5" s="32">
        <f t="shared" si="0"/>
        <v>39.799999999999997</v>
      </c>
      <c r="AD5" s="32">
        <f t="shared" si="0"/>
        <v>31.3</v>
      </c>
      <c r="AE5" s="32">
        <f t="shared" si="0"/>
        <v>66.2</v>
      </c>
      <c r="AF5" s="32">
        <f>B68</f>
        <v>44.2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1780MW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1761.64</v>
      </c>
      <c r="C7" s="37">
        <f t="shared" ref="C7:AF7" si="1">C75</f>
        <v>1751.04</v>
      </c>
      <c r="D7" s="37">
        <f t="shared" si="1"/>
        <v>1745.3399999999997</v>
      </c>
      <c r="E7" s="37">
        <f t="shared" si="1"/>
        <v>1691.0399999999997</v>
      </c>
      <c r="F7" s="37">
        <f t="shared" si="1"/>
        <v>1687.0399999999997</v>
      </c>
      <c r="G7" s="37">
        <f t="shared" si="1"/>
        <v>1733.3399999999997</v>
      </c>
      <c r="H7" s="37">
        <f t="shared" si="1"/>
        <v>1729.3399999999997</v>
      </c>
      <c r="I7" s="37">
        <f t="shared" si="1"/>
        <v>1754.3399999999997</v>
      </c>
      <c r="J7" s="37">
        <f t="shared" si="1"/>
        <v>1740.3399999999997</v>
      </c>
      <c r="K7" s="37">
        <f t="shared" si="1"/>
        <v>1740.3399999999997</v>
      </c>
      <c r="L7" s="37">
        <f t="shared" si="1"/>
        <v>1768.3399999999997</v>
      </c>
      <c r="M7" s="37">
        <f t="shared" si="1"/>
        <v>1770.84</v>
      </c>
      <c r="N7" s="37">
        <f t="shared" si="1"/>
        <v>1779.54</v>
      </c>
      <c r="O7" s="37">
        <f t="shared" si="1"/>
        <v>1774.1399999999999</v>
      </c>
      <c r="P7" s="37">
        <f t="shared" si="1"/>
        <v>1788.8400000000001</v>
      </c>
      <c r="Q7" s="37">
        <f t="shared" si="1"/>
        <v>1786.8400000000001</v>
      </c>
      <c r="R7" s="37">
        <f t="shared" si="1"/>
        <v>1786.14</v>
      </c>
      <c r="S7" s="37">
        <f t="shared" si="1"/>
        <v>1776.7400000000002</v>
      </c>
      <c r="T7" s="37">
        <f t="shared" si="1"/>
        <v>1770.54</v>
      </c>
      <c r="U7" s="37">
        <f t="shared" si="1"/>
        <v>3.54</v>
      </c>
      <c r="V7" s="37">
        <f t="shared" si="1"/>
        <v>1637.8400000000001</v>
      </c>
      <c r="W7" s="37">
        <f t="shared" si="1"/>
        <v>1589.8400000000001</v>
      </c>
      <c r="X7" s="37">
        <f t="shared" si="1"/>
        <v>1682.14</v>
      </c>
      <c r="Y7" s="37">
        <f t="shared" si="1"/>
        <v>1682.14</v>
      </c>
      <c r="Z7" s="37">
        <f t="shared" si="1"/>
        <v>1682.14</v>
      </c>
      <c r="AA7" s="37">
        <f t="shared" si="1"/>
        <v>1722.64</v>
      </c>
      <c r="AB7" s="37">
        <f t="shared" si="1"/>
        <v>1745.14</v>
      </c>
      <c r="AC7" s="37">
        <f t="shared" si="1"/>
        <v>1655.44</v>
      </c>
      <c r="AD7" s="37">
        <f t="shared" si="1"/>
        <v>1764.44</v>
      </c>
      <c r="AE7" s="37">
        <f t="shared" si="1"/>
        <v>1757.94</v>
      </c>
      <c r="AF7" s="37">
        <f t="shared" si="1"/>
        <v>1785.8400000000001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3">
        <v>456</v>
      </c>
      <c r="C11" s="53">
        <v>456</v>
      </c>
      <c r="D11" s="53">
        <v>456</v>
      </c>
      <c r="E11" s="53">
        <v>456</v>
      </c>
      <c r="F11" s="53">
        <v>456</v>
      </c>
      <c r="G11" s="53">
        <v>456</v>
      </c>
      <c r="H11" s="53">
        <v>456</v>
      </c>
      <c r="I11" s="53">
        <v>456</v>
      </c>
      <c r="J11" s="53">
        <v>456</v>
      </c>
      <c r="K11" s="53">
        <v>456</v>
      </c>
      <c r="L11" s="53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3">
        <v>456</v>
      </c>
      <c r="T11" s="53">
        <v>456</v>
      </c>
      <c r="U11" s="202" t="s">
        <v>232</v>
      </c>
      <c r="V11" s="53">
        <v>152</v>
      </c>
      <c r="W11" s="53">
        <v>304</v>
      </c>
      <c r="X11" s="53">
        <v>380</v>
      </c>
      <c r="Y11" s="53">
        <v>380</v>
      </c>
      <c r="Z11" s="53">
        <v>380</v>
      </c>
      <c r="AA11" s="53">
        <v>380</v>
      </c>
      <c r="AB11" s="53">
        <v>380</v>
      </c>
      <c r="AC11" s="53">
        <v>380</v>
      </c>
      <c r="AD11" s="53">
        <v>456</v>
      </c>
      <c r="AE11" s="53">
        <v>456</v>
      </c>
      <c r="AF11" s="53">
        <v>456</v>
      </c>
      <c r="AG11" s="54">
        <v>456</v>
      </c>
      <c r="AH11" s="55">
        <f>MAX(B11:AF11)</f>
        <v>456</v>
      </c>
      <c r="AI11" s="56">
        <f>MIN(B11:AF11)</f>
        <v>152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203"/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54.2</v>
      </c>
      <c r="C13" s="51">
        <v>54.3</v>
      </c>
      <c r="D13" s="51">
        <v>54.3</v>
      </c>
      <c r="E13" s="51">
        <v>54.3</v>
      </c>
      <c r="F13" s="51">
        <v>54.3</v>
      </c>
      <c r="G13" s="51">
        <v>54.3</v>
      </c>
      <c r="H13" s="51">
        <v>54.3</v>
      </c>
      <c r="I13" s="51">
        <v>54.3</v>
      </c>
      <c r="J13" s="51">
        <v>54.3</v>
      </c>
      <c r="K13" s="51">
        <v>54.3</v>
      </c>
      <c r="L13" s="51">
        <v>54.3</v>
      </c>
      <c r="M13" s="51">
        <v>54.2</v>
      </c>
      <c r="N13" s="51">
        <v>54.2</v>
      </c>
      <c r="O13" s="51">
        <v>54.2</v>
      </c>
      <c r="P13" s="51">
        <v>54.2</v>
      </c>
      <c r="Q13" s="51">
        <v>54.1</v>
      </c>
      <c r="R13" s="51">
        <v>54.1</v>
      </c>
      <c r="S13" s="51">
        <v>54.1</v>
      </c>
      <c r="T13" s="51">
        <v>54.1</v>
      </c>
      <c r="U13" s="203"/>
      <c r="V13" s="51">
        <v>54.1</v>
      </c>
      <c r="W13" s="51">
        <v>54.1</v>
      </c>
      <c r="X13" s="51">
        <v>54.1</v>
      </c>
      <c r="Y13" s="51">
        <v>54.1</v>
      </c>
      <c r="Z13" s="51">
        <v>54.1</v>
      </c>
      <c r="AA13" s="51">
        <v>54.1</v>
      </c>
      <c r="AB13" s="51">
        <v>54.1</v>
      </c>
      <c r="AC13" s="51">
        <v>54.1</v>
      </c>
      <c r="AD13" s="51">
        <v>54.1</v>
      </c>
      <c r="AE13" s="51">
        <v>54.1</v>
      </c>
      <c r="AF13" s="51">
        <v>54.1</v>
      </c>
      <c r="AG13" s="59">
        <v>52.4</v>
      </c>
      <c r="AH13" s="55">
        <f t="shared" si="2"/>
        <v>54.3</v>
      </c>
      <c r="AI13" s="56">
        <f t="shared" si="3"/>
        <v>54.1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50.4</v>
      </c>
      <c r="C14" s="51">
        <v>50.4</v>
      </c>
      <c r="D14" s="51">
        <v>50.4</v>
      </c>
      <c r="E14" s="51">
        <v>50.4</v>
      </c>
      <c r="F14" s="51">
        <v>50.4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50.3</v>
      </c>
      <c r="N14" s="51">
        <v>50.3</v>
      </c>
      <c r="O14" s="51">
        <v>50.3</v>
      </c>
      <c r="P14" s="51">
        <v>50.6</v>
      </c>
      <c r="Q14" s="51">
        <v>50.3</v>
      </c>
      <c r="R14" s="51">
        <v>50.3</v>
      </c>
      <c r="S14" s="51">
        <v>50.3</v>
      </c>
      <c r="T14" s="51">
        <v>50.3</v>
      </c>
      <c r="U14" s="203"/>
      <c r="V14" s="51">
        <v>50.3</v>
      </c>
      <c r="W14" s="51">
        <v>50.3</v>
      </c>
      <c r="X14" s="51">
        <v>50.3</v>
      </c>
      <c r="Y14" s="51">
        <v>50.3</v>
      </c>
      <c r="Z14" s="51">
        <v>50.3</v>
      </c>
      <c r="AA14" s="51">
        <v>50.3</v>
      </c>
      <c r="AB14" s="51">
        <v>50.3</v>
      </c>
      <c r="AC14" s="51">
        <v>50.3</v>
      </c>
      <c r="AD14" s="51">
        <v>50.3</v>
      </c>
      <c r="AE14" s="51">
        <v>50.3</v>
      </c>
      <c r="AF14" s="51">
        <v>50.3</v>
      </c>
      <c r="AG14" s="59">
        <v>50</v>
      </c>
      <c r="AH14" s="55">
        <f t="shared" si="2"/>
        <v>50.6</v>
      </c>
      <c r="AI14" s="56">
        <f t="shared" si="3"/>
        <v>50.3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45.7</v>
      </c>
      <c r="C15" s="51">
        <v>45.7</v>
      </c>
      <c r="D15" s="51">
        <v>45.8</v>
      </c>
      <c r="E15" s="51">
        <v>45.8</v>
      </c>
      <c r="F15" s="51">
        <v>45.8</v>
      </c>
      <c r="G15" s="51">
        <v>45.8</v>
      </c>
      <c r="H15" s="51">
        <v>45.8</v>
      </c>
      <c r="I15" s="51">
        <v>45.8</v>
      </c>
      <c r="J15" s="51">
        <v>45.8</v>
      </c>
      <c r="K15" s="51">
        <v>45.8</v>
      </c>
      <c r="L15" s="51">
        <v>45.8</v>
      </c>
      <c r="M15" s="51">
        <v>45.7</v>
      </c>
      <c r="N15" s="51">
        <v>45.7</v>
      </c>
      <c r="O15" s="51">
        <v>45.7</v>
      </c>
      <c r="P15" s="51">
        <v>45.6</v>
      </c>
      <c r="Q15" s="51">
        <v>45.6</v>
      </c>
      <c r="R15" s="51">
        <v>45.6</v>
      </c>
      <c r="S15" s="51">
        <v>45.6</v>
      </c>
      <c r="T15" s="51">
        <v>45.6</v>
      </c>
      <c r="U15" s="203"/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45.6</v>
      </c>
      <c r="AC15" s="51">
        <v>45.6</v>
      </c>
      <c r="AD15" s="51">
        <v>45.6</v>
      </c>
      <c r="AE15" s="51">
        <v>45.6</v>
      </c>
      <c r="AF15" s="51">
        <v>45.6</v>
      </c>
      <c r="AG15" s="60">
        <v>45</v>
      </c>
      <c r="AH15" s="55">
        <f t="shared" si="2"/>
        <v>45.8</v>
      </c>
      <c r="AI15" s="56">
        <f t="shared" si="3"/>
        <v>45.6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32</v>
      </c>
      <c r="C16" s="51">
        <v>32</v>
      </c>
      <c r="D16" s="51">
        <v>28</v>
      </c>
      <c r="E16" s="51">
        <v>35</v>
      </c>
      <c r="F16" s="51">
        <v>32</v>
      </c>
      <c r="G16" s="51">
        <v>25</v>
      </c>
      <c r="H16" s="51">
        <v>25</v>
      </c>
      <c r="I16" s="51">
        <v>30</v>
      </c>
      <c r="J16" s="51">
        <v>30</v>
      </c>
      <c r="K16" s="51">
        <v>35</v>
      </c>
      <c r="L16" s="51">
        <v>35</v>
      </c>
      <c r="M16" s="51">
        <v>35</v>
      </c>
      <c r="N16" s="51">
        <v>35</v>
      </c>
      <c r="O16" s="51">
        <v>35</v>
      </c>
      <c r="P16" s="51">
        <v>35</v>
      </c>
      <c r="Q16" s="51">
        <v>35</v>
      </c>
      <c r="R16" s="51">
        <v>35</v>
      </c>
      <c r="S16" s="51">
        <v>35</v>
      </c>
      <c r="T16" s="51">
        <v>35</v>
      </c>
      <c r="U16" s="203"/>
      <c r="V16" s="51">
        <v>35</v>
      </c>
      <c r="W16" s="51">
        <v>35</v>
      </c>
      <c r="X16" s="51">
        <v>35</v>
      </c>
      <c r="Y16" s="51">
        <v>35</v>
      </c>
      <c r="Z16" s="51">
        <v>35</v>
      </c>
      <c r="AA16" s="51">
        <v>35</v>
      </c>
      <c r="AB16" s="51">
        <v>40</v>
      </c>
      <c r="AC16" s="51">
        <v>40</v>
      </c>
      <c r="AD16" s="51">
        <v>40</v>
      </c>
      <c r="AE16" s="51">
        <v>40</v>
      </c>
      <c r="AF16" s="51">
        <v>35</v>
      </c>
      <c r="AG16" s="59">
        <v>45</v>
      </c>
      <c r="AH16" s="55">
        <f t="shared" si="2"/>
        <v>40</v>
      </c>
      <c r="AI16" s="56">
        <f t="shared" si="3"/>
        <v>25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203"/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25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25</v>
      </c>
      <c r="T18" s="51">
        <v>25</v>
      </c>
      <c r="U18" s="203"/>
      <c r="V18" s="51">
        <v>25</v>
      </c>
      <c r="W18" s="51">
        <v>25</v>
      </c>
      <c r="X18" s="51">
        <v>25</v>
      </c>
      <c r="Y18" s="51">
        <v>25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25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26.2</v>
      </c>
      <c r="C19" s="51">
        <v>26.2</v>
      </c>
      <c r="D19" s="51">
        <v>26.3</v>
      </c>
      <c r="E19" s="51">
        <v>26.3</v>
      </c>
      <c r="F19" s="51">
        <v>26.3</v>
      </c>
      <c r="G19" s="51">
        <v>26.3</v>
      </c>
      <c r="H19" s="51">
        <v>26.3</v>
      </c>
      <c r="I19" s="51">
        <v>26.3</v>
      </c>
      <c r="J19" s="51">
        <v>26.3</v>
      </c>
      <c r="K19" s="51">
        <v>26.3</v>
      </c>
      <c r="L19" s="51">
        <v>26.3</v>
      </c>
      <c r="M19" s="51">
        <v>26.3</v>
      </c>
      <c r="N19" s="51">
        <v>26.3</v>
      </c>
      <c r="O19" s="51">
        <v>26.3</v>
      </c>
      <c r="P19" s="51">
        <v>26.3</v>
      </c>
      <c r="Q19" s="51">
        <v>26.3</v>
      </c>
      <c r="R19" s="51">
        <v>26.3</v>
      </c>
      <c r="S19" s="51">
        <v>26.3</v>
      </c>
      <c r="T19" s="51">
        <v>26.3</v>
      </c>
      <c r="U19" s="203"/>
      <c r="V19" s="51">
        <v>26.3</v>
      </c>
      <c r="W19" s="51">
        <v>26.3</v>
      </c>
      <c r="X19" s="51">
        <v>26.3</v>
      </c>
      <c r="Y19" s="51">
        <v>26.3</v>
      </c>
      <c r="Z19" s="51">
        <v>26.3</v>
      </c>
      <c r="AA19" s="51">
        <v>26.3</v>
      </c>
      <c r="AB19" s="51">
        <v>26.3</v>
      </c>
      <c r="AC19" s="51">
        <v>26.3</v>
      </c>
      <c r="AD19" s="51">
        <v>26.3</v>
      </c>
      <c r="AE19" s="51">
        <v>26.3</v>
      </c>
      <c r="AF19" s="51">
        <v>26.3</v>
      </c>
      <c r="AG19" s="59">
        <v>30</v>
      </c>
      <c r="AH19" s="55">
        <f t="shared" si="2"/>
        <v>26.3</v>
      </c>
      <c r="AI19" s="56">
        <f t="shared" si="3"/>
        <v>26.2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23.6</v>
      </c>
      <c r="C20" s="51">
        <v>23.6</v>
      </c>
      <c r="D20" s="51">
        <v>23.6</v>
      </c>
      <c r="E20" s="51">
        <v>23.6</v>
      </c>
      <c r="F20" s="51">
        <v>23.6</v>
      </c>
      <c r="G20" s="51">
        <v>23.6</v>
      </c>
      <c r="H20" s="51">
        <v>23.6</v>
      </c>
      <c r="I20" s="51">
        <v>23.6</v>
      </c>
      <c r="J20" s="51">
        <v>23.6</v>
      </c>
      <c r="K20" s="51">
        <v>23.6</v>
      </c>
      <c r="L20" s="51">
        <v>23.6</v>
      </c>
      <c r="M20" s="51">
        <v>23.6</v>
      </c>
      <c r="N20" s="51">
        <v>23.6</v>
      </c>
      <c r="O20" s="51">
        <v>23.6</v>
      </c>
      <c r="P20" s="51">
        <v>23.6</v>
      </c>
      <c r="Q20" s="51">
        <v>23.6</v>
      </c>
      <c r="R20" s="51">
        <v>23.6</v>
      </c>
      <c r="S20" s="51">
        <v>23.6</v>
      </c>
      <c r="T20" s="51">
        <v>23.6</v>
      </c>
      <c r="U20" s="203"/>
      <c r="V20" s="51">
        <v>23.6</v>
      </c>
      <c r="W20" s="51">
        <v>23.6</v>
      </c>
      <c r="X20" s="51">
        <v>23.6</v>
      </c>
      <c r="Y20" s="51">
        <v>23.6</v>
      </c>
      <c r="Z20" s="51">
        <v>23.6</v>
      </c>
      <c r="AA20" s="51">
        <v>23.6</v>
      </c>
      <c r="AB20" s="51">
        <v>23.6</v>
      </c>
      <c r="AC20" s="51">
        <v>23.6</v>
      </c>
      <c r="AD20" s="51">
        <v>23.6</v>
      </c>
      <c r="AE20" s="51">
        <v>23.6</v>
      </c>
      <c r="AF20" s="51">
        <v>23.6</v>
      </c>
      <c r="AG20" s="59">
        <v>27</v>
      </c>
      <c r="AH20" s="55">
        <f t="shared" si="2"/>
        <v>23.6</v>
      </c>
      <c r="AI20" s="56">
        <f t="shared" si="3"/>
        <v>23.6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13</v>
      </c>
      <c r="C21" s="51">
        <v>13</v>
      </c>
      <c r="D21" s="51">
        <v>13</v>
      </c>
      <c r="E21" s="51">
        <v>13</v>
      </c>
      <c r="F21" s="51">
        <v>13</v>
      </c>
      <c r="G21" s="51">
        <v>13</v>
      </c>
      <c r="H21" s="51">
        <v>13</v>
      </c>
      <c r="I21" s="51">
        <v>13</v>
      </c>
      <c r="J21" s="51">
        <v>13</v>
      </c>
      <c r="K21" s="51">
        <v>13</v>
      </c>
      <c r="L21" s="51">
        <v>13</v>
      </c>
      <c r="M21" s="51">
        <v>13</v>
      </c>
      <c r="N21" s="51">
        <v>13</v>
      </c>
      <c r="O21" s="51">
        <v>13</v>
      </c>
      <c r="P21" s="51">
        <v>13</v>
      </c>
      <c r="Q21" s="51">
        <v>13</v>
      </c>
      <c r="R21" s="51">
        <v>13</v>
      </c>
      <c r="S21" s="51">
        <v>13</v>
      </c>
      <c r="T21" s="51">
        <v>13</v>
      </c>
      <c r="U21" s="203"/>
      <c r="V21" s="51">
        <v>13</v>
      </c>
      <c r="W21" s="51">
        <v>13</v>
      </c>
      <c r="X21" s="51">
        <v>13</v>
      </c>
      <c r="Y21" s="51">
        <v>13</v>
      </c>
      <c r="Z21" s="51">
        <v>13</v>
      </c>
      <c r="AA21" s="51">
        <v>13</v>
      </c>
      <c r="AB21" s="51">
        <v>13</v>
      </c>
      <c r="AC21" s="51">
        <v>13</v>
      </c>
      <c r="AD21" s="51">
        <v>13</v>
      </c>
      <c r="AE21" s="51">
        <v>13</v>
      </c>
      <c r="AF21" s="51">
        <v>13</v>
      </c>
      <c r="AG21" s="59">
        <v>25</v>
      </c>
      <c r="AH21" s="55">
        <f t="shared" si="2"/>
        <v>13</v>
      </c>
      <c r="AI21" s="56">
        <f t="shared" si="3"/>
        <v>13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22.1</v>
      </c>
      <c r="C22" s="51">
        <v>22.1</v>
      </c>
      <c r="D22" s="51">
        <v>22.1</v>
      </c>
      <c r="E22" s="51">
        <v>22.1</v>
      </c>
      <c r="F22" s="51">
        <v>22.1</v>
      </c>
      <c r="G22" s="51">
        <v>22.1</v>
      </c>
      <c r="H22" s="51">
        <v>22.1</v>
      </c>
      <c r="I22" s="51">
        <v>22.1</v>
      </c>
      <c r="J22" s="51">
        <v>22.1</v>
      </c>
      <c r="K22" s="51">
        <v>22.1</v>
      </c>
      <c r="L22" s="51">
        <v>22.1</v>
      </c>
      <c r="M22" s="51">
        <v>22.1</v>
      </c>
      <c r="N22" s="51">
        <v>22.1</v>
      </c>
      <c r="O22" s="51">
        <v>22.1</v>
      </c>
      <c r="P22" s="51">
        <v>22.1</v>
      </c>
      <c r="Q22" s="51">
        <v>22.1</v>
      </c>
      <c r="R22" s="51">
        <v>22.1</v>
      </c>
      <c r="S22" s="51">
        <v>22.1</v>
      </c>
      <c r="T22" s="51">
        <v>22.1</v>
      </c>
      <c r="U22" s="203"/>
      <c r="V22" s="51">
        <v>22.1</v>
      </c>
      <c r="W22" s="51">
        <v>22.1</v>
      </c>
      <c r="X22" s="51">
        <v>22.1</v>
      </c>
      <c r="Y22" s="51">
        <v>22.1</v>
      </c>
      <c r="Z22" s="51">
        <v>22.1</v>
      </c>
      <c r="AA22" s="51">
        <v>22.1</v>
      </c>
      <c r="AB22" s="51">
        <v>22.1</v>
      </c>
      <c r="AC22" s="51">
        <v>22.1</v>
      </c>
      <c r="AD22" s="51">
        <v>22.1</v>
      </c>
      <c r="AE22" s="51">
        <v>22.1</v>
      </c>
      <c r="AF22" s="51">
        <v>22.1</v>
      </c>
      <c r="AG22" s="59">
        <v>25</v>
      </c>
      <c r="AH22" s="55">
        <f t="shared" si="2"/>
        <v>22.1</v>
      </c>
      <c r="AI22" s="56">
        <f t="shared" si="3"/>
        <v>22.1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203"/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203"/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203"/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5</v>
      </c>
      <c r="H26" s="51">
        <v>5</v>
      </c>
      <c r="I26" s="51">
        <v>5</v>
      </c>
      <c r="J26" s="51">
        <v>10</v>
      </c>
      <c r="K26" s="51">
        <v>5</v>
      </c>
      <c r="L26" s="51">
        <v>5</v>
      </c>
      <c r="M26" s="51">
        <v>10</v>
      </c>
      <c r="N26" s="51">
        <v>10</v>
      </c>
      <c r="O26" s="51">
        <v>5</v>
      </c>
      <c r="P26" s="51">
        <v>5</v>
      </c>
      <c r="Q26" s="51">
        <v>10</v>
      </c>
      <c r="R26" s="51">
        <v>10</v>
      </c>
      <c r="S26" s="51">
        <v>10</v>
      </c>
      <c r="T26" s="51">
        <v>10</v>
      </c>
      <c r="U26" s="203"/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5</v>
      </c>
      <c r="AG26" s="59">
        <v>20</v>
      </c>
      <c r="AH26" s="55">
        <f t="shared" si="2"/>
        <v>10</v>
      </c>
      <c r="AI26" s="56">
        <f t="shared" si="3"/>
        <v>5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14</v>
      </c>
      <c r="P27" s="51">
        <v>14</v>
      </c>
      <c r="Q27" s="51">
        <v>14</v>
      </c>
      <c r="R27" s="51">
        <v>14</v>
      </c>
      <c r="S27" s="51">
        <v>14</v>
      </c>
      <c r="T27" s="51">
        <v>14</v>
      </c>
      <c r="U27" s="203"/>
      <c r="V27" s="51">
        <v>14</v>
      </c>
      <c r="W27" s="51">
        <v>14</v>
      </c>
      <c r="X27" s="51">
        <v>14</v>
      </c>
      <c r="Y27" s="51">
        <v>14</v>
      </c>
      <c r="Z27" s="51">
        <v>14</v>
      </c>
      <c r="AA27" s="51">
        <v>14</v>
      </c>
      <c r="AB27" s="51">
        <v>14</v>
      </c>
      <c r="AC27" s="51">
        <v>14</v>
      </c>
      <c r="AD27" s="51">
        <v>14</v>
      </c>
      <c r="AE27" s="51">
        <v>14</v>
      </c>
      <c r="AF27" s="51">
        <v>14</v>
      </c>
      <c r="AG27" s="59">
        <v>23.5</v>
      </c>
      <c r="AH27" s="55">
        <f t="shared" si="2"/>
        <v>14</v>
      </c>
      <c r="AI27" s="56">
        <f t="shared" si="3"/>
        <v>14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8</v>
      </c>
      <c r="C28" s="51">
        <v>8</v>
      </c>
      <c r="D28" s="51">
        <v>8</v>
      </c>
      <c r="E28" s="51">
        <v>8</v>
      </c>
      <c r="F28" s="51">
        <v>8</v>
      </c>
      <c r="G28" s="51">
        <v>8</v>
      </c>
      <c r="H28" s="51">
        <v>8</v>
      </c>
      <c r="I28" s="51">
        <v>8</v>
      </c>
      <c r="J28" s="51">
        <v>8</v>
      </c>
      <c r="K28" s="51">
        <v>8</v>
      </c>
      <c r="L28" s="51">
        <v>8</v>
      </c>
      <c r="M28" s="51">
        <v>8</v>
      </c>
      <c r="N28" s="51">
        <v>8</v>
      </c>
      <c r="O28" s="51">
        <v>8</v>
      </c>
      <c r="P28" s="51">
        <v>8</v>
      </c>
      <c r="Q28" s="51">
        <v>8</v>
      </c>
      <c r="R28" s="51">
        <v>8</v>
      </c>
      <c r="S28" s="51">
        <v>8</v>
      </c>
      <c r="T28" s="51">
        <v>8</v>
      </c>
      <c r="U28" s="203"/>
      <c r="V28" s="51">
        <v>8</v>
      </c>
      <c r="W28" s="51">
        <v>8</v>
      </c>
      <c r="X28" s="51">
        <v>8</v>
      </c>
      <c r="Y28" s="51">
        <v>8</v>
      </c>
      <c r="Z28" s="51">
        <v>8</v>
      </c>
      <c r="AA28" s="51">
        <v>8</v>
      </c>
      <c r="AB28" s="51">
        <v>8</v>
      </c>
      <c r="AC28" s="51">
        <v>8</v>
      </c>
      <c r="AD28" s="51">
        <v>8</v>
      </c>
      <c r="AE28" s="51">
        <v>8</v>
      </c>
      <c r="AF28" s="51">
        <v>8</v>
      </c>
      <c r="AG28" s="59">
        <v>22.2</v>
      </c>
      <c r="AH28" s="55">
        <f t="shared" si="2"/>
        <v>8</v>
      </c>
      <c r="AI28" s="56">
        <f t="shared" si="3"/>
        <v>8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12</v>
      </c>
      <c r="C29" s="51">
        <v>12</v>
      </c>
      <c r="D29" s="51">
        <v>12</v>
      </c>
      <c r="E29" s="51">
        <v>12</v>
      </c>
      <c r="F29" s="51">
        <v>12</v>
      </c>
      <c r="G29" s="51">
        <v>12</v>
      </c>
      <c r="H29" s="51">
        <v>12</v>
      </c>
      <c r="I29" s="51">
        <v>12</v>
      </c>
      <c r="J29" s="51">
        <v>12</v>
      </c>
      <c r="K29" s="51">
        <v>12</v>
      </c>
      <c r="L29" s="51">
        <v>12</v>
      </c>
      <c r="M29" s="51">
        <v>12</v>
      </c>
      <c r="N29" s="51">
        <v>12</v>
      </c>
      <c r="O29" s="51">
        <v>12</v>
      </c>
      <c r="P29" s="51">
        <v>12</v>
      </c>
      <c r="Q29" s="51">
        <v>12</v>
      </c>
      <c r="R29" s="51">
        <v>12</v>
      </c>
      <c r="S29" s="51">
        <v>0</v>
      </c>
      <c r="T29" s="51">
        <v>0</v>
      </c>
      <c r="U29" s="203"/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13</v>
      </c>
      <c r="AC29" s="51">
        <v>13</v>
      </c>
      <c r="AD29" s="51">
        <v>13</v>
      </c>
      <c r="AE29" s="51">
        <v>13</v>
      </c>
      <c r="AF29" s="51">
        <v>13</v>
      </c>
      <c r="AG29" s="59">
        <v>22.1</v>
      </c>
      <c r="AH29" s="55">
        <f t="shared" si="2"/>
        <v>13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8</v>
      </c>
      <c r="C30" s="51">
        <v>8</v>
      </c>
      <c r="D30" s="51">
        <v>8</v>
      </c>
      <c r="E30" s="51">
        <v>8</v>
      </c>
      <c r="F30" s="51">
        <v>8</v>
      </c>
      <c r="G30" s="51">
        <v>8</v>
      </c>
      <c r="H30" s="51">
        <v>8</v>
      </c>
      <c r="I30" s="51">
        <v>8</v>
      </c>
      <c r="J30" s="51">
        <v>8</v>
      </c>
      <c r="K30" s="51">
        <v>8</v>
      </c>
      <c r="L30" s="51">
        <v>8</v>
      </c>
      <c r="M30" s="51">
        <v>8</v>
      </c>
      <c r="N30" s="51">
        <v>8</v>
      </c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203"/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8</v>
      </c>
      <c r="AB30" s="51">
        <v>8</v>
      </c>
      <c r="AC30" s="51">
        <v>8</v>
      </c>
      <c r="AD30" s="51">
        <v>8</v>
      </c>
      <c r="AE30" s="51">
        <v>8</v>
      </c>
      <c r="AF30" s="51">
        <v>8</v>
      </c>
      <c r="AG30" s="59">
        <v>22.1</v>
      </c>
      <c r="AH30" s="55">
        <f t="shared" si="2"/>
        <v>8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203"/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11</v>
      </c>
      <c r="U32" s="203"/>
      <c r="V32" s="51">
        <v>11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11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203"/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8.9</v>
      </c>
      <c r="C34" s="51">
        <v>8.9</v>
      </c>
      <c r="D34" s="51">
        <v>8.9</v>
      </c>
      <c r="E34" s="51">
        <v>8.9</v>
      </c>
      <c r="F34" s="51">
        <v>8.9</v>
      </c>
      <c r="G34" s="51">
        <v>8.9</v>
      </c>
      <c r="H34" s="51">
        <v>8.9</v>
      </c>
      <c r="I34" s="51">
        <v>8.9</v>
      </c>
      <c r="J34" s="51">
        <v>8.9</v>
      </c>
      <c r="K34" s="51">
        <v>8.9</v>
      </c>
      <c r="L34" s="51">
        <v>8.9</v>
      </c>
      <c r="M34" s="51">
        <v>8.9</v>
      </c>
      <c r="N34" s="51">
        <v>8.9</v>
      </c>
      <c r="O34" s="51">
        <v>8.9</v>
      </c>
      <c r="P34" s="51">
        <v>8.9</v>
      </c>
      <c r="Q34" s="51">
        <v>8.9</v>
      </c>
      <c r="R34" s="51">
        <v>8.9</v>
      </c>
      <c r="S34" s="51">
        <v>8.9</v>
      </c>
      <c r="T34" s="51">
        <v>8.9</v>
      </c>
      <c r="U34" s="203"/>
      <c r="V34" s="51">
        <v>8.9</v>
      </c>
      <c r="W34" s="51">
        <v>8.9</v>
      </c>
      <c r="X34" s="51">
        <v>8.9</v>
      </c>
      <c r="Y34" s="51">
        <v>8.9</v>
      </c>
      <c r="Z34" s="51">
        <v>8.9</v>
      </c>
      <c r="AA34" s="51">
        <v>8.9</v>
      </c>
      <c r="AB34" s="51">
        <v>8.9</v>
      </c>
      <c r="AC34" s="51">
        <v>8.9</v>
      </c>
      <c r="AD34" s="51">
        <v>8.9</v>
      </c>
      <c r="AE34" s="51">
        <v>8.9</v>
      </c>
      <c r="AF34" s="51">
        <v>8.9</v>
      </c>
      <c r="AG34" s="64">
        <v>20</v>
      </c>
      <c r="AH34" s="55">
        <f t="shared" si="2"/>
        <v>8.9</v>
      </c>
      <c r="AI34" s="56">
        <f t="shared" si="3"/>
        <v>8.9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51">
        <v>4</v>
      </c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203"/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4</v>
      </c>
      <c r="AC35" s="51">
        <v>4</v>
      </c>
      <c r="AD35" s="51">
        <v>4</v>
      </c>
      <c r="AE35" s="51">
        <v>4</v>
      </c>
      <c r="AF35" s="51">
        <v>4</v>
      </c>
      <c r="AG35" s="64">
        <v>15.33</v>
      </c>
      <c r="AH35" s="55">
        <f t="shared" si="2"/>
        <v>4</v>
      </c>
      <c r="AI35" s="56">
        <f t="shared" si="3"/>
        <v>4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203"/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f>60+96.9</f>
        <v>156.9</v>
      </c>
      <c r="C37" s="68">
        <f>60.1+97</f>
        <v>157.1</v>
      </c>
      <c r="D37" s="68">
        <f>60.9+97.3</f>
        <v>158.19999999999999</v>
      </c>
      <c r="E37" s="68">
        <f>60.9+97.3</f>
        <v>158.19999999999999</v>
      </c>
      <c r="F37" s="68">
        <f>60.9+97.3</f>
        <v>158.19999999999999</v>
      </c>
      <c r="G37" s="68">
        <f t="shared" ref="G37:L37" si="4">60+97</f>
        <v>157</v>
      </c>
      <c r="H37" s="68">
        <f t="shared" si="4"/>
        <v>157</v>
      </c>
      <c r="I37" s="68">
        <f t="shared" si="4"/>
        <v>157</v>
      </c>
      <c r="J37" s="68">
        <f t="shared" si="4"/>
        <v>157</v>
      </c>
      <c r="K37" s="68">
        <f t="shared" si="4"/>
        <v>157</v>
      </c>
      <c r="L37" s="68">
        <f t="shared" si="4"/>
        <v>157</v>
      </c>
      <c r="M37" s="66">
        <f>95.6+56.1</f>
        <v>151.69999999999999</v>
      </c>
      <c r="N37" s="66">
        <f>89.7+56</f>
        <v>145.69999999999999</v>
      </c>
      <c r="O37" s="66">
        <f>96.3+55.5</f>
        <v>151.80000000000001</v>
      </c>
      <c r="P37" s="66">
        <f>87.8+55.3</f>
        <v>143.1</v>
      </c>
      <c r="Q37" s="66">
        <f>95.2+53.9</f>
        <v>149.1</v>
      </c>
      <c r="R37" s="66">
        <f>95.3+53.3</f>
        <v>148.6</v>
      </c>
      <c r="S37" s="68">
        <f>52.5+93</f>
        <v>145.5</v>
      </c>
      <c r="T37" s="68">
        <f>51.8+82.9</f>
        <v>134.69999999999999</v>
      </c>
      <c r="U37" s="204"/>
      <c r="V37" s="68">
        <f>41.8+57.7</f>
        <v>99.5</v>
      </c>
      <c r="W37" s="68">
        <f>41.8+57.7</f>
        <v>99.5</v>
      </c>
      <c r="X37" s="68">
        <f>39.6+71.6</f>
        <v>111.19999999999999</v>
      </c>
      <c r="Y37" s="68">
        <f>60.5+81.1</f>
        <v>141.6</v>
      </c>
      <c r="Z37" s="68">
        <f>60.5+81.1</f>
        <v>141.6</v>
      </c>
      <c r="AA37" s="68">
        <f>59.9+82.1</f>
        <v>142</v>
      </c>
      <c r="AB37" s="68">
        <f>53.5+88.2</f>
        <v>141.69999999999999</v>
      </c>
      <c r="AC37" s="68">
        <f>53.5+88.2</f>
        <v>141.69999999999999</v>
      </c>
      <c r="AD37" s="68">
        <f>53.5+88.2</f>
        <v>141.69999999999999</v>
      </c>
      <c r="AE37" s="68">
        <f>55.1+95.2</f>
        <v>150.30000000000001</v>
      </c>
      <c r="AF37" s="68">
        <f>55.1+95.2</f>
        <v>150.30000000000001</v>
      </c>
      <c r="AG37" s="64">
        <v>240</v>
      </c>
      <c r="AH37" s="55">
        <f t="shared" si="2"/>
        <v>158.19999999999999</v>
      </c>
      <c r="AI37" s="56">
        <f t="shared" si="3"/>
        <v>99.5</v>
      </c>
      <c r="AK37" s="57"/>
    </row>
    <row r="38" spans="1:88" ht="15.75" thickBot="1" x14ac:dyDescent="0.3">
      <c r="A38" s="69" t="s">
        <v>46</v>
      </c>
      <c r="B38" s="70">
        <f t="shared" ref="B38:L38" si="5">SUM(B11:B36)</f>
        <v>1286.6000000000001</v>
      </c>
      <c r="C38" s="70">
        <f t="shared" si="5"/>
        <v>1286.7</v>
      </c>
      <c r="D38" s="70">
        <f t="shared" si="5"/>
        <v>1282.8999999999999</v>
      </c>
      <c r="E38" s="70">
        <f t="shared" si="5"/>
        <v>1289.8999999999999</v>
      </c>
      <c r="F38" s="70">
        <f t="shared" si="5"/>
        <v>1286.8999999999999</v>
      </c>
      <c r="G38" s="70">
        <f t="shared" si="5"/>
        <v>1274.8999999999999</v>
      </c>
      <c r="H38" s="70">
        <f t="shared" si="5"/>
        <v>1274.8999999999999</v>
      </c>
      <c r="I38" s="70">
        <f t="shared" si="5"/>
        <v>1279.8999999999999</v>
      </c>
      <c r="J38" s="70">
        <f t="shared" si="5"/>
        <v>1284.8999999999999</v>
      </c>
      <c r="K38" s="70">
        <f t="shared" si="5"/>
        <v>1284.8999999999999</v>
      </c>
      <c r="L38" s="70">
        <f t="shared" si="5"/>
        <v>1284.8999999999999</v>
      </c>
      <c r="M38" s="70">
        <f t="shared" ref="M38:S38" si="6">SUM(M11:M36)</f>
        <v>1289.5999999999999</v>
      </c>
      <c r="N38" s="70">
        <f t="shared" si="6"/>
        <v>1289.5999999999999</v>
      </c>
      <c r="O38" s="70">
        <f t="shared" si="6"/>
        <v>1284.5999999999999</v>
      </c>
      <c r="P38" s="70">
        <f t="shared" si="6"/>
        <v>1284.8000000000002</v>
      </c>
      <c r="Q38" s="70">
        <f t="shared" si="6"/>
        <v>1289.4000000000001</v>
      </c>
      <c r="R38" s="70">
        <f t="shared" si="6"/>
        <v>1289.4000000000001</v>
      </c>
      <c r="S38" s="70">
        <f t="shared" si="6"/>
        <v>1277.4000000000001</v>
      </c>
      <c r="T38" s="70">
        <f t="shared" ref="T38:AF38" si="7">SUM(T11:T36)</f>
        <v>1277.4000000000001</v>
      </c>
      <c r="U38" s="70">
        <f t="shared" si="7"/>
        <v>0</v>
      </c>
      <c r="V38" s="70">
        <f t="shared" si="7"/>
        <v>973.40000000000009</v>
      </c>
      <c r="W38" s="70">
        <f t="shared" si="7"/>
        <v>1125.4000000000001</v>
      </c>
      <c r="X38" s="70">
        <f t="shared" si="7"/>
        <v>1201.4000000000001</v>
      </c>
      <c r="Y38" s="70">
        <f t="shared" si="7"/>
        <v>1201.4000000000001</v>
      </c>
      <c r="Z38" s="70">
        <f t="shared" si="7"/>
        <v>1201.4000000000001</v>
      </c>
      <c r="AA38" s="70">
        <f t="shared" si="7"/>
        <v>1201.4000000000001</v>
      </c>
      <c r="AB38" s="70">
        <f t="shared" si="7"/>
        <v>1219.4000000000001</v>
      </c>
      <c r="AC38" s="70">
        <f t="shared" si="7"/>
        <v>1219.4000000000001</v>
      </c>
      <c r="AD38" s="70">
        <f t="shared" si="7"/>
        <v>1295.4000000000001</v>
      </c>
      <c r="AE38" s="70">
        <f t="shared" si="7"/>
        <v>1295.4000000000001</v>
      </c>
      <c r="AF38" s="70">
        <f t="shared" si="7"/>
        <v>1285.4000000000001</v>
      </c>
      <c r="AG38" s="64">
        <f>SUM(AG11:AG37)</f>
        <v>1492.8299999999997</v>
      </c>
      <c r="AH38" s="55">
        <f t="shared" si="2"/>
        <v>1295.4000000000001</v>
      </c>
      <c r="AI38" s="56">
        <f t="shared" si="3"/>
        <v>0</v>
      </c>
      <c r="AK38" s="57"/>
    </row>
    <row r="39" spans="1:88" x14ac:dyDescent="0.25">
      <c r="A39" s="58" t="s">
        <v>47</v>
      </c>
      <c r="B39" s="51">
        <v>143.30000000000001</v>
      </c>
      <c r="C39" s="51">
        <v>142.69999999999999</v>
      </c>
      <c r="D39" s="51">
        <v>141.69999999999999</v>
      </c>
      <c r="E39" s="51">
        <v>141.69999999999999</v>
      </c>
      <c r="F39" s="51">
        <v>141.69999999999999</v>
      </c>
      <c r="G39" s="51">
        <v>141.5</v>
      </c>
      <c r="H39" s="51">
        <v>141.5</v>
      </c>
      <c r="I39" s="51">
        <v>141.5</v>
      </c>
      <c r="J39" s="51">
        <v>141.5</v>
      </c>
      <c r="K39" s="51">
        <v>141.5</v>
      </c>
      <c r="L39" s="51">
        <v>141.5</v>
      </c>
      <c r="M39" s="51">
        <v>142.80000000000001</v>
      </c>
      <c r="N39" s="51">
        <v>143</v>
      </c>
      <c r="O39" s="51">
        <v>143</v>
      </c>
      <c r="P39" s="51">
        <v>143.1</v>
      </c>
      <c r="Q39" s="51">
        <v>143.1</v>
      </c>
      <c r="R39" s="51">
        <v>143.4</v>
      </c>
      <c r="S39" s="51">
        <v>143.4</v>
      </c>
      <c r="T39" s="51">
        <v>143.4</v>
      </c>
      <c r="U39" s="51"/>
      <c r="V39" s="51">
        <v>143.4</v>
      </c>
      <c r="W39" s="51">
        <v>143.4</v>
      </c>
      <c r="X39" s="51">
        <v>143.4</v>
      </c>
      <c r="Y39" s="51">
        <v>143.4</v>
      </c>
      <c r="Z39" s="51">
        <v>143.4</v>
      </c>
      <c r="AA39" s="51">
        <v>143.5</v>
      </c>
      <c r="AB39" s="51">
        <v>143.4</v>
      </c>
      <c r="AC39" s="51">
        <v>143.4</v>
      </c>
      <c r="AD39" s="51">
        <v>143.4</v>
      </c>
      <c r="AE39" s="51">
        <v>143.4</v>
      </c>
      <c r="AF39" s="51">
        <v>143.4</v>
      </c>
      <c r="AG39" s="60">
        <v>144</v>
      </c>
      <c r="AH39" s="55">
        <f t="shared" si="2"/>
        <v>143.5</v>
      </c>
      <c r="AI39" s="56">
        <f t="shared" si="3"/>
        <v>141.5</v>
      </c>
      <c r="AK39" s="57"/>
    </row>
    <row r="40" spans="1:88" x14ac:dyDescent="0.25">
      <c r="A40" s="63" t="s">
        <v>48</v>
      </c>
      <c r="B40" s="49">
        <v>73.5</v>
      </c>
      <c r="C40" s="49">
        <v>73</v>
      </c>
      <c r="D40" s="49">
        <v>73.099999999999994</v>
      </c>
      <c r="E40" s="49">
        <v>73.099999999999994</v>
      </c>
      <c r="F40" s="49">
        <v>73.099999999999994</v>
      </c>
      <c r="G40" s="49">
        <v>72.599999999999994</v>
      </c>
      <c r="H40" s="49">
        <v>72.599999999999994</v>
      </c>
      <c r="I40" s="49">
        <v>72.599999999999994</v>
      </c>
      <c r="J40" s="49">
        <v>72.599999999999994</v>
      </c>
      <c r="K40" s="49">
        <v>72.599999999999994</v>
      </c>
      <c r="L40" s="49">
        <v>72.599999999999994</v>
      </c>
      <c r="M40" s="51">
        <v>71</v>
      </c>
      <c r="N40" s="51">
        <v>71.400000000000006</v>
      </c>
      <c r="O40" s="51">
        <v>71</v>
      </c>
      <c r="P40" s="51">
        <v>70.7</v>
      </c>
      <c r="Q40" s="51">
        <v>69.900000000000006</v>
      </c>
      <c r="R40" s="51">
        <v>70.400000000000006</v>
      </c>
      <c r="S40" s="51">
        <v>70.400000000000006</v>
      </c>
      <c r="T40" s="51">
        <v>69.900000000000006</v>
      </c>
      <c r="U40" s="49"/>
      <c r="V40" s="51">
        <v>69.900000000000006</v>
      </c>
      <c r="W40" s="51">
        <v>69.900000000000006</v>
      </c>
      <c r="X40" s="51">
        <v>69.900000000000006</v>
      </c>
      <c r="Y40" s="51">
        <v>70.2</v>
      </c>
      <c r="Z40" s="51">
        <v>70.2</v>
      </c>
      <c r="AA40" s="51">
        <v>70.2</v>
      </c>
      <c r="AB40" s="49">
        <v>72.599999999999994</v>
      </c>
      <c r="AC40" s="49">
        <v>72.599999999999994</v>
      </c>
      <c r="AD40" s="49">
        <v>72.599999999999994</v>
      </c>
      <c r="AE40" s="49">
        <v>72.599999999999994</v>
      </c>
      <c r="AF40" s="49">
        <v>73.599999999999994</v>
      </c>
      <c r="AG40" s="64">
        <v>70</v>
      </c>
      <c r="AH40" s="55">
        <f t="shared" si="2"/>
        <v>73.599999999999994</v>
      </c>
      <c r="AI40" s="56">
        <f t="shared" si="3"/>
        <v>69.900000000000006</v>
      </c>
      <c r="AK40" s="57"/>
    </row>
    <row r="41" spans="1:88" x14ac:dyDescent="0.25">
      <c r="A41" s="63" t="s">
        <v>49</v>
      </c>
      <c r="B41" s="49">
        <v>63.3</v>
      </c>
      <c r="C41" s="49">
        <v>63</v>
      </c>
      <c r="D41" s="49">
        <v>63.5</v>
      </c>
      <c r="E41" s="49">
        <v>63.5</v>
      </c>
      <c r="F41" s="49">
        <v>63.5</v>
      </c>
      <c r="G41" s="49">
        <v>63.6</v>
      </c>
      <c r="H41" s="49">
        <v>63.6</v>
      </c>
      <c r="I41" s="49">
        <v>63.6</v>
      </c>
      <c r="J41" s="49">
        <v>63.6</v>
      </c>
      <c r="K41" s="49">
        <v>63.6</v>
      </c>
      <c r="L41" s="49">
        <v>63.6</v>
      </c>
      <c r="M41" s="51">
        <v>64</v>
      </c>
      <c r="N41" s="51">
        <v>64.400000000000006</v>
      </c>
      <c r="O41" s="51">
        <v>63.9</v>
      </c>
      <c r="P41" s="51">
        <v>64.2</v>
      </c>
      <c r="Q41" s="51">
        <v>64.400000000000006</v>
      </c>
      <c r="R41" s="51">
        <v>64.3</v>
      </c>
      <c r="S41" s="51">
        <v>64.3</v>
      </c>
      <c r="T41" s="51">
        <v>64.3</v>
      </c>
      <c r="U41" s="49"/>
      <c r="V41" s="51">
        <v>48</v>
      </c>
      <c r="W41" s="51">
        <v>48</v>
      </c>
      <c r="X41" s="51">
        <v>64.3</v>
      </c>
      <c r="Y41" s="51">
        <v>64</v>
      </c>
      <c r="Z41" s="51">
        <v>64</v>
      </c>
      <c r="AA41" s="51">
        <v>64.400000000000006</v>
      </c>
      <c r="AB41" s="49">
        <v>64.5</v>
      </c>
      <c r="AC41" s="49">
        <v>64.5</v>
      </c>
      <c r="AD41" s="49">
        <v>64.5</v>
      </c>
      <c r="AE41" s="49">
        <v>64.5</v>
      </c>
      <c r="AF41" s="49">
        <v>64.5</v>
      </c>
      <c r="AG41" s="64">
        <v>69</v>
      </c>
      <c r="AH41" s="55">
        <f t="shared" si="2"/>
        <v>64.5</v>
      </c>
      <c r="AI41" s="56">
        <f t="shared" si="3"/>
        <v>48</v>
      </c>
      <c r="AK41" s="57"/>
    </row>
    <row r="42" spans="1:88" x14ac:dyDescent="0.25">
      <c r="A42" s="63" t="s">
        <v>50</v>
      </c>
      <c r="B42" s="66">
        <v>60.9</v>
      </c>
      <c r="C42" s="66">
        <v>60.9</v>
      </c>
      <c r="D42" s="66">
        <v>60.7</v>
      </c>
      <c r="E42" s="66">
        <v>0</v>
      </c>
      <c r="F42" s="66">
        <v>0</v>
      </c>
      <c r="G42" s="66">
        <v>60.9</v>
      </c>
      <c r="H42" s="66">
        <v>60.9</v>
      </c>
      <c r="I42" s="66">
        <v>60.9</v>
      </c>
      <c r="J42" s="66">
        <v>60.9</v>
      </c>
      <c r="K42" s="66">
        <v>60.9</v>
      </c>
      <c r="L42" s="66">
        <v>60.9</v>
      </c>
      <c r="M42" s="51">
        <v>60.4</v>
      </c>
      <c r="N42" s="51">
        <v>60.4</v>
      </c>
      <c r="O42" s="51">
        <v>60.4</v>
      </c>
      <c r="P42" s="51">
        <v>60.4</v>
      </c>
      <c r="Q42" s="51">
        <v>60.9</v>
      </c>
      <c r="R42" s="51">
        <v>60.4</v>
      </c>
      <c r="S42" s="51">
        <v>60.4</v>
      </c>
      <c r="T42" s="51">
        <v>60.9</v>
      </c>
      <c r="U42" s="51"/>
      <c r="V42" s="51">
        <v>31.5</v>
      </c>
      <c r="W42" s="51">
        <v>31.5</v>
      </c>
      <c r="X42" s="51">
        <v>31.5</v>
      </c>
      <c r="Y42" s="51">
        <v>31.5</v>
      </c>
      <c r="Z42" s="51">
        <v>31.5</v>
      </c>
      <c r="AA42" s="51">
        <v>31.5</v>
      </c>
      <c r="AB42" s="66">
        <v>31.5</v>
      </c>
      <c r="AC42" s="66">
        <v>31.5</v>
      </c>
      <c r="AD42" s="66">
        <v>60</v>
      </c>
      <c r="AE42" s="66">
        <v>60</v>
      </c>
      <c r="AF42" s="66">
        <v>61.4</v>
      </c>
      <c r="AG42" s="64">
        <v>60</v>
      </c>
      <c r="AH42" s="55">
        <f t="shared" si="2"/>
        <v>61.4</v>
      </c>
      <c r="AI42" s="56">
        <f t="shared" si="3"/>
        <v>0</v>
      </c>
      <c r="AK42" s="57"/>
    </row>
    <row r="43" spans="1:88" x14ac:dyDescent="0.25">
      <c r="A43" s="63" t="s">
        <v>51</v>
      </c>
      <c r="B43" s="66">
        <v>28.8</v>
      </c>
      <c r="C43" s="66">
        <v>28.9</v>
      </c>
      <c r="D43" s="66">
        <v>28.8</v>
      </c>
      <c r="E43" s="66">
        <v>28.8</v>
      </c>
      <c r="F43" s="66">
        <v>28.8</v>
      </c>
      <c r="G43" s="66">
        <v>28.8</v>
      </c>
      <c r="H43" s="66">
        <v>28.8</v>
      </c>
      <c r="I43" s="66">
        <v>28.8</v>
      </c>
      <c r="J43" s="66">
        <v>28.8</v>
      </c>
      <c r="K43" s="66">
        <v>28.8</v>
      </c>
      <c r="L43" s="66">
        <v>28.8</v>
      </c>
      <c r="M43" s="51">
        <v>28.7</v>
      </c>
      <c r="N43" s="51">
        <v>28.7</v>
      </c>
      <c r="O43" s="51">
        <v>28.8</v>
      </c>
      <c r="P43" s="51">
        <v>28.8</v>
      </c>
      <c r="Q43" s="51">
        <v>28.7</v>
      </c>
      <c r="R43" s="51">
        <v>28.7</v>
      </c>
      <c r="S43" s="51">
        <v>28.7</v>
      </c>
      <c r="T43" s="51">
        <v>28.9</v>
      </c>
      <c r="U43" s="51"/>
      <c r="V43" s="51">
        <v>28.9</v>
      </c>
      <c r="W43" s="51">
        <v>28.9</v>
      </c>
      <c r="X43" s="51">
        <v>28.9</v>
      </c>
      <c r="Y43" s="51">
        <v>28.9</v>
      </c>
      <c r="Z43" s="51">
        <v>28.9</v>
      </c>
      <c r="AA43" s="51">
        <v>28.9</v>
      </c>
      <c r="AB43" s="51">
        <v>28.9</v>
      </c>
      <c r="AC43" s="51">
        <v>28.9</v>
      </c>
      <c r="AD43" s="51">
        <v>28.9</v>
      </c>
      <c r="AE43" s="51">
        <v>28.9</v>
      </c>
      <c r="AF43" s="51">
        <v>28.9</v>
      </c>
      <c r="AG43" s="64">
        <v>30</v>
      </c>
      <c r="AH43" s="55">
        <f t="shared" si="2"/>
        <v>28.9</v>
      </c>
      <c r="AI43" s="56">
        <f t="shared" si="3"/>
        <v>28.7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51">
        <v>5</v>
      </c>
      <c r="N44" s="51">
        <v>7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/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16.2</v>
      </c>
      <c r="C45" s="49">
        <v>16.2</v>
      </c>
      <c r="D45" s="49">
        <v>16.2</v>
      </c>
      <c r="E45" s="49">
        <v>16.2</v>
      </c>
      <c r="F45" s="49">
        <v>16.2</v>
      </c>
      <c r="G45" s="49">
        <v>16.2</v>
      </c>
      <c r="H45" s="49">
        <v>16.2</v>
      </c>
      <c r="I45" s="49">
        <v>16.2</v>
      </c>
      <c r="J45" s="49">
        <v>16.2</v>
      </c>
      <c r="K45" s="49">
        <v>16.2</v>
      </c>
      <c r="L45" s="49">
        <v>16.2</v>
      </c>
      <c r="M45" s="51">
        <v>16.100000000000001</v>
      </c>
      <c r="N45" s="51">
        <v>16.100000000000001</v>
      </c>
      <c r="O45" s="51">
        <v>16.100000000000001</v>
      </c>
      <c r="P45" s="51">
        <v>16.2</v>
      </c>
      <c r="Q45" s="51">
        <v>16.2</v>
      </c>
      <c r="R45" s="51">
        <v>14.5</v>
      </c>
      <c r="S45" s="51">
        <v>14.5</v>
      </c>
      <c r="T45" s="51">
        <v>14.5</v>
      </c>
      <c r="U45" s="51"/>
      <c r="V45" s="51">
        <v>14.5</v>
      </c>
      <c r="W45" s="51">
        <v>14.5</v>
      </c>
      <c r="X45" s="51">
        <v>14.5</v>
      </c>
      <c r="Y45" s="51">
        <v>14.5</v>
      </c>
      <c r="Z45" s="51">
        <v>14.5</v>
      </c>
      <c r="AA45" s="51">
        <v>14.5</v>
      </c>
      <c r="AB45" s="51">
        <v>14.5</v>
      </c>
      <c r="AC45" s="51">
        <v>14.5</v>
      </c>
      <c r="AD45" s="51">
        <v>14.5</v>
      </c>
      <c r="AE45" s="51">
        <v>16.5</v>
      </c>
      <c r="AF45" s="51">
        <v>16.5</v>
      </c>
      <c r="AG45" s="64">
        <v>24</v>
      </c>
      <c r="AH45" s="55">
        <f t="shared" si="2"/>
        <v>16.5</v>
      </c>
      <c r="AI45" s="56">
        <f t="shared" si="3"/>
        <v>14.5</v>
      </c>
      <c r="AK45" s="57"/>
    </row>
    <row r="46" spans="1:88" x14ac:dyDescent="0.25">
      <c r="A46" s="63" t="s">
        <v>54</v>
      </c>
      <c r="B46" s="49">
        <v>2.4</v>
      </c>
      <c r="C46" s="49">
        <v>2.4</v>
      </c>
      <c r="D46" s="49">
        <v>2.4</v>
      </c>
      <c r="E46" s="49">
        <v>2.4</v>
      </c>
      <c r="F46" s="49">
        <v>2.4</v>
      </c>
      <c r="G46" s="49">
        <v>2.4</v>
      </c>
      <c r="H46" s="49">
        <v>2.4</v>
      </c>
      <c r="I46" s="49">
        <v>2.4</v>
      </c>
      <c r="J46" s="49">
        <v>2.4</v>
      </c>
      <c r="K46" s="49">
        <v>2.4</v>
      </c>
      <c r="L46" s="49">
        <v>2.4</v>
      </c>
      <c r="M46" s="49">
        <v>2.4</v>
      </c>
      <c r="N46" s="51">
        <v>2.4</v>
      </c>
      <c r="O46" s="51">
        <v>2.4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/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3</v>
      </c>
      <c r="AC46" s="51">
        <v>3</v>
      </c>
      <c r="AD46" s="51">
        <v>3</v>
      </c>
      <c r="AE46" s="51">
        <v>3</v>
      </c>
      <c r="AF46" s="51">
        <v>3</v>
      </c>
      <c r="AG46" s="64">
        <v>15</v>
      </c>
      <c r="AH46" s="55">
        <f t="shared" si="2"/>
        <v>3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12.8</v>
      </c>
      <c r="C47" s="49">
        <v>12.9</v>
      </c>
      <c r="D47" s="49">
        <v>12.9</v>
      </c>
      <c r="E47" s="49">
        <v>12.9</v>
      </c>
      <c r="F47" s="49">
        <v>12.9</v>
      </c>
      <c r="G47" s="49">
        <v>12.9</v>
      </c>
      <c r="H47" s="49">
        <v>12.9</v>
      </c>
      <c r="I47" s="49">
        <v>12.9</v>
      </c>
      <c r="J47" s="49">
        <v>12.9</v>
      </c>
      <c r="K47" s="49">
        <v>12.9</v>
      </c>
      <c r="L47" s="49">
        <v>12.9</v>
      </c>
      <c r="M47" s="49">
        <v>12.8</v>
      </c>
      <c r="N47" s="49">
        <v>12.8</v>
      </c>
      <c r="O47" s="49">
        <v>12.8</v>
      </c>
      <c r="P47" s="51">
        <v>12.5</v>
      </c>
      <c r="Q47" s="51">
        <v>12.5</v>
      </c>
      <c r="R47" s="51">
        <v>12.7</v>
      </c>
      <c r="S47" s="51">
        <v>12.7</v>
      </c>
      <c r="T47" s="51">
        <v>12.7</v>
      </c>
      <c r="U47" s="51"/>
      <c r="V47" s="51">
        <v>12.7</v>
      </c>
      <c r="W47" s="51">
        <v>12.7</v>
      </c>
      <c r="X47" s="51">
        <v>12.7</v>
      </c>
      <c r="Y47" s="51">
        <v>12.7</v>
      </c>
      <c r="Z47" s="51">
        <v>12.7</v>
      </c>
      <c r="AA47" s="51">
        <v>12.7</v>
      </c>
      <c r="AB47" s="51">
        <v>12.7</v>
      </c>
      <c r="AC47" s="51">
        <v>12.7</v>
      </c>
      <c r="AD47" s="51">
        <v>12.7</v>
      </c>
      <c r="AE47" s="51">
        <v>12.7</v>
      </c>
      <c r="AF47" s="51">
        <v>13.3</v>
      </c>
      <c r="AG47" s="64">
        <v>14.1</v>
      </c>
      <c r="AH47" s="55">
        <f t="shared" si="2"/>
        <v>13.3</v>
      </c>
      <c r="AI47" s="56">
        <f t="shared" si="3"/>
        <v>12.5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13.7</v>
      </c>
      <c r="C48" s="49">
        <v>6.6</v>
      </c>
      <c r="D48" s="49">
        <v>6.6</v>
      </c>
      <c r="E48" s="49">
        <v>6.6</v>
      </c>
      <c r="F48" s="49">
        <v>6.6</v>
      </c>
      <c r="G48" s="49">
        <v>6.6</v>
      </c>
      <c r="H48" s="49">
        <v>6.6</v>
      </c>
      <c r="I48" s="49">
        <v>6.6</v>
      </c>
      <c r="J48" s="49">
        <v>6.6</v>
      </c>
      <c r="K48" s="49">
        <v>6.6</v>
      </c>
      <c r="L48" s="49">
        <v>6.6</v>
      </c>
      <c r="M48" s="49">
        <v>6.6</v>
      </c>
      <c r="N48" s="49">
        <v>6.6</v>
      </c>
      <c r="O48" s="49">
        <v>6.6</v>
      </c>
      <c r="P48" s="49">
        <v>6.6</v>
      </c>
      <c r="Q48" s="49">
        <v>6.6</v>
      </c>
      <c r="R48" s="49">
        <v>6.6</v>
      </c>
      <c r="S48" s="49">
        <v>6.6</v>
      </c>
      <c r="T48" s="49">
        <v>6.6</v>
      </c>
      <c r="U48" s="51"/>
      <c r="V48" s="49">
        <v>6.6</v>
      </c>
      <c r="W48" s="49">
        <v>6.6</v>
      </c>
      <c r="X48" s="49">
        <v>6.6</v>
      </c>
      <c r="Y48" s="49">
        <v>6.6</v>
      </c>
      <c r="Z48" s="49">
        <v>6.6</v>
      </c>
      <c r="AA48" s="49">
        <v>6.6</v>
      </c>
      <c r="AB48" s="49">
        <v>13.7</v>
      </c>
      <c r="AC48" s="49">
        <v>13.7</v>
      </c>
      <c r="AD48" s="49">
        <v>13.7</v>
      </c>
      <c r="AE48" s="49">
        <v>13.7</v>
      </c>
      <c r="AF48" s="49">
        <v>13.7</v>
      </c>
      <c r="AG48" s="64">
        <v>14</v>
      </c>
      <c r="AH48" s="55">
        <f t="shared" si="2"/>
        <v>13.7</v>
      </c>
      <c r="AI48" s="56">
        <f t="shared" si="3"/>
        <v>6.6</v>
      </c>
      <c r="AK48" s="57"/>
    </row>
    <row r="49" spans="1:37" x14ac:dyDescent="0.25">
      <c r="A49" s="63" t="s">
        <v>57</v>
      </c>
      <c r="B49" s="49">
        <v>6.2</v>
      </c>
      <c r="C49" s="49">
        <v>6.2</v>
      </c>
      <c r="D49" s="49">
        <v>6.2</v>
      </c>
      <c r="E49" s="49">
        <v>6.2</v>
      </c>
      <c r="F49" s="49">
        <v>6.2</v>
      </c>
      <c r="G49" s="49">
        <v>6.2</v>
      </c>
      <c r="H49" s="49">
        <v>6.2</v>
      </c>
      <c r="I49" s="49">
        <v>6.2</v>
      </c>
      <c r="J49" s="49">
        <v>6.2</v>
      </c>
      <c r="K49" s="49">
        <v>6.2</v>
      </c>
      <c r="L49" s="49">
        <v>6.2</v>
      </c>
      <c r="M49" s="49">
        <v>6.2</v>
      </c>
      <c r="N49" s="49">
        <v>6.2</v>
      </c>
      <c r="O49" s="49">
        <v>6.2</v>
      </c>
      <c r="P49" s="49">
        <v>6.2</v>
      </c>
      <c r="Q49" s="49">
        <v>6.2</v>
      </c>
      <c r="R49" s="49">
        <v>6.2</v>
      </c>
      <c r="S49" s="49">
        <v>6.2</v>
      </c>
      <c r="T49" s="49">
        <v>6.2</v>
      </c>
      <c r="U49" s="51"/>
      <c r="V49" s="49">
        <v>6.2</v>
      </c>
      <c r="W49" s="49">
        <v>6.2</v>
      </c>
      <c r="X49" s="49">
        <v>6.2</v>
      </c>
      <c r="Y49" s="49">
        <v>6.2</v>
      </c>
      <c r="Z49" s="49">
        <v>6.2</v>
      </c>
      <c r="AA49" s="49">
        <v>6.2</v>
      </c>
      <c r="AB49" s="49">
        <v>6.2</v>
      </c>
      <c r="AC49" s="49">
        <v>6.2</v>
      </c>
      <c r="AD49" s="49">
        <v>6.2</v>
      </c>
      <c r="AE49" s="49">
        <v>6.2</v>
      </c>
      <c r="AF49" s="49">
        <v>6.2</v>
      </c>
      <c r="AG49" s="64">
        <v>10.050000000000001</v>
      </c>
      <c r="AH49" s="55">
        <f t="shared" si="2"/>
        <v>6.2</v>
      </c>
      <c r="AI49" s="56">
        <f t="shared" si="3"/>
        <v>6.2</v>
      </c>
      <c r="AK49" s="57"/>
    </row>
    <row r="50" spans="1:37" x14ac:dyDescent="0.25">
      <c r="A50" s="63" t="s">
        <v>58</v>
      </c>
      <c r="B50" s="49">
        <v>6.2</v>
      </c>
      <c r="C50" s="49">
        <v>6.2</v>
      </c>
      <c r="D50" s="49">
        <v>6.2</v>
      </c>
      <c r="E50" s="49">
        <v>6.2</v>
      </c>
      <c r="F50" s="49">
        <v>6.2</v>
      </c>
      <c r="G50" s="49">
        <v>6.2</v>
      </c>
      <c r="H50" s="49">
        <v>6.2</v>
      </c>
      <c r="I50" s="49">
        <v>6.2</v>
      </c>
      <c r="J50" s="49">
        <v>6.2</v>
      </c>
      <c r="K50" s="49">
        <v>6.2</v>
      </c>
      <c r="L50" s="49">
        <v>6.2</v>
      </c>
      <c r="M50" s="49">
        <v>6.2</v>
      </c>
      <c r="N50" s="49">
        <v>6.2</v>
      </c>
      <c r="O50" s="49">
        <v>6.2</v>
      </c>
      <c r="P50" s="49">
        <v>6.2</v>
      </c>
      <c r="Q50" s="49">
        <v>6.2</v>
      </c>
      <c r="R50" s="49">
        <v>6.2</v>
      </c>
      <c r="S50" s="49">
        <v>6.2</v>
      </c>
      <c r="T50" s="49">
        <v>6.2</v>
      </c>
      <c r="U50" s="51"/>
      <c r="V50" s="49">
        <v>6.2</v>
      </c>
      <c r="W50" s="49">
        <v>6.2</v>
      </c>
      <c r="X50" s="49">
        <v>6.2</v>
      </c>
      <c r="Y50" s="49">
        <v>6.2</v>
      </c>
      <c r="Z50" s="49">
        <v>6.2</v>
      </c>
      <c r="AA50" s="49">
        <v>6.2</v>
      </c>
      <c r="AB50" s="49">
        <v>6.2</v>
      </c>
      <c r="AC50" s="49">
        <v>6.2</v>
      </c>
      <c r="AD50" s="49">
        <v>6.2</v>
      </c>
      <c r="AE50" s="49">
        <v>6.2</v>
      </c>
      <c r="AF50" s="49">
        <v>6.2</v>
      </c>
      <c r="AG50" s="64">
        <v>6.2</v>
      </c>
      <c r="AH50" s="55">
        <f t="shared" si="2"/>
        <v>6.2</v>
      </c>
      <c r="AI50" s="56">
        <f t="shared" si="3"/>
        <v>6.2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8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 t="shared" ref="B52" si="9">SUM(B39:B51)</f>
        <v>430.84</v>
      </c>
      <c r="C52" s="70">
        <f t="shared" ref="C52:AF52" si="10">SUM(C39:C51)</f>
        <v>422.53999999999991</v>
      </c>
      <c r="D52" s="70">
        <f t="shared" si="10"/>
        <v>421.83999999999992</v>
      </c>
      <c r="E52" s="70">
        <f t="shared" si="10"/>
        <v>361.13999999999993</v>
      </c>
      <c r="F52" s="70">
        <f t="shared" si="10"/>
        <v>361.13999999999993</v>
      </c>
      <c r="G52" s="70">
        <f t="shared" si="10"/>
        <v>421.43999999999994</v>
      </c>
      <c r="H52" s="70">
        <f t="shared" si="10"/>
        <v>421.43999999999994</v>
      </c>
      <c r="I52" s="70">
        <f t="shared" si="10"/>
        <v>421.43999999999994</v>
      </c>
      <c r="J52" s="70">
        <f t="shared" si="10"/>
        <v>421.43999999999994</v>
      </c>
      <c r="K52" s="70">
        <f t="shared" si="10"/>
        <v>421.43999999999994</v>
      </c>
      <c r="L52" s="70">
        <f t="shared" si="10"/>
        <v>421.43999999999994</v>
      </c>
      <c r="M52" s="70">
        <f t="shared" si="10"/>
        <v>425.74</v>
      </c>
      <c r="N52" s="70">
        <f t="shared" si="10"/>
        <v>428.74</v>
      </c>
      <c r="O52" s="70">
        <f t="shared" si="10"/>
        <v>428.94</v>
      </c>
      <c r="P52" s="70">
        <f t="shared" si="10"/>
        <v>426.44</v>
      </c>
      <c r="Q52" s="70">
        <f t="shared" si="10"/>
        <v>426.23999999999995</v>
      </c>
      <c r="R52" s="70">
        <f t="shared" si="10"/>
        <v>424.94</v>
      </c>
      <c r="S52" s="70">
        <f t="shared" si="10"/>
        <v>424.94</v>
      </c>
      <c r="T52" s="70">
        <f t="shared" si="10"/>
        <v>425.14</v>
      </c>
      <c r="U52" s="70">
        <f t="shared" si="10"/>
        <v>3.54</v>
      </c>
      <c r="V52" s="70">
        <f t="shared" si="10"/>
        <v>379.44</v>
      </c>
      <c r="W52" s="70">
        <f t="shared" si="10"/>
        <v>379.44</v>
      </c>
      <c r="X52" s="70">
        <f t="shared" si="10"/>
        <v>395.74</v>
      </c>
      <c r="Y52" s="70">
        <f t="shared" si="10"/>
        <v>395.74</v>
      </c>
      <c r="Z52" s="70">
        <f t="shared" si="10"/>
        <v>395.74</v>
      </c>
      <c r="AA52" s="70">
        <f t="shared" si="10"/>
        <v>396.24</v>
      </c>
      <c r="AB52" s="70">
        <f t="shared" si="10"/>
        <v>400.73999999999995</v>
      </c>
      <c r="AC52" s="70">
        <f t="shared" si="10"/>
        <v>400.73999999999995</v>
      </c>
      <c r="AD52" s="70">
        <f t="shared" si="10"/>
        <v>429.23999999999995</v>
      </c>
      <c r="AE52" s="70">
        <f t="shared" si="10"/>
        <v>431.23999999999995</v>
      </c>
      <c r="AF52" s="70">
        <f t="shared" si="10"/>
        <v>434.23999999999995</v>
      </c>
      <c r="AG52" s="74">
        <f>SUM(AG39:AG51)</f>
        <v>489.91</v>
      </c>
      <c r="AH52" s="55">
        <f t="shared" si="2"/>
        <v>434.23999999999995</v>
      </c>
      <c r="AI52" s="56">
        <f t="shared" si="3"/>
        <v>3.54</v>
      </c>
      <c r="AK52" s="57"/>
    </row>
    <row r="53" spans="1:37" x14ac:dyDescent="0.25">
      <c r="A53" s="58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11.5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10</v>
      </c>
      <c r="R53" s="51">
        <v>10</v>
      </c>
      <c r="S53" s="51">
        <v>13.9</v>
      </c>
      <c r="T53" s="51">
        <v>30.2</v>
      </c>
      <c r="U53" s="51"/>
      <c r="V53" s="51">
        <v>30.2</v>
      </c>
      <c r="W53" s="51">
        <v>30.2</v>
      </c>
      <c r="X53" s="51">
        <v>40.1</v>
      </c>
      <c r="Y53" s="51">
        <v>59.1</v>
      </c>
      <c r="Z53" s="51">
        <v>59.1</v>
      </c>
      <c r="AA53" s="51">
        <v>59.1</v>
      </c>
      <c r="AB53" s="51">
        <v>59.1</v>
      </c>
      <c r="AC53" s="51">
        <v>59.1</v>
      </c>
      <c r="AD53" s="51">
        <v>59.1</v>
      </c>
      <c r="AE53" s="51">
        <v>59</v>
      </c>
      <c r="AF53" s="51">
        <v>14</v>
      </c>
      <c r="AG53" s="60">
        <v>60</v>
      </c>
      <c r="AH53" s="55">
        <f t="shared" si="2"/>
        <v>59.1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0</v>
      </c>
      <c r="C54" s="49">
        <v>0</v>
      </c>
      <c r="D54" s="49">
        <v>0</v>
      </c>
      <c r="E54" s="49">
        <v>0</v>
      </c>
      <c r="F54" s="49">
        <v>5.0999999999999996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4.3</v>
      </c>
      <c r="R54" s="49">
        <v>4.3</v>
      </c>
      <c r="S54" s="49">
        <v>5.6</v>
      </c>
      <c r="T54" s="49">
        <v>14.2</v>
      </c>
      <c r="U54" s="49"/>
      <c r="V54" s="49">
        <v>14.2</v>
      </c>
      <c r="W54" s="49">
        <v>14.2</v>
      </c>
      <c r="X54" s="49">
        <v>23.5</v>
      </c>
      <c r="Y54" s="49">
        <v>30.1</v>
      </c>
      <c r="Z54" s="49">
        <v>30.1</v>
      </c>
      <c r="AA54" s="49">
        <v>30.5</v>
      </c>
      <c r="AB54" s="49">
        <v>32</v>
      </c>
      <c r="AC54" s="49">
        <v>32</v>
      </c>
      <c r="AD54" s="49">
        <v>32</v>
      </c>
      <c r="AE54" s="49">
        <v>29</v>
      </c>
      <c r="AF54" s="49">
        <v>4.9000000000000004</v>
      </c>
      <c r="AG54" s="64">
        <v>32</v>
      </c>
      <c r="AH54" s="55">
        <f t="shared" si="2"/>
        <v>32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2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1.6</v>
      </c>
      <c r="R55" s="75">
        <v>1.6</v>
      </c>
      <c r="S55" s="75">
        <v>2</v>
      </c>
      <c r="T55" s="75">
        <v>5.4</v>
      </c>
      <c r="U55" s="75"/>
      <c r="V55" s="75">
        <v>5.4</v>
      </c>
      <c r="W55" s="75">
        <v>5.4</v>
      </c>
      <c r="X55" s="75">
        <v>8.6</v>
      </c>
      <c r="Y55" s="75">
        <v>11</v>
      </c>
      <c r="Z55" s="75">
        <v>11</v>
      </c>
      <c r="AA55" s="75">
        <v>11.1</v>
      </c>
      <c r="AB55" s="75">
        <v>11.7</v>
      </c>
      <c r="AC55" s="75">
        <v>11.7</v>
      </c>
      <c r="AD55" s="75">
        <v>11.7</v>
      </c>
      <c r="AE55" s="75">
        <v>10</v>
      </c>
      <c r="AF55" s="75">
        <v>1.8</v>
      </c>
      <c r="AG55" s="76">
        <v>14</v>
      </c>
      <c r="AH55" s="55">
        <f t="shared" si="2"/>
        <v>11.7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" si="11">SUM(B53:B55)</f>
        <v>0</v>
      </c>
      <c r="C56" s="70">
        <f t="shared" ref="C56:AF56" si="12">SUM(C53:C55)</f>
        <v>0</v>
      </c>
      <c r="D56" s="70">
        <f t="shared" si="12"/>
        <v>0</v>
      </c>
      <c r="E56" s="70">
        <f t="shared" si="12"/>
        <v>0</v>
      </c>
      <c r="F56" s="70">
        <f t="shared" si="12"/>
        <v>18.600000000000001</v>
      </c>
      <c r="G56" s="70">
        <f t="shared" si="12"/>
        <v>0</v>
      </c>
      <c r="H56" s="70">
        <f t="shared" si="12"/>
        <v>0</v>
      </c>
      <c r="I56" s="70">
        <f t="shared" si="12"/>
        <v>0</v>
      </c>
      <c r="J56" s="70">
        <f t="shared" si="12"/>
        <v>0</v>
      </c>
      <c r="K56" s="70">
        <f t="shared" si="12"/>
        <v>0</v>
      </c>
      <c r="L56" s="70">
        <f t="shared" si="12"/>
        <v>0</v>
      </c>
      <c r="M56" s="70">
        <f t="shared" si="12"/>
        <v>0</v>
      </c>
      <c r="N56" s="70">
        <f t="shared" si="12"/>
        <v>0</v>
      </c>
      <c r="O56" s="70">
        <f t="shared" si="12"/>
        <v>0</v>
      </c>
      <c r="P56" s="70">
        <f t="shared" si="12"/>
        <v>0</v>
      </c>
      <c r="Q56" s="70">
        <f t="shared" si="12"/>
        <v>15.9</v>
      </c>
      <c r="R56" s="70">
        <f t="shared" si="12"/>
        <v>15.9</v>
      </c>
      <c r="S56" s="70">
        <f t="shared" si="12"/>
        <v>21.5</v>
      </c>
      <c r="T56" s="70">
        <f t="shared" si="12"/>
        <v>49.8</v>
      </c>
      <c r="U56" s="70">
        <f t="shared" si="12"/>
        <v>0</v>
      </c>
      <c r="V56" s="70">
        <f t="shared" si="12"/>
        <v>49.8</v>
      </c>
      <c r="W56" s="70">
        <f t="shared" si="12"/>
        <v>49.8</v>
      </c>
      <c r="X56" s="70">
        <f t="shared" si="12"/>
        <v>72.2</v>
      </c>
      <c r="Y56" s="70">
        <f t="shared" si="12"/>
        <v>100.2</v>
      </c>
      <c r="Z56" s="70">
        <f t="shared" si="12"/>
        <v>100.2</v>
      </c>
      <c r="AA56" s="70">
        <f t="shared" si="12"/>
        <v>100.69999999999999</v>
      </c>
      <c r="AB56" s="70">
        <f t="shared" si="12"/>
        <v>102.8</v>
      </c>
      <c r="AC56" s="70">
        <f t="shared" si="12"/>
        <v>102.8</v>
      </c>
      <c r="AD56" s="70">
        <f t="shared" si="12"/>
        <v>102.8</v>
      </c>
      <c r="AE56" s="70">
        <f t="shared" si="12"/>
        <v>98</v>
      </c>
      <c r="AF56" s="70">
        <f t="shared" si="12"/>
        <v>20.7</v>
      </c>
      <c r="AG56" s="74">
        <f>SUM(AG53:AG55)</f>
        <v>106</v>
      </c>
      <c r="AH56" s="55">
        <f t="shared" si="2"/>
        <v>102.8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39.200000000000003</v>
      </c>
      <c r="C57" s="51">
        <v>36.799999999999997</v>
      </c>
      <c r="D57" s="51">
        <v>35.6</v>
      </c>
      <c r="E57" s="51">
        <v>35</v>
      </c>
      <c r="F57" s="51">
        <v>34</v>
      </c>
      <c r="G57" s="51">
        <v>32</v>
      </c>
      <c r="H57" s="51">
        <v>28</v>
      </c>
      <c r="I57" s="51">
        <v>48</v>
      </c>
      <c r="J57" s="51">
        <v>29</v>
      </c>
      <c r="K57" s="51">
        <v>29</v>
      </c>
      <c r="L57" s="51">
        <v>57</v>
      </c>
      <c r="M57" s="51">
        <v>50.5</v>
      </c>
      <c r="N57" s="51">
        <v>56.2</v>
      </c>
      <c r="O57" s="51">
        <v>55.6</v>
      </c>
      <c r="P57" s="51">
        <v>67.599999999999994</v>
      </c>
      <c r="Q57" s="51">
        <v>66.2</v>
      </c>
      <c r="R57" s="51">
        <v>66.8</v>
      </c>
      <c r="S57" s="51">
        <v>69.400000000000006</v>
      </c>
      <c r="T57" s="51">
        <v>63</v>
      </c>
      <c r="U57" s="51"/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30.3</v>
      </c>
      <c r="AD57" s="51">
        <v>34.799999999999997</v>
      </c>
      <c r="AE57" s="51">
        <v>26.3</v>
      </c>
      <c r="AF57" s="51">
        <v>61.2</v>
      </c>
      <c r="AG57" s="60"/>
      <c r="AH57" s="55">
        <f t="shared" si="2"/>
        <v>69.400000000000006</v>
      </c>
      <c r="AI57" s="56">
        <f t="shared" si="3"/>
        <v>0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/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-351</v>
      </c>
      <c r="C59" s="49">
        <v>-361</v>
      </c>
      <c r="D59" s="49">
        <v>-370</v>
      </c>
      <c r="E59" s="49">
        <v>-346</v>
      </c>
      <c r="F59" s="49">
        <v>-367</v>
      </c>
      <c r="G59" s="49">
        <v>-372</v>
      </c>
      <c r="H59" s="49">
        <v>-362</v>
      </c>
      <c r="I59" s="49">
        <v>-392</v>
      </c>
      <c r="J59" s="49">
        <v>-285</v>
      </c>
      <c r="K59" s="49">
        <v>-296</v>
      </c>
      <c r="L59" s="49">
        <v>-264</v>
      </c>
      <c r="M59" s="49">
        <v>-278.5</v>
      </c>
      <c r="N59" s="49">
        <v>-266.3</v>
      </c>
      <c r="O59" s="49">
        <v>-228.2</v>
      </c>
      <c r="P59" s="49">
        <v>-213.8</v>
      </c>
      <c r="Q59" s="49">
        <v>-225.2</v>
      </c>
      <c r="R59" s="49">
        <v>-244.3</v>
      </c>
      <c r="S59" s="49">
        <v>-201.1</v>
      </c>
      <c r="T59" s="49">
        <v>-240</v>
      </c>
      <c r="U59" s="49"/>
      <c r="V59" s="49">
        <v>200</v>
      </c>
      <c r="W59" s="49">
        <v>-221</v>
      </c>
      <c r="X59" s="49">
        <v>-293</v>
      </c>
      <c r="Y59" s="49">
        <v>-260</v>
      </c>
      <c r="Z59" s="49">
        <v>-192</v>
      </c>
      <c r="AA59" s="49">
        <v>-178</v>
      </c>
      <c r="AB59" s="49">
        <v>-141</v>
      </c>
      <c r="AC59" s="49">
        <v>-126</v>
      </c>
      <c r="AD59" s="49">
        <v>-262</v>
      </c>
      <c r="AE59" s="49">
        <v>-264</v>
      </c>
      <c r="AF59" s="49">
        <v>-298</v>
      </c>
      <c r="AG59" s="77"/>
      <c r="AH59" s="55">
        <f t="shared" si="2"/>
        <v>200</v>
      </c>
      <c r="AI59" s="56">
        <f t="shared" si="3"/>
        <v>-392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/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/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/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/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/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/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/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/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 t="shared" ref="B68" si="13">SUMIF(B57:B67,"&gt;0")</f>
        <v>44.2</v>
      </c>
      <c r="C68" s="70">
        <f t="shared" ref="C68:AF68" si="14">SUMIF(C57:C67,"&gt;0")</f>
        <v>41.8</v>
      </c>
      <c r="D68" s="70">
        <f t="shared" si="14"/>
        <v>40.6</v>
      </c>
      <c r="E68" s="70">
        <f t="shared" si="14"/>
        <v>40</v>
      </c>
      <c r="F68" s="70">
        <f t="shared" si="14"/>
        <v>39</v>
      </c>
      <c r="G68" s="70">
        <f t="shared" si="14"/>
        <v>37</v>
      </c>
      <c r="H68" s="70">
        <f t="shared" si="14"/>
        <v>33</v>
      </c>
      <c r="I68" s="70">
        <f t="shared" si="14"/>
        <v>53</v>
      </c>
      <c r="J68" s="70">
        <f t="shared" si="14"/>
        <v>34</v>
      </c>
      <c r="K68" s="70">
        <f t="shared" si="14"/>
        <v>34</v>
      </c>
      <c r="L68" s="70">
        <f t="shared" si="14"/>
        <v>62</v>
      </c>
      <c r="M68" s="70">
        <f t="shared" si="14"/>
        <v>55.5</v>
      </c>
      <c r="N68" s="70">
        <f t="shared" si="14"/>
        <v>61.2</v>
      </c>
      <c r="O68" s="70">
        <f t="shared" si="14"/>
        <v>60.6</v>
      </c>
      <c r="P68" s="70">
        <f t="shared" si="14"/>
        <v>72.599999999999994</v>
      </c>
      <c r="Q68" s="70">
        <f t="shared" si="14"/>
        <v>71.2</v>
      </c>
      <c r="R68" s="70">
        <f t="shared" si="14"/>
        <v>71.8</v>
      </c>
      <c r="S68" s="70">
        <f t="shared" si="14"/>
        <v>74.400000000000006</v>
      </c>
      <c r="T68" s="70">
        <f t="shared" si="14"/>
        <v>68</v>
      </c>
      <c r="U68" s="70">
        <f t="shared" si="14"/>
        <v>0</v>
      </c>
      <c r="V68" s="70">
        <f t="shared" si="14"/>
        <v>205</v>
      </c>
      <c r="W68" s="70">
        <f t="shared" si="14"/>
        <v>5</v>
      </c>
      <c r="X68" s="70">
        <f t="shared" si="14"/>
        <v>5</v>
      </c>
      <c r="Y68" s="70">
        <f t="shared" si="14"/>
        <v>5</v>
      </c>
      <c r="Z68" s="70">
        <f t="shared" si="14"/>
        <v>5</v>
      </c>
      <c r="AA68" s="70">
        <f t="shared" si="14"/>
        <v>5</v>
      </c>
      <c r="AB68" s="70">
        <f t="shared" si="14"/>
        <v>5</v>
      </c>
      <c r="AC68" s="70">
        <f t="shared" si="14"/>
        <v>35.299999999999997</v>
      </c>
      <c r="AD68" s="70">
        <f t="shared" si="14"/>
        <v>39.799999999999997</v>
      </c>
      <c r="AE68" s="70">
        <f t="shared" si="14"/>
        <v>31.3</v>
      </c>
      <c r="AF68" s="70">
        <f t="shared" si="14"/>
        <v>66.2</v>
      </c>
      <c r="AG68" s="74">
        <f>SUM(AG57:AG67)</f>
        <v>0</v>
      </c>
      <c r="AH68" s="55">
        <f t="shared" si="2"/>
        <v>205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 t="shared" ref="B73" si="15">B38+B52+B68+B72</f>
        <v>1761.64</v>
      </c>
      <c r="C73" s="84">
        <f t="shared" ref="C73:AF73" si="16">C38+C52+C68+C72</f>
        <v>1751.04</v>
      </c>
      <c r="D73" s="84">
        <f t="shared" si="16"/>
        <v>1745.3399999999997</v>
      </c>
      <c r="E73" s="84">
        <f t="shared" si="16"/>
        <v>1691.0399999999997</v>
      </c>
      <c r="F73" s="84">
        <f t="shared" si="16"/>
        <v>1687.0399999999997</v>
      </c>
      <c r="G73" s="84">
        <f t="shared" si="16"/>
        <v>1733.3399999999997</v>
      </c>
      <c r="H73" s="84">
        <f t="shared" si="16"/>
        <v>1729.3399999999997</v>
      </c>
      <c r="I73" s="84">
        <f t="shared" si="16"/>
        <v>1754.3399999999997</v>
      </c>
      <c r="J73" s="84">
        <f t="shared" si="16"/>
        <v>1740.3399999999997</v>
      </c>
      <c r="K73" s="84">
        <f t="shared" si="16"/>
        <v>1740.3399999999997</v>
      </c>
      <c r="L73" s="84">
        <f t="shared" si="16"/>
        <v>1768.3399999999997</v>
      </c>
      <c r="M73" s="84">
        <f t="shared" si="16"/>
        <v>1770.84</v>
      </c>
      <c r="N73" s="84">
        <f t="shared" si="16"/>
        <v>1779.54</v>
      </c>
      <c r="O73" s="84">
        <f t="shared" si="16"/>
        <v>1774.1399999999999</v>
      </c>
      <c r="P73" s="84">
        <f t="shared" si="16"/>
        <v>1783.8400000000001</v>
      </c>
      <c r="Q73" s="84">
        <f t="shared" si="16"/>
        <v>1786.8400000000001</v>
      </c>
      <c r="R73" s="84">
        <f t="shared" si="16"/>
        <v>1786.14</v>
      </c>
      <c r="S73" s="84">
        <f t="shared" si="16"/>
        <v>1776.7400000000002</v>
      </c>
      <c r="T73" s="84">
        <f t="shared" si="16"/>
        <v>1770.54</v>
      </c>
      <c r="U73" s="84">
        <f t="shared" si="16"/>
        <v>3.54</v>
      </c>
      <c r="V73" s="84">
        <f t="shared" si="16"/>
        <v>1557.8400000000001</v>
      </c>
      <c r="W73" s="84">
        <f t="shared" si="16"/>
        <v>1509.8400000000001</v>
      </c>
      <c r="X73" s="84">
        <f t="shared" si="16"/>
        <v>1602.14</v>
      </c>
      <c r="Y73" s="84">
        <f t="shared" si="16"/>
        <v>1602.14</v>
      </c>
      <c r="Z73" s="84">
        <f t="shared" si="16"/>
        <v>1602.14</v>
      </c>
      <c r="AA73" s="84">
        <f t="shared" si="16"/>
        <v>1602.64</v>
      </c>
      <c r="AB73" s="84">
        <f t="shared" si="16"/>
        <v>1625.14</v>
      </c>
      <c r="AC73" s="84">
        <f t="shared" si="16"/>
        <v>1655.44</v>
      </c>
      <c r="AD73" s="84">
        <f t="shared" si="16"/>
        <v>1764.44</v>
      </c>
      <c r="AE73" s="84">
        <f t="shared" si="16"/>
        <v>1757.94</v>
      </c>
      <c r="AF73" s="84">
        <f t="shared" si="16"/>
        <v>1785.8400000000001</v>
      </c>
      <c r="AG73" s="84">
        <f t="shared" ref="AG73" si="17">AG68+AG56+AG52+AG38+AG72</f>
        <v>2144.14</v>
      </c>
      <c r="AH73" s="55">
        <f t="shared" si="2"/>
        <v>1786.8400000000001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>
        <v>5</v>
      </c>
      <c r="Q74" s="86"/>
      <c r="R74" s="86"/>
      <c r="S74" s="86"/>
      <c r="T74" s="86"/>
      <c r="U74" s="86"/>
      <c r="V74" s="86">
        <v>80</v>
      </c>
      <c r="W74" s="86">
        <v>80</v>
      </c>
      <c r="X74" s="86">
        <v>80</v>
      </c>
      <c r="Y74" s="86">
        <v>80</v>
      </c>
      <c r="Z74" s="86">
        <v>80</v>
      </c>
      <c r="AA74" s="86">
        <v>120</v>
      </c>
      <c r="AB74" s="86">
        <v>120</v>
      </c>
      <c r="AC74" s="86"/>
      <c r="AD74" s="86"/>
      <c r="AE74" s="86"/>
      <c r="AF74" s="86"/>
      <c r="AG74" s="74"/>
      <c r="AH74" s="55">
        <f t="shared" si="2"/>
        <v>120</v>
      </c>
      <c r="AI74" s="56">
        <f t="shared" si="3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 t="shared" ref="B75" si="18">B73+B74</f>
        <v>1761.64</v>
      </c>
      <c r="C75" s="84">
        <f t="shared" ref="C75:AF75" si="19">C73+C74</f>
        <v>1751.04</v>
      </c>
      <c r="D75" s="84">
        <f t="shared" si="19"/>
        <v>1745.3399999999997</v>
      </c>
      <c r="E75" s="84">
        <f t="shared" si="19"/>
        <v>1691.0399999999997</v>
      </c>
      <c r="F75" s="84">
        <f t="shared" si="19"/>
        <v>1687.0399999999997</v>
      </c>
      <c r="G75" s="84">
        <f t="shared" si="19"/>
        <v>1733.3399999999997</v>
      </c>
      <c r="H75" s="84">
        <f t="shared" si="19"/>
        <v>1729.3399999999997</v>
      </c>
      <c r="I75" s="84">
        <f t="shared" si="19"/>
        <v>1754.3399999999997</v>
      </c>
      <c r="J75" s="84">
        <f t="shared" si="19"/>
        <v>1740.3399999999997</v>
      </c>
      <c r="K75" s="84">
        <f t="shared" si="19"/>
        <v>1740.3399999999997</v>
      </c>
      <c r="L75" s="84">
        <f t="shared" si="19"/>
        <v>1768.3399999999997</v>
      </c>
      <c r="M75" s="84">
        <f t="shared" si="19"/>
        <v>1770.84</v>
      </c>
      <c r="N75" s="84">
        <f t="shared" si="19"/>
        <v>1779.54</v>
      </c>
      <c r="O75" s="84">
        <f t="shared" si="19"/>
        <v>1774.1399999999999</v>
      </c>
      <c r="P75" s="84">
        <f t="shared" si="19"/>
        <v>1788.8400000000001</v>
      </c>
      <c r="Q75" s="84">
        <f t="shared" si="19"/>
        <v>1786.8400000000001</v>
      </c>
      <c r="R75" s="84">
        <f t="shared" si="19"/>
        <v>1786.14</v>
      </c>
      <c r="S75" s="84">
        <f t="shared" si="19"/>
        <v>1776.7400000000002</v>
      </c>
      <c r="T75" s="84">
        <f t="shared" si="19"/>
        <v>1770.54</v>
      </c>
      <c r="U75" s="84">
        <f t="shared" si="19"/>
        <v>3.54</v>
      </c>
      <c r="V75" s="84">
        <f t="shared" si="19"/>
        <v>1637.8400000000001</v>
      </c>
      <c r="W75" s="84">
        <f t="shared" si="19"/>
        <v>1589.8400000000001</v>
      </c>
      <c r="X75" s="84">
        <f t="shared" si="19"/>
        <v>1682.14</v>
      </c>
      <c r="Y75" s="84">
        <f t="shared" si="19"/>
        <v>1682.14</v>
      </c>
      <c r="Z75" s="84">
        <f t="shared" si="19"/>
        <v>1682.14</v>
      </c>
      <c r="AA75" s="84">
        <f t="shared" si="19"/>
        <v>1722.64</v>
      </c>
      <c r="AB75" s="84">
        <f t="shared" si="19"/>
        <v>1745.14</v>
      </c>
      <c r="AC75" s="84">
        <f t="shared" si="19"/>
        <v>1655.44</v>
      </c>
      <c r="AD75" s="84">
        <f t="shared" si="19"/>
        <v>1764.44</v>
      </c>
      <c r="AE75" s="84">
        <f t="shared" si="19"/>
        <v>1757.94</v>
      </c>
      <c r="AF75" s="84">
        <f t="shared" si="19"/>
        <v>1785.8400000000001</v>
      </c>
      <c r="AG75" s="74">
        <f>AG72+AG68+AG56+AG52+AG38+AG74</f>
        <v>2144.14</v>
      </c>
      <c r="AH75" s="55">
        <f t="shared" si="2"/>
        <v>1788.8400000000001</v>
      </c>
      <c r="AI75" s="56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 t="shared" ref="B76" si="20">IF(B60&lt;0,B60*-1,0)</f>
        <v>0</v>
      </c>
      <c r="C76" s="78">
        <f t="shared" ref="C76:AF76" si="21">IF(C60&lt;0,C60*-1,0)</f>
        <v>0</v>
      </c>
      <c r="D76" s="78">
        <f t="shared" si="21"/>
        <v>0</v>
      </c>
      <c r="E76" s="78">
        <f t="shared" si="21"/>
        <v>0</v>
      </c>
      <c r="F76" s="78">
        <f t="shared" si="21"/>
        <v>0</v>
      </c>
      <c r="G76" s="78">
        <f t="shared" si="21"/>
        <v>0</v>
      </c>
      <c r="H76" s="78">
        <f t="shared" si="21"/>
        <v>0</v>
      </c>
      <c r="I76" s="78">
        <f t="shared" si="21"/>
        <v>0</v>
      </c>
      <c r="J76" s="78">
        <f t="shared" si="21"/>
        <v>0</v>
      </c>
      <c r="K76" s="78">
        <f t="shared" si="21"/>
        <v>0</v>
      </c>
      <c r="L76" s="78">
        <f t="shared" si="21"/>
        <v>0</v>
      </c>
      <c r="M76" s="78">
        <f t="shared" si="21"/>
        <v>0</v>
      </c>
      <c r="N76" s="78">
        <f t="shared" si="21"/>
        <v>0</v>
      </c>
      <c r="O76" s="78">
        <f t="shared" si="21"/>
        <v>0</v>
      </c>
      <c r="P76" s="78">
        <f t="shared" si="21"/>
        <v>0</v>
      </c>
      <c r="Q76" s="78">
        <f t="shared" si="21"/>
        <v>0</v>
      </c>
      <c r="R76" s="78">
        <f t="shared" si="21"/>
        <v>0</v>
      </c>
      <c r="S76" s="78">
        <f t="shared" si="21"/>
        <v>0</v>
      </c>
      <c r="T76" s="78">
        <f t="shared" si="21"/>
        <v>0</v>
      </c>
      <c r="U76" s="78">
        <f t="shared" si="21"/>
        <v>0</v>
      </c>
      <c r="V76" s="78">
        <f t="shared" si="21"/>
        <v>0</v>
      </c>
      <c r="W76" s="78">
        <f t="shared" si="21"/>
        <v>0</v>
      </c>
      <c r="X76" s="78">
        <f t="shared" si="21"/>
        <v>0</v>
      </c>
      <c r="Y76" s="78">
        <f t="shared" si="21"/>
        <v>0</v>
      </c>
      <c r="Z76" s="78">
        <f t="shared" si="21"/>
        <v>0</v>
      </c>
      <c r="AA76" s="78">
        <f t="shared" si="21"/>
        <v>0</v>
      </c>
      <c r="AB76" s="78">
        <f t="shared" si="21"/>
        <v>0</v>
      </c>
      <c r="AC76" s="78">
        <f t="shared" si="21"/>
        <v>0</v>
      </c>
      <c r="AD76" s="78">
        <f t="shared" si="21"/>
        <v>0</v>
      </c>
      <c r="AE76" s="78">
        <f t="shared" si="21"/>
        <v>0</v>
      </c>
      <c r="AF76" s="78">
        <f t="shared" si="21"/>
        <v>0</v>
      </c>
      <c r="AG76" s="60"/>
      <c r="AH76" s="55">
        <f t="shared" ref="AH76:AH91" si="22">MAX(B76:AF76)</f>
        <v>0</v>
      </c>
      <c r="AI76" s="56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 t="shared" ref="B77" si="24">IF(B58&lt;0,B58*-1,0)</f>
        <v>0</v>
      </c>
      <c r="C77" s="78">
        <f t="shared" ref="C77:AF77" si="25">IF(C58&lt;0,C58*-1,0)</f>
        <v>0</v>
      </c>
      <c r="D77" s="78">
        <f t="shared" si="25"/>
        <v>0</v>
      </c>
      <c r="E77" s="78">
        <f t="shared" si="25"/>
        <v>0</v>
      </c>
      <c r="F77" s="78">
        <f t="shared" si="25"/>
        <v>0</v>
      </c>
      <c r="G77" s="78">
        <f t="shared" si="25"/>
        <v>0</v>
      </c>
      <c r="H77" s="78">
        <f t="shared" si="25"/>
        <v>0</v>
      </c>
      <c r="I77" s="78">
        <f t="shared" si="25"/>
        <v>0</v>
      </c>
      <c r="J77" s="78">
        <f t="shared" si="25"/>
        <v>0</v>
      </c>
      <c r="K77" s="78">
        <f t="shared" si="25"/>
        <v>0</v>
      </c>
      <c r="L77" s="78">
        <f t="shared" si="25"/>
        <v>0</v>
      </c>
      <c r="M77" s="78">
        <f t="shared" si="25"/>
        <v>0</v>
      </c>
      <c r="N77" s="78">
        <f t="shared" si="25"/>
        <v>0</v>
      </c>
      <c r="O77" s="78">
        <f t="shared" si="25"/>
        <v>0</v>
      </c>
      <c r="P77" s="78">
        <f t="shared" si="25"/>
        <v>0</v>
      </c>
      <c r="Q77" s="78">
        <f t="shared" si="25"/>
        <v>0</v>
      </c>
      <c r="R77" s="78">
        <f t="shared" si="25"/>
        <v>0</v>
      </c>
      <c r="S77" s="78">
        <f t="shared" si="25"/>
        <v>0</v>
      </c>
      <c r="T77" s="78">
        <f t="shared" si="25"/>
        <v>0</v>
      </c>
      <c r="U77" s="78">
        <f t="shared" si="25"/>
        <v>0</v>
      </c>
      <c r="V77" s="78">
        <f t="shared" si="25"/>
        <v>0</v>
      </c>
      <c r="W77" s="78">
        <f t="shared" si="25"/>
        <v>0</v>
      </c>
      <c r="X77" s="78">
        <f t="shared" si="25"/>
        <v>0</v>
      </c>
      <c r="Y77" s="78">
        <f t="shared" si="25"/>
        <v>0</v>
      </c>
      <c r="Z77" s="78">
        <f t="shared" si="25"/>
        <v>0</v>
      </c>
      <c r="AA77" s="78">
        <f t="shared" si="25"/>
        <v>0</v>
      </c>
      <c r="AB77" s="78">
        <f t="shared" si="25"/>
        <v>0</v>
      </c>
      <c r="AC77" s="78">
        <f t="shared" si="25"/>
        <v>0</v>
      </c>
      <c r="AD77" s="78">
        <f t="shared" si="25"/>
        <v>0</v>
      </c>
      <c r="AE77" s="78">
        <f t="shared" si="25"/>
        <v>0</v>
      </c>
      <c r="AF77" s="78">
        <f t="shared" si="25"/>
        <v>0</v>
      </c>
      <c r="AG77" s="64"/>
      <c r="AH77" s="55">
        <f t="shared" si="22"/>
        <v>0</v>
      </c>
      <c r="AI77" s="56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6">IF(B61&lt;0,B61*-1,0)</f>
        <v>0</v>
      </c>
      <c r="C78" s="78">
        <f t="shared" ref="C78:AF78" si="27">IF(C61&lt;0,C61*-1,0)</f>
        <v>0</v>
      </c>
      <c r="D78" s="78">
        <f t="shared" si="27"/>
        <v>0</v>
      </c>
      <c r="E78" s="78">
        <f t="shared" si="27"/>
        <v>0</v>
      </c>
      <c r="F78" s="78">
        <f t="shared" si="27"/>
        <v>0</v>
      </c>
      <c r="G78" s="78">
        <f t="shared" si="27"/>
        <v>0</v>
      </c>
      <c r="H78" s="78">
        <f t="shared" si="27"/>
        <v>0</v>
      </c>
      <c r="I78" s="78">
        <f t="shared" si="27"/>
        <v>0</v>
      </c>
      <c r="J78" s="78">
        <f t="shared" si="27"/>
        <v>0</v>
      </c>
      <c r="K78" s="78">
        <f t="shared" si="27"/>
        <v>0</v>
      </c>
      <c r="L78" s="78">
        <f t="shared" si="27"/>
        <v>0</v>
      </c>
      <c r="M78" s="78">
        <f t="shared" si="27"/>
        <v>0</v>
      </c>
      <c r="N78" s="78">
        <f t="shared" si="27"/>
        <v>0</v>
      </c>
      <c r="O78" s="78">
        <f t="shared" si="27"/>
        <v>0</v>
      </c>
      <c r="P78" s="78">
        <f t="shared" si="27"/>
        <v>0</v>
      </c>
      <c r="Q78" s="78">
        <f t="shared" si="27"/>
        <v>0</v>
      </c>
      <c r="R78" s="78">
        <f t="shared" si="27"/>
        <v>0</v>
      </c>
      <c r="S78" s="78">
        <f t="shared" si="27"/>
        <v>0</v>
      </c>
      <c r="T78" s="78">
        <f t="shared" si="27"/>
        <v>0</v>
      </c>
      <c r="U78" s="78">
        <f t="shared" si="27"/>
        <v>0</v>
      </c>
      <c r="V78" s="78">
        <f t="shared" si="27"/>
        <v>0</v>
      </c>
      <c r="W78" s="78">
        <f t="shared" si="27"/>
        <v>0</v>
      </c>
      <c r="X78" s="78">
        <f t="shared" si="27"/>
        <v>0</v>
      </c>
      <c r="Y78" s="78">
        <f t="shared" si="27"/>
        <v>0</v>
      </c>
      <c r="Z78" s="78">
        <f t="shared" si="27"/>
        <v>0</v>
      </c>
      <c r="AA78" s="78">
        <f t="shared" si="27"/>
        <v>0</v>
      </c>
      <c r="AB78" s="78">
        <f t="shared" si="27"/>
        <v>0</v>
      </c>
      <c r="AC78" s="78">
        <f t="shared" si="27"/>
        <v>0</v>
      </c>
      <c r="AD78" s="78">
        <f t="shared" si="27"/>
        <v>0</v>
      </c>
      <c r="AE78" s="78">
        <f t="shared" si="27"/>
        <v>0</v>
      </c>
      <c r="AF78" s="78">
        <f t="shared" si="27"/>
        <v>0</v>
      </c>
      <c r="AG78" s="87"/>
      <c r="AH78" s="55">
        <f t="shared" si="22"/>
        <v>0</v>
      </c>
      <c r="AI78" s="56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 t="shared" ref="B79" si="28">IF(B59&lt;0,B59*-1,0)</f>
        <v>351</v>
      </c>
      <c r="C79" s="78">
        <f t="shared" ref="C79:AF79" si="29">IF(C59&lt;0,C59*-1,0)</f>
        <v>361</v>
      </c>
      <c r="D79" s="78">
        <f t="shared" si="29"/>
        <v>370</v>
      </c>
      <c r="E79" s="78">
        <f t="shared" si="29"/>
        <v>346</v>
      </c>
      <c r="F79" s="78">
        <f t="shared" si="29"/>
        <v>367</v>
      </c>
      <c r="G79" s="78">
        <f t="shared" si="29"/>
        <v>372</v>
      </c>
      <c r="H79" s="78">
        <f t="shared" si="29"/>
        <v>362</v>
      </c>
      <c r="I79" s="78">
        <f t="shared" si="29"/>
        <v>392</v>
      </c>
      <c r="J79" s="78">
        <f t="shared" si="29"/>
        <v>285</v>
      </c>
      <c r="K79" s="78">
        <f t="shared" si="29"/>
        <v>296</v>
      </c>
      <c r="L79" s="78">
        <f t="shared" si="29"/>
        <v>264</v>
      </c>
      <c r="M79" s="78">
        <f t="shared" si="29"/>
        <v>278.5</v>
      </c>
      <c r="N79" s="78">
        <f t="shared" si="29"/>
        <v>266.3</v>
      </c>
      <c r="O79" s="78">
        <f t="shared" si="29"/>
        <v>228.2</v>
      </c>
      <c r="P79" s="78">
        <f t="shared" si="29"/>
        <v>213.8</v>
      </c>
      <c r="Q79" s="78">
        <f t="shared" si="29"/>
        <v>225.2</v>
      </c>
      <c r="R79" s="78">
        <f t="shared" si="29"/>
        <v>244.3</v>
      </c>
      <c r="S79" s="78">
        <f t="shared" si="29"/>
        <v>201.1</v>
      </c>
      <c r="T79" s="78">
        <f t="shared" si="29"/>
        <v>240</v>
      </c>
      <c r="U79" s="78">
        <f t="shared" si="29"/>
        <v>0</v>
      </c>
      <c r="V79" s="78">
        <f t="shared" si="29"/>
        <v>0</v>
      </c>
      <c r="W79" s="78">
        <f t="shared" si="29"/>
        <v>221</v>
      </c>
      <c r="X79" s="78">
        <f t="shared" si="29"/>
        <v>293</v>
      </c>
      <c r="Y79" s="78">
        <f t="shared" si="29"/>
        <v>260</v>
      </c>
      <c r="Z79" s="78">
        <f t="shared" si="29"/>
        <v>192</v>
      </c>
      <c r="AA79" s="78">
        <f t="shared" si="29"/>
        <v>178</v>
      </c>
      <c r="AB79" s="78">
        <f t="shared" si="29"/>
        <v>141</v>
      </c>
      <c r="AC79" s="78">
        <f t="shared" si="29"/>
        <v>126</v>
      </c>
      <c r="AD79" s="78">
        <f t="shared" si="29"/>
        <v>262</v>
      </c>
      <c r="AE79" s="78">
        <f t="shared" si="29"/>
        <v>264</v>
      </c>
      <c r="AF79" s="78">
        <f t="shared" si="29"/>
        <v>298</v>
      </c>
      <c r="AG79" s="87"/>
      <c r="AH79" s="55">
        <f t="shared" si="22"/>
        <v>392</v>
      </c>
      <c r="AI79" s="56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30">IF(B57&lt;0,B57*-1,0)</f>
        <v>0</v>
      </c>
      <c r="C80" s="78">
        <f t="shared" ref="C80:AF80" si="31">IF(C57&lt;0,C57*-1,0)</f>
        <v>0</v>
      </c>
      <c r="D80" s="78">
        <f t="shared" si="31"/>
        <v>0</v>
      </c>
      <c r="E80" s="78">
        <f t="shared" si="31"/>
        <v>0</v>
      </c>
      <c r="F80" s="78">
        <f t="shared" si="31"/>
        <v>0</v>
      </c>
      <c r="G80" s="78">
        <f t="shared" si="31"/>
        <v>0</v>
      </c>
      <c r="H80" s="78">
        <f t="shared" si="31"/>
        <v>0</v>
      </c>
      <c r="I80" s="78">
        <f t="shared" si="31"/>
        <v>0</v>
      </c>
      <c r="J80" s="78">
        <f t="shared" si="31"/>
        <v>0</v>
      </c>
      <c r="K80" s="78">
        <f t="shared" si="31"/>
        <v>0</v>
      </c>
      <c r="L80" s="78">
        <f t="shared" si="31"/>
        <v>0</v>
      </c>
      <c r="M80" s="78">
        <f t="shared" si="31"/>
        <v>0</v>
      </c>
      <c r="N80" s="78">
        <f t="shared" si="31"/>
        <v>0</v>
      </c>
      <c r="O80" s="78">
        <f t="shared" si="31"/>
        <v>0</v>
      </c>
      <c r="P80" s="78">
        <f t="shared" si="31"/>
        <v>0</v>
      </c>
      <c r="Q80" s="78">
        <f t="shared" si="31"/>
        <v>0</v>
      </c>
      <c r="R80" s="78">
        <f t="shared" si="31"/>
        <v>0</v>
      </c>
      <c r="S80" s="78">
        <f t="shared" si="31"/>
        <v>0</v>
      </c>
      <c r="T80" s="78">
        <f t="shared" si="31"/>
        <v>0</v>
      </c>
      <c r="U80" s="78">
        <f t="shared" si="31"/>
        <v>0</v>
      </c>
      <c r="V80" s="78">
        <f t="shared" si="31"/>
        <v>0</v>
      </c>
      <c r="W80" s="78">
        <f t="shared" si="31"/>
        <v>0</v>
      </c>
      <c r="X80" s="78">
        <f t="shared" si="31"/>
        <v>0</v>
      </c>
      <c r="Y80" s="78">
        <f t="shared" si="31"/>
        <v>0</v>
      </c>
      <c r="Z80" s="78">
        <f t="shared" si="31"/>
        <v>0</v>
      </c>
      <c r="AA80" s="78">
        <f t="shared" si="31"/>
        <v>0</v>
      </c>
      <c r="AB80" s="78">
        <f t="shared" si="31"/>
        <v>0</v>
      </c>
      <c r="AC80" s="78">
        <f t="shared" si="31"/>
        <v>0</v>
      </c>
      <c r="AD80" s="78">
        <f t="shared" si="31"/>
        <v>0</v>
      </c>
      <c r="AE80" s="78">
        <f t="shared" si="31"/>
        <v>0</v>
      </c>
      <c r="AF80" s="78">
        <f t="shared" si="31"/>
        <v>0</v>
      </c>
      <c r="AG80" s="87"/>
      <c r="AH80" s="55">
        <f t="shared" si="22"/>
        <v>0</v>
      </c>
      <c r="AI80" s="56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22"/>
        <v>0</v>
      </c>
      <c r="AI81" s="56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 t="shared" ref="B82" si="32">SUM(B76:B81)</f>
        <v>351</v>
      </c>
      <c r="C82" s="70">
        <f t="shared" ref="C82:AG82" si="33">SUM(C76:C81)</f>
        <v>361</v>
      </c>
      <c r="D82" s="70">
        <f t="shared" si="33"/>
        <v>370</v>
      </c>
      <c r="E82" s="70">
        <f t="shared" si="33"/>
        <v>346</v>
      </c>
      <c r="F82" s="70">
        <f t="shared" si="33"/>
        <v>367</v>
      </c>
      <c r="G82" s="70">
        <f t="shared" si="33"/>
        <v>372</v>
      </c>
      <c r="H82" s="70">
        <f t="shared" si="33"/>
        <v>362</v>
      </c>
      <c r="I82" s="70">
        <f t="shared" si="33"/>
        <v>392</v>
      </c>
      <c r="J82" s="70">
        <f t="shared" si="33"/>
        <v>285</v>
      </c>
      <c r="K82" s="70">
        <f t="shared" si="33"/>
        <v>296</v>
      </c>
      <c r="L82" s="70">
        <f t="shared" si="33"/>
        <v>264</v>
      </c>
      <c r="M82" s="70">
        <f t="shared" si="33"/>
        <v>278.5</v>
      </c>
      <c r="N82" s="70">
        <f t="shared" si="33"/>
        <v>266.3</v>
      </c>
      <c r="O82" s="70">
        <f t="shared" si="33"/>
        <v>228.2</v>
      </c>
      <c r="P82" s="70">
        <f t="shared" si="33"/>
        <v>213.8</v>
      </c>
      <c r="Q82" s="70">
        <f t="shared" si="33"/>
        <v>225.2</v>
      </c>
      <c r="R82" s="70">
        <f t="shared" si="33"/>
        <v>244.3</v>
      </c>
      <c r="S82" s="70">
        <f t="shared" si="33"/>
        <v>201.1</v>
      </c>
      <c r="T82" s="70">
        <f t="shared" si="33"/>
        <v>240</v>
      </c>
      <c r="U82" s="70">
        <f t="shared" si="33"/>
        <v>0</v>
      </c>
      <c r="V82" s="70">
        <f t="shared" si="33"/>
        <v>0</v>
      </c>
      <c r="W82" s="70">
        <f t="shared" si="33"/>
        <v>221</v>
      </c>
      <c r="X82" s="70">
        <f t="shared" si="33"/>
        <v>293</v>
      </c>
      <c r="Y82" s="70">
        <f t="shared" si="33"/>
        <v>260</v>
      </c>
      <c r="Z82" s="70">
        <f t="shared" si="33"/>
        <v>192</v>
      </c>
      <c r="AA82" s="70">
        <f t="shared" si="33"/>
        <v>178</v>
      </c>
      <c r="AB82" s="70">
        <f t="shared" si="33"/>
        <v>141</v>
      </c>
      <c r="AC82" s="70">
        <f t="shared" si="33"/>
        <v>126</v>
      </c>
      <c r="AD82" s="70">
        <f t="shared" si="33"/>
        <v>262</v>
      </c>
      <c r="AE82" s="70">
        <f t="shared" si="33"/>
        <v>264</v>
      </c>
      <c r="AF82" s="70">
        <f t="shared" si="33"/>
        <v>298</v>
      </c>
      <c r="AG82" s="74">
        <f t="shared" si="33"/>
        <v>0</v>
      </c>
      <c r="AH82" s="55">
        <f t="shared" si="22"/>
        <v>392</v>
      </c>
      <c r="AI82" s="56">
        <f t="shared" si="23"/>
        <v>0</v>
      </c>
      <c r="AK82" s="57"/>
    </row>
    <row r="83" spans="1:88" s="1" customFormat="1" ht="15.75" thickBot="1" x14ac:dyDescent="0.3">
      <c r="A83" s="69" t="s">
        <v>88</v>
      </c>
      <c r="B83" s="70">
        <f t="shared" ref="B83" si="34">B68-B82</f>
        <v>-306.8</v>
      </c>
      <c r="C83" s="70">
        <f t="shared" ref="C83:AF83" si="35">C68-C82</f>
        <v>-319.2</v>
      </c>
      <c r="D83" s="70">
        <f t="shared" si="35"/>
        <v>-329.4</v>
      </c>
      <c r="E83" s="70">
        <f t="shared" si="35"/>
        <v>-306</v>
      </c>
      <c r="F83" s="70">
        <f t="shared" si="35"/>
        <v>-328</v>
      </c>
      <c r="G83" s="70">
        <v>50.037999999999997</v>
      </c>
      <c r="H83" s="70">
        <f t="shared" si="35"/>
        <v>-329</v>
      </c>
      <c r="I83" s="70">
        <f t="shared" si="35"/>
        <v>-339</v>
      </c>
      <c r="J83" s="70">
        <f t="shared" si="35"/>
        <v>-251</v>
      </c>
      <c r="K83" s="70">
        <f t="shared" si="35"/>
        <v>-262</v>
      </c>
      <c r="L83" s="70">
        <f t="shared" si="35"/>
        <v>-202</v>
      </c>
      <c r="M83" s="70">
        <f t="shared" si="35"/>
        <v>-223</v>
      </c>
      <c r="N83" s="70">
        <f t="shared" si="35"/>
        <v>-205.10000000000002</v>
      </c>
      <c r="O83" s="70">
        <f t="shared" si="35"/>
        <v>-167.6</v>
      </c>
      <c r="P83" s="70">
        <f t="shared" si="35"/>
        <v>-141.20000000000002</v>
      </c>
      <c r="Q83" s="70">
        <f t="shared" si="35"/>
        <v>-154</v>
      </c>
      <c r="R83" s="70">
        <f t="shared" si="35"/>
        <v>-172.5</v>
      </c>
      <c r="S83" s="70">
        <f t="shared" si="35"/>
        <v>-126.69999999999999</v>
      </c>
      <c r="T83" s="70">
        <f t="shared" si="35"/>
        <v>-172</v>
      </c>
      <c r="U83" s="70">
        <f t="shared" si="35"/>
        <v>0</v>
      </c>
      <c r="V83" s="70">
        <f t="shared" si="35"/>
        <v>205</v>
      </c>
      <c r="W83" s="70">
        <f t="shared" si="35"/>
        <v>-216</v>
      </c>
      <c r="X83" s="70">
        <f t="shared" si="35"/>
        <v>-288</v>
      </c>
      <c r="Y83" s="70">
        <f t="shared" si="35"/>
        <v>-255</v>
      </c>
      <c r="Z83" s="70">
        <f t="shared" si="35"/>
        <v>-187</v>
      </c>
      <c r="AA83" s="70">
        <f t="shared" si="35"/>
        <v>-173</v>
      </c>
      <c r="AB83" s="70">
        <f t="shared" si="35"/>
        <v>-136</v>
      </c>
      <c r="AC83" s="70">
        <f t="shared" si="35"/>
        <v>-90.7</v>
      </c>
      <c r="AD83" s="70">
        <f t="shared" si="35"/>
        <v>-222.2</v>
      </c>
      <c r="AE83" s="70">
        <f t="shared" si="35"/>
        <v>-232.7</v>
      </c>
      <c r="AF83" s="70">
        <f t="shared" si="35"/>
        <v>-231.8</v>
      </c>
      <c r="AG83" s="74">
        <f t="shared" ref="AG83" si="36">SUM(AG70:AG82)</f>
        <v>4360.08</v>
      </c>
      <c r="AH83" s="55">
        <f t="shared" si="22"/>
        <v>205</v>
      </c>
      <c r="AI83" s="56">
        <f t="shared" si="23"/>
        <v>-339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</v>
      </c>
      <c r="C84" s="90">
        <v>49.94</v>
      </c>
      <c r="D84" s="90">
        <v>49.9</v>
      </c>
      <c r="E84" s="90">
        <v>49.968000000000004</v>
      </c>
      <c r="F84" s="90">
        <v>50.031999999999996</v>
      </c>
      <c r="G84" s="90">
        <v>50.031999999999996</v>
      </c>
      <c r="H84" s="90">
        <v>50.036999999999999</v>
      </c>
      <c r="I84" s="90">
        <v>49.92</v>
      </c>
      <c r="J84" s="90">
        <v>49.942999999999998</v>
      </c>
      <c r="K84" s="90">
        <v>49.854999999999997</v>
      </c>
      <c r="L84" s="90">
        <v>49.97</v>
      </c>
      <c r="M84" s="90">
        <v>50.05</v>
      </c>
      <c r="N84" s="90">
        <v>50.015999999999998</v>
      </c>
      <c r="O84" s="90">
        <v>50.026000000000003</v>
      </c>
      <c r="P84" s="90">
        <v>50.030999999999999</v>
      </c>
      <c r="Q84" s="90">
        <v>50.005000000000003</v>
      </c>
      <c r="R84" s="90">
        <v>49.86</v>
      </c>
      <c r="S84" s="90">
        <v>49.881999999999998</v>
      </c>
      <c r="T84" s="90">
        <v>49.86</v>
      </c>
      <c r="U84" s="90"/>
      <c r="V84" s="90">
        <v>50.03</v>
      </c>
      <c r="W84" s="90">
        <v>50.03</v>
      </c>
      <c r="X84" s="90">
        <v>49.96</v>
      </c>
      <c r="Y84" s="90">
        <v>49.99</v>
      </c>
      <c r="Z84" s="90">
        <v>50</v>
      </c>
      <c r="AA84" s="90">
        <v>50.03</v>
      </c>
      <c r="AB84" s="90">
        <v>49.98</v>
      </c>
      <c r="AC84" s="90">
        <v>49.917999999999999</v>
      </c>
      <c r="AD84" s="90">
        <v>49.954999999999998</v>
      </c>
      <c r="AE84" s="90">
        <v>50.045000000000002</v>
      </c>
      <c r="AF84" s="90">
        <v>49.993000000000002</v>
      </c>
      <c r="AG84" s="91"/>
      <c r="AH84" s="55">
        <f t="shared" si="22"/>
        <v>50.05</v>
      </c>
      <c r="AI84" s="56">
        <f t="shared" si="23"/>
        <v>49.854999999999997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123.5</v>
      </c>
      <c r="C85" s="49">
        <v>124.7</v>
      </c>
      <c r="D85" s="49">
        <v>122.8</v>
      </c>
      <c r="E85" s="49">
        <v>122.7</v>
      </c>
      <c r="F85" s="49">
        <v>124</v>
      </c>
      <c r="G85" s="49">
        <v>124</v>
      </c>
      <c r="H85" s="49">
        <v>123</v>
      </c>
      <c r="I85" s="49">
        <v>123</v>
      </c>
      <c r="J85" s="49">
        <v>123</v>
      </c>
      <c r="K85" s="49">
        <v>122.8</v>
      </c>
      <c r="L85" s="49">
        <v>122</v>
      </c>
      <c r="M85" s="49">
        <v>122.7</v>
      </c>
      <c r="N85" s="49">
        <v>120.3</v>
      </c>
      <c r="O85" s="49">
        <v>119.9</v>
      </c>
      <c r="P85" s="49">
        <v>119.4</v>
      </c>
      <c r="Q85" s="49">
        <v>119.9</v>
      </c>
      <c r="R85" s="49">
        <v>121.8</v>
      </c>
      <c r="S85" s="49">
        <v>120.3</v>
      </c>
      <c r="T85" s="49">
        <v>122.4</v>
      </c>
      <c r="U85" s="49"/>
      <c r="V85" s="49">
        <v>125</v>
      </c>
      <c r="W85" s="49">
        <v>125</v>
      </c>
      <c r="X85" s="49">
        <v>123.3</v>
      </c>
      <c r="Y85" s="49">
        <v>123.7</v>
      </c>
      <c r="Z85" s="49">
        <v>122.8</v>
      </c>
      <c r="AA85" s="49">
        <v>122.9</v>
      </c>
      <c r="AB85" s="49">
        <v>124.6</v>
      </c>
      <c r="AC85" s="49">
        <v>123.3</v>
      </c>
      <c r="AD85" s="49">
        <v>123.9</v>
      </c>
      <c r="AE85" s="49">
        <v>123.3</v>
      </c>
      <c r="AF85" s="49">
        <v>123</v>
      </c>
      <c r="AG85" s="93"/>
      <c r="AH85" s="55">
        <f t="shared" si="22"/>
        <v>125</v>
      </c>
      <c r="AI85" s="56">
        <f t="shared" si="23"/>
        <v>119.4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128.19999999999999</v>
      </c>
      <c r="C86" s="49">
        <v>129.4</v>
      </c>
      <c r="D86" s="49">
        <v>128.30000000000001</v>
      </c>
      <c r="E86" s="49">
        <v>128.30000000000001</v>
      </c>
      <c r="F86" s="49">
        <v>129</v>
      </c>
      <c r="G86" s="49">
        <v>129</v>
      </c>
      <c r="H86" s="49">
        <v>128</v>
      </c>
      <c r="I86" s="49">
        <v>128</v>
      </c>
      <c r="J86" s="49">
        <v>128</v>
      </c>
      <c r="K86" s="49">
        <v>127</v>
      </c>
      <c r="L86" s="49">
        <v>126</v>
      </c>
      <c r="M86" s="49">
        <v>126.4</v>
      </c>
      <c r="N86" s="49">
        <v>124.6</v>
      </c>
      <c r="O86" s="49">
        <v>124.1</v>
      </c>
      <c r="P86" s="49">
        <v>123.5</v>
      </c>
      <c r="Q86" s="49">
        <v>124.4</v>
      </c>
      <c r="R86" s="49">
        <v>125.3</v>
      </c>
      <c r="S86" s="49">
        <v>124.9</v>
      </c>
      <c r="T86" s="49">
        <v>126.2</v>
      </c>
      <c r="U86" s="49"/>
      <c r="V86" s="49">
        <v>126.2</v>
      </c>
      <c r="W86" s="49">
        <v>126.2</v>
      </c>
      <c r="X86" s="49">
        <v>127.3</v>
      </c>
      <c r="Y86" s="49">
        <v>127.4</v>
      </c>
      <c r="Z86" s="49">
        <v>126.8</v>
      </c>
      <c r="AA86" s="49">
        <v>126.6</v>
      </c>
      <c r="AB86" s="49">
        <v>127.9</v>
      </c>
      <c r="AC86" s="49">
        <v>127.1</v>
      </c>
      <c r="AD86" s="49">
        <v>128.4</v>
      </c>
      <c r="AE86" s="49">
        <v>128.19999999999999</v>
      </c>
      <c r="AF86" s="49">
        <v>128.19999999999999</v>
      </c>
      <c r="AG86" s="93"/>
      <c r="AH86" s="55">
        <f t="shared" si="22"/>
        <v>129.4</v>
      </c>
      <c r="AI86" s="56">
        <f t="shared" si="23"/>
        <v>123.5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127.7</v>
      </c>
      <c r="C87" s="49">
        <v>127.1</v>
      </c>
      <c r="D87" s="49">
        <v>128.30000000000001</v>
      </c>
      <c r="E87" s="49">
        <v>128.30000000000001</v>
      </c>
      <c r="F87" s="49">
        <v>129</v>
      </c>
      <c r="G87" s="49">
        <v>129</v>
      </c>
      <c r="H87" s="49">
        <v>132</v>
      </c>
      <c r="I87" s="49">
        <v>132</v>
      </c>
      <c r="J87" s="49">
        <v>132</v>
      </c>
      <c r="K87" s="49">
        <v>127</v>
      </c>
      <c r="L87" s="49">
        <v>127</v>
      </c>
      <c r="M87" s="49">
        <v>126.4</v>
      </c>
      <c r="N87" s="49">
        <v>121.2</v>
      </c>
      <c r="O87" s="49">
        <v>121.8</v>
      </c>
      <c r="P87" s="49">
        <v>124</v>
      </c>
      <c r="Q87" s="49">
        <v>124.7</v>
      </c>
      <c r="R87" s="49">
        <v>126.5</v>
      </c>
      <c r="S87" s="49">
        <v>125.6</v>
      </c>
      <c r="T87" s="49">
        <v>127.3</v>
      </c>
      <c r="U87" s="49"/>
      <c r="V87" s="49">
        <v>126.3</v>
      </c>
      <c r="W87" s="49">
        <v>126.3</v>
      </c>
      <c r="X87" s="49">
        <v>128.69999999999999</v>
      </c>
      <c r="Y87" s="49">
        <v>125.5</v>
      </c>
      <c r="Z87" s="49">
        <v>126.3</v>
      </c>
      <c r="AA87" s="49">
        <v>125.9</v>
      </c>
      <c r="AB87" s="49">
        <v>121.2</v>
      </c>
      <c r="AC87" s="49">
        <v>124.2</v>
      </c>
      <c r="AD87" s="49">
        <v>124</v>
      </c>
      <c r="AE87" s="49">
        <v>123.1</v>
      </c>
      <c r="AF87" s="49">
        <v>124.3</v>
      </c>
      <c r="AG87" s="93"/>
      <c r="AH87" s="55">
        <f t="shared" si="22"/>
        <v>132</v>
      </c>
      <c r="AI87" s="56">
        <f t="shared" si="23"/>
        <v>121.2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131.80000000000001</v>
      </c>
      <c r="C88" s="49">
        <v>130.9</v>
      </c>
      <c r="D88" s="49">
        <v>133.69999999999999</v>
      </c>
      <c r="E88" s="49">
        <v>133.69999999999999</v>
      </c>
      <c r="F88" s="49">
        <v>135</v>
      </c>
      <c r="G88" s="49">
        <v>135</v>
      </c>
      <c r="H88" s="49">
        <v>136</v>
      </c>
      <c r="I88" s="49">
        <v>136</v>
      </c>
      <c r="J88" s="49">
        <v>136</v>
      </c>
      <c r="K88" s="49">
        <v>131</v>
      </c>
      <c r="L88" s="49">
        <v>131</v>
      </c>
      <c r="M88" s="49">
        <v>129</v>
      </c>
      <c r="N88" s="49">
        <v>123.7</v>
      </c>
      <c r="O88" s="49">
        <v>125.4</v>
      </c>
      <c r="P88" s="49">
        <v>127</v>
      </c>
      <c r="Q88" s="49">
        <v>129.1</v>
      </c>
      <c r="R88" s="49">
        <v>130.4</v>
      </c>
      <c r="S88" s="49">
        <v>128.80000000000001</v>
      </c>
      <c r="T88" s="49">
        <v>131.6</v>
      </c>
      <c r="U88" s="49"/>
      <c r="V88" s="49">
        <v>131.6</v>
      </c>
      <c r="W88" s="49">
        <v>131.6</v>
      </c>
      <c r="X88" s="49">
        <v>133.80000000000001</v>
      </c>
      <c r="Y88" s="49">
        <v>127.8</v>
      </c>
      <c r="Z88" s="49">
        <v>132.1</v>
      </c>
      <c r="AA88" s="49">
        <v>129.4</v>
      </c>
      <c r="AB88" s="49">
        <v>122.9</v>
      </c>
      <c r="AC88" s="49">
        <v>127.7</v>
      </c>
      <c r="AD88" s="49">
        <v>128.6</v>
      </c>
      <c r="AE88" s="49">
        <v>127.8</v>
      </c>
      <c r="AF88" s="49">
        <v>129.1</v>
      </c>
      <c r="AG88" s="93"/>
      <c r="AH88" s="55">
        <f t="shared" si="22"/>
        <v>136</v>
      </c>
      <c r="AI88" s="56">
        <f t="shared" si="23"/>
        <v>122.9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133.30000000000001</v>
      </c>
      <c r="C89" s="95">
        <v>134.80000000000001</v>
      </c>
      <c r="D89" s="95">
        <v>132.80000000000001</v>
      </c>
      <c r="E89" s="95">
        <v>132.80000000000001</v>
      </c>
      <c r="F89" s="95">
        <v>133</v>
      </c>
      <c r="G89" s="95">
        <v>133</v>
      </c>
      <c r="H89" s="95">
        <v>133</v>
      </c>
      <c r="I89" s="95">
        <v>133</v>
      </c>
      <c r="J89" s="95">
        <v>132</v>
      </c>
      <c r="K89" s="95">
        <v>128.5</v>
      </c>
      <c r="L89" s="95">
        <v>128.5</v>
      </c>
      <c r="M89" s="95">
        <v>131.1</v>
      </c>
      <c r="N89" s="95">
        <v>133.1</v>
      </c>
      <c r="O89" s="95">
        <v>135.5</v>
      </c>
      <c r="P89" s="95">
        <v>128.30000000000001</v>
      </c>
      <c r="Q89" s="95">
        <v>131.69999999999999</v>
      </c>
      <c r="R89" s="95">
        <v>132.1</v>
      </c>
      <c r="S89" s="95">
        <v>131.4</v>
      </c>
      <c r="T89" s="95">
        <v>135.6</v>
      </c>
      <c r="U89" s="95"/>
      <c r="V89" s="95">
        <v>135.6</v>
      </c>
      <c r="W89" s="95">
        <v>135.6</v>
      </c>
      <c r="X89" s="95">
        <v>129.4</v>
      </c>
      <c r="Y89" s="95">
        <v>129.6</v>
      </c>
      <c r="Z89" s="95">
        <v>131</v>
      </c>
      <c r="AA89" s="95">
        <v>129.30000000000001</v>
      </c>
      <c r="AB89" s="95">
        <v>131.69999999999999</v>
      </c>
      <c r="AC89" s="95">
        <v>131.1</v>
      </c>
      <c r="AD89" s="95">
        <v>133.6</v>
      </c>
      <c r="AE89" s="95">
        <v>130.69999999999999</v>
      </c>
      <c r="AF89" s="95">
        <v>132.1</v>
      </c>
      <c r="AG89" s="96"/>
      <c r="AH89" s="55">
        <f t="shared" si="22"/>
        <v>135.6</v>
      </c>
      <c r="AI89" s="56">
        <f t="shared" si="23"/>
        <v>128.30000000000001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131.69999999999999</v>
      </c>
      <c r="C90" s="49">
        <v>134.30000000000001</v>
      </c>
      <c r="D90" s="49">
        <v>131.80000000000001</v>
      </c>
      <c r="E90" s="49">
        <v>131.80000000000001</v>
      </c>
      <c r="F90" s="49">
        <v>133</v>
      </c>
      <c r="G90" s="49">
        <v>133</v>
      </c>
      <c r="H90" s="49">
        <v>133</v>
      </c>
      <c r="I90" s="49">
        <v>133</v>
      </c>
      <c r="J90" s="49">
        <v>133</v>
      </c>
      <c r="K90" s="49">
        <v>125</v>
      </c>
      <c r="L90" s="49">
        <v>125</v>
      </c>
      <c r="M90" s="49">
        <v>127.7</v>
      </c>
      <c r="N90" s="49">
        <v>125.6</v>
      </c>
      <c r="O90" s="49">
        <v>130.69999999999999</v>
      </c>
      <c r="P90" s="49">
        <v>126.7</v>
      </c>
      <c r="Q90" s="49">
        <v>128.4</v>
      </c>
      <c r="R90" s="49">
        <v>125.6</v>
      </c>
      <c r="S90" s="49">
        <v>125</v>
      </c>
      <c r="T90" s="49">
        <v>130.5</v>
      </c>
      <c r="U90" s="49"/>
      <c r="V90" s="49">
        <v>130.5</v>
      </c>
      <c r="W90" s="49">
        <v>130.5</v>
      </c>
      <c r="X90" s="49">
        <v>125.1</v>
      </c>
      <c r="Y90" s="49">
        <v>128.5</v>
      </c>
      <c r="Z90" s="49">
        <v>126.4</v>
      </c>
      <c r="AA90" s="49">
        <v>121.5</v>
      </c>
      <c r="AB90" s="49">
        <v>126.7</v>
      </c>
      <c r="AC90" s="49">
        <v>128.5</v>
      </c>
      <c r="AD90" s="49">
        <v>131.30000000000001</v>
      </c>
      <c r="AE90" s="49">
        <v>126.3</v>
      </c>
      <c r="AF90" s="49">
        <v>131.1</v>
      </c>
      <c r="AG90" s="93"/>
      <c r="AH90" s="55">
        <f t="shared" si="22"/>
        <v>134.30000000000001</v>
      </c>
      <c r="AI90" s="56">
        <f t="shared" si="23"/>
        <v>121.5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65.099999999999994</v>
      </c>
      <c r="C91" s="97">
        <v>65.7</v>
      </c>
      <c r="D91" s="97">
        <v>65.2</v>
      </c>
      <c r="E91" s="97">
        <v>65.2</v>
      </c>
      <c r="F91" s="97">
        <v>65.5</v>
      </c>
      <c r="G91" s="97">
        <v>65.5</v>
      </c>
      <c r="H91" s="97">
        <v>65</v>
      </c>
      <c r="I91" s="97">
        <v>65</v>
      </c>
      <c r="J91" s="97">
        <v>64.3</v>
      </c>
      <c r="K91" s="97">
        <v>64.2</v>
      </c>
      <c r="L91" s="97">
        <v>64.2</v>
      </c>
      <c r="M91" s="97">
        <v>63.7</v>
      </c>
      <c r="N91" s="97">
        <v>62.9</v>
      </c>
      <c r="O91" s="97">
        <v>62.3</v>
      </c>
      <c r="P91" s="97">
        <v>62.2</v>
      </c>
      <c r="Q91" s="97">
        <v>62.6</v>
      </c>
      <c r="R91" s="97">
        <v>63.1</v>
      </c>
      <c r="S91" s="97">
        <v>62.8</v>
      </c>
      <c r="T91" s="97">
        <v>63.4</v>
      </c>
      <c r="U91" s="97"/>
      <c r="V91" s="97">
        <v>63.4</v>
      </c>
      <c r="W91" s="97">
        <v>63.4</v>
      </c>
      <c r="X91" s="97">
        <v>64.400000000000006</v>
      </c>
      <c r="Y91" s="97">
        <v>64.5</v>
      </c>
      <c r="Z91" s="97">
        <v>64.2</v>
      </c>
      <c r="AA91" s="97">
        <v>64.099999999999994</v>
      </c>
      <c r="AB91" s="97">
        <v>64.599999999999994</v>
      </c>
      <c r="AC91" s="97">
        <v>64.2</v>
      </c>
      <c r="AD91" s="97">
        <v>64.8</v>
      </c>
      <c r="AE91" s="97">
        <v>64.7</v>
      </c>
      <c r="AF91" s="97">
        <v>64.900000000000006</v>
      </c>
      <c r="AG91" s="98"/>
      <c r="AH91" s="55">
        <f t="shared" si="22"/>
        <v>65.7</v>
      </c>
      <c r="AI91" s="56">
        <f t="shared" si="23"/>
        <v>62.2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37">SUM(B15,B18,B21:B22,B42,B44:B45,B47,B49,B94:B97,B103,B109,B115,B124,B126,B138,B145,B148:B149,B156,B158,B160,B164:B166,B168:B170,B175,B181:B182,B184:B186,B194,B199)</f>
        <v>140.43999999999997</v>
      </c>
      <c r="C93" s="103">
        <f t="shared" si="37"/>
        <v>129.84</v>
      </c>
      <c r="D93" s="103">
        <f t="shared" si="37"/>
        <v>125.53999999999998</v>
      </c>
      <c r="E93" s="103">
        <f t="shared" si="37"/>
        <v>119.03999999999998</v>
      </c>
      <c r="F93" s="103">
        <f t="shared" si="37"/>
        <v>122.33999999999999</v>
      </c>
      <c r="G93" s="103">
        <f t="shared" si="37"/>
        <v>140.94</v>
      </c>
      <c r="H93" s="103">
        <f t="shared" si="37"/>
        <v>162.94</v>
      </c>
      <c r="I93" s="103">
        <f t="shared" si="37"/>
        <v>187.94</v>
      </c>
      <c r="J93" s="103">
        <f t="shared" si="37"/>
        <v>231.94</v>
      </c>
      <c r="K93" s="103">
        <f t="shared" si="37"/>
        <v>245.94</v>
      </c>
      <c r="L93" s="103">
        <f t="shared" si="37"/>
        <v>331.94000000000005</v>
      </c>
      <c r="M93" s="103">
        <f t="shared" si="37"/>
        <v>324.84000000000003</v>
      </c>
      <c r="N93" s="103">
        <f t="shared" si="37"/>
        <v>331.44000000000005</v>
      </c>
      <c r="O93" s="103">
        <f t="shared" si="37"/>
        <v>340.04</v>
      </c>
      <c r="P93" s="103">
        <f t="shared" si="37"/>
        <v>339.54</v>
      </c>
      <c r="Q93" s="103">
        <f t="shared" si="37"/>
        <v>339.64</v>
      </c>
      <c r="R93" s="103">
        <f t="shared" si="37"/>
        <v>333.84</v>
      </c>
      <c r="S93" s="103">
        <f t="shared" si="37"/>
        <v>354.94</v>
      </c>
      <c r="T93" s="103">
        <f t="shared" si="37"/>
        <v>345.64</v>
      </c>
      <c r="U93" s="103">
        <f t="shared" si="37"/>
        <v>34.840000000000003</v>
      </c>
      <c r="V93" s="103">
        <f t="shared" si="37"/>
        <v>269.33999999999992</v>
      </c>
      <c r="W93" s="103">
        <f t="shared" si="37"/>
        <v>269.33999999999992</v>
      </c>
      <c r="X93" s="103">
        <f t="shared" si="37"/>
        <v>313.53999999999996</v>
      </c>
      <c r="Y93" s="103">
        <f t="shared" si="37"/>
        <v>317.33999999999997</v>
      </c>
      <c r="Z93" s="103">
        <f t="shared" si="37"/>
        <v>352.84000000000003</v>
      </c>
      <c r="AA93" s="103">
        <f t="shared" si="37"/>
        <v>344.24</v>
      </c>
      <c r="AB93" s="103">
        <f t="shared" si="37"/>
        <v>284.73999999999995</v>
      </c>
      <c r="AC93" s="103">
        <f t="shared" si="37"/>
        <v>268.44</v>
      </c>
      <c r="AD93" s="103">
        <f t="shared" si="37"/>
        <v>243.13999999999996</v>
      </c>
      <c r="AE93" s="103">
        <f t="shared" si="37"/>
        <v>182.83999999999995</v>
      </c>
      <c r="AF93" s="103">
        <f t="shared" si="37"/>
        <v>128.43999999999997</v>
      </c>
      <c r="AG93" s="104"/>
      <c r="AH93" s="55">
        <f>MAX(C93:AF93)</f>
        <v>354.94</v>
      </c>
      <c r="AI93" s="56">
        <f>MIN(C93:AF93)</f>
        <v>34.840000000000003</v>
      </c>
    </row>
    <row r="94" spans="1:88" x14ac:dyDescent="0.25">
      <c r="A94" s="105" t="s">
        <v>98</v>
      </c>
      <c r="B94" s="106">
        <f>40.7+21.2</f>
        <v>61.900000000000006</v>
      </c>
      <c r="C94" s="106">
        <f>40.3+19.5</f>
        <v>59.8</v>
      </c>
      <c r="D94" s="106">
        <f>41.2+20.1</f>
        <v>61.300000000000004</v>
      </c>
      <c r="E94" s="106">
        <f>54+28</f>
        <v>82</v>
      </c>
      <c r="F94" s="106">
        <f>27+51</f>
        <v>78</v>
      </c>
      <c r="G94" s="106">
        <f>20+37</f>
        <v>57</v>
      </c>
      <c r="H94" s="106">
        <v>65</v>
      </c>
      <c r="I94" s="106">
        <f>49+30</f>
        <v>79</v>
      </c>
      <c r="J94" s="106">
        <f>39+23</f>
        <v>62</v>
      </c>
      <c r="K94" s="106">
        <f>28+47</f>
        <v>75</v>
      </c>
      <c r="L94" s="106">
        <f>52+32</f>
        <v>84</v>
      </c>
      <c r="M94" s="106">
        <v>31.7</v>
      </c>
      <c r="N94" s="106">
        <v>30.9</v>
      </c>
      <c r="O94" s="106">
        <v>37</v>
      </c>
      <c r="P94" s="106">
        <v>29.4</v>
      </c>
      <c r="Q94" s="106">
        <v>27.5</v>
      </c>
      <c r="R94" s="106">
        <v>26</v>
      </c>
      <c r="S94" s="106">
        <v>34.6</v>
      </c>
      <c r="T94" s="106">
        <v>33.299999999999997</v>
      </c>
      <c r="U94" s="106"/>
      <c r="V94" s="106">
        <v>46.1</v>
      </c>
      <c r="W94" s="106">
        <v>46.1</v>
      </c>
      <c r="X94" s="106">
        <v>35.6</v>
      </c>
      <c r="Y94" s="106">
        <v>32.700000000000003</v>
      </c>
      <c r="Z94" s="106">
        <v>29.5</v>
      </c>
      <c r="AA94" s="106">
        <v>30.9</v>
      </c>
      <c r="AB94" s="106">
        <v>19</v>
      </c>
      <c r="AC94" s="106">
        <v>21.4</v>
      </c>
      <c r="AD94" s="106">
        <v>21.2</v>
      </c>
      <c r="AE94" s="106">
        <v>14.3</v>
      </c>
      <c r="AF94" s="106">
        <v>23.1</v>
      </c>
      <c r="AG94" s="107">
        <v>75</v>
      </c>
      <c r="AH94" s="55">
        <f t="shared" ref="AH94:AH100" si="38">IF(ABS(MAX(C94:AF94))&gt;ABS(MIN(C94:AF94)),MAX(C94:AF94),MIN(C94:AF94))</f>
        <v>84</v>
      </c>
      <c r="AI94" s="108">
        <f t="shared" ref="AI94:AI100" si="39">INDEX($C$9:$AF$9,1,MATCH(AH94,C94:AF94,0))</f>
        <v>0.3125</v>
      </c>
    </row>
    <row r="95" spans="1:88" x14ac:dyDescent="0.25">
      <c r="A95" s="109" t="s">
        <v>99</v>
      </c>
      <c r="B95" s="110">
        <f>-74-78.8</f>
        <v>-152.80000000000001</v>
      </c>
      <c r="C95" s="110">
        <f>-75.8-81.2</f>
        <v>-157</v>
      </c>
      <c r="D95" s="110">
        <f>-80-85.6</f>
        <v>-165.6</v>
      </c>
      <c r="E95" s="110">
        <v>-133</v>
      </c>
      <c r="F95" s="110">
        <v>-133</v>
      </c>
      <c r="G95" s="110">
        <v>-147</v>
      </c>
      <c r="H95" s="110">
        <v>-135</v>
      </c>
      <c r="I95" s="110">
        <v>-125</v>
      </c>
      <c r="J95" s="110">
        <v>-73</v>
      </c>
      <c r="K95" s="110">
        <v>-108</v>
      </c>
      <c r="L95" s="110">
        <v>-98</v>
      </c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>
        <f>-29.6-63.6+11.6+32</f>
        <v>-49.600000000000009</v>
      </c>
      <c r="AC95" s="110">
        <f>-34.7-64.5+10.7+29.2</f>
        <v>-59.3</v>
      </c>
      <c r="AD95" s="110">
        <f>-50.3-81.9+11.4+31.2</f>
        <v>-89.59999999999998</v>
      </c>
      <c r="AE95" s="110">
        <f>-57-86.7+11.1+30.3</f>
        <v>-102.3</v>
      </c>
      <c r="AF95" s="110">
        <f>-69.2-71.4+1.8+4.9</f>
        <v>-133.9</v>
      </c>
      <c r="AG95" s="107">
        <v>240</v>
      </c>
      <c r="AH95" s="55">
        <f t="shared" si="38"/>
        <v>-165.6</v>
      </c>
      <c r="AI95" s="108">
        <f t="shared" si="39"/>
        <v>8.3333333333333301E-2</v>
      </c>
    </row>
    <row r="96" spans="1:88" x14ac:dyDescent="0.25">
      <c r="A96" s="109" t="s">
        <v>100</v>
      </c>
      <c r="B96" s="110">
        <v>-5.4</v>
      </c>
      <c r="C96" s="110">
        <v>-9.8000000000000007</v>
      </c>
      <c r="D96" s="110">
        <v>-6.9</v>
      </c>
      <c r="E96" s="110">
        <v>-6</v>
      </c>
      <c r="F96" s="110">
        <v>1.3</v>
      </c>
      <c r="G96" s="110">
        <v>-6</v>
      </c>
      <c r="H96" s="110">
        <v>-4</v>
      </c>
      <c r="I96" s="110">
        <v>-3</v>
      </c>
      <c r="J96" s="110">
        <v>6</v>
      </c>
      <c r="K96" s="110">
        <v>2</v>
      </c>
      <c r="L96" s="110">
        <v>55</v>
      </c>
      <c r="M96" s="110">
        <v>2.5</v>
      </c>
      <c r="N96" s="110">
        <v>2.2000000000000002</v>
      </c>
      <c r="O96" s="110">
        <v>6.2</v>
      </c>
      <c r="P96" s="110">
        <v>8.8000000000000007</v>
      </c>
      <c r="Q96" s="110">
        <v>9.9</v>
      </c>
      <c r="R96" s="110">
        <v>11.1</v>
      </c>
      <c r="S96" s="110">
        <v>3.8</v>
      </c>
      <c r="T96" s="110">
        <v>10.4</v>
      </c>
      <c r="U96" s="110"/>
      <c r="V96" s="110">
        <v>0.1</v>
      </c>
      <c r="W96" s="110">
        <v>0.1</v>
      </c>
      <c r="X96" s="110">
        <v>29.6</v>
      </c>
      <c r="Y96" s="110">
        <v>42.3</v>
      </c>
      <c r="Z96" s="110">
        <v>45.5</v>
      </c>
      <c r="AA96" s="110">
        <v>45</v>
      </c>
      <c r="AB96" s="110">
        <v>45.7</v>
      </c>
      <c r="AC96" s="110">
        <v>43.8</v>
      </c>
      <c r="AD96" s="110">
        <v>40</v>
      </c>
      <c r="AE96" s="110">
        <v>34.9</v>
      </c>
      <c r="AF96" s="110">
        <v>1.3</v>
      </c>
      <c r="AG96" s="107">
        <v>60</v>
      </c>
      <c r="AH96" s="55">
        <f t="shared" si="38"/>
        <v>55</v>
      </c>
      <c r="AI96" s="108">
        <f t="shared" si="39"/>
        <v>0.3125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40</v>
      </c>
      <c r="L97" s="112">
        <v>54</v>
      </c>
      <c r="M97" s="112">
        <v>49.5</v>
      </c>
      <c r="N97" s="112">
        <v>55.2</v>
      </c>
      <c r="O97" s="112">
        <v>52.7</v>
      </c>
      <c r="P97" s="112">
        <v>57.5</v>
      </c>
      <c r="Q97" s="112">
        <v>57.9</v>
      </c>
      <c r="R97" s="112">
        <v>54.4</v>
      </c>
      <c r="S97" s="112">
        <v>74.2</v>
      </c>
      <c r="T97" s="112">
        <v>59.1</v>
      </c>
      <c r="U97" s="112"/>
      <c r="V97" s="112">
        <v>9.6999999999999993</v>
      </c>
      <c r="W97" s="112">
        <v>9.6999999999999993</v>
      </c>
      <c r="X97" s="112">
        <v>34.9</v>
      </c>
      <c r="Y97" s="112">
        <v>28.9</v>
      </c>
      <c r="Z97" s="112">
        <v>64.400000000000006</v>
      </c>
      <c r="AA97" s="112">
        <v>54.9</v>
      </c>
      <c r="AB97" s="112">
        <v>64.2</v>
      </c>
      <c r="AC97" s="112">
        <v>57.1</v>
      </c>
      <c r="AD97" s="112">
        <v>37.6</v>
      </c>
      <c r="AE97" s="112">
        <v>0</v>
      </c>
      <c r="AF97" s="112">
        <v>0</v>
      </c>
      <c r="AG97" s="113">
        <v>120</v>
      </c>
      <c r="AH97" s="55">
        <f t="shared" si="38"/>
        <v>74.2</v>
      </c>
      <c r="AI97" s="108">
        <f t="shared" si="39"/>
        <v>0.58333333333333304</v>
      </c>
    </row>
    <row r="98" spans="1:37" x14ac:dyDescent="0.25">
      <c r="A98" s="111" t="s">
        <v>102</v>
      </c>
      <c r="B98" s="112">
        <v>27</v>
      </c>
      <c r="C98" s="112">
        <v>21.3</v>
      </c>
      <c r="D98" s="112">
        <v>19.3</v>
      </c>
      <c r="E98" s="112">
        <v>29</v>
      </c>
      <c r="F98" s="112">
        <v>20</v>
      </c>
      <c r="G98" s="112">
        <v>30</v>
      </c>
      <c r="H98" s="112">
        <v>68</v>
      </c>
      <c r="I98" s="112">
        <v>55</v>
      </c>
      <c r="J98" s="112">
        <v>72</v>
      </c>
      <c r="K98" s="112">
        <v>46</v>
      </c>
      <c r="L98" s="112">
        <v>54</v>
      </c>
      <c r="M98" s="112">
        <v>51.9</v>
      </c>
      <c r="N98" s="112">
        <v>62.1</v>
      </c>
      <c r="O98" s="112">
        <v>60.3</v>
      </c>
      <c r="P98" s="112">
        <v>64.8</v>
      </c>
      <c r="Q98" s="112">
        <v>67</v>
      </c>
      <c r="R98" s="112">
        <v>60.9</v>
      </c>
      <c r="S98" s="112">
        <v>71</v>
      </c>
      <c r="T98" s="112">
        <v>59.4</v>
      </c>
      <c r="U98" s="112"/>
      <c r="V98" s="112">
        <v>8.9</v>
      </c>
      <c r="W98" s="112">
        <v>8.9</v>
      </c>
      <c r="X98" s="112">
        <v>33.799999999999997</v>
      </c>
      <c r="Y98" s="112">
        <v>30.9</v>
      </c>
      <c r="Z98" s="112">
        <v>50.8</v>
      </c>
      <c r="AA98" s="112">
        <v>46.6</v>
      </c>
      <c r="AB98" s="112">
        <v>52.6</v>
      </c>
      <c r="AC98" s="112">
        <v>48.6</v>
      </c>
      <c r="AD98" s="112">
        <v>29</v>
      </c>
      <c r="AE98" s="112">
        <v>40.1</v>
      </c>
      <c r="AF98" s="112">
        <v>34.6</v>
      </c>
      <c r="AG98" s="113"/>
      <c r="AH98" s="55">
        <f t="shared" si="38"/>
        <v>72</v>
      </c>
      <c r="AI98" s="108">
        <f t="shared" si="39"/>
        <v>0.27083333333333331</v>
      </c>
    </row>
    <row r="99" spans="1:37" x14ac:dyDescent="0.25">
      <c r="A99" s="111" t="s">
        <v>253</v>
      </c>
      <c r="B99" s="112">
        <v>30.5</v>
      </c>
      <c r="C99" s="112">
        <v>26.3</v>
      </c>
      <c r="D99" s="112">
        <v>17.3</v>
      </c>
      <c r="E99" s="112">
        <v>2.2999999999999998</v>
      </c>
      <c r="F99" s="112">
        <v>0</v>
      </c>
      <c r="G99" s="112">
        <v>15</v>
      </c>
      <c r="H99" s="112">
        <v>7</v>
      </c>
      <c r="I99" s="112">
        <v>-14</v>
      </c>
      <c r="J99" s="112">
        <v>27</v>
      </c>
      <c r="K99" s="112">
        <v>14</v>
      </c>
      <c r="L99" s="112">
        <v>-14</v>
      </c>
      <c r="M99" s="112">
        <v>-10.3</v>
      </c>
      <c r="N99" s="112">
        <v>-4.3</v>
      </c>
      <c r="O99" s="112">
        <v>-16.899999999999999</v>
      </c>
      <c r="P99" s="112">
        <v>-2.9</v>
      </c>
      <c r="Q99" s="112">
        <v>4</v>
      </c>
      <c r="R99" s="112">
        <v>9.6</v>
      </c>
      <c r="S99" s="112">
        <v>-6.7</v>
      </c>
      <c r="T99" s="112">
        <v>-3.4</v>
      </c>
      <c r="U99" s="112"/>
      <c r="V99" s="112">
        <v>69</v>
      </c>
      <c r="W99" s="112">
        <v>69</v>
      </c>
      <c r="X99" s="112">
        <v>-5.4</v>
      </c>
      <c r="Y99" s="112">
        <v>10.6</v>
      </c>
      <c r="Z99" s="112">
        <v>15.2</v>
      </c>
      <c r="AA99" s="112">
        <v>18.5</v>
      </c>
      <c r="AB99" s="112">
        <v>40.6</v>
      </c>
      <c r="AC99" s="112">
        <v>33.9</v>
      </c>
      <c r="AD99" s="112">
        <v>30</v>
      </c>
      <c r="AE99" s="112">
        <v>39.4</v>
      </c>
      <c r="AF99" s="112">
        <v>-5.6</v>
      </c>
      <c r="AG99" s="114"/>
      <c r="AH99" s="55">
        <f t="shared" si="38"/>
        <v>69</v>
      </c>
      <c r="AI99" s="108">
        <f t="shared" si="39"/>
        <v>0.70833333333333304</v>
      </c>
    </row>
    <row r="100" spans="1:37" ht="15.75" thickBot="1" x14ac:dyDescent="0.3">
      <c r="A100" s="115" t="s">
        <v>259</v>
      </c>
      <c r="B100" s="95">
        <v>77.3</v>
      </c>
      <c r="C100" s="95">
        <v>80.099999999999994</v>
      </c>
      <c r="D100" s="95">
        <v>82.3</v>
      </c>
      <c r="E100" s="95">
        <v>83</v>
      </c>
      <c r="F100" s="95">
        <v>84</v>
      </c>
      <c r="G100" s="95">
        <v>88</v>
      </c>
      <c r="H100" s="95">
        <v>84</v>
      </c>
      <c r="I100" s="95">
        <v>81</v>
      </c>
      <c r="J100" s="95">
        <v>74</v>
      </c>
      <c r="K100" s="95">
        <v>72</v>
      </c>
      <c r="L100" s="95">
        <v>73</v>
      </c>
      <c r="M100" s="95">
        <v>62.9</v>
      </c>
      <c r="N100" s="95">
        <v>60.9</v>
      </c>
      <c r="O100" s="95">
        <v>60.7</v>
      </c>
      <c r="P100" s="95">
        <v>49.8</v>
      </c>
      <c r="Q100" s="95">
        <v>56.9</v>
      </c>
      <c r="R100" s="95">
        <v>57.1</v>
      </c>
      <c r="S100" s="95">
        <v>55.2</v>
      </c>
      <c r="T100" s="95">
        <v>49.6</v>
      </c>
      <c r="U100" s="95"/>
      <c r="V100" s="95">
        <v>75.599999999999994</v>
      </c>
      <c r="W100" s="95">
        <v>75.599999999999994</v>
      </c>
      <c r="X100" s="95">
        <v>68.2</v>
      </c>
      <c r="Y100" s="95">
        <v>46.3</v>
      </c>
      <c r="Z100" s="95">
        <v>70.099999999999994</v>
      </c>
      <c r="AA100" s="95">
        <v>51.2</v>
      </c>
      <c r="AB100" s="95">
        <v>56.5</v>
      </c>
      <c r="AC100" s="95">
        <v>44.5</v>
      </c>
      <c r="AD100" s="95">
        <v>55.4</v>
      </c>
      <c r="AE100" s="95">
        <v>59.7</v>
      </c>
      <c r="AF100" s="95">
        <v>62.7</v>
      </c>
      <c r="AG100" s="114"/>
      <c r="AH100" s="55">
        <f t="shared" si="38"/>
        <v>88</v>
      </c>
      <c r="AI100" s="108">
        <f t="shared" si="39"/>
        <v>0.20833333333333301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40">AF102</f>
        <v>9.9</v>
      </c>
      <c r="C102" s="54">
        <v>9.9</v>
      </c>
      <c r="D102" s="121">
        <f t="shared" ref="D102:S107" si="41">C102</f>
        <v>9.9</v>
      </c>
      <c r="E102" s="121">
        <f t="shared" si="41"/>
        <v>9.9</v>
      </c>
      <c r="F102" s="121">
        <f t="shared" si="41"/>
        <v>9.9</v>
      </c>
      <c r="G102" s="121">
        <f t="shared" si="41"/>
        <v>9.9</v>
      </c>
      <c r="H102" s="121">
        <f t="shared" si="41"/>
        <v>9.9</v>
      </c>
      <c r="I102" s="121">
        <f t="shared" si="41"/>
        <v>9.9</v>
      </c>
      <c r="J102" s="121">
        <f t="shared" si="41"/>
        <v>9.9</v>
      </c>
      <c r="K102" s="121">
        <f t="shared" si="41"/>
        <v>9.9</v>
      </c>
      <c r="L102" s="121">
        <f t="shared" si="41"/>
        <v>9.9</v>
      </c>
      <c r="M102" s="121">
        <f t="shared" si="41"/>
        <v>9.9</v>
      </c>
      <c r="N102" s="121">
        <f t="shared" si="41"/>
        <v>9.9</v>
      </c>
      <c r="O102" s="121">
        <f t="shared" si="41"/>
        <v>9.9</v>
      </c>
      <c r="P102" s="121">
        <f t="shared" si="41"/>
        <v>9.9</v>
      </c>
      <c r="Q102" s="121">
        <f t="shared" si="41"/>
        <v>9.9</v>
      </c>
      <c r="R102" s="121">
        <f t="shared" si="41"/>
        <v>9.9</v>
      </c>
      <c r="S102" s="121">
        <f t="shared" si="41"/>
        <v>9.9</v>
      </c>
      <c r="T102" s="121">
        <f t="shared" ref="T102:AF107" si="42">S102</f>
        <v>9.9</v>
      </c>
      <c r="U102" s="121">
        <f t="shared" si="42"/>
        <v>9.9</v>
      </c>
      <c r="V102" s="121">
        <f t="shared" si="42"/>
        <v>9.9</v>
      </c>
      <c r="W102" s="121">
        <f t="shared" si="42"/>
        <v>9.9</v>
      </c>
      <c r="X102" s="121">
        <f t="shared" si="42"/>
        <v>9.9</v>
      </c>
      <c r="Y102" s="121">
        <f t="shared" si="42"/>
        <v>9.9</v>
      </c>
      <c r="Z102" s="121">
        <f t="shared" si="42"/>
        <v>9.9</v>
      </c>
      <c r="AA102" s="121">
        <f t="shared" si="42"/>
        <v>9.9</v>
      </c>
      <c r="AB102" s="121">
        <f t="shared" si="42"/>
        <v>9.9</v>
      </c>
      <c r="AC102" s="121">
        <f t="shared" si="42"/>
        <v>9.9</v>
      </c>
      <c r="AD102" s="121">
        <f t="shared" si="42"/>
        <v>9.9</v>
      </c>
      <c r="AE102" s="121">
        <f t="shared" si="42"/>
        <v>9.9</v>
      </c>
      <c r="AF102" s="121">
        <f t="shared" si="42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40"/>
        <v>9.6</v>
      </c>
      <c r="C103" s="124">
        <v>9.6</v>
      </c>
      <c r="D103" s="123">
        <f t="shared" si="41"/>
        <v>9.6</v>
      </c>
      <c r="E103" s="123">
        <f t="shared" si="41"/>
        <v>9.6</v>
      </c>
      <c r="F103" s="123">
        <f t="shared" si="41"/>
        <v>9.6</v>
      </c>
      <c r="G103" s="123">
        <f t="shared" si="41"/>
        <v>9.6</v>
      </c>
      <c r="H103" s="123">
        <f t="shared" si="41"/>
        <v>9.6</v>
      </c>
      <c r="I103" s="123">
        <f t="shared" si="41"/>
        <v>9.6</v>
      </c>
      <c r="J103" s="123">
        <f t="shared" si="41"/>
        <v>9.6</v>
      </c>
      <c r="K103" s="123">
        <f t="shared" si="41"/>
        <v>9.6</v>
      </c>
      <c r="L103" s="123">
        <f t="shared" si="41"/>
        <v>9.6</v>
      </c>
      <c r="M103" s="123">
        <f t="shared" si="41"/>
        <v>9.6</v>
      </c>
      <c r="N103" s="123">
        <f t="shared" si="41"/>
        <v>9.6</v>
      </c>
      <c r="O103" s="123">
        <f t="shared" si="41"/>
        <v>9.6</v>
      </c>
      <c r="P103" s="123">
        <f t="shared" si="41"/>
        <v>9.6</v>
      </c>
      <c r="Q103" s="123">
        <f t="shared" si="41"/>
        <v>9.6</v>
      </c>
      <c r="R103" s="123">
        <f t="shared" si="41"/>
        <v>9.6</v>
      </c>
      <c r="S103" s="123">
        <f t="shared" si="41"/>
        <v>9.6</v>
      </c>
      <c r="T103" s="123">
        <f t="shared" si="42"/>
        <v>9.6</v>
      </c>
      <c r="U103" s="123">
        <f t="shared" si="42"/>
        <v>9.6</v>
      </c>
      <c r="V103" s="123">
        <f t="shared" si="42"/>
        <v>9.6</v>
      </c>
      <c r="W103" s="123">
        <f t="shared" si="42"/>
        <v>9.6</v>
      </c>
      <c r="X103" s="123">
        <f t="shared" si="42"/>
        <v>9.6</v>
      </c>
      <c r="Y103" s="123">
        <f t="shared" si="42"/>
        <v>9.6</v>
      </c>
      <c r="Z103" s="123">
        <f t="shared" si="42"/>
        <v>9.6</v>
      </c>
      <c r="AA103" s="123">
        <f t="shared" si="42"/>
        <v>9.6</v>
      </c>
      <c r="AB103" s="123">
        <f t="shared" si="42"/>
        <v>9.6</v>
      </c>
      <c r="AC103" s="123">
        <f t="shared" si="42"/>
        <v>9.6</v>
      </c>
      <c r="AD103" s="123">
        <f t="shared" si="42"/>
        <v>9.6</v>
      </c>
      <c r="AE103" s="123">
        <f t="shared" si="42"/>
        <v>9.6</v>
      </c>
      <c r="AF103" s="123">
        <f t="shared" si="42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40"/>
        <v>9.98</v>
      </c>
      <c r="C104" s="124">
        <v>9.98</v>
      </c>
      <c r="D104" s="123">
        <f t="shared" si="41"/>
        <v>9.98</v>
      </c>
      <c r="E104" s="123">
        <f t="shared" si="41"/>
        <v>9.98</v>
      </c>
      <c r="F104" s="123">
        <f t="shared" si="41"/>
        <v>9.98</v>
      </c>
      <c r="G104" s="123">
        <f t="shared" si="41"/>
        <v>9.98</v>
      </c>
      <c r="H104" s="123">
        <f t="shared" si="41"/>
        <v>9.98</v>
      </c>
      <c r="I104" s="123">
        <f t="shared" si="41"/>
        <v>9.98</v>
      </c>
      <c r="J104" s="123">
        <f t="shared" si="41"/>
        <v>9.98</v>
      </c>
      <c r="K104" s="123">
        <f t="shared" si="41"/>
        <v>9.98</v>
      </c>
      <c r="L104" s="123">
        <f t="shared" si="41"/>
        <v>9.98</v>
      </c>
      <c r="M104" s="123">
        <f t="shared" si="41"/>
        <v>9.98</v>
      </c>
      <c r="N104" s="123">
        <f t="shared" si="41"/>
        <v>9.98</v>
      </c>
      <c r="O104" s="123">
        <f t="shared" si="41"/>
        <v>9.98</v>
      </c>
      <c r="P104" s="123">
        <f t="shared" si="41"/>
        <v>9.98</v>
      </c>
      <c r="Q104" s="123">
        <f t="shared" si="41"/>
        <v>9.98</v>
      </c>
      <c r="R104" s="123">
        <f t="shared" si="41"/>
        <v>9.98</v>
      </c>
      <c r="S104" s="123">
        <f t="shared" si="41"/>
        <v>9.98</v>
      </c>
      <c r="T104" s="123">
        <f t="shared" si="42"/>
        <v>9.98</v>
      </c>
      <c r="U104" s="123">
        <f t="shared" si="42"/>
        <v>9.98</v>
      </c>
      <c r="V104" s="123">
        <f t="shared" si="42"/>
        <v>9.98</v>
      </c>
      <c r="W104" s="123">
        <f t="shared" si="42"/>
        <v>9.98</v>
      </c>
      <c r="X104" s="123">
        <f t="shared" si="42"/>
        <v>9.98</v>
      </c>
      <c r="Y104" s="123">
        <f t="shared" si="42"/>
        <v>9.98</v>
      </c>
      <c r="Z104" s="123">
        <f t="shared" si="42"/>
        <v>9.98</v>
      </c>
      <c r="AA104" s="123">
        <f t="shared" si="42"/>
        <v>9.98</v>
      </c>
      <c r="AB104" s="123">
        <f t="shared" si="42"/>
        <v>9.98</v>
      </c>
      <c r="AC104" s="123">
        <f t="shared" si="42"/>
        <v>9.98</v>
      </c>
      <c r="AD104" s="123">
        <f t="shared" si="42"/>
        <v>9.98</v>
      </c>
      <c r="AE104" s="123">
        <f t="shared" si="42"/>
        <v>9.98</v>
      </c>
      <c r="AF104" s="123">
        <f t="shared" si="42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40"/>
        <v>9.1</v>
      </c>
      <c r="C105" s="124">
        <v>9.1</v>
      </c>
      <c r="D105" s="123">
        <f t="shared" si="41"/>
        <v>9.1</v>
      </c>
      <c r="E105" s="123">
        <f t="shared" si="41"/>
        <v>9.1</v>
      </c>
      <c r="F105" s="123">
        <f t="shared" si="41"/>
        <v>9.1</v>
      </c>
      <c r="G105" s="123">
        <f t="shared" si="41"/>
        <v>9.1</v>
      </c>
      <c r="H105" s="123">
        <f t="shared" si="41"/>
        <v>9.1</v>
      </c>
      <c r="I105" s="123">
        <f t="shared" si="41"/>
        <v>9.1</v>
      </c>
      <c r="J105" s="123">
        <f t="shared" si="41"/>
        <v>9.1</v>
      </c>
      <c r="K105" s="123">
        <f t="shared" si="41"/>
        <v>9.1</v>
      </c>
      <c r="L105" s="123">
        <f t="shared" si="41"/>
        <v>9.1</v>
      </c>
      <c r="M105" s="123">
        <f t="shared" si="41"/>
        <v>9.1</v>
      </c>
      <c r="N105" s="123">
        <f t="shared" si="41"/>
        <v>9.1</v>
      </c>
      <c r="O105" s="123">
        <f t="shared" si="41"/>
        <v>9.1</v>
      </c>
      <c r="P105" s="123">
        <f t="shared" si="41"/>
        <v>9.1</v>
      </c>
      <c r="Q105" s="123">
        <f t="shared" si="41"/>
        <v>9.1</v>
      </c>
      <c r="R105" s="123">
        <f t="shared" si="41"/>
        <v>9.1</v>
      </c>
      <c r="S105" s="123">
        <f t="shared" si="41"/>
        <v>9.1</v>
      </c>
      <c r="T105" s="123">
        <f t="shared" si="42"/>
        <v>9.1</v>
      </c>
      <c r="U105" s="123">
        <f t="shared" si="42"/>
        <v>9.1</v>
      </c>
      <c r="V105" s="123">
        <f t="shared" si="42"/>
        <v>9.1</v>
      </c>
      <c r="W105" s="123">
        <f t="shared" si="42"/>
        <v>9.1</v>
      </c>
      <c r="X105" s="123">
        <f t="shared" si="42"/>
        <v>9.1</v>
      </c>
      <c r="Y105" s="123">
        <f t="shared" si="42"/>
        <v>9.1</v>
      </c>
      <c r="Z105" s="123">
        <f t="shared" si="42"/>
        <v>9.1</v>
      </c>
      <c r="AA105" s="123">
        <f t="shared" si="42"/>
        <v>9.1</v>
      </c>
      <c r="AB105" s="123">
        <f t="shared" si="42"/>
        <v>9.1</v>
      </c>
      <c r="AC105" s="123">
        <f t="shared" si="42"/>
        <v>9.1</v>
      </c>
      <c r="AD105" s="123">
        <f t="shared" si="42"/>
        <v>9.1</v>
      </c>
      <c r="AE105" s="123">
        <f t="shared" si="42"/>
        <v>9.1</v>
      </c>
      <c r="AF105" s="123">
        <f t="shared" si="42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40"/>
        <v>9.18</v>
      </c>
      <c r="C106" s="124">
        <v>9.18</v>
      </c>
      <c r="D106" s="123">
        <f t="shared" si="41"/>
        <v>9.18</v>
      </c>
      <c r="E106" s="123">
        <f t="shared" si="41"/>
        <v>9.18</v>
      </c>
      <c r="F106" s="123">
        <f t="shared" si="41"/>
        <v>9.18</v>
      </c>
      <c r="G106" s="123">
        <f t="shared" si="41"/>
        <v>9.18</v>
      </c>
      <c r="H106" s="123">
        <f t="shared" si="41"/>
        <v>9.18</v>
      </c>
      <c r="I106" s="123">
        <f t="shared" si="41"/>
        <v>9.18</v>
      </c>
      <c r="J106" s="123">
        <f t="shared" si="41"/>
        <v>9.18</v>
      </c>
      <c r="K106" s="123">
        <f t="shared" si="41"/>
        <v>9.18</v>
      </c>
      <c r="L106" s="123">
        <f t="shared" si="41"/>
        <v>9.18</v>
      </c>
      <c r="M106" s="123">
        <f t="shared" si="41"/>
        <v>9.18</v>
      </c>
      <c r="N106" s="123">
        <f t="shared" si="41"/>
        <v>9.18</v>
      </c>
      <c r="O106" s="123">
        <f t="shared" si="41"/>
        <v>9.18</v>
      </c>
      <c r="P106" s="123">
        <f t="shared" si="41"/>
        <v>9.18</v>
      </c>
      <c r="Q106" s="123">
        <f t="shared" si="41"/>
        <v>9.18</v>
      </c>
      <c r="R106" s="123">
        <f t="shared" si="41"/>
        <v>9.18</v>
      </c>
      <c r="S106" s="123">
        <f t="shared" si="41"/>
        <v>9.18</v>
      </c>
      <c r="T106" s="123">
        <f t="shared" si="42"/>
        <v>9.18</v>
      </c>
      <c r="U106" s="123">
        <f t="shared" si="42"/>
        <v>9.18</v>
      </c>
      <c r="V106" s="123">
        <f t="shared" si="42"/>
        <v>9.18</v>
      </c>
      <c r="W106" s="123">
        <f t="shared" si="42"/>
        <v>9.18</v>
      </c>
      <c r="X106" s="123">
        <f t="shared" si="42"/>
        <v>9.18</v>
      </c>
      <c r="Y106" s="123">
        <f t="shared" si="42"/>
        <v>9.18</v>
      </c>
      <c r="Z106" s="123">
        <f t="shared" si="42"/>
        <v>9.18</v>
      </c>
      <c r="AA106" s="123">
        <f t="shared" si="42"/>
        <v>9.18</v>
      </c>
      <c r="AB106" s="123">
        <f t="shared" si="42"/>
        <v>9.18</v>
      </c>
      <c r="AC106" s="123">
        <f t="shared" si="42"/>
        <v>9.18</v>
      </c>
      <c r="AD106" s="123">
        <f t="shared" si="42"/>
        <v>9.18</v>
      </c>
      <c r="AE106" s="123">
        <f t="shared" si="42"/>
        <v>9.18</v>
      </c>
      <c r="AF106" s="123">
        <f t="shared" si="42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40"/>
        <v>7</v>
      </c>
      <c r="C107" s="124">
        <v>7</v>
      </c>
      <c r="D107" s="123">
        <f t="shared" si="41"/>
        <v>7</v>
      </c>
      <c r="E107" s="123">
        <f t="shared" si="41"/>
        <v>7</v>
      </c>
      <c r="F107" s="123">
        <f t="shared" si="41"/>
        <v>7</v>
      </c>
      <c r="G107" s="123">
        <f t="shared" si="41"/>
        <v>7</v>
      </c>
      <c r="H107" s="123">
        <f t="shared" si="41"/>
        <v>7</v>
      </c>
      <c r="I107" s="123">
        <f t="shared" si="41"/>
        <v>7</v>
      </c>
      <c r="J107" s="123">
        <f t="shared" si="41"/>
        <v>7</v>
      </c>
      <c r="K107" s="123">
        <f t="shared" si="41"/>
        <v>7</v>
      </c>
      <c r="L107" s="123">
        <f t="shared" si="41"/>
        <v>7</v>
      </c>
      <c r="M107" s="123">
        <f t="shared" si="41"/>
        <v>7</v>
      </c>
      <c r="N107" s="123">
        <f t="shared" si="41"/>
        <v>7</v>
      </c>
      <c r="O107" s="123">
        <f t="shared" si="41"/>
        <v>7</v>
      </c>
      <c r="P107" s="123">
        <f t="shared" si="41"/>
        <v>7</v>
      </c>
      <c r="Q107" s="123">
        <f t="shared" si="41"/>
        <v>7</v>
      </c>
      <c r="R107" s="123">
        <f t="shared" si="41"/>
        <v>7</v>
      </c>
      <c r="S107" s="123">
        <f t="shared" si="41"/>
        <v>7</v>
      </c>
      <c r="T107" s="123">
        <f t="shared" si="42"/>
        <v>7</v>
      </c>
      <c r="U107" s="123">
        <f t="shared" si="42"/>
        <v>7</v>
      </c>
      <c r="V107" s="123">
        <f t="shared" si="42"/>
        <v>7</v>
      </c>
      <c r="W107" s="123">
        <f t="shared" si="42"/>
        <v>7</v>
      </c>
      <c r="X107" s="123">
        <f t="shared" si="42"/>
        <v>7</v>
      </c>
      <c r="Y107" s="123">
        <f t="shared" si="42"/>
        <v>7</v>
      </c>
      <c r="Z107" s="123">
        <f t="shared" si="42"/>
        <v>7</v>
      </c>
      <c r="AA107" s="123">
        <f t="shared" si="42"/>
        <v>7</v>
      </c>
      <c r="AB107" s="123">
        <f t="shared" si="42"/>
        <v>7</v>
      </c>
      <c r="AC107" s="123">
        <f t="shared" si="42"/>
        <v>7</v>
      </c>
      <c r="AD107" s="123">
        <f t="shared" si="42"/>
        <v>7</v>
      </c>
      <c r="AE107" s="123">
        <f t="shared" si="42"/>
        <v>7</v>
      </c>
      <c r="AF107" s="123">
        <f t="shared" si="42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43">C109</f>
        <v>2.25</v>
      </c>
      <c r="E109" s="123">
        <f t="shared" si="43"/>
        <v>2.25</v>
      </c>
      <c r="F109" s="123">
        <f t="shared" si="43"/>
        <v>2.25</v>
      </c>
      <c r="G109" s="123">
        <f t="shared" si="43"/>
        <v>2.25</v>
      </c>
      <c r="H109" s="123">
        <f t="shared" si="43"/>
        <v>2.25</v>
      </c>
      <c r="I109" s="123">
        <f t="shared" si="43"/>
        <v>2.25</v>
      </c>
      <c r="J109" s="123">
        <f t="shared" si="43"/>
        <v>2.25</v>
      </c>
      <c r="K109" s="123">
        <f t="shared" si="43"/>
        <v>2.25</v>
      </c>
      <c r="L109" s="123">
        <f t="shared" si="43"/>
        <v>2.25</v>
      </c>
      <c r="M109" s="123">
        <f t="shared" si="43"/>
        <v>2.25</v>
      </c>
      <c r="N109" s="123">
        <f t="shared" si="43"/>
        <v>2.25</v>
      </c>
      <c r="O109" s="123">
        <f t="shared" si="43"/>
        <v>2.25</v>
      </c>
      <c r="P109" s="123">
        <f t="shared" si="43"/>
        <v>2.25</v>
      </c>
      <c r="Q109" s="123">
        <f t="shared" si="43"/>
        <v>2.25</v>
      </c>
      <c r="R109" s="123">
        <f t="shared" si="43"/>
        <v>2.25</v>
      </c>
      <c r="S109" s="123">
        <f t="shared" si="43"/>
        <v>2.25</v>
      </c>
      <c r="T109" s="123">
        <f t="shared" ref="T109:AF110" si="44">S109</f>
        <v>2.25</v>
      </c>
      <c r="U109" s="123">
        <f t="shared" si="44"/>
        <v>2.25</v>
      </c>
      <c r="V109" s="123">
        <f t="shared" si="44"/>
        <v>2.25</v>
      </c>
      <c r="W109" s="123">
        <f t="shared" si="44"/>
        <v>2.25</v>
      </c>
      <c r="X109" s="123">
        <f t="shared" si="44"/>
        <v>2.25</v>
      </c>
      <c r="Y109" s="123">
        <f t="shared" si="44"/>
        <v>2.25</v>
      </c>
      <c r="Z109" s="123">
        <f t="shared" si="44"/>
        <v>2.25</v>
      </c>
      <c r="AA109" s="123">
        <f t="shared" si="44"/>
        <v>2.25</v>
      </c>
      <c r="AB109" s="123">
        <f t="shared" si="44"/>
        <v>2.25</v>
      </c>
      <c r="AC109" s="123">
        <f t="shared" si="44"/>
        <v>2.25</v>
      </c>
      <c r="AD109" s="123">
        <f t="shared" si="44"/>
        <v>2.25</v>
      </c>
      <c r="AE109" s="123">
        <f t="shared" si="44"/>
        <v>2.25</v>
      </c>
      <c r="AF109" s="123">
        <f t="shared" si="44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43"/>
        <v>1.64</v>
      </c>
      <c r="E110" s="123">
        <f t="shared" si="43"/>
        <v>1.64</v>
      </c>
      <c r="F110" s="123">
        <f t="shared" si="43"/>
        <v>1.64</v>
      </c>
      <c r="G110" s="123">
        <f t="shared" si="43"/>
        <v>1.64</v>
      </c>
      <c r="H110" s="123">
        <f t="shared" si="43"/>
        <v>1.64</v>
      </c>
      <c r="I110" s="123">
        <f t="shared" si="43"/>
        <v>1.64</v>
      </c>
      <c r="J110" s="123">
        <f t="shared" si="43"/>
        <v>1.64</v>
      </c>
      <c r="K110" s="123">
        <f t="shared" si="43"/>
        <v>1.64</v>
      </c>
      <c r="L110" s="123">
        <f t="shared" si="43"/>
        <v>1.64</v>
      </c>
      <c r="M110" s="123">
        <f t="shared" si="43"/>
        <v>1.64</v>
      </c>
      <c r="N110" s="123">
        <f t="shared" si="43"/>
        <v>1.64</v>
      </c>
      <c r="O110" s="123">
        <f t="shared" si="43"/>
        <v>1.64</v>
      </c>
      <c r="P110" s="123">
        <f t="shared" si="43"/>
        <v>1.64</v>
      </c>
      <c r="Q110" s="123">
        <f t="shared" si="43"/>
        <v>1.64</v>
      </c>
      <c r="R110" s="123">
        <f t="shared" si="43"/>
        <v>1.64</v>
      </c>
      <c r="S110" s="123">
        <f t="shared" si="43"/>
        <v>1.64</v>
      </c>
      <c r="T110" s="123">
        <f t="shared" si="44"/>
        <v>1.64</v>
      </c>
      <c r="U110" s="123">
        <f t="shared" si="44"/>
        <v>1.64</v>
      </c>
      <c r="V110" s="123">
        <f t="shared" si="44"/>
        <v>1.64</v>
      </c>
      <c r="W110" s="123">
        <f t="shared" si="44"/>
        <v>1.64</v>
      </c>
      <c r="X110" s="123">
        <f t="shared" si="44"/>
        <v>1.64</v>
      </c>
      <c r="Y110" s="123">
        <f t="shared" si="44"/>
        <v>1.64</v>
      </c>
      <c r="Z110" s="123">
        <f t="shared" si="44"/>
        <v>1.64</v>
      </c>
      <c r="AA110" s="123">
        <f t="shared" si="44"/>
        <v>1.64</v>
      </c>
      <c r="AB110" s="123">
        <f t="shared" si="44"/>
        <v>1.64</v>
      </c>
      <c r="AC110" s="123">
        <f t="shared" si="44"/>
        <v>1.64</v>
      </c>
      <c r="AD110" s="123">
        <f t="shared" si="44"/>
        <v>1.64</v>
      </c>
      <c r="AE110" s="123">
        <f t="shared" si="44"/>
        <v>1.64</v>
      </c>
      <c r="AF110" s="123">
        <f t="shared" si="44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45">AF112</f>
        <v>1.62</v>
      </c>
      <c r="C112" s="124">
        <v>1.62</v>
      </c>
      <c r="D112" s="123">
        <f t="shared" ref="D112:S119" si="46">C112</f>
        <v>1.62</v>
      </c>
      <c r="E112" s="123">
        <f t="shared" si="46"/>
        <v>1.62</v>
      </c>
      <c r="F112" s="123">
        <f t="shared" si="46"/>
        <v>1.62</v>
      </c>
      <c r="G112" s="123">
        <f t="shared" si="46"/>
        <v>1.62</v>
      </c>
      <c r="H112" s="123">
        <f t="shared" si="46"/>
        <v>1.62</v>
      </c>
      <c r="I112" s="123">
        <f t="shared" si="46"/>
        <v>1.62</v>
      </c>
      <c r="J112" s="123">
        <f t="shared" si="46"/>
        <v>1.62</v>
      </c>
      <c r="K112" s="123">
        <f t="shared" si="46"/>
        <v>1.62</v>
      </c>
      <c r="L112" s="123">
        <f t="shared" si="46"/>
        <v>1.62</v>
      </c>
      <c r="M112" s="123">
        <f t="shared" si="46"/>
        <v>1.62</v>
      </c>
      <c r="N112" s="123">
        <f t="shared" si="46"/>
        <v>1.62</v>
      </c>
      <c r="O112" s="123">
        <f t="shared" si="46"/>
        <v>1.62</v>
      </c>
      <c r="P112" s="123">
        <f t="shared" si="46"/>
        <v>1.62</v>
      </c>
      <c r="Q112" s="123">
        <f t="shared" si="46"/>
        <v>1.62</v>
      </c>
      <c r="R112" s="123">
        <f t="shared" si="46"/>
        <v>1.62</v>
      </c>
      <c r="S112" s="123">
        <f t="shared" si="46"/>
        <v>1.62</v>
      </c>
      <c r="T112" s="123">
        <f t="shared" ref="T112:AF127" si="47">S112</f>
        <v>1.62</v>
      </c>
      <c r="U112" s="123">
        <f t="shared" si="47"/>
        <v>1.62</v>
      </c>
      <c r="V112" s="123">
        <f t="shared" si="47"/>
        <v>1.62</v>
      </c>
      <c r="W112" s="123">
        <f t="shared" si="47"/>
        <v>1.62</v>
      </c>
      <c r="X112" s="123">
        <f t="shared" si="47"/>
        <v>1.62</v>
      </c>
      <c r="Y112" s="123">
        <f t="shared" si="47"/>
        <v>1.62</v>
      </c>
      <c r="Z112" s="123">
        <f t="shared" si="47"/>
        <v>1.62</v>
      </c>
      <c r="AA112" s="123">
        <f t="shared" si="47"/>
        <v>1.62</v>
      </c>
      <c r="AB112" s="123">
        <f t="shared" si="47"/>
        <v>1.62</v>
      </c>
      <c r="AC112" s="123">
        <f t="shared" si="47"/>
        <v>1.62</v>
      </c>
      <c r="AD112" s="123">
        <f t="shared" si="47"/>
        <v>1.62</v>
      </c>
      <c r="AE112" s="123">
        <f t="shared" si="47"/>
        <v>1.62</v>
      </c>
      <c r="AF112" s="123">
        <f t="shared" si="47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45"/>
        <v>8.36</v>
      </c>
      <c r="C113" s="124">
        <v>8.36</v>
      </c>
      <c r="D113" s="123">
        <f t="shared" si="46"/>
        <v>8.36</v>
      </c>
      <c r="E113" s="123">
        <f t="shared" si="46"/>
        <v>8.36</v>
      </c>
      <c r="F113" s="123">
        <f t="shared" si="46"/>
        <v>8.36</v>
      </c>
      <c r="G113" s="123">
        <f t="shared" si="46"/>
        <v>8.36</v>
      </c>
      <c r="H113" s="123">
        <f t="shared" si="46"/>
        <v>8.36</v>
      </c>
      <c r="I113" s="123">
        <f t="shared" si="46"/>
        <v>8.36</v>
      </c>
      <c r="J113" s="123">
        <f t="shared" si="46"/>
        <v>8.36</v>
      </c>
      <c r="K113" s="123">
        <f t="shared" si="46"/>
        <v>8.36</v>
      </c>
      <c r="L113" s="123">
        <f t="shared" si="46"/>
        <v>8.36</v>
      </c>
      <c r="M113" s="123">
        <f t="shared" si="46"/>
        <v>8.36</v>
      </c>
      <c r="N113" s="123">
        <f t="shared" si="46"/>
        <v>8.36</v>
      </c>
      <c r="O113" s="123">
        <f t="shared" si="46"/>
        <v>8.36</v>
      </c>
      <c r="P113" s="123">
        <f t="shared" si="46"/>
        <v>8.36</v>
      </c>
      <c r="Q113" s="123">
        <f t="shared" si="46"/>
        <v>8.36</v>
      </c>
      <c r="R113" s="123">
        <f t="shared" si="46"/>
        <v>8.36</v>
      </c>
      <c r="S113" s="123">
        <f t="shared" si="46"/>
        <v>8.36</v>
      </c>
      <c r="T113" s="123">
        <f t="shared" si="47"/>
        <v>8.36</v>
      </c>
      <c r="U113" s="123">
        <f t="shared" si="47"/>
        <v>8.36</v>
      </c>
      <c r="V113" s="123">
        <f t="shared" si="47"/>
        <v>8.36</v>
      </c>
      <c r="W113" s="123">
        <f t="shared" si="47"/>
        <v>8.36</v>
      </c>
      <c r="X113" s="123">
        <f t="shared" si="47"/>
        <v>8.36</v>
      </c>
      <c r="Y113" s="123">
        <f t="shared" si="47"/>
        <v>8.36</v>
      </c>
      <c r="Z113" s="123">
        <f t="shared" si="47"/>
        <v>8.36</v>
      </c>
      <c r="AA113" s="123">
        <f t="shared" si="47"/>
        <v>8.36</v>
      </c>
      <c r="AB113" s="123">
        <f t="shared" si="47"/>
        <v>8.36</v>
      </c>
      <c r="AC113" s="123">
        <f t="shared" si="47"/>
        <v>8.36</v>
      </c>
      <c r="AD113" s="123">
        <f t="shared" si="47"/>
        <v>8.36</v>
      </c>
      <c r="AE113" s="123">
        <f t="shared" si="47"/>
        <v>8.36</v>
      </c>
      <c r="AF113" s="123">
        <f t="shared" si="47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45"/>
        <v>5.4</v>
      </c>
      <c r="C114" s="124">
        <v>8</v>
      </c>
      <c r="D114" s="123">
        <f t="shared" si="46"/>
        <v>8</v>
      </c>
      <c r="E114" s="123">
        <f t="shared" si="46"/>
        <v>8</v>
      </c>
      <c r="F114" s="123">
        <f t="shared" si="46"/>
        <v>8</v>
      </c>
      <c r="G114" s="123">
        <f t="shared" si="46"/>
        <v>8</v>
      </c>
      <c r="H114" s="123">
        <f t="shared" si="46"/>
        <v>8</v>
      </c>
      <c r="I114" s="123">
        <f t="shared" si="46"/>
        <v>8</v>
      </c>
      <c r="J114" s="123">
        <v>5.4</v>
      </c>
      <c r="K114" s="123">
        <f t="shared" si="46"/>
        <v>5.4</v>
      </c>
      <c r="L114" s="123">
        <f t="shared" si="46"/>
        <v>5.4</v>
      </c>
      <c r="M114" s="123">
        <f t="shared" si="46"/>
        <v>5.4</v>
      </c>
      <c r="N114" s="123">
        <f t="shared" si="46"/>
        <v>5.4</v>
      </c>
      <c r="O114" s="123">
        <f t="shared" si="46"/>
        <v>5.4</v>
      </c>
      <c r="P114" s="123">
        <f t="shared" si="46"/>
        <v>5.4</v>
      </c>
      <c r="Q114" s="123">
        <f t="shared" si="46"/>
        <v>5.4</v>
      </c>
      <c r="R114" s="123">
        <f t="shared" si="46"/>
        <v>5.4</v>
      </c>
      <c r="S114" s="123">
        <f t="shared" si="46"/>
        <v>5.4</v>
      </c>
      <c r="T114" s="123">
        <f t="shared" si="47"/>
        <v>5.4</v>
      </c>
      <c r="U114" s="123">
        <f t="shared" si="47"/>
        <v>5.4</v>
      </c>
      <c r="V114" s="123">
        <f t="shared" si="47"/>
        <v>5.4</v>
      </c>
      <c r="W114" s="123">
        <f t="shared" si="47"/>
        <v>5.4</v>
      </c>
      <c r="X114" s="123">
        <f t="shared" si="47"/>
        <v>5.4</v>
      </c>
      <c r="Y114" s="123">
        <f t="shared" si="47"/>
        <v>5.4</v>
      </c>
      <c r="Z114" s="123">
        <f t="shared" si="47"/>
        <v>5.4</v>
      </c>
      <c r="AA114" s="123">
        <f t="shared" si="47"/>
        <v>5.4</v>
      </c>
      <c r="AB114" s="123">
        <f t="shared" si="47"/>
        <v>5.4</v>
      </c>
      <c r="AC114" s="123">
        <f t="shared" si="47"/>
        <v>5.4</v>
      </c>
      <c r="AD114" s="123">
        <f t="shared" si="47"/>
        <v>5.4</v>
      </c>
      <c r="AE114" s="123">
        <f t="shared" si="47"/>
        <v>5.4</v>
      </c>
      <c r="AF114" s="123">
        <f t="shared" si="47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45"/>
        <v>6.57</v>
      </c>
      <c r="C115" s="124">
        <v>6.57</v>
      </c>
      <c r="D115" s="123">
        <f t="shared" si="46"/>
        <v>6.57</v>
      </c>
      <c r="E115" s="123">
        <f t="shared" si="46"/>
        <v>6.57</v>
      </c>
      <c r="F115" s="123">
        <f t="shared" si="46"/>
        <v>6.57</v>
      </c>
      <c r="G115" s="123">
        <f t="shared" si="46"/>
        <v>6.57</v>
      </c>
      <c r="H115" s="123">
        <f t="shared" si="46"/>
        <v>6.57</v>
      </c>
      <c r="I115" s="123">
        <f t="shared" si="46"/>
        <v>6.57</v>
      </c>
      <c r="J115" s="123">
        <f t="shared" si="46"/>
        <v>6.57</v>
      </c>
      <c r="K115" s="123">
        <f t="shared" si="46"/>
        <v>6.57</v>
      </c>
      <c r="L115" s="123">
        <f t="shared" si="46"/>
        <v>6.57</v>
      </c>
      <c r="M115" s="123">
        <f t="shared" si="46"/>
        <v>6.57</v>
      </c>
      <c r="N115" s="123">
        <f t="shared" si="46"/>
        <v>6.57</v>
      </c>
      <c r="O115" s="123">
        <f t="shared" si="46"/>
        <v>6.57</v>
      </c>
      <c r="P115" s="123">
        <f t="shared" si="46"/>
        <v>6.57</v>
      </c>
      <c r="Q115" s="123">
        <f t="shared" si="46"/>
        <v>6.57</v>
      </c>
      <c r="R115" s="123">
        <f t="shared" si="46"/>
        <v>6.57</v>
      </c>
      <c r="S115" s="123">
        <f t="shared" si="46"/>
        <v>6.57</v>
      </c>
      <c r="T115" s="123">
        <f t="shared" si="47"/>
        <v>6.57</v>
      </c>
      <c r="U115" s="123">
        <f t="shared" si="47"/>
        <v>6.57</v>
      </c>
      <c r="V115" s="123">
        <f t="shared" si="47"/>
        <v>6.57</v>
      </c>
      <c r="W115" s="123">
        <f t="shared" si="47"/>
        <v>6.57</v>
      </c>
      <c r="X115" s="123">
        <f t="shared" si="47"/>
        <v>6.57</v>
      </c>
      <c r="Y115" s="123">
        <f t="shared" si="47"/>
        <v>6.57</v>
      </c>
      <c r="Z115" s="123">
        <f t="shared" si="47"/>
        <v>6.57</v>
      </c>
      <c r="AA115" s="123">
        <f t="shared" si="47"/>
        <v>6.57</v>
      </c>
      <c r="AB115" s="123">
        <f t="shared" si="47"/>
        <v>6.57</v>
      </c>
      <c r="AC115" s="123">
        <f t="shared" si="47"/>
        <v>6.57</v>
      </c>
      <c r="AD115" s="123">
        <f t="shared" si="47"/>
        <v>6.57</v>
      </c>
      <c r="AE115" s="123">
        <f t="shared" si="47"/>
        <v>6.57</v>
      </c>
      <c r="AF115" s="123">
        <f t="shared" si="47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45"/>
        <v>3.43</v>
      </c>
      <c r="C116" s="124">
        <v>3.43</v>
      </c>
      <c r="D116" s="123">
        <f t="shared" si="46"/>
        <v>3.43</v>
      </c>
      <c r="E116" s="123">
        <f t="shared" si="46"/>
        <v>3.43</v>
      </c>
      <c r="F116" s="123">
        <f t="shared" si="46"/>
        <v>3.43</v>
      </c>
      <c r="G116" s="123">
        <f t="shared" si="46"/>
        <v>3.43</v>
      </c>
      <c r="H116" s="123">
        <f t="shared" si="46"/>
        <v>3.43</v>
      </c>
      <c r="I116" s="123">
        <f t="shared" si="46"/>
        <v>3.43</v>
      </c>
      <c r="J116" s="123">
        <f t="shared" si="46"/>
        <v>3.43</v>
      </c>
      <c r="K116" s="123">
        <f t="shared" si="46"/>
        <v>3.43</v>
      </c>
      <c r="L116" s="123">
        <f t="shared" si="46"/>
        <v>3.43</v>
      </c>
      <c r="M116" s="123">
        <f t="shared" si="46"/>
        <v>3.43</v>
      </c>
      <c r="N116" s="123">
        <f t="shared" si="46"/>
        <v>3.43</v>
      </c>
      <c r="O116" s="123">
        <f t="shared" si="46"/>
        <v>3.43</v>
      </c>
      <c r="P116" s="123">
        <f t="shared" si="46"/>
        <v>3.43</v>
      </c>
      <c r="Q116" s="123">
        <f t="shared" si="46"/>
        <v>3.43</v>
      </c>
      <c r="R116" s="123">
        <f t="shared" si="46"/>
        <v>3.43</v>
      </c>
      <c r="S116" s="123">
        <f t="shared" si="46"/>
        <v>3.43</v>
      </c>
      <c r="T116" s="123">
        <f t="shared" si="47"/>
        <v>3.43</v>
      </c>
      <c r="U116" s="123">
        <f t="shared" si="47"/>
        <v>3.43</v>
      </c>
      <c r="V116" s="123">
        <f t="shared" si="47"/>
        <v>3.43</v>
      </c>
      <c r="W116" s="123">
        <f t="shared" si="47"/>
        <v>3.43</v>
      </c>
      <c r="X116" s="123">
        <f t="shared" si="47"/>
        <v>3.43</v>
      </c>
      <c r="Y116" s="123">
        <f t="shared" si="47"/>
        <v>3.43</v>
      </c>
      <c r="Z116" s="123">
        <f t="shared" si="47"/>
        <v>3.43</v>
      </c>
      <c r="AA116" s="123">
        <f t="shared" si="47"/>
        <v>3.43</v>
      </c>
      <c r="AB116" s="123">
        <f t="shared" si="47"/>
        <v>3.43</v>
      </c>
      <c r="AC116" s="123">
        <f t="shared" si="47"/>
        <v>3.43</v>
      </c>
      <c r="AD116" s="123">
        <f t="shared" si="47"/>
        <v>3.43</v>
      </c>
      <c r="AE116" s="123">
        <f t="shared" si="47"/>
        <v>3.43</v>
      </c>
      <c r="AF116" s="123">
        <f t="shared" si="47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45"/>
        <v>2.96</v>
      </c>
      <c r="C117" s="124">
        <v>2.96</v>
      </c>
      <c r="D117" s="123">
        <f t="shared" si="46"/>
        <v>2.96</v>
      </c>
      <c r="E117" s="123">
        <f t="shared" si="46"/>
        <v>2.96</v>
      </c>
      <c r="F117" s="123">
        <f t="shared" si="46"/>
        <v>2.96</v>
      </c>
      <c r="G117" s="123">
        <f t="shared" si="46"/>
        <v>2.96</v>
      </c>
      <c r="H117" s="123">
        <f t="shared" si="46"/>
        <v>2.96</v>
      </c>
      <c r="I117" s="123">
        <f t="shared" si="46"/>
        <v>2.96</v>
      </c>
      <c r="J117" s="123">
        <f t="shared" si="46"/>
        <v>2.96</v>
      </c>
      <c r="K117" s="123">
        <f t="shared" si="46"/>
        <v>2.96</v>
      </c>
      <c r="L117" s="123">
        <f t="shared" si="46"/>
        <v>2.96</v>
      </c>
      <c r="M117" s="123">
        <f t="shared" si="46"/>
        <v>2.96</v>
      </c>
      <c r="N117" s="123">
        <f t="shared" si="46"/>
        <v>2.96</v>
      </c>
      <c r="O117" s="123">
        <f t="shared" si="46"/>
        <v>2.96</v>
      </c>
      <c r="P117" s="123">
        <f t="shared" si="46"/>
        <v>2.96</v>
      </c>
      <c r="Q117" s="123">
        <f t="shared" si="46"/>
        <v>2.96</v>
      </c>
      <c r="R117" s="123">
        <f t="shared" si="46"/>
        <v>2.96</v>
      </c>
      <c r="S117" s="123">
        <f t="shared" si="46"/>
        <v>2.96</v>
      </c>
      <c r="T117" s="123">
        <f t="shared" si="47"/>
        <v>2.96</v>
      </c>
      <c r="U117" s="123">
        <f t="shared" si="47"/>
        <v>2.96</v>
      </c>
      <c r="V117" s="123">
        <f t="shared" si="47"/>
        <v>2.96</v>
      </c>
      <c r="W117" s="123">
        <f t="shared" si="47"/>
        <v>2.96</v>
      </c>
      <c r="X117" s="123">
        <f t="shared" si="47"/>
        <v>2.96</v>
      </c>
      <c r="Y117" s="123">
        <f t="shared" si="47"/>
        <v>2.96</v>
      </c>
      <c r="Z117" s="123">
        <f t="shared" si="47"/>
        <v>2.96</v>
      </c>
      <c r="AA117" s="123">
        <f t="shared" si="47"/>
        <v>2.96</v>
      </c>
      <c r="AB117" s="123">
        <f t="shared" si="47"/>
        <v>2.96</v>
      </c>
      <c r="AC117" s="123">
        <f t="shared" si="47"/>
        <v>2.96</v>
      </c>
      <c r="AD117" s="123">
        <f t="shared" si="47"/>
        <v>2.96</v>
      </c>
      <c r="AE117" s="123">
        <f t="shared" si="47"/>
        <v>2.96</v>
      </c>
      <c r="AF117" s="123">
        <f t="shared" si="47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45"/>
        <v>8</v>
      </c>
      <c r="C118" s="124">
        <v>8</v>
      </c>
      <c r="D118" s="123">
        <f t="shared" si="46"/>
        <v>8</v>
      </c>
      <c r="E118" s="123">
        <f t="shared" si="46"/>
        <v>8</v>
      </c>
      <c r="F118" s="123">
        <f t="shared" si="46"/>
        <v>8</v>
      </c>
      <c r="G118" s="123">
        <f t="shared" si="46"/>
        <v>8</v>
      </c>
      <c r="H118" s="123">
        <f t="shared" si="46"/>
        <v>8</v>
      </c>
      <c r="I118" s="123">
        <f t="shared" si="46"/>
        <v>8</v>
      </c>
      <c r="J118" s="123">
        <f t="shared" si="46"/>
        <v>8</v>
      </c>
      <c r="K118" s="123">
        <f t="shared" si="46"/>
        <v>8</v>
      </c>
      <c r="L118" s="123">
        <f t="shared" si="46"/>
        <v>8</v>
      </c>
      <c r="M118" s="123">
        <f t="shared" si="46"/>
        <v>8</v>
      </c>
      <c r="N118" s="123">
        <f t="shared" si="46"/>
        <v>8</v>
      </c>
      <c r="O118" s="123">
        <f t="shared" si="46"/>
        <v>8</v>
      </c>
      <c r="P118" s="123">
        <f t="shared" si="46"/>
        <v>8</v>
      </c>
      <c r="Q118" s="123">
        <f t="shared" si="46"/>
        <v>8</v>
      </c>
      <c r="R118" s="123">
        <f t="shared" si="46"/>
        <v>8</v>
      </c>
      <c r="S118" s="123">
        <f t="shared" si="46"/>
        <v>8</v>
      </c>
      <c r="T118" s="123">
        <f t="shared" si="47"/>
        <v>8</v>
      </c>
      <c r="U118" s="123">
        <f t="shared" si="47"/>
        <v>8</v>
      </c>
      <c r="V118" s="123">
        <f t="shared" si="47"/>
        <v>8</v>
      </c>
      <c r="W118" s="123">
        <f t="shared" si="47"/>
        <v>8</v>
      </c>
      <c r="X118" s="123">
        <f t="shared" si="47"/>
        <v>8</v>
      </c>
      <c r="Y118" s="123">
        <f t="shared" si="47"/>
        <v>8</v>
      </c>
      <c r="Z118" s="123">
        <f t="shared" si="47"/>
        <v>8</v>
      </c>
      <c r="AA118" s="123">
        <f t="shared" si="47"/>
        <v>8</v>
      </c>
      <c r="AB118" s="123">
        <f t="shared" si="47"/>
        <v>8</v>
      </c>
      <c r="AC118" s="123">
        <f t="shared" si="47"/>
        <v>8</v>
      </c>
      <c r="AD118" s="123">
        <f t="shared" si="47"/>
        <v>8</v>
      </c>
      <c r="AE118" s="123">
        <f t="shared" si="47"/>
        <v>8</v>
      </c>
      <c r="AF118" s="123">
        <f t="shared" si="47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45"/>
        <v>7</v>
      </c>
      <c r="C119" s="124">
        <v>7</v>
      </c>
      <c r="D119" s="123">
        <f>C119</f>
        <v>7</v>
      </c>
      <c r="E119" s="123">
        <f t="shared" si="46"/>
        <v>7</v>
      </c>
      <c r="F119" s="123">
        <f t="shared" si="46"/>
        <v>7</v>
      </c>
      <c r="G119" s="123">
        <f t="shared" si="46"/>
        <v>7</v>
      </c>
      <c r="H119" s="123">
        <f t="shared" si="46"/>
        <v>7</v>
      </c>
      <c r="I119" s="123">
        <f t="shared" si="46"/>
        <v>7</v>
      </c>
      <c r="J119" s="123">
        <f t="shared" si="46"/>
        <v>7</v>
      </c>
      <c r="K119" s="123">
        <f t="shared" si="46"/>
        <v>7</v>
      </c>
      <c r="L119" s="123">
        <f t="shared" si="46"/>
        <v>7</v>
      </c>
      <c r="M119" s="123">
        <f t="shared" si="46"/>
        <v>7</v>
      </c>
      <c r="N119" s="123">
        <f t="shared" si="46"/>
        <v>7</v>
      </c>
      <c r="O119" s="123">
        <f t="shared" si="46"/>
        <v>7</v>
      </c>
      <c r="P119" s="123">
        <f t="shared" si="46"/>
        <v>7</v>
      </c>
      <c r="Q119" s="123">
        <f t="shared" si="46"/>
        <v>7</v>
      </c>
      <c r="R119" s="123">
        <f t="shared" si="46"/>
        <v>7</v>
      </c>
      <c r="S119" s="123">
        <f t="shared" si="46"/>
        <v>7</v>
      </c>
      <c r="T119" s="123">
        <f t="shared" si="47"/>
        <v>7</v>
      </c>
      <c r="U119" s="123">
        <f t="shared" si="47"/>
        <v>7</v>
      </c>
      <c r="V119" s="123">
        <f t="shared" si="47"/>
        <v>7</v>
      </c>
      <c r="W119" s="123">
        <f t="shared" si="47"/>
        <v>7</v>
      </c>
      <c r="X119" s="123">
        <f t="shared" si="47"/>
        <v>7</v>
      </c>
      <c r="Y119" s="123">
        <f t="shared" si="47"/>
        <v>7</v>
      </c>
      <c r="Z119" s="123">
        <f t="shared" si="47"/>
        <v>7</v>
      </c>
      <c r="AA119" s="123">
        <f t="shared" si="47"/>
        <v>7</v>
      </c>
      <c r="AB119" s="123">
        <f t="shared" si="47"/>
        <v>7</v>
      </c>
      <c r="AC119" s="123">
        <f t="shared" si="47"/>
        <v>7</v>
      </c>
      <c r="AD119" s="123">
        <f t="shared" si="47"/>
        <v>7</v>
      </c>
      <c r="AE119" s="123">
        <f t="shared" si="47"/>
        <v>7</v>
      </c>
      <c r="AF119" s="123">
        <f t="shared" si="47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45"/>
        <v>3.47</v>
      </c>
      <c r="C120" s="124">
        <v>3.47</v>
      </c>
      <c r="D120" s="123">
        <f t="shared" ref="D120:S129" si="48">C120</f>
        <v>3.47</v>
      </c>
      <c r="E120" s="123">
        <f t="shared" si="48"/>
        <v>3.47</v>
      </c>
      <c r="F120" s="123">
        <f t="shared" si="48"/>
        <v>3.47</v>
      </c>
      <c r="G120" s="123">
        <f t="shared" si="48"/>
        <v>3.47</v>
      </c>
      <c r="H120" s="123">
        <f t="shared" si="48"/>
        <v>3.47</v>
      </c>
      <c r="I120" s="123">
        <f t="shared" si="48"/>
        <v>3.47</v>
      </c>
      <c r="J120" s="123">
        <f t="shared" si="48"/>
        <v>3.47</v>
      </c>
      <c r="K120" s="123">
        <f t="shared" si="48"/>
        <v>3.47</v>
      </c>
      <c r="L120" s="123">
        <f t="shared" si="48"/>
        <v>3.47</v>
      </c>
      <c r="M120" s="123">
        <f t="shared" si="48"/>
        <v>3.47</v>
      </c>
      <c r="N120" s="123">
        <f t="shared" si="48"/>
        <v>3.47</v>
      </c>
      <c r="O120" s="123">
        <f t="shared" si="48"/>
        <v>3.47</v>
      </c>
      <c r="P120" s="123">
        <f t="shared" si="48"/>
        <v>3.47</v>
      </c>
      <c r="Q120" s="123">
        <f t="shared" si="48"/>
        <v>3.47</v>
      </c>
      <c r="R120" s="123">
        <f t="shared" si="48"/>
        <v>3.47</v>
      </c>
      <c r="S120" s="123">
        <f t="shared" si="48"/>
        <v>3.47</v>
      </c>
      <c r="T120" s="123">
        <f t="shared" si="47"/>
        <v>3.47</v>
      </c>
      <c r="U120" s="123">
        <f t="shared" si="47"/>
        <v>3.47</v>
      </c>
      <c r="V120" s="123">
        <f t="shared" si="47"/>
        <v>3.47</v>
      </c>
      <c r="W120" s="123">
        <f t="shared" si="47"/>
        <v>3.47</v>
      </c>
      <c r="X120" s="123">
        <f t="shared" si="47"/>
        <v>3.47</v>
      </c>
      <c r="Y120" s="123">
        <f t="shared" si="47"/>
        <v>3.47</v>
      </c>
      <c r="Z120" s="123">
        <f t="shared" si="47"/>
        <v>3.47</v>
      </c>
      <c r="AA120" s="123">
        <f t="shared" si="47"/>
        <v>3.47</v>
      </c>
      <c r="AB120" s="123">
        <f t="shared" si="47"/>
        <v>3.47</v>
      </c>
      <c r="AC120" s="123">
        <f t="shared" si="47"/>
        <v>3.47</v>
      </c>
      <c r="AD120" s="123">
        <f t="shared" si="47"/>
        <v>3.47</v>
      </c>
      <c r="AE120" s="123">
        <f t="shared" si="47"/>
        <v>3.47</v>
      </c>
      <c r="AF120" s="123">
        <f t="shared" si="47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45"/>
        <v>2.1</v>
      </c>
      <c r="C121" s="124">
        <v>2.1</v>
      </c>
      <c r="D121" s="123">
        <f t="shared" si="48"/>
        <v>2.1</v>
      </c>
      <c r="E121" s="123">
        <f t="shared" si="48"/>
        <v>2.1</v>
      </c>
      <c r="F121" s="123">
        <f t="shared" si="48"/>
        <v>2.1</v>
      </c>
      <c r="G121" s="123">
        <f t="shared" si="48"/>
        <v>2.1</v>
      </c>
      <c r="H121" s="123">
        <f t="shared" si="48"/>
        <v>2.1</v>
      </c>
      <c r="I121" s="123">
        <f t="shared" si="48"/>
        <v>2.1</v>
      </c>
      <c r="J121" s="123">
        <f t="shared" si="48"/>
        <v>2.1</v>
      </c>
      <c r="K121" s="123">
        <f t="shared" si="48"/>
        <v>2.1</v>
      </c>
      <c r="L121" s="123">
        <f t="shared" si="48"/>
        <v>2.1</v>
      </c>
      <c r="M121" s="123">
        <f t="shared" si="48"/>
        <v>2.1</v>
      </c>
      <c r="N121" s="123">
        <f t="shared" si="48"/>
        <v>2.1</v>
      </c>
      <c r="O121" s="123">
        <f t="shared" si="48"/>
        <v>2.1</v>
      </c>
      <c r="P121" s="123">
        <f t="shared" si="48"/>
        <v>2.1</v>
      </c>
      <c r="Q121" s="123">
        <f t="shared" si="48"/>
        <v>2.1</v>
      </c>
      <c r="R121" s="123">
        <f t="shared" si="48"/>
        <v>2.1</v>
      </c>
      <c r="S121" s="123">
        <f t="shared" si="48"/>
        <v>2.1</v>
      </c>
      <c r="T121" s="123">
        <f t="shared" si="47"/>
        <v>2.1</v>
      </c>
      <c r="U121" s="123">
        <f t="shared" si="47"/>
        <v>2.1</v>
      </c>
      <c r="V121" s="123">
        <f t="shared" si="47"/>
        <v>2.1</v>
      </c>
      <c r="W121" s="123">
        <f t="shared" si="47"/>
        <v>2.1</v>
      </c>
      <c r="X121" s="123">
        <f t="shared" si="47"/>
        <v>2.1</v>
      </c>
      <c r="Y121" s="123">
        <f t="shared" si="47"/>
        <v>2.1</v>
      </c>
      <c r="Z121" s="123">
        <f t="shared" si="47"/>
        <v>2.1</v>
      </c>
      <c r="AA121" s="123">
        <f t="shared" si="47"/>
        <v>2.1</v>
      </c>
      <c r="AB121" s="123">
        <f t="shared" si="47"/>
        <v>2.1</v>
      </c>
      <c r="AC121" s="123">
        <f t="shared" si="47"/>
        <v>2.1</v>
      </c>
      <c r="AD121" s="123">
        <f t="shared" si="47"/>
        <v>2.1</v>
      </c>
      <c r="AE121" s="123">
        <f t="shared" si="47"/>
        <v>2.1</v>
      </c>
      <c r="AF121" s="123">
        <f t="shared" si="47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45"/>
        <v>9.3000000000000007</v>
      </c>
      <c r="C122" s="124">
        <v>9.3000000000000007</v>
      </c>
      <c r="D122" s="123">
        <f t="shared" si="48"/>
        <v>9.3000000000000007</v>
      </c>
      <c r="E122" s="123">
        <f t="shared" si="48"/>
        <v>9.3000000000000007</v>
      </c>
      <c r="F122" s="123">
        <f t="shared" si="48"/>
        <v>9.3000000000000007</v>
      </c>
      <c r="G122" s="123">
        <f t="shared" si="48"/>
        <v>9.3000000000000007</v>
      </c>
      <c r="H122" s="123">
        <f t="shared" si="48"/>
        <v>9.3000000000000007</v>
      </c>
      <c r="I122" s="123">
        <f t="shared" si="48"/>
        <v>9.3000000000000007</v>
      </c>
      <c r="J122" s="123">
        <f t="shared" si="48"/>
        <v>9.3000000000000007</v>
      </c>
      <c r="K122" s="123">
        <f t="shared" si="48"/>
        <v>9.3000000000000007</v>
      </c>
      <c r="L122" s="123">
        <f t="shared" si="48"/>
        <v>9.3000000000000007</v>
      </c>
      <c r="M122" s="123">
        <f t="shared" si="48"/>
        <v>9.3000000000000007</v>
      </c>
      <c r="N122" s="123">
        <f t="shared" si="48"/>
        <v>9.3000000000000007</v>
      </c>
      <c r="O122" s="123">
        <f t="shared" si="48"/>
        <v>9.3000000000000007</v>
      </c>
      <c r="P122" s="123">
        <f t="shared" si="48"/>
        <v>9.3000000000000007</v>
      </c>
      <c r="Q122" s="123">
        <f t="shared" si="48"/>
        <v>9.3000000000000007</v>
      </c>
      <c r="R122" s="123">
        <f t="shared" si="48"/>
        <v>9.3000000000000007</v>
      </c>
      <c r="S122" s="123">
        <f t="shared" si="48"/>
        <v>9.3000000000000007</v>
      </c>
      <c r="T122" s="123">
        <f t="shared" si="47"/>
        <v>9.3000000000000007</v>
      </c>
      <c r="U122" s="123">
        <f t="shared" si="47"/>
        <v>9.3000000000000007</v>
      </c>
      <c r="V122" s="123">
        <f t="shared" si="47"/>
        <v>9.3000000000000007</v>
      </c>
      <c r="W122" s="123">
        <f t="shared" si="47"/>
        <v>9.3000000000000007</v>
      </c>
      <c r="X122" s="123">
        <f t="shared" si="47"/>
        <v>9.3000000000000007</v>
      </c>
      <c r="Y122" s="123">
        <f t="shared" si="47"/>
        <v>9.3000000000000007</v>
      </c>
      <c r="Z122" s="123">
        <f t="shared" si="47"/>
        <v>9.3000000000000007</v>
      </c>
      <c r="AA122" s="123">
        <f t="shared" si="47"/>
        <v>9.3000000000000007</v>
      </c>
      <c r="AB122" s="123">
        <f t="shared" si="47"/>
        <v>9.3000000000000007</v>
      </c>
      <c r="AC122" s="123">
        <f t="shared" si="47"/>
        <v>9.3000000000000007</v>
      </c>
      <c r="AD122" s="123">
        <f t="shared" si="47"/>
        <v>9.3000000000000007</v>
      </c>
      <c r="AE122" s="123">
        <f t="shared" si="47"/>
        <v>9.3000000000000007</v>
      </c>
      <c r="AF122" s="123">
        <f t="shared" si="47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45"/>
        <v>0</v>
      </c>
      <c r="C123" s="124">
        <v>0</v>
      </c>
      <c r="D123" s="123">
        <f t="shared" si="48"/>
        <v>0</v>
      </c>
      <c r="E123" s="123">
        <f t="shared" si="48"/>
        <v>0</v>
      </c>
      <c r="F123" s="123">
        <f t="shared" si="48"/>
        <v>0</v>
      </c>
      <c r="G123" s="123">
        <f t="shared" si="48"/>
        <v>0</v>
      </c>
      <c r="H123" s="123">
        <f t="shared" si="48"/>
        <v>0</v>
      </c>
      <c r="I123" s="123">
        <f t="shared" si="48"/>
        <v>0</v>
      </c>
      <c r="J123" s="123">
        <f t="shared" si="48"/>
        <v>0</v>
      </c>
      <c r="K123" s="123">
        <f t="shared" si="48"/>
        <v>0</v>
      </c>
      <c r="L123" s="123">
        <f t="shared" si="48"/>
        <v>0</v>
      </c>
      <c r="M123" s="123">
        <f t="shared" si="48"/>
        <v>0</v>
      </c>
      <c r="N123" s="123">
        <f t="shared" si="48"/>
        <v>0</v>
      </c>
      <c r="O123" s="123">
        <f t="shared" si="48"/>
        <v>0</v>
      </c>
      <c r="P123" s="123">
        <f t="shared" si="48"/>
        <v>0</v>
      </c>
      <c r="Q123" s="123">
        <f t="shared" si="48"/>
        <v>0</v>
      </c>
      <c r="R123" s="123">
        <f t="shared" si="48"/>
        <v>0</v>
      </c>
      <c r="S123" s="123">
        <f t="shared" si="48"/>
        <v>0</v>
      </c>
      <c r="T123" s="123">
        <f t="shared" si="47"/>
        <v>0</v>
      </c>
      <c r="U123" s="123">
        <f t="shared" si="47"/>
        <v>0</v>
      </c>
      <c r="V123" s="123">
        <f t="shared" si="47"/>
        <v>0</v>
      </c>
      <c r="W123" s="123">
        <f t="shared" si="47"/>
        <v>0</v>
      </c>
      <c r="X123" s="123">
        <f t="shared" si="47"/>
        <v>0</v>
      </c>
      <c r="Y123" s="123">
        <f t="shared" si="47"/>
        <v>0</v>
      </c>
      <c r="Z123" s="123">
        <f t="shared" si="47"/>
        <v>0</v>
      </c>
      <c r="AA123" s="123">
        <f t="shared" si="47"/>
        <v>0</v>
      </c>
      <c r="AB123" s="123">
        <f t="shared" si="47"/>
        <v>0</v>
      </c>
      <c r="AC123" s="123">
        <f t="shared" si="47"/>
        <v>0</v>
      </c>
      <c r="AD123" s="123">
        <f t="shared" si="47"/>
        <v>0</v>
      </c>
      <c r="AE123" s="123">
        <f t="shared" si="47"/>
        <v>0</v>
      </c>
      <c r="AF123" s="123">
        <f t="shared" si="47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45"/>
        <v>0</v>
      </c>
      <c r="C124" s="124">
        <v>0</v>
      </c>
      <c r="D124" s="123">
        <f t="shared" si="48"/>
        <v>0</v>
      </c>
      <c r="E124" s="123">
        <f t="shared" si="48"/>
        <v>0</v>
      </c>
      <c r="F124" s="123">
        <f t="shared" si="48"/>
        <v>0</v>
      </c>
      <c r="G124" s="123">
        <f t="shared" si="48"/>
        <v>0</v>
      </c>
      <c r="H124" s="123">
        <f t="shared" si="48"/>
        <v>0</v>
      </c>
      <c r="I124" s="123">
        <f t="shared" si="48"/>
        <v>0</v>
      </c>
      <c r="J124" s="123">
        <f t="shared" si="48"/>
        <v>0</v>
      </c>
      <c r="K124" s="123">
        <f t="shared" si="48"/>
        <v>0</v>
      </c>
      <c r="L124" s="123">
        <f t="shared" si="48"/>
        <v>0</v>
      </c>
      <c r="M124" s="123">
        <f t="shared" si="48"/>
        <v>0</v>
      </c>
      <c r="N124" s="123">
        <f t="shared" si="48"/>
        <v>0</v>
      </c>
      <c r="O124" s="123">
        <f t="shared" si="48"/>
        <v>0</v>
      </c>
      <c r="P124" s="123">
        <f t="shared" si="48"/>
        <v>0</v>
      </c>
      <c r="Q124" s="123">
        <f t="shared" si="48"/>
        <v>0</v>
      </c>
      <c r="R124" s="123">
        <f t="shared" si="48"/>
        <v>0</v>
      </c>
      <c r="S124" s="123">
        <f t="shared" si="48"/>
        <v>0</v>
      </c>
      <c r="T124" s="123">
        <f t="shared" si="47"/>
        <v>0</v>
      </c>
      <c r="U124" s="123">
        <f t="shared" si="47"/>
        <v>0</v>
      </c>
      <c r="V124" s="123">
        <f t="shared" si="47"/>
        <v>0</v>
      </c>
      <c r="W124" s="123">
        <f t="shared" si="47"/>
        <v>0</v>
      </c>
      <c r="X124" s="123">
        <f t="shared" si="47"/>
        <v>0</v>
      </c>
      <c r="Y124" s="123">
        <f t="shared" si="47"/>
        <v>0</v>
      </c>
      <c r="Z124" s="123">
        <f t="shared" si="47"/>
        <v>0</v>
      </c>
      <c r="AA124" s="123">
        <f t="shared" si="47"/>
        <v>0</v>
      </c>
      <c r="AB124" s="123">
        <f t="shared" si="47"/>
        <v>0</v>
      </c>
      <c r="AC124" s="123">
        <f t="shared" si="47"/>
        <v>0</v>
      </c>
      <c r="AD124" s="123">
        <f t="shared" si="47"/>
        <v>0</v>
      </c>
      <c r="AE124" s="123">
        <f t="shared" si="47"/>
        <v>0</v>
      </c>
      <c r="AF124" s="123">
        <f t="shared" si="47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45"/>
        <v>;/</v>
      </c>
      <c r="C125" s="124">
        <v>5</v>
      </c>
      <c r="D125" s="123">
        <f t="shared" si="48"/>
        <v>5</v>
      </c>
      <c r="E125" s="123">
        <f t="shared" si="48"/>
        <v>5</v>
      </c>
      <c r="F125" s="123">
        <f t="shared" si="48"/>
        <v>5</v>
      </c>
      <c r="G125" s="123">
        <f t="shared" si="48"/>
        <v>5</v>
      </c>
      <c r="H125" s="123">
        <f t="shared" si="48"/>
        <v>5</v>
      </c>
      <c r="I125" s="123" t="s">
        <v>130</v>
      </c>
      <c r="J125" s="123" t="str">
        <f t="shared" si="48"/>
        <v>;/</v>
      </c>
      <c r="K125" s="123" t="str">
        <f t="shared" si="48"/>
        <v>;/</v>
      </c>
      <c r="L125" s="123" t="str">
        <f t="shared" si="48"/>
        <v>;/</v>
      </c>
      <c r="M125" s="123" t="str">
        <f t="shared" si="48"/>
        <v>;/</v>
      </c>
      <c r="N125" s="123" t="str">
        <f t="shared" si="48"/>
        <v>;/</v>
      </c>
      <c r="O125" s="123" t="str">
        <f t="shared" si="48"/>
        <v>;/</v>
      </c>
      <c r="P125" s="123" t="str">
        <f t="shared" si="48"/>
        <v>;/</v>
      </c>
      <c r="Q125" s="123" t="str">
        <f t="shared" si="48"/>
        <v>;/</v>
      </c>
      <c r="R125" s="123" t="str">
        <f t="shared" si="48"/>
        <v>;/</v>
      </c>
      <c r="S125" s="123" t="str">
        <f t="shared" si="48"/>
        <v>;/</v>
      </c>
      <c r="T125" s="123" t="str">
        <f t="shared" si="47"/>
        <v>;/</v>
      </c>
      <c r="U125" s="123" t="str">
        <f t="shared" si="47"/>
        <v>;/</v>
      </c>
      <c r="V125" s="123" t="str">
        <f t="shared" si="47"/>
        <v>;/</v>
      </c>
      <c r="W125" s="123" t="str">
        <f t="shared" si="47"/>
        <v>;/</v>
      </c>
      <c r="X125" s="123" t="str">
        <f t="shared" si="47"/>
        <v>;/</v>
      </c>
      <c r="Y125" s="123" t="str">
        <f t="shared" si="47"/>
        <v>;/</v>
      </c>
      <c r="Z125" s="123" t="str">
        <f t="shared" si="47"/>
        <v>;/</v>
      </c>
      <c r="AA125" s="123" t="str">
        <f t="shared" si="47"/>
        <v>;/</v>
      </c>
      <c r="AB125" s="123" t="str">
        <f t="shared" si="47"/>
        <v>;/</v>
      </c>
      <c r="AC125" s="123" t="str">
        <f t="shared" si="47"/>
        <v>;/</v>
      </c>
      <c r="AD125" s="123" t="str">
        <f t="shared" si="47"/>
        <v>;/</v>
      </c>
      <c r="AE125" s="123" t="str">
        <f t="shared" si="47"/>
        <v>;/</v>
      </c>
      <c r="AF125" s="123" t="str">
        <f t="shared" si="47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45"/>
        <v>1</v>
      </c>
      <c r="C126" s="124">
        <v>1</v>
      </c>
      <c r="D126" s="123">
        <f t="shared" si="48"/>
        <v>1</v>
      </c>
      <c r="E126" s="123">
        <f t="shared" si="48"/>
        <v>1</v>
      </c>
      <c r="F126" s="123">
        <f t="shared" si="48"/>
        <v>1</v>
      </c>
      <c r="G126" s="123">
        <f t="shared" si="48"/>
        <v>1</v>
      </c>
      <c r="H126" s="123">
        <f t="shared" si="48"/>
        <v>1</v>
      </c>
      <c r="I126" s="123">
        <f t="shared" si="48"/>
        <v>1</v>
      </c>
      <c r="J126" s="123">
        <f t="shared" si="48"/>
        <v>1</v>
      </c>
      <c r="K126" s="123">
        <f t="shared" si="48"/>
        <v>1</v>
      </c>
      <c r="L126" s="123">
        <f t="shared" si="48"/>
        <v>1</v>
      </c>
      <c r="M126" s="123">
        <f t="shared" si="48"/>
        <v>1</v>
      </c>
      <c r="N126" s="123">
        <f t="shared" si="48"/>
        <v>1</v>
      </c>
      <c r="O126" s="123">
        <f t="shared" si="48"/>
        <v>1</v>
      </c>
      <c r="P126" s="123">
        <f t="shared" si="48"/>
        <v>1</v>
      </c>
      <c r="Q126" s="123">
        <f t="shared" si="48"/>
        <v>1</v>
      </c>
      <c r="R126" s="123">
        <f t="shared" si="48"/>
        <v>1</v>
      </c>
      <c r="S126" s="123">
        <f t="shared" si="48"/>
        <v>1</v>
      </c>
      <c r="T126" s="123">
        <f t="shared" si="47"/>
        <v>1</v>
      </c>
      <c r="U126" s="123">
        <f t="shared" si="47"/>
        <v>1</v>
      </c>
      <c r="V126" s="123">
        <f t="shared" si="47"/>
        <v>1</v>
      </c>
      <c r="W126" s="123">
        <f t="shared" si="47"/>
        <v>1</v>
      </c>
      <c r="X126" s="123">
        <f t="shared" si="47"/>
        <v>1</v>
      </c>
      <c r="Y126" s="123">
        <f t="shared" si="47"/>
        <v>1</v>
      </c>
      <c r="Z126" s="123">
        <f t="shared" si="47"/>
        <v>1</v>
      </c>
      <c r="AA126" s="123">
        <f t="shared" si="47"/>
        <v>1</v>
      </c>
      <c r="AB126" s="123">
        <f t="shared" si="47"/>
        <v>1</v>
      </c>
      <c r="AC126" s="123">
        <f t="shared" si="47"/>
        <v>1</v>
      </c>
      <c r="AD126" s="123">
        <f t="shared" si="47"/>
        <v>1</v>
      </c>
      <c r="AE126" s="123">
        <f t="shared" si="47"/>
        <v>1</v>
      </c>
      <c r="AF126" s="123">
        <f t="shared" si="47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45"/>
        <v>1.58</v>
      </c>
      <c r="C127" s="124">
        <v>1.58</v>
      </c>
      <c r="D127" s="123">
        <f t="shared" si="48"/>
        <v>1.58</v>
      </c>
      <c r="E127" s="123">
        <f t="shared" si="48"/>
        <v>1.58</v>
      </c>
      <c r="F127" s="123">
        <f t="shared" si="48"/>
        <v>1.58</v>
      </c>
      <c r="G127" s="123">
        <f t="shared" si="48"/>
        <v>1.58</v>
      </c>
      <c r="H127" s="123">
        <f t="shared" si="48"/>
        <v>1.58</v>
      </c>
      <c r="I127" s="123">
        <f t="shared" si="48"/>
        <v>1.58</v>
      </c>
      <c r="J127" s="123">
        <f t="shared" si="48"/>
        <v>1.58</v>
      </c>
      <c r="K127" s="123">
        <f t="shared" si="48"/>
        <v>1.58</v>
      </c>
      <c r="L127" s="123">
        <f t="shared" si="48"/>
        <v>1.58</v>
      </c>
      <c r="M127" s="123">
        <f t="shared" si="48"/>
        <v>1.58</v>
      </c>
      <c r="N127" s="123">
        <f t="shared" si="48"/>
        <v>1.58</v>
      </c>
      <c r="O127" s="123">
        <f t="shared" si="48"/>
        <v>1.58</v>
      </c>
      <c r="P127" s="123">
        <f t="shared" si="48"/>
        <v>1.58</v>
      </c>
      <c r="Q127" s="123">
        <f t="shared" si="48"/>
        <v>1.58</v>
      </c>
      <c r="R127" s="123">
        <f t="shared" si="48"/>
        <v>1.58</v>
      </c>
      <c r="S127" s="123">
        <f t="shared" si="48"/>
        <v>1.58</v>
      </c>
      <c r="T127" s="123">
        <f t="shared" si="47"/>
        <v>1.58</v>
      </c>
      <c r="U127" s="123">
        <f t="shared" si="47"/>
        <v>1.58</v>
      </c>
      <c r="V127" s="123">
        <f t="shared" si="47"/>
        <v>1.58</v>
      </c>
      <c r="W127" s="123">
        <f t="shared" si="47"/>
        <v>1.58</v>
      </c>
      <c r="X127" s="123">
        <f t="shared" si="47"/>
        <v>1.58</v>
      </c>
      <c r="Y127" s="123">
        <f t="shared" si="47"/>
        <v>1.58</v>
      </c>
      <c r="Z127" s="123">
        <f t="shared" si="47"/>
        <v>1.58</v>
      </c>
      <c r="AA127" s="123">
        <f t="shared" si="47"/>
        <v>1.58</v>
      </c>
      <c r="AB127" s="123">
        <f t="shared" si="47"/>
        <v>1.58</v>
      </c>
      <c r="AC127" s="123">
        <f t="shared" si="47"/>
        <v>1.58</v>
      </c>
      <c r="AD127" s="123">
        <f t="shared" si="47"/>
        <v>1.58</v>
      </c>
      <c r="AE127" s="123">
        <f t="shared" si="47"/>
        <v>1.58</v>
      </c>
      <c r="AF127" s="123">
        <f t="shared" si="47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45"/>
        <v>1.46</v>
      </c>
      <c r="C128" s="124">
        <v>1.46</v>
      </c>
      <c r="D128" s="123">
        <f t="shared" si="48"/>
        <v>1.46</v>
      </c>
      <c r="E128" s="123">
        <f t="shared" si="48"/>
        <v>1.46</v>
      </c>
      <c r="F128" s="123">
        <f t="shared" si="48"/>
        <v>1.46</v>
      </c>
      <c r="G128" s="123">
        <f t="shared" si="48"/>
        <v>1.46</v>
      </c>
      <c r="H128" s="123">
        <f t="shared" si="48"/>
        <v>1.46</v>
      </c>
      <c r="I128" s="123">
        <f t="shared" si="48"/>
        <v>1.46</v>
      </c>
      <c r="J128" s="123">
        <f t="shared" si="48"/>
        <v>1.46</v>
      </c>
      <c r="K128" s="123">
        <f t="shared" si="48"/>
        <v>1.46</v>
      </c>
      <c r="L128" s="123">
        <f t="shared" si="48"/>
        <v>1.46</v>
      </c>
      <c r="M128" s="123">
        <f t="shared" si="48"/>
        <v>1.46</v>
      </c>
      <c r="N128" s="123">
        <f t="shared" si="48"/>
        <v>1.46</v>
      </c>
      <c r="O128" s="123">
        <f t="shared" si="48"/>
        <v>1.46</v>
      </c>
      <c r="P128" s="123">
        <f t="shared" si="48"/>
        <v>1.46</v>
      </c>
      <c r="Q128" s="123">
        <f t="shared" si="48"/>
        <v>1.46</v>
      </c>
      <c r="R128" s="123">
        <f t="shared" si="48"/>
        <v>1.46</v>
      </c>
      <c r="S128" s="123">
        <f t="shared" si="48"/>
        <v>1.46</v>
      </c>
      <c r="T128" s="123">
        <f t="shared" ref="T128:AF129" si="49">S128</f>
        <v>1.46</v>
      </c>
      <c r="U128" s="123">
        <f t="shared" si="49"/>
        <v>1.46</v>
      </c>
      <c r="V128" s="123">
        <f t="shared" si="49"/>
        <v>1.46</v>
      </c>
      <c r="W128" s="123">
        <f t="shared" si="49"/>
        <v>1.46</v>
      </c>
      <c r="X128" s="123">
        <f t="shared" si="49"/>
        <v>1.46</v>
      </c>
      <c r="Y128" s="123">
        <f t="shared" si="49"/>
        <v>1.46</v>
      </c>
      <c r="Z128" s="123">
        <f t="shared" si="49"/>
        <v>1.46</v>
      </c>
      <c r="AA128" s="123">
        <f t="shared" si="49"/>
        <v>1.46</v>
      </c>
      <c r="AB128" s="123">
        <f t="shared" si="49"/>
        <v>1.46</v>
      </c>
      <c r="AC128" s="123">
        <f t="shared" si="49"/>
        <v>1.46</v>
      </c>
      <c r="AD128" s="123">
        <f t="shared" si="49"/>
        <v>1.46</v>
      </c>
      <c r="AE128" s="123">
        <f t="shared" si="49"/>
        <v>1.46</v>
      </c>
      <c r="AF128" s="123">
        <f t="shared" si="49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45"/>
        <v>1.48</v>
      </c>
      <c r="C129" s="124">
        <v>1.48</v>
      </c>
      <c r="D129" s="123">
        <f t="shared" si="48"/>
        <v>1.48</v>
      </c>
      <c r="E129" s="123">
        <f t="shared" si="48"/>
        <v>1.48</v>
      </c>
      <c r="F129" s="123">
        <f t="shared" si="48"/>
        <v>1.48</v>
      </c>
      <c r="G129" s="123">
        <f t="shared" si="48"/>
        <v>1.48</v>
      </c>
      <c r="H129" s="123">
        <f t="shared" si="48"/>
        <v>1.48</v>
      </c>
      <c r="I129" s="123">
        <f t="shared" si="48"/>
        <v>1.48</v>
      </c>
      <c r="J129" s="123">
        <f t="shared" si="48"/>
        <v>1.48</v>
      </c>
      <c r="K129" s="123">
        <f t="shared" si="48"/>
        <v>1.48</v>
      </c>
      <c r="L129" s="123">
        <f t="shared" si="48"/>
        <v>1.48</v>
      </c>
      <c r="M129" s="123">
        <f t="shared" si="48"/>
        <v>1.48</v>
      </c>
      <c r="N129" s="123">
        <f t="shared" si="48"/>
        <v>1.48</v>
      </c>
      <c r="O129" s="123">
        <f t="shared" si="48"/>
        <v>1.48</v>
      </c>
      <c r="P129" s="123">
        <f t="shared" si="48"/>
        <v>1.48</v>
      </c>
      <c r="Q129" s="123">
        <f t="shared" si="48"/>
        <v>1.48</v>
      </c>
      <c r="R129" s="123">
        <f t="shared" si="48"/>
        <v>1.48</v>
      </c>
      <c r="S129" s="123">
        <f t="shared" si="48"/>
        <v>1.48</v>
      </c>
      <c r="T129" s="123">
        <f t="shared" si="49"/>
        <v>1.48</v>
      </c>
      <c r="U129" s="123">
        <f t="shared" si="49"/>
        <v>1.48</v>
      </c>
      <c r="V129" s="123">
        <f t="shared" si="49"/>
        <v>1.48</v>
      </c>
      <c r="W129" s="123">
        <f t="shared" si="49"/>
        <v>1.48</v>
      </c>
      <c r="X129" s="123">
        <f t="shared" si="49"/>
        <v>1.48</v>
      </c>
      <c r="Y129" s="123">
        <f t="shared" si="49"/>
        <v>1.48</v>
      </c>
      <c r="Z129" s="123">
        <f t="shared" si="49"/>
        <v>1.48</v>
      </c>
      <c r="AA129" s="123">
        <f t="shared" si="49"/>
        <v>1.48</v>
      </c>
      <c r="AB129" s="123">
        <f t="shared" si="49"/>
        <v>1.48</v>
      </c>
      <c r="AC129" s="123">
        <f t="shared" si="49"/>
        <v>1.48</v>
      </c>
      <c r="AD129" s="123">
        <f t="shared" si="49"/>
        <v>1.48</v>
      </c>
      <c r="AE129" s="123">
        <f t="shared" si="49"/>
        <v>1.48</v>
      </c>
      <c r="AF129" s="123">
        <f t="shared" si="49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50">AF131</f>
        <v>2.2000000000000002</v>
      </c>
      <c r="C131" s="124">
        <v>2.2000000000000002</v>
      </c>
      <c r="D131" s="123">
        <f t="shared" ref="D131:S138" si="51">C131</f>
        <v>2.2000000000000002</v>
      </c>
      <c r="E131" s="123">
        <f t="shared" si="51"/>
        <v>2.2000000000000002</v>
      </c>
      <c r="F131" s="123">
        <f t="shared" si="51"/>
        <v>2.2000000000000002</v>
      </c>
      <c r="G131" s="123">
        <f t="shared" si="51"/>
        <v>2.2000000000000002</v>
      </c>
      <c r="H131" s="123">
        <f t="shared" si="51"/>
        <v>2.2000000000000002</v>
      </c>
      <c r="I131" s="123">
        <f t="shared" si="51"/>
        <v>2.2000000000000002</v>
      </c>
      <c r="J131" s="123">
        <f t="shared" si="51"/>
        <v>2.2000000000000002</v>
      </c>
      <c r="K131" s="123">
        <f t="shared" si="51"/>
        <v>2.2000000000000002</v>
      </c>
      <c r="L131" s="123">
        <f t="shared" si="51"/>
        <v>2.2000000000000002</v>
      </c>
      <c r="M131" s="123">
        <f t="shared" si="51"/>
        <v>2.2000000000000002</v>
      </c>
      <c r="N131" s="123">
        <f t="shared" si="51"/>
        <v>2.2000000000000002</v>
      </c>
      <c r="O131" s="123">
        <f t="shared" si="51"/>
        <v>2.2000000000000002</v>
      </c>
      <c r="P131" s="123">
        <f t="shared" si="51"/>
        <v>2.2000000000000002</v>
      </c>
      <c r="Q131" s="123">
        <f t="shared" si="51"/>
        <v>2.2000000000000002</v>
      </c>
      <c r="R131" s="123">
        <f t="shared" si="51"/>
        <v>2.2000000000000002</v>
      </c>
      <c r="S131" s="123">
        <f t="shared" si="51"/>
        <v>2.2000000000000002</v>
      </c>
      <c r="T131" s="123">
        <f t="shared" ref="T131:AF138" si="52">S131</f>
        <v>2.2000000000000002</v>
      </c>
      <c r="U131" s="123">
        <f t="shared" si="52"/>
        <v>2.2000000000000002</v>
      </c>
      <c r="V131" s="123">
        <f t="shared" si="52"/>
        <v>2.2000000000000002</v>
      </c>
      <c r="W131" s="123">
        <f t="shared" si="52"/>
        <v>2.2000000000000002</v>
      </c>
      <c r="X131" s="123">
        <f t="shared" si="52"/>
        <v>2.2000000000000002</v>
      </c>
      <c r="Y131" s="123">
        <f t="shared" si="52"/>
        <v>2.2000000000000002</v>
      </c>
      <c r="Z131" s="123">
        <f t="shared" si="52"/>
        <v>2.2000000000000002</v>
      </c>
      <c r="AA131" s="123">
        <f t="shared" si="52"/>
        <v>2.2000000000000002</v>
      </c>
      <c r="AB131" s="123">
        <f t="shared" si="52"/>
        <v>2.2000000000000002</v>
      </c>
      <c r="AC131" s="123">
        <f t="shared" si="52"/>
        <v>2.2000000000000002</v>
      </c>
      <c r="AD131" s="123">
        <f t="shared" si="52"/>
        <v>2.2000000000000002</v>
      </c>
      <c r="AE131" s="123">
        <f t="shared" si="52"/>
        <v>2.2000000000000002</v>
      </c>
      <c r="AF131" s="123">
        <f t="shared" si="52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50"/>
        <v>2</v>
      </c>
      <c r="C132" s="124">
        <v>2</v>
      </c>
      <c r="D132" s="123">
        <f t="shared" si="51"/>
        <v>2</v>
      </c>
      <c r="E132" s="123">
        <f t="shared" si="51"/>
        <v>2</v>
      </c>
      <c r="F132" s="123">
        <f t="shared" si="51"/>
        <v>2</v>
      </c>
      <c r="G132" s="123">
        <f t="shared" si="51"/>
        <v>2</v>
      </c>
      <c r="H132" s="123">
        <f t="shared" si="51"/>
        <v>2</v>
      </c>
      <c r="I132" s="123">
        <f t="shared" si="51"/>
        <v>2</v>
      </c>
      <c r="J132" s="123">
        <f t="shared" si="51"/>
        <v>2</v>
      </c>
      <c r="K132" s="123">
        <f t="shared" si="51"/>
        <v>2</v>
      </c>
      <c r="L132" s="123">
        <f t="shared" si="51"/>
        <v>2</v>
      </c>
      <c r="M132" s="123">
        <f t="shared" si="51"/>
        <v>2</v>
      </c>
      <c r="N132" s="123">
        <f t="shared" si="51"/>
        <v>2</v>
      </c>
      <c r="O132" s="123">
        <f t="shared" si="51"/>
        <v>2</v>
      </c>
      <c r="P132" s="123">
        <f t="shared" si="51"/>
        <v>2</v>
      </c>
      <c r="Q132" s="123">
        <f t="shared" si="51"/>
        <v>2</v>
      </c>
      <c r="R132" s="123">
        <f t="shared" si="51"/>
        <v>2</v>
      </c>
      <c r="S132" s="123">
        <f t="shared" si="51"/>
        <v>2</v>
      </c>
      <c r="T132" s="123">
        <f t="shared" si="52"/>
        <v>2</v>
      </c>
      <c r="U132" s="123">
        <f t="shared" si="52"/>
        <v>2</v>
      </c>
      <c r="V132" s="123">
        <f t="shared" si="52"/>
        <v>2</v>
      </c>
      <c r="W132" s="123">
        <f t="shared" si="52"/>
        <v>2</v>
      </c>
      <c r="X132" s="123">
        <f t="shared" si="52"/>
        <v>2</v>
      </c>
      <c r="Y132" s="123">
        <f t="shared" si="52"/>
        <v>2</v>
      </c>
      <c r="Z132" s="123">
        <f t="shared" si="52"/>
        <v>2</v>
      </c>
      <c r="AA132" s="123">
        <f t="shared" si="52"/>
        <v>2</v>
      </c>
      <c r="AB132" s="123">
        <f t="shared" si="52"/>
        <v>2</v>
      </c>
      <c r="AC132" s="123">
        <f t="shared" si="52"/>
        <v>2</v>
      </c>
      <c r="AD132" s="123">
        <f t="shared" si="52"/>
        <v>2</v>
      </c>
      <c r="AE132" s="123">
        <f t="shared" si="52"/>
        <v>2</v>
      </c>
      <c r="AF132" s="123">
        <f t="shared" si="52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50"/>
        <v>1.25</v>
      </c>
      <c r="C133" s="124">
        <v>1.25</v>
      </c>
      <c r="D133" s="123">
        <f t="shared" si="51"/>
        <v>1.25</v>
      </c>
      <c r="E133" s="123">
        <f t="shared" si="51"/>
        <v>1.25</v>
      </c>
      <c r="F133" s="123">
        <f t="shared" si="51"/>
        <v>1.25</v>
      </c>
      <c r="G133" s="123">
        <f t="shared" si="51"/>
        <v>1.25</v>
      </c>
      <c r="H133" s="123">
        <f t="shared" si="51"/>
        <v>1.25</v>
      </c>
      <c r="I133" s="123">
        <f t="shared" si="51"/>
        <v>1.25</v>
      </c>
      <c r="J133" s="123">
        <f t="shared" si="51"/>
        <v>1.25</v>
      </c>
      <c r="K133" s="123">
        <f t="shared" si="51"/>
        <v>1.25</v>
      </c>
      <c r="L133" s="123">
        <f t="shared" si="51"/>
        <v>1.25</v>
      </c>
      <c r="M133" s="123">
        <f t="shared" si="51"/>
        <v>1.25</v>
      </c>
      <c r="N133" s="123">
        <f t="shared" si="51"/>
        <v>1.25</v>
      </c>
      <c r="O133" s="123">
        <f t="shared" si="51"/>
        <v>1.25</v>
      </c>
      <c r="P133" s="123">
        <f t="shared" si="51"/>
        <v>1.25</v>
      </c>
      <c r="Q133" s="123">
        <f t="shared" si="51"/>
        <v>1.25</v>
      </c>
      <c r="R133" s="123">
        <f t="shared" si="51"/>
        <v>1.25</v>
      </c>
      <c r="S133" s="123">
        <f t="shared" si="51"/>
        <v>1.25</v>
      </c>
      <c r="T133" s="123">
        <f t="shared" si="52"/>
        <v>1.25</v>
      </c>
      <c r="U133" s="123">
        <f t="shared" si="52"/>
        <v>1.25</v>
      </c>
      <c r="V133" s="123">
        <f t="shared" si="52"/>
        <v>1.25</v>
      </c>
      <c r="W133" s="123">
        <f t="shared" si="52"/>
        <v>1.25</v>
      </c>
      <c r="X133" s="123">
        <f t="shared" si="52"/>
        <v>1.25</v>
      </c>
      <c r="Y133" s="123">
        <f t="shared" si="52"/>
        <v>1.25</v>
      </c>
      <c r="Z133" s="123">
        <f t="shared" si="52"/>
        <v>1.25</v>
      </c>
      <c r="AA133" s="123">
        <f t="shared" si="52"/>
        <v>1.25</v>
      </c>
      <c r="AB133" s="123">
        <f t="shared" si="52"/>
        <v>1.25</v>
      </c>
      <c r="AC133" s="123">
        <f t="shared" si="52"/>
        <v>1.25</v>
      </c>
      <c r="AD133" s="123">
        <f t="shared" si="52"/>
        <v>1.25</v>
      </c>
      <c r="AE133" s="123">
        <f t="shared" si="52"/>
        <v>1.25</v>
      </c>
      <c r="AF133" s="123">
        <f t="shared" si="52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50"/>
        <v>1.1499999999999999</v>
      </c>
      <c r="C134" s="124">
        <v>1.1499999999999999</v>
      </c>
      <c r="D134" s="123">
        <f t="shared" si="51"/>
        <v>1.1499999999999999</v>
      </c>
      <c r="E134" s="123">
        <f t="shared" si="51"/>
        <v>1.1499999999999999</v>
      </c>
      <c r="F134" s="123">
        <f t="shared" si="51"/>
        <v>1.1499999999999999</v>
      </c>
      <c r="G134" s="123">
        <f t="shared" si="51"/>
        <v>1.1499999999999999</v>
      </c>
      <c r="H134" s="123">
        <f t="shared" si="51"/>
        <v>1.1499999999999999</v>
      </c>
      <c r="I134" s="123">
        <f t="shared" si="51"/>
        <v>1.1499999999999999</v>
      </c>
      <c r="J134" s="123">
        <f t="shared" si="51"/>
        <v>1.1499999999999999</v>
      </c>
      <c r="K134" s="123">
        <f t="shared" si="51"/>
        <v>1.1499999999999999</v>
      </c>
      <c r="L134" s="123">
        <f t="shared" si="51"/>
        <v>1.1499999999999999</v>
      </c>
      <c r="M134" s="123">
        <f t="shared" si="51"/>
        <v>1.1499999999999999</v>
      </c>
      <c r="N134" s="123">
        <f t="shared" si="51"/>
        <v>1.1499999999999999</v>
      </c>
      <c r="O134" s="123">
        <f t="shared" si="51"/>
        <v>1.1499999999999999</v>
      </c>
      <c r="P134" s="123">
        <f t="shared" si="51"/>
        <v>1.1499999999999999</v>
      </c>
      <c r="Q134" s="123">
        <f t="shared" si="51"/>
        <v>1.1499999999999999</v>
      </c>
      <c r="R134" s="123">
        <f t="shared" si="51"/>
        <v>1.1499999999999999</v>
      </c>
      <c r="S134" s="123">
        <f t="shared" si="51"/>
        <v>1.1499999999999999</v>
      </c>
      <c r="T134" s="123">
        <f t="shared" si="52"/>
        <v>1.1499999999999999</v>
      </c>
      <c r="U134" s="123">
        <f t="shared" si="52"/>
        <v>1.1499999999999999</v>
      </c>
      <c r="V134" s="123">
        <f t="shared" si="52"/>
        <v>1.1499999999999999</v>
      </c>
      <c r="W134" s="123">
        <f t="shared" si="52"/>
        <v>1.1499999999999999</v>
      </c>
      <c r="X134" s="123">
        <f t="shared" si="52"/>
        <v>1.1499999999999999</v>
      </c>
      <c r="Y134" s="123">
        <f t="shared" si="52"/>
        <v>1.1499999999999999</v>
      </c>
      <c r="Z134" s="123">
        <f t="shared" si="52"/>
        <v>1.1499999999999999</v>
      </c>
      <c r="AA134" s="123">
        <f t="shared" si="52"/>
        <v>1.1499999999999999</v>
      </c>
      <c r="AB134" s="123">
        <f t="shared" si="52"/>
        <v>1.1499999999999999</v>
      </c>
      <c r="AC134" s="123">
        <f t="shared" si="52"/>
        <v>1.1499999999999999</v>
      </c>
      <c r="AD134" s="123">
        <f t="shared" si="52"/>
        <v>1.1499999999999999</v>
      </c>
      <c r="AE134" s="123">
        <f t="shared" si="52"/>
        <v>1.1499999999999999</v>
      </c>
      <c r="AF134" s="123">
        <f t="shared" si="52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50"/>
        <v>2.133</v>
      </c>
      <c r="C135" s="124">
        <v>2.133</v>
      </c>
      <c r="D135" s="123">
        <f t="shared" si="51"/>
        <v>2.133</v>
      </c>
      <c r="E135" s="123">
        <f t="shared" si="51"/>
        <v>2.133</v>
      </c>
      <c r="F135" s="123">
        <f t="shared" si="51"/>
        <v>2.133</v>
      </c>
      <c r="G135" s="123">
        <f t="shared" si="51"/>
        <v>2.133</v>
      </c>
      <c r="H135" s="123">
        <f t="shared" si="51"/>
        <v>2.133</v>
      </c>
      <c r="I135" s="123">
        <f t="shared" si="51"/>
        <v>2.133</v>
      </c>
      <c r="J135" s="123">
        <f t="shared" si="51"/>
        <v>2.133</v>
      </c>
      <c r="K135" s="123">
        <f t="shared" si="51"/>
        <v>2.133</v>
      </c>
      <c r="L135" s="123">
        <f t="shared" si="51"/>
        <v>2.133</v>
      </c>
      <c r="M135" s="123">
        <f t="shared" si="51"/>
        <v>2.133</v>
      </c>
      <c r="N135" s="123">
        <f t="shared" si="51"/>
        <v>2.133</v>
      </c>
      <c r="O135" s="123">
        <f t="shared" si="51"/>
        <v>2.133</v>
      </c>
      <c r="P135" s="123">
        <f t="shared" si="51"/>
        <v>2.133</v>
      </c>
      <c r="Q135" s="123">
        <f t="shared" si="51"/>
        <v>2.133</v>
      </c>
      <c r="R135" s="123">
        <f t="shared" si="51"/>
        <v>2.133</v>
      </c>
      <c r="S135" s="123">
        <f t="shared" si="51"/>
        <v>2.133</v>
      </c>
      <c r="T135" s="123">
        <f t="shared" si="52"/>
        <v>2.133</v>
      </c>
      <c r="U135" s="123">
        <f t="shared" si="52"/>
        <v>2.133</v>
      </c>
      <c r="V135" s="123">
        <f t="shared" si="52"/>
        <v>2.133</v>
      </c>
      <c r="W135" s="123">
        <f t="shared" si="52"/>
        <v>2.133</v>
      </c>
      <c r="X135" s="123">
        <f t="shared" si="52"/>
        <v>2.133</v>
      </c>
      <c r="Y135" s="123">
        <f t="shared" si="52"/>
        <v>2.133</v>
      </c>
      <c r="Z135" s="123">
        <f t="shared" si="52"/>
        <v>2.133</v>
      </c>
      <c r="AA135" s="123">
        <f t="shared" si="52"/>
        <v>2.133</v>
      </c>
      <c r="AB135" s="123">
        <f t="shared" si="52"/>
        <v>2.133</v>
      </c>
      <c r="AC135" s="123">
        <f t="shared" si="52"/>
        <v>2.133</v>
      </c>
      <c r="AD135" s="123">
        <f t="shared" si="52"/>
        <v>2.133</v>
      </c>
      <c r="AE135" s="123">
        <f t="shared" si="52"/>
        <v>2.133</v>
      </c>
      <c r="AF135" s="123">
        <f t="shared" si="52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50"/>
        <v>2.09</v>
      </c>
      <c r="C136" s="124">
        <v>2.09</v>
      </c>
      <c r="D136" s="123">
        <f t="shared" si="51"/>
        <v>2.09</v>
      </c>
      <c r="E136" s="123">
        <f t="shared" si="51"/>
        <v>2.09</v>
      </c>
      <c r="F136" s="123">
        <f t="shared" si="51"/>
        <v>2.09</v>
      </c>
      <c r="G136" s="123">
        <f t="shared" si="51"/>
        <v>2.09</v>
      </c>
      <c r="H136" s="123">
        <f t="shared" si="51"/>
        <v>2.09</v>
      </c>
      <c r="I136" s="123">
        <f t="shared" si="51"/>
        <v>2.09</v>
      </c>
      <c r="J136" s="123">
        <f t="shared" si="51"/>
        <v>2.09</v>
      </c>
      <c r="K136" s="123">
        <f t="shared" si="51"/>
        <v>2.09</v>
      </c>
      <c r="L136" s="123">
        <f t="shared" si="51"/>
        <v>2.09</v>
      </c>
      <c r="M136" s="123">
        <f t="shared" si="51"/>
        <v>2.09</v>
      </c>
      <c r="N136" s="123">
        <f t="shared" si="51"/>
        <v>2.09</v>
      </c>
      <c r="O136" s="123">
        <f t="shared" si="51"/>
        <v>2.09</v>
      </c>
      <c r="P136" s="123">
        <f t="shared" si="51"/>
        <v>2.09</v>
      </c>
      <c r="Q136" s="123">
        <f t="shared" si="51"/>
        <v>2.09</v>
      </c>
      <c r="R136" s="123">
        <f t="shared" si="51"/>
        <v>2.09</v>
      </c>
      <c r="S136" s="123">
        <f t="shared" si="51"/>
        <v>2.09</v>
      </c>
      <c r="T136" s="123">
        <f t="shared" si="52"/>
        <v>2.09</v>
      </c>
      <c r="U136" s="123">
        <f t="shared" si="52"/>
        <v>2.09</v>
      </c>
      <c r="V136" s="123">
        <f t="shared" si="52"/>
        <v>2.09</v>
      </c>
      <c r="W136" s="123">
        <f t="shared" si="52"/>
        <v>2.09</v>
      </c>
      <c r="X136" s="123">
        <f t="shared" si="52"/>
        <v>2.09</v>
      </c>
      <c r="Y136" s="123">
        <f t="shared" si="52"/>
        <v>2.09</v>
      </c>
      <c r="Z136" s="123">
        <f t="shared" si="52"/>
        <v>2.09</v>
      </c>
      <c r="AA136" s="123">
        <f t="shared" si="52"/>
        <v>2.09</v>
      </c>
      <c r="AB136" s="123">
        <f t="shared" si="52"/>
        <v>2.09</v>
      </c>
      <c r="AC136" s="123">
        <f t="shared" si="52"/>
        <v>2.09</v>
      </c>
      <c r="AD136" s="123">
        <f t="shared" si="52"/>
        <v>2.09</v>
      </c>
      <c r="AE136" s="123">
        <f t="shared" si="52"/>
        <v>2.09</v>
      </c>
      <c r="AF136" s="123">
        <f t="shared" si="52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50"/>
        <v>1.1399999999999999</v>
      </c>
      <c r="C137" s="124">
        <v>1.1399999999999999</v>
      </c>
      <c r="D137" s="123">
        <f t="shared" si="51"/>
        <v>1.1399999999999999</v>
      </c>
      <c r="E137" s="123">
        <f t="shared" si="51"/>
        <v>1.1399999999999999</v>
      </c>
      <c r="F137" s="123">
        <f t="shared" si="51"/>
        <v>1.1399999999999999</v>
      </c>
      <c r="G137" s="123">
        <f t="shared" si="51"/>
        <v>1.1399999999999999</v>
      </c>
      <c r="H137" s="123">
        <f t="shared" si="51"/>
        <v>1.1399999999999999</v>
      </c>
      <c r="I137" s="123">
        <f t="shared" si="51"/>
        <v>1.1399999999999999</v>
      </c>
      <c r="J137" s="123">
        <f t="shared" si="51"/>
        <v>1.1399999999999999</v>
      </c>
      <c r="K137" s="123">
        <f t="shared" si="51"/>
        <v>1.1399999999999999</v>
      </c>
      <c r="L137" s="123">
        <f t="shared" si="51"/>
        <v>1.1399999999999999</v>
      </c>
      <c r="M137" s="123">
        <f t="shared" si="51"/>
        <v>1.1399999999999999</v>
      </c>
      <c r="N137" s="123">
        <f t="shared" si="51"/>
        <v>1.1399999999999999</v>
      </c>
      <c r="O137" s="123">
        <f t="shared" si="51"/>
        <v>1.1399999999999999</v>
      </c>
      <c r="P137" s="123">
        <f t="shared" si="51"/>
        <v>1.1399999999999999</v>
      </c>
      <c r="Q137" s="123">
        <f t="shared" si="51"/>
        <v>1.1399999999999999</v>
      </c>
      <c r="R137" s="123">
        <f t="shared" si="51"/>
        <v>1.1399999999999999</v>
      </c>
      <c r="S137" s="123">
        <f t="shared" si="51"/>
        <v>1.1399999999999999</v>
      </c>
      <c r="T137" s="123">
        <f t="shared" si="52"/>
        <v>1.1399999999999999</v>
      </c>
      <c r="U137" s="123">
        <f t="shared" si="52"/>
        <v>1.1399999999999999</v>
      </c>
      <c r="V137" s="123">
        <f t="shared" si="52"/>
        <v>1.1399999999999999</v>
      </c>
      <c r="W137" s="123">
        <f t="shared" si="52"/>
        <v>1.1399999999999999</v>
      </c>
      <c r="X137" s="123">
        <f t="shared" si="52"/>
        <v>1.1399999999999999</v>
      </c>
      <c r="Y137" s="123">
        <f t="shared" si="52"/>
        <v>1.1399999999999999</v>
      </c>
      <c r="Z137" s="123">
        <f t="shared" si="52"/>
        <v>1.1399999999999999</v>
      </c>
      <c r="AA137" s="123">
        <f t="shared" si="52"/>
        <v>1.1399999999999999</v>
      </c>
      <c r="AB137" s="123">
        <f t="shared" si="52"/>
        <v>1.1399999999999999</v>
      </c>
      <c r="AC137" s="123">
        <f t="shared" si="52"/>
        <v>1.1399999999999999</v>
      </c>
      <c r="AD137" s="123">
        <f t="shared" si="52"/>
        <v>1.1399999999999999</v>
      </c>
      <c r="AE137" s="123">
        <f t="shared" si="52"/>
        <v>1.1399999999999999</v>
      </c>
      <c r="AF137" s="123">
        <f t="shared" si="52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50"/>
        <v>0.82</v>
      </c>
      <c r="C138" s="124">
        <v>0.82</v>
      </c>
      <c r="D138" s="123">
        <f t="shared" si="51"/>
        <v>0.82</v>
      </c>
      <c r="E138" s="123">
        <f t="shared" si="51"/>
        <v>0.82</v>
      </c>
      <c r="F138" s="123">
        <f t="shared" si="51"/>
        <v>0.82</v>
      </c>
      <c r="G138" s="123">
        <f t="shared" si="51"/>
        <v>0.82</v>
      </c>
      <c r="H138" s="123">
        <f t="shared" si="51"/>
        <v>0.82</v>
      </c>
      <c r="I138" s="123">
        <f t="shared" si="51"/>
        <v>0.82</v>
      </c>
      <c r="J138" s="123">
        <f t="shared" si="51"/>
        <v>0.82</v>
      </c>
      <c r="K138" s="123">
        <f t="shared" si="51"/>
        <v>0.82</v>
      </c>
      <c r="L138" s="123">
        <f t="shared" si="51"/>
        <v>0.82</v>
      </c>
      <c r="M138" s="123">
        <f t="shared" si="51"/>
        <v>0.82</v>
      </c>
      <c r="N138" s="123">
        <f t="shared" si="51"/>
        <v>0.82</v>
      </c>
      <c r="O138" s="123">
        <f t="shared" si="51"/>
        <v>0.82</v>
      </c>
      <c r="P138" s="123">
        <f t="shared" si="51"/>
        <v>0.82</v>
      </c>
      <c r="Q138" s="123">
        <f t="shared" si="51"/>
        <v>0.82</v>
      </c>
      <c r="R138" s="123">
        <f t="shared" si="51"/>
        <v>0.82</v>
      </c>
      <c r="S138" s="123">
        <f t="shared" si="51"/>
        <v>0.82</v>
      </c>
      <c r="T138" s="123">
        <f t="shared" si="52"/>
        <v>0.82</v>
      </c>
      <c r="U138" s="123">
        <f t="shared" si="52"/>
        <v>0.82</v>
      </c>
      <c r="V138" s="123">
        <f t="shared" si="52"/>
        <v>0.82</v>
      </c>
      <c r="W138" s="123">
        <f t="shared" si="52"/>
        <v>0.82</v>
      </c>
      <c r="X138" s="123">
        <f t="shared" si="52"/>
        <v>0.82</v>
      </c>
      <c r="Y138" s="123">
        <f t="shared" si="52"/>
        <v>0.82</v>
      </c>
      <c r="Z138" s="123">
        <f t="shared" si="52"/>
        <v>0.82</v>
      </c>
      <c r="AA138" s="123">
        <f t="shared" si="52"/>
        <v>0.82</v>
      </c>
      <c r="AB138" s="123">
        <f t="shared" si="52"/>
        <v>0.82</v>
      </c>
      <c r="AC138" s="123">
        <f t="shared" si="52"/>
        <v>0.82</v>
      </c>
      <c r="AD138" s="123">
        <f t="shared" si="52"/>
        <v>0.82</v>
      </c>
      <c r="AE138" s="123">
        <f t="shared" si="52"/>
        <v>0.82</v>
      </c>
      <c r="AF138" s="123">
        <f t="shared" si="52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53">AF140</f>
        <v>2</v>
      </c>
      <c r="C140" s="124">
        <v>2</v>
      </c>
      <c r="D140" s="123">
        <f t="shared" ref="D140:S146" si="54">C140</f>
        <v>2</v>
      </c>
      <c r="E140" s="123">
        <f t="shared" si="54"/>
        <v>2</v>
      </c>
      <c r="F140" s="123">
        <f t="shared" si="54"/>
        <v>2</v>
      </c>
      <c r="G140" s="123">
        <f t="shared" si="54"/>
        <v>2</v>
      </c>
      <c r="H140" s="123">
        <f t="shared" si="54"/>
        <v>2</v>
      </c>
      <c r="I140" s="123">
        <f t="shared" si="54"/>
        <v>2</v>
      </c>
      <c r="J140" s="123">
        <f t="shared" si="54"/>
        <v>2</v>
      </c>
      <c r="K140" s="123">
        <f t="shared" si="54"/>
        <v>2</v>
      </c>
      <c r="L140" s="123">
        <f t="shared" si="54"/>
        <v>2</v>
      </c>
      <c r="M140" s="123">
        <f t="shared" si="54"/>
        <v>2</v>
      </c>
      <c r="N140" s="123">
        <f t="shared" si="54"/>
        <v>2</v>
      </c>
      <c r="O140" s="123">
        <f t="shared" si="54"/>
        <v>2</v>
      </c>
      <c r="P140" s="123">
        <f t="shared" si="54"/>
        <v>2</v>
      </c>
      <c r="Q140" s="123">
        <f t="shared" si="54"/>
        <v>2</v>
      </c>
      <c r="R140" s="123">
        <f t="shared" si="54"/>
        <v>2</v>
      </c>
      <c r="S140" s="123">
        <f t="shared" si="54"/>
        <v>2</v>
      </c>
      <c r="T140" s="123">
        <f t="shared" ref="T140:AF146" si="55">S140</f>
        <v>2</v>
      </c>
      <c r="U140" s="123">
        <f t="shared" si="55"/>
        <v>2</v>
      </c>
      <c r="V140" s="123">
        <f t="shared" si="55"/>
        <v>2</v>
      </c>
      <c r="W140" s="123">
        <f t="shared" si="55"/>
        <v>2</v>
      </c>
      <c r="X140" s="123">
        <f t="shared" si="55"/>
        <v>2</v>
      </c>
      <c r="Y140" s="123">
        <f t="shared" si="55"/>
        <v>2</v>
      </c>
      <c r="Z140" s="123">
        <f t="shared" si="55"/>
        <v>2</v>
      </c>
      <c r="AA140" s="123">
        <f t="shared" si="55"/>
        <v>2</v>
      </c>
      <c r="AB140" s="123">
        <f t="shared" si="55"/>
        <v>2</v>
      </c>
      <c r="AC140" s="123">
        <f t="shared" si="55"/>
        <v>2</v>
      </c>
      <c r="AD140" s="123">
        <f t="shared" si="55"/>
        <v>2</v>
      </c>
      <c r="AE140" s="123">
        <f t="shared" si="55"/>
        <v>2</v>
      </c>
      <c r="AF140" s="123">
        <f t="shared" si="55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53"/>
        <v>5.61</v>
      </c>
      <c r="C141" s="124">
        <v>5.61</v>
      </c>
      <c r="D141" s="123">
        <f t="shared" si="54"/>
        <v>5.61</v>
      </c>
      <c r="E141" s="123">
        <f t="shared" si="54"/>
        <v>5.61</v>
      </c>
      <c r="F141" s="123">
        <f t="shared" si="54"/>
        <v>5.61</v>
      </c>
      <c r="G141" s="123">
        <f t="shared" si="54"/>
        <v>5.61</v>
      </c>
      <c r="H141" s="123">
        <f t="shared" si="54"/>
        <v>5.61</v>
      </c>
      <c r="I141" s="123">
        <f t="shared" si="54"/>
        <v>5.61</v>
      </c>
      <c r="J141" s="123">
        <f t="shared" si="54"/>
        <v>5.61</v>
      </c>
      <c r="K141" s="123">
        <f t="shared" si="54"/>
        <v>5.61</v>
      </c>
      <c r="L141" s="123">
        <f t="shared" si="54"/>
        <v>5.61</v>
      </c>
      <c r="M141" s="123">
        <f t="shared" si="54"/>
        <v>5.61</v>
      </c>
      <c r="N141" s="123">
        <f t="shared" si="54"/>
        <v>5.61</v>
      </c>
      <c r="O141" s="123">
        <f t="shared" si="54"/>
        <v>5.61</v>
      </c>
      <c r="P141" s="123">
        <f t="shared" si="54"/>
        <v>5.61</v>
      </c>
      <c r="Q141" s="123">
        <f t="shared" si="54"/>
        <v>5.61</v>
      </c>
      <c r="R141" s="123">
        <f t="shared" si="54"/>
        <v>5.61</v>
      </c>
      <c r="S141" s="123">
        <f t="shared" si="54"/>
        <v>5.61</v>
      </c>
      <c r="T141" s="123">
        <f t="shared" si="55"/>
        <v>5.61</v>
      </c>
      <c r="U141" s="123">
        <f t="shared" si="55"/>
        <v>5.61</v>
      </c>
      <c r="V141" s="123">
        <f t="shared" si="55"/>
        <v>5.61</v>
      </c>
      <c r="W141" s="123">
        <f t="shared" si="55"/>
        <v>5.61</v>
      </c>
      <c r="X141" s="123">
        <f t="shared" si="55"/>
        <v>5.61</v>
      </c>
      <c r="Y141" s="123">
        <f t="shared" si="55"/>
        <v>5.61</v>
      </c>
      <c r="Z141" s="123">
        <f t="shared" si="55"/>
        <v>5.61</v>
      </c>
      <c r="AA141" s="123">
        <f t="shared" si="55"/>
        <v>5.61</v>
      </c>
      <c r="AB141" s="123">
        <f t="shared" si="55"/>
        <v>5.61</v>
      </c>
      <c r="AC141" s="123">
        <f t="shared" si="55"/>
        <v>5.61</v>
      </c>
      <c r="AD141" s="123">
        <f t="shared" si="55"/>
        <v>5.61</v>
      </c>
      <c r="AE141" s="123">
        <f t="shared" si="55"/>
        <v>5.61</v>
      </c>
      <c r="AF141" s="123">
        <f t="shared" si="55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53"/>
        <v>1.25</v>
      </c>
      <c r="C142" s="124">
        <v>1.25</v>
      </c>
      <c r="D142" s="123">
        <f t="shared" si="54"/>
        <v>1.25</v>
      </c>
      <c r="E142" s="123">
        <f t="shared" si="54"/>
        <v>1.25</v>
      </c>
      <c r="F142" s="123">
        <f t="shared" si="54"/>
        <v>1.25</v>
      </c>
      <c r="G142" s="123">
        <f t="shared" si="54"/>
        <v>1.25</v>
      </c>
      <c r="H142" s="123">
        <f t="shared" si="54"/>
        <v>1.25</v>
      </c>
      <c r="I142" s="123">
        <f t="shared" si="54"/>
        <v>1.25</v>
      </c>
      <c r="J142" s="123">
        <f t="shared" si="54"/>
        <v>1.25</v>
      </c>
      <c r="K142" s="123">
        <f t="shared" si="54"/>
        <v>1.25</v>
      </c>
      <c r="L142" s="123">
        <f t="shared" si="54"/>
        <v>1.25</v>
      </c>
      <c r="M142" s="123">
        <f t="shared" si="54"/>
        <v>1.25</v>
      </c>
      <c r="N142" s="123">
        <f t="shared" si="54"/>
        <v>1.25</v>
      </c>
      <c r="O142" s="123">
        <f t="shared" si="54"/>
        <v>1.25</v>
      </c>
      <c r="P142" s="123">
        <f t="shared" si="54"/>
        <v>1.25</v>
      </c>
      <c r="Q142" s="123">
        <f t="shared" si="54"/>
        <v>1.25</v>
      </c>
      <c r="R142" s="123">
        <f t="shared" si="54"/>
        <v>1.25</v>
      </c>
      <c r="S142" s="123">
        <f t="shared" si="54"/>
        <v>1.25</v>
      </c>
      <c r="T142" s="123">
        <f t="shared" si="55"/>
        <v>1.25</v>
      </c>
      <c r="U142" s="123">
        <f t="shared" si="55"/>
        <v>1.25</v>
      </c>
      <c r="V142" s="123">
        <f t="shared" si="55"/>
        <v>1.25</v>
      </c>
      <c r="W142" s="123">
        <f t="shared" si="55"/>
        <v>1.25</v>
      </c>
      <c r="X142" s="123">
        <f t="shared" si="55"/>
        <v>1.25</v>
      </c>
      <c r="Y142" s="123">
        <f t="shared" si="55"/>
        <v>1.25</v>
      </c>
      <c r="Z142" s="123">
        <f t="shared" si="55"/>
        <v>1.25</v>
      </c>
      <c r="AA142" s="123">
        <f t="shared" si="55"/>
        <v>1.25</v>
      </c>
      <c r="AB142" s="123">
        <f t="shared" si="55"/>
        <v>1.25</v>
      </c>
      <c r="AC142" s="123">
        <f t="shared" si="55"/>
        <v>1.25</v>
      </c>
      <c r="AD142" s="123">
        <f t="shared" si="55"/>
        <v>1.25</v>
      </c>
      <c r="AE142" s="123">
        <f t="shared" si="55"/>
        <v>1.25</v>
      </c>
      <c r="AF142" s="123">
        <f t="shared" si="55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53"/>
        <v>1.25</v>
      </c>
      <c r="C143" s="124">
        <v>1.25</v>
      </c>
      <c r="D143" s="123">
        <f t="shared" si="54"/>
        <v>1.25</v>
      </c>
      <c r="E143" s="123">
        <f t="shared" si="54"/>
        <v>1.25</v>
      </c>
      <c r="F143" s="123">
        <f t="shared" si="54"/>
        <v>1.25</v>
      </c>
      <c r="G143" s="123">
        <f t="shared" si="54"/>
        <v>1.25</v>
      </c>
      <c r="H143" s="123">
        <f t="shared" si="54"/>
        <v>1.25</v>
      </c>
      <c r="I143" s="123">
        <f t="shared" si="54"/>
        <v>1.25</v>
      </c>
      <c r="J143" s="123">
        <f t="shared" si="54"/>
        <v>1.25</v>
      </c>
      <c r="K143" s="123">
        <f t="shared" si="54"/>
        <v>1.25</v>
      </c>
      <c r="L143" s="123">
        <f t="shared" si="54"/>
        <v>1.25</v>
      </c>
      <c r="M143" s="123">
        <f t="shared" si="54"/>
        <v>1.25</v>
      </c>
      <c r="N143" s="123">
        <f t="shared" si="54"/>
        <v>1.25</v>
      </c>
      <c r="O143" s="123">
        <f t="shared" si="54"/>
        <v>1.25</v>
      </c>
      <c r="P143" s="123">
        <f t="shared" si="54"/>
        <v>1.25</v>
      </c>
      <c r="Q143" s="123">
        <f t="shared" si="54"/>
        <v>1.25</v>
      </c>
      <c r="R143" s="123">
        <f t="shared" si="54"/>
        <v>1.25</v>
      </c>
      <c r="S143" s="123">
        <f t="shared" si="54"/>
        <v>1.25</v>
      </c>
      <c r="T143" s="123">
        <f t="shared" si="55"/>
        <v>1.25</v>
      </c>
      <c r="U143" s="123">
        <f t="shared" si="55"/>
        <v>1.25</v>
      </c>
      <c r="V143" s="123">
        <f t="shared" si="55"/>
        <v>1.25</v>
      </c>
      <c r="W143" s="123">
        <f t="shared" si="55"/>
        <v>1.25</v>
      </c>
      <c r="X143" s="123">
        <f t="shared" si="55"/>
        <v>1.25</v>
      </c>
      <c r="Y143" s="123">
        <f t="shared" si="55"/>
        <v>1.25</v>
      </c>
      <c r="Z143" s="123">
        <f t="shared" si="55"/>
        <v>1.25</v>
      </c>
      <c r="AA143" s="123">
        <f t="shared" si="55"/>
        <v>1.25</v>
      </c>
      <c r="AB143" s="123">
        <f t="shared" si="55"/>
        <v>1.25</v>
      </c>
      <c r="AC143" s="123">
        <f t="shared" si="55"/>
        <v>1.25</v>
      </c>
      <c r="AD143" s="123">
        <f t="shared" si="55"/>
        <v>1.25</v>
      </c>
      <c r="AE143" s="123">
        <f t="shared" si="55"/>
        <v>1.25</v>
      </c>
      <c r="AF143" s="123">
        <f t="shared" si="55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53"/>
        <v>1.46</v>
      </c>
      <c r="C144" s="124">
        <v>1.46</v>
      </c>
      <c r="D144" s="123">
        <f t="shared" si="54"/>
        <v>1.46</v>
      </c>
      <c r="E144" s="123">
        <f t="shared" si="54"/>
        <v>1.46</v>
      </c>
      <c r="F144" s="123">
        <f t="shared" si="54"/>
        <v>1.46</v>
      </c>
      <c r="G144" s="123">
        <f t="shared" si="54"/>
        <v>1.46</v>
      </c>
      <c r="H144" s="123">
        <f t="shared" si="54"/>
        <v>1.46</v>
      </c>
      <c r="I144" s="123">
        <f t="shared" si="54"/>
        <v>1.46</v>
      </c>
      <c r="J144" s="123">
        <f t="shared" si="54"/>
        <v>1.46</v>
      </c>
      <c r="K144" s="123">
        <f t="shared" si="54"/>
        <v>1.46</v>
      </c>
      <c r="L144" s="123">
        <f t="shared" si="54"/>
        <v>1.46</v>
      </c>
      <c r="M144" s="123">
        <f t="shared" si="54"/>
        <v>1.46</v>
      </c>
      <c r="N144" s="123">
        <f t="shared" si="54"/>
        <v>1.46</v>
      </c>
      <c r="O144" s="123">
        <f t="shared" si="54"/>
        <v>1.46</v>
      </c>
      <c r="P144" s="123">
        <f t="shared" si="54"/>
        <v>1.46</v>
      </c>
      <c r="Q144" s="123">
        <f t="shared" si="54"/>
        <v>1.46</v>
      </c>
      <c r="R144" s="123">
        <f t="shared" si="54"/>
        <v>1.46</v>
      </c>
      <c r="S144" s="123">
        <f t="shared" si="54"/>
        <v>1.46</v>
      </c>
      <c r="T144" s="123">
        <f t="shared" si="55"/>
        <v>1.46</v>
      </c>
      <c r="U144" s="123">
        <f t="shared" si="55"/>
        <v>1.46</v>
      </c>
      <c r="V144" s="123">
        <f t="shared" si="55"/>
        <v>1.46</v>
      </c>
      <c r="W144" s="123">
        <f t="shared" si="55"/>
        <v>1.46</v>
      </c>
      <c r="X144" s="123">
        <f t="shared" si="55"/>
        <v>1.46</v>
      </c>
      <c r="Y144" s="123">
        <f t="shared" si="55"/>
        <v>1.46</v>
      </c>
      <c r="Z144" s="123">
        <f t="shared" si="55"/>
        <v>1.46</v>
      </c>
      <c r="AA144" s="123">
        <f t="shared" si="55"/>
        <v>1.46</v>
      </c>
      <c r="AB144" s="123">
        <f t="shared" si="55"/>
        <v>1.46</v>
      </c>
      <c r="AC144" s="123">
        <f t="shared" si="55"/>
        <v>1.46</v>
      </c>
      <c r="AD144" s="123">
        <f t="shared" si="55"/>
        <v>1.46</v>
      </c>
      <c r="AE144" s="123">
        <f t="shared" si="55"/>
        <v>1.46</v>
      </c>
      <c r="AF144" s="123">
        <f t="shared" si="55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53"/>
        <v>3</v>
      </c>
      <c r="C145" s="124">
        <v>3</v>
      </c>
      <c r="D145" s="123">
        <f t="shared" si="54"/>
        <v>3</v>
      </c>
      <c r="E145" s="123">
        <f t="shared" si="54"/>
        <v>3</v>
      </c>
      <c r="F145" s="123">
        <f t="shared" si="54"/>
        <v>3</v>
      </c>
      <c r="G145" s="123">
        <f t="shared" si="54"/>
        <v>3</v>
      </c>
      <c r="H145" s="123">
        <f t="shared" si="54"/>
        <v>3</v>
      </c>
      <c r="I145" s="123">
        <f t="shared" si="54"/>
        <v>3</v>
      </c>
      <c r="J145" s="123">
        <f t="shared" si="54"/>
        <v>3</v>
      </c>
      <c r="K145" s="123">
        <f t="shared" si="54"/>
        <v>3</v>
      </c>
      <c r="L145" s="123">
        <f t="shared" si="54"/>
        <v>3</v>
      </c>
      <c r="M145" s="123">
        <f t="shared" si="54"/>
        <v>3</v>
      </c>
      <c r="N145" s="123">
        <f t="shared" si="54"/>
        <v>3</v>
      </c>
      <c r="O145" s="123">
        <f t="shared" si="54"/>
        <v>3</v>
      </c>
      <c r="P145" s="123">
        <f t="shared" si="54"/>
        <v>3</v>
      </c>
      <c r="Q145" s="123">
        <f t="shared" si="54"/>
        <v>3</v>
      </c>
      <c r="R145" s="123">
        <f t="shared" si="54"/>
        <v>3</v>
      </c>
      <c r="S145" s="123">
        <f t="shared" si="54"/>
        <v>3</v>
      </c>
      <c r="T145" s="123">
        <f t="shared" si="55"/>
        <v>3</v>
      </c>
      <c r="U145" s="123">
        <f t="shared" si="55"/>
        <v>3</v>
      </c>
      <c r="V145" s="123">
        <f t="shared" si="55"/>
        <v>3</v>
      </c>
      <c r="W145" s="123">
        <f t="shared" si="55"/>
        <v>3</v>
      </c>
      <c r="X145" s="123">
        <f t="shared" si="55"/>
        <v>3</v>
      </c>
      <c r="Y145" s="123">
        <f t="shared" si="55"/>
        <v>3</v>
      </c>
      <c r="Z145" s="123">
        <f t="shared" si="55"/>
        <v>3</v>
      </c>
      <c r="AA145" s="123">
        <f t="shared" si="55"/>
        <v>3</v>
      </c>
      <c r="AB145" s="123">
        <f t="shared" si="55"/>
        <v>3</v>
      </c>
      <c r="AC145" s="123">
        <f t="shared" si="55"/>
        <v>3</v>
      </c>
      <c r="AD145" s="123">
        <f t="shared" si="55"/>
        <v>3</v>
      </c>
      <c r="AE145" s="123">
        <f t="shared" si="55"/>
        <v>3</v>
      </c>
      <c r="AF145" s="123">
        <f t="shared" si="55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53"/>
        <v>3.3</v>
      </c>
      <c r="C146" s="124">
        <v>3.3</v>
      </c>
      <c r="D146" s="123">
        <f t="shared" si="54"/>
        <v>3.3</v>
      </c>
      <c r="E146" s="123">
        <f t="shared" si="54"/>
        <v>3.3</v>
      </c>
      <c r="F146" s="123">
        <f t="shared" si="54"/>
        <v>3.3</v>
      </c>
      <c r="G146" s="123">
        <f t="shared" si="54"/>
        <v>3.3</v>
      </c>
      <c r="H146" s="123">
        <f t="shared" si="54"/>
        <v>3.3</v>
      </c>
      <c r="I146" s="123">
        <f t="shared" si="54"/>
        <v>3.3</v>
      </c>
      <c r="J146" s="123">
        <f t="shared" si="54"/>
        <v>3.3</v>
      </c>
      <c r="K146" s="123">
        <f t="shared" si="54"/>
        <v>3.3</v>
      </c>
      <c r="L146" s="123">
        <f t="shared" si="54"/>
        <v>3.3</v>
      </c>
      <c r="M146" s="123">
        <f t="shared" si="54"/>
        <v>3.3</v>
      </c>
      <c r="N146" s="123">
        <f t="shared" si="54"/>
        <v>3.3</v>
      </c>
      <c r="O146" s="123">
        <f t="shared" si="54"/>
        <v>3.3</v>
      </c>
      <c r="P146" s="123">
        <f t="shared" si="54"/>
        <v>3.3</v>
      </c>
      <c r="Q146" s="123">
        <f t="shared" si="54"/>
        <v>3.3</v>
      </c>
      <c r="R146" s="123">
        <f t="shared" si="54"/>
        <v>3.3</v>
      </c>
      <c r="S146" s="123">
        <f t="shared" si="54"/>
        <v>3.3</v>
      </c>
      <c r="T146" s="123">
        <f t="shared" si="55"/>
        <v>3.3</v>
      </c>
      <c r="U146" s="123">
        <f t="shared" si="55"/>
        <v>3.3</v>
      </c>
      <c r="V146" s="123">
        <f t="shared" si="55"/>
        <v>3.3</v>
      </c>
      <c r="W146" s="123">
        <f t="shared" si="55"/>
        <v>3.3</v>
      </c>
      <c r="X146" s="123">
        <f t="shared" si="55"/>
        <v>3.3</v>
      </c>
      <c r="Y146" s="123">
        <f t="shared" si="55"/>
        <v>3.3</v>
      </c>
      <c r="Z146" s="123">
        <f t="shared" si="55"/>
        <v>3.3</v>
      </c>
      <c r="AA146" s="123">
        <f t="shared" si="55"/>
        <v>3.3</v>
      </c>
      <c r="AB146" s="123">
        <f t="shared" si="55"/>
        <v>3.3</v>
      </c>
      <c r="AC146" s="123">
        <f t="shared" si="55"/>
        <v>3.3</v>
      </c>
      <c r="AD146" s="123">
        <f t="shared" si="55"/>
        <v>3.3</v>
      </c>
      <c r="AE146" s="123">
        <f t="shared" si="55"/>
        <v>3.3</v>
      </c>
      <c r="AF146" s="123">
        <f t="shared" si="55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56">C148</f>
        <v>1.76</v>
      </c>
      <c r="E148" s="123">
        <f t="shared" si="56"/>
        <v>1.76</v>
      </c>
      <c r="F148" s="123">
        <f t="shared" si="56"/>
        <v>1.76</v>
      </c>
      <c r="G148" s="123">
        <f t="shared" si="56"/>
        <v>1.76</v>
      </c>
      <c r="H148" s="123">
        <f t="shared" si="56"/>
        <v>1.76</v>
      </c>
      <c r="I148" s="123">
        <f t="shared" si="56"/>
        <v>1.76</v>
      </c>
      <c r="J148" s="123">
        <f t="shared" si="56"/>
        <v>1.76</v>
      </c>
      <c r="K148" s="123">
        <f t="shared" si="56"/>
        <v>1.76</v>
      </c>
      <c r="L148" s="123">
        <f t="shared" si="56"/>
        <v>1.76</v>
      </c>
      <c r="M148" s="123">
        <f t="shared" si="56"/>
        <v>1.76</v>
      </c>
      <c r="N148" s="123">
        <f t="shared" si="56"/>
        <v>1.76</v>
      </c>
      <c r="O148" s="123">
        <f t="shared" si="56"/>
        <v>1.76</v>
      </c>
      <c r="P148" s="123">
        <f t="shared" si="56"/>
        <v>1.76</v>
      </c>
      <c r="Q148" s="123">
        <f t="shared" si="56"/>
        <v>1.76</v>
      </c>
      <c r="R148" s="123">
        <f t="shared" si="56"/>
        <v>1.76</v>
      </c>
      <c r="S148" s="123">
        <f t="shared" si="56"/>
        <v>1.76</v>
      </c>
      <c r="T148" s="123">
        <f t="shared" ref="T148:AF149" si="57">S148</f>
        <v>1.76</v>
      </c>
      <c r="U148" s="123">
        <f t="shared" si="57"/>
        <v>1.76</v>
      </c>
      <c r="V148" s="123">
        <f t="shared" si="57"/>
        <v>1.76</v>
      </c>
      <c r="W148" s="123">
        <f t="shared" si="57"/>
        <v>1.76</v>
      </c>
      <c r="X148" s="123">
        <f t="shared" si="57"/>
        <v>1.76</v>
      </c>
      <c r="Y148" s="123">
        <f t="shared" si="57"/>
        <v>1.76</v>
      </c>
      <c r="Z148" s="123">
        <f t="shared" si="57"/>
        <v>1.76</v>
      </c>
      <c r="AA148" s="123">
        <f t="shared" si="57"/>
        <v>1.76</v>
      </c>
      <c r="AB148" s="123">
        <f t="shared" si="57"/>
        <v>1.76</v>
      </c>
      <c r="AC148" s="123">
        <f t="shared" si="57"/>
        <v>1.76</v>
      </c>
      <c r="AD148" s="123">
        <f t="shared" si="57"/>
        <v>1.76</v>
      </c>
      <c r="AE148" s="123">
        <f t="shared" si="57"/>
        <v>1.76</v>
      </c>
      <c r="AF148" s="123">
        <f t="shared" si="57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56"/>
        <v>0</v>
      </c>
      <c r="E149" s="123">
        <f t="shared" si="56"/>
        <v>0</v>
      </c>
      <c r="F149" s="123">
        <f t="shared" si="56"/>
        <v>0</v>
      </c>
      <c r="G149" s="123">
        <f t="shared" si="56"/>
        <v>0</v>
      </c>
      <c r="H149" s="123">
        <f t="shared" si="56"/>
        <v>0</v>
      </c>
      <c r="I149" s="123">
        <f t="shared" si="56"/>
        <v>0</v>
      </c>
      <c r="J149" s="123">
        <f t="shared" si="56"/>
        <v>0</v>
      </c>
      <c r="K149" s="123">
        <f t="shared" si="56"/>
        <v>0</v>
      </c>
      <c r="L149" s="123">
        <f t="shared" si="56"/>
        <v>0</v>
      </c>
      <c r="M149" s="123">
        <f t="shared" si="56"/>
        <v>0</v>
      </c>
      <c r="N149" s="123">
        <f t="shared" si="56"/>
        <v>0</v>
      </c>
      <c r="O149" s="123">
        <f t="shared" si="56"/>
        <v>0</v>
      </c>
      <c r="P149" s="123">
        <f t="shared" si="56"/>
        <v>0</v>
      </c>
      <c r="Q149" s="123">
        <f t="shared" si="56"/>
        <v>0</v>
      </c>
      <c r="R149" s="123">
        <f t="shared" si="56"/>
        <v>0</v>
      </c>
      <c r="S149" s="123">
        <f t="shared" si="56"/>
        <v>0</v>
      </c>
      <c r="T149" s="123">
        <f t="shared" si="57"/>
        <v>0</v>
      </c>
      <c r="U149" s="123">
        <f t="shared" si="57"/>
        <v>0</v>
      </c>
      <c r="V149" s="123">
        <f t="shared" si="57"/>
        <v>0</v>
      </c>
      <c r="W149" s="123">
        <f t="shared" si="57"/>
        <v>0</v>
      </c>
      <c r="X149" s="123">
        <f t="shared" si="57"/>
        <v>0</v>
      </c>
      <c r="Y149" s="123">
        <f t="shared" si="57"/>
        <v>0</v>
      </c>
      <c r="Z149" s="123">
        <f t="shared" si="57"/>
        <v>0</v>
      </c>
      <c r="AA149" s="123">
        <f t="shared" si="57"/>
        <v>0</v>
      </c>
      <c r="AB149" s="123">
        <f t="shared" si="57"/>
        <v>0</v>
      </c>
      <c r="AC149" s="123">
        <f t="shared" si="57"/>
        <v>0</v>
      </c>
      <c r="AD149" s="123">
        <f t="shared" si="57"/>
        <v>0</v>
      </c>
      <c r="AE149" s="123">
        <f t="shared" si="57"/>
        <v>0</v>
      </c>
      <c r="AF149" s="123">
        <f t="shared" si="57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58">C151</f>
        <v>0.1</v>
      </c>
      <c r="E151" s="123">
        <f t="shared" si="58"/>
        <v>0.1</v>
      </c>
      <c r="F151" s="123">
        <f t="shared" si="58"/>
        <v>0.1</v>
      </c>
      <c r="G151" s="123">
        <f t="shared" si="58"/>
        <v>0.1</v>
      </c>
      <c r="H151" s="123">
        <f t="shared" si="58"/>
        <v>0.1</v>
      </c>
      <c r="I151" s="123">
        <f t="shared" si="58"/>
        <v>0.1</v>
      </c>
      <c r="J151" s="123">
        <f t="shared" si="58"/>
        <v>0.1</v>
      </c>
      <c r="K151" s="123">
        <f t="shared" si="58"/>
        <v>0.1</v>
      </c>
      <c r="L151" s="123">
        <f t="shared" si="58"/>
        <v>0.1</v>
      </c>
      <c r="M151" s="123">
        <f t="shared" si="58"/>
        <v>0.1</v>
      </c>
      <c r="N151" s="123">
        <f t="shared" si="58"/>
        <v>0.1</v>
      </c>
      <c r="O151" s="123">
        <f t="shared" si="58"/>
        <v>0.1</v>
      </c>
      <c r="P151" s="123">
        <f t="shared" si="58"/>
        <v>0.1</v>
      </c>
      <c r="Q151" s="123">
        <f t="shared" si="58"/>
        <v>0.1</v>
      </c>
      <c r="R151" s="123">
        <f t="shared" si="58"/>
        <v>0.1</v>
      </c>
      <c r="S151" s="123">
        <f t="shared" si="58"/>
        <v>0.1</v>
      </c>
      <c r="T151" s="123">
        <f t="shared" ref="T151:AF154" si="59">S151</f>
        <v>0.1</v>
      </c>
      <c r="U151" s="123">
        <f t="shared" si="59"/>
        <v>0.1</v>
      </c>
      <c r="V151" s="123">
        <f t="shared" si="59"/>
        <v>0.1</v>
      </c>
      <c r="W151" s="123">
        <f t="shared" si="59"/>
        <v>0.1</v>
      </c>
      <c r="X151" s="123">
        <f t="shared" si="59"/>
        <v>0.1</v>
      </c>
      <c r="Y151" s="123">
        <f t="shared" si="59"/>
        <v>0.1</v>
      </c>
      <c r="Z151" s="123">
        <f t="shared" si="59"/>
        <v>0.1</v>
      </c>
      <c r="AA151" s="123">
        <f t="shared" si="59"/>
        <v>0.1</v>
      </c>
      <c r="AB151" s="123">
        <f t="shared" si="59"/>
        <v>0.1</v>
      </c>
      <c r="AC151" s="123">
        <f t="shared" si="59"/>
        <v>0.1</v>
      </c>
      <c r="AD151" s="123">
        <f t="shared" si="59"/>
        <v>0.1</v>
      </c>
      <c r="AE151" s="123">
        <f t="shared" si="59"/>
        <v>0.1</v>
      </c>
      <c r="AF151" s="123">
        <f t="shared" si="59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58"/>
        <v>2.0499999999999998</v>
      </c>
      <c r="E152" s="123">
        <f t="shared" si="58"/>
        <v>2.0499999999999998</v>
      </c>
      <c r="F152" s="123">
        <f t="shared" si="58"/>
        <v>2.0499999999999998</v>
      </c>
      <c r="G152" s="123">
        <f t="shared" si="58"/>
        <v>2.0499999999999998</v>
      </c>
      <c r="H152" s="123">
        <f t="shared" si="58"/>
        <v>2.0499999999999998</v>
      </c>
      <c r="I152" s="123">
        <f t="shared" si="58"/>
        <v>2.0499999999999998</v>
      </c>
      <c r="J152" s="123">
        <f t="shared" si="58"/>
        <v>2.0499999999999998</v>
      </c>
      <c r="K152" s="123">
        <f t="shared" si="58"/>
        <v>2.0499999999999998</v>
      </c>
      <c r="L152" s="123">
        <f t="shared" si="58"/>
        <v>2.0499999999999998</v>
      </c>
      <c r="M152" s="123">
        <f t="shared" si="58"/>
        <v>2.0499999999999998</v>
      </c>
      <c r="N152" s="123">
        <f t="shared" si="58"/>
        <v>2.0499999999999998</v>
      </c>
      <c r="O152" s="123">
        <f t="shared" si="58"/>
        <v>2.0499999999999998</v>
      </c>
      <c r="P152" s="123">
        <f t="shared" si="58"/>
        <v>2.0499999999999998</v>
      </c>
      <c r="Q152" s="123">
        <f t="shared" si="58"/>
        <v>2.0499999999999998</v>
      </c>
      <c r="R152" s="123">
        <f t="shared" si="58"/>
        <v>2.0499999999999998</v>
      </c>
      <c r="S152" s="123">
        <f t="shared" si="58"/>
        <v>2.0499999999999998</v>
      </c>
      <c r="T152" s="123">
        <f t="shared" si="59"/>
        <v>2.0499999999999998</v>
      </c>
      <c r="U152" s="123">
        <f t="shared" si="59"/>
        <v>2.0499999999999998</v>
      </c>
      <c r="V152" s="123">
        <f t="shared" si="59"/>
        <v>2.0499999999999998</v>
      </c>
      <c r="W152" s="123">
        <f t="shared" si="59"/>
        <v>2.0499999999999998</v>
      </c>
      <c r="X152" s="123">
        <f t="shared" si="59"/>
        <v>2.0499999999999998</v>
      </c>
      <c r="Y152" s="123">
        <f t="shared" si="59"/>
        <v>2.0499999999999998</v>
      </c>
      <c r="Z152" s="123">
        <f t="shared" si="59"/>
        <v>2.0499999999999998</v>
      </c>
      <c r="AA152" s="123">
        <f t="shared" si="59"/>
        <v>2.0499999999999998</v>
      </c>
      <c r="AB152" s="123">
        <f t="shared" si="59"/>
        <v>2.0499999999999998</v>
      </c>
      <c r="AC152" s="123">
        <f t="shared" si="59"/>
        <v>2.0499999999999998</v>
      </c>
      <c r="AD152" s="123">
        <f t="shared" si="59"/>
        <v>2.0499999999999998</v>
      </c>
      <c r="AE152" s="123">
        <f t="shared" si="59"/>
        <v>2.0499999999999998</v>
      </c>
      <c r="AF152" s="123">
        <f t="shared" si="59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58"/>
        <v>2.7</v>
      </c>
      <c r="E153" s="123">
        <f t="shared" si="58"/>
        <v>2.7</v>
      </c>
      <c r="F153" s="123">
        <f t="shared" si="58"/>
        <v>2.7</v>
      </c>
      <c r="G153" s="123">
        <f t="shared" si="58"/>
        <v>2.7</v>
      </c>
      <c r="H153" s="123">
        <f t="shared" si="58"/>
        <v>2.7</v>
      </c>
      <c r="I153" s="123">
        <f t="shared" si="58"/>
        <v>2.7</v>
      </c>
      <c r="J153" s="123">
        <f t="shared" si="58"/>
        <v>2.7</v>
      </c>
      <c r="K153" s="123">
        <f t="shared" si="58"/>
        <v>2.7</v>
      </c>
      <c r="L153" s="123">
        <f t="shared" si="58"/>
        <v>2.7</v>
      </c>
      <c r="M153" s="123">
        <f t="shared" si="58"/>
        <v>2.7</v>
      </c>
      <c r="N153" s="123">
        <f t="shared" si="58"/>
        <v>2.7</v>
      </c>
      <c r="O153" s="123">
        <f t="shared" si="58"/>
        <v>2.7</v>
      </c>
      <c r="P153" s="123">
        <f t="shared" si="58"/>
        <v>2.7</v>
      </c>
      <c r="Q153" s="123">
        <f t="shared" si="58"/>
        <v>2.7</v>
      </c>
      <c r="R153" s="123">
        <f t="shared" si="58"/>
        <v>2.7</v>
      </c>
      <c r="S153" s="123">
        <f t="shared" si="58"/>
        <v>2.7</v>
      </c>
      <c r="T153" s="123">
        <f t="shared" si="59"/>
        <v>2.7</v>
      </c>
      <c r="U153" s="123">
        <f t="shared" si="59"/>
        <v>2.7</v>
      </c>
      <c r="V153" s="123">
        <f t="shared" si="59"/>
        <v>2.7</v>
      </c>
      <c r="W153" s="123">
        <f t="shared" si="59"/>
        <v>2.7</v>
      </c>
      <c r="X153" s="123">
        <f t="shared" si="59"/>
        <v>2.7</v>
      </c>
      <c r="Y153" s="123">
        <f t="shared" si="59"/>
        <v>2.7</v>
      </c>
      <c r="Z153" s="123">
        <f t="shared" si="59"/>
        <v>2.7</v>
      </c>
      <c r="AA153" s="123">
        <f t="shared" si="59"/>
        <v>2.7</v>
      </c>
      <c r="AB153" s="123">
        <f t="shared" si="59"/>
        <v>2.7</v>
      </c>
      <c r="AC153" s="123">
        <f t="shared" si="59"/>
        <v>2.7</v>
      </c>
      <c r="AD153" s="123">
        <f t="shared" si="59"/>
        <v>2.7</v>
      </c>
      <c r="AE153" s="123">
        <f t="shared" si="59"/>
        <v>2.7</v>
      </c>
      <c r="AF153" s="123">
        <f t="shared" si="59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58"/>
        <v>2.15</v>
      </c>
      <c r="E154" s="123">
        <f t="shared" si="58"/>
        <v>2.15</v>
      </c>
      <c r="F154" s="123">
        <f t="shared" si="58"/>
        <v>2.15</v>
      </c>
      <c r="G154" s="123">
        <f t="shared" si="58"/>
        <v>2.15</v>
      </c>
      <c r="H154" s="123">
        <f t="shared" si="58"/>
        <v>2.15</v>
      </c>
      <c r="I154" s="123">
        <f t="shared" si="58"/>
        <v>2.15</v>
      </c>
      <c r="J154" s="123">
        <f t="shared" si="58"/>
        <v>2.15</v>
      </c>
      <c r="K154" s="123">
        <f t="shared" si="58"/>
        <v>2.15</v>
      </c>
      <c r="L154" s="123">
        <f t="shared" si="58"/>
        <v>2.15</v>
      </c>
      <c r="M154" s="123">
        <f t="shared" si="58"/>
        <v>2.15</v>
      </c>
      <c r="N154" s="123">
        <f t="shared" si="58"/>
        <v>2.15</v>
      </c>
      <c r="O154" s="123">
        <f t="shared" si="58"/>
        <v>2.15</v>
      </c>
      <c r="P154" s="123">
        <f t="shared" si="58"/>
        <v>2.15</v>
      </c>
      <c r="Q154" s="123">
        <f t="shared" si="58"/>
        <v>2.15</v>
      </c>
      <c r="R154" s="123">
        <f t="shared" si="58"/>
        <v>2.15</v>
      </c>
      <c r="S154" s="123">
        <f t="shared" si="58"/>
        <v>2.15</v>
      </c>
      <c r="T154" s="123">
        <f t="shared" si="59"/>
        <v>2.15</v>
      </c>
      <c r="U154" s="123">
        <f t="shared" si="59"/>
        <v>2.15</v>
      </c>
      <c r="V154" s="123">
        <f t="shared" si="59"/>
        <v>2.15</v>
      </c>
      <c r="W154" s="123">
        <f t="shared" si="59"/>
        <v>2.15</v>
      </c>
      <c r="X154" s="123">
        <f t="shared" si="59"/>
        <v>2.15</v>
      </c>
      <c r="Y154" s="123">
        <f t="shared" si="59"/>
        <v>2.15</v>
      </c>
      <c r="Z154" s="123">
        <f t="shared" si="59"/>
        <v>2.15</v>
      </c>
      <c r="AA154" s="123">
        <f t="shared" si="59"/>
        <v>2.15</v>
      </c>
      <c r="AB154" s="123">
        <f t="shared" si="59"/>
        <v>2.15</v>
      </c>
      <c r="AC154" s="123">
        <f t="shared" si="59"/>
        <v>2.15</v>
      </c>
      <c r="AD154" s="123">
        <f t="shared" si="59"/>
        <v>2.15</v>
      </c>
      <c r="AE154" s="123">
        <f t="shared" si="59"/>
        <v>2.15</v>
      </c>
      <c r="AF154" s="123">
        <f t="shared" si="59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60">AF156</f>
        <v>0.9</v>
      </c>
      <c r="C156" s="124">
        <v>0.9</v>
      </c>
      <c r="D156" s="123">
        <f t="shared" ref="D156:S168" si="61">C156</f>
        <v>0.9</v>
      </c>
      <c r="E156" s="123">
        <f t="shared" si="61"/>
        <v>0.9</v>
      </c>
      <c r="F156" s="123">
        <f t="shared" si="61"/>
        <v>0.9</v>
      </c>
      <c r="G156" s="123">
        <f t="shared" si="61"/>
        <v>0.9</v>
      </c>
      <c r="H156" s="123">
        <f t="shared" si="61"/>
        <v>0.9</v>
      </c>
      <c r="I156" s="123">
        <f t="shared" si="61"/>
        <v>0.9</v>
      </c>
      <c r="J156" s="123">
        <f t="shared" si="61"/>
        <v>0.9</v>
      </c>
      <c r="K156" s="123">
        <f t="shared" si="61"/>
        <v>0.9</v>
      </c>
      <c r="L156" s="123">
        <f t="shared" si="61"/>
        <v>0.9</v>
      </c>
      <c r="M156" s="123">
        <f t="shared" si="61"/>
        <v>0.9</v>
      </c>
      <c r="N156" s="123">
        <f t="shared" si="61"/>
        <v>0.9</v>
      </c>
      <c r="O156" s="123">
        <f t="shared" si="61"/>
        <v>0.9</v>
      </c>
      <c r="P156" s="123">
        <f t="shared" si="61"/>
        <v>0.9</v>
      </c>
      <c r="Q156" s="123">
        <f t="shared" si="61"/>
        <v>0.9</v>
      </c>
      <c r="R156" s="123">
        <f t="shared" si="61"/>
        <v>0.9</v>
      </c>
      <c r="S156" s="123">
        <f t="shared" si="61"/>
        <v>0.9</v>
      </c>
      <c r="T156" s="123">
        <f t="shared" ref="S156:AF168" si="62">S156</f>
        <v>0.9</v>
      </c>
      <c r="U156" s="123">
        <f t="shared" si="62"/>
        <v>0.9</v>
      </c>
      <c r="V156" s="123">
        <f t="shared" si="62"/>
        <v>0.9</v>
      </c>
      <c r="W156" s="123">
        <f t="shared" si="62"/>
        <v>0.9</v>
      </c>
      <c r="X156" s="123">
        <f t="shared" si="62"/>
        <v>0.9</v>
      </c>
      <c r="Y156" s="123">
        <f t="shared" si="62"/>
        <v>0.9</v>
      </c>
      <c r="Z156" s="123">
        <f t="shared" si="62"/>
        <v>0.9</v>
      </c>
      <c r="AA156" s="123">
        <f t="shared" si="62"/>
        <v>0.9</v>
      </c>
      <c r="AB156" s="123">
        <f t="shared" si="62"/>
        <v>0.9</v>
      </c>
      <c r="AC156" s="123">
        <f t="shared" si="62"/>
        <v>0.9</v>
      </c>
      <c r="AD156" s="123">
        <f t="shared" si="62"/>
        <v>0.9</v>
      </c>
      <c r="AE156" s="123">
        <f t="shared" si="62"/>
        <v>0.9</v>
      </c>
      <c r="AF156" s="123">
        <f t="shared" si="62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60"/>
        <v>1.08</v>
      </c>
      <c r="C157" s="124">
        <v>1.08</v>
      </c>
      <c r="D157" s="123">
        <f t="shared" si="61"/>
        <v>1.08</v>
      </c>
      <c r="E157" s="123">
        <f t="shared" si="61"/>
        <v>1.08</v>
      </c>
      <c r="F157" s="123">
        <f t="shared" si="61"/>
        <v>1.08</v>
      </c>
      <c r="G157" s="123">
        <f t="shared" si="61"/>
        <v>1.08</v>
      </c>
      <c r="H157" s="123">
        <f t="shared" si="61"/>
        <v>1.08</v>
      </c>
      <c r="I157" s="123">
        <f t="shared" si="61"/>
        <v>1.08</v>
      </c>
      <c r="J157" s="123">
        <f t="shared" si="61"/>
        <v>1.08</v>
      </c>
      <c r="K157" s="123">
        <f t="shared" si="61"/>
        <v>1.08</v>
      </c>
      <c r="L157" s="123">
        <f t="shared" si="61"/>
        <v>1.08</v>
      </c>
      <c r="M157" s="123">
        <f t="shared" si="61"/>
        <v>1.08</v>
      </c>
      <c r="N157" s="123">
        <f t="shared" si="61"/>
        <v>1.08</v>
      </c>
      <c r="O157" s="123">
        <f t="shared" si="61"/>
        <v>1.08</v>
      </c>
      <c r="P157" s="123">
        <f t="shared" si="61"/>
        <v>1.08</v>
      </c>
      <c r="Q157" s="123">
        <f t="shared" si="61"/>
        <v>1.08</v>
      </c>
      <c r="R157" s="123">
        <f t="shared" si="61"/>
        <v>1.08</v>
      </c>
      <c r="S157" s="123">
        <f t="shared" si="61"/>
        <v>1.08</v>
      </c>
      <c r="T157" s="123">
        <f t="shared" si="62"/>
        <v>1.08</v>
      </c>
      <c r="U157" s="123">
        <f t="shared" si="62"/>
        <v>1.08</v>
      </c>
      <c r="V157" s="123">
        <f t="shared" si="62"/>
        <v>1.08</v>
      </c>
      <c r="W157" s="123">
        <f t="shared" si="62"/>
        <v>1.08</v>
      </c>
      <c r="X157" s="123">
        <f t="shared" si="62"/>
        <v>1.08</v>
      </c>
      <c r="Y157" s="123">
        <f t="shared" si="62"/>
        <v>1.08</v>
      </c>
      <c r="Z157" s="123">
        <f t="shared" si="62"/>
        <v>1.08</v>
      </c>
      <c r="AA157" s="123">
        <f t="shared" si="62"/>
        <v>1.08</v>
      </c>
      <c r="AB157" s="123">
        <f t="shared" si="62"/>
        <v>1.08</v>
      </c>
      <c r="AC157" s="123">
        <f t="shared" si="62"/>
        <v>1.08</v>
      </c>
      <c r="AD157" s="123">
        <f t="shared" si="62"/>
        <v>1.08</v>
      </c>
      <c r="AE157" s="123">
        <f t="shared" si="62"/>
        <v>1.08</v>
      </c>
      <c r="AF157" s="123">
        <f t="shared" si="62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60"/>
        <v>2.37</v>
      </c>
      <c r="C158" s="124">
        <v>2.37</v>
      </c>
      <c r="D158" s="123">
        <f t="shared" si="61"/>
        <v>2.37</v>
      </c>
      <c r="E158" s="123">
        <f t="shared" si="61"/>
        <v>2.37</v>
      </c>
      <c r="F158" s="123">
        <f t="shared" si="61"/>
        <v>2.37</v>
      </c>
      <c r="G158" s="123">
        <f t="shared" si="61"/>
        <v>2.37</v>
      </c>
      <c r="H158" s="123">
        <f t="shared" si="61"/>
        <v>2.37</v>
      </c>
      <c r="I158" s="123">
        <f t="shared" si="61"/>
        <v>2.37</v>
      </c>
      <c r="J158" s="123">
        <f t="shared" si="61"/>
        <v>2.37</v>
      </c>
      <c r="K158" s="123">
        <f t="shared" si="61"/>
        <v>2.37</v>
      </c>
      <c r="L158" s="123">
        <f t="shared" si="61"/>
        <v>2.37</v>
      </c>
      <c r="M158" s="123">
        <f t="shared" si="61"/>
        <v>2.37</v>
      </c>
      <c r="N158" s="123">
        <f t="shared" si="61"/>
        <v>2.37</v>
      </c>
      <c r="O158" s="123">
        <f t="shared" si="61"/>
        <v>2.37</v>
      </c>
      <c r="P158" s="123">
        <f t="shared" si="61"/>
        <v>2.37</v>
      </c>
      <c r="Q158" s="123">
        <f t="shared" si="61"/>
        <v>2.37</v>
      </c>
      <c r="R158" s="123">
        <f t="shared" si="61"/>
        <v>2.37</v>
      </c>
      <c r="S158" s="123">
        <f t="shared" si="61"/>
        <v>2.37</v>
      </c>
      <c r="T158" s="123">
        <f t="shared" si="62"/>
        <v>2.37</v>
      </c>
      <c r="U158" s="123">
        <f t="shared" si="62"/>
        <v>2.37</v>
      </c>
      <c r="V158" s="123">
        <f t="shared" si="62"/>
        <v>2.37</v>
      </c>
      <c r="W158" s="123">
        <f t="shared" si="62"/>
        <v>2.37</v>
      </c>
      <c r="X158" s="123">
        <f t="shared" si="62"/>
        <v>2.37</v>
      </c>
      <c r="Y158" s="123">
        <f t="shared" si="62"/>
        <v>2.37</v>
      </c>
      <c r="Z158" s="123">
        <f t="shared" si="62"/>
        <v>2.37</v>
      </c>
      <c r="AA158" s="123">
        <f t="shared" si="62"/>
        <v>2.37</v>
      </c>
      <c r="AB158" s="123">
        <f t="shared" si="62"/>
        <v>2.37</v>
      </c>
      <c r="AC158" s="123">
        <f t="shared" si="62"/>
        <v>2.37</v>
      </c>
      <c r="AD158" s="123">
        <f t="shared" si="62"/>
        <v>2.37</v>
      </c>
      <c r="AE158" s="123">
        <f t="shared" si="62"/>
        <v>2.37</v>
      </c>
      <c r="AF158" s="123">
        <f t="shared" si="62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60"/>
        <v>1.81</v>
      </c>
      <c r="C159" s="124">
        <v>1.81</v>
      </c>
      <c r="D159" s="123">
        <f t="shared" si="61"/>
        <v>1.81</v>
      </c>
      <c r="E159" s="123">
        <f t="shared" si="61"/>
        <v>1.81</v>
      </c>
      <c r="F159" s="123">
        <f t="shared" si="61"/>
        <v>1.81</v>
      </c>
      <c r="G159" s="123">
        <f t="shared" si="61"/>
        <v>1.81</v>
      </c>
      <c r="H159" s="123">
        <f t="shared" si="61"/>
        <v>1.81</v>
      </c>
      <c r="I159" s="123">
        <f t="shared" si="61"/>
        <v>1.81</v>
      </c>
      <c r="J159" s="123">
        <f t="shared" si="61"/>
        <v>1.81</v>
      </c>
      <c r="K159" s="123">
        <f t="shared" si="61"/>
        <v>1.81</v>
      </c>
      <c r="L159" s="123">
        <f t="shared" si="61"/>
        <v>1.81</v>
      </c>
      <c r="M159" s="123">
        <f t="shared" si="61"/>
        <v>1.81</v>
      </c>
      <c r="N159" s="123">
        <f t="shared" si="61"/>
        <v>1.81</v>
      </c>
      <c r="O159" s="123">
        <f t="shared" si="61"/>
        <v>1.81</v>
      </c>
      <c r="P159" s="123">
        <f t="shared" si="61"/>
        <v>1.81</v>
      </c>
      <c r="Q159" s="123">
        <f t="shared" si="61"/>
        <v>1.81</v>
      </c>
      <c r="R159" s="123">
        <f t="shared" si="61"/>
        <v>1.81</v>
      </c>
      <c r="S159" s="123">
        <f t="shared" si="61"/>
        <v>1.81</v>
      </c>
      <c r="T159" s="123">
        <f t="shared" si="62"/>
        <v>1.81</v>
      </c>
      <c r="U159" s="123">
        <f t="shared" si="62"/>
        <v>1.81</v>
      </c>
      <c r="V159" s="123">
        <f t="shared" si="62"/>
        <v>1.81</v>
      </c>
      <c r="W159" s="123">
        <f t="shared" si="62"/>
        <v>1.81</v>
      </c>
      <c r="X159" s="123">
        <f t="shared" si="62"/>
        <v>1.81</v>
      </c>
      <c r="Y159" s="123">
        <f t="shared" si="62"/>
        <v>1.81</v>
      </c>
      <c r="Z159" s="123">
        <f t="shared" si="62"/>
        <v>1.81</v>
      </c>
      <c r="AA159" s="123">
        <f t="shared" si="62"/>
        <v>1.81</v>
      </c>
      <c r="AB159" s="123">
        <f t="shared" si="62"/>
        <v>1.81</v>
      </c>
      <c r="AC159" s="123">
        <f t="shared" si="62"/>
        <v>1.81</v>
      </c>
      <c r="AD159" s="123">
        <f t="shared" si="62"/>
        <v>1.81</v>
      </c>
      <c r="AE159" s="123">
        <f t="shared" si="62"/>
        <v>1.81</v>
      </c>
      <c r="AF159" s="123">
        <f t="shared" si="62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60"/>
        <v>1.0900000000000001</v>
      </c>
      <c r="C160" s="124">
        <v>1.0900000000000001</v>
      </c>
      <c r="D160" s="123">
        <f t="shared" si="61"/>
        <v>1.0900000000000001</v>
      </c>
      <c r="E160" s="123">
        <f t="shared" si="61"/>
        <v>1.0900000000000001</v>
      </c>
      <c r="F160" s="123">
        <f t="shared" si="61"/>
        <v>1.0900000000000001</v>
      </c>
      <c r="G160" s="123">
        <f t="shared" si="61"/>
        <v>1.0900000000000001</v>
      </c>
      <c r="H160" s="123">
        <f t="shared" si="61"/>
        <v>1.0900000000000001</v>
      </c>
      <c r="I160" s="123">
        <f t="shared" si="61"/>
        <v>1.0900000000000001</v>
      </c>
      <c r="J160" s="123">
        <f t="shared" si="61"/>
        <v>1.0900000000000001</v>
      </c>
      <c r="K160" s="123">
        <f t="shared" si="61"/>
        <v>1.0900000000000001</v>
      </c>
      <c r="L160" s="123">
        <f t="shared" si="61"/>
        <v>1.0900000000000001</v>
      </c>
      <c r="M160" s="123">
        <f t="shared" si="61"/>
        <v>1.0900000000000001</v>
      </c>
      <c r="N160" s="123">
        <f t="shared" si="61"/>
        <v>1.0900000000000001</v>
      </c>
      <c r="O160" s="123">
        <f t="shared" si="61"/>
        <v>1.0900000000000001</v>
      </c>
      <c r="P160" s="123">
        <f t="shared" si="61"/>
        <v>1.0900000000000001</v>
      </c>
      <c r="Q160" s="123">
        <f t="shared" si="61"/>
        <v>1.0900000000000001</v>
      </c>
      <c r="R160" s="123">
        <f t="shared" si="61"/>
        <v>1.0900000000000001</v>
      </c>
      <c r="S160" s="123">
        <f t="shared" si="61"/>
        <v>1.0900000000000001</v>
      </c>
      <c r="T160" s="123">
        <f t="shared" si="62"/>
        <v>1.0900000000000001</v>
      </c>
      <c r="U160" s="123">
        <f t="shared" si="62"/>
        <v>1.0900000000000001</v>
      </c>
      <c r="V160" s="123">
        <f t="shared" si="62"/>
        <v>1.0900000000000001</v>
      </c>
      <c r="W160" s="123">
        <f t="shared" si="62"/>
        <v>1.0900000000000001</v>
      </c>
      <c r="X160" s="123">
        <f t="shared" si="62"/>
        <v>1.0900000000000001</v>
      </c>
      <c r="Y160" s="123">
        <f t="shared" si="62"/>
        <v>1.0900000000000001</v>
      </c>
      <c r="Z160" s="123">
        <f t="shared" si="62"/>
        <v>1.0900000000000001</v>
      </c>
      <c r="AA160" s="123">
        <f t="shared" si="62"/>
        <v>1.0900000000000001</v>
      </c>
      <c r="AB160" s="123">
        <f t="shared" si="62"/>
        <v>1.0900000000000001</v>
      </c>
      <c r="AC160" s="123">
        <f t="shared" si="62"/>
        <v>1.0900000000000001</v>
      </c>
      <c r="AD160" s="123">
        <f t="shared" si="62"/>
        <v>1.0900000000000001</v>
      </c>
      <c r="AE160" s="123">
        <f t="shared" si="62"/>
        <v>1.0900000000000001</v>
      </c>
      <c r="AF160" s="123">
        <f t="shared" si="62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60"/>
        <v>1.58</v>
      </c>
      <c r="C161" s="124">
        <v>1.58</v>
      </c>
      <c r="D161" s="123">
        <f t="shared" si="61"/>
        <v>1.58</v>
      </c>
      <c r="E161" s="123">
        <f t="shared" si="61"/>
        <v>1.58</v>
      </c>
      <c r="F161" s="123">
        <f t="shared" si="61"/>
        <v>1.58</v>
      </c>
      <c r="G161" s="123">
        <f t="shared" si="61"/>
        <v>1.58</v>
      </c>
      <c r="H161" s="123">
        <f t="shared" si="61"/>
        <v>1.58</v>
      </c>
      <c r="I161" s="123">
        <f t="shared" si="61"/>
        <v>1.58</v>
      </c>
      <c r="J161" s="123">
        <f t="shared" si="61"/>
        <v>1.58</v>
      </c>
      <c r="K161" s="123">
        <f t="shared" si="61"/>
        <v>1.58</v>
      </c>
      <c r="L161" s="123">
        <f t="shared" si="61"/>
        <v>1.58</v>
      </c>
      <c r="M161" s="123">
        <f t="shared" si="61"/>
        <v>1.58</v>
      </c>
      <c r="N161" s="123">
        <f t="shared" si="61"/>
        <v>1.58</v>
      </c>
      <c r="O161" s="123">
        <f t="shared" si="61"/>
        <v>1.58</v>
      </c>
      <c r="P161" s="123">
        <f t="shared" si="61"/>
        <v>1.58</v>
      </c>
      <c r="Q161" s="123">
        <f t="shared" si="61"/>
        <v>1.58</v>
      </c>
      <c r="R161" s="123">
        <f t="shared" si="61"/>
        <v>1.58</v>
      </c>
      <c r="S161" s="123">
        <f t="shared" si="61"/>
        <v>1.58</v>
      </c>
      <c r="T161" s="123">
        <f t="shared" si="62"/>
        <v>1.58</v>
      </c>
      <c r="U161" s="123">
        <f t="shared" si="62"/>
        <v>1.58</v>
      </c>
      <c r="V161" s="123">
        <f t="shared" si="62"/>
        <v>1.58</v>
      </c>
      <c r="W161" s="123">
        <f t="shared" si="62"/>
        <v>1.58</v>
      </c>
      <c r="X161" s="123">
        <f t="shared" si="62"/>
        <v>1.58</v>
      </c>
      <c r="Y161" s="123">
        <f t="shared" si="62"/>
        <v>1.58</v>
      </c>
      <c r="Z161" s="123">
        <f t="shared" si="62"/>
        <v>1.58</v>
      </c>
      <c r="AA161" s="123">
        <f t="shared" si="62"/>
        <v>1.58</v>
      </c>
      <c r="AB161" s="123">
        <f t="shared" si="62"/>
        <v>1.58</v>
      </c>
      <c r="AC161" s="123">
        <f t="shared" si="62"/>
        <v>1.58</v>
      </c>
      <c r="AD161" s="123">
        <f t="shared" si="62"/>
        <v>1.58</v>
      </c>
      <c r="AE161" s="123">
        <f t="shared" si="62"/>
        <v>1.58</v>
      </c>
      <c r="AF161" s="123">
        <f t="shared" si="62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60"/>
        <v>2</v>
      </c>
      <c r="C162" s="124">
        <v>2</v>
      </c>
      <c r="D162" s="123">
        <f t="shared" si="61"/>
        <v>2</v>
      </c>
      <c r="E162" s="123">
        <f t="shared" si="61"/>
        <v>2</v>
      </c>
      <c r="F162" s="123">
        <f t="shared" si="61"/>
        <v>2</v>
      </c>
      <c r="G162" s="123">
        <f t="shared" si="61"/>
        <v>2</v>
      </c>
      <c r="H162" s="123">
        <f t="shared" si="61"/>
        <v>2</v>
      </c>
      <c r="I162" s="123">
        <f t="shared" si="61"/>
        <v>2</v>
      </c>
      <c r="J162" s="123">
        <f t="shared" si="61"/>
        <v>2</v>
      </c>
      <c r="K162" s="123">
        <f t="shared" si="61"/>
        <v>2</v>
      </c>
      <c r="L162" s="123">
        <f t="shared" si="61"/>
        <v>2</v>
      </c>
      <c r="M162" s="123">
        <f t="shared" si="61"/>
        <v>2</v>
      </c>
      <c r="N162" s="123">
        <f t="shared" si="61"/>
        <v>2</v>
      </c>
      <c r="O162" s="123">
        <f t="shared" si="61"/>
        <v>2</v>
      </c>
      <c r="P162" s="123">
        <f t="shared" si="61"/>
        <v>2</v>
      </c>
      <c r="Q162" s="123">
        <f t="shared" si="61"/>
        <v>2</v>
      </c>
      <c r="R162" s="123">
        <f t="shared" si="61"/>
        <v>2</v>
      </c>
      <c r="S162" s="123">
        <f t="shared" si="61"/>
        <v>2</v>
      </c>
      <c r="T162" s="123">
        <f t="shared" si="62"/>
        <v>2</v>
      </c>
      <c r="U162" s="123">
        <f t="shared" si="62"/>
        <v>2</v>
      </c>
      <c r="V162" s="123">
        <f t="shared" si="62"/>
        <v>2</v>
      </c>
      <c r="W162" s="123">
        <f t="shared" si="62"/>
        <v>2</v>
      </c>
      <c r="X162" s="123">
        <f t="shared" si="62"/>
        <v>2</v>
      </c>
      <c r="Y162" s="123">
        <f t="shared" si="62"/>
        <v>2</v>
      </c>
      <c r="Z162" s="123">
        <f t="shared" si="62"/>
        <v>2</v>
      </c>
      <c r="AA162" s="123">
        <f t="shared" si="62"/>
        <v>2</v>
      </c>
      <c r="AB162" s="123">
        <f t="shared" si="62"/>
        <v>2</v>
      </c>
      <c r="AC162" s="123">
        <f t="shared" si="62"/>
        <v>2</v>
      </c>
      <c r="AD162" s="123">
        <f t="shared" si="62"/>
        <v>2</v>
      </c>
      <c r="AE162" s="123">
        <f t="shared" si="62"/>
        <v>2</v>
      </c>
      <c r="AF162" s="123">
        <f t="shared" si="62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60"/>
        <v>0.47</v>
      </c>
      <c r="C163" s="124">
        <v>0.47</v>
      </c>
      <c r="D163" s="123">
        <f t="shared" si="61"/>
        <v>0.47</v>
      </c>
      <c r="E163" s="123">
        <f t="shared" si="61"/>
        <v>0.47</v>
      </c>
      <c r="F163" s="123">
        <f t="shared" si="61"/>
        <v>0.47</v>
      </c>
      <c r="G163" s="123">
        <f t="shared" si="61"/>
        <v>0.47</v>
      </c>
      <c r="H163" s="123">
        <f t="shared" si="61"/>
        <v>0.47</v>
      </c>
      <c r="I163" s="123">
        <f t="shared" si="61"/>
        <v>0.47</v>
      </c>
      <c r="J163" s="123">
        <f t="shared" si="61"/>
        <v>0.47</v>
      </c>
      <c r="K163" s="123">
        <f t="shared" si="61"/>
        <v>0.47</v>
      </c>
      <c r="L163" s="123">
        <f t="shared" si="61"/>
        <v>0.47</v>
      </c>
      <c r="M163" s="123">
        <f t="shared" si="61"/>
        <v>0.47</v>
      </c>
      <c r="N163" s="123">
        <f t="shared" si="61"/>
        <v>0.47</v>
      </c>
      <c r="O163" s="123">
        <f t="shared" si="61"/>
        <v>0.47</v>
      </c>
      <c r="P163" s="123">
        <f t="shared" si="61"/>
        <v>0.47</v>
      </c>
      <c r="Q163" s="123">
        <f t="shared" si="61"/>
        <v>0.47</v>
      </c>
      <c r="R163" s="123">
        <f t="shared" si="61"/>
        <v>0.47</v>
      </c>
      <c r="S163" s="123">
        <f t="shared" si="61"/>
        <v>0.47</v>
      </c>
      <c r="T163" s="123">
        <f t="shared" si="62"/>
        <v>0.47</v>
      </c>
      <c r="U163" s="123">
        <f t="shared" si="62"/>
        <v>0.47</v>
      </c>
      <c r="V163" s="123">
        <f t="shared" si="62"/>
        <v>0.47</v>
      </c>
      <c r="W163" s="123">
        <f t="shared" si="62"/>
        <v>0.47</v>
      </c>
      <c r="X163" s="123">
        <f t="shared" si="62"/>
        <v>0.47</v>
      </c>
      <c r="Y163" s="123">
        <f t="shared" si="62"/>
        <v>0.47</v>
      </c>
      <c r="Z163" s="123">
        <f t="shared" si="62"/>
        <v>0.47</v>
      </c>
      <c r="AA163" s="123">
        <f t="shared" si="62"/>
        <v>0.47</v>
      </c>
      <c r="AB163" s="123">
        <f t="shared" si="62"/>
        <v>0.47</v>
      </c>
      <c r="AC163" s="123">
        <f t="shared" si="62"/>
        <v>0.47</v>
      </c>
      <c r="AD163" s="123">
        <f t="shared" si="62"/>
        <v>0.47</v>
      </c>
      <c r="AE163" s="123">
        <f t="shared" si="62"/>
        <v>0.47</v>
      </c>
      <c r="AF163" s="123">
        <f t="shared" si="62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60"/>
        <v>0</v>
      </c>
      <c r="C164" s="124">
        <v>0</v>
      </c>
      <c r="D164" s="123">
        <f t="shared" si="61"/>
        <v>0</v>
      </c>
      <c r="E164" s="123">
        <f t="shared" si="61"/>
        <v>0</v>
      </c>
      <c r="F164" s="123">
        <f t="shared" si="61"/>
        <v>0</v>
      </c>
      <c r="G164" s="123">
        <f t="shared" si="61"/>
        <v>0</v>
      </c>
      <c r="H164" s="123">
        <f t="shared" si="61"/>
        <v>0</v>
      </c>
      <c r="I164" s="123">
        <f t="shared" si="61"/>
        <v>0</v>
      </c>
      <c r="J164" s="123">
        <f t="shared" si="61"/>
        <v>0</v>
      </c>
      <c r="K164" s="123">
        <f t="shared" si="61"/>
        <v>0</v>
      </c>
      <c r="L164" s="123">
        <f t="shared" si="61"/>
        <v>0</v>
      </c>
      <c r="M164" s="123">
        <f t="shared" si="61"/>
        <v>0</v>
      </c>
      <c r="N164" s="123">
        <f t="shared" si="61"/>
        <v>0</v>
      </c>
      <c r="O164" s="123">
        <f t="shared" si="61"/>
        <v>0</v>
      </c>
      <c r="P164" s="123">
        <f t="shared" si="61"/>
        <v>0</v>
      </c>
      <c r="Q164" s="123">
        <f t="shared" si="61"/>
        <v>0</v>
      </c>
      <c r="R164" s="123">
        <f t="shared" si="61"/>
        <v>0</v>
      </c>
      <c r="S164" s="123">
        <f t="shared" si="61"/>
        <v>0</v>
      </c>
      <c r="T164" s="123">
        <f t="shared" si="62"/>
        <v>0</v>
      </c>
      <c r="U164" s="123">
        <f t="shared" si="62"/>
        <v>0</v>
      </c>
      <c r="V164" s="123">
        <f t="shared" si="62"/>
        <v>0</v>
      </c>
      <c r="W164" s="123">
        <f t="shared" si="62"/>
        <v>0</v>
      </c>
      <c r="X164" s="123">
        <f t="shared" si="62"/>
        <v>0</v>
      </c>
      <c r="Y164" s="123">
        <f t="shared" si="62"/>
        <v>0</v>
      </c>
      <c r="Z164" s="123">
        <f t="shared" si="62"/>
        <v>0</v>
      </c>
      <c r="AA164" s="123">
        <f t="shared" si="62"/>
        <v>0</v>
      </c>
      <c r="AB164" s="123">
        <f t="shared" si="62"/>
        <v>0</v>
      </c>
      <c r="AC164" s="123">
        <f t="shared" si="62"/>
        <v>0</v>
      </c>
      <c r="AD164" s="123">
        <f t="shared" si="62"/>
        <v>0</v>
      </c>
      <c r="AE164" s="123">
        <f t="shared" si="62"/>
        <v>0</v>
      </c>
      <c r="AF164" s="123">
        <f t="shared" si="62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60"/>
        <v>0</v>
      </c>
      <c r="C165" s="124">
        <v>0</v>
      </c>
      <c r="D165" s="123">
        <f t="shared" si="61"/>
        <v>0</v>
      </c>
      <c r="E165" s="123">
        <f t="shared" si="61"/>
        <v>0</v>
      </c>
      <c r="F165" s="123">
        <f t="shared" si="61"/>
        <v>0</v>
      </c>
      <c r="G165" s="123">
        <f t="shared" si="61"/>
        <v>0</v>
      </c>
      <c r="H165" s="123">
        <f t="shared" si="61"/>
        <v>0</v>
      </c>
      <c r="I165" s="123">
        <f t="shared" si="61"/>
        <v>0</v>
      </c>
      <c r="J165" s="123">
        <f t="shared" si="61"/>
        <v>0</v>
      </c>
      <c r="K165" s="123">
        <f t="shared" si="61"/>
        <v>0</v>
      </c>
      <c r="L165" s="123">
        <f t="shared" si="61"/>
        <v>0</v>
      </c>
      <c r="M165" s="123">
        <f t="shared" si="61"/>
        <v>0</v>
      </c>
      <c r="N165" s="123">
        <f t="shared" si="61"/>
        <v>0</v>
      </c>
      <c r="O165" s="123">
        <f t="shared" si="61"/>
        <v>0</v>
      </c>
      <c r="P165" s="123">
        <f t="shared" si="61"/>
        <v>0</v>
      </c>
      <c r="Q165" s="123">
        <f t="shared" si="61"/>
        <v>0</v>
      </c>
      <c r="R165" s="123">
        <f t="shared" si="61"/>
        <v>0</v>
      </c>
      <c r="S165" s="123">
        <f t="shared" si="62"/>
        <v>0</v>
      </c>
      <c r="T165" s="123">
        <f t="shared" si="62"/>
        <v>0</v>
      </c>
      <c r="U165" s="123">
        <f t="shared" si="62"/>
        <v>0</v>
      </c>
      <c r="V165" s="123">
        <f t="shared" si="62"/>
        <v>0</v>
      </c>
      <c r="W165" s="123">
        <f t="shared" si="62"/>
        <v>0</v>
      </c>
      <c r="X165" s="123">
        <f t="shared" si="62"/>
        <v>0</v>
      </c>
      <c r="Y165" s="123">
        <f t="shared" si="62"/>
        <v>0</v>
      </c>
      <c r="Z165" s="123">
        <f t="shared" si="62"/>
        <v>0</v>
      </c>
      <c r="AA165" s="123">
        <f t="shared" si="62"/>
        <v>0</v>
      </c>
      <c r="AB165" s="123">
        <f t="shared" si="62"/>
        <v>0</v>
      </c>
      <c r="AC165" s="123">
        <f t="shared" si="62"/>
        <v>0</v>
      </c>
      <c r="AD165" s="123">
        <f t="shared" si="62"/>
        <v>0</v>
      </c>
      <c r="AE165" s="123">
        <f t="shared" si="62"/>
        <v>0</v>
      </c>
      <c r="AF165" s="123">
        <f t="shared" si="62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60"/>
        <v>0.8</v>
      </c>
      <c r="C166" s="124">
        <v>0.8</v>
      </c>
      <c r="D166" s="123">
        <f t="shared" si="61"/>
        <v>0.8</v>
      </c>
      <c r="E166" s="123">
        <f t="shared" si="61"/>
        <v>0.8</v>
      </c>
      <c r="F166" s="123">
        <f t="shared" si="61"/>
        <v>0.8</v>
      </c>
      <c r="G166" s="123">
        <f t="shared" si="61"/>
        <v>0.8</v>
      </c>
      <c r="H166" s="123">
        <f t="shared" si="61"/>
        <v>0.8</v>
      </c>
      <c r="I166" s="123">
        <f t="shared" si="61"/>
        <v>0.8</v>
      </c>
      <c r="J166" s="123">
        <f t="shared" si="61"/>
        <v>0.8</v>
      </c>
      <c r="K166" s="123">
        <f t="shared" si="61"/>
        <v>0.8</v>
      </c>
      <c r="L166" s="123">
        <f t="shared" si="61"/>
        <v>0.8</v>
      </c>
      <c r="M166" s="123">
        <f t="shared" si="61"/>
        <v>0.8</v>
      </c>
      <c r="N166" s="123">
        <f t="shared" si="61"/>
        <v>0.8</v>
      </c>
      <c r="O166" s="123">
        <f t="shared" si="61"/>
        <v>0.8</v>
      </c>
      <c r="P166" s="123">
        <f t="shared" si="61"/>
        <v>0.8</v>
      </c>
      <c r="Q166" s="123">
        <f t="shared" si="61"/>
        <v>0.8</v>
      </c>
      <c r="R166" s="123">
        <f t="shared" si="61"/>
        <v>0.8</v>
      </c>
      <c r="S166" s="123">
        <f t="shared" si="62"/>
        <v>0.8</v>
      </c>
      <c r="T166" s="123">
        <f t="shared" si="62"/>
        <v>0.8</v>
      </c>
      <c r="U166" s="123">
        <f t="shared" si="62"/>
        <v>0.8</v>
      </c>
      <c r="V166" s="123">
        <f t="shared" si="62"/>
        <v>0.8</v>
      </c>
      <c r="W166" s="123">
        <f t="shared" si="62"/>
        <v>0.8</v>
      </c>
      <c r="X166" s="123">
        <f t="shared" si="62"/>
        <v>0.8</v>
      </c>
      <c r="Y166" s="123">
        <f t="shared" si="62"/>
        <v>0.8</v>
      </c>
      <c r="Z166" s="123">
        <f t="shared" si="62"/>
        <v>0.8</v>
      </c>
      <c r="AA166" s="123">
        <f t="shared" si="62"/>
        <v>0.8</v>
      </c>
      <c r="AB166" s="123">
        <f t="shared" si="62"/>
        <v>0.8</v>
      </c>
      <c r="AC166" s="123">
        <f t="shared" si="62"/>
        <v>0.8</v>
      </c>
      <c r="AD166" s="123">
        <f t="shared" si="62"/>
        <v>0.8</v>
      </c>
      <c r="AE166" s="123">
        <f t="shared" si="62"/>
        <v>0.8</v>
      </c>
      <c r="AF166" s="123">
        <f t="shared" si="62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60"/>
        <v>1.5</v>
      </c>
      <c r="C167" s="124">
        <v>1.5</v>
      </c>
      <c r="D167" s="123">
        <f t="shared" si="61"/>
        <v>1.5</v>
      </c>
      <c r="E167" s="123">
        <f t="shared" si="61"/>
        <v>1.5</v>
      </c>
      <c r="F167" s="123">
        <f t="shared" si="61"/>
        <v>1.5</v>
      </c>
      <c r="G167" s="123">
        <f t="shared" si="61"/>
        <v>1.5</v>
      </c>
      <c r="H167" s="123">
        <f t="shared" si="61"/>
        <v>1.5</v>
      </c>
      <c r="I167" s="123">
        <f t="shared" si="61"/>
        <v>1.5</v>
      </c>
      <c r="J167" s="123">
        <f t="shared" si="61"/>
        <v>1.5</v>
      </c>
      <c r="K167" s="123">
        <f t="shared" si="61"/>
        <v>1.5</v>
      </c>
      <c r="L167" s="123">
        <f t="shared" si="61"/>
        <v>1.5</v>
      </c>
      <c r="M167" s="123">
        <f t="shared" si="61"/>
        <v>1.5</v>
      </c>
      <c r="N167" s="123">
        <f t="shared" si="61"/>
        <v>1.5</v>
      </c>
      <c r="O167" s="123">
        <f t="shared" si="61"/>
        <v>1.5</v>
      </c>
      <c r="P167" s="123">
        <f t="shared" si="61"/>
        <v>1.5</v>
      </c>
      <c r="Q167" s="123">
        <f t="shared" si="61"/>
        <v>1.5</v>
      </c>
      <c r="R167" s="123">
        <f t="shared" si="61"/>
        <v>1.5</v>
      </c>
      <c r="S167" s="123">
        <f t="shared" si="62"/>
        <v>1.5</v>
      </c>
      <c r="T167" s="123">
        <f t="shared" si="62"/>
        <v>1.5</v>
      </c>
      <c r="U167" s="123">
        <f t="shared" si="62"/>
        <v>1.5</v>
      </c>
      <c r="V167" s="123">
        <f t="shared" si="62"/>
        <v>1.5</v>
      </c>
      <c r="W167" s="123">
        <f t="shared" si="62"/>
        <v>1.5</v>
      </c>
      <c r="X167" s="123">
        <f t="shared" si="62"/>
        <v>1.5</v>
      </c>
      <c r="Y167" s="123">
        <f t="shared" si="62"/>
        <v>1.5</v>
      </c>
      <c r="Z167" s="123">
        <f t="shared" si="62"/>
        <v>1.5</v>
      </c>
      <c r="AA167" s="123">
        <f t="shared" si="62"/>
        <v>1.5</v>
      </c>
      <c r="AB167" s="123">
        <f t="shared" si="62"/>
        <v>1.5</v>
      </c>
      <c r="AC167" s="123">
        <f t="shared" si="62"/>
        <v>1.5</v>
      </c>
      <c r="AD167" s="123">
        <f t="shared" si="62"/>
        <v>1.5</v>
      </c>
      <c r="AE167" s="123">
        <f t="shared" si="62"/>
        <v>1.5</v>
      </c>
      <c r="AF167" s="123">
        <f t="shared" si="62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60"/>
        <v>1</v>
      </c>
      <c r="C168" s="124">
        <v>1</v>
      </c>
      <c r="D168" s="123">
        <f t="shared" si="61"/>
        <v>1</v>
      </c>
      <c r="E168" s="123">
        <f t="shared" si="61"/>
        <v>1</v>
      </c>
      <c r="F168" s="123">
        <f t="shared" si="61"/>
        <v>1</v>
      </c>
      <c r="G168" s="123">
        <f t="shared" si="61"/>
        <v>1</v>
      </c>
      <c r="H168" s="123">
        <f t="shared" si="61"/>
        <v>1</v>
      </c>
      <c r="I168" s="123">
        <f t="shared" si="61"/>
        <v>1</v>
      </c>
      <c r="J168" s="123">
        <f t="shared" si="61"/>
        <v>1</v>
      </c>
      <c r="K168" s="123">
        <f t="shared" si="61"/>
        <v>1</v>
      </c>
      <c r="L168" s="123">
        <f t="shared" si="61"/>
        <v>1</v>
      </c>
      <c r="M168" s="123">
        <f t="shared" si="61"/>
        <v>1</v>
      </c>
      <c r="N168" s="123">
        <f t="shared" si="61"/>
        <v>1</v>
      </c>
      <c r="O168" s="123">
        <f t="shared" si="61"/>
        <v>1</v>
      </c>
      <c r="P168" s="123">
        <f t="shared" si="61"/>
        <v>1</v>
      </c>
      <c r="Q168" s="123">
        <f t="shared" si="61"/>
        <v>1</v>
      </c>
      <c r="R168" s="123">
        <f t="shared" si="61"/>
        <v>1</v>
      </c>
      <c r="S168" s="123">
        <f t="shared" si="62"/>
        <v>1</v>
      </c>
      <c r="T168" s="123">
        <f t="shared" si="62"/>
        <v>1</v>
      </c>
      <c r="U168" s="123">
        <f t="shared" si="62"/>
        <v>1</v>
      </c>
      <c r="V168" s="123">
        <f t="shared" si="62"/>
        <v>1</v>
      </c>
      <c r="W168" s="123">
        <f t="shared" si="62"/>
        <v>1</v>
      </c>
      <c r="X168" s="123">
        <f t="shared" si="62"/>
        <v>1</v>
      </c>
      <c r="Y168" s="123">
        <f t="shared" si="62"/>
        <v>1</v>
      </c>
      <c r="Z168" s="123">
        <f t="shared" si="62"/>
        <v>1</v>
      </c>
      <c r="AA168" s="123">
        <f t="shared" si="62"/>
        <v>1</v>
      </c>
      <c r="AB168" s="123">
        <f t="shared" si="62"/>
        <v>1</v>
      </c>
      <c r="AC168" s="123">
        <f t="shared" si="62"/>
        <v>1</v>
      </c>
      <c r="AD168" s="123">
        <f t="shared" si="62"/>
        <v>1</v>
      </c>
      <c r="AE168" s="123">
        <f t="shared" si="62"/>
        <v>1</v>
      </c>
      <c r="AF168" s="123">
        <f t="shared" si="62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63">AF170</f>
        <v>1</v>
      </c>
      <c r="C170" s="124">
        <v>1</v>
      </c>
      <c r="D170" s="123">
        <f t="shared" ref="D170:S177" si="64">C170</f>
        <v>1</v>
      </c>
      <c r="E170" s="123">
        <f t="shared" si="64"/>
        <v>1</v>
      </c>
      <c r="F170" s="123">
        <f t="shared" si="64"/>
        <v>1</v>
      </c>
      <c r="G170" s="123">
        <f t="shared" si="64"/>
        <v>1</v>
      </c>
      <c r="H170" s="123">
        <f t="shared" si="64"/>
        <v>1</v>
      </c>
      <c r="I170" s="123">
        <f t="shared" si="64"/>
        <v>1</v>
      </c>
      <c r="J170" s="123">
        <f t="shared" si="64"/>
        <v>1</v>
      </c>
      <c r="K170" s="123">
        <f t="shared" si="64"/>
        <v>1</v>
      </c>
      <c r="L170" s="123">
        <f t="shared" si="64"/>
        <v>1</v>
      </c>
      <c r="M170" s="123">
        <f t="shared" si="64"/>
        <v>1</v>
      </c>
      <c r="N170" s="123">
        <f t="shared" si="64"/>
        <v>1</v>
      </c>
      <c r="O170" s="123">
        <f t="shared" si="64"/>
        <v>1</v>
      </c>
      <c r="P170" s="123">
        <f t="shared" si="64"/>
        <v>1</v>
      </c>
      <c r="Q170" s="123">
        <f t="shared" si="64"/>
        <v>1</v>
      </c>
      <c r="R170" s="123">
        <f t="shared" si="64"/>
        <v>1</v>
      </c>
      <c r="S170" s="123">
        <f t="shared" si="64"/>
        <v>1</v>
      </c>
      <c r="T170" s="123">
        <f t="shared" ref="S170:AF177" si="65">S170</f>
        <v>1</v>
      </c>
      <c r="U170" s="123">
        <f t="shared" si="65"/>
        <v>1</v>
      </c>
      <c r="V170" s="123">
        <f t="shared" si="65"/>
        <v>1</v>
      </c>
      <c r="W170" s="123">
        <f t="shared" si="65"/>
        <v>1</v>
      </c>
      <c r="X170" s="123">
        <f t="shared" si="65"/>
        <v>1</v>
      </c>
      <c r="Y170" s="123">
        <f t="shared" si="65"/>
        <v>1</v>
      </c>
      <c r="Z170" s="123">
        <f t="shared" si="65"/>
        <v>1</v>
      </c>
      <c r="AA170" s="123">
        <f t="shared" si="65"/>
        <v>1</v>
      </c>
      <c r="AB170" s="123">
        <f t="shared" si="65"/>
        <v>1</v>
      </c>
      <c r="AC170" s="123">
        <f t="shared" si="65"/>
        <v>1</v>
      </c>
      <c r="AD170" s="123">
        <f t="shared" si="65"/>
        <v>1</v>
      </c>
      <c r="AE170" s="123">
        <f t="shared" si="65"/>
        <v>1</v>
      </c>
      <c r="AF170" s="123">
        <f t="shared" si="65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63"/>
        <v>0.42</v>
      </c>
      <c r="C171" s="124">
        <v>0.42</v>
      </c>
      <c r="D171" s="123">
        <f t="shared" si="64"/>
        <v>0.42</v>
      </c>
      <c r="E171" s="123">
        <f t="shared" si="64"/>
        <v>0.42</v>
      </c>
      <c r="F171" s="123">
        <f t="shared" si="64"/>
        <v>0.42</v>
      </c>
      <c r="G171" s="123">
        <f t="shared" si="64"/>
        <v>0.42</v>
      </c>
      <c r="H171" s="123">
        <f t="shared" si="64"/>
        <v>0.42</v>
      </c>
      <c r="I171" s="123">
        <f t="shared" si="64"/>
        <v>0.42</v>
      </c>
      <c r="J171" s="123">
        <f t="shared" si="64"/>
        <v>0.42</v>
      </c>
      <c r="K171" s="123">
        <f t="shared" si="64"/>
        <v>0.42</v>
      </c>
      <c r="L171" s="123">
        <f t="shared" si="64"/>
        <v>0.42</v>
      </c>
      <c r="M171" s="123">
        <f t="shared" si="64"/>
        <v>0.42</v>
      </c>
      <c r="N171" s="123">
        <f t="shared" si="64"/>
        <v>0.42</v>
      </c>
      <c r="O171" s="123">
        <f t="shared" si="64"/>
        <v>0.42</v>
      </c>
      <c r="P171" s="123">
        <f t="shared" si="64"/>
        <v>0.42</v>
      </c>
      <c r="Q171" s="123">
        <f t="shared" si="64"/>
        <v>0.42</v>
      </c>
      <c r="R171" s="123">
        <f t="shared" si="64"/>
        <v>0.42</v>
      </c>
      <c r="S171" s="123">
        <f t="shared" si="65"/>
        <v>0.42</v>
      </c>
      <c r="T171" s="123">
        <f t="shared" si="65"/>
        <v>0.42</v>
      </c>
      <c r="U171" s="123">
        <f t="shared" si="65"/>
        <v>0.42</v>
      </c>
      <c r="V171" s="123">
        <f t="shared" si="65"/>
        <v>0.42</v>
      </c>
      <c r="W171" s="123">
        <f t="shared" si="65"/>
        <v>0.42</v>
      </c>
      <c r="X171" s="123">
        <f t="shared" si="65"/>
        <v>0.42</v>
      </c>
      <c r="Y171" s="123">
        <f t="shared" si="65"/>
        <v>0.42</v>
      </c>
      <c r="Z171" s="123">
        <f t="shared" si="65"/>
        <v>0.42</v>
      </c>
      <c r="AA171" s="123">
        <f t="shared" si="65"/>
        <v>0.42</v>
      </c>
      <c r="AB171" s="123">
        <f t="shared" si="65"/>
        <v>0.42</v>
      </c>
      <c r="AC171" s="123">
        <f t="shared" si="65"/>
        <v>0.42</v>
      </c>
      <c r="AD171" s="123">
        <f t="shared" si="65"/>
        <v>0.42</v>
      </c>
      <c r="AE171" s="123">
        <f t="shared" si="65"/>
        <v>0.42</v>
      </c>
      <c r="AF171" s="123">
        <f t="shared" si="65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63"/>
        <v>0.46</v>
      </c>
      <c r="C172" s="124">
        <v>0.46</v>
      </c>
      <c r="D172" s="123">
        <f t="shared" si="64"/>
        <v>0.46</v>
      </c>
      <c r="E172" s="123">
        <f t="shared" si="64"/>
        <v>0.46</v>
      </c>
      <c r="F172" s="123">
        <f t="shared" si="64"/>
        <v>0.46</v>
      </c>
      <c r="G172" s="123">
        <f t="shared" si="64"/>
        <v>0.46</v>
      </c>
      <c r="H172" s="123">
        <f t="shared" si="64"/>
        <v>0.46</v>
      </c>
      <c r="I172" s="123">
        <f t="shared" si="64"/>
        <v>0.46</v>
      </c>
      <c r="J172" s="123">
        <f t="shared" si="64"/>
        <v>0.46</v>
      </c>
      <c r="K172" s="123">
        <f t="shared" si="64"/>
        <v>0.46</v>
      </c>
      <c r="L172" s="123">
        <f t="shared" si="64"/>
        <v>0.46</v>
      </c>
      <c r="M172" s="123">
        <f t="shared" si="64"/>
        <v>0.46</v>
      </c>
      <c r="N172" s="123">
        <f t="shared" si="64"/>
        <v>0.46</v>
      </c>
      <c r="O172" s="123">
        <f t="shared" si="64"/>
        <v>0.46</v>
      </c>
      <c r="P172" s="123">
        <f t="shared" si="64"/>
        <v>0.46</v>
      </c>
      <c r="Q172" s="123">
        <f t="shared" si="64"/>
        <v>0.46</v>
      </c>
      <c r="R172" s="123">
        <f t="shared" si="64"/>
        <v>0.46</v>
      </c>
      <c r="S172" s="123">
        <f t="shared" si="65"/>
        <v>0.46</v>
      </c>
      <c r="T172" s="123">
        <f t="shared" si="65"/>
        <v>0.46</v>
      </c>
      <c r="U172" s="123">
        <f t="shared" si="65"/>
        <v>0.46</v>
      </c>
      <c r="V172" s="123">
        <f t="shared" si="65"/>
        <v>0.46</v>
      </c>
      <c r="W172" s="123">
        <f t="shared" si="65"/>
        <v>0.46</v>
      </c>
      <c r="X172" s="123">
        <f t="shared" si="65"/>
        <v>0.46</v>
      </c>
      <c r="Y172" s="123">
        <f t="shared" si="65"/>
        <v>0.46</v>
      </c>
      <c r="Z172" s="123">
        <f t="shared" si="65"/>
        <v>0.46</v>
      </c>
      <c r="AA172" s="123">
        <f t="shared" si="65"/>
        <v>0.46</v>
      </c>
      <c r="AB172" s="123">
        <f t="shared" si="65"/>
        <v>0.46</v>
      </c>
      <c r="AC172" s="123">
        <f t="shared" si="65"/>
        <v>0.46</v>
      </c>
      <c r="AD172" s="123">
        <f t="shared" si="65"/>
        <v>0.46</v>
      </c>
      <c r="AE172" s="123">
        <f t="shared" si="65"/>
        <v>0.46</v>
      </c>
      <c r="AF172" s="123">
        <f t="shared" si="65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63"/>
        <v>0.85</v>
      </c>
      <c r="C173" s="124">
        <v>0.85</v>
      </c>
      <c r="D173" s="123">
        <f t="shared" si="64"/>
        <v>0.85</v>
      </c>
      <c r="E173" s="123">
        <f t="shared" si="64"/>
        <v>0.85</v>
      </c>
      <c r="F173" s="123">
        <f t="shared" si="64"/>
        <v>0.85</v>
      </c>
      <c r="G173" s="123">
        <f t="shared" si="64"/>
        <v>0.85</v>
      </c>
      <c r="H173" s="123">
        <f t="shared" si="64"/>
        <v>0.85</v>
      </c>
      <c r="I173" s="123">
        <f t="shared" si="64"/>
        <v>0.85</v>
      </c>
      <c r="J173" s="123">
        <f t="shared" si="64"/>
        <v>0.85</v>
      </c>
      <c r="K173" s="123">
        <f t="shared" si="64"/>
        <v>0.85</v>
      </c>
      <c r="L173" s="123">
        <f t="shared" si="64"/>
        <v>0.85</v>
      </c>
      <c r="M173" s="123">
        <f t="shared" si="64"/>
        <v>0.85</v>
      </c>
      <c r="N173" s="123">
        <f t="shared" si="64"/>
        <v>0.85</v>
      </c>
      <c r="O173" s="123">
        <f t="shared" si="64"/>
        <v>0.85</v>
      </c>
      <c r="P173" s="123">
        <f t="shared" si="64"/>
        <v>0.85</v>
      </c>
      <c r="Q173" s="123">
        <f t="shared" si="64"/>
        <v>0.85</v>
      </c>
      <c r="R173" s="123">
        <f t="shared" si="64"/>
        <v>0.85</v>
      </c>
      <c r="S173" s="123">
        <f t="shared" si="65"/>
        <v>0.85</v>
      </c>
      <c r="T173" s="123">
        <f t="shared" si="65"/>
        <v>0.85</v>
      </c>
      <c r="U173" s="123">
        <f t="shared" si="65"/>
        <v>0.85</v>
      </c>
      <c r="V173" s="123">
        <f t="shared" si="65"/>
        <v>0.85</v>
      </c>
      <c r="W173" s="123">
        <f t="shared" si="65"/>
        <v>0.85</v>
      </c>
      <c r="X173" s="123">
        <f t="shared" si="65"/>
        <v>0.85</v>
      </c>
      <c r="Y173" s="123">
        <f t="shared" si="65"/>
        <v>0.85</v>
      </c>
      <c r="Z173" s="123">
        <f t="shared" si="65"/>
        <v>0.85</v>
      </c>
      <c r="AA173" s="123">
        <f t="shared" si="65"/>
        <v>0.85</v>
      </c>
      <c r="AB173" s="123">
        <f t="shared" si="65"/>
        <v>0.85</v>
      </c>
      <c r="AC173" s="123">
        <f t="shared" si="65"/>
        <v>0.85</v>
      </c>
      <c r="AD173" s="123">
        <f t="shared" si="65"/>
        <v>0.85</v>
      </c>
      <c r="AE173" s="123">
        <f t="shared" si="65"/>
        <v>0.85</v>
      </c>
      <c r="AF173" s="123">
        <f t="shared" si="65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63"/>
        <v>0.9</v>
      </c>
      <c r="C174" s="124">
        <v>0.9</v>
      </c>
      <c r="D174" s="123">
        <f t="shared" si="64"/>
        <v>0.9</v>
      </c>
      <c r="E174" s="123">
        <f t="shared" si="64"/>
        <v>0.9</v>
      </c>
      <c r="F174" s="123">
        <f t="shared" si="64"/>
        <v>0.9</v>
      </c>
      <c r="G174" s="123">
        <f t="shared" si="64"/>
        <v>0.9</v>
      </c>
      <c r="H174" s="123">
        <f t="shared" si="64"/>
        <v>0.9</v>
      </c>
      <c r="I174" s="123">
        <f t="shared" si="64"/>
        <v>0.9</v>
      </c>
      <c r="J174" s="123">
        <f t="shared" si="64"/>
        <v>0.9</v>
      </c>
      <c r="K174" s="123">
        <f t="shared" si="64"/>
        <v>0.9</v>
      </c>
      <c r="L174" s="123">
        <f t="shared" si="64"/>
        <v>0.9</v>
      </c>
      <c r="M174" s="123">
        <f t="shared" si="64"/>
        <v>0.9</v>
      </c>
      <c r="N174" s="123">
        <f t="shared" si="64"/>
        <v>0.9</v>
      </c>
      <c r="O174" s="123">
        <f t="shared" si="64"/>
        <v>0.9</v>
      </c>
      <c r="P174" s="123">
        <f t="shared" si="64"/>
        <v>0.9</v>
      </c>
      <c r="Q174" s="123">
        <f t="shared" si="64"/>
        <v>0.9</v>
      </c>
      <c r="R174" s="123">
        <f t="shared" si="64"/>
        <v>0.9</v>
      </c>
      <c r="S174" s="123">
        <f t="shared" si="65"/>
        <v>0.9</v>
      </c>
      <c r="T174" s="123">
        <f t="shared" si="65"/>
        <v>0.9</v>
      </c>
      <c r="U174" s="123">
        <f t="shared" si="65"/>
        <v>0.9</v>
      </c>
      <c r="V174" s="123">
        <f t="shared" si="65"/>
        <v>0.9</v>
      </c>
      <c r="W174" s="123">
        <f t="shared" si="65"/>
        <v>0.9</v>
      </c>
      <c r="X174" s="123">
        <f t="shared" si="65"/>
        <v>0.9</v>
      </c>
      <c r="Y174" s="123">
        <f t="shared" si="65"/>
        <v>0.9</v>
      </c>
      <c r="Z174" s="123">
        <f t="shared" si="65"/>
        <v>0.9</v>
      </c>
      <c r="AA174" s="123">
        <f t="shared" si="65"/>
        <v>0.9</v>
      </c>
      <c r="AB174" s="123">
        <f t="shared" si="65"/>
        <v>0.9</v>
      </c>
      <c r="AC174" s="123">
        <f t="shared" si="65"/>
        <v>0.9</v>
      </c>
      <c r="AD174" s="123">
        <f t="shared" si="65"/>
        <v>0.9</v>
      </c>
      <c r="AE174" s="123">
        <f t="shared" si="65"/>
        <v>0.9</v>
      </c>
      <c r="AF174" s="123">
        <f t="shared" si="65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63"/>
        <v>0.44</v>
      </c>
      <c r="C175" s="124">
        <v>0.44</v>
      </c>
      <c r="D175" s="123">
        <f t="shared" si="64"/>
        <v>0.44</v>
      </c>
      <c r="E175" s="123">
        <f t="shared" si="64"/>
        <v>0.44</v>
      </c>
      <c r="F175" s="123">
        <f t="shared" si="64"/>
        <v>0.44</v>
      </c>
      <c r="G175" s="123">
        <f t="shared" si="64"/>
        <v>0.44</v>
      </c>
      <c r="H175" s="123">
        <f t="shared" si="64"/>
        <v>0.44</v>
      </c>
      <c r="I175" s="123">
        <f t="shared" si="64"/>
        <v>0.44</v>
      </c>
      <c r="J175" s="123">
        <f t="shared" si="64"/>
        <v>0.44</v>
      </c>
      <c r="K175" s="123">
        <f t="shared" si="64"/>
        <v>0.44</v>
      </c>
      <c r="L175" s="123">
        <f t="shared" si="64"/>
        <v>0.44</v>
      </c>
      <c r="M175" s="123">
        <f t="shared" si="64"/>
        <v>0.44</v>
      </c>
      <c r="N175" s="123">
        <f t="shared" si="64"/>
        <v>0.44</v>
      </c>
      <c r="O175" s="123">
        <f t="shared" si="64"/>
        <v>0.44</v>
      </c>
      <c r="P175" s="123">
        <f t="shared" si="64"/>
        <v>0.44</v>
      </c>
      <c r="Q175" s="123">
        <f t="shared" si="64"/>
        <v>0.44</v>
      </c>
      <c r="R175" s="123">
        <f t="shared" si="64"/>
        <v>0.44</v>
      </c>
      <c r="S175" s="123">
        <f t="shared" si="65"/>
        <v>0.44</v>
      </c>
      <c r="T175" s="123">
        <f t="shared" si="65"/>
        <v>0.44</v>
      </c>
      <c r="U175" s="123">
        <f t="shared" si="65"/>
        <v>0.44</v>
      </c>
      <c r="V175" s="123">
        <f t="shared" si="65"/>
        <v>0.44</v>
      </c>
      <c r="W175" s="123">
        <f t="shared" si="65"/>
        <v>0.44</v>
      </c>
      <c r="X175" s="123">
        <f t="shared" si="65"/>
        <v>0.44</v>
      </c>
      <c r="Y175" s="123">
        <f t="shared" si="65"/>
        <v>0.44</v>
      </c>
      <c r="Z175" s="123">
        <f t="shared" si="65"/>
        <v>0.44</v>
      </c>
      <c r="AA175" s="123">
        <f t="shared" si="65"/>
        <v>0.44</v>
      </c>
      <c r="AB175" s="123">
        <f t="shared" si="65"/>
        <v>0.44</v>
      </c>
      <c r="AC175" s="123">
        <f t="shared" si="65"/>
        <v>0.44</v>
      </c>
      <c r="AD175" s="123">
        <f t="shared" si="65"/>
        <v>0.44</v>
      </c>
      <c r="AE175" s="123">
        <f t="shared" si="65"/>
        <v>0.44</v>
      </c>
      <c r="AF175" s="123">
        <f t="shared" si="65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63"/>
        <v>2.1</v>
      </c>
      <c r="C176" s="124">
        <v>2.1</v>
      </c>
      <c r="D176" s="123">
        <f t="shared" si="64"/>
        <v>2.1</v>
      </c>
      <c r="E176" s="123">
        <f t="shared" si="64"/>
        <v>2.1</v>
      </c>
      <c r="F176" s="123">
        <f t="shared" si="64"/>
        <v>2.1</v>
      </c>
      <c r="G176" s="123">
        <f t="shared" si="64"/>
        <v>2.1</v>
      </c>
      <c r="H176" s="123">
        <f t="shared" si="64"/>
        <v>2.1</v>
      </c>
      <c r="I176" s="123">
        <f t="shared" si="64"/>
        <v>2.1</v>
      </c>
      <c r="J176" s="123">
        <f t="shared" si="64"/>
        <v>2.1</v>
      </c>
      <c r="K176" s="123">
        <f t="shared" si="64"/>
        <v>2.1</v>
      </c>
      <c r="L176" s="123">
        <f t="shared" si="64"/>
        <v>2.1</v>
      </c>
      <c r="M176" s="123">
        <f t="shared" si="64"/>
        <v>2.1</v>
      </c>
      <c r="N176" s="123">
        <f t="shared" si="64"/>
        <v>2.1</v>
      </c>
      <c r="O176" s="123">
        <f t="shared" si="64"/>
        <v>2.1</v>
      </c>
      <c r="P176" s="123">
        <f t="shared" si="64"/>
        <v>2.1</v>
      </c>
      <c r="Q176" s="123">
        <f t="shared" si="64"/>
        <v>2.1</v>
      </c>
      <c r="R176" s="123">
        <f t="shared" si="64"/>
        <v>2.1</v>
      </c>
      <c r="S176" s="123">
        <f t="shared" si="65"/>
        <v>2.1</v>
      </c>
      <c r="T176" s="123">
        <f t="shared" si="65"/>
        <v>2.1</v>
      </c>
      <c r="U176" s="123">
        <f t="shared" si="65"/>
        <v>2.1</v>
      </c>
      <c r="V176" s="123">
        <f t="shared" si="65"/>
        <v>2.1</v>
      </c>
      <c r="W176" s="123">
        <f t="shared" si="65"/>
        <v>2.1</v>
      </c>
      <c r="X176" s="123">
        <f t="shared" si="65"/>
        <v>2.1</v>
      </c>
      <c r="Y176" s="123">
        <f t="shared" si="65"/>
        <v>2.1</v>
      </c>
      <c r="Z176" s="123">
        <f t="shared" si="65"/>
        <v>2.1</v>
      </c>
      <c r="AA176" s="123">
        <f t="shared" si="65"/>
        <v>2.1</v>
      </c>
      <c r="AB176" s="123">
        <f t="shared" si="65"/>
        <v>2.1</v>
      </c>
      <c r="AC176" s="123">
        <f t="shared" si="65"/>
        <v>2.1</v>
      </c>
      <c r="AD176" s="123">
        <f t="shared" si="65"/>
        <v>2.1</v>
      </c>
      <c r="AE176" s="123">
        <f t="shared" si="65"/>
        <v>2.1</v>
      </c>
      <c r="AF176" s="123">
        <f t="shared" si="65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63"/>
        <v>0.9</v>
      </c>
      <c r="C177" s="124">
        <v>0.9</v>
      </c>
      <c r="D177" s="123">
        <f t="shared" si="64"/>
        <v>0.9</v>
      </c>
      <c r="E177" s="123">
        <f t="shared" si="64"/>
        <v>0.9</v>
      </c>
      <c r="F177" s="123">
        <f t="shared" si="64"/>
        <v>0.9</v>
      </c>
      <c r="G177" s="123">
        <f t="shared" si="64"/>
        <v>0.9</v>
      </c>
      <c r="H177" s="123">
        <f t="shared" si="64"/>
        <v>0.9</v>
      </c>
      <c r="I177" s="123">
        <f t="shared" si="64"/>
        <v>0.9</v>
      </c>
      <c r="J177" s="123">
        <f t="shared" si="64"/>
        <v>0.9</v>
      </c>
      <c r="K177" s="123">
        <f t="shared" si="64"/>
        <v>0.9</v>
      </c>
      <c r="L177" s="123">
        <f t="shared" si="64"/>
        <v>0.9</v>
      </c>
      <c r="M177" s="123">
        <f t="shared" si="64"/>
        <v>0.9</v>
      </c>
      <c r="N177" s="123">
        <f t="shared" si="64"/>
        <v>0.9</v>
      </c>
      <c r="O177" s="123">
        <f t="shared" si="64"/>
        <v>0.9</v>
      </c>
      <c r="P177" s="123">
        <f t="shared" si="64"/>
        <v>0.9</v>
      </c>
      <c r="Q177" s="123">
        <f t="shared" si="64"/>
        <v>0.9</v>
      </c>
      <c r="R177" s="123">
        <f t="shared" si="64"/>
        <v>0.9</v>
      </c>
      <c r="S177" s="123">
        <f t="shared" si="65"/>
        <v>0.9</v>
      </c>
      <c r="T177" s="123">
        <f t="shared" si="65"/>
        <v>0.9</v>
      </c>
      <c r="U177" s="123">
        <f t="shared" si="65"/>
        <v>0.9</v>
      </c>
      <c r="V177" s="123">
        <f t="shared" si="65"/>
        <v>0.9</v>
      </c>
      <c r="W177" s="123">
        <f t="shared" si="65"/>
        <v>0.9</v>
      </c>
      <c r="X177" s="123">
        <f t="shared" si="65"/>
        <v>0.9</v>
      </c>
      <c r="Y177" s="123">
        <f t="shared" si="65"/>
        <v>0.9</v>
      </c>
      <c r="Z177" s="123">
        <f t="shared" si="65"/>
        <v>0.9</v>
      </c>
      <c r="AA177" s="123">
        <f t="shared" si="65"/>
        <v>0.9</v>
      </c>
      <c r="AB177" s="123">
        <f t="shared" si="65"/>
        <v>0.9</v>
      </c>
      <c r="AC177" s="123">
        <f t="shared" si="65"/>
        <v>0.9</v>
      </c>
      <c r="AD177" s="123">
        <f t="shared" si="65"/>
        <v>0.9</v>
      </c>
      <c r="AE177" s="123">
        <f t="shared" si="65"/>
        <v>0.9</v>
      </c>
      <c r="AF177" s="123">
        <f t="shared" si="65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66">AF179</f>
        <v>0.57999999999999996</v>
      </c>
      <c r="C179" s="124">
        <v>0.57999999999999996</v>
      </c>
      <c r="D179" s="123">
        <f t="shared" ref="D179:S191" si="67">C179</f>
        <v>0.57999999999999996</v>
      </c>
      <c r="E179" s="123">
        <f t="shared" si="67"/>
        <v>0.57999999999999996</v>
      </c>
      <c r="F179" s="123">
        <f t="shared" si="67"/>
        <v>0.57999999999999996</v>
      </c>
      <c r="G179" s="123">
        <f t="shared" si="67"/>
        <v>0.57999999999999996</v>
      </c>
      <c r="H179" s="123">
        <f t="shared" si="67"/>
        <v>0.57999999999999996</v>
      </c>
      <c r="I179" s="123">
        <f t="shared" si="67"/>
        <v>0.57999999999999996</v>
      </c>
      <c r="J179" s="123">
        <f t="shared" si="67"/>
        <v>0.57999999999999996</v>
      </c>
      <c r="K179" s="123">
        <f t="shared" si="67"/>
        <v>0.57999999999999996</v>
      </c>
      <c r="L179" s="123">
        <f t="shared" si="67"/>
        <v>0.57999999999999996</v>
      </c>
      <c r="M179" s="123">
        <f t="shared" si="67"/>
        <v>0.57999999999999996</v>
      </c>
      <c r="N179" s="123">
        <f t="shared" si="67"/>
        <v>0.57999999999999996</v>
      </c>
      <c r="O179" s="123">
        <f t="shared" si="67"/>
        <v>0.57999999999999996</v>
      </c>
      <c r="P179" s="123">
        <f t="shared" si="67"/>
        <v>0.57999999999999996</v>
      </c>
      <c r="Q179" s="123">
        <f t="shared" si="67"/>
        <v>0.57999999999999996</v>
      </c>
      <c r="R179" s="123">
        <f t="shared" si="67"/>
        <v>0.57999999999999996</v>
      </c>
      <c r="S179" s="123">
        <f t="shared" si="67"/>
        <v>0.57999999999999996</v>
      </c>
      <c r="T179" s="123">
        <f t="shared" ref="S179:AF191" si="68">S179</f>
        <v>0.57999999999999996</v>
      </c>
      <c r="U179" s="123">
        <f t="shared" si="68"/>
        <v>0.57999999999999996</v>
      </c>
      <c r="V179" s="123">
        <f t="shared" si="68"/>
        <v>0.57999999999999996</v>
      </c>
      <c r="W179" s="123">
        <f t="shared" si="68"/>
        <v>0.57999999999999996</v>
      </c>
      <c r="X179" s="123">
        <f t="shared" si="68"/>
        <v>0.57999999999999996</v>
      </c>
      <c r="Y179" s="123">
        <f t="shared" si="68"/>
        <v>0.57999999999999996</v>
      </c>
      <c r="Z179" s="123">
        <f t="shared" si="68"/>
        <v>0.57999999999999996</v>
      </c>
      <c r="AA179" s="123">
        <f t="shared" si="68"/>
        <v>0.57999999999999996</v>
      </c>
      <c r="AB179" s="123">
        <f t="shared" si="68"/>
        <v>0.57999999999999996</v>
      </c>
      <c r="AC179" s="123">
        <f t="shared" si="68"/>
        <v>0.57999999999999996</v>
      </c>
      <c r="AD179" s="123">
        <f t="shared" si="68"/>
        <v>0.57999999999999996</v>
      </c>
      <c r="AE179" s="123">
        <f t="shared" si="68"/>
        <v>0.57999999999999996</v>
      </c>
      <c r="AF179" s="123">
        <f t="shared" si="68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66"/>
        <v>0.8</v>
      </c>
      <c r="C180" s="124">
        <v>0.8</v>
      </c>
      <c r="D180" s="123">
        <f t="shared" si="67"/>
        <v>0.8</v>
      </c>
      <c r="E180" s="123">
        <f t="shared" si="67"/>
        <v>0.8</v>
      </c>
      <c r="F180" s="123">
        <f t="shared" si="67"/>
        <v>0.8</v>
      </c>
      <c r="G180" s="123">
        <f t="shared" si="67"/>
        <v>0.8</v>
      </c>
      <c r="H180" s="123">
        <f t="shared" si="67"/>
        <v>0.8</v>
      </c>
      <c r="I180" s="123">
        <f t="shared" si="67"/>
        <v>0.8</v>
      </c>
      <c r="J180" s="123">
        <f t="shared" si="67"/>
        <v>0.8</v>
      </c>
      <c r="K180" s="123">
        <f t="shared" si="67"/>
        <v>0.8</v>
      </c>
      <c r="L180" s="123">
        <f t="shared" si="67"/>
        <v>0.8</v>
      </c>
      <c r="M180" s="123">
        <f t="shared" si="67"/>
        <v>0.8</v>
      </c>
      <c r="N180" s="123">
        <f t="shared" si="67"/>
        <v>0.8</v>
      </c>
      <c r="O180" s="123">
        <f t="shared" si="67"/>
        <v>0.8</v>
      </c>
      <c r="P180" s="123">
        <f t="shared" si="67"/>
        <v>0.8</v>
      </c>
      <c r="Q180" s="123">
        <f t="shared" si="67"/>
        <v>0.8</v>
      </c>
      <c r="R180" s="123">
        <f t="shared" si="67"/>
        <v>0.8</v>
      </c>
      <c r="S180" s="123">
        <f t="shared" si="67"/>
        <v>0.8</v>
      </c>
      <c r="T180" s="123">
        <f t="shared" si="68"/>
        <v>0.8</v>
      </c>
      <c r="U180" s="123">
        <f t="shared" si="68"/>
        <v>0.8</v>
      </c>
      <c r="V180" s="123">
        <f t="shared" si="68"/>
        <v>0.8</v>
      </c>
      <c r="W180" s="123">
        <f t="shared" si="68"/>
        <v>0.8</v>
      </c>
      <c r="X180" s="123">
        <f t="shared" si="68"/>
        <v>0.8</v>
      </c>
      <c r="Y180" s="123">
        <f t="shared" si="68"/>
        <v>0.8</v>
      </c>
      <c r="Z180" s="123">
        <f t="shared" si="68"/>
        <v>0.8</v>
      </c>
      <c r="AA180" s="123">
        <f t="shared" si="68"/>
        <v>0.8</v>
      </c>
      <c r="AB180" s="123">
        <f t="shared" si="68"/>
        <v>0.8</v>
      </c>
      <c r="AC180" s="123">
        <f t="shared" si="68"/>
        <v>0.8</v>
      </c>
      <c r="AD180" s="123">
        <f t="shared" si="68"/>
        <v>0.8</v>
      </c>
      <c r="AE180" s="123">
        <f t="shared" si="68"/>
        <v>0.8</v>
      </c>
      <c r="AF180" s="123">
        <f t="shared" si="68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66"/>
        <v>0</v>
      </c>
      <c r="C181" s="124">
        <v>0</v>
      </c>
      <c r="D181" s="123">
        <f t="shared" si="67"/>
        <v>0</v>
      </c>
      <c r="E181" s="123">
        <f t="shared" si="67"/>
        <v>0</v>
      </c>
      <c r="F181" s="123">
        <f t="shared" si="67"/>
        <v>0</v>
      </c>
      <c r="G181" s="123">
        <f t="shared" si="67"/>
        <v>0</v>
      </c>
      <c r="H181" s="123">
        <f t="shared" si="67"/>
        <v>0</v>
      </c>
      <c r="I181" s="123">
        <f t="shared" si="67"/>
        <v>0</v>
      </c>
      <c r="J181" s="123">
        <f t="shared" si="67"/>
        <v>0</v>
      </c>
      <c r="K181" s="123">
        <f t="shared" si="67"/>
        <v>0</v>
      </c>
      <c r="L181" s="123">
        <f t="shared" si="67"/>
        <v>0</v>
      </c>
      <c r="M181" s="123">
        <f t="shared" si="67"/>
        <v>0</v>
      </c>
      <c r="N181" s="123">
        <f t="shared" si="67"/>
        <v>0</v>
      </c>
      <c r="O181" s="123">
        <f t="shared" si="67"/>
        <v>0</v>
      </c>
      <c r="P181" s="123">
        <f t="shared" si="67"/>
        <v>0</v>
      </c>
      <c r="Q181" s="123">
        <f t="shared" si="67"/>
        <v>0</v>
      </c>
      <c r="R181" s="123">
        <f t="shared" si="67"/>
        <v>0</v>
      </c>
      <c r="S181" s="123">
        <f t="shared" si="67"/>
        <v>0</v>
      </c>
      <c r="T181" s="123">
        <f t="shared" si="68"/>
        <v>0</v>
      </c>
      <c r="U181" s="123">
        <f t="shared" si="68"/>
        <v>0</v>
      </c>
      <c r="V181" s="123">
        <f t="shared" si="68"/>
        <v>0</v>
      </c>
      <c r="W181" s="123">
        <f t="shared" si="68"/>
        <v>0</v>
      </c>
      <c r="X181" s="123">
        <f t="shared" si="68"/>
        <v>0</v>
      </c>
      <c r="Y181" s="123">
        <f t="shared" si="68"/>
        <v>0</v>
      </c>
      <c r="Z181" s="123">
        <f t="shared" si="68"/>
        <v>0</v>
      </c>
      <c r="AA181" s="123">
        <f t="shared" si="68"/>
        <v>0</v>
      </c>
      <c r="AB181" s="123">
        <f t="shared" si="68"/>
        <v>0</v>
      </c>
      <c r="AC181" s="123">
        <f t="shared" si="68"/>
        <v>0</v>
      </c>
      <c r="AD181" s="123">
        <f t="shared" si="68"/>
        <v>0</v>
      </c>
      <c r="AE181" s="123">
        <f t="shared" si="68"/>
        <v>0</v>
      </c>
      <c r="AF181" s="123">
        <f t="shared" si="68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66"/>
        <v>0.6</v>
      </c>
      <c r="C182" s="124">
        <v>0.6</v>
      </c>
      <c r="D182" s="123">
        <f t="shared" si="67"/>
        <v>0.6</v>
      </c>
      <c r="E182" s="123">
        <f t="shared" si="67"/>
        <v>0.6</v>
      </c>
      <c r="F182" s="123">
        <f t="shared" si="67"/>
        <v>0.6</v>
      </c>
      <c r="G182" s="123">
        <f t="shared" si="67"/>
        <v>0.6</v>
      </c>
      <c r="H182" s="123">
        <f t="shared" si="67"/>
        <v>0.6</v>
      </c>
      <c r="I182" s="123">
        <f t="shared" si="67"/>
        <v>0.6</v>
      </c>
      <c r="J182" s="123">
        <f t="shared" si="67"/>
        <v>0.6</v>
      </c>
      <c r="K182" s="123">
        <f t="shared" si="67"/>
        <v>0.6</v>
      </c>
      <c r="L182" s="123">
        <f t="shared" si="67"/>
        <v>0.6</v>
      </c>
      <c r="M182" s="123">
        <f t="shared" si="67"/>
        <v>0.6</v>
      </c>
      <c r="N182" s="123">
        <f t="shared" si="67"/>
        <v>0.6</v>
      </c>
      <c r="O182" s="123">
        <f t="shared" si="67"/>
        <v>0.6</v>
      </c>
      <c r="P182" s="123">
        <f t="shared" si="67"/>
        <v>0.6</v>
      </c>
      <c r="Q182" s="123">
        <f t="shared" si="67"/>
        <v>0.6</v>
      </c>
      <c r="R182" s="123">
        <f t="shared" si="67"/>
        <v>0.6</v>
      </c>
      <c r="S182" s="123">
        <f t="shared" si="67"/>
        <v>0.6</v>
      </c>
      <c r="T182" s="123">
        <f t="shared" si="68"/>
        <v>0.6</v>
      </c>
      <c r="U182" s="123">
        <f t="shared" si="68"/>
        <v>0.6</v>
      </c>
      <c r="V182" s="123">
        <f t="shared" si="68"/>
        <v>0.6</v>
      </c>
      <c r="W182" s="123">
        <f t="shared" si="68"/>
        <v>0.6</v>
      </c>
      <c r="X182" s="123">
        <f t="shared" si="68"/>
        <v>0.6</v>
      </c>
      <c r="Y182" s="123">
        <f t="shared" si="68"/>
        <v>0.6</v>
      </c>
      <c r="Z182" s="123">
        <f t="shared" si="68"/>
        <v>0.6</v>
      </c>
      <c r="AA182" s="123">
        <f t="shared" si="68"/>
        <v>0.6</v>
      </c>
      <c r="AB182" s="123">
        <f t="shared" si="68"/>
        <v>0.6</v>
      </c>
      <c r="AC182" s="123">
        <f t="shared" si="68"/>
        <v>0.6</v>
      </c>
      <c r="AD182" s="123">
        <f t="shared" si="68"/>
        <v>0.6</v>
      </c>
      <c r="AE182" s="123">
        <f t="shared" si="68"/>
        <v>0.6</v>
      </c>
      <c r="AF182" s="123">
        <f t="shared" si="68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66"/>
        <v>0.6</v>
      </c>
      <c r="C183" s="124">
        <v>0.6</v>
      </c>
      <c r="D183" s="123">
        <f t="shared" si="67"/>
        <v>0.6</v>
      </c>
      <c r="E183" s="123">
        <f t="shared" si="67"/>
        <v>0.6</v>
      </c>
      <c r="F183" s="123">
        <f t="shared" si="67"/>
        <v>0.6</v>
      </c>
      <c r="G183" s="123">
        <f t="shared" si="67"/>
        <v>0.6</v>
      </c>
      <c r="H183" s="123">
        <f t="shared" si="67"/>
        <v>0.6</v>
      </c>
      <c r="I183" s="123">
        <f t="shared" si="67"/>
        <v>0.6</v>
      </c>
      <c r="J183" s="123">
        <f t="shared" si="67"/>
        <v>0.6</v>
      </c>
      <c r="K183" s="123">
        <f t="shared" si="67"/>
        <v>0.6</v>
      </c>
      <c r="L183" s="123">
        <f t="shared" si="67"/>
        <v>0.6</v>
      </c>
      <c r="M183" s="123">
        <f t="shared" si="67"/>
        <v>0.6</v>
      </c>
      <c r="N183" s="123">
        <f t="shared" si="67"/>
        <v>0.6</v>
      </c>
      <c r="O183" s="123">
        <f t="shared" si="67"/>
        <v>0.6</v>
      </c>
      <c r="P183" s="123">
        <f t="shared" si="67"/>
        <v>0.6</v>
      </c>
      <c r="Q183" s="123">
        <f t="shared" si="67"/>
        <v>0.6</v>
      </c>
      <c r="R183" s="123">
        <f t="shared" si="67"/>
        <v>0.6</v>
      </c>
      <c r="S183" s="123">
        <f t="shared" si="67"/>
        <v>0.6</v>
      </c>
      <c r="T183" s="123">
        <f t="shared" si="68"/>
        <v>0.6</v>
      </c>
      <c r="U183" s="123">
        <f t="shared" si="68"/>
        <v>0.6</v>
      </c>
      <c r="V183" s="123">
        <f t="shared" si="68"/>
        <v>0.6</v>
      </c>
      <c r="W183" s="123">
        <f t="shared" si="68"/>
        <v>0.6</v>
      </c>
      <c r="X183" s="123">
        <f t="shared" si="68"/>
        <v>0.6</v>
      </c>
      <c r="Y183" s="123">
        <f t="shared" si="68"/>
        <v>0.6</v>
      </c>
      <c r="Z183" s="123">
        <f t="shared" si="68"/>
        <v>0.6</v>
      </c>
      <c r="AA183" s="123">
        <f t="shared" si="68"/>
        <v>0.6</v>
      </c>
      <c r="AB183" s="123">
        <f t="shared" si="68"/>
        <v>0.6</v>
      </c>
      <c r="AC183" s="123">
        <f t="shared" si="68"/>
        <v>0.6</v>
      </c>
      <c r="AD183" s="123">
        <f t="shared" si="68"/>
        <v>0.6</v>
      </c>
      <c r="AE183" s="123">
        <f t="shared" si="68"/>
        <v>0.6</v>
      </c>
      <c r="AF183" s="123">
        <f t="shared" si="68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66"/>
        <v>0.35</v>
      </c>
      <c r="C184" s="124">
        <v>0.35</v>
      </c>
      <c r="D184" s="123">
        <f t="shared" si="67"/>
        <v>0.35</v>
      </c>
      <c r="E184" s="123">
        <f t="shared" si="67"/>
        <v>0.35</v>
      </c>
      <c r="F184" s="123">
        <f t="shared" si="67"/>
        <v>0.35</v>
      </c>
      <c r="G184" s="123">
        <f t="shared" si="67"/>
        <v>0.35</v>
      </c>
      <c r="H184" s="123">
        <f t="shared" si="67"/>
        <v>0.35</v>
      </c>
      <c r="I184" s="123">
        <f t="shared" si="67"/>
        <v>0.35</v>
      </c>
      <c r="J184" s="123">
        <f t="shared" si="67"/>
        <v>0.35</v>
      </c>
      <c r="K184" s="123">
        <f t="shared" si="67"/>
        <v>0.35</v>
      </c>
      <c r="L184" s="123">
        <f t="shared" si="67"/>
        <v>0.35</v>
      </c>
      <c r="M184" s="123">
        <f t="shared" si="67"/>
        <v>0.35</v>
      </c>
      <c r="N184" s="123">
        <f t="shared" si="67"/>
        <v>0.35</v>
      </c>
      <c r="O184" s="123">
        <f t="shared" si="67"/>
        <v>0.35</v>
      </c>
      <c r="P184" s="123">
        <f t="shared" si="67"/>
        <v>0.35</v>
      </c>
      <c r="Q184" s="123">
        <f t="shared" si="67"/>
        <v>0.35</v>
      </c>
      <c r="R184" s="123">
        <f t="shared" si="67"/>
        <v>0.35</v>
      </c>
      <c r="S184" s="123">
        <f t="shared" si="67"/>
        <v>0.35</v>
      </c>
      <c r="T184" s="123">
        <f t="shared" si="68"/>
        <v>0.35</v>
      </c>
      <c r="U184" s="123">
        <f t="shared" si="68"/>
        <v>0.35</v>
      </c>
      <c r="V184" s="123">
        <f t="shared" si="68"/>
        <v>0.35</v>
      </c>
      <c r="W184" s="123">
        <f t="shared" si="68"/>
        <v>0.35</v>
      </c>
      <c r="X184" s="123">
        <f t="shared" si="68"/>
        <v>0.35</v>
      </c>
      <c r="Y184" s="123">
        <f t="shared" si="68"/>
        <v>0.35</v>
      </c>
      <c r="Z184" s="123">
        <f t="shared" si="68"/>
        <v>0.35</v>
      </c>
      <c r="AA184" s="123">
        <f t="shared" si="68"/>
        <v>0.35</v>
      </c>
      <c r="AB184" s="123">
        <f t="shared" si="68"/>
        <v>0.35</v>
      </c>
      <c r="AC184" s="123">
        <f t="shared" si="68"/>
        <v>0.35</v>
      </c>
      <c r="AD184" s="123">
        <f t="shared" si="68"/>
        <v>0.35</v>
      </c>
      <c r="AE184" s="123">
        <f t="shared" si="68"/>
        <v>0.35</v>
      </c>
      <c r="AF184" s="123">
        <f t="shared" si="68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66"/>
        <v>0.28999999999999998</v>
      </c>
      <c r="C185" s="124">
        <v>0.28999999999999998</v>
      </c>
      <c r="D185" s="123">
        <f t="shared" si="67"/>
        <v>0.28999999999999998</v>
      </c>
      <c r="E185" s="123">
        <f t="shared" si="67"/>
        <v>0.28999999999999998</v>
      </c>
      <c r="F185" s="123">
        <f t="shared" si="67"/>
        <v>0.28999999999999998</v>
      </c>
      <c r="G185" s="123">
        <f t="shared" si="67"/>
        <v>0.28999999999999998</v>
      </c>
      <c r="H185" s="123">
        <f t="shared" si="67"/>
        <v>0.28999999999999998</v>
      </c>
      <c r="I185" s="123">
        <f t="shared" si="67"/>
        <v>0.28999999999999998</v>
      </c>
      <c r="J185" s="123">
        <f t="shared" si="67"/>
        <v>0.28999999999999998</v>
      </c>
      <c r="K185" s="123">
        <f t="shared" si="67"/>
        <v>0.28999999999999998</v>
      </c>
      <c r="L185" s="123">
        <f t="shared" si="67"/>
        <v>0.28999999999999998</v>
      </c>
      <c r="M185" s="123">
        <f t="shared" si="67"/>
        <v>0.28999999999999998</v>
      </c>
      <c r="N185" s="123">
        <f t="shared" si="67"/>
        <v>0.28999999999999998</v>
      </c>
      <c r="O185" s="123">
        <f t="shared" si="67"/>
        <v>0.28999999999999998</v>
      </c>
      <c r="P185" s="123">
        <f t="shared" si="67"/>
        <v>0.28999999999999998</v>
      </c>
      <c r="Q185" s="123">
        <f t="shared" si="67"/>
        <v>0.28999999999999998</v>
      </c>
      <c r="R185" s="123">
        <f t="shared" si="67"/>
        <v>0.28999999999999998</v>
      </c>
      <c r="S185" s="123">
        <f t="shared" si="67"/>
        <v>0.28999999999999998</v>
      </c>
      <c r="T185" s="123">
        <f t="shared" si="68"/>
        <v>0.28999999999999998</v>
      </c>
      <c r="U185" s="123">
        <f t="shared" si="68"/>
        <v>0.28999999999999998</v>
      </c>
      <c r="V185" s="123">
        <f t="shared" si="68"/>
        <v>0.28999999999999998</v>
      </c>
      <c r="W185" s="123">
        <f t="shared" si="68"/>
        <v>0.28999999999999998</v>
      </c>
      <c r="X185" s="123">
        <f t="shared" si="68"/>
        <v>0.28999999999999998</v>
      </c>
      <c r="Y185" s="123">
        <f t="shared" si="68"/>
        <v>0.28999999999999998</v>
      </c>
      <c r="Z185" s="123">
        <f t="shared" si="68"/>
        <v>0.28999999999999998</v>
      </c>
      <c r="AA185" s="123">
        <f t="shared" si="68"/>
        <v>0.28999999999999998</v>
      </c>
      <c r="AB185" s="123">
        <f t="shared" si="68"/>
        <v>0.28999999999999998</v>
      </c>
      <c r="AC185" s="123">
        <f t="shared" si="68"/>
        <v>0.28999999999999998</v>
      </c>
      <c r="AD185" s="123">
        <f t="shared" si="68"/>
        <v>0.28999999999999998</v>
      </c>
      <c r="AE185" s="123">
        <f t="shared" si="68"/>
        <v>0.28999999999999998</v>
      </c>
      <c r="AF185" s="123">
        <f t="shared" si="68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66"/>
        <v>0.06</v>
      </c>
      <c r="C186" s="124">
        <v>0.06</v>
      </c>
      <c r="D186" s="123">
        <f t="shared" si="67"/>
        <v>0.06</v>
      </c>
      <c r="E186" s="123">
        <f t="shared" si="67"/>
        <v>0.06</v>
      </c>
      <c r="F186" s="123">
        <f t="shared" si="67"/>
        <v>0.06</v>
      </c>
      <c r="G186" s="123">
        <f t="shared" si="67"/>
        <v>0.06</v>
      </c>
      <c r="H186" s="123">
        <f t="shared" si="67"/>
        <v>0.06</v>
      </c>
      <c r="I186" s="123">
        <f t="shared" si="67"/>
        <v>0.06</v>
      </c>
      <c r="J186" s="123">
        <f t="shared" si="67"/>
        <v>0.06</v>
      </c>
      <c r="K186" s="123">
        <f t="shared" si="67"/>
        <v>0.06</v>
      </c>
      <c r="L186" s="123">
        <f t="shared" si="67"/>
        <v>0.06</v>
      </c>
      <c r="M186" s="123">
        <f t="shared" si="67"/>
        <v>0.06</v>
      </c>
      <c r="N186" s="123">
        <f t="shared" si="67"/>
        <v>0.06</v>
      </c>
      <c r="O186" s="123">
        <f t="shared" si="67"/>
        <v>0.06</v>
      </c>
      <c r="P186" s="123">
        <f t="shared" si="67"/>
        <v>0.06</v>
      </c>
      <c r="Q186" s="123">
        <f t="shared" si="67"/>
        <v>0.06</v>
      </c>
      <c r="R186" s="123">
        <f t="shared" si="67"/>
        <v>0.06</v>
      </c>
      <c r="S186" s="123">
        <f t="shared" si="67"/>
        <v>0.06</v>
      </c>
      <c r="T186" s="123">
        <f t="shared" si="68"/>
        <v>0.06</v>
      </c>
      <c r="U186" s="123">
        <f t="shared" si="68"/>
        <v>0.06</v>
      </c>
      <c r="V186" s="123">
        <f t="shared" si="68"/>
        <v>0.06</v>
      </c>
      <c r="W186" s="123">
        <f t="shared" si="68"/>
        <v>0.06</v>
      </c>
      <c r="X186" s="123">
        <f t="shared" si="68"/>
        <v>0.06</v>
      </c>
      <c r="Y186" s="123">
        <f t="shared" si="68"/>
        <v>0.06</v>
      </c>
      <c r="Z186" s="123">
        <f t="shared" si="68"/>
        <v>0.06</v>
      </c>
      <c r="AA186" s="123">
        <f t="shared" si="68"/>
        <v>0.06</v>
      </c>
      <c r="AB186" s="123">
        <f t="shared" si="68"/>
        <v>0.06</v>
      </c>
      <c r="AC186" s="123">
        <f t="shared" si="68"/>
        <v>0.06</v>
      </c>
      <c r="AD186" s="123">
        <f t="shared" si="68"/>
        <v>0.06</v>
      </c>
      <c r="AE186" s="123">
        <f t="shared" si="68"/>
        <v>0.06</v>
      </c>
      <c r="AF186" s="123">
        <f t="shared" si="68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66"/>
        <v>0.11</v>
      </c>
      <c r="C187" s="124">
        <v>0.11</v>
      </c>
      <c r="D187" s="123">
        <f t="shared" si="67"/>
        <v>0.11</v>
      </c>
      <c r="E187" s="123">
        <f t="shared" si="67"/>
        <v>0.11</v>
      </c>
      <c r="F187" s="123">
        <f t="shared" si="67"/>
        <v>0.11</v>
      </c>
      <c r="G187" s="123">
        <f t="shared" si="67"/>
        <v>0.11</v>
      </c>
      <c r="H187" s="123">
        <f t="shared" si="67"/>
        <v>0.11</v>
      </c>
      <c r="I187" s="123">
        <f t="shared" si="67"/>
        <v>0.11</v>
      </c>
      <c r="J187" s="123">
        <f t="shared" si="67"/>
        <v>0.11</v>
      </c>
      <c r="K187" s="123">
        <f t="shared" si="67"/>
        <v>0.11</v>
      </c>
      <c r="L187" s="123">
        <f t="shared" si="67"/>
        <v>0.11</v>
      </c>
      <c r="M187" s="123">
        <f t="shared" si="67"/>
        <v>0.11</v>
      </c>
      <c r="N187" s="123">
        <f t="shared" si="67"/>
        <v>0.11</v>
      </c>
      <c r="O187" s="123">
        <f t="shared" si="67"/>
        <v>0.11</v>
      </c>
      <c r="P187" s="123">
        <f t="shared" si="67"/>
        <v>0.11</v>
      </c>
      <c r="Q187" s="123">
        <f t="shared" si="67"/>
        <v>0.11</v>
      </c>
      <c r="R187" s="123">
        <f t="shared" si="67"/>
        <v>0.11</v>
      </c>
      <c r="S187" s="123">
        <f t="shared" si="67"/>
        <v>0.11</v>
      </c>
      <c r="T187" s="123">
        <f t="shared" si="68"/>
        <v>0.11</v>
      </c>
      <c r="U187" s="123">
        <f t="shared" si="68"/>
        <v>0.11</v>
      </c>
      <c r="V187" s="123">
        <f t="shared" si="68"/>
        <v>0.11</v>
      </c>
      <c r="W187" s="123">
        <f t="shared" si="68"/>
        <v>0.11</v>
      </c>
      <c r="X187" s="123">
        <f t="shared" si="68"/>
        <v>0.11</v>
      </c>
      <c r="Y187" s="123">
        <f t="shared" si="68"/>
        <v>0.11</v>
      </c>
      <c r="Z187" s="123">
        <f t="shared" si="68"/>
        <v>0.11</v>
      </c>
      <c r="AA187" s="123">
        <f t="shared" si="68"/>
        <v>0.11</v>
      </c>
      <c r="AB187" s="123">
        <f t="shared" si="68"/>
        <v>0.11</v>
      </c>
      <c r="AC187" s="123">
        <f t="shared" si="68"/>
        <v>0.11</v>
      </c>
      <c r="AD187" s="123">
        <f t="shared" si="68"/>
        <v>0.11</v>
      </c>
      <c r="AE187" s="123">
        <f t="shared" si="68"/>
        <v>0.11</v>
      </c>
      <c r="AF187" s="123">
        <f t="shared" si="68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66"/>
        <v>0.1</v>
      </c>
      <c r="C188" s="124">
        <v>0.1</v>
      </c>
      <c r="D188" s="123">
        <f t="shared" si="67"/>
        <v>0.1</v>
      </c>
      <c r="E188" s="123">
        <f t="shared" si="67"/>
        <v>0.1</v>
      </c>
      <c r="F188" s="123">
        <f t="shared" si="67"/>
        <v>0.1</v>
      </c>
      <c r="G188" s="123">
        <f t="shared" si="67"/>
        <v>0.1</v>
      </c>
      <c r="H188" s="123">
        <f t="shared" si="67"/>
        <v>0.1</v>
      </c>
      <c r="I188" s="123">
        <f t="shared" si="67"/>
        <v>0.1</v>
      </c>
      <c r="J188" s="123">
        <f t="shared" si="67"/>
        <v>0.1</v>
      </c>
      <c r="K188" s="123">
        <f t="shared" si="67"/>
        <v>0.1</v>
      </c>
      <c r="L188" s="123">
        <f t="shared" si="67"/>
        <v>0.1</v>
      </c>
      <c r="M188" s="123">
        <f t="shared" si="67"/>
        <v>0.1</v>
      </c>
      <c r="N188" s="123">
        <f t="shared" si="67"/>
        <v>0.1</v>
      </c>
      <c r="O188" s="123">
        <f t="shared" si="67"/>
        <v>0.1</v>
      </c>
      <c r="P188" s="123">
        <f t="shared" si="67"/>
        <v>0.1</v>
      </c>
      <c r="Q188" s="123">
        <f t="shared" si="67"/>
        <v>0.1</v>
      </c>
      <c r="R188" s="123">
        <f t="shared" si="67"/>
        <v>0.1</v>
      </c>
      <c r="S188" s="123">
        <f t="shared" si="68"/>
        <v>0.1</v>
      </c>
      <c r="T188" s="123">
        <f t="shared" si="68"/>
        <v>0.1</v>
      </c>
      <c r="U188" s="123">
        <f t="shared" si="68"/>
        <v>0.1</v>
      </c>
      <c r="V188" s="123">
        <f t="shared" si="68"/>
        <v>0.1</v>
      </c>
      <c r="W188" s="123">
        <f t="shared" si="68"/>
        <v>0.1</v>
      </c>
      <c r="X188" s="123">
        <f t="shared" si="68"/>
        <v>0.1</v>
      </c>
      <c r="Y188" s="123">
        <f t="shared" si="68"/>
        <v>0.1</v>
      </c>
      <c r="Z188" s="123">
        <f t="shared" si="68"/>
        <v>0.1</v>
      </c>
      <c r="AA188" s="123">
        <f t="shared" si="68"/>
        <v>0.1</v>
      </c>
      <c r="AB188" s="123">
        <f t="shared" si="68"/>
        <v>0.1</v>
      </c>
      <c r="AC188" s="123">
        <f t="shared" si="68"/>
        <v>0.1</v>
      </c>
      <c r="AD188" s="123">
        <f t="shared" si="68"/>
        <v>0.1</v>
      </c>
      <c r="AE188" s="123">
        <f t="shared" si="68"/>
        <v>0.1</v>
      </c>
      <c r="AF188" s="123">
        <f t="shared" si="68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66"/>
        <v>0.09</v>
      </c>
      <c r="C189" s="124">
        <v>0.09</v>
      </c>
      <c r="D189" s="123">
        <f t="shared" si="67"/>
        <v>0.09</v>
      </c>
      <c r="E189" s="123">
        <f t="shared" si="67"/>
        <v>0.09</v>
      </c>
      <c r="F189" s="123">
        <f t="shared" si="67"/>
        <v>0.09</v>
      </c>
      <c r="G189" s="123">
        <f t="shared" si="67"/>
        <v>0.09</v>
      </c>
      <c r="H189" s="123">
        <f t="shared" si="67"/>
        <v>0.09</v>
      </c>
      <c r="I189" s="123">
        <f t="shared" si="67"/>
        <v>0.09</v>
      </c>
      <c r="J189" s="123">
        <f t="shared" si="67"/>
        <v>0.09</v>
      </c>
      <c r="K189" s="123">
        <f t="shared" si="67"/>
        <v>0.09</v>
      </c>
      <c r="L189" s="123">
        <f t="shared" si="67"/>
        <v>0.09</v>
      </c>
      <c r="M189" s="123">
        <f t="shared" si="67"/>
        <v>0.09</v>
      </c>
      <c r="N189" s="123">
        <f t="shared" si="67"/>
        <v>0.09</v>
      </c>
      <c r="O189" s="123">
        <f t="shared" si="67"/>
        <v>0.09</v>
      </c>
      <c r="P189" s="123">
        <f t="shared" si="67"/>
        <v>0.09</v>
      </c>
      <c r="Q189" s="123">
        <f t="shared" si="67"/>
        <v>0.09</v>
      </c>
      <c r="R189" s="123">
        <f t="shared" si="67"/>
        <v>0.09</v>
      </c>
      <c r="S189" s="123">
        <f t="shared" si="68"/>
        <v>0.09</v>
      </c>
      <c r="T189" s="123">
        <f t="shared" si="68"/>
        <v>0.09</v>
      </c>
      <c r="U189" s="123">
        <f t="shared" si="68"/>
        <v>0.09</v>
      </c>
      <c r="V189" s="123">
        <f t="shared" si="68"/>
        <v>0.09</v>
      </c>
      <c r="W189" s="123">
        <f t="shared" si="68"/>
        <v>0.09</v>
      </c>
      <c r="X189" s="123">
        <f t="shared" si="68"/>
        <v>0.09</v>
      </c>
      <c r="Y189" s="123">
        <f t="shared" si="68"/>
        <v>0.09</v>
      </c>
      <c r="Z189" s="123">
        <f t="shared" si="68"/>
        <v>0.09</v>
      </c>
      <c r="AA189" s="123">
        <f t="shared" si="68"/>
        <v>0.09</v>
      </c>
      <c r="AB189" s="123">
        <f t="shared" si="68"/>
        <v>0.09</v>
      </c>
      <c r="AC189" s="123">
        <f t="shared" si="68"/>
        <v>0.09</v>
      </c>
      <c r="AD189" s="123">
        <f t="shared" si="68"/>
        <v>0.09</v>
      </c>
      <c r="AE189" s="123">
        <f t="shared" si="68"/>
        <v>0.09</v>
      </c>
      <c r="AF189" s="123">
        <f t="shared" si="68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66"/>
        <v>0.04</v>
      </c>
      <c r="C190" s="54">
        <v>0.04</v>
      </c>
      <c r="D190" s="123">
        <f t="shared" si="67"/>
        <v>0.04</v>
      </c>
      <c r="E190" s="123">
        <f t="shared" si="67"/>
        <v>0.04</v>
      </c>
      <c r="F190" s="123">
        <f t="shared" si="67"/>
        <v>0.04</v>
      </c>
      <c r="G190" s="123">
        <f t="shared" si="67"/>
        <v>0.04</v>
      </c>
      <c r="H190" s="123">
        <f t="shared" si="67"/>
        <v>0.04</v>
      </c>
      <c r="I190" s="123">
        <f t="shared" si="67"/>
        <v>0.04</v>
      </c>
      <c r="J190" s="123">
        <f t="shared" si="67"/>
        <v>0.04</v>
      </c>
      <c r="K190" s="123">
        <f t="shared" si="67"/>
        <v>0.04</v>
      </c>
      <c r="L190" s="123">
        <f t="shared" si="67"/>
        <v>0.04</v>
      </c>
      <c r="M190" s="123">
        <f t="shared" si="67"/>
        <v>0.04</v>
      </c>
      <c r="N190" s="123">
        <f t="shared" si="67"/>
        <v>0.04</v>
      </c>
      <c r="O190" s="123">
        <f t="shared" si="67"/>
        <v>0.04</v>
      </c>
      <c r="P190" s="123">
        <f t="shared" si="67"/>
        <v>0.04</v>
      </c>
      <c r="Q190" s="123">
        <f t="shared" si="67"/>
        <v>0.04</v>
      </c>
      <c r="R190" s="123">
        <f t="shared" si="67"/>
        <v>0.04</v>
      </c>
      <c r="S190" s="123">
        <f t="shared" si="68"/>
        <v>0.04</v>
      </c>
      <c r="T190" s="123">
        <f t="shared" si="68"/>
        <v>0.04</v>
      </c>
      <c r="U190" s="123">
        <f t="shared" si="68"/>
        <v>0.04</v>
      </c>
      <c r="V190" s="123">
        <f t="shared" si="68"/>
        <v>0.04</v>
      </c>
      <c r="W190" s="123">
        <f t="shared" si="68"/>
        <v>0.04</v>
      </c>
      <c r="X190" s="123">
        <f t="shared" si="68"/>
        <v>0.04</v>
      </c>
      <c r="Y190" s="123">
        <f t="shared" si="68"/>
        <v>0.04</v>
      </c>
      <c r="Z190" s="123">
        <f t="shared" si="68"/>
        <v>0.04</v>
      </c>
      <c r="AA190" s="123">
        <f t="shared" si="68"/>
        <v>0.04</v>
      </c>
      <c r="AB190" s="123">
        <f t="shared" si="68"/>
        <v>0.04</v>
      </c>
      <c r="AC190" s="123">
        <f t="shared" si="68"/>
        <v>0.04</v>
      </c>
      <c r="AD190" s="123">
        <f t="shared" si="68"/>
        <v>0.04</v>
      </c>
      <c r="AE190" s="123">
        <f t="shared" si="68"/>
        <v>0.04</v>
      </c>
      <c r="AF190" s="123">
        <f t="shared" si="68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66"/>
        <v>2.3E-2</v>
      </c>
      <c r="C191" s="54">
        <v>2.3E-2</v>
      </c>
      <c r="D191" s="123">
        <f>C191</f>
        <v>2.3E-2</v>
      </c>
      <c r="E191" s="123">
        <f t="shared" si="67"/>
        <v>2.3E-2</v>
      </c>
      <c r="F191" s="123">
        <f t="shared" si="67"/>
        <v>2.3E-2</v>
      </c>
      <c r="G191" s="123">
        <f t="shared" si="67"/>
        <v>2.3E-2</v>
      </c>
      <c r="H191" s="123">
        <f t="shared" si="67"/>
        <v>2.3E-2</v>
      </c>
      <c r="I191" s="123">
        <f t="shared" si="67"/>
        <v>2.3E-2</v>
      </c>
      <c r="J191" s="123">
        <f t="shared" si="67"/>
        <v>2.3E-2</v>
      </c>
      <c r="K191" s="123">
        <f t="shared" si="67"/>
        <v>2.3E-2</v>
      </c>
      <c r="L191" s="123">
        <f t="shared" si="67"/>
        <v>2.3E-2</v>
      </c>
      <c r="M191" s="123">
        <f t="shared" si="67"/>
        <v>2.3E-2</v>
      </c>
      <c r="N191" s="123">
        <f t="shared" si="67"/>
        <v>2.3E-2</v>
      </c>
      <c r="O191" s="123">
        <f t="shared" si="67"/>
        <v>2.3E-2</v>
      </c>
      <c r="P191" s="123">
        <f t="shared" si="67"/>
        <v>2.3E-2</v>
      </c>
      <c r="Q191" s="123">
        <f t="shared" si="67"/>
        <v>2.3E-2</v>
      </c>
      <c r="R191" s="123">
        <f t="shared" si="67"/>
        <v>2.3E-2</v>
      </c>
      <c r="S191" s="123">
        <f t="shared" si="68"/>
        <v>2.3E-2</v>
      </c>
      <c r="T191" s="123">
        <f t="shared" si="68"/>
        <v>2.3E-2</v>
      </c>
      <c r="U191" s="123">
        <f t="shared" si="68"/>
        <v>2.3E-2</v>
      </c>
      <c r="V191" s="123">
        <f t="shared" si="68"/>
        <v>2.3E-2</v>
      </c>
      <c r="W191" s="123">
        <f t="shared" si="68"/>
        <v>2.3E-2</v>
      </c>
      <c r="X191" s="123">
        <f t="shared" si="68"/>
        <v>2.3E-2</v>
      </c>
      <c r="Y191" s="123">
        <f t="shared" si="68"/>
        <v>2.3E-2</v>
      </c>
      <c r="Z191" s="123">
        <f t="shared" si="68"/>
        <v>2.3E-2</v>
      </c>
      <c r="AA191" s="123">
        <f t="shared" si="68"/>
        <v>2.3E-2</v>
      </c>
      <c r="AB191" s="123">
        <f t="shared" si="68"/>
        <v>2.3E-2</v>
      </c>
      <c r="AC191" s="123">
        <f t="shared" si="68"/>
        <v>2.3E-2</v>
      </c>
      <c r="AD191" s="123">
        <f t="shared" si="68"/>
        <v>2.3E-2</v>
      </c>
      <c r="AE191" s="123">
        <f t="shared" si="68"/>
        <v>2.3E-2</v>
      </c>
      <c r="AF191" s="123">
        <f t="shared" si="68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69">SUM(C102:C191)</f>
        <v>194.70600000000002</v>
      </c>
      <c r="D192" s="128">
        <f t="shared" si="69"/>
        <v>194.70600000000002</v>
      </c>
      <c r="E192" s="128">
        <f t="shared" si="69"/>
        <v>194.70600000000002</v>
      </c>
      <c r="F192" s="128">
        <f t="shared" si="69"/>
        <v>194.70600000000002</v>
      </c>
      <c r="G192" s="128">
        <f t="shared" si="69"/>
        <v>194.70600000000002</v>
      </c>
      <c r="H192" s="128">
        <f t="shared" si="69"/>
        <v>194.70600000000002</v>
      </c>
      <c r="I192" s="128">
        <f t="shared" si="69"/>
        <v>189.70600000000005</v>
      </c>
      <c r="J192" s="128">
        <f t="shared" si="69"/>
        <v>187.10600000000005</v>
      </c>
      <c r="K192" s="128">
        <f t="shared" si="69"/>
        <v>187.10600000000005</v>
      </c>
      <c r="L192" s="128">
        <f t="shared" si="69"/>
        <v>187.10600000000005</v>
      </c>
      <c r="M192" s="128">
        <f t="shared" si="69"/>
        <v>187.10600000000005</v>
      </c>
      <c r="N192" s="128">
        <f t="shared" si="69"/>
        <v>187.10600000000005</v>
      </c>
      <c r="O192" s="128">
        <f t="shared" si="69"/>
        <v>187.10600000000005</v>
      </c>
      <c r="P192" s="128">
        <f t="shared" si="69"/>
        <v>187.10600000000005</v>
      </c>
      <c r="Q192" s="128">
        <f t="shared" si="69"/>
        <v>187.10600000000005</v>
      </c>
      <c r="R192" s="128">
        <f t="shared" si="69"/>
        <v>187.10600000000005</v>
      </c>
      <c r="S192" s="128">
        <f t="shared" si="69"/>
        <v>187.10600000000005</v>
      </c>
      <c r="T192" s="128">
        <f t="shared" si="69"/>
        <v>187.10600000000005</v>
      </c>
      <c r="U192" s="128">
        <f t="shared" si="69"/>
        <v>187.10600000000005</v>
      </c>
      <c r="V192" s="128">
        <f t="shared" si="69"/>
        <v>187.10600000000005</v>
      </c>
      <c r="W192" s="128">
        <f t="shared" si="69"/>
        <v>187.10600000000005</v>
      </c>
      <c r="X192" s="128">
        <f t="shared" si="69"/>
        <v>187.10600000000005</v>
      </c>
      <c r="Y192" s="128">
        <f t="shared" si="69"/>
        <v>187.10600000000005</v>
      </c>
      <c r="Z192" s="128">
        <f t="shared" si="69"/>
        <v>187.10600000000005</v>
      </c>
      <c r="AA192" s="128">
        <f t="shared" si="69"/>
        <v>187.10600000000005</v>
      </c>
      <c r="AB192" s="128">
        <f t="shared" si="69"/>
        <v>187.10600000000005</v>
      </c>
      <c r="AC192" s="128">
        <f t="shared" si="69"/>
        <v>187.10600000000005</v>
      </c>
      <c r="AD192" s="128">
        <f t="shared" si="69"/>
        <v>187.10600000000005</v>
      </c>
      <c r="AE192" s="128">
        <f t="shared" si="69"/>
        <v>187.10600000000005</v>
      </c>
      <c r="AF192" s="128">
        <f t="shared" si="69"/>
        <v>187.10600000000005</v>
      </c>
      <c r="AG192" s="129">
        <f t="shared" si="69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70">AF194</f>
        <v>0.3</v>
      </c>
      <c r="C194" s="130">
        <v>0.3</v>
      </c>
      <c r="D194" s="130">
        <f t="shared" ref="D194:S199" si="71">C194</f>
        <v>0.3</v>
      </c>
      <c r="E194" s="130">
        <f t="shared" si="71"/>
        <v>0.3</v>
      </c>
      <c r="F194" s="130">
        <f t="shared" si="71"/>
        <v>0.3</v>
      </c>
      <c r="G194" s="130">
        <f t="shared" si="71"/>
        <v>0.3</v>
      </c>
      <c r="H194" s="130">
        <f t="shared" si="71"/>
        <v>0.3</v>
      </c>
      <c r="I194" s="130">
        <f t="shared" si="71"/>
        <v>0.3</v>
      </c>
      <c r="J194" s="130">
        <f t="shared" si="71"/>
        <v>0.3</v>
      </c>
      <c r="K194" s="130">
        <f t="shared" si="71"/>
        <v>0.3</v>
      </c>
      <c r="L194" s="130">
        <f t="shared" si="71"/>
        <v>0.3</v>
      </c>
      <c r="M194" s="130">
        <f t="shared" si="71"/>
        <v>0.3</v>
      </c>
      <c r="N194" s="130">
        <f t="shared" si="71"/>
        <v>0.3</v>
      </c>
      <c r="O194" s="130">
        <f t="shared" si="71"/>
        <v>0.3</v>
      </c>
      <c r="P194" s="130">
        <f t="shared" si="71"/>
        <v>0.3</v>
      </c>
      <c r="Q194" s="130">
        <f t="shared" si="71"/>
        <v>0.3</v>
      </c>
      <c r="R194" s="130">
        <f t="shared" si="71"/>
        <v>0.3</v>
      </c>
      <c r="S194" s="130">
        <f t="shared" si="71"/>
        <v>0.3</v>
      </c>
      <c r="T194" s="130">
        <f t="shared" ref="T194:AF199" si="72">S194</f>
        <v>0.3</v>
      </c>
      <c r="U194" s="130">
        <f t="shared" si="72"/>
        <v>0.3</v>
      </c>
      <c r="V194" s="130">
        <f t="shared" si="72"/>
        <v>0.3</v>
      </c>
      <c r="W194" s="130">
        <f t="shared" si="72"/>
        <v>0.3</v>
      </c>
      <c r="X194" s="130">
        <f t="shared" si="72"/>
        <v>0.3</v>
      </c>
      <c r="Y194" s="130">
        <f t="shared" si="72"/>
        <v>0.3</v>
      </c>
      <c r="Z194" s="130">
        <f t="shared" si="72"/>
        <v>0.3</v>
      </c>
      <c r="AA194" s="130">
        <f t="shared" si="72"/>
        <v>0.3</v>
      </c>
      <c r="AB194" s="130">
        <f t="shared" si="72"/>
        <v>0.3</v>
      </c>
      <c r="AC194" s="130">
        <f t="shared" si="72"/>
        <v>0.3</v>
      </c>
      <c r="AD194" s="130">
        <f t="shared" si="72"/>
        <v>0.3</v>
      </c>
      <c r="AE194" s="130">
        <f t="shared" si="72"/>
        <v>0.3</v>
      </c>
      <c r="AF194" s="130">
        <f t="shared" si="72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70"/>
        <v>0.4</v>
      </c>
      <c r="C195" s="123">
        <v>0.4</v>
      </c>
      <c r="D195" s="123">
        <f t="shared" si="71"/>
        <v>0.4</v>
      </c>
      <c r="E195" s="123">
        <f t="shared" si="71"/>
        <v>0.4</v>
      </c>
      <c r="F195" s="123">
        <f t="shared" si="71"/>
        <v>0.4</v>
      </c>
      <c r="G195" s="123">
        <f t="shared" si="71"/>
        <v>0.4</v>
      </c>
      <c r="H195" s="123">
        <f t="shared" si="71"/>
        <v>0.4</v>
      </c>
      <c r="I195" s="123">
        <f t="shared" si="71"/>
        <v>0.4</v>
      </c>
      <c r="J195" s="123">
        <f t="shared" si="71"/>
        <v>0.4</v>
      </c>
      <c r="K195" s="123">
        <f t="shared" si="71"/>
        <v>0.4</v>
      </c>
      <c r="L195" s="123">
        <f t="shared" si="71"/>
        <v>0.4</v>
      </c>
      <c r="M195" s="123">
        <f t="shared" si="71"/>
        <v>0.4</v>
      </c>
      <c r="N195" s="123">
        <f t="shared" si="71"/>
        <v>0.4</v>
      </c>
      <c r="O195" s="123">
        <f t="shared" si="71"/>
        <v>0.4</v>
      </c>
      <c r="P195" s="123">
        <f t="shared" si="71"/>
        <v>0.4</v>
      </c>
      <c r="Q195" s="123">
        <f t="shared" si="71"/>
        <v>0.4</v>
      </c>
      <c r="R195" s="123">
        <f t="shared" si="71"/>
        <v>0.4</v>
      </c>
      <c r="S195" s="123">
        <f t="shared" si="71"/>
        <v>0.4</v>
      </c>
      <c r="T195" s="123">
        <f t="shared" si="72"/>
        <v>0.4</v>
      </c>
      <c r="U195" s="123">
        <f t="shared" si="72"/>
        <v>0.4</v>
      </c>
      <c r="V195" s="123">
        <f t="shared" si="72"/>
        <v>0.4</v>
      </c>
      <c r="W195" s="123">
        <f>V195</f>
        <v>0.4</v>
      </c>
      <c r="X195" s="123">
        <f>W195</f>
        <v>0.4</v>
      </c>
      <c r="Y195" s="123">
        <f t="shared" si="72"/>
        <v>0.4</v>
      </c>
      <c r="Z195" s="123">
        <f t="shared" si="72"/>
        <v>0.4</v>
      </c>
      <c r="AA195" s="123">
        <f t="shared" si="72"/>
        <v>0.4</v>
      </c>
      <c r="AB195" s="123">
        <f t="shared" si="72"/>
        <v>0.4</v>
      </c>
      <c r="AC195" s="123">
        <f t="shared" si="72"/>
        <v>0.4</v>
      </c>
      <c r="AD195" s="123">
        <f t="shared" si="72"/>
        <v>0.4</v>
      </c>
      <c r="AE195" s="123">
        <f t="shared" si="72"/>
        <v>0.4</v>
      </c>
      <c r="AF195" s="123">
        <f t="shared" si="72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70"/>
        <v>1.5</v>
      </c>
      <c r="C196" s="123">
        <v>1.5</v>
      </c>
      <c r="D196" s="123">
        <f t="shared" si="71"/>
        <v>1.5</v>
      </c>
      <c r="E196" s="123">
        <f t="shared" si="71"/>
        <v>1.5</v>
      </c>
      <c r="F196" s="123">
        <f t="shared" si="71"/>
        <v>1.5</v>
      </c>
      <c r="G196" s="123">
        <f t="shared" si="71"/>
        <v>1.5</v>
      </c>
      <c r="H196" s="123">
        <f t="shared" si="71"/>
        <v>1.5</v>
      </c>
      <c r="I196" s="123">
        <f t="shared" si="71"/>
        <v>1.5</v>
      </c>
      <c r="J196" s="123">
        <f t="shared" si="71"/>
        <v>1.5</v>
      </c>
      <c r="K196" s="123">
        <f t="shared" si="71"/>
        <v>1.5</v>
      </c>
      <c r="L196" s="123">
        <f t="shared" si="71"/>
        <v>1.5</v>
      </c>
      <c r="M196" s="123">
        <f t="shared" si="71"/>
        <v>1.5</v>
      </c>
      <c r="N196" s="123">
        <f t="shared" si="71"/>
        <v>1.5</v>
      </c>
      <c r="O196" s="123">
        <f t="shared" si="71"/>
        <v>1.5</v>
      </c>
      <c r="P196" s="123">
        <f t="shared" si="71"/>
        <v>1.5</v>
      </c>
      <c r="Q196" s="123">
        <f t="shared" si="71"/>
        <v>1.5</v>
      </c>
      <c r="R196" s="123">
        <f t="shared" si="71"/>
        <v>1.5</v>
      </c>
      <c r="S196" s="123">
        <f t="shared" si="71"/>
        <v>1.5</v>
      </c>
      <c r="T196" s="123">
        <f t="shared" si="72"/>
        <v>1.5</v>
      </c>
      <c r="U196" s="123">
        <f t="shared" si="72"/>
        <v>1.5</v>
      </c>
      <c r="V196" s="123">
        <f t="shared" si="72"/>
        <v>1.5</v>
      </c>
      <c r="W196" s="123">
        <f t="shared" si="72"/>
        <v>1.5</v>
      </c>
      <c r="X196" s="123">
        <f t="shared" si="72"/>
        <v>1.5</v>
      </c>
      <c r="Y196" s="123">
        <f t="shared" si="72"/>
        <v>1.5</v>
      </c>
      <c r="Z196" s="123">
        <f t="shared" si="72"/>
        <v>1.5</v>
      </c>
      <c r="AA196" s="123">
        <f t="shared" si="72"/>
        <v>1.5</v>
      </c>
      <c r="AB196" s="123">
        <f t="shared" si="72"/>
        <v>1.5</v>
      </c>
      <c r="AC196" s="123">
        <f t="shared" si="72"/>
        <v>1.5</v>
      </c>
      <c r="AD196" s="123">
        <f t="shared" si="72"/>
        <v>1.5</v>
      </c>
      <c r="AE196" s="123">
        <f t="shared" si="72"/>
        <v>1.5</v>
      </c>
      <c r="AF196" s="123">
        <f t="shared" si="72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70"/>
        <v>0.3</v>
      </c>
      <c r="C197" s="123">
        <v>0.3</v>
      </c>
      <c r="D197" s="123">
        <f t="shared" si="71"/>
        <v>0.3</v>
      </c>
      <c r="E197" s="123">
        <f t="shared" si="71"/>
        <v>0.3</v>
      </c>
      <c r="F197" s="123">
        <f t="shared" si="71"/>
        <v>0.3</v>
      </c>
      <c r="G197" s="123">
        <f t="shared" si="71"/>
        <v>0.3</v>
      </c>
      <c r="H197" s="123">
        <f t="shared" si="71"/>
        <v>0.3</v>
      </c>
      <c r="I197" s="123">
        <f t="shared" si="71"/>
        <v>0.3</v>
      </c>
      <c r="J197" s="123">
        <f t="shared" si="71"/>
        <v>0.3</v>
      </c>
      <c r="K197" s="123">
        <f t="shared" si="71"/>
        <v>0.3</v>
      </c>
      <c r="L197" s="123">
        <f t="shared" si="71"/>
        <v>0.3</v>
      </c>
      <c r="M197" s="123">
        <f t="shared" si="71"/>
        <v>0.3</v>
      </c>
      <c r="N197" s="123">
        <f t="shared" si="71"/>
        <v>0.3</v>
      </c>
      <c r="O197" s="123">
        <f t="shared" si="71"/>
        <v>0.3</v>
      </c>
      <c r="P197" s="123">
        <f t="shared" si="71"/>
        <v>0.3</v>
      </c>
      <c r="Q197" s="123">
        <f t="shared" si="71"/>
        <v>0.3</v>
      </c>
      <c r="R197" s="123">
        <f t="shared" si="71"/>
        <v>0.3</v>
      </c>
      <c r="S197" s="123">
        <f t="shared" si="71"/>
        <v>0.3</v>
      </c>
      <c r="T197" s="123">
        <f t="shared" si="72"/>
        <v>0.3</v>
      </c>
      <c r="U197" s="123">
        <f t="shared" si="72"/>
        <v>0.3</v>
      </c>
      <c r="V197" s="123">
        <f t="shared" si="72"/>
        <v>0.3</v>
      </c>
      <c r="W197" s="123">
        <f t="shared" si="72"/>
        <v>0.3</v>
      </c>
      <c r="X197" s="123">
        <f t="shared" si="72"/>
        <v>0.3</v>
      </c>
      <c r="Y197" s="123">
        <f t="shared" si="72"/>
        <v>0.3</v>
      </c>
      <c r="Z197" s="123">
        <f t="shared" si="72"/>
        <v>0.3</v>
      </c>
      <c r="AA197" s="123">
        <f t="shared" si="72"/>
        <v>0.3</v>
      </c>
      <c r="AB197" s="123">
        <f t="shared" si="72"/>
        <v>0.3</v>
      </c>
      <c r="AC197" s="123">
        <f t="shared" si="72"/>
        <v>0.3</v>
      </c>
      <c r="AD197" s="123">
        <f t="shared" si="72"/>
        <v>0.3</v>
      </c>
      <c r="AE197" s="123">
        <f t="shared" si="72"/>
        <v>0.3</v>
      </c>
      <c r="AF197" s="123">
        <f t="shared" si="72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70"/>
        <v>0.4</v>
      </c>
      <c r="C198" s="123">
        <v>0.4</v>
      </c>
      <c r="D198" s="123">
        <f t="shared" si="71"/>
        <v>0.4</v>
      </c>
      <c r="E198" s="123">
        <f t="shared" si="71"/>
        <v>0.4</v>
      </c>
      <c r="F198" s="123">
        <f t="shared" si="71"/>
        <v>0.4</v>
      </c>
      <c r="G198" s="123">
        <f t="shared" si="71"/>
        <v>0.4</v>
      </c>
      <c r="H198" s="123">
        <f t="shared" si="71"/>
        <v>0.4</v>
      </c>
      <c r="I198" s="123">
        <f t="shared" si="71"/>
        <v>0.4</v>
      </c>
      <c r="J198" s="123">
        <f t="shared" si="71"/>
        <v>0.4</v>
      </c>
      <c r="K198" s="123">
        <f t="shared" si="71"/>
        <v>0.4</v>
      </c>
      <c r="L198" s="123">
        <f t="shared" si="71"/>
        <v>0.4</v>
      </c>
      <c r="M198" s="123">
        <f t="shared" si="71"/>
        <v>0.4</v>
      </c>
      <c r="N198" s="123">
        <f t="shared" si="71"/>
        <v>0.4</v>
      </c>
      <c r="O198" s="123">
        <f t="shared" si="71"/>
        <v>0.4</v>
      </c>
      <c r="P198" s="123">
        <f t="shared" si="71"/>
        <v>0.4</v>
      </c>
      <c r="Q198" s="123">
        <f t="shared" si="71"/>
        <v>0.4</v>
      </c>
      <c r="R198" s="123">
        <f t="shared" si="71"/>
        <v>0.4</v>
      </c>
      <c r="S198" s="123">
        <f t="shared" si="71"/>
        <v>0.4</v>
      </c>
      <c r="T198" s="123">
        <f t="shared" si="72"/>
        <v>0.4</v>
      </c>
      <c r="U198" s="123">
        <f t="shared" si="72"/>
        <v>0.4</v>
      </c>
      <c r="V198" s="123">
        <f t="shared" si="72"/>
        <v>0.4</v>
      </c>
      <c r="W198" s="123">
        <f t="shared" si="72"/>
        <v>0.4</v>
      </c>
      <c r="X198" s="123">
        <f t="shared" si="72"/>
        <v>0.4</v>
      </c>
      <c r="Y198" s="123">
        <f t="shared" si="72"/>
        <v>0.4</v>
      </c>
      <c r="Z198" s="123">
        <f t="shared" si="72"/>
        <v>0.4</v>
      </c>
      <c r="AA198" s="123">
        <f t="shared" si="72"/>
        <v>0.4</v>
      </c>
      <c r="AB198" s="123">
        <f t="shared" si="72"/>
        <v>0.4</v>
      </c>
      <c r="AC198" s="123">
        <f t="shared" si="72"/>
        <v>0.4</v>
      </c>
      <c r="AD198" s="123">
        <f t="shared" si="72"/>
        <v>0.4</v>
      </c>
      <c r="AE198" s="123">
        <f t="shared" si="72"/>
        <v>0.4</v>
      </c>
      <c r="AF198" s="123">
        <f t="shared" si="72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70"/>
        <v>0.64</v>
      </c>
      <c r="C199" s="133">
        <v>0.64</v>
      </c>
      <c r="D199" s="133">
        <f t="shared" si="71"/>
        <v>0.64</v>
      </c>
      <c r="E199" s="133">
        <f t="shared" si="71"/>
        <v>0.64</v>
      </c>
      <c r="F199" s="133">
        <f t="shared" si="71"/>
        <v>0.64</v>
      </c>
      <c r="G199" s="133">
        <f t="shared" si="71"/>
        <v>0.64</v>
      </c>
      <c r="H199" s="133">
        <f t="shared" si="71"/>
        <v>0.64</v>
      </c>
      <c r="I199" s="133">
        <f t="shared" si="71"/>
        <v>0.64</v>
      </c>
      <c r="J199" s="133">
        <f t="shared" si="71"/>
        <v>0.64</v>
      </c>
      <c r="K199" s="133">
        <f t="shared" si="71"/>
        <v>0.64</v>
      </c>
      <c r="L199" s="133">
        <f t="shared" si="71"/>
        <v>0.64</v>
      </c>
      <c r="M199" s="133">
        <f t="shared" si="71"/>
        <v>0.64</v>
      </c>
      <c r="N199" s="133">
        <f t="shared" si="71"/>
        <v>0.64</v>
      </c>
      <c r="O199" s="133">
        <f t="shared" si="71"/>
        <v>0.64</v>
      </c>
      <c r="P199" s="133">
        <f t="shared" si="71"/>
        <v>0.64</v>
      </c>
      <c r="Q199" s="133">
        <f t="shared" si="71"/>
        <v>0.64</v>
      </c>
      <c r="R199" s="133">
        <f t="shared" si="71"/>
        <v>0.64</v>
      </c>
      <c r="S199" s="133">
        <f t="shared" si="71"/>
        <v>0.64</v>
      </c>
      <c r="T199" s="133">
        <f t="shared" si="72"/>
        <v>0.64</v>
      </c>
      <c r="U199" s="133">
        <f t="shared" si="72"/>
        <v>0.64</v>
      </c>
      <c r="V199" s="133">
        <f t="shared" si="72"/>
        <v>0.64</v>
      </c>
      <c r="W199" s="133">
        <f t="shared" si="72"/>
        <v>0.64</v>
      </c>
      <c r="X199" s="133">
        <f t="shared" si="72"/>
        <v>0.64</v>
      </c>
      <c r="Y199" s="133">
        <f t="shared" si="72"/>
        <v>0.64</v>
      </c>
      <c r="Z199" s="133">
        <f t="shared" si="72"/>
        <v>0.64</v>
      </c>
      <c r="AA199" s="133">
        <f t="shared" si="72"/>
        <v>0.64</v>
      </c>
      <c r="AB199" s="133">
        <f t="shared" si="72"/>
        <v>0.64</v>
      </c>
      <c r="AC199" s="133">
        <f t="shared" si="72"/>
        <v>0.64</v>
      </c>
      <c r="AD199" s="133">
        <f t="shared" si="72"/>
        <v>0.64</v>
      </c>
      <c r="AE199" s="133">
        <f t="shared" si="72"/>
        <v>0.64</v>
      </c>
      <c r="AF199" s="133">
        <f t="shared" si="72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73">SUM(D194:D199)</f>
        <v>3.54</v>
      </c>
      <c r="E200" s="136">
        <f t="shared" si="73"/>
        <v>3.54</v>
      </c>
      <c r="F200" s="136">
        <f t="shared" si="73"/>
        <v>3.54</v>
      </c>
      <c r="G200" s="136">
        <f t="shared" si="73"/>
        <v>3.54</v>
      </c>
      <c r="H200" s="136">
        <f t="shared" si="73"/>
        <v>3.54</v>
      </c>
      <c r="I200" s="136">
        <f t="shared" si="73"/>
        <v>3.54</v>
      </c>
      <c r="J200" s="136">
        <f t="shared" si="73"/>
        <v>3.54</v>
      </c>
      <c r="K200" s="136">
        <f t="shared" si="73"/>
        <v>3.54</v>
      </c>
      <c r="L200" s="136">
        <f t="shared" si="73"/>
        <v>3.54</v>
      </c>
      <c r="M200" s="136">
        <f>SUM(M194:M199)</f>
        <v>3.54</v>
      </c>
      <c r="N200" s="136">
        <f t="shared" ref="N200:S200" si="74">SUM(N194:N199)</f>
        <v>3.54</v>
      </c>
      <c r="O200" s="136">
        <f t="shared" si="74"/>
        <v>3.54</v>
      </c>
      <c r="P200" s="136">
        <f t="shared" si="74"/>
        <v>3.54</v>
      </c>
      <c r="Q200" s="136">
        <f t="shared" si="74"/>
        <v>3.54</v>
      </c>
      <c r="R200" s="136">
        <f t="shared" si="74"/>
        <v>3.54</v>
      </c>
      <c r="S200" s="136">
        <f t="shared" si="74"/>
        <v>3.54</v>
      </c>
      <c r="T200" s="136">
        <f>SUM(T194:T199)</f>
        <v>3.54</v>
      </c>
      <c r="U200" s="136">
        <f t="shared" ref="U200:AG200" si="75">SUM(U194:U199)</f>
        <v>3.54</v>
      </c>
      <c r="V200" s="136">
        <f t="shared" si="75"/>
        <v>3.54</v>
      </c>
      <c r="W200" s="136">
        <f t="shared" si="75"/>
        <v>3.54</v>
      </c>
      <c r="X200" s="136">
        <f t="shared" si="75"/>
        <v>3.54</v>
      </c>
      <c r="Y200" s="136">
        <f t="shared" si="75"/>
        <v>3.54</v>
      </c>
      <c r="Z200" s="136">
        <f t="shared" si="75"/>
        <v>3.54</v>
      </c>
      <c r="AA200" s="136">
        <f t="shared" si="75"/>
        <v>3.54</v>
      </c>
      <c r="AB200" s="136">
        <f t="shared" si="75"/>
        <v>3.54</v>
      </c>
      <c r="AC200" s="136">
        <f t="shared" si="75"/>
        <v>3.54</v>
      </c>
      <c r="AD200" s="136">
        <f t="shared" si="75"/>
        <v>3.54</v>
      </c>
      <c r="AE200" s="136">
        <f t="shared" si="75"/>
        <v>3.54</v>
      </c>
      <c r="AF200" s="136">
        <f t="shared" si="75"/>
        <v>3.54</v>
      </c>
      <c r="AG200" s="137">
        <f t="shared" si="75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1779.54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31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2079/02/31)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2079/02/31)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76">B75</f>
        <v>1761.64</v>
      </c>
      <c r="U214" s="161">
        <f t="shared" si="76"/>
        <v>1751.04</v>
      </c>
      <c r="V214" s="161">
        <f t="shared" si="76"/>
        <v>1745.3399999999997</v>
      </c>
      <c r="W214" s="161">
        <f t="shared" si="76"/>
        <v>1691.0399999999997</v>
      </c>
      <c r="X214" s="161">
        <f t="shared" si="76"/>
        <v>1687.0399999999997</v>
      </c>
      <c r="Y214" s="161">
        <f t="shared" si="76"/>
        <v>1733.3399999999997</v>
      </c>
      <c r="Z214" s="161">
        <f t="shared" si="76"/>
        <v>1729.3399999999997</v>
      </c>
      <c r="AA214" s="161">
        <f t="shared" si="76"/>
        <v>1754.3399999999997</v>
      </c>
      <c r="AB214" s="161">
        <f t="shared" si="76"/>
        <v>1740.3399999999997</v>
      </c>
      <c r="AC214" s="161">
        <f t="shared" si="76"/>
        <v>1740.3399999999997</v>
      </c>
      <c r="AD214" s="161">
        <f t="shared" si="76"/>
        <v>1768.3399999999997</v>
      </c>
      <c r="AE214" s="161">
        <f t="shared" si="76"/>
        <v>1770.84</v>
      </c>
      <c r="AF214" s="161">
        <f t="shared" si="76"/>
        <v>1779.54</v>
      </c>
      <c r="AG214" s="161">
        <f t="shared" si="76"/>
        <v>1774.1399999999999</v>
      </c>
      <c r="AH214" s="161">
        <f t="shared" si="76"/>
        <v>1788.8400000000001</v>
      </c>
      <c r="AI214" s="161">
        <f t="shared" si="76"/>
        <v>1786.8400000000001</v>
      </c>
      <c r="AJ214" s="161">
        <f t="shared" si="76"/>
        <v>1786.14</v>
      </c>
      <c r="AK214" s="161">
        <f t="shared" si="76"/>
        <v>1776.7400000000002</v>
      </c>
      <c r="AL214" s="161">
        <f t="shared" si="76"/>
        <v>1770.54</v>
      </c>
      <c r="AM214" s="161">
        <f t="shared" si="76"/>
        <v>3.54</v>
      </c>
      <c r="AN214" s="161">
        <f t="shared" si="76"/>
        <v>1637.8400000000001</v>
      </c>
      <c r="AO214" s="161">
        <f t="shared" si="76"/>
        <v>1589.8400000000001</v>
      </c>
      <c r="AP214" s="161">
        <f t="shared" si="76"/>
        <v>1682.14</v>
      </c>
      <c r="AQ214" s="161">
        <f t="shared" si="76"/>
        <v>1682.14</v>
      </c>
      <c r="AR214" s="161">
        <f t="shared" si="76"/>
        <v>1682.14</v>
      </c>
      <c r="AS214" s="161">
        <f t="shared" si="76"/>
        <v>1722.64</v>
      </c>
      <c r="AT214" s="161">
        <f t="shared" si="76"/>
        <v>1745.14</v>
      </c>
      <c r="AU214" s="161">
        <f t="shared" si="76"/>
        <v>1655.44</v>
      </c>
      <c r="AV214" s="161">
        <f t="shared" si="76"/>
        <v>1764.44</v>
      </c>
      <c r="AW214" s="161">
        <f t="shared" si="76"/>
        <v>1757.94</v>
      </c>
      <c r="AX214" s="161">
        <f t="shared" si="76"/>
        <v>1785.8400000000001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77">C199</f>
        <v>0.64</v>
      </c>
      <c r="C235" s="164">
        <f t="shared" si="77"/>
        <v>0.64</v>
      </c>
      <c r="D235" s="164">
        <f t="shared" si="77"/>
        <v>0.64</v>
      </c>
      <c r="E235" s="164">
        <f t="shared" si="77"/>
        <v>0.64</v>
      </c>
      <c r="F235" s="164">
        <f t="shared" si="77"/>
        <v>0.64</v>
      </c>
      <c r="G235" s="164">
        <f t="shared" si="77"/>
        <v>0.64</v>
      </c>
      <c r="H235" s="164">
        <f t="shared" si="77"/>
        <v>0.64</v>
      </c>
      <c r="I235" s="164">
        <f t="shared" si="77"/>
        <v>0.64</v>
      </c>
      <c r="J235" s="164">
        <f t="shared" si="77"/>
        <v>0.64</v>
      </c>
      <c r="K235" s="164">
        <f t="shared" si="77"/>
        <v>0.64</v>
      </c>
      <c r="L235" s="164">
        <f t="shared" si="77"/>
        <v>0.64</v>
      </c>
      <c r="M235" s="164">
        <f t="shared" si="77"/>
        <v>0.64</v>
      </c>
      <c r="N235" s="164">
        <f t="shared" si="77"/>
        <v>0.64</v>
      </c>
      <c r="O235" s="164">
        <f t="shared" si="77"/>
        <v>0.64</v>
      </c>
      <c r="P235" s="164">
        <f t="shared" si="77"/>
        <v>0.64</v>
      </c>
      <c r="Q235" s="164">
        <f t="shared" si="77"/>
        <v>0.64</v>
      </c>
      <c r="R235" s="164">
        <f t="shared" si="77"/>
        <v>0.64</v>
      </c>
      <c r="S235" s="164">
        <f t="shared" si="77"/>
        <v>0.64</v>
      </c>
      <c r="T235" s="164">
        <f t="shared" si="77"/>
        <v>0.64</v>
      </c>
      <c r="U235" s="164">
        <f t="shared" si="77"/>
        <v>0.64</v>
      </c>
      <c r="V235" s="164">
        <f t="shared" si="77"/>
        <v>0.64</v>
      </c>
      <c r="W235" s="164">
        <f t="shared" si="77"/>
        <v>0.64</v>
      </c>
      <c r="X235" s="164">
        <f t="shared" si="77"/>
        <v>0.64</v>
      </c>
      <c r="Y235" s="164">
        <f t="shared" si="77"/>
        <v>0.64</v>
      </c>
      <c r="Z235" s="164">
        <f t="shared" si="77"/>
        <v>0.64</v>
      </c>
      <c r="AA235" s="164">
        <f t="shared" si="77"/>
        <v>0.64</v>
      </c>
      <c r="AB235" s="164">
        <f t="shared" si="77"/>
        <v>0.64</v>
      </c>
      <c r="AC235" s="164">
        <f t="shared" si="77"/>
        <v>0.64</v>
      </c>
      <c r="AD235" s="164">
        <f t="shared" si="77"/>
        <v>0.64</v>
      </c>
      <c r="AE235" s="164">
        <f t="shared" si="77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78">IF(C203&lt;100,"",C203-520)</f>
        <v/>
      </c>
      <c r="D236" s="107" t="str">
        <f t="shared" si="78"/>
        <v/>
      </c>
      <c r="E236" s="107" t="str">
        <f t="shared" si="78"/>
        <v/>
      </c>
      <c r="F236" s="107" t="str">
        <f t="shared" si="78"/>
        <v/>
      </c>
      <c r="G236" s="107" t="str">
        <f t="shared" si="78"/>
        <v/>
      </c>
      <c r="H236" s="107" t="str">
        <f t="shared" si="78"/>
        <v/>
      </c>
      <c r="I236" s="107" t="str">
        <f t="shared" si="78"/>
        <v/>
      </c>
      <c r="J236" s="107" t="str">
        <f t="shared" si="78"/>
        <v/>
      </c>
      <c r="K236" s="107" t="str">
        <f t="shared" si="78"/>
        <v/>
      </c>
      <c r="L236" s="107" t="str">
        <f t="shared" si="78"/>
        <v/>
      </c>
      <c r="M236" s="107" t="str">
        <f t="shared" si="78"/>
        <v/>
      </c>
      <c r="N236" s="107" t="str">
        <f t="shared" si="78"/>
        <v/>
      </c>
      <c r="O236" s="107" t="str">
        <f t="shared" si="78"/>
        <v/>
      </c>
      <c r="P236" s="107" t="str">
        <f t="shared" si="78"/>
        <v/>
      </c>
      <c r="Q236" s="107" t="str">
        <f t="shared" si="78"/>
        <v/>
      </c>
      <c r="R236" s="107" t="str">
        <f t="shared" si="78"/>
        <v/>
      </c>
      <c r="S236" s="107" t="str">
        <f t="shared" si="78"/>
        <v/>
      </c>
      <c r="T236" s="107" t="str">
        <f t="shared" si="78"/>
        <v/>
      </c>
      <c r="U236" s="107" t="str">
        <f t="shared" si="78"/>
        <v/>
      </c>
      <c r="V236" s="107" t="str">
        <f t="shared" si="78"/>
        <v/>
      </c>
      <c r="W236" s="107" t="str">
        <f t="shared" si="78"/>
        <v/>
      </c>
      <c r="X236" s="107" t="str">
        <f t="shared" si="78"/>
        <v/>
      </c>
      <c r="Y236" s="107" t="str">
        <f t="shared" si="78"/>
        <v/>
      </c>
      <c r="Z236" s="107" t="str">
        <f t="shared" si="78"/>
        <v/>
      </c>
      <c r="AA236" s="107" t="str">
        <f t="shared" si="78"/>
        <v/>
      </c>
      <c r="AB236" s="107" t="str">
        <f t="shared" si="78"/>
        <v/>
      </c>
      <c r="AC236" s="107" t="str">
        <f t="shared" si="78"/>
        <v/>
      </c>
      <c r="AD236" s="107" t="str">
        <f t="shared" si="78"/>
        <v/>
      </c>
      <c r="AE236" s="107" t="str">
        <f t="shared" si="78"/>
        <v/>
      </c>
      <c r="AF236" s="107" t="str">
        <f t="shared" si="78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79">IF(B204&lt;100,"",B204-620)</f>
        <v/>
      </c>
      <c r="C237" s="107" t="str">
        <f t="shared" si="79"/>
        <v/>
      </c>
      <c r="D237" s="107" t="str">
        <f t="shared" si="79"/>
        <v/>
      </c>
      <c r="E237" s="107" t="str">
        <f t="shared" si="79"/>
        <v/>
      </c>
      <c r="F237" s="107" t="str">
        <f t="shared" si="79"/>
        <v/>
      </c>
      <c r="G237" s="107" t="str">
        <f t="shared" si="79"/>
        <v/>
      </c>
      <c r="H237" s="107" t="str">
        <f t="shared" si="79"/>
        <v/>
      </c>
      <c r="I237" s="107" t="str">
        <f t="shared" si="79"/>
        <v/>
      </c>
      <c r="J237" s="107" t="str">
        <f t="shared" si="79"/>
        <v/>
      </c>
      <c r="K237" s="107" t="str">
        <f t="shared" si="79"/>
        <v/>
      </c>
      <c r="L237" s="107" t="str">
        <f t="shared" si="79"/>
        <v/>
      </c>
      <c r="M237" s="107" t="str">
        <f t="shared" si="79"/>
        <v/>
      </c>
      <c r="N237" s="107" t="str">
        <f t="shared" si="79"/>
        <v/>
      </c>
      <c r="O237" s="107" t="str">
        <f t="shared" si="79"/>
        <v/>
      </c>
      <c r="P237" s="107" t="str">
        <f t="shared" si="79"/>
        <v/>
      </c>
      <c r="Q237" s="107" t="str">
        <f t="shared" si="79"/>
        <v/>
      </c>
      <c r="R237" s="107" t="str">
        <f t="shared" si="79"/>
        <v/>
      </c>
      <c r="S237" s="107" t="str">
        <f t="shared" si="79"/>
        <v/>
      </c>
      <c r="T237" s="107" t="str">
        <f t="shared" si="79"/>
        <v/>
      </c>
      <c r="U237" s="107" t="str">
        <f t="shared" si="79"/>
        <v/>
      </c>
      <c r="V237" s="107" t="str">
        <f t="shared" si="79"/>
        <v/>
      </c>
      <c r="W237" s="107" t="str">
        <f t="shared" si="79"/>
        <v/>
      </c>
      <c r="X237" s="107" t="str">
        <f t="shared" si="79"/>
        <v/>
      </c>
      <c r="Y237" s="107" t="str">
        <f t="shared" si="79"/>
        <v/>
      </c>
      <c r="Z237" s="107" t="str">
        <f t="shared" si="79"/>
        <v/>
      </c>
      <c r="AA237" s="107" t="str">
        <f t="shared" si="79"/>
        <v/>
      </c>
      <c r="AB237" s="107" t="str">
        <f t="shared" si="79"/>
        <v/>
      </c>
      <c r="AC237" s="107" t="str">
        <f t="shared" si="79"/>
        <v/>
      </c>
      <c r="AD237" s="107" t="str">
        <f t="shared" si="79"/>
        <v/>
      </c>
      <c r="AE237" s="107" t="str">
        <f t="shared" si="79"/>
        <v/>
      </c>
      <c r="AF237" s="107" t="str">
        <f t="shared" si="79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80">IF(B205&lt;100,"",B205-330)</f>
        <v/>
      </c>
      <c r="C238" s="107" t="str">
        <f t="shared" si="80"/>
        <v/>
      </c>
      <c r="D238" s="107" t="str">
        <f t="shared" si="80"/>
        <v/>
      </c>
      <c r="E238" s="107" t="str">
        <f t="shared" si="80"/>
        <v/>
      </c>
      <c r="F238" s="107" t="str">
        <f t="shared" si="80"/>
        <v/>
      </c>
      <c r="G238" s="107" t="str">
        <f t="shared" si="80"/>
        <v/>
      </c>
      <c r="H238" s="107" t="str">
        <f t="shared" si="80"/>
        <v/>
      </c>
      <c r="I238" s="107" t="str">
        <f t="shared" si="80"/>
        <v/>
      </c>
      <c r="J238" s="107" t="str">
        <f t="shared" si="80"/>
        <v/>
      </c>
      <c r="K238" s="107" t="str">
        <f t="shared" si="80"/>
        <v/>
      </c>
      <c r="L238" s="107" t="str">
        <f t="shared" si="80"/>
        <v/>
      </c>
      <c r="M238" s="107" t="str">
        <f t="shared" si="80"/>
        <v/>
      </c>
      <c r="N238" s="107" t="str">
        <f t="shared" si="80"/>
        <v/>
      </c>
      <c r="O238" s="107" t="str">
        <f t="shared" si="80"/>
        <v/>
      </c>
      <c r="P238" s="107" t="str">
        <f t="shared" si="80"/>
        <v/>
      </c>
      <c r="Q238" s="107" t="str">
        <f t="shared" si="80"/>
        <v/>
      </c>
      <c r="R238" s="107" t="str">
        <f t="shared" si="80"/>
        <v/>
      </c>
      <c r="S238" s="107" t="str">
        <f t="shared" si="80"/>
        <v/>
      </c>
      <c r="T238" s="107" t="str">
        <f t="shared" si="80"/>
        <v/>
      </c>
      <c r="U238" s="107" t="str">
        <f t="shared" si="80"/>
        <v/>
      </c>
      <c r="V238" s="107" t="str">
        <f t="shared" si="80"/>
        <v/>
      </c>
      <c r="W238" s="107" t="str">
        <f t="shared" si="80"/>
        <v/>
      </c>
      <c r="X238" s="107" t="str">
        <f t="shared" si="80"/>
        <v/>
      </c>
      <c r="Y238" s="107" t="str">
        <f t="shared" si="80"/>
        <v/>
      </c>
      <c r="Z238" s="107" t="str">
        <f t="shared" si="80"/>
        <v/>
      </c>
      <c r="AA238" s="107" t="str">
        <f t="shared" si="80"/>
        <v/>
      </c>
      <c r="AB238" s="107" t="str">
        <f t="shared" si="80"/>
        <v/>
      </c>
      <c r="AC238" s="107" t="str">
        <f t="shared" si="80"/>
        <v/>
      </c>
      <c r="AD238" s="107" t="str">
        <f t="shared" si="80"/>
        <v/>
      </c>
      <c r="AE238" s="107" t="str">
        <f t="shared" si="80"/>
        <v/>
      </c>
      <c r="AF238" s="107" t="str">
        <f t="shared" si="80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81">IF(C206&lt;100,"",C206-1500)</f>
        <v/>
      </c>
      <c r="D239" s="107" t="str">
        <f t="shared" si="81"/>
        <v/>
      </c>
      <c r="E239" s="107" t="str">
        <f t="shared" si="81"/>
        <v/>
      </c>
      <c r="F239" s="107" t="str">
        <f t="shared" si="81"/>
        <v/>
      </c>
      <c r="G239" s="107" t="str">
        <f t="shared" si="81"/>
        <v/>
      </c>
      <c r="H239" s="107" t="str">
        <f t="shared" si="81"/>
        <v/>
      </c>
      <c r="I239" s="107" t="str">
        <f t="shared" si="81"/>
        <v/>
      </c>
      <c r="J239" s="107" t="str">
        <f t="shared" si="81"/>
        <v/>
      </c>
      <c r="K239" s="107" t="str">
        <f t="shared" si="81"/>
        <v/>
      </c>
      <c r="L239" s="107" t="str">
        <f t="shared" si="81"/>
        <v/>
      </c>
      <c r="M239" s="107" t="str">
        <f t="shared" si="81"/>
        <v/>
      </c>
      <c r="N239" s="107" t="str">
        <f t="shared" si="81"/>
        <v/>
      </c>
      <c r="O239" s="107" t="str">
        <f t="shared" si="81"/>
        <v/>
      </c>
      <c r="P239" s="107" t="str">
        <f t="shared" si="81"/>
        <v/>
      </c>
      <c r="Q239" s="107" t="str">
        <f t="shared" si="81"/>
        <v/>
      </c>
      <c r="R239" s="107" t="str">
        <f t="shared" si="81"/>
        <v/>
      </c>
      <c r="S239" s="107" t="str">
        <f t="shared" si="81"/>
        <v/>
      </c>
      <c r="T239" s="107" t="str">
        <f t="shared" si="81"/>
        <v/>
      </c>
      <c r="U239" s="107" t="str">
        <f t="shared" si="81"/>
        <v/>
      </c>
      <c r="V239" s="107" t="str">
        <f t="shared" si="81"/>
        <v/>
      </c>
      <c r="W239" s="107" t="str">
        <f t="shared" si="81"/>
        <v/>
      </c>
      <c r="X239" s="107" t="str">
        <f t="shared" si="81"/>
        <v/>
      </c>
      <c r="Y239" s="107" t="str">
        <f t="shared" si="81"/>
        <v/>
      </c>
      <c r="Z239" s="107" t="str">
        <f t="shared" si="81"/>
        <v/>
      </c>
      <c r="AA239" s="107" t="str">
        <f t="shared" si="81"/>
        <v/>
      </c>
      <c r="AB239" s="107" t="str">
        <f t="shared" si="81"/>
        <v/>
      </c>
      <c r="AC239" s="107" t="str">
        <f t="shared" si="81"/>
        <v/>
      </c>
      <c r="AD239" s="107" t="str">
        <f t="shared" si="81"/>
        <v/>
      </c>
      <c r="AE239" s="107" t="str">
        <f t="shared" si="81"/>
        <v/>
      </c>
      <c r="AF239" s="107" t="str">
        <f t="shared" si="81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9">
    <mergeCell ref="A211:B211"/>
    <mergeCell ref="U11:U37"/>
    <mergeCell ref="AB9:AB10"/>
    <mergeCell ref="AC9:AC10"/>
    <mergeCell ref="AD9:AD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E9:AE10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5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U11 C94:AF100">
    <cfRule type="expression" dxfId="655" priority="450">
      <formula>B$9&gt;=20/24</formula>
    </cfRule>
    <cfRule type="expression" dxfId="654" priority="451">
      <formula>AND(B$9&gt;=14/24,B$9&lt;20/24)</formula>
    </cfRule>
    <cfRule type="expression" dxfId="653" priority="452">
      <formula>AND(B$9&gt;=8/24,B$9&lt;14/24)</formula>
    </cfRule>
    <cfRule type="expression" dxfId="652" priority="453">
      <formula>B$9&lt;8/24</formula>
    </cfRule>
  </conditionalFormatting>
  <conditionalFormatting sqref="AL4:AL6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S37:T37 AB37:AF37">
    <cfRule type="expression" dxfId="651" priority="445">
      <formula>S$9&gt;=20/24</formula>
    </cfRule>
    <cfRule type="expression" dxfId="650" priority="446">
      <formula>AND(S$9&gt;=14/24,S$9&lt;20/24)</formula>
    </cfRule>
    <cfRule type="expression" dxfId="649" priority="447">
      <formula>AND(S$9&gt;=8/24,S$9&lt;14/24)</formula>
    </cfRule>
    <cfRule type="expression" dxfId="648" priority="448">
      <formula>S$9&lt;8/24</formula>
    </cfRule>
  </conditionalFormatting>
  <conditionalFormatting sqref="AG51 M16:O16 S37:T37 M11:U11 P12:T16 AB37:AF37">
    <cfRule type="expression" dxfId="647" priority="444">
      <formula>M11&gt;$AG11</formula>
    </cfRule>
  </conditionalFormatting>
  <conditionalFormatting sqref="A101:A157 A84:A97 A11:A14 A45:A72 A80:A82 A74:A78 A35:A43 A170:A200 A16:A32">
    <cfRule type="expression" dxfId="646" priority="443">
      <formula>$AH11=0</formula>
    </cfRule>
  </conditionalFormatting>
  <conditionalFormatting sqref="A98">
    <cfRule type="expression" dxfId="645" priority="442">
      <formula>$AH98=0</formula>
    </cfRule>
  </conditionalFormatting>
  <conditionalFormatting sqref="AL32">
    <cfRule type="iconSet" priority="44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44" priority="440">
      <formula>$AH34=0</formula>
    </cfRule>
  </conditionalFormatting>
  <conditionalFormatting sqref="A83">
    <cfRule type="expression" dxfId="643" priority="439">
      <formula>$AH83=0</formula>
    </cfRule>
  </conditionalFormatting>
  <conditionalFormatting sqref="A15">
    <cfRule type="expression" dxfId="642" priority="438">
      <formula>$AH15=0</formula>
    </cfRule>
  </conditionalFormatting>
  <conditionalFormatting sqref="A164:A169">
    <cfRule type="expression" dxfId="641" priority="437">
      <formula>$AH164=0</formula>
    </cfRule>
  </conditionalFormatting>
  <conditionalFormatting sqref="A158:A163">
    <cfRule type="expression" dxfId="640" priority="436">
      <formula>$AH158=0</formula>
    </cfRule>
  </conditionalFormatting>
  <conditionalFormatting sqref="A44">
    <cfRule type="expression" dxfId="639" priority="435">
      <formula>$AH44=0</formula>
    </cfRule>
  </conditionalFormatting>
  <conditionalFormatting sqref="A79">
    <cfRule type="expression" dxfId="638" priority="434">
      <formula>$AH79=0</formula>
    </cfRule>
  </conditionalFormatting>
  <conditionalFormatting sqref="A73">
    <cfRule type="expression" dxfId="637" priority="433">
      <formula>$AH73=0</formula>
    </cfRule>
  </conditionalFormatting>
  <conditionalFormatting sqref="AL34:AL35 AL7:AL31">
    <cfRule type="iconSet" priority="456">
      <iconSet iconSet="3TrafficLights2" reverse="1">
        <cfvo type="percent" val="0"/>
        <cfvo type="num" val="1"/>
        <cfvo type="num" val="1"/>
      </iconSet>
    </cfRule>
  </conditionalFormatting>
  <conditionalFormatting sqref="C84:U84 X84:AF84">
    <cfRule type="expression" dxfId="636" priority="429">
      <formula>C$9&gt;=20/24</formula>
    </cfRule>
    <cfRule type="expression" dxfId="635" priority="430">
      <formula>AND(C$9&gt;=14/24,C$9&lt;20/24)</formula>
    </cfRule>
    <cfRule type="expression" dxfId="634" priority="431">
      <formula>AND(C$9&gt;=8/24,C$9&lt;14/24)</formula>
    </cfRule>
    <cfRule type="expression" dxfId="633" priority="432">
      <formula>C$9&lt;8/24</formula>
    </cfRule>
  </conditionalFormatting>
  <conditionalFormatting sqref="AL33">
    <cfRule type="iconSet" priority="42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32" priority="457">
      <formula>C$9&gt;=20/24</formula>
    </cfRule>
    <cfRule type="expression" dxfId="631" priority="458">
      <formula>AND(C$9&gt;=14/24,C$9&lt;20/24)</formula>
    </cfRule>
    <cfRule type="expression" dxfId="630" priority="459">
      <formula>AND(C$9&gt;=8/24,C$9&lt;14/24)</formula>
    </cfRule>
    <cfRule type="expression" dxfId="629" priority="460">
      <formula>C$9&lt;8/24</formula>
    </cfRule>
  </conditionalFormatting>
  <conditionalFormatting sqref="A201">
    <cfRule type="expression" dxfId="628" priority="461">
      <formula>$AH201=0</formula>
    </cfRule>
  </conditionalFormatting>
  <conditionalFormatting sqref="AG213">
    <cfRule type="expression" dxfId="627" priority="462">
      <formula>B$9&gt;=20/24</formula>
    </cfRule>
    <cfRule type="expression" dxfId="626" priority="463">
      <formula>AND(B$9&gt;=14/24,B$9&lt;20/24)</formula>
    </cfRule>
    <cfRule type="expression" dxfId="625" priority="464">
      <formula>AND(B$9&gt;=8/24,B$9&lt;14/24)</formula>
    </cfRule>
    <cfRule type="expression" dxfId="624" priority="465">
      <formula>B$9&lt;8/24</formula>
    </cfRule>
  </conditionalFormatting>
  <conditionalFormatting sqref="S8">
    <cfRule type="expression" dxfId="623" priority="424">
      <formula>U$9&gt;=20/24</formula>
    </cfRule>
    <cfRule type="expression" dxfId="622" priority="425">
      <formula>AND(U$9&gt;=14/24,U$9&lt;20/24)</formula>
    </cfRule>
    <cfRule type="expression" dxfId="621" priority="426">
      <formula>AND(U$9&gt;=8/24,U$9&lt;14/24)</formula>
    </cfRule>
    <cfRule type="expression" dxfId="620" priority="427">
      <formula>U$9&lt;8/24</formula>
    </cfRule>
  </conditionalFormatting>
  <conditionalFormatting sqref="AB8">
    <cfRule type="expression" dxfId="619" priority="420">
      <formula>AD$9&gt;=20/24</formula>
    </cfRule>
    <cfRule type="expression" dxfId="618" priority="421">
      <formula>AND(AD$9&gt;=14/24,AD$9&lt;20/24)</formula>
    </cfRule>
    <cfRule type="expression" dxfId="617" priority="422">
      <formula>AND(AD$9&gt;=8/24,AD$9&lt;14/24)</formula>
    </cfRule>
    <cfRule type="expression" dxfId="616" priority="423">
      <formula>AD$9&lt;8/24</formula>
    </cfRule>
  </conditionalFormatting>
  <conditionalFormatting sqref="AH213:AX213">
    <cfRule type="expression" dxfId="615" priority="466">
      <formula>AG$9&gt;=20/24</formula>
    </cfRule>
    <cfRule type="expression" dxfId="614" priority="467">
      <formula>AND(AG$9&gt;=14/24,AG$9&lt;20/24)</formula>
    </cfRule>
    <cfRule type="expression" dxfId="613" priority="468">
      <formula>AND(AG$9&gt;=8/24,AG$9&lt;14/24)</formula>
    </cfRule>
    <cfRule type="expression" dxfId="612" priority="469">
      <formula>AG$9&lt;8/24</formula>
    </cfRule>
  </conditionalFormatting>
  <conditionalFormatting sqref="T213">
    <cfRule type="expression" dxfId="611" priority="470">
      <formula>AX$9&gt;=20/24</formula>
    </cfRule>
    <cfRule type="expression" dxfId="610" priority="471">
      <formula>AND(AX$9&gt;=14/24,AX$9&lt;20/24)</formula>
    </cfRule>
    <cfRule type="expression" dxfId="609" priority="472">
      <formula>AND(AX$9&gt;=8/24,AX$9&lt;14/24)</formula>
    </cfRule>
    <cfRule type="expression" dxfId="608" priority="473">
      <formula>AX$9&lt;8/24</formula>
    </cfRule>
  </conditionalFormatting>
  <conditionalFormatting sqref="A99:A100">
    <cfRule type="expression" dxfId="607" priority="419">
      <formula>$AH99=0</formula>
    </cfRule>
  </conditionalFormatting>
  <conditionalFormatting sqref="U40:U41 G40:L41 C57:AF57 AB40:AF41">
    <cfRule type="expression" dxfId="606" priority="415">
      <formula>C$9&gt;=20/24</formula>
    </cfRule>
    <cfRule type="expression" dxfId="605" priority="416">
      <formula>AND(C$9&gt;=14/24,C$9&lt;20/24)</formula>
    </cfRule>
    <cfRule type="expression" dxfId="604" priority="417">
      <formula>AND(C$9&gt;=8/24,C$9&lt;14/24)</formula>
    </cfRule>
    <cfRule type="expression" dxfId="603" priority="418">
      <formula>C$9&lt;8/24</formula>
    </cfRule>
  </conditionalFormatting>
  <conditionalFormatting sqref="U39 G39:L39 AB39:AF39">
    <cfRule type="expression" dxfId="602" priority="411">
      <formula>G$9&gt;=20/24</formula>
    </cfRule>
    <cfRule type="expression" dxfId="601" priority="412">
      <formula>AND(G$9&gt;=14/24,G$9&lt;20/24)</formula>
    </cfRule>
    <cfRule type="expression" dxfId="600" priority="413">
      <formula>AND(G$9&gt;=8/24,G$9&lt;14/24)</formula>
    </cfRule>
    <cfRule type="expression" dxfId="599" priority="414">
      <formula>G$9&lt;8/24</formula>
    </cfRule>
  </conditionalFormatting>
  <conditionalFormatting sqref="U39:U41 G39:L41 AB39:AF41">
    <cfRule type="expression" dxfId="598" priority="410">
      <formula>G39&gt;$AG39</formula>
    </cfRule>
  </conditionalFormatting>
  <conditionalFormatting sqref="C81:AF81 C69:AF72 M37:R37 E58:V59 C58:D63 S60:V67 C85:U91 M11:R14 C67:R67 E60:R63 R36:T36 S12:T14 M16:T16 P18:T22 P24:T24 X85:AF91 C53:AF56 W58:AF67">
    <cfRule type="expression" dxfId="597" priority="406">
      <formula>C$9&gt;=20/24</formula>
    </cfRule>
    <cfRule type="expression" dxfId="596" priority="407">
      <formula>AND(C$9&gt;=14/24,C$9&lt;20/24)</formula>
    </cfRule>
    <cfRule type="expression" dxfId="595" priority="408">
      <formula>AND(C$9&gt;=8/24,C$9&lt;14/24)</formula>
    </cfRule>
    <cfRule type="expression" dxfId="594" priority="409">
      <formula>C$9&lt;8/24</formula>
    </cfRule>
  </conditionalFormatting>
  <conditionalFormatting sqref="C51:AF51 M37:R37 G42:L42 P11:R11 M11:O15 R36:T36 P18:T22 P24:T24 C53:AF56 AB42:AF42">
    <cfRule type="expression" dxfId="593" priority="397">
      <formula>C11&gt;$AG11</formula>
    </cfRule>
  </conditionalFormatting>
  <conditionalFormatting sqref="M15:T15">
    <cfRule type="expression" dxfId="592" priority="389">
      <formula>M$9&gt;=20/24</formula>
    </cfRule>
    <cfRule type="expression" dxfId="591" priority="390">
      <formula>AND(M$9&gt;=14/24,M$9&lt;20/24)</formula>
    </cfRule>
    <cfRule type="expression" dxfId="590" priority="391">
      <formula>AND(M$9&gt;=8/24,M$9&lt;14/24)</formula>
    </cfRule>
    <cfRule type="expression" dxfId="589" priority="392">
      <formula>M$9&lt;8/24</formula>
    </cfRule>
  </conditionalFormatting>
  <conditionalFormatting sqref="S11:T11">
    <cfRule type="expression" dxfId="588" priority="380">
      <formula>S$9&gt;=20/24</formula>
    </cfRule>
    <cfRule type="expression" dxfId="587" priority="381">
      <formula>AND(S$9&gt;=14/24,S$9&lt;20/24)</formula>
    </cfRule>
    <cfRule type="expression" dxfId="586" priority="382">
      <formula>AND(S$9&gt;=8/24,S$9&lt;14/24)</formula>
    </cfRule>
    <cfRule type="expression" dxfId="585" priority="383">
      <formula>S$9&lt;8/24</formula>
    </cfRule>
  </conditionalFormatting>
  <conditionalFormatting sqref="M39:R43 U42:U50 P46:P47 N46:O46 M45:P45 Q45:Q47 M44:Q44 R44:R47 S39:T47">
    <cfRule type="expression" dxfId="584" priority="371">
      <formula>M$9&gt;=20/24</formula>
    </cfRule>
    <cfRule type="expression" dxfId="583" priority="372">
      <formula>AND(M$9&gt;=14/24,M$9&lt;20/24)</formula>
    </cfRule>
    <cfRule type="expression" dxfId="582" priority="373">
      <formula>AND(M$9&gt;=8/24,M$9&lt;14/24)</formula>
    </cfRule>
    <cfRule type="expression" dxfId="581" priority="374">
      <formula>M$9&lt;8/24</formula>
    </cfRule>
  </conditionalFormatting>
  <conditionalFormatting sqref="M39:R43 U42:U50 P46:P47 N46:O46 M45:P45 Q45:Q47 M44:Q44 R44:R47 S39:T47">
    <cfRule type="expression" dxfId="580" priority="370">
      <formula>M39&gt;$AG39</formula>
    </cfRule>
  </conditionalFormatting>
  <conditionalFormatting sqref="M17:T17 P23:T23">
    <cfRule type="expression" dxfId="579" priority="362">
      <formula>M$9&gt;=20/24</formula>
    </cfRule>
    <cfRule type="expression" dxfId="578" priority="363">
      <formula>AND(M$9&gt;=14/24,M$9&lt;20/24)</formula>
    </cfRule>
    <cfRule type="expression" dxfId="577" priority="364">
      <formula>AND(M$9&gt;=8/24,M$9&lt;14/24)</formula>
    </cfRule>
    <cfRule type="expression" dxfId="576" priority="365">
      <formula>M$9&lt;8/24</formula>
    </cfRule>
  </conditionalFormatting>
  <conditionalFormatting sqref="M17:T17 P23:T23">
    <cfRule type="expression" dxfId="575" priority="353">
      <formula>M17&gt;$AG17</formula>
    </cfRule>
  </conditionalFormatting>
  <conditionalFormatting sqref="C40:F41">
    <cfRule type="expression" dxfId="574" priority="336">
      <formula>C$9&gt;=20/24</formula>
    </cfRule>
    <cfRule type="expression" dxfId="573" priority="337">
      <formula>AND(C$9&gt;=14/24,C$9&lt;20/24)</formula>
    </cfRule>
    <cfRule type="expression" dxfId="572" priority="338">
      <formula>AND(C$9&gt;=8/24,C$9&lt;14/24)</formula>
    </cfRule>
    <cfRule type="expression" dxfId="571" priority="339">
      <formula>C$9&lt;8/24</formula>
    </cfRule>
  </conditionalFormatting>
  <conditionalFormatting sqref="C39:F39">
    <cfRule type="expression" dxfId="570" priority="332">
      <formula>C$9&gt;=20/24</formula>
    </cfRule>
    <cfRule type="expression" dxfId="569" priority="333">
      <formula>AND(C$9&gt;=14/24,C$9&lt;20/24)</formula>
    </cfRule>
    <cfRule type="expression" dxfId="568" priority="334">
      <formula>AND(C$9&gt;=8/24,C$9&lt;14/24)</formula>
    </cfRule>
    <cfRule type="expression" dxfId="567" priority="335">
      <formula>C$9&lt;8/24</formula>
    </cfRule>
  </conditionalFormatting>
  <conditionalFormatting sqref="C39:F41">
    <cfRule type="expression" dxfId="566" priority="331">
      <formula>C39&gt;$AG39</formula>
    </cfRule>
  </conditionalFormatting>
  <conditionalFormatting sqref="C64:R66">
    <cfRule type="expression" dxfId="565" priority="327">
      <formula>C$9&gt;=20/24</formula>
    </cfRule>
    <cfRule type="expression" dxfId="564" priority="328">
      <formula>AND(C$9&gt;=14/24,C$9&lt;20/24)</formula>
    </cfRule>
    <cfRule type="expression" dxfId="563" priority="329">
      <formula>AND(C$9&gt;=8/24,C$9&lt;14/24)</formula>
    </cfRule>
    <cfRule type="expression" dxfId="562" priority="330">
      <formula>C$9&lt;8/24</formula>
    </cfRule>
  </conditionalFormatting>
  <conditionalFormatting sqref="C42:F43 G43:L43">
    <cfRule type="expression" dxfId="561" priority="326">
      <formula>C42&gt;$AG42</formula>
    </cfRule>
  </conditionalFormatting>
  <conditionalFormatting sqref="C44:L50 M46:M50 N47:O50 P48:T50">
    <cfRule type="expression" dxfId="560" priority="322">
      <formula>C$9&gt;=20/24</formula>
    </cfRule>
    <cfRule type="expression" dxfId="559" priority="323">
      <formula>AND(C$9&gt;=14/24,C$9&lt;20/24)</formula>
    </cfRule>
    <cfRule type="expression" dxfId="558" priority="324">
      <formula>AND(C$9&gt;=8/24,C$9&lt;14/24)</formula>
    </cfRule>
    <cfRule type="expression" dxfId="557" priority="325">
      <formula>C$9&lt;8/24</formula>
    </cfRule>
  </conditionalFormatting>
  <conditionalFormatting sqref="C44:L50 M46:M50 N47:O50 P48:T50">
    <cfRule type="expression" dxfId="556" priority="321">
      <formula>C44&gt;$AG44</formula>
    </cfRule>
  </conditionalFormatting>
  <conditionalFormatting sqref="C82:AF82 C74:AF74">
    <cfRule type="expression" dxfId="555" priority="308">
      <formula>C$9&gt;=20/24</formula>
    </cfRule>
    <cfRule type="expression" dxfId="554" priority="309">
      <formula>AND(C$9&gt;=14/24,C$9&lt;20/24)</formula>
    </cfRule>
    <cfRule type="expression" dxfId="553" priority="310">
      <formula>AND(C$9&gt;=8/24,C$9&lt;14/24)</formula>
    </cfRule>
    <cfRule type="expression" dxfId="552" priority="311">
      <formula>C$9&lt;8/24</formula>
    </cfRule>
  </conditionalFormatting>
  <conditionalFormatting sqref="C75:AF75 C73:AF73 C83:AF83">
    <cfRule type="expression" dxfId="551" priority="286">
      <formula>C$9&gt;=20/24</formula>
    </cfRule>
    <cfRule type="expression" dxfId="550" priority="287">
      <formula>AND(C$9&gt;=14/24,C$9&lt;20/24)</formula>
    </cfRule>
    <cfRule type="expression" dxfId="549" priority="288">
      <formula>AND(C$9&gt;=8/24,C$9&lt;14/24)</formula>
    </cfRule>
    <cfRule type="expression" dxfId="548" priority="289">
      <formula>C$9&lt;8/24</formula>
    </cfRule>
  </conditionalFormatting>
  <conditionalFormatting sqref="C52:AF52 C38:AF38">
    <cfRule type="expression" dxfId="547" priority="277">
      <formula>C38&gt;$AG38</formula>
    </cfRule>
  </conditionalFormatting>
  <conditionalFormatting sqref="A33">
    <cfRule type="expression" dxfId="546" priority="249">
      <formula>$AH33=0</formula>
    </cfRule>
  </conditionalFormatting>
  <conditionalFormatting sqref="C68:AF68">
    <cfRule type="expression" dxfId="545" priority="245">
      <formula>C$9&gt;=20/24</formula>
    </cfRule>
    <cfRule type="expression" dxfId="544" priority="246">
      <formula>AND(C$9&gt;=14/24,C$9&lt;20/24)</formula>
    </cfRule>
    <cfRule type="expression" dxfId="543" priority="247">
      <formula>AND(C$9&gt;=8/24,C$9&lt;14/24)</formula>
    </cfRule>
    <cfRule type="expression" dxfId="542" priority="248">
      <formula>C$9&lt;8/24</formula>
    </cfRule>
  </conditionalFormatting>
  <conditionalFormatting sqref="C76:AF80">
    <cfRule type="expression" dxfId="541" priority="241">
      <formula>C$9&gt;=20/24</formula>
    </cfRule>
    <cfRule type="expression" dxfId="540" priority="242">
      <formula>AND(C$9&gt;=14/24,C$9&lt;20/24)</formula>
    </cfRule>
    <cfRule type="expression" dxfId="539" priority="243">
      <formula>AND(C$9&gt;=8/24,C$9&lt;14/24)</formula>
    </cfRule>
    <cfRule type="expression" dxfId="538" priority="244">
      <formula>C$9&lt;8/24</formula>
    </cfRule>
  </conditionalFormatting>
  <conditionalFormatting sqref="B94:B100 B11:L11">
    <cfRule type="expression" dxfId="537" priority="153">
      <formula>B$9&gt;=20/24</formula>
    </cfRule>
    <cfRule type="expression" dxfId="536" priority="154">
      <formula>AND(B$9&gt;=14/24,B$9&lt;20/24)</formula>
    </cfRule>
    <cfRule type="expression" dxfId="535" priority="155">
      <formula>AND(B$9&gt;=8/24,B$9&lt;14/24)</formula>
    </cfRule>
    <cfRule type="expression" dxfId="534" priority="156">
      <formula>B$9&lt;8/24</formula>
    </cfRule>
  </conditionalFormatting>
  <conditionalFormatting sqref="B37:L37">
    <cfRule type="expression" dxfId="533" priority="149">
      <formula>B$9&gt;=20/24</formula>
    </cfRule>
    <cfRule type="expression" dxfId="532" priority="150">
      <formula>AND(B$9&gt;=14/24,B$9&lt;20/24)</formula>
    </cfRule>
    <cfRule type="expression" dxfId="531" priority="151">
      <formula>AND(B$9&gt;=8/24,B$9&lt;14/24)</formula>
    </cfRule>
    <cfRule type="expression" dxfId="530" priority="152">
      <formula>B$9&lt;8/24</formula>
    </cfRule>
  </conditionalFormatting>
  <conditionalFormatting sqref="B11:L16 B37:L37">
    <cfRule type="expression" dxfId="529" priority="148">
      <formula>B11&gt;$AG11</formula>
    </cfRule>
  </conditionalFormatting>
  <conditionalFormatting sqref="B84">
    <cfRule type="expression" dxfId="528" priority="144">
      <formula>B$9&gt;=20/24</formula>
    </cfRule>
    <cfRule type="expression" dxfId="527" priority="145">
      <formula>AND(B$9&gt;=14/24,B$9&lt;20/24)</formula>
    </cfRule>
    <cfRule type="expression" dxfId="526" priority="146">
      <formula>AND(B$9&gt;=8/24,B$9&lt;14/24)</formula>
    </cfRule>
    <cfRule type="expression" dxfId="525" priority="147">
      <formula>B$9&lt;8/24</formula>
    </cfRule>
  </conditionalFormatting>
  <conditionalFormatting sqref="B57 B40:B41">
    <cfRule type="expression" dxfId="524" priority="140">
      <formula>B$9&gt;=20/24</formula>
    </cfRule>
    <cfRule type="expression" dxfId="523" priority="141">
      <formula>AND(B$9&gt;=14/24,B$9&lt;20/24)</formula>
    </cfRule>
    <cfRule type="expression" dxfId="522" priority="142">
      <formula>AND(B$9&gt;=8/24,B$9&lt;14/24)</formula>
    </cfRule>
    <cfRule type="expression" dxfId="521" priority="143">
      <formula>B$9&lt;8/24</formula>
    </cfRule>
  </conditionalFormatting>
  <conditionalFormatting sqref="B39">
    <cfRule type="expression" dxfId="520" priority="136">
      <formula>B$9&gt;=20/24</formula>
    </cfRule>
    <cfRule type="expression" dxfId="519" priority="137">
      <formula>AND(B$9&gt;=14/24,B$9&lt;20/24)</formula>
    </cfRule>
    <cfRule type="expression" dxfId="518" priority="138">
      <formula>AND(B$9&gt;=8/24,B$9&lt;14/24)</formula>
    </cfRule>
    <cfRule type="expression" dxfId="517" priority="139">
      <formula>B$9&lt;8/24</formula>
    </cfRule>
  </conditionalFormatting>
  <conditionalFormatting sqref="B39:B41">
    <cfRule type="expression" dxfId="516" priority="135">
      <formula>B39&gt;$AG39</formula>
    </cfRule>
  </conditionalFormatting>
  <conditionalFormatting sqref="B81 B69:B72 B53:B56 B58:B67 B85:B91 B16:L16 B26:T26">
    <cfRule type="expression" dxfId="515" priority="131">
      <formula>B$9&gt;=20/24</formula>
    </cfRule>
    <cfRule type="expression" dxfId="514" priority="132">
      <formula>AND(B$9&gt;=14/24,B$9&lt;20/24)</formula>
    </cfRule>
    <cfRule type="expression" dxfId="513" priority="133">
      <formula>AND(B$9&gt;=8/24,B$9&lt;14/24)</formula>
    </cfRule>
    <cfRule type="expression" dxfId="512" priority="134">
      <formula>B$9&lt;8/24</formula>
    </cfRule>
  </conditionalFormatting>
  <conditionalFormatting sqref="B51 B53:B56 B42:B43 B26:T26">
    <cfRule type="expression" dxfId="511" priority="130">
      <formula>B26&gt;$AG26</formula>
    </cfRule>
  </conditionalFormatting>
  <conditionalFormatting sqref="B44:B50">
    <cfRule type="expression" dxfId="510" priority="126">
      <formula>B$9&gt;=20/24</formula>
    </cfRule>
    <cfRule type="expression" dxfId="509" priority="127">
      <formula>AND(B$9&gt;=14/24,B$9&lt;20/24)</formula>
    </cfRule>
    <cfRule type="expression" dxfId="508" priority="128">
      <formula>AND(B$9&gt;=8/24,B$9&lt;14/24)</formula>
    </cfRule>
    <cfRule type="expression" dxfId="507" priority="129">
      <formula>B$9&lt;8/24</formula>
    </cfRule>
  </conditionalFormatting>
  <conditionalFormatting sqref="B44:B50">
    <cfRule type="expression" dxfId="506" priority="125">
      <formula>B44&gt;$AG44</formula>
    </cfRule>
  </conditionalFormatting>
  <conditionalFormatting sqref="B74 B82">
    <cfRule type="expression" dxfId="505" priority="121">
      <formula>B$9&gt;=20/24</formula>
    </cfRule>
    <cfRule type="expression" dxfId="504" priority="122">
      <formula>AND(B$9&gt;=14/24,B$9&lt;20/24)</formula>
    </cfRule>
    <cfRule type="expression" dxfId="503" priority="123">
      <formula>AND(B$9&gt;=8/24,B$9&lt;14/24)</formula>
    </cfRule>
    <cfRule type="expression" dxfId="502" priority="124">
      <formula>B$9&lt;8/24</formula>
    </cfRule>
  </conditionalFormatting>
  <conditionalFormatting sqref="B36:Q36">
    <cfRule type="expression" dxfId="501" priority="117">
      <formula>B$9&gt;=20/24</formula>
    </cfRule>
    <cfRule type="expression" dxfId="500" priority="118">
      <formula>AND(B$9&gt;=14/24,B$9&lt;20/24)</formula>
    </cfRule>
    <cfRule type="expression" dxfId="499" priority="119">
      <formula>AND(B$9&gt;=8/24,B$9&lt;14/24)</formula>
    </cfRule>
    <cfRule type="expression" dxfId="498" priority="120">
      <formula>B$9&lt;8/24</formula>
    </cfRule>
  </conditionalFormatting>
  <conditionalFormatting sqref="B36:Q36">
    <cfRule type="expression" dxfId="497" priority="116">
      <formula>B36&gt;$AG36</formula>
    </cfRule>
  </conditionalFormatting>
  <conditionalFormatting sqref="B75 B73 B83 B12:L14 B18:O22 B24:O25 P25:T25 B28:T31">
    <cfRule type="expression" dxfId="496" priority="112">
      <formula>B$9&gt;=20/24</formula>
    </cfRule>
    <cfRule type="expression" dxfId="495" priority="113">
      <formula>AND(B$9&gt;=14/24,B$9&lt;20/24)</formula>
    </cfRule>
    <cfRule type="expression" dxfId="494" priority="114">
      <formula>AND(B$9&gt;=8/24,B$9&lt;14/24)</formula>
    </cfRule>
    <cfRule type="expression" dxfId="493" priority="115">
      <formula>B$9&lt;8/24</formula>
    </cfRule>
  </conditionalFormatting>
  <conditionalFormatting sqref="B32:T32">
    <cfRule type="expression" dxfId="492" priority="108">
      <formula>B$9&gt;=20/24</formula>
    </cfRule>
    <cfRule type="expression" dxfId="491" priority="109">
      <formula>AND(B$9&gt;=14/24,B$9&lt;20/24)</formula>
    </cfRule>
    <cfRule type="expression" dxfId="490" priority="110">
      <formula>AND(B$9&gt;=8/24,B$9&lt;14/24)</formula>
    </cfRule>
    <cfRule type="expression" dxfId="489" priority="111">
      <formula>B$9&lt;8/24</formula>
    </cfRule>
  </conditionalFormatting>
  <conditionalFormatting sqref="B35:T35">
    <cfRule type="expression" dxfId="488" priority="104">
      <formula>B$9&gt;=20/24</formula>
    </cfRule>
    <cfRule type="expression" dxfId="487" priority="105">
      <formula>AND(B$9&gt;=14/24,B$9&lt;20/24)</formula>
    </cfRule>
    <cfRule type="expression" dxfId="486" priority="106">
      <formula>AND(B$9&gt;=8/24,B$9&lt;14/24)</formula>
    </cfRule>
    <cfRule type="expression" dxfId="485" priority="107">
      <formula>B$9&lt;8/24</formula>
    </cfRule>
  </conditionalFormatting>
  <conditionalFormatting sqref="B52 B38 B18:O22 B24:O25 P25:T25 B27:T32 B34:T35">
    <cfRule type="expression" dxfId="484" priority="103">
      <formula>B18&gt;$AG18</formula>
    </cfRule>
  </conditionalFormatting>
  <conditionalFormatting sqref="B34:T34">
    <cfRule type="expression" dxfId="483" priority="99">
      <formula>B$9&gt;=20/24</formula>
    </cfRule>
    <cfRule type="expression" dxfId="482" priority="100">
      <formula>AND(B$9&gt;=14/24,B$9&lt;20/24)</formula>
    </cfRule>
    <cfRule type="expression" dxfId="481" priority="101">
      <formula>AND(B$9&gt;=8/24,B$9&lt;14/24)</formula>
    </cfRule>
    <cfRule type="expression" dxfId="480" priority="102">
      <formula>B$9&lt;8/24</formula>
    </cfRule>
  </conditionalFormatting>
  <conditionalFormatting sqref="B15:L15">
    <cfRule type="expression" dxfId="479" priority="95">
      <formula>B$9&gt;=20/24</formula>
    </cfRule>
    <cfRule type="expression" dxfId="478" priority="96">
      <formula>AND(B$9&gt;=14/24,B$9&lt;20/24)</formula>
    </cfRule>
    <cfRule type="expression" dxfId="477" priority="97">
      <formula>AND(B$9&gt;=8/24,B$9&lt;14/24)</formula>
    </cfRule>
    <cfRule type="expression" dxfId="476" priority="98">
      <formula>B$9&lt;8/24</formula>
    </cfRule>
  </conditionalFormatting>
  <conditionalFormatting sqref="B33:T33">
    <cfRule type="expression" dxfId="475" priority="91">
      <formula>B$9&gt;=20/24</formula>
    </cfRule>
    <cfRule type="expression" dxfId="474" priority="92">
      <formula>AND(B$9&gt;=14/24,B$9&lt;20/24)</formula>
    </cfRule>
    <cfRule type="expression" dxfId="473" priority="93">
      <formula>AND(B$9&gt;=8/24,B$9&lt;14/24)</formula>
    </cfRule>
    <cfRule type="expression" dxfId="472" priority="94">
      <formula>B$9&lt;8/24</formula>
    </cfRule>
  </conditionalFormatting>
  <conditionalFormatting sqref="B33:T33">
    <cfRule type="expression" dxfId="471" priority="90">
      <formula>B33&gt;$AG33</formula>
    </cfRule>
  </conditionalFormatting>
  <conditionalFormatting sqref="B27:T27">
    <cfRule type="expression" dxfId="470" priority="86">
      <formula>B$9&gt;=20/24</formula>
    </cfRule>
    <cfRule type="expression" dxfId="469" priority="87">
      <formula>AND(B$9&gt;=14/24,B$9&lt;20/24)</formula>
    </cfRule>
    <cfRule type="expression" dxfId="468" priority="88">
      <formula>AND(B$9&gt;=8/24,B$9&lt;14/24)</formula>
    </cfRule>
    <cfRule type="expression" dxfId="467" priority="89">
      <formula>B$9&lt;8/24</formula>
    </cfRule>
  </conditionalFormatting>
  <conditionalFormatting sqref="B17:L17 B23:O23">
    <cfRule type="expression" dxfId="466" priority="82">
      <formula>B$9&gt;=20/24</formula>
    </cfRule>
    <cfRule type="expression" dxfId="465" priority="83">
      <formula>AND(B$9&gt;=14/24,B$9&lt;20/24)</formula>
    </cfRule>
    <cfRule type="expression" dxfId="464" priority="84">
      <formula>AND(B$9&gt;=8/24,B$9&lt;14/24)</formula>
    </cfRule>
    <cfRule type="expression" dxfId="463" priority="85">
      <formula>B$9&lt;8/24</formula>
    </cfRule>
  </conditionalFormatting>
  <conditionalFormatting sqref="B17:L17 B23:O23">
    <cfRule type="expression" dxfId="462" priority="81">
      <formula>B17&gt;$AG17</formula>
    </cfRule>
  </conditionalFormatting>
  <conditionalFormatting sqref="B68">
    <cfRule type="expression" dxfId="461" priority="77">
      <formula>B$9&gt;=20/24</formula>
    </cfRule>
    <cfRule type="expression" dxfId="460" priority="78">
      <formula>AND(B$9&gt;=14/24,B$9&lt;20/24)</formula>
    </cfRule>
    <cfRule type="expression" dxfId="459" priority="79">
      <formula>AND(B$9&gt;=8/24,B$9&lt;14/24)</formula>
    </cfRule>
    <cfRule type="expression" dxfId="458" priority="80">
      <formula>B$9&lt;8/24</formula>
    </cfRule>
  </conditionalFormatting>
  <conditionalFormatting sqref="B76:B80">
    <cfRule type="expression" dxfId="457" priority="73">
      <formula>B$9&gt;=20/24</formula>
    </cfRule>
    <cfRule type="expression" dxfId="456" priority="74">
      <formula>AND(B$9&gt;=14/24,B$9&lt;20/24)</formula>
    </cfRule>
    <cfRule type="expression" dxfId="455" priority="75">
      <formula>AND(B$9&gt;=8/24,B$9&lt;14/24)</formula>
    </cfRule>
    <cfRule type="expression" dxfId="454" priority="76">
      <formula>B$9&lt;8/24</formula>
    </cfRule>
  </conditionalFormatting>
  <conditionalFormatting sqref="V37:AA37">
    <cfRule type="expression" dxfId="453" priority="69">
      <formula>V$9&gt;=20/24</formula>
    </cfRule>
    <cfRule type="expression" dxfId="452" priority="70">
      <formula>AND(V$9&gt;=14/24,V$9&lt;20/24)</formula>
    </cfRule>
    <cfRule type="expression" dxfId="451" priority="71">
      <formula>AND(V$9&gt;=8/24,V$9&lt;14/24)</formula>
    </cfRule>
    <cfRule type="expression" dxfId="450" priority="72">
      <formula>V$9&lt;8/24</formula>
    </cfRule>
  </conditionalFormatting>
  <conditionalFormatting sqref="V37:AA37 V11:AF16">
    <cfRule type="expression" dxfId="449" priority="68">
      <formula>V11&gt;$AG11</formula>
    </cfRule>
  </conditionalFormatting>
  <conditionalFormatting sqref="V36:AF36 V12:AF14 V18:AF22 V24:AF24 V16:AF16">
    <cfRule type="expression" dxfId="448" priority="64">
      <formula>V$9&gt;=20/24</formula>
    </cfRule>
    <cfRule type="expression" dxfId="447" priority="65">
      <formula>AND(V$9&gt;=14/24,V$9&lt;20/24)</formula>
    </cfRule>
    <cfRule type="expression" dxfId="446" priority="66">
      <formula>AND(V$9&gt;=8/24,V$9&lt;14/24)</formula>
    </cfRule>
    <cfRule type="expression" dxfId="445" priority="67">
      <formula>V$9&lt;8/24</formula>
    </cfRule>
  </conditionalFormatting>
  <conditionalFormatting sqref="V36:AF36 V18:AF22 V24:AF24">
    <cfRule type="expression" dxfId="444" priority="63">
      <formula>V18&gt;$AG18</formula>
    </cfRule>
  </conditionalFormatting>
  <conditionalFormatting sqref="V15:AF15">
    <cfRule type="expression" dxfId="443" priority="59">
      <formula>V$9&gt;=20/24</formula>
    </cfRule>
    <cfRule type="expression" dxfId="442" priority="60">
      <formula>AND(V$9&gt;=14/24,V$9&lt;20/24)</formula>
    </cfRule>
    <cfRule type="expression" dxfId="441" priority="61">
      <formula>AND(V$9&gt;=8/24,V$9&lt;14/24)</formula>
    </cfRule>
    <cfRule type="expression" dxfId="440" priority="62">
      <formula>V$9&lt;8/24</formula>
    </cfRule>
  </conditionalFormatting>
  <conditionalFormatting sqref="V11:AF11">
    <cfRule type="expression" dxfId="439" priority="55">
      <formula>V$9&gt;=20/24</formula>
    </cfRule>
    <cfRule type="expression" dxfId="438" priority="56">
      <formula>AND(V$9&gt;=14/24,V$9&lt;20/24)</formula>
    </cfRule>
    <cfRule type="expression" dxfId="437" priority="57">
      <formula>AND(V$9&gt;=8/24,V$9&lt;14/24)</formula>
    </cfRule>
    <cfRule type="expression" dxfId="436" priority="58">
      <formula>V$9&lt;8/24</formula>
    </cfRule>
  </conditionalFormatting>
  <conditionalFormatting sqref="V17:AF17 V23:AF23">
    <cfRule type="expression" dxfId="435" priority="51">
      <formula>V$9&gt;=20/24</formula>
    </cfRule>
    <cfRule type="expression" dxfId="434" priority="52">
      <formula>AND(V$9&gt;=14/24,V$9&lt;20/24)</formula>
    </cfRule>
    <cfRule type="expression" dxfId="433" priority="53">
      <formula>AND(V$9&gt;=8/24,V$9&lt;14/24)</formula>
    </cfRule>
    <cfRule type="expression" dxfId="432" priority="54">
      <formula>V$9&lt;8/24</formula>
    </cfRule>
  </conditionalFormatting>
  <conditionalFormatting sqref="V17:AF17 V23:AF23">
    <cfRule type="expression" dxfId="431" priority="50">
      <formula>V17&gt;$AG17</formula>
    </cfRule>
  </conditionalFormatting>
  <conditionalFormatting sqref="V26:AF26">
    <cfRule type="expression" dxfId="430" priority="46">
      <formula>V$9&gt;=20/24</formula>
    </cfRule>
    <cfRule type="expression" dxfId="429" priority="47">
      <formula>AND(V$9&gt;=14/24,V$9&lt;20/24)</formula>
    </cfRule>
    <cfRule type="expression" dxfId="428" priority="48">
      <formula>AND(V$9&gt;=8/24,V$9&lt;14/24)</formula>
    </cfRule>
    <cfRule type="expression" dxfId="427" priority="49">
      <formula>V$9&lt;8/24</formula>
    </cfRule>
  </conditionalFormatting>
  <conditionalFormatting sqref="V26:AF26">
    <cfRule type="expression" dxfId="426" priority="45">
      <formula>V26&gt;$AG26</formula>
    </cfRule>
  </conditionalFormatting>
  <conditionalFormatting sqref="V25:AF25 V28:AF31">
    <cfRule type="expression" dxfId="425" priority="41">
      <formula>V$9&gt;=20/24</formula>
    </cfRule>
    <cfRule type="expression" dxfId="424" priority="42">
      <formula>AND(V$9&gt;=14/24,V$9&lt;20/24)</formula>
    </cfRule>
    <cfRule type="expression" dxfId="423" priority="43">
      <formula>AND(V$9&gt;=8/24,V$9&lt;14/24)</formula>
    </cfRule>
    <cfRule type="expression" dxfId="422" priority="44">
      <formula>V$9&lt;8/24</formula>
    </cfRule>
  </conditionalFormatting>
  <conditionalFormatting sqref="V32:AF32">
    <cfRule type="expression" dxfId="421" priority="37">
      <formula>V$9&gt;=20/24</formula>
    </cfRule>
    <cfRule type="expression" dxfId="420" priority="38">
      <formula>AND(V$9&gt;=14/24,V$9&lt;20/24)</formula>
    </cfRule>
    <cfRule type="expression" dxfId="419" priority="39">
      <formula>AND(V$9&gt;=8/24,V$9&lt;14/24)</formula>
    </cfRule>
    <cfRule type="expression" dxfId="418" priority="40">
      <formula>V$9&lt;8/24</formula>
    </cfRule>
  </conditionalFormatting>
  <conditionalFormatting sqref="V35:AF35">
    <cfRule type="expression" dxfId="417" priority="33">
      <formula>V$9&gt;=20/24</formula>
    </cfRule>
    <cfRule type="expression" dxfId="416" priority="34">
      <formula>AND(V$9&gt;=14/24,V$9&lt;20/24)</formula>
    </cfRule>
    <cfRule type="expression" dxfId="415" priority="35">
      <formula>AND(V$9&gt;=8/24,V$9&lt;14/24)</formula>
    </cfRule>
    <cfRule type="expression" dxfId="414" priority="36">
      <formula>V$9&lt;8/24</formula>
    </cfRule>
  </conditionalFormatting>
  <conditionalFormatting sqref="V25:AF25 V34:AF35 V27:AF32">
    <cfRule type="expression" dxfId="413" priority="32">
      <formula>V25&gt;$AG25</formula>
    </cfRule>
  </conditionalFormatting>
  <conditionalFormatting sqref="V34:AF34">
    <cfRule type="expression" dxfId="412" priority="28">
      <formula>V$9&gt;=20/24</formula>
    </cfRule>
    <cfRule type="expression" dxfId="411" priority="29">
      <formula>AND(V$9&gt;=14/24,V$9&lt;20/24)</formula>
    </cfRule>
    <cfRule type="expression" dxfId="410" priority="30">
      <formula>AND(V$9&gt;=8/24,V$9&lt;14/24)</formula>
    </cfRule>
    <cfRule type="expression" dxfId="409" priority="31">
      <formula>V$9&lt;8/24</formula>
    </cfRule>
  </conditionalFormatting>
  <conditionalFormatting sqref="V33:AF33">
    <cfRule type="expression" dxfId="408" priority="24">
      <formula>V$9&gt;=20/24</formula>
    </cfRule>
    <cfRule type="expression" dxfId="407" priority="25">
      <formula>AND(V$9&gt;=14/24,V$9&lt;20/24)</formula>
    </cfRule>
    <cfRule type="expression" dxfId="406" priority="26">
      <formula>AND(V$9&gt;=8/24,V$9&lt;14/24)</formula>
    </cfRule>
    <cfRule type="expression" dxfId="405" priority="27">
      <formula>V$9&lt;8/24</formula>
    </cfRule>
  </conditionalFormatting>
  <conditionalFormatting sqref="V33:AF33">
    <cfRule type="expression" dxfId="404" priority="23">
      <formula>V33&gt;$AG33</formula>
    </cfRule>
  </conditionalFormatting>
  <conditionalFormatting sqref="V27:AF27">
    <cfRule type="expression" dxfId="403" priority="19">
      <formula>V$9&gt;=20/24</formula>
    </cfRule>
    <cfRule type="expression" dxfId="402" priority="20">
      <formula>AND(V$9&gt;=14/24,V$9&lt;20/24)</formula>
    </cfRule>
    <cfRule type="expression" dxfId="401" priority="21">
      <formula>AND(V$9&gt;=8/24,V$9&lt;14/24)</formula>
    </cfRule>
    <cfRule type="expression" dxfId="400" priority="22">
      <formula>V$9&lt;8/24</formula>
    </cfRule>
  </conditionalFormatting>
  <conditionalFormatting sqref="V39:AA47 AB43:AF47">
    <cfRule type="expression" dxfId="399" priority="15">
      <formula>V$9&gt;=20/24</formula>
    </cfRule>
    <cfRule type="expression" dxfId="398" priority="16">
      <formula>AND(V$9&gt;=14/24,V$9&lt;20/24)</formula>
    </cfRule>
    <cfRule type="expression" dxfId="397" priority="17">
      <formula>AND(V$9&gt;=8/24,V$9&lt;14/24)</formula>
    </cfRule>
    <cfRule type="expression" dxfId="396" priority="18">
      <formula>V$9&lt;8/24</formula>
    </cfRule>
  </conditionalFormatting>
  <conditionalFormatting sqref="V39:AA47 AB43:AF47">
    <cfRule type="expression" dxfId="395" priority="14">
      <formula>V39&gt;$AG39</formula>
    </cfRule>
  </conditionalFormatting>
  <conditionalFormatting sqref="V48:AF50">
    <cfRule type="expression" dxfId="394" priority="10">
      <formula>V$9&gt;=20/24</formula>
    </cfRule>
    <cfRule type="expression" dxfId="393" priority="11">
      <formula>AND(V$9&gt;=14/24,V$9&lt;20/24)</formula>
    </cfRule>
    <cfRule type="expression" dxfId="392" priority="12">
      <formula>AND(V$9&gt;=8/24,V$9&lt;14/24)</formula>
    </cfRule>
    <cfRule type="expression" dxfId="391" priority="13">
      <formula>V$9&lt;8/24</formula>
    </cfRule>
  </conditionalFormatting>
  <conditionalFormatting sqref="V48:AF50">
    <cfRule type="expression" dxfId="390" priority="9">
      <formula>V48&gt;$AG48</formula>
    </cfRule>
  </conditionalFormatting>
  <conditionalFormatting sqref="V84:W84">
    <cfRule type="expression" dxfId="389" priority="5">
      <formula>V$9&gt;=20/24</formula>
    </cfRule>
    <cfRule type="expression" dxfId="388" priority="6">
      <formula>AND(V$9&gt;=14/24,V$9&lt;20/24)</formula>
    </cfRule>
    <cfRule type="expression" dxfId="387" priority="7">
      <formula>AND(V$9&gt;=8/24,V$9&lt;14/24)</formula>
    </cfRule>
    <cfRule type="expression" dxfId="386" priority="8">
      <formula>V$9&lt;8/24</formula>
    </cfRule>
  </conditionalFormatting>
  <conditionalFormatting sqref="V85:W91">
    <cfRule type="expression" dxfId="385" priority="1">
      <formula>V$9&gt;=20/24</formula>
    </cfRule>
    <cfRule type="expression" dxfId="384" priority="2">
      <formula>AND(V$9&gt;=14/24,V$9&lt;20/24)</formula>
    </cfRule>
    <cfRule type="expression" dxfId="383" priority="3">
      <formula>AND(V$9&gt;=8/24,V$9&lt;14/24)</formula>
    </cfRule>
    <cfRule type="expression" dxfId="382" priority="4">
      <formula>V$9&lt;8/24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S44" sqref="S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6.28515625" bestFit="1" customWidth="1"/>
    <col min="15" max="15" width="7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2079/02/32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68.599999999999994</v>
      </c>
      <c r="C5" s="32">
        <f t="shared" si="0"/>
        <v>67.400000000000006</v>
      </c>
      <c r="D5" s="32">
        <f t="shared" si="0"/>
        <v>65.099999999999994</v>
      </c>
      <c r="E5" s="32">
        <f t="shared" si="0"/>
        <v>61.5</v>
      </c>
      <c r="F5" s="32">
        <f t="shared" si="0"/>
        <v>58.6</v>
      </c>
      <c r="G5" s="32">
        <f t="shared" si="0"/>
        <v>54.5</v>
      </c>
      <c r="H5" s="32">
        <f t="shared" si="0"/>
        <v>64.8</v>
      </c>
      <c r="I5" s="32">
        <f t="shared" si="0"/>
        <v>67.8</v>
      </c>
      <c r="J5" s="32">
        <f t="shared" si="0"/>
        <v>56.4</v>
      </c>
      <c r="K5" s="32">
        <f t="shared" si="0"/>
        <v>53.2</v>
      </c>
      <c r="L5" s="32">
        <f t="shared" si="0"/>
        <v>56.7</v>
      </c>
      <c r="M5" s="32">
        <f t="shared" si="0"/>
        <v>85.6</v>
      </c>
      <c r="N5" s="32">
        <f t="shared" si="0"/>
        <v>95.2</v>
      </c>
      <c r="O5" s="32">
        <f t="shared" si="0"/>
        <v>90.2</v>
      </c>
      <c r="P5" s="32">
        <f t="shared" si="0"/>
        <v>91.9</v>
      </c>
      <c r="Q5" s="32">
        <f t="shared" si="0"/>
        <v>80.400000000000006</v>
      </c>
      <c r="R5" s="32">
        <f t="shared" si="0"/>
        <v>66</v>
      </c>
      <c r="S5" s="32">
        <f t="shared" si="0"/>
        <v>67</v>
      </c>
      <c r="T5" s="32">
        <f t="shared" si="0"/>
        <v>66</v>
      </c>
      <c r="U5" s="32">
        <f t="shared" si="0"/>
        <v>59</v>
      </c>
      <c r="V5" s="32">
        <f t="shared" si="0"/>
        <v>57</v>
      </c>
      <c r="W5" s="32">
        <f t="shared" si="0"/>
        <v>57</v>
      </c>
      <c r="X5" s="32">
        <f t="shared" si="0"/>
        <v>52.5</v>
      </c>
      <c r="Y5" s="32">
        <f t="shared" si="0"/>
        <v>27</v>
      </c>
      <c r="Z5" s="32">
        <f t="shared" si="0"/>
        <v>30</v>
      </c>
      <c r="AA5" s="32">
        <f t="shared" si="0"/>
        <v>45.5</v>
      </c>
      <c r="AB5" s="32">
        <f t="shared" si="0"/>
        <v>42.1</v>
      </c>
      <c r="AC5" s="32">
        <f t="shared" si="0"/>
        <v>46.3</v>
      </c>
      <c r="AD5" s="32">
        <f t="shared" si="0"/>
        <v>38.6</v>
      </c>
      <c r="AE5" s="32">
        <f t="shared" si="0"/>
        <v>24</v>
      </c>
      <c r="AF5" s="32">
        <f>B68</f>
        <v>72.900000000000006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1804MW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Load=1639</v>
      </c>
      <c r="B7" s="37">
        <f>B75</f>
        <v>1792.5400000000002</v>
      </c>
      <c r="C7" s="37">
        <f t="shared" ref="C7:AF7" si="1">C75</f>
        <v>1777.24</v>
      </c>
      <c r="D7" s="37">
        <f t="shared" si="1"/>
        <v>1776.0400000000002</v>
      </c>
      <c r="E7" s="37">
        <f t="shared" si="1"/>
        <v>1754.04</v>
      </c>
      <c r="F7" s="37">
        <f t="shared" si="1"/>
        <v>1706.94</v>
      </c>
      <c r="G7" s="37">
        <f t="shared" si="1"/>
        <v>1804.1399999999996</v>
      </c>
      <c r="H7" s="37">
        <f t="shared" si="1"/>
        <v>1710.9399999999998</v>
      </c>
      <c r="I7" s="37">
        <f t="shared" si="1"/>
        <v>1721.4399999999998</v>
      </c>
      <c r="J7" s="37">
        <f t="shared" si="1"/>
        <v>1748.9399999999998</v>
      </c>
      <c r="K7" s="37">
        <f t="shared" si="1"/>
        <v>1731.34</v>
      </c>
      <c r="L7" s="37">
        <f t="shared" si="1"/>
        <v>1726.7399999999998</v>
      </c>
      <c r="M7" s="37">
        <f t="shared" si="1"/>
        <v>1743.94</v>
      </c>
      <c r="N7" s="37">
        <f t="shared" si="1"/>
        <v>1773.2399999999998</v>
      </c>
      <c r="O7" s="37">
        <f t="shared" si="1"/>
        <v>1782.64</v>
      </c>
      <c r="P7" s="37">
        <f t="shared" si="1"/>
        <v>1734.1399999999999</v>
      </c>
      <c r="Q7" s="37">
        <f t="shared" si="1"/>
        <v>1713.1399999999999</v>
      </c>
      <c r="R7" s="37">
        <f t="shared" si="1"/>
        <v>1739.8400000000001</v>
      </c>
      <c r="S7" s="37">
        <f t="shared" si="1"/>
        <v>1723.44</v>
      </c>
      <c r="T7" s="37">
        <f t="shared" si="1"/>
        <v>1647.3399999999997</v>
      </c>
      <c r="U7" s="37">
        <f t="shared" si="1"/>
        <v>1646.3399999999997</v>
      </c>
      <c r="V7" s="37">
        <f t="shared" si="1"/>
        <v>1639.3399999999997</v>
      </c>
      <c r="W7" s="37">
        <f t="shared" si="1"/>
        <v>1706.44</v>
      </c>
      <c r="X7" s="37">
        <f t="shared" si="1"/>
        <v>1738.44</v>
      </c>
      <c r="Y7" s="37">
        <f t="shared" si="1"/>
        <v>1733.94</v>
      </c>
      <c r="Z7" s="37">
        <f t="shared" si="1"/>
        <v>1733.44</v>
      </c>
      <c r="AA7" s="37">
        <f t="shared" si="1"/>
        <v>1736.44</v>
      </c>
      <c r="AB7" s="37">
        <f t="shared" si="1"/>
        <v>1761.94</v>
      </c>
      <c r="AC7" s="37">
        <f t="shared" si="1"/>
        <v>1758.54</v>
      </c>
      <c r="AD7" s="37">
        <f t="shared" si="1"/>
        <v>1766.04</v>
      </c>
      <c r="AE7" s="37">
        <f t="shared" si="1"/>
        <v>1758.6399999999999</v>
      </c>
      <c r="AF7" s="37">
        <f t="shared" si="1"/>
        <v>1744.04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49">
        <v>456</v>
      </c>
      <c r="D11" s="49">
        <v>456</v>
      </c>
      <c r="E11" s="49">
        <v>456</v>
      </c>
      <c r="F11" s="49">
        <v>456</v>
      </c>
      <c r="G11" s="49">
        <v>456</v>
      </c>
      <c r="H11" s="49">
        <v>456</v>
      </c>
      <c r="I11" s="49">
        <v>456</v>
      </c>
      <c r="J11" s="49">
        <v>456</v>
      </c>
      <c r="K11" s="49">
        <v>456</v>
      </c>
      <c r="L11" s="49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456</v>
      </c>
      <c r="X11" s="51">
        <v>456</v>
      </c>
      <c r="Y11" s="51">
        <v>456</v>
      </c>
      <c r="Z11" s="51">
        <v>456</v>
      </c>
      <c r="AA11" s="51">
        <v>456</v>
      </c>
      <c r="AB11" s="51">
        <v>456</v>
      </c>
      <c r="AC11" s="51">
        <v>456</v>
      </c>
      <c r="AD11" s="51">
        <v>456</v>
      </c>
      <c r="AE11" s="51">
        <v>456</v>
      </c>
      <c r="AF11" s="51">
        <v>456</v>
      </c>
      <c r="AG11" s="54">
        <v>456</v>
      </c>
      <c r="AH11" s="55">
        <f>MAX(B11:AF11)</f>
        <v>456</v>
      </c>
      <c r="AI11" s="56">
        <f>MIN(B11:AF11)</f>
        <v>456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9">
        <v>60</v>
      </c>
      <c r="AH12" s="55">
        <f t="shared" ref="AH12:AH75" si="2">MAX(B12:AF12)</f>
        <v>60</v>
      </c>
      <c r="AI12" s="56">
        <f t="shared" ref="AI12:AI75" si="3">MIN(B12:AF12)</f>
        <v>60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>
        <v>54.1</v>
      </c>
      <c r="C13" s="51">
        <v>54.1</v>
      </c>
      <c r="D13" s="51">
        <v>54.1</v>
      </c>
      <c r="E13" s="51">
        <v>54.1</v>
      </c>
      <c r="F13" s="51">
        <v>54.1</v>
      </c>
      <c r="G13" s="51">
        <v>53.9</v>
      </c>
      <c r="H13" s="51">
        <v>53.9</v>
      </c>
      <c r="I13" s="51">
        <v>53.9</v>
      </c>
      <c r="J13" s="51">
        <v>53.9</v>
      </c>
      <c r="K13" s="51">
        <v>53.9</v>
      </c>
      <c r="L13" s="51">
        <v>53.9</v>
      </c>
      <c r="M13" s="51">
        <v>53.8</v>
      </c>
      <c r="N13" s="51">
        <v>53.8</v>
      </c>
      <c r="O13" s="51">
        <v>53.8</v>
      </c>
      <c r="P13" s="51">
        <v>53.8</v>
      </c>
      <c r="Q13" s="51">
        <v>53.8</v>
      </c>
      <c r="R13" s="51">
        <v>53.8</v>
      </c>
      <c r="S13" s="51">
        <v>53.8</v>
      </c>
      <c r="T13" s="51">
        <v>53.8</v>
      </c>
      <c r="U13" s="51">
        <v>53.8</v>
      </c>
      <c r="V13" s="51">
        <v>53.8</v>
      </c>
      <c r="W13" s="51">
        <v>53.8</v>
      </c>
      <c r="X13" s="51">
        <v>53.8</v>
      </c>
      <c r="Y13" s="51">
        <v>53.8</v>
      </c>
      <c r="Z13" s="51">
        <v>53.8</v>
      </c>
      <c r="AA13" s="51">
        <v>53.8</v>
      </c>
      <c r="AB13" s="51">
        <v>53.8</v>
      </c>
      <c r="AC13" s="51">
        <v>53.8</v>
      </c>
      <c r="AD13" s="51">
        <v>53.8</v>
      </c>
      <c r="AE13" s="51">
        <v>53.8</v>
      </c>
      <c r="AF13" s="51">
        <v>53.8</v>
      </c>
      <c r="AG13" s="59">
        <v>52.4</v>
      </c>
      <c r="AH13" s="55">
        <f t="shared" si="2"/>
        <v>54.1</v>
      </c>
      <c r="AI13" s="56">
        <f t="shared" si="3"/>
        <v>53.8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>
        <v>50.3</v>
      </c>
      <c r="C14" s="51">
        <v>50.3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50.5</v>
      </c>
      <c r="N14" s="51">
        <v>50.4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9">
        <v>50</v>
      </c>
      <c r="AH14" s="55">
        <f t="shared" si="2"/>
        <v>50.5</v>
      </c>
      <c r="AI14" s="56">
        <f t="shared" si="3"/>
        <v>50.3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>
        <v>45.6</v>
      </c>
      <c r="C15" s="51">
        <v>45.6</v>
      </c>
      <c r="D15" s="51">
        <v>45.6</v>
      </c>
      <c r="E15" s="51">
        <v>45.6</v>
      </c>
      <c r="F15" s="51">
        <v>45.6</v>
      </c>
      <c r="G15" s="51">
        <v>45.6</v>
      </c>
      <c r="H15" s="51">
        <v>45.6</v>
      </c>
      <c r="I15" s="51">
        <v>45.6</v>
      </c>
      <c r="J15" s="51">
        <v>45.6</v>
      </c>
      <c r="K15" s="51">
        <v>45.6</v>
      </c>
      <c r="L15" s="51">
        <v>45.6</v>
      </c>
      <c r="M15" s="51">
        <v>45.8</v>
      </c>
      <c r="N15" s="51">
        <v>45.9</v>
      </c>
      <c r="O15" s="51">
        <v>45.9</v>
      </c>
      <c r="P15" s="51">
        <v>46</v>
      </c>
      <c r="Q15" s="51">
        <v>46</v>
      </c>
      <c r="R15" s="51">
        <v>46</v>
      </c>
      <c r="S15" s="51">
        <v>46</v>
      </c>
      <c r="T15" s="51">
        <v>46</v>
      </c>
      <c r="U15" s="51">
        <v>46</v>
      </c>
      <c r="V15" s="51">
        <v>46</v>
      </c>
      <c r="W15" s="51">
        <v>46</v>
      </c>
      <c r="X15" s="51">
        <v>46</v>
      </c>
      <c r="Y15" s="51">
        <v>46</v>
      </c>
      <c r="Z15" s="51">
        <v>46</v>
      </c>
      <c r="AA15" s="51">
        <v>46</v>
      </c>
      <c r="AB15" s="51">
        <v>46</v>
      </c>
      <c r="AC15" s="51">
        <v>46</v>
      </c>
      <c r="AD15" s="51">
        <v>46</v>
      </c>
      <c r="AE15" s="51">
        <v>46</v>
      </c>
      <c r="AF15" s="51">
        <v>46</v>
      </c>
      <c r="AG15" s="60">
        <v>45</v>
      </c>
      <c r="AH15" s="55">
        <f t="shared" si="2"/>
        <v>46</v>
      </c>
      <c r="AI15" s="56">
        <f t="shared" si="3"/>
        <v>45.6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>
        <v>35</v>
      </c>
      <c r="C16" s="51">
        <v>25</v>
      </c>
      <c r="D16" s="51">
        <v>25</v>
      </c>
      <c r="E16" s="51">
        <v>30</v>
      </c>
      <c r="F16" s="51">
        <v>30</v>
      </c>
      <c r="G16" s="51">
        <v>30</v>
      </c>
      <c r="H16" s="51">
        <v>40</v>
      </c>
      <c r="I16" s="51">
        <v>40</v>
      </c>
      <c r="J16" s="51">
        <v>40</v>
      </c>
      <c r="K16" s="51">
        <v>40</v>
      </c>
      <c r="L16" s="51">
        <v>40</v>
      </c>
      <c r="M16" s="51">
        <v>40</v>
      </c>
      <c r="N16" s="51">
        <v>40</v>
      </c>
      <c r="O16" s="51">
        <v>40</v>
      </c>
      <c r="P16" s="51">
        <v>40</v>
      </c>
      <c r="Q16" s="51">
        <v>40</v>
      </c>
      <c r="R16" s="51">
        <v>40</v>
      </c>
      <c r="S16" s="51">
        <v>40</v>
      </c>
      <c r="T16" s="51">
        <v>0</v>
      </c>
      <c r="U16" s="51">
        <v>0</v>
      </c>
      <c r="V16" s="51">
        <v>0</v>
      </c>
      <c r="W16" s="51">
        <v>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9">
        <v>45</v>
      </c>
      <c r="AH16" s="55">
        <f t="shared" si="2"/>
        <v>40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19</v>
      </c>
      <c r="L17" s="51">
        <v>19</v>
      </c>
      <c r="M17" s="51">
        <v>19</v>
      </c>
      <c r="N17" s="51">
        <v>19</v>
      </c>
      <c r="O17" s="51">
        <v>19</v>
      </c>
      <c r="P17" s="51">
        <v>19</v>
      </c>
      <c r="Q17" s="51">
        <v>19</v>
      </c>
      <c r="R17" s="51">
        <v>19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9">
        <v>42</v>
      </c>
      <c r="AH17" s="55">
        <f t="shared" si="2"/>
        <v>25</v>
      </c>
      <c r="AI17" s="56">
        <f t="shared" si="3"/>
        <v>19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>
        <v>25</v>
      </c>
      <c r="C18" s="51">
        <v>25</v>
      </c>
      <c r="D18" s="51">
        <v>25</v>
      </c>
      <c r="E18" s="51">
        <v>25</v>
      </c>
      <c r="F18" s="51">
        <v>25</v>
      </c>
      <c r="G18" s="51">
        <v>25</v>
      </c>
      <c r="H18" s="51">
        <v>25</v>
      </c>
      <c r="I18" s="51">
        <v>25</v>
      </c>
      <c r="J18" s="51">
        <v>25</v>
      </c>
      <c r="K18" s="51">
        <v>25</v>
      </c>
      <c r="L18" s="51">
        <v>25</v>
      </c>
      <c r="M18" s="51">
        <v>25</v>
      </c>
      <c r="N18" s="51">
        <v>25</v>
      </c>
      <c r="O18" s="51">
        <v>25</v>
      </c>
      <c r="P18" s="51">
        <v>25</v>
      </c>
      <c r="Q18" s="51">
        <v>25</v>
      </c>
      <c r="R18" s="51">
        <v>25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25</v>
      </c>
      <c r="AA18" s="51">
        <v>25</v>
      </c>
      <c r="AB18" s="51">
        <v>25</v>
      </c>
      <c r="AC18" s="51">
        <v>25</v>
      </c>
      <c r="AD18" s="51">
        <v>25</v>
      </c>
      <c r="AE18" s="51">
        <v>25</v>
      </c>
      <c r="AF18" s="51">
        <v>25</v>
      </c>
      <c r="AG18" s="59">
        <v>36</v>
      </c>
      <c r="AH18" s="55">
        <f t="shared" si="2"/>
        <v>25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>
        <v>26.3</v>
      </c>
      <c r="C19" s="51">
        <v>26.3</v>
      </c>
      <c r="D19" s="51">
        <v>26.3</v>
      </c>
      <c r="E19" s="51">
        <v>26.3</v>
      </c>
      <c r="F19" s="51">
        <v>26.3</v>
      </c>
      <c r="G19" s="51">
        <v>26.3</v>
      </c>
      <c r="H19" s="51">
        <v>26.3</v>
      </c>
      <c r="I19" s="51">
        <v>26.3</v>
      </c>
      <c r="J19" s="51">
        <v>26.3</v>
      </c>
      <c r="K19" s="51">
        <v>26.3</v>
      </c>
      <c r="L19" s="51">
        <v>26.3</v>
      </c>
      <c r="M19" s="51">
        <v>26.1</v>
      </c>
      <c r="N19" s="51">
        <v>26.1</v>
      </c>
      <c r="O19" s="51">
        <v>26.1</v>
      </c>
      <c r="P19" s="51">
        <v>0</v>
      </c>
      <c r="Q19" s="51">
        <v>0</v>
      </c>
      <c r="R19" s="51">
        <v>26.2</v>
      </c>
      <c r="S19" s="51">
        <v>26.2</v>
      </c>
      <c r="T19" s="51">
        <v>0</v>
      </c>
      <c r="U19" s="51">
        <v>0</v>
      </c>
      <c r="V19" s="51">
        <v>0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26.2</v>
      </c>
      <c r="AG19" s="59">
        <v>30</v>
      </c>
      <c r="AH19" s="55">
        <f t="shared" si="2"/>
        <v>26.3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>
        <v>23.6</v>
      </c>
      <c r="C20" s="51">
        <v>23.6</v>
      </c>
      <c r="D20" s="51">
        <v>23.6</v>
      </c>
      <c r="E20" s="51">
        <v>23.6</v>
      </c>
      <c r="F20" s="51">
        <v>23.6</v>
      </c>
      <c r="G20" s="51">
        <v>23.6</v>
      </c>
      <c r="H20" s="51">
        <v>23.6</v>
      </c>
      <c r="I20" s="51">
        <v>23.6</v>
      </c>
      <c r="J20" s="51">
        <v>23.6</v>
      </c>
      <c r="K20" s="51">
        <v>23.6</v>
      </c>
      <c r="L20" s="51">
        <v>23.6</v>
      </c>
      <c r="M20" s="51">
        <v>23.6</v>
      </c>
      <c r="N20" s="51">
        <v>23.6</v>
      </c>
      <c r="O20" s="51">
        <v>23.6</v>
      </c>
      <c r="P20" s="51">
        <v>22</v>
      </c>
      <c r="Q20" s="51">
        <v>22</v>
      </c>
      <c r="R20" s="51">
        <v>22</v>
      </c>
      <c r="S20" s="51">
        <v>22</v>
      </c>
      <c r="T20" s="51">
        <v>22</v>
      </c>
      <c r="U20" s="51">
        <v>22</v>
      </c>
      <c r="V20" s="51">
        <v>22</v>
      </c>
      <c r="W20" s="51">
        <v>22</v>
      </c>
      <c r="X20" s="51">
        <v>22</v>
      </c>
      <c r="Y20" s="51">
        <v>22</v>
      </c>
      <c r="Z20" s="51">
        <v>22</v>
      </c>
      <c r="AA20" s="51">
        <v>22</v>
      </c>
      <c r="AB20" s="51">
        <v>22</v>
      </c>
      <c r="AC20" s="51">
        <v>22</v>
      </c>
      <c r="AD20" s="51">
        <v>22</v>
      </c>
      <c r="AE20" s="51">
        <v>22</v>
      </c>
      <c r="AF20" s="51">
        <v>22</v>
      </c>
      <c r="AG20" s="59">
        <v>27</v>
      </c>
      <c r="AH20" s="55">
        <f t="shared" si="2"/>
        <v>23.6</v>
      </c>
      <c r="AI20" s="56">
        <f t="shared" si="3"/>
        <v>22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>
        <v>13</v>
      </c>
      <c r="C21" s="51">
        <v>13</v>
      </c>
      <c r="D21" s="51">
        <v>13</v>
      </c>
      <c r="E21" s="51">
        <v>13</v>
      </c>
      <c r="F21" s="51">
        <v>13</v>
      </c>
      <c r="G21" s="51">
        <v>13</v>
      </c>
      <c r="H21" s="51">
        <v>13</v>
      </c>
      <c r="I21" s="51">
        <v>13</v>
      </c>
      <c r="J21" s="51">
        <v>13</v>
      </c>
      <c r="K21" s="51">
        <v>13</v>
      </c>
      <c r="L21" s="51">
        <v>13</v>
      </c>
      <c r="M21" s="51">
        <v>21</v>
      </c>
      <c r="N21" s="51">
        <v>21</v>
      </c>
      <c r="O21" s="51">
        <v>21</v>
      </c>
      <c r="P21" s="51">
        <v>21</v>
      </c>
      <c r="Q21" s="51">
        <v>21</v>
      </c>
      <c r="R21" s="51">
        <v>21</v>
      </c>
      <c r="S21" s="51">
        <v>21</v>
      </c>
      <c r="T21" s="51">
        <v>21</v>
      </c>
      <c r="U21" s="51">
        <v>21</v>
      </c>
      <c r="V21" s="51">
        <v>21</v>
      </c>
      <c r="W21" s="51">
        <v>21</v>
      </c>
      <c r="X21" s="51">
        <v>21</v>
      </c>
      <c r="Y21" s="51">
        <v>21</v>
      </c>
      <c r="Z21" s="51">
        <v>21</v>
      </c>
      <c r="AA21" s="51">
        <v>21</v>
      </c>
      <c r="AB21" s="51">
        <v>21</v>
      </c>
      <c r="AC21" s="51">
        <v>21</v>
      </c>
      <c r="AD21" s="51">
        <v>21</v>
      </c>
      <c r="AE21" s="51">
        <v>21</v>
      </c>
      <c r="AF21" s="51">
        <v>21</v>
      </c>
      <c r="AG21" s="59">
        <v>25</v>
      </c>
      <c r="AH21" s="55">
        <f t="shared" si="2"/>
        <v>21</v>
      </c>
      <c r="AI21" s="56">
        <f t="shared" si="3"/>
        <v>13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>
        <v>22.1</v>
      </c>
      <c r="C22" s="51">
        <v>22.1</v>
      </c>
      <c r="D22" s="51">
        <v>22.1</v>
      </c>
      <c r="E22" s="51">
        <v>22.1</v>
      </c>
      <c r="F22" s="51">
        <v>22.1</v>
      </c>
      <c r="G22" s="51">
        <v>22.1</v>
      </c>
      <c r="H22" s="51">
        <v>22.1</v>
      </c>
      <c r="I22" s="51">
        <v>22.1</v>
      </c>
      <c r="J22" s="51">
        <v>22.1</v>
      </c>
      <c r="K22" s="51">
        <v>22.1</v>
      </c>
      <c r="L22" s="51">
        <v>22.1</v>
      </c>
      <c r="M22" s="51">
        <v>22.1</v>
      </c>
      <c r="N22" s="51">
        <v>22.1</v>
      </c>
      <c r="O22" s="51">
        <v>22.1</v>
      </c>
      <c r="P22" s="51">
        <v>22.1</v>
      </c>
      <c r="Q22" s="51">
        <v>0</v>
      </c>
      <c r="R22" s="51">
        <v>0</v>
      </c>
      <c r="S22" s="51">
        <v>17</v>
      </c>
      <c r="T22" s="51">
        <v>17</v>
      </c>
      <c r="U22" s="51">
        <v>17</v>
      </c>
      <c r="V22" s="51">
        <v>17</v>
      </c>
      <c r="W22" s="51">
        <v>17</v>
      </c>
      <c r="X22" s="51">
        <v>17</v>
      </c>
      <c r="Y22" s="51">
        <v>17</v>
      </c>
      <c r="Z22" s="51">
        <v>17</v>
      </c>
      <c r="AA22" s="51">
        <v>17</v>
      </c>
      <c r="AB22" s="51">
        <v>17</v>
      </c>
      <c r="AC22" s="51">
        <v>17</v>
      </c>
      <c r="AD22" s="51">
        <v>17</v>
      </c>
      <c r="AE22" s="51">
        <v>17</v>
      </c>
      <c r="AF22" s="51">
        <v>17</v>
      </c>
      <c r="AG22" s="59">
        <v>25</v>
      </c>
      <c r="AH22" s="55">
        <f t="shared" si="2"/>
        <v>22.1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>
        <v>22</v>
      </c>
      <c r="C23" s="51">
        <v>22</v>
      </c>
      <c r="D23" s="51">
        <v>22</v>
      </c>
      <c r="E23" s="51">
        <v>22</v>
      </c>
      <c r="F23" s="51">
        <v>22</v>
      </c>
      <c r="G23" s="51">
        <v>22</v>
      </c>
      <c r="H23" s="51">
        <v>22</v>
      </c>
      <c r="I23" s="51">
        <v>22</v>
      </c>
      <c r="J23" s="51">
        <v>22</v>
      </c>
      <c r="K23" s="51">
        <v>22</v>
      </c>
      <c r="L23" s="51">
        <v>22</v>
      </c>
      <c r="M23" s="51">
        <v>22</v>
      </c>
      <c r="N23" s="51">
        <v>22</v>
      </c>
      <c r="O23" s="51">
        <v>22</v>
      </c>
      <c r="P23" s="51">
        <v>22</v>
      </c>
      <c r="Q23" s="51">
        <v>22</v>
      </c>
      <c r="R23" s="51">
        <v>22</v>
      </c>
      <c r="S23" s="51">
        <v>22</v>
      </c>
      <c r="T23" s="51">
        <v>22</v>
      </c>
      <c r="U23" s="51">
        <v>22</v>
      </c>
      <c r="V23" s="51">
        <v>22</v>
      </c>
      <c r="W23" s="51">
        <v>22</v>
      </c>
      <c r="X23" s="51">
        <v>22</v>
      </c>
      <c r="Y23" s="51">
        <v>22</v>
      </c>
      <c r="Z23" s="51">
        <v>22</v>
      </c>
      <c r="AA23" s="51">
        <v>22</v>
      </c>
      <c r="AB23" s="51">
        <v>22</v>
      </c>
      <c r="AC23" s="51">
        <v>22</v>
      </c>
      <c r="AD23" s="51">
        <v>22</v>
      </c>
      <c r="AE23" s="51">
        <v>22</v>
      </c>
      <c r="AF23" s="51">
        <v>22</v>
      </c>
      <c r="AG23" s="59">
        <v>25</v>
      </c>
      <c r="AH23" s="55">
        <f t="shared" si="2"/>
        <v>22</v>
      </c>
      <c r="AI23" s="56">
        <f t="shared" si="3"/>
        <v>22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9">
        <v>25</v>
      </c>
      <c r="AH24" s="55">
        <f t="shared" si="2"/>
        <v>22</v>
      </c>
      <c r="AI24" s="56">
        <f t="shared" si="3"/>
        <v>22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>
        <v>22</v>
      </c>
      <c r="C25" s="51">
        <v>22</v>
      </c>
      <c r="D25" s="51">
        <v>22</v>
      </c>
      <c r="E25" s="51">
        <v>22</v>
      </c>
      <c r="F25" s="51">
        <v>22</v>
      </c>
      <c r="G25" s="51">
        <v>22</v>
      </c>
      <c r="H25" s="51">
        <v>22</v>
      </c>
      <c r="I25" s="51">
        <v>22</v>
      </c>
      <c r="J25" s="51">
        <v>22</v>
      </c>
      <c r="K25" s="51">
        <v>22</v>
      </c>
      <c r="L25" s="51">
        <v>22</v>
      </c>
      <c r="M25" s="51">
        <v>22</v>
      </c>
      <c r="N25" s="51">
        <v>22</v>
      </c>
      <c r="O25" s="51">
        <v>22</v>
      </c>
      <c r="P25" s="51">
        <v>22</v>
      </c>
      <c r="Q25" s="51">
        <v>22</v>
      </c>
      <c r="R25" s="51">
        <v>22</v>
      </c>
      <c r="S25" s="51">
        <v>22</v>
      </c>
      <c r="T25" s="51">
        <v>22</v>
      </c>
      <c r="U25" s="51">
        <v>22</v>
      </c>
      <c r="V25" s="51">
        <v>22</v>
      </c>
      <c r="W25" s="51">
        <v>22</v>
      </c>
      <c r="X25" s="51">
        <v>22</v>
      </c>
      <c r="Y25" s="51">
        <v>22</v>
      </c>
      <c r="Z25" s="51">
        <v>22</v>
      </c>
      <c r="AA25" s="51">
        <v>22</v>
      </c>
      <c r="AB25" s="51">
        <v>22</v>
      </c>
      <c r="AC25" s="51">
        <v>22</v>
      </c>
      <c r="AD25" s="51">
        <v>22</v>
      </c>
      <c r="AE25" s="51">
        <v>22</v>
      </c>
      <c r="AF25" s="51">
        <v>22</v>
      </c>
      <c r="AG25" s="59">
        <v>24.2</v>
      </c>
      <c r="AH25" s="55">
        <f t="shared" si="2"/>
        <v>22</v>
      </c>
      <c r="AI25" s="56">
        <f t="shared" si="3"/>
        <v>22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>
        <v>5</v>
      </c>
      <c r="C26" s="51">
        <v>4</v>
      </c>
      <c r="D26" s="51">
        <v>4</v>
      </c>
      <c r="E26" s="51">
        <v>8</v>
      </c>
      <c r="F26" s="51">
        <v>8</v>
      </c>
      <c r="G26" s="51">
        <v>8</v>
      </c>
      <c r="H26" s="51">
        <v>8</v>
      </c>
      <c r="I26" s="51">
        <v>8</v>
      </c>
      <c r="J26" s="51">
        <v>8</v>
      </c>
      <c r="K26" s="51">
        <v>8</v>
      </c>
      <c r="L26" s="51">
        <v>8</v>
      </c>
      <c r="M26" s="51">
        <v>10.5</v>
      </c>
      <c r="N26" s="51">
        <v>10.5</v>
      </c>
      <c r="O26" s="51">
        <v>10.5</v>
      </c>
      <c r="P26" s="51">
        <v>10.5</v>
      </c>
      <c r="Q26" s="51">
        <v>10.5</v>
      </c>
      <c r="R26" s="51">
        <v>10.5</v>
      </c>
      <c r="S26" s="51">
        <v>10.5</v>
      </c>
      <c r="T26" s="51">
        <v>0</v>
      </c>
      <c r="U26" s="51">
        <v>0</v>
      </c>
      <c r="V26" s="51">
        <v>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9">
        <v>20</v>
      </c>
      <c r="AH26" s="55">
        <f t="shared" si="2"/>
        <v>10.5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>
        <v>14</v>
      </c>
      <c r="C27" s="51">
        <v>14</v>
      </c>
      <c r="D27" s="51">
        <v>14</v>
      </c>
      <c r="E27" s="51">
        <v>14</v>
      </c>
      <c r="F27" s="51">
        <v>14</v>
      </c>
      <c r="G27" s="51">
        <v>14</v>
      </c>
      <c r="H27" s="51">
        <v>14</v>
      </c>
      <c r="I27" s="51">
        <v>14</v>
      </c>
      <c r="J27" s="51">
        <v>14</v>
      </c>
      <c r="K27" s="51">
        <v>14</v>
      </c>
      <c r="L27" s="51">
        <v>14</v>
      </c>
      <c r="M27" s="51">
        <v>14</v>
      </c>
      <c r="N27" s="51">
        <v>14</v>
      </c>
      <c r="O27" s="51">
        <v>12</v>
      </c>
      <c r="P27" s="51">
        <v>0</v>
      </c>
      <c r="Q27" s="51">
        <v>0</v>
      </c>
      <c r="R27" s="51">
        <v>10.5</v>
      </c>
      <c r="S27" s="51">
        <v>10.5</v>
      </c>
      <c r="T27" s="51">
        <v>10.5</v>
      </c>
      <c r="U27" s="51">
        <v>10.5</v>
      </c>
      <c r="V27" s="51">
        <v>10.5</v>
      </c>
      <c r="W27" s="51">
        <v>10.5</v>
      </c>
      <c r="X27" s="51">
        <v>10.5</v>
      </c>
      <c r="Y27" s="51">
        <v>10.5</v>
      </c>
      <c r="Z27" s="51">
        <v>10.5</v>
      </c>
      <c r="AA27" s="51">
        <v>10.5</v>
      </c>
      <c r="AB27" s="51">
        <v>10.5</v>
      </c>
      <c r="AC27" s="51">
        <v>10.5</v>
      </c>
      <c r="AD27" s="51">
        <v>10.5</v>
      </c>
      <c r="AE27" s="51">
        <v>10.5</v>
      </c>
      <c r="AF27" s="51">
        <v>10.5</v>
      </c>
      <c r="AG27" s="59">
        <v>23.5</v>
      </c>
      <c r="AH27" s="55">
        <f t="shared" si="2"/>
        <v>14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>
        <v>8</v>
      </c>
      <c r="C28" s="51">
        <v>8</v>
      </c>
      <c r="D28" s="51">
        <v>8</v>
      </c>
      <c r="E28" s="51">
        <v>8</v>
      </c>
      <c r="F28" s="51">
        <v>8</v>
      </c>
      <c r="G28" s="51">
        <v>8</v>
      </c>
      <c r="H28" s="51">
        <v>8</v>
      </c>
      <c r="I28" s="51">
        <v>8</v>
      </c>
      <c r="J28" s="51">
        <v>8</v>
      </c>
      <c r="K28" s="51">
        <v>8</v>
      </c>
      <c r="L28" s="51">
        <v>8</v>
      </c>
      <c r="M28" s="51">
        <v>8</v>
      </c>
      <c r="N28" s="51">
        <v>8</v>
      </c>
      <c r="O28" s="51">
        <v>8</v>
      </c>
      <c r="P28" s="51">
        <v>8</v>
      </c>
      <c r="Q28" s="51">
        <v>8</v>
      </c>
      <c r="R28" s="51">
        <v>8</v>
      </c>
      <c r="S28" s="51">
        <v>8</v>
      </c>
      <c r="T28" s="51">
        <v>8</v>
      </c>
      <c r="U28" s="51">
        <v>8</v>
      </c>
      <c r="V28" s="51">
        <v>8</v>
      </c>
      <c r="W28" s="51">
        <v>8</v>
      </c>
      <c r="X28" s="51">
        <v>8</v>
      </c>
      <c r="Y28" s="51">
        <v>8</v>
      </c>
      <c r="Z28" s="51">
        <v>8</v>
      </c>
      <c r="AA28" s="51">
        <v>8</v>
      </c>
      <c r="AB28" s="51">
        <v>8</v>
      </c>
      <c r="AC28" s="51">
        <v>8</v>
      </c>
      <c r="AD28" s="51">
        <v>8</v>
      </c>
      <c r="AE28" s="51">
        <v>8</v>
      </c>
      <c r="AF28" s="51">
        <v>8</v>
      </c>
      <c r="AG28" s="59">
        <v>22.2</v>
      </c>
      <c r="AH28" s="55">
        <f t="shared" si="2"/>
        <v>8</v>
      </c>
      <c r="AI28" s="56">
        <f t="shared" si="3"/>
        <v>8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>
        <v>13</v>
      </c>
      <c r="C29" s="51">
        <v>13</v>
      </c>
      <c r="D29" s="51">
        <v>13</v>
      </c>
      <c r="E29" s="51">
        <v>13</v>
      </c>
      <c r="F29" s="51">
        <v>13</v>
      </c>
      <c r="G29" s="51">
        <v>13</v>
      </c>
      <c r="H29" s="51">
        <v>13</v>
      </c>
      <c r="I29" s="51">
        <v>13</v>
      </c>
      <c r="J29" s="51">
        <v>13</v>
      </c>
      <c r="K29" s="51">
        <v>13</v>
      </c>
      <c r="L29" s="51">
        <v>13</v>
      </c>
      <c r="M29" s="51">
        <v>13</v>
      </c>
      <c r="N29" s="51">
        <v>13</v>
      </c>
      <c r="O29" s="51">
        <v>13</v>
      </c>
      <c r="P29" s="51">
        <v>13</v>
      </c>
      <c r="Q29" s="51">
        <v>13</v>
      </c>
      <c r="R29" s="51">
        <v>13</v>
      </c>
      <c r="S29" s="51">
        <v>13</v>
      </c>
      <c r="T29" s="51">
        <v>0</v>
      </c>
      <c r="U29" s="51">
        <v>0</v>
      </c>
      <c r="V29" s="51">
        <v>0</v>
      </c>
      <c r="W29" s="51">
        <v>13</v>
      </c>
      <c r="X29" s="51">
        <v>13</v>
      </c>
      <c r="Y29" s="51">
        <v>13</v>
      </c>
      <c r="Z29" s="51">
        <v>13</v>
      </c>
      <c r="AA29" s="51">
        <v>13</v>
      </c>
      <c r="AB29" s="51">
        <v>13</v>
      </c>
      <c r="AC29" s="51">
        <v>13</v>
      </c>
      <c r="AD29" s="51">
        <v>13</v>
      </c>
      <c r="AE29" s="51">
        <v>13</v>
      </c>
      <c r="AF29" s="51">
        <v>13</v>
      </c>
      <c r="AG29" s="59">
        <v>22.1</v>
      </c>
      <c r="AH29" s="55">
        <f t="shared" si="2"/>
        <v>13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>
        <v>8</v>
      </c>
      <c r="C30" s="51">
        <v>8</v>
      </c>
      <c r="D30" s="51">
        <v>8</v>
      </c>
      <c r="E30" s="51">
        <v>8</v>
      </c>
      <c r="F30" s="51">
        <v>8</v>
      </c>
      <c r="G30" s="51">
        <v>8</v>
      </c>
      <c r="H30" s="51">
        <v>8</v>
      </c>
      <c r="I30" s="51">
        <v>8</v>
      </c>
      <c r="J30" s="51">
        <v>8</v>
      </c>
      <c r="K30" s="51">
        <v>8</v>
      </c>
      <c r="L30" s="51">
        <v>8</v>
      </c>
      <c r="M30" s="51">
        <v>8</v>
      </c>
      <c r="N30" s="51">
        <v>8</v>
      </c>
      <c r="O30" s="51">
        <v>8</v>
      </c>
      <c r="P30" s="51">
        <v>8</v>
      </c>
      <c r="Q30" s="51">
        <v>8</v>
      </c>
      <c r="R30" s="51">
        <v>8</v>
      </c>
      <c r="S30" s="51">
        <v>8</v>
      </c>
      <c r="T30" s="51">
        <v>8</v>
      </c>
      <c r="U30" s="51">
        <v>8</v>
      </c>
      <c r="V30" s="51">
        <v>8</v>
      </c>
      <c r="W30" s="51">
        <v>8</v>
      </c>
      <c r="X30" s="51">
        <v>8</v>
      </c>
      <c r="Y30" s="51">
        <v>8</v>
      </c>
      <c r="Z30" s="51">
        <v>8</v>
      </c>
      <c r="AA30" s="51">
        <v>8</v>
      </c>
      <c r="AB30" s="51">
        <v>8</v>
      </c>
      <c r="AC30" s="51">
        <v>8</v>
      </c>
      <c r="AD30" s="51">
        <v>8</v>
      </c>
      <c r="AE30" s="51">
        <v>8</v>
      </c>
      <c r="AF30" s="51">
        <v>8</v>
      </c>
      <c r="AG30" s="59">
        <v>22.1</v>
      </c>
      <c r="AH30" s="55">
        <f t="shared" si="2"/>
        <v>8</v>
      </c>
      <c r="AI30" s="56">
        <f t="shared" si="3"/>
        <v>8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>
        <v>9</v>
      </c>
      <c r="C31" s="51">
        <v>9</v>
      </c>
      <c r="D31" s="51">
        <v>9</v>
      </c>
      <c r="E31" s="51">
        <v>9</v>
      </c>
      <c r="F31" s="51">
        <v>9</v>
      </c>
      <c r="G31" s="51">
        <v>9</v>
      </c>
      <c r="H31" s="51">
        <v>9</v>
      </c>
      <c r="I31" s="51">
        <v>9</v>
      </c>
      <c r="J31" s="51">
        <v>9</v>
      </c>
      <c r="K31" s="51">
        <v>9</v>
      </c>
      <c r="L31" s="51">
        <v>9</v>
      </c>
      <c r="M31" s="51">
        <v>9</v>
      </c>
      <c r="N31" s="51">
        <v>9</v>
      </c>
      <c r="O31" s="51">
        <v>9</v>
      </c>
      <c r="P31" s="51">
        <v>9</v>
      </c>
      <c r="Q31" s="51">
        <v>9</v>
      </c>
      <c r="R31" s="51">
        <v>9</v>
      </c>
      <c r="S31" s="51">
        <v>9</v>
      </c>
      <c r="T31" s="51">
        <v>9</v>
      </c>
      <c r="U31" s="51">
        <v>9</v>
      </c>
      <c r="V31" s="51">
        <v>9</v>
      </c>
      <c r="W31" s="51">
        <v>9</v>
      </c>
      <c r="X31" s="51">
        <v>9</v>
      </c>
      <c r="Y31" s="51">
        <v>9</v>
      </c>
      <c r="Z31" s="51">
        <v>9</v>
      </c>
      <c r="AA31" s="51">
        <v>9</v>
      </c>
      <c r="AB31" s="51">
        <v>9</v>
      </c>
      <c r="AC31" s="51">
        <v>9</v>
      </c>
      <c r="AD31" s="51">
        <v>9</v>
      </c>
      <c r="AE31" s="51">
        <v>9</v>
      </c>
      <c r="AF31" s="51">
        <v>9</v>
      </c>
      <c r="AG31" s="60">
        <v>22</v>
      </c>
      <c r="AH31" s="55">
        <f t="shared" si="2"/>
        <v>9</v>
      </c>
      <c r="AI31" s="56">
        <f t="shared" si="3"/>
        <v>9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>
        <v>11</v>
      </c>
      <c r="C32" s="51">
        <v>11</v>
      </c>
      <c r="D32" s="51">
        <v>11</v>
      </c>
      <c r="E32" s="51">
        <v>11</v>
      </c>
      <c r="F32" s="51">
        <v>11</v>
      </c>
      <c r="G32" s="51">
        <v>11</v>
      </c>
      <c r="H32" s="51">
        <v>11</v>
      </c>
      <c r="I32" s="51">
        <v>11</v>
      </c>
      <c r="J32" s="51">
        <v>11</v>
      </c>
      <c r="K32" s="51">
        <v>11</v>
      </c>
      <c r="L32" s="51">
        <v>11</v>
      </c>
      <c r="M32" s="51">
        <v>11</v>
      </c>
      <c r="N32" s="51">
        <v>11</v>
      </c>
      <c r="O32" s="51">
        <v>11</v>
      </c>
      <c r="P32" s="51">
        <v>11</v>
      </c>
      <c r="Q32" s="51">
        <v>11</v>
      </c>
      <c r="R32" s="51">
        <v>11</v>
      </c>
      <c r="S32" s="51">
        <v>11</v>
      </c>
      <c r="T32" s="51">
        <v>0</v>
      </c>
      <c r="U32" s="51">
        <v>0</v>
      </c>
      <c r="V32" s="51">
        <v>0</v>
      </c>
      <c r="W32" s="51">
        <v>11</v>
      </c>
      <c r="X32" s="51">
        <v>11</v>
      </c>
      <c r="Y32" s="51">
        <v>11</v>
      </c>
      <c r="Z32" s="51">
        <v>11</v>
      </c>
      <c r="AA32" s="51">
        <v>11</v>
      </c>
      <c r="AB32" s="51">
        <v>11</v>
      </c>
      <c r="AC32" s="51">
        <v>11</v>
      </c>
      <c r="AD32" s="51">
        <v>11</v>
      </c>
      <c r="AE32" s="51">
        <v>11</v>
      </c>
      <c r="AF32" s="51">
        <v>11</v>
      </c>
      <c r="AG32" s="64">
        <v>22</v>
      </c>
      <c r="AH32" s="55">
        <f t="shared" si="2"/>
        <v>11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4">
        <v>11</v>
      </c>
      <c r="AH33" s="55">
        <f t="shared" si="2"/>
        <v>2.5</v>
      </c>
      <c r="AI33" s="56">
        <f t="shared" si="3"/>
        <v>2.5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>
        <v>8.9</v>
      </c>
      <c r="C34" s="51">
        <v>8.9</v>
      </c>
      <c r="D34" s="51">
        <v>8.9</v>
      </c>
      <c r="E34" s="51">
        <v>8.9</v>
      </c>
      <c r="F34" s="51">
        <v>8.9</v>
      </c>
      <c r="G34" s="51">
        <v>8.9</v>
      </c>
      <c r="H34" s="51">
        <v>8.9</v>
      </c>
      <c r="I34" s="51">
        <v>8.9</v>
      </c>
      <c r="J34" s="51">
        <v>8.9</v>
      </c>
      <c r="K34" s="51">
        <v>8.9</v>
      </c>
      <c r="L34" s="51">
        <v>8.9</v>
      </c>
      <c r="M34" s="51">
        <v>8.9</v>
      </c>
      <c r="N34" s="51">
        <v>8.9</v>
      </c>
      <c r="O34" s="51">
        <v>8.9</v>
      </c>
      <c r="P34" s="51">
        <v>8.9</v>
      </c>
      <c r="Q34" s="51">
        <v>8.9</v>
      </c>
      <c r="R34" s="51">
        <v>8.9</v>
      </c>
      <c r="S34" s="51">
        <v>8.9</v>
      </c>
      <c r="T34" s="51">
        <v>0</v>
      </c>
      <c r="U34" s="51">
        <v>0</v>
      </c>
      <c r="V34" s="51">
        <v>0</v>
      </c>
      <c r="W34" s="51">
        <v>8.9</v>
      </c>
      <c r="X34" s="51">
        <v>8.9</v>
      </c>
      <c r="Y34" s="51">
        <v>8.9</v>
      </c>
      <c r="Z34" s="51">
        <v>8.9</v>
      </c>
      <c r="AA34" s="51">
        <v>8.9</v>
      </c>
      <c r="AB34" s="51">
        <v>8.9</v>
      </c>
      <c r="AC34" s="51">
        <v>8.9</v>
      </c>
      <c r="AD34" s="51">
        <v>8.9</v>
      </c>
      <c r="AE34" s="51">
        <v>8.9</v>
      </c>
      <c r="AF34" s="51">
        <v>8.9</v>
      </c>
      <c r="AG34" s="64">
        <v>20</v>
      </c>
      <c r="AH34" s="55">
        <f t="shared" si="2"/>
        <v>8.9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>
        <v>4</v>
      </c>
      <c r="C35" s="51">
        <v>4</v>
      </c>
      <c r="D35" s="51">
        <v>4</v>
      </c>
      <c r="E35" s="51">
        <v>4</v>
      </c>
      <c r="F35" s="51">
        <v>4</v>
      </c>
      <c r="G35" s="51">
        <v>4</v>
      </c>
      <c r="H35" s="51">
        <v>4</v>
      </c>
      <c r="I35" s="51">
        <v>4</v>
      </c>
      <c r="J35" s="51">
        <v>4</v>
      </c>
      <c r="K35" s="51">
        <v>4</v>
      </c>
      <c r="L35" s="51">
        <v>4</v>
      </c>
      <c r="M35" s="51">
        <v>4</v>
      </c>
      <c r="N35" s="51">
        <v>4</v>
      </c>
      <c r="O35" s="51">
        <v>4</v>
      </c>
      <c r="P35" s="51">
        <v>4</v>
      </c>
      <c r="Q35" s="51">
        <v>4</v>
      </c>
      <c r="R35" s="51">
        <v>4</v>
      </c>
      <c r="S35" s="51">
        <v>4</v>
      </c>
      <c r="T35" s="51">
        <v>4</v>
      </c>
      <c r="U35" s="51">
        <v>4</v>
      </c>
      <c r="V35" s="51">
        <v>4</v>
      </c>
      <c r="W35" s="51">
        <v>4</v>
      </c>
      <c r="X35" s="51">
        <v>4</v>
      </c>
      <c r="Y35" s="51">
        <v>4</v>
      </c>
      <c r="Z35" s="51">
        <v>4</v>
      </c>
      <c r="AA35" s="51">
        <v>4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4">
        <v>15.33</v>
      </c>
      <c r="AH35" s="55">
        <f t="shared" si="2"/>
        <v>4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>
        <v>300</v>
      </c>
      <c r="C36" s="66">
        <v>300</v>
      </c>
      <c r="D36" s="66">
        <v>300</v>
      </c>
      <c r="E36" s="66">
        <v>300</v>
      </c>
      <c r="F36" s="66">
        <v>300</v>
      </c>
      <c r="G36" s="66">
        <v>300</v>
      </c>
      <c r="H36" s="66">
        <v>300</v>
      </c>
      <c r="I36" s="66">
        <v>300</v>
      </c>
      <c r="J36" s="66">
        <v>300</v>
      </c>
      <c r="K36" s="66">
        <v>300</v>
      </c>
      <c r="L36" s="66">
        <v>300</v>
      </c>
      <c r="M36" s="66">
        <v>300</v>
      </c>
      <c r="N36" s="66">
        <v>300</v>
      </c>
      <c r="O36" s="66">
        <v>300</v>
      </c>
      <c r="P36" s="66">
        <v>300</v>
      </c>
      <c r="Q36" s="66">
        <v>300</v>
      </c>
      <c r="R36" s="66">
        <v>300</v>
      </c>
      <c r="S36" s="66">
        <v>300</v>
      </c>
      <c r="T36" s="66">
        <v>300</v>
      </c>
      <c r="U36" s="66">
        <v>300</v>
      </c>
      <c r="V36" s="66">
        <v>300</v>
      </c>
      <c r="W36" s="66">
        <v>300</v>
      </c>
      <c r="X36" s="66">
        <v>300</v>
      </c>
      <c r="Y36" s="66">
        <v>300</v>
      </c>
      <c r="Z36" s="66">
        <v>300</v>
      </c>
      <c r="AA36" s="66">
        <v>300</v>
      </c>
      <c r="AB36" s="66">
        <v>300</v>
      </c>
      <c r="AC36" s="66">
        <v>300</v>
      </c>
      <c r="AD36" s="66">
        <v>300</v>
      </c>
      <c r="AE36" s="66">
        <v>300</v>
      </c>
      <c r="AF36" s="66">
        <v>300</v>
      </c>
      <c r="AG36" s="64">
        <v>85</v>
      </c>
      <c r="AH36" s="55">
        <f t="shared" si="2"/>
        <v>300</v>
      </c>
      <c r="AI36" s="56">
        <f t="shared" si="3"/>
        <v>300</v>
      </c>
      <c r="AK36" s="57"/>
    </row>
    <row r="37" spans="1:88" ht="15.75" thickBot="1" x14ac:dyDescent="0.3">
      <c r="A37" s="67" t="s">
        <v>45</v>
      </c>
      <c r="B37" s="68">
        <v>150.30000000000001</v>
      </c>
      <c r="C37" s="68">
        <v>150.30000000000001</v>
      </c>
      <c r="D37" s="68">
        <v>150.30000000000001</v>
      </c>
      <c r="E37" s="66">
        <f>51.9+94.9</f>
        <v>146.80000000000001</v>
      </c>
      <c r="F37" s="66">
        <f>47.3+94.7</f>
        <v>142</v>
      </c>
      <c r="G37" s="66">
        <f>48.3+93.8</f>
        <v>142.1</v>
      </c>
      <c r="H37" s="66">
        <f>50.9+74.2</f>
        <v>125.1</v>
      </c>
      <c r="I37" s="66">
        <f>52.2+91.7</f>
        <v>143.9</v>
      </c>
      <c r="J37" s="66">
        <f>51.5+84.2</f>
        <v>135.69999999999999</v>
      </c>
      <c r="K37" s="66">
        <f>51.8+92.8</f>
        <v>144.6</v>
      </c>
      <c r="L37" s="66">
        <f>50.7+86.5</f>
        <v>137.19999999999999</v>
      </c>
      <c r="M37" s="66">
        <f>90.5+49.9</f>
        <v>140.4</v>
      </c>
      <c r="N37" s="66">
        <f>88.5+49.3</f>
        <v>137.80000000000001</v>
      </c>
      <c r="O37" s="66">
        <f>90.9+31.4</f>
        <v>122.30000000000001</v>
      </c>
      <c r="P37" s="66">
        <f>92.5+30.1</f>
        <v>122.6</v>
      </c>
      <c r="Q37" s="66">
        <f>83.9+37.4</f>
        <v>121.30000000000001</v>
      </c>
      <c r="R37" s="66">
        <f>84.8+51.1</f>
        <v>135.9</v>
      </c>
      <c r="S37" s="66">
        <f t="shared" ref="S37:AA37" si="4">59+89</f>
        <v>148</v>
      </c>
      <c r="T37" s="66">
        <f t="shared" si="4"/>
        <v>148</v>
      </c>
      <c r="U37" s="66">
        <f t="shared" si="4"/>
        <v>148</v>
      </c>
      <c r="V37" s="66">
        <f t="shared" si="4"/>
        <v>148</v>
      </c>
      <c r="W37" s="66">
        <f t="shared" si="4"/>
        <v>148</v>
      </c>
      <c r="X37" s="66">
        <f t="shared" si="4"/>
        <v>148</v>
      </c>
      <c r="Y37" s="66">
        <f t="shared" si="4"/>
        <v>148</v>
      </c>
      <c r="Z37" s="66">
        <f t="shared" si="4"/>
        <v>148</v>
      </c>
      <c r="AA37" s="66">
        <f t="shared" si="4"/>
        <v>148</v>
      </c>
      <c r="AB37" s="66">
        <f>57.5+84.2</f>
        <v>141.69999999999999</v>
      </c>
      <c r="AC37" s="66">
        <f>57.5+84.2</f>
        <v>141.69999999999999</v>
      </c>
      <c r="AD37" s="66">
        <v>153</v>
      </c>
      <c r="AE37" s="66">
        <v>152</v>
      </c>
      <c r="AF37" s="66">
        <v>152</v>
      </c>
      <c r="AG37" s="64">
        <v>240</v>
      </c>
      <c r="AH37" s="55">
        <f t="shared" si="2"/>
        <v>153</v>
      </c>
      <c r="AI37" s="56">
        <f t="shared" si="3"/>
        <v>121.30000000000001</v>
      </c>
      <c r="AK37" s="57"/>
    </row>
    <row r="38" spans="1:88" ht="15.75" thickBot="1" x14ac:dyDescent="0.3">
      <c r="A38" s="69" t="s">
        <v>46</v>
      </c>
      <c r="B38" s="70">
        <f t="shared" ref="B38:L38" si="5">SUM(B11:B36)</f>
        <v>1285.4000000000001</v>
      </c>
      <c r="C38" s="70">
        <f t="shared" si="5"/>
        <v>1274.4000000000001</v>
      </c>
      <c r="D38" s="70">
        <f t="shared" si="5"/>
        <v>1274.4000000000001</v>
      </c>
      <c r="E38" s="70">
        <f t="shared" si="5"/>
        <v>1283.4000000000001</v>
      </c>
      <c r="F38" s="70">
        <f t="shared" si="5"/>
        <v>1283.4000000000001</v>
      </c>
      <c r="G38" s="70">
        <f t="shared" si="5"/>
        <v>1283.1999999999998</v>
      </c>
      <c r="H38" s="70">
        <f t="shared" si="5"/>
        <v>1293.1999999999998</v>
      </c>
      <c r="I38" s="70">
        <f t="shared" si="5"/>
        <v>1293.1999999999998</v>
      </c>
      <c r="J38" s="70">
        <f t="shared" si="5"/>
        <v>1293.1999999999998</v>
      </c>
      <c r="K38" s="70">
        <f t="shared" si="5"/>
        <v>1287.1999999999998</v>
      </c>
      <c r="L38" s="70">
        <f t="shared" si="5"/>
        <v>1287.1999999999998</v>
      </c>
      <c r="M38" s="70">
        <f t="shared" ref="M38:S38" si="6">SUM(M11:M36)</f>
        <v>1297.8</v>
      </c>
      <c r="N38" s="70">
        <f t="shared" si="6"/>
        <v>1297.8</v>
      </c>
      <c r="O38" s="70">
        <f t="shared" si="6"/>
        <v>1295.8</v>
      </c>
      <c r="P38" s="70">
        <f t="shared" si="6"/>
        <v>1256.1999999999998</v>
      </c>
      <c r="Q38" s="70">
        <f t="shared" si="6"/>
        <v>1234.0999999999999</v>
      </c>
      <c r="R38" s="70">
        <f t="shared" si="6"/>
        <v>1270.8</v>
      </c>
      <c r="S38" s="70">
        <f t="shared" si="6"/>
        <v>1268.8</v>
      </c>
      <c r="T38" s="70">
        <f t="shared" ref="T38:AF38" si="7">SUM(T11:T36)</f>
        <v>1159.1999999999998</v>
      </c>
      <c r="U38" s="70">
        <f t="shared" si="7"/>
        <v>1159.1999999999998</v>
      </c>
      <c r="V38" s="70">
        <f t="shared" si="7"/>
        <v>1159.1999999999998</v>
      </c>
      <c r="W38" s="70">
        <f t="shared" si="7"/>
        <v>1228.3</v>
      </c>
      <c r="X38" s="70">
        <f t="shared" si="7"/>
        <v>1268.3</v>
      </c>
      <c r="Y38" s="70">
        <f t="shared" si="7"/>
        <v>1268.3</v>
      </c>
      <c r="Z38" s="70">
        <f t="shared" si="7"/>
        <v>1293.3</v>
      </c>
      <c r="AA38" s="70">
        <f t="shared" si="7"/>
        <v>1293.3</v>
      </c>
      <c r="AB38" s="70">
        <f t="shared" si="7"/>
        <v>1289.3</v>
      </c>
      <c r="AC38" s="70">
        <f t="shared" si="7"/>
        <v>1289.3</v>
      </c>
      <c r="AD38" s="70">
        <f t="shared" si="7"/>
        <v>1289.3</v>
      </c>
      <c r="AE38" s="70">
        <f t="shared" si="7"/>
        <v>1289.3</v>
      </c>
      <c r="AF38" s="70">
        <f t="shared" si="7"/>
        <v>1289.3</v>
      </c>
      <c r="AG38" s="64">
        <f>SUM(AG11:AG37)</f>
        <v>1492.8299999999997</v>
      </c>
      <c r="AH38" s="55">
        <f t="shared" si="2"/>
        <v>1297.8</v>
      </c>
      <c r="AI38" s="56">
        <f t="shared" si="3"/>
        <v>1159.1999999999998</v>
      </c>
      <c r="AK38" s="57"/>
    </row>
    <row r="39" spans="1:88" x14ac:dyDescent="0.25">
      <c r="A39" s="58" t="s">
        <v>47</v>
      </c>
      <c r="B39" s="51">
        <v>143.4</v>
      </c>
      <c r="C39" s="51">
        <v>143.4</v>
      </c>
      <c r="D39" s="51">
        <v>143.4</v>
      </c>
      <c r="E39" s="51">
        <v>142.30000000000001</v>
      </c>
      <c r="F39" s="51">
        <v>73</v>
      </c>
      <c r="G39" s="51">
        <v>72.900000000000006</v>
      </c>
      <c r="H39" s="51">
        <v>72.900000000000006</v>
      </c>
      <c r="I39" s="51">
        <v>72.900000000000006</v>
      </c>
      <c r="J39" s="51">
        <v>97.2</v>
      </c>
      <c r="K39" s="51">
        <v>97.1</v>
      </c>
      <c r="L39" s="51">
        <v>96.9</v>
      </c>
      <c r="M39" s="51">
        <v>95.9</v>
      </c>
      <c r="N39" s="51">
        <v>96.5</v>
      </c>
      <c r="O39" s="51">
        <v>96.6</v>
      </c>
      <c r="P39" s="51">
        <v>96.3</v>
      </c>
      <c r="Q39" s="51">
        <v>96.5</v>
      </c>
      <c r="R39" s="51">
        <v>96.6</v>
      </c>
      <c r="S39" s="51">
        <v>96.6</v>
      </c>
      <c r="T39" s="51">
        <v>143</v>
      </c>
      <c r="U39" s="51">
        <v>143</v>
      </c>
      <c r="V39" s="51">
        <v>143</v>
      </c>
      <c r="W39" s="51">
        <v>143</v>
      </c>
      <c r="X39" s="51">
        <v>143</v>
      </c>
      <c r="Y39" s="51">
        <v>143</v>
      </c>
      <c r="Z39" s="51">
        <v>143</v>
      </c>
      <c r="AA39" s="51">
        <v>143</v>
      </c>
      <c r="AB39" s="51">
        <v>143</v>
      </c>
      <c r="AC39" s="51">
        <v>143</v>
      </c>
      <c r="AD39" s="51">
        <v>144.80000000000001</v>
      </c>
      <c r="AE39" s="51">
        <v>144.80000000000001</v>
      </c>
      <c r="AF39" s="51">
        <v>144.80000000000001</v>
      </c>
      <c r="AG39" s="60">
        <v>144</v>
      </c>
      <c r="AH39" s="55">
        <f t="shared" si="2"/>
        <v>144.80000000000001</v>
      </c>
      <c r="AI39" s="56">
        <f t="shared" si="3"/>
        <v>72.900000000000006</v>
      </c>
      <c r="AK39" s="57"/>
    </row>
    <row r="40" spans="1:88" x14ac:dyDescent="0.25">
      <c r="A40" s="63" t="s">
        <v>48</v>
      </c>
      <c r="B40" s="49">
        <v>73.599999999999994</v>
      </c>
      <c r="C40" s="49">
        <v>73.599999999999994</v>
      </c>
      <c r="D40" s="49">
        <v>73.599999999999994</v>
      </c>
      <c r="E40" s="49">
        <v>64.599999999999994</v>
      </c>
      <c r="F40" s="49">
        <v>72.8</v>
      </c>
      <c r="G40" s="49">
        <v>73.400000000000006</v>
      </c>
      <c r="H40" s="49">
        <v>73.900000000000006</v>
      </c>
      <c r="I40" s="49">
        <v>73.900000000000006</v>
      </c>
      <c r="J40" s="49">
        <v>73.2</v>
      </c>
      <c r="K40" s="49">
        <v>73</v>
      </c>
      <c r="L40" s="49">
        <v>71.8</v>
      </c>
      <c r="M40" s="51">
        <v>71.8</v>
      </c>
      <c r="N40" s="51">
        <v>71.5</v>
      </c>
      <c r="O40" s="51">
        <v>72.599999999999994</v>
      </c>
      <c r="P40" s="51">
        <v>72.2</v>
      </c>
      <c r="Q40" s="51">
        <v>70.900000000000006</v>
      </c>
      <c r="R40" s="51">
        <v>72.099999999999994</v>
      </c>
      <c r="S40" s="51">
        <v>72.099999999999994</v>
      </c>
      <c r="T40" s="51">
        <v>72.099999999999994</v>
      </c>
      <c r="U40" s="51">
        <v>72.099999999999994</v>
      </c>
      <c r="V40" s="51">
        <v>72.099999999999994</v>
      </c>
      <c r="W40" s="51">
        <v>72.099999999999994</v>
      </c>
      <c r="X40" s="51">
        <v>72.099999999999994</v>
      </c>
      <c r="Y40" s="51">
        <v>72.099999999999994</v>
      </c>
      <c r="Z40" s="51">
        <v>72.099999999999994</v>
      </c>
      <c r="AA40" s="51">
        <v>72.099999999999994</v>
      </c>
      <c r="AB40" s="51">
        <v>72.099999999999994</v>
      </c>
      <c r="AC40" s="51">
        <v>72.099999999999994</v>
      </c>
      <c r="AD40" s="49">
        <v>73.5</v>
      </c>
      <c r="AE40" s="49">
        <v>73.5</v>
      </c>
      <c r="AF40" s="49">
        <v>73.5</v>
      </c>
      <c r="AG40" s="64">
        <v>70</v>
      </c>
      <c r="AH40" s="55">
        <f t="shared" si="2"/>
        <v>73.900000000000006</v>
      </c>
      <c r="AI40" s="56">
        <f t="shared" si="3"/>
        <v>64.599999999999994</v>
      </c>
      <c r="AK40" s="57"/>
    </row>
    <row r="41" spans="1:88" x14ac:dyDescent="0.25">
      <c r="A41" s="63" t="s">
        <v>49</v>
      </c>
      <c r="B41" s="49">
        <v>64.5</v>
      </c>
      <c r="C41" s="49">
        <v>64.5</v>
      </c>
      <c r="D41" s="49">
        <v>64.5</v>
      </c>
      <c r="E41" s="49">
        <v>45.9</v>
      </c>
      <c r="F41" s="49">
        <v>63.7</v>
      </c>
      <c r="G41" s="49">
        <v>63.5</v>
      </c>
      <c r="H41" s="49">
        <v>63.9</v>
      </c>
      <c r="I41" s="49">
        <v>63.9</v>
      </c>
      <c r="J41" s="49">
        <v>64.8</v>
      </c>
      <c r="K41" s="49">
        <v>64.900000000000006</v>
      </c>
      <c r="L41" s="49">
        <v>64.900000000000006</v>
      </c>
      <c r="M41" s="51">
        <v>64.099999999999994</v>
      </c>
      <c r="N41" s="51">
        <v>64.3</v>
      </c>
      <c r="O41" s="51">
        <v>64.400000000000006</v>
      </c>
      <c r="P41" s="51">
        <v>64.2</v>
      </c>
      <c r="Q41" s="51">
        <v>64.599999999999994</v>
      </c>
      <c r="R41" s="51">
        <v>64.400000000000006</v>
      </c>
      <c r="S41" s="51">
        <v>64.400000000000006</v>
      </c>
      <c r="T41" s="51">
        <v>64.400000000000006</v>
      </c>
      <c r="U41" s="51">
        <v>64.400000000000006</v>
      </c>
      <c r="V41" s="51">
        <v>64.400000000000006</v>
      </c>
      <c r="W41" s="51">
        <v>64.400000000000006</v>
      </c>
      <c r="X41" s="51">
        <v>64.400000000000006</v>
      </c>
      <c r="Y41" s="51">
        <v>64.400000000000006</v>
      </c>
      <c r="Z41" s="51">
        <v>64.400000000000006</v>
      </c>
      <c r="AA41" s="51">
        <v>64.400000000000006</v>
      </c>
      <c r="AB41" s="51">
        <v>64.400000000000006</v>
      </c>
      <c r="AC41" s="51">
        <v>64.400000000000006</v>
      </c>
      <c r="AD41" s="49">
        <v>64.5</v>
      </c>
      <c r="AE41" s="49">
        <v>64.5</v>
      </c>
      <c r="AF41" s="49">
        <v>64.5</v>
      </c>
      <c r="AG41" s="64">
        <v>69</v>
      </c>
      <c r="AH41" s="55">
        <f t="shared" si="2"/>
        <v>64.900000000000006</v>
      </c>
      <c r="AI41" s="56">
        <f t="shared" si="3"/>
        <v>45.9</v>
      </c>
      <c r="AK41" s="57"/>
    </row>
    <row r="42" spans="1:88" x14ac:dyDescent="0.25">
      <c r="A42" s="63" t="s">
        <v>50</v>
      </c>
      <c r="B42" s="66">
        <v>61.4</v>
      </c>
      <c r="C42" s="66">
        <v>61.4</v>
      </c>
      <c r="D42" s="66">
        <v>61.4</v>
      </c>
      <c r="E42" s="66">
        <v>61.4</v>
      </c>
      <c r="F42" s="66">
        <v>61.4</v>
      </c>
      <c r="G42" s="66">
        <v>61.4</v>
      </c>
      <c r="H42" s="66">
        <v>61.4</v>
      </c>
      <c r="I42" s="66">
        <v>61.4</v>
      </c>
      <c r="J42" s="66">
        <v>61.4</v>
      </c>
      <c r="K42" s="66">
        <v>61.4</v>
      </c>
      <c r="L42" s="66">
        <v>61.4</v>
      </c>
      <c r="M42" s="51">
        <v>61.4</v>
      </c>
      <c r="N42" s="51">
        <v>61.2</v>
      </c>
      <c r="O42" s="51">
        <v>61.4</v>
      </c>
      <c r="P42" s="51">
        <v>61.4</v>
      </c>
      <c r="Q42" s="51">
        <v>61.4</v>
      </c>
      <c r="R42" s="51">
        <v>61.4</v>
      </c>
      <c r="S42" s="51">
        <v>61.4</v>
      </c>
      <c r="T42" s="51">
        <v>61.4</v>
      </c>
      <c r="U42" s="51">
        <v>61.4</v>
      </c>
      <c r="V42" s="51">
        <v>61.4</v>
      </c>
      <c r="W42" s="51">
        <v>61.4</v>
      </c>
      <c r="X42" s="51">
        <v>61.4</v>
      </c>
      <c r="Y42" s="51">
        <v>61.4</v>
      </c>
      <c r="Z42" s="51">
        <v>61.4</v>
      </c>
      <c r="AA42" s="51">
        <v>61.4</v>
      </c>
      <c r="AB42" s="51">
        <v>61.4</v>
      </c>
      <c r="AC42" s="51">
        <v>61.4</v>
      </c>
      <c r="AD42" s="51">
        <v>61.4</v>
      </c>
      <c r="AE42" s="51">
        <v>61.4</v>
      </c>
      <c r="AF42" s="51">
        <v>61.4</v>
      </c>
      <c r="AG42" s="64">
        <v>60</v>
      </c>
      <c r="AH42" s="55">
        <f t="shared" si="2"/>
        <v>61.4</v>
      </c>
      <c r="AI42" s="56">
        <f t="shared" si="3"/>
        <v>61.2</v>
      </c>
      <c r="AK42" s="57"/>
    </row>
    <row r="43" spans="1:88" x14ac:dyDescent="0.25">
      <c r="A43" s="63" t="s">
        <v>51</v>
      </c>
      <c r="B43" s="66">
        <v>28.9</v>
      </c>
      <c r="C43" s="66">
        <v>28.9</v>
      </c>
      <c r="D43" s="66">
        <v>28.9</v>
      </c>
      <c r="E43" s="66">
        <v>28.9</v>
      </c>
      <c r="F43" s="66">
        <v>28.7</v>
      </c>
      <c r="G43" s="66">
        <v>28.7</v>
      </c>
      <c r="H43" s="66">
        <v>28.7</v>
      </c>
      <c r="I43" s="66">
        <v>28.7</v>
      </c>
      <c r="J43" s="66">
        <v>28.7</v>
      </c>
      <c r="K43" s="66">
        <v>28.7</v>
      </c>
      <c r="L43" s="66">
        <v>28.7</v>
      </c>
      <c r="M43" s="51">
        <v>28.6</v>
      </c>
      <c r="N43" s="51">
        <v>28.6</v>
      </c>
      <c r="O43" s="51">
        <v>28.5</v>
      </c>
      <c r="P43" s="51">
        <v>28.5</v>
      </c>
      <c r="Q43" s="51">
        <v>28.6</v>
      </c>
      <c r="R43" s="51">
        <v>28.7</v>
      </c>
      <c r="S43" s="51">
        <v>28.7</v>
      </c>
      <c r="T43" s="51">
        <v>28.7</v>
      </c>
      <c r="U43" s="51">
        <v>28.7</v>
      </c>
      <c r="V43" s="51">
        <v>28.7</v>
      </c>
      <c r="W43" s="51">
        <v>28.7</v>
      </c>
      <c r="X43" s="51">
        <v>28.7</v>
      </c>
      <c r="Y43" s="51">
        <v>28.7</v>
      </c>
      <c r="Z43" s="51">
        <v>28.7</v>
      </c>
      <c r="AA43" s="51">
        <v>28.7</v>
      </c>
      <c r="AB43" s="51">
        <v>28.7</v>
      </c>
      <c r="AC43" s="51">
        <v>28.7</v>
      </c>
      <c r="AD43" s="51">
        <v>28.7</v>
      </c>
      <c r="AE43" s="51">
        <v>29</v>
      </c>
      <c r="AF43" s="51">
        <v>29</v>
      </c>
      <c r="AG43" s="64">
        <v>30</v>
      </c>
      <c r="AH43" s="55">
        <f t="shared" si="2"/>
        <v>29</v>
      </c>
      <c r="AI43" s="56">
        <f t="shared" si="3"/>
        <v>28.5</v>
      </c>
      <c r="AK43" s="57"/>
    </row>
    <row r="44" spans="1:88" x14ac:dyDescent="0.25">
      <c r="A44" s="63" t="s">
        <v>52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5</v>
      </c>
      <c r="N44" s="51">
        <v>5</v>
      </c>
      <c r="O44" s="51">
        <v>5</v>
      </c>
      <c r="P44" s="51">
        <v>5</v>
      </c>
      <c r="Q44" s="51">
        <v>5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4">
        <v>25</v>
      </c>
      <c r="AH44" s="55">
        <f t="shared" si="2"/>
        <v>8</v>
      </c>
      <c r="AI44" s="56">
        <f t="shared" si="3"/>
        <v>0</v>
      </c>
      <c r="AK44" s="57"/>
    </row>
    <row r="45" spans="1:88" x14ac:dyDescent="0.25">
      <c r="A45" s="63" t="s">
        <v>53</v>
      </c>
      <c r="B45" s="49">
        <v>16.5</v>
      </c>
      <c r="C45" s="49">
        <v>16.5</v>
      </c>
      <c r="D45" s="49">
        <v>16.5</v>
      </c>
      <c r="E45" s="49">
        <v>16.5</v>
      </c>
      <c r="F45" s="49">
        <v>16.5</v>
      </c>
      <c r="G45" s="49">
        <v>16.5</v>
      </c>
      <c r="H45" s="49">
        <v>16.5</v>
      </c>
      <c r="I45" s="49">
        <v>16.5</v>
      </c>
      <c r="J45" s="49">
        <v>16.5</v>
      </c>
      <c r="K45" s="49">
        <v>16.5</v>
      </c>
      <c r="L45" s="49">
        <v>16.5</v>
      </c>
      <c r="M45" s="49">
        <v>16.5</v>
      </c>
      <c r="N45" s="51">
        <v>16.600000000000001</v>
      </c>
      <c r="O45" s="51">
        <v>16.8</v>
      </c>
      <c r="P45" s="51">
        <v>16.8</v>
      </c>
      <c r="Q45" s="51">
        <v>16.8</v>
      </c>
      <c r="R45" s="51">
        <v>16</v>
      </c>
      <c r="S45" s="51">
        <v>16</v>
      </c>
      <c r="T45" s="51">
        <v>16</v>
      </c>
      <c r="U45" s="51">
        <v>16</v>
      </c>
      <c r="V45" s="51">
        <v>16</v>
      </c>
      <c r="W45" s="51">
        <v>16</v>
      </c>
      <c r="X45" s="51">
        <v>16</v>
      </c>
      <c r="Y45" s="51">
        <v>16</v>
      </c>
      <c r="Z45" s="51">
        <v>16</v>
      </c>
      <c r="AA45" s="51">
        <v>16</v>
      </c>
      <c r="AB45" s="51">
        <v>16</v>
      </c>
      <c r="AC45" s="51">
        <v>16</v>
      </c>
      <c r="AD45" s="51">
        <v>16</v>
      </c>
      <c r="AE45" s="51">
        <v>16</v>
      </c>
      <c r="AF45" s="51">
        <v>16</v>
      </c>
      <c r="AG45" s="64">
        <v>24</v>
      </c>
      <c r="AH45" s="55">
        <f t="shared" si="2"/>
        <v>16.8</v>
      </c>
      <c r="AI45" s="56">
        <f t="shared" si="3"/>
        <v>16</v>
      </c>
      <c r="AK45" s="57"/>
    </row>
    <row r="46" spans="1:88" x14ac:dyDescent="0.25">
      <c r="A46" s="63" t="s">
        <v>54</v>
      </c>
      <c r="B46" s="49">
        <v>3</v>
      </c>
      <c r="C46" s="49">
        <v>3</v>
      </c>
      <c r="D46" s="49">
        <v>3</v>
      </c>
      <c r="E46" s="49">
        <v>3</v>
      </c>
      <c r="F46" s="49">
        <v>3</v>
      </c>
      <c r="G46" s="49">
        <v>3</v>
      </c>
      <c r="H46" s="49">
        <v>3</v>
      </c>
      <c r="I46" s="49">
        <v>3</v>
      </c>
      <c r="J46" s="49">
        <v>3</v>
      </c>
      <c r="K46" s="49">
        <v>3</v>
      </c>
      <c r="L46" s="49">
        <v>3</v>
      </c>
      <c r="M46" s="49">
        <v>3</v>
      </c>
      <c r="N46" s="49">
        <v>3</v>
      </c>
      <c r="O46" s="51">
        <v>3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4">
        <v>15</v>
      </c>
      <c r="AH46" s="55">
        <f t="shared" si="2"/>
        <v>3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>
        <v>13.3</v>
      </c>
      <c r="C47" s="49">
        <v>13.3</v>
      </c>
      <c r="D47" s="49">
        <v>13.3</v>
      </c>
      <c r="E47" s="49">
        <v>13.3</v>
      </c>
      <c r="F47" s="49">
        <v>13.3</v>
      </c>
      <c r="G47" s="49">
        <v>13.3</v>
      </c>
      <c r="H47" s="49">
        <v>13.3</v>
      </c>
      <c r="I47" s="49">
        <v>13.3</v>
      </c>
      <c r="J47" s="49">
        <v>13.3</v>
      </c>
      <c r="K47" s="49">
        <v>13.3</v>
      </c>
      <c r="L47" s="49">
        <v>13.3</v>
      </c>
      <c r="M47" s="49">
        <v>13.3</v>
      </c>
      <c r="N47" s="49">
        <v>13.3</v>
      </c>
      <c r="O47" s="51">
        <v>13.5</v>
      </c>
      <c r="P47" s="51">
        <v>13.5</v>
      </c>
      <c r="Q47" s="51">
        <v>13.5</v>
      </c>
      <c r="R47" s="51">
        <v>11.6</v>
      </c>
      <c r="S47" s="51">
        <v>11.6</v>
      </c>
      <c r="T47" s="51">
        <v>11.6</v>
      </c>
      <c r="U47" s="51">
        <v>11.6</v>
      </c>
      <c r="V47" s="51">
        <v>11.6</v>
      </c>
      <c r="W47" s="51">
        <v>11.6</v>
      </c>
      <c r="X47" s="51">
        <v>11.6</v>
      </c>
      <c r="Y47" s="51">
        <v>11.6</v>
      </c>
      <c r="Z47" s="51">
        <v>11.6</v>
      </c>
      <c r="AA47" s="51">
        <v>11.6</v>
      </c>
      <c r="AB47" s="51">
        <v>11.6</v>
      </c>
      <c r="AC47" s="51">
        <v>11.6</v>
      </c>
      <c r="AD47" s="51">
        <v>11.6</v>
      </c>
      <c r="AE47" s="51">
        <v>11.6</v>
      </c>
      <c r="AF47" s="51">
        <v>11.6</v>
      </c>
      <c r="AG47" s="64">
        <v>14.1</v>
      </c>
      <c r="AH47" s="55">
        <f t="shared" si="2"/>
        <v>13.5</v>
      </c>
      <c r="AI47" s="56">
        <f t="shared" si="3"/>
        <v>11.6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>
        <v>13.7</v>
      </c>
      <c r="C48" s="49">
        <v>13.7</v>
      </c>
      <c r="D48" s="49">
        <v>13.7</v>
      </c>
      <c r="E48" s="49">
        <v>13.7</v>
      </c>
      <c r="F48" s="49">
        <v>13.7</v>
      </c>
      <c r="G48" s="49">
        <v>13.7</v>
      </c>
      <c r="H48" s="49">
        <v>13.7</v>
      </c>
      <c r="I48" s="49">
        <v>13.9</v>
      </c>
      <c r="J48" s="49">
        <v>13.9</v>
      </c>
      <c r="K48" s="49">
        <v>13.9</v>
      </c>
      <c r="L48" s="49">
        <v>13.9</v>
      </c>
      <c r="M48" s="49">
        <v>13.9</v>
      </c>
      <c r="N48" s="49">
        <v>13.9</v>
      </c>
      <c r="O48" s="51">
        <v>13.9</v>
      </c>
      <c r="P48" s="51">
        <v>13.9</v>
      </c>
      <c r="Q48" s="51">
        <v>13.9</v>
      </c>
      <c r="R48" s="51">
        <v>13.9</v>
      </c>
      <c r="S48" s="51">
        <v>13.9</v>
      </c>
      <c r="T48" s="51">
        <v>0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51">
        <v>14</v>
      </c>
      <c r="AC48" s="51">
        <v>14</v>
      </c>
      <c r="AD48" s="51">
        <v>14</v>
      </c>
      <c r="AE48" s="51">
        <v>14</v>
      </c>
      <c r="AF48" s="51">
        <v>14</v>
      </c>
      <c r="AG48" s="64">
        <v>14</v>
      </c>
      <c r="AH48" s="55">
        <f t="shared" si="2"/>
        <v>14</v>
      </c>
      <c r="AI48" s="56">
        <f t="shared" si="3"/>
        <v>0</v>
      </c>
      <c r="AK48" s="57"/>
    </row>
    <row r="49" spans="1:37" x14ac:dyDescent="0.25">
      <c r="A49" s="63" t="s">
        <v>57</v>
      </c>
      <c r="B49" s="49">
        <v>6.2</v>
      </c>
      <c r="C49" s="49">
        <v>6.2</v>
      </c>
      <c r="D49" s="49">
        <v>6.2</v>
      </c>
      <c r="E49" s="49">
        <v>6.2</v>
      </c>
      <c r="F49" s="49">
        <v>6.2</v>
      </c>
      <c r="G49" s="49">
        <v>6.2</v>
      </c>
      <c r="H49" s="49">
        <v>6.2</v>
      </c>
      <c r="I49" s="49">
        <v>6.2</v>
      </c>
      <c r="J49" s="49">
        <v>6.2</v>
      </c>
      <c r="K49" s="49">
        <v>6.2</v>
      </c>
      <c r="L49" s="49">
        <v>6.2</v>
      </c>
      <c r="M49" s="49">
        <v>6.2</v>
      </c>
      <c r="N49" s="49">
        <v>6.2</v>
      </c>
      <c r="O49" s="49">
        <v>6.2</v>
      </c>
      <c r="P49" s="49">
        <v>6.2</v>
      </c>
      <c r="Q49" s="49">
        <v>6.2</v>
      </c>
      <c r="R49" s="49">
        <v>6.2</v>
      </c>
      <c r="S49" s="49">
        <v>6.2</v>
      </c>
      <c r="T49" s="49">
        <v>6.2</v>
      </c>
      <c r="U49" s="49">
        <v>6.2</v>
      </c>
      <c r="V49" s="49">
        <v>6.2</v>
      </c>
      <c r="W49" s="49">
        <v>6.2</v>
      </c>
      <c r="X49" s="49">
        <v>6.2</v>
      </c>
      <c r="Y49" s="49">
        <v>6.2</v>
      </c>
      <c r="Z49" s="49">
        <v>6.2</v>
      </c>
      <c r="AA49" s="49">
        <v>6.2</v>
      </c>
      <c r="AB49" s="49">
        <v>6.2</v>
      </c>
      <c r="AC49" s="49">
        <v>6.2</v>
      </c>
      <c r="AD49" s="49">
        <v>6.2</v>
      </c>
      <c r="AE49" s="49">
        <v>6.2</v>
      </c>
      <c r="AF49" s="49">
        <v>6.2</v>
      </c>
      <c r="AG49" s="64">
        <v>10.050000000000001</v>
      </c>
      <c r="AH49" s="55">
        <f t="shared" si="2"/>
        <v>6.2</v>
      </c>
      <c r="AI49" s="56">
        <f t="shared" si="3"/>
        <v>6.2</v>
      </c>
      <c r="AK49" s="57"/>
    </row>
    <row r="50" spans="1:37" x14ac:dyDescent="0.25">
      <c r="A50" s="63" t="s">
        <v>58</v>
      </c>
      <c r="B50" s="49">
        <v>6.2</v>
      </c>
      <c r="C50" s="49">
        <v>6.2</v>
      </c>
      <c r="D50" s="49">
        <v>6.2</v>
      </c>
      <c r="E50" s="49">
        <v>6.2</v>
      </c>
      <c r="F50" s="49">
        <v>6.2</v>
      </c>
      <c r="G50" s="49">
        <v>6.2</v>
      </c>
      <c r="H50" s="49">
        <v>6.2</v>
      </c>
      <c r="I50" s="49">
        <v>6.2</v>
      </c>
      <c r="J50" s="49">
        <v>6.2</v>
      </c>
      <c r="K50" s="49">
        <v>6.2</v>
      </c>
      <c r="L50" s="49">
        <v>6.2</v>
      </c>
      <c r="M50" s="49">
        <v>6.2</v>
      </c>
      <c r="N50" s="49">
        <v>6.2</v>
      </c>
      <c r="O50" s="49">
        <v>6.2</v>
      </c>
      <c r="P50" s="49">
        <v>6.2</v>
      </c>
      <c r="Q50" s="49">
        <v>6.2</v>
      </c>
      <c r="R50" s="49">
        <v>6.2</v>
      </c>
      <c r="S50" s="49">
        <v>6.2</v>
      </c>
      <c r="T50" s="49">
        <v>6.2</v>
      </c>
      <c r="U50" s="49">
        <v>6.2</v>
      </c>
      <c r="V50" s="49">
        <v>6.2</v>
      </c>
      <c r="W50" s="49">
        <v>6.2</v>
      </c>
      <c r="X50" s="49">
        <v>6.2</v>
      </c>
      <c r="Y50" s="49">
        <v>6.2</v>
      </c>
      <c r="Z50" s="49">
        <v>6.2</v>
      </c>
      <c r="AA50" s="49">
        <v>6.2</v>
      </c>
      <c r="AB50" s="49">
        <v>6.2</v>
      </c>
      <c r="AC50" s="49">
        <v>6.2</v>
      </c>
      <c r="AD50" s="49">
        <v>6.2</v>
      </c>
      <c r="AE50" s="49">
        <v>6.2</v>
      </c>
      <c r="AF50" s="49">
        <v>6.2</v>
      </c>
      <c r="AG50" s="64">
        <v>6.2</v>
      </c>
      <c r="AH50" s="55">
        <f t="shared" si="2"/>
        <v>6.2</v>
      </c>
      <c r="AI50" s="56">
        <f t="shared" si="3"/>
        <v>6.2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8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434.23999999999995</v>
      </c>
      <c r="C52" s="70">
        <f t="shared" ref="C52:AF52" si="9">SUM(C39:C51)</f>
        <v>434.23999999999995</v>
      </c>
      <c r="D52" s="70">
        <f t="shared" si="9"/>
        <v>434.23999999999995</v>
      </c>
      <c r="E52" s="70">
        <f t="shared" si="9"/>
        <v>405.53999999999996</v>
      </c>
      <c r="F52" s="70">
        <f t="shared" si="9"/>
        <v>362.03999999999996</v>
      </c>
      <c r="G52" s="70">
        <f t="shared" si="9"/>
        <v>362.34</v>
      </c>
      <c r="H52" s="70">
        <f t="shared" si="9"/>
        <v>363.24</v>
      </c>
      <c r="I52" s="70">
        <f t="shared" si="9"/>
        <v>363.44</v>
      </c>
      <c r="J52" s="70">
        <f t="shared" si="9"/>
        <v>387.93999999999994</v>
      </c>
      <c r="K52" s="70">
        <f t="shared" si="9"/>
        <v>387.73999999999995</v>
      </c>
      <c r="L52" s="70">
        <f t="shared" si="9"/>
        <v>386.34</v>
      </c>
      <c r="M52" s="70">
        <f t="shared" si="9"/>
        <v>389.44</v>
      </c>
      <c r="N52" s="70">
        <f t="shared" si="9"/>
        <v>389.84000000000003</v>
      </c>
      <c r="O52" s="70">
        <f t="shared" si="9"/>
        <v>391.64</v>
      </c>
      <c r="P52" s="70">
        <f t="shared" si="9"/>
        <v>387.73999999999995</v>
      </c>
      <c r="Q52" s="70">
        <f t="shared" si="9"/>
        <v>387.14</v>
      </c>
      <c r="R52" s="70">
        <f t="shared" si="9"/>
        <v>388.64</v>
      </c>
      <c r="S52" s="70">
        <f t="shared" si="9"/>
        <v>388.64</v>
      </c>
      <c r="T52" s="70">
        <f t="shared" si="9"/>
        <v>421.14</v>
      </c>
      <c r="U52" s="70">
        <f t="shared" si="9"/>
        <v>421.14</v>
      </c>
      <c r="V52" s="70">
        <f t="shared" si="9"/>
        <v>421.14</v>
      </c>
      <c r="W52" s="70">
        <f t="shared" si="9"/>
        <v>421.14</v>
      </c>
      <c r="X52" s="70">
        <f t="shared" si="9"/>
        <v>413.14</v>
      </c>
      <c r="Y52" s="70">
        <f t="shared" si="9"/>
        <v>413.14</v>
      </c>
      <c r="Z52" s="70">
        <f t="shared" si="9"/>
        <v>413.14</v>
      </c>
      <c r="AA52" s="70">
        <f t="shared" si="9"/>
        <v>413.14</v>
      </c>
      <c r="AB52" s="70">
        <f t="shared" si="9"/>
        <v>427.14</v>
      </c>
      <c r="AC52" s="70">
        <f t="shared" si="9"/>
        <v>427.14</v>
      </c>
      <c r="AD52" s="70">
        <f t="shared" si="9"/>
        <v>430.44</v>
      </c>
      <c r="AE52" s="70">
        <f t="shared" si="9"/>
        <v>430.74</v>
      </c>
      <c r="AF52" s="70">
        <f t="shared" si="9"/>
        <v>430.74</v>
      </c>
      <c r="AG52" s="74">
        <f>SUM(AG39:AG51)</f>
        <v>489.91</v>
      </c>
      <c r="AH52" s="55">
        <f t="shared" si="2"/>
        <v>434.23999999999995</v>
      </c>
      <c r="AI52" s="56">
        <f t="shared" si="3"/>
        <v>362.03999999999996</v>
      </c>
      <c r="AK52" s="57"/>
    </row>
    <row r="53" spans="1:37" x14ac:dyDescent="0.25">
      <c r="A53" s="58" t="s">
        <v>61</v>
      </c>
      <c r="B53" s="51">
        <v>14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40</v>
      </c>
      <c r="P53" s="51">
        <v>45</v>
      </c>
      <c r="Q53" s="51">
        <v>44</v>
      </c>
      <c r="R53" s="51">
        <v>50</v>
      </c>
      <c r="S53" s="51">
        <v>57</v>
      </c>
      <c r="T53" s="51">
        <v>50</v>
      </c>
      <c r="U53" s="51">
        <v>40</v>
      </c>
      <c r="V53" s="51">
        <v>40</v>
      </c>
      <c r="W53" s="51">
        <v>13.6</v>
      </c>
      <c r="X53" s="51">
        <v>13.6</v>
      </c>
      <c r="Y53" s="51">
        <v>0</v>
      </c>
      <c r="Z53" s="51">
        <v>0</v>
      </c>
      <c r="AA53" s="51">
        <v>39</v>
      </c>
      <c r="AB53" s="51">
        <v>55</v>
      </c>
      <c r="AC53" s="51">
        <v>54</v>
      </c>
      <c r="AD53" s="51">
        <v>44</v>
      </c>
      <c r="AE53" s="51">
        <v>40</v>
      </c>
      <c r="AF53" s="51">
        <v>50</v>
      </c>
      <c r="AG53" s="60">
        <v>60</v>
      </c>
      <c r="AH53" s="55">
        <f t="shared" si="2"/>
        <v>57</v>
      </c>
      <c r="AI53" s="56">
        <f t="shared" si="3"/>
        <v>0</v>
      </c>
      <c r="AK53" s="57"/>
    </row>
    <row r="54" spans="1:37" x14ac:dyDescent="0.25">
      <c r="A54" s="63" t="s">
        <v>62</v>
      </c>
      <c r="B54" s="49">
        <v>6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20</v>
      </c>
      <c r="P54" s="49">
        <v>18.7</v>
      </c>
      <c r="Q54" s="49">
        <v>18.2</v>
      </c>
      <c r="R54" s="49">
        <v>24.3</v>
      </c>
      <c r="S54" s="49">
        <v>24</v>
      </c>
      <c r="T54" s="49">
        <v>25</v>
      </c>
      <c r="U54" s="49">
        <v>19</v>
      </c>
      <c r="V54" s="49">
        <v>19</v>
      </c>
      <c r="W54" s="49">
        <v>7</v>
      </c>
      <c r="X54" s="49">
        <v>7</v>
      </c>
      <c r="Y54" s="49">
        <v>0</v>
      </c>
      <c r="Z54" s="49">
        <v>0</v>
      </c>
      <c r="AA54" s="49">
        <v>17</v>
      </c>
      <c r="AB54" s="49">
        <v>25.5</v>
      </c>
      <c r="AC54" s="49">
        <v>27.5</v>
      </c>
      <c r="AD54" s="49">
        <v>22</v>
      </c>
      <c r="AE54" s="49">
        <v>17.2</v>
      </c>
      <c r="AF54" s="49">
        <v>18.7</v>
      </c>
      <c r="AG54" s="64">
        <v>32</v>
      </c>
      <c r="AH54" s="55">
        <f t="shared" si="2"/>
        <v>27.5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>
        <v>2.2000000000000002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10.6</v>
      </c>
      <c r="P55" s="75">
        <v>6.8</v>
      </c>
      <c r="Q55" s="75">
        <v>6.7</v>
      </c>
      <c r="R55" s="75">
        <v>8.8000000000000007</v>
      </c>
      <c r="S55" s="75">
        <v>9</v>
      </c>
      <c r="T55" s="75">
        <v>9</v>
      </c>
      <c r="U55" s="75">
        <v>7</v>
      </c>
      <c r="V55" s="75">
        <v>7</v>
      </c>
      <c r="W55" s="75">
        <v>3</v>
      </c>
      <c r="X55" s="75">
        <v>3</v>
      </c>
      <c r="Y55" s="75">
        <v>0</v>
      </c>
      <c r="Z55" s="75">
        <v>0</v>
      </c>
      <c r="AA55" s="75">
        <v>6</v>
      </c>
      <c r="AB55" s="75">
        <v>9.3000000000000007</v>
      </c>
      <c r="AC55" s="75">
        <v>10.199999999999999</v>
      </c>
      <c r="AD55" s="75">
        <v>8</v>
      </c>
      <c r="AE55" s="75">
        <v>6.3</v>
      </c>
      <c r="AF55" s="75">
        <v>6.8</v>
      </c>
      <c r="AG55" s="76">
        <v>14</v>
      </c>
      <c r="AH55" s="55">
        <f t="shared" si="2"/>
        <v>10.6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10">SUM(B53:B55)</f>
        <v>22.2</v>
      </c>
      <c r="C56" s="70">
        <f t="shared" si="10"/>
        <v>0</v>
      </c>
      <c r="D56" s="70">
        <f t="shared" si="10"/>
        <v>0</v>
      </c>
      <c r="E56" s="70">
        <f t="shared" si="10"/>
        <v>0</v>
      </c>
      <c r="F56" s="70">
        <f t="shared" si="10"/>
        <v>0</v>
      </c>
      <c r="G56" s="70">
        <f t="shared" si="10"/>
        <v>0</v>
      </c>
      <c r="H56" s="70">
        <f t="shared" si="10"/>
        <v>0</v>
      </c>
      <c r="I56" s="70">
        <f t="shared" si="10"/>
        <v>0</v>
      </c>
      <c r="J56" s="70">
        <f t="shared" si="10"/>
        <v>0</v>
      </c>
      <c r="K56" s="70">
        <f t="shared" si="10"/>
        <v>0</v>
      </c>
      <c r="L56" s="70">
        <f t="shared" si="10"/>
        <v>0</v>
      </c>
      <c r="M56" s="70">
        <f t="shared" si="10"/>
        <v>0</v>
      </c>
      <c r="N56" s="70">
        <f t="shared" si="10"/>
        <v>0</v>
      </c>
      <c r="O56" s="70">
        <f t="shared" si="10"/>
        <v>70.599999999999994</v>
      </c>
      <c r="P56" s="70">
        <f t="shared" si="10"/>
        <v>70.5</v>
      </c>
      <c r="Q56" s="70">
        <f t="shared" si="10"/>
        <v>68.900000000000006</v>
      </c>
      <c r="R56" s="70">
        <f t="shared" si="10"/>
        <v>83.1</v>
      </c>
      <c r="S56" s="70">
        <f t="shared" si="10"/>
        <v>90</v>
      </c>
      <c r="T56" s="70">
        <f t="shared" si="10"/>
        <v>84</v>
      </c>
      <c r="U56" s="70">
        <f t="shared" si="10"/>
        <v>66</v>
      </c>
      <c r="V56" s="70">
        <f t="shared" si="10"/>
        <v>66</v>
      </c>
      <c r="W56" s="70">
        <f t="shared" si="10"/>
        <v>23.6</v>
      </c>
      <c r="X56" s="70">
        <f t="shared" si="10"/>
        <v>23.6</v>
      </c>
      <c r="Y56" s="70">
        <f t="shared" si="10"/>
        <v>0</v>
      </c>
      <c r="Z56" s="70">
        <f t="shared" si="10"/>
        <v>0</v>
      </c>
      <c r="AA56" s="70">
        <f t="shared" si="10"/>
        <v>62</v>
      </c>
      <c r="AB56" s="70">
        <f t="shared" si="10"/>
        <v>89.8</v>
      </c>
      <c r="AC56" s="70">
        <f t="shared" si="10"/>
        <v>91.7</v>
      </c>
      <c r="AD56" s="70">
        <f t="shared" si="10"/>
        <v>74</v>
      </c>
      <c r="AE56" s="70">
        <f t="shared" si="10"/>
        <v>63.5</v>
      </c>
      <c r="AF56" s="70">
        <f t="shared" si="10"/>
        <v>75.5</v>
      </c>
      <c r="AG56" s="74">
        <f>SUM(AG53:AG55)</f>
        <v>106</v>
      </c>
      <c r="AH56" s="55">
        <f t="shared" si="2"/>
        <v>91.7</v>
      </c>
      <c r="AI56" s="56">
        <f t="shared" si="3"/>
        <v>0</v>
      </c>
      <c r="AK56" s="57"/>
    </row>
    <row r="57" spans="1:37" x14ac:dyDescent="0.25">
      <c r="A57" s="58" t="s">
        <v>65</v>
      </c>
      <c r="B57" s="51">
        <v>67.900000000000006</v>
      </c>
      <c r="C57" s="51">
        <v>63.6</v>
      </c>
      <c r="D57" s="51">
        <v>62.4</v>
      </c>
      <c r="E57" s="51">
        <v>60.1</v>
      </c>
      <c r="F57" s="51">
        <v>56.5</v>
      </c>
      <c r="G57" s="51">
        <v>53.6</v>
      </c>
      <c r="H57" s="51">
        <v>49.5</v>
      </c>
      <c r="I57" s="51">
        <v>59.8</v>
      </c>
      <c r="J57" s="51">
        <v>62.8</v>
      </c>
      <c r="K57" s="51">
        <v>51.4</v>
      </c>
      <c r="L57" s="51">
        <v>48.2</v>
      </c>
      <c r="M57" s="51">
        <v>51.7</v>
      </c>
      <c r="N57" s="51">
        <v>68.599999999999994</v>
      </c>
      <c r="O57" s="51">
        <v>75.2</v>
      </c>
      <c r="P57" s="51">
        <v>70.2</v>
      </c>
      <c r="Q57" s="51">
        <v>70.900000000000006</v>
      </c>
      <c r="R57" s="51">
        <v>75.400000000000006</v>
      </c>
      <c r="S57" s="51">
        <v>61</v>
      </c>
      <c r="T57" s="51">
        <v>62</v>
      </c>
      <c r="U57" s="51">
        <v>61</v>
      </c>
      <c r="V57" s="51">
        <v>54</v>
      </c>
      <c r="W57" s="51">
        <v>52</v>
      </c>
      <c r="X57" s="51">
        <v>52</v>
      </c>
      <c r="Y57" s="51">
        <v>47.5</v>
      </c>
      <c r="Z57" s="51">
        <v>22</v>
      </c>
      <c r="AA57" s="51">
        <v>25</v>
      </c>
      <c r="AB57" s="51">
        <v>40.5</v>
      </c>
      <c r="AC57" s="51">
        <v>37.1</v>
      </c>
      <c r="AD57" s="51">
        <v>41.3</v>
      </c>
      <c r="AE57" s="51">
        <v>33.6</v>
      </c>
      <c r="AF57" s="51">
        <v>19</v>
      </c>
      <c r="AG57" s="60"/>
      <c r="AH57" s="55">
        <f t="shared" si="2"/>
        <v>75.400000000000006</v>
      </c>
      <c r="AI57" s="56">
        <f t="shared" si="3"/>
        <v>19</v>
      </c>
      <c r="AK57" s="57"/>
    </row>
    <row r="58" spans="1:37" x14ac:dyDescent="0.25">
      <c r="A58" s="63" t="s">
        <v>66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>
        <v>-348</v>
      </c>
      <c r="C59" s="49">
        <v>-359</v>
      </c>
      <c r="D59" s="49">
        <v>-380</v>
      </c>
      <c r="E59" s="49">
        <v>-412.4</v>
      </c>
      <c r="F59" s="49">
        <v>-389.2</v>
      </c>
      <c r="G59" s="49">
        <v>-460</v>
      </c>
      <c r="H59" s="49">
        <v>-387.7</v>
      </c>
      <c r="I59" s="49">
        <v>-378.7</v>
      </c>
      <c r="J59" s="49">
        <v>-414</v>
      </c>
      <c r="K59" s="49">
        <v>-383</v>
      </c>
      <c r="L59" s="49">
        <v>-393.8</v>
      </c>
      <c r="M59" s="49">
        <v>-369.9</v>
      </c>
      <c r="N59" s="49">
        <v>-344.5</v>
      </c>
      <c r="O59" s="49">
        <v>-350.2</v>
      </c>
      <c r="P59" s="49">
        <v>-345</v>
      </c>
      <c r="Q59" s="49">
        <v>-348</v>
      </c>
      <c r="R59" s="49">
        <v>-350.4</v>
      </c>
      <c r="S59" s="49">
        <v>-347</v>
      </c>
      <c r="T59" s="49">
        <v>-280</v>
      </c>
      <c r="U59" s="49">
        <v>-365</v>
      </c>
      <c r="V59" s="49">
        <v>-365</v>
      </c>
      <c r="W59" s="49">
        <v>-388</v>
      </c>
      <c r="X59" s="49">
        <v>-388</v>
      </c>
      <c r="Y59" s="49">
        <v>-370</v>
      </c>
      <c r="Z59" s="49">
        <v>-350</v>
      </c>
      <c r="AA59" s="49">
        <v>-200</v>
      </c>
      <c r="AB59" s="49">
        <v>-205</v>
      </c>
      <c r="AC59" s="49">
        <v>-236</v>
      </c>
      <c r="AD59" s="49">
        <v>-228</v>
      </c>
      <c r="AE59" s="49">
        <v>-302</v>
      </c>
      <c r="AF59" s="49">
        <v>-342</v>
      </c>
      <c r="AG59" s="77"/>
      <c r="AH59" s="55">
        <f t="shared" si="2"/>
        <v>-200</v>
      </c>
      <c r="AI59" s="56">
        <f t="shared" si="3"/>
        <v>-460</v>
      </c>
      <c r="AK59" s="57"/>
    </row>
    <row r="60" spans="1:37" x14ac:dyDescent="0.25">
      <c r="A60" s="63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12</v>
      </c>
      <c r="O60" s="78">
        <v>15</v>
      </c>
      <c r="P60" s="78">
        <v>15</v>
      </c>
      <c r="Q60" s="78">
        <v>16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5">
        <f t="shared" si="2"/>
        <v>16</v>
      </c>
      <c r="AI60" s="56">
        <f t="shared" si="3"/>
        <v>0</v>
      </c>
      <c r="AK60" s="57"/>
    </row>
    <row r="61" spans="1:37" x14ac:dyDescent="0.25">
      <c r="A61" s="63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>
        <v>5</v>
      </c>
      <c r="C62" s="79">
        <v>5</v>
      </c>
      <c r="D62" s="79">
        <v>5</v>
      </c>
      <c r="E62" s="79">
        <v>5</v>
      </c>
      <c r="F62" s="79">
        <v>5</v>
      </c>
      <c r="G62" s="79">
        <v>5</v>
      </c>
      <c r="H62" s="79">
        <v>5</v>
      </c>
      <c r="I62" s="79">
        <v>5</v>
      </c>
      <c r="J62" s="79">
        <v>5</v>
      </c>
      <c r="K62" s="79">
        <v>5</v>
      </c>
      <c r="L62" s="79">
        <v>5</v>
      </c>
      <c r="M62" s="79">
        <v>5</v>
      </c>
      <c r="N62" s="79">
        <v>5</v>
      </c>
      <c r="O62" s="79">
        <v>5</v>
      </c>
      <c r="P62" s="79">
        <v>5</v>
      </c>
      <c r="Q62" s="79">
        <v>5</v>
      </c>
      <c r="R62" s="79">
        <v>5</v>
      </c>
      <c r="S62" s="79">
        <v>5</v>
      </c>
      <c r="T62" s="79">
        <v>5</v>
      </c>
      <c r="U62" s="79">
        <v>5</v>
      </c>
      <c r="V62" s="79">
        <v>5</v>
      </c>
      <c r="W62" s="79">
        <v>5</v>
      </c>
      <c r="X62" s="79">
        <v>5</v>
      </c>
      <c r="Y62" s="79">
        <v>5</v>
      </c>
      <c r="Z62" s="79">
        <v>5</v>
      </c>
      <c r="AA62" s="79">
        <v>5</v>
      </c>
      <c r="AB62" s="79">
        <v>5</v>
      </c>
      <c r="AC62" s="79">
        <v>5</v>
      </c>
      <c r="AD62" s="79">
        <v>5</v>
      </c>
      <c r="AE62" s="79">
        <v>5</v>
      </c>
      <c r="AF62" s="79">
        <v>5</v>
      </c>
      <c r="AG62" s="77"/>
      <c r="AH62" s="55">
        <f t="shared" si="2"/>
        <v>5</v>
      </c>
      <c r="AI62" s="56">
        <f t="shared" si="3"/>
        <v>5</v>
      </c>
      <c r="AK62" s="57"/>
    </row>
    <row r="63" spans="1:37" x14ac:dyDescent="0.25">
      <c r="A63" s="63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72.900000000000006</v>
      </c>
      <c r="C68" s="70">
        <f t="shared" ref="C68:AF68" si="11">SUMIF(C57:C67,"&gt;0")</f>
        <v>68.599999999999994</v>
      </c>
      <c r="D68" s="70">
        <f t="shared" si="11"/>
        <v>67.400000000000006</v>
      </c>
      <c r="E68" s="70">
        <f t="shared" si="11"/>
        <v>65.099999999999994</v>
      </c>
      <c r="F68" s="70">
        <f t="shared" si="11"/>
        <v>61.5</v>
      </c>
      <c r="G68" s="70">
        <f t="shared" si="11"/>
        <v>58.6</v>
      </c>
      <c r="H68" s="70">
        <f t="shared" si="11"/>
        <v>54.5</v>
      </c>
      <c r="I68" s="70">
        <f t="shared" si="11"/>
        <v>64.8</v>
      </c>
      <c r="J68" s="70">
        <f t="shared" si="11"/>
        <v>67.8</v>
      </c>
      <c r="K68" s="70">
        <f t="shared" si="11"/>
        <v>56.4</v>
      </c>
      <c r="L68" s="70">
        <f t="shared" si="11"/>
        <v>53.2</v>
      </c>
      <c r="M68" s="70">
        <f t="shared" si="11"/>
        <v>56.7</v>
      </c>
      <c r="N68" s="70">
        <f t="shared" si="11"/>
        <v>85.6</v>
      </c>
      <c r="O68" s="70">
        <f t="shared" si="11"/>
        <v>95.2</v>
      </c>
      <c r="P68" s="70">
        <f t="shared" si="11"/>
        <v>90.2</v>
      </c>
      <c r="Q68" s="70">
        <f t="shared" si="11"/>
        <v>91.9</v>
      </c>
      <c r="R68" s="70">
        <f t="shared" si="11"/>
        <v>80.400000000000006</v>
      </c>
      <c r="S68" s="70">
        <f t="shared" si="11"/>
        <v>66</v>
      </c>
      <c r="T68" s="70">
        <f t="shared" si="11"/>
        <v>67</v>
      </c>
      <c r="U68" s="70">
        <f t="shared" si="11"/>
        <v>66</v>
      </c>
      <c r="V68" s="70">
        <f t="shared" si="11"/>
        <v>59</v>
      </c>
      <c r="W68" s="70">
        <f t="shared" si="11"/>
        <v>57</v>
      </c>
      <c r="X68" s="70">
        <f t="shared" si="11"/>
        <v>57</v>
      </c>
      <c r="Y68" s="70">
        <f t="shared" si="11"/>
        <v>52.5</v>
      </c>
      <c r="Z68" s="70">
        <f t="shared" si="11"/>
        <v>27</v>
      </c>
      <c r="AA68" s="70">
        <f t="shared" si="11"/>
        <v>30</v>
      </c>
      <c r="AB68" s="70">
        <f t="shared" si="11"/>
        <v>45.5</v>
      </c>
      <c r="AC68" s="70">
        <f t="shared" si="11"/>
        <v>42.1</v>
      </c>
      <c r="AD68" s="70">
        <f t="shared" si="11"/>
        <v>46.3</v>
      </c>
      <c r="AE68" s="70">
        <f t="shared" si="11"/>
        <v>38.6</v>
      </c>
      <c r="AF68" s="70">
        <f t="shared" si="11"/>
        <v>24</v>
      </c>
      <c r="AG68" s="74">
        <f>SUM(AG57:AG67)</f>
        <v>0</v>
      </c>
      <c r="AH68" s="55">
        <f t="shared" si="2"/>
        <v>95.2</v>
      </c>
      <c r="AI68" s="56">
        <f t="shared" si="3"/>
        <v>24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1792.5400000000002</v>
      </c>
      <c r="C73" s="84">
        <f t="shared" ref="C73:AF73" si="12">C38+C52+C68+C72</f>
        <v>1777.24</v>
      </c>
      <c r="D73" s="84">
        <f t="shared" si="12"/>
        <v>1776.0400000000002</v>
      </c>
      <c r="E73" s="84">
        <f t="shared" si="12"/>
        <v>1754.04</v>
      </c>
      <c r="F73" s="84">
        <f t="shared" si="12"/>
        <v>1706.94</v>
      </c>
      <c r="G73" s="84">
        <f t="shared" si="12"/>
        <v>1704.1399999999996</v>
      </c>
      <c r="H73" s="84">
        <f t="shared" si="12"/>
        <v>1710.9399999999998</v>
      </c>
      <c r="I73" s="84">
        <f t="shared" si="12"/>
        <v>1721.4399999999998</v>
      </c>
      <c r="J73" s="84">
        <f t="shared" si="12"/>
        <v>1748.9399999999998</v>
      </c>
      <c r="K73" s="84">
        <f t="shared" si="12"/>
        <v>1731.34</v>
      </c>
      <c r="L73" s="84">
        <f t="shared" si="12"/>
        <v>1726.7399999999998</v>
      </c>
      <c r="M73" s="84">
        <f t="shared" si="12"/>
        <v>1743.94</v>
      </c>
      <c r="N73" s="84">
        <f t="shared" si="12"/>
        <v>1773.2399999999998</v>
      </c>
      <c r="O73" s="84">
        <f t="shared" si="12"/>
        <v>1782.64</v>
      </c>
      <c r="P73" s="84">
        <f t="shared" si="12"/>
        <v>1734.1399999999999</v>
      </c>
      <c r="Q73" s="84">
        <f t="shared" si="12"/>
        <v>1713.1399999999999</v>
      </c>
      <c r="R73" s="84">
        <f t="shared" si="12"/>
        <v>1739.8400000000001</v>
      </c>
      <c r="S73" s="84">
        <f t="shared" si="12"/>
        <v>1723.44</v>
      </c>
      <c r="T73" s="84">
        <f t="shared" si="12"/>
        <v>1647.3399999999997</v>
      </c>
      <c r="U73" s="84">
        <f t="shared" si="12"/>
        <v>1646.3399999999997</v>
      </c>
      <c r="V73" s="84">
        <f t="shared" si="12"/>
        <v>1639.3399999999997</v>
      </c>
      <c r="W73" s="84">
        <f t="shared" si="12"/>
        <v>1706.44</v>
      </c>
      <c r="X73" s="84">
        <f t="shared" si="12"/>
        <v>1738.44</v>
      </c>
      <c r="Y73" s="84">
        <f t="shared" si="12"/>
        <v>1733.94</v>
      </c>
      <c r="Z73" s="84">
        <f t="shared" si="12"/>
        <v>1733.44</v>
      </c>
      <c r="AA73" s="84">
        <f t="shared" si="12"/>
        <v>1736.44</v>
      </c>
      <c r="AB73" s="84">
        <f t="shared" si="12"/>
        <v>1761.94</v>
      </c>
      <c r="AC73" s="84">
        <f t="shared" si="12"/>
        <v>1758.54</v>
      </c>
      <c r="AD73" s="84">
        <f t="shared" si="12"/>
        <v>1766.04</v>
      </c>
      <c r="AE73" s="84">
        <f t="shared" si="12"/>
        <v>1758.6399999999999</v>
      </c>
      <c r="AF73" s="84">
        <f t="shared" si="12"/>
        <v>1744.04</v>
      </c>
      <c r="AG73" s="84">
        <f t="shared" ref="AG73" si="13">AG68+AG56+AG52+AG38+AG72</f>
        <v>2144.14</v>
      </c>
      <c r="AH73" s="55">
        <f t="shared" si="2"/>
        <v>1792.5400000000002</v>
      </c>
      <c r="AI73" s="56">
        <f t="shared" si="3"/>
        <v>1639.3399999999997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>
        <v>100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100</v>
      </c>
      <c r="AI74" s="56">
        <f t="shared" si="3"/>
        <v>100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1792.5400000000002</v>
      </c>
      <c r="C75" s="84">
        <f t="shared" ref="C75:AF75" si="14">C73+C74</f>
        <v>1777.24</v>
      </c>
      <c r="D75" s="84">
        <f t="shared" si="14"/>
        <v>1776.0400000000002</v>
      </c>
      <c r="E75" s="84">
        <f t="shared" si="14"/>
        <v>1754.04</v>
      </c>
      <c r="F75" s="84">
        <f t="shared" si="14"/>
        <v>1706.94</v>
      </c>
      <c r="G75" s="84">
        <f t="shared" si="14"/>
        <v>1804.1399999999996</v>
      </c>
      <c r="H75" s="84">
        <f t="shared" si="14"/>
        <v>1710.9399999999998</v>
      </c>
      <c r="I75" s="84">
        <f t="shared" si="14"/>
        <v>1721.4399999999998</v>
      </c>
      <c r="J75" s="84">
        <f t="shared" si="14"/>
        <v>1748.9399999999998</v>
      </c>
      <c r="K75" s="84">
        <f t="shared" si="14"/>
        <v>1731.34</v>
      </c>
      <c r="L75" s="84">
        <f t="shared" si="14"/>
        <v>1726.7399999999998</v>
      </c>
      <c r="M75" s="84">
        <f t="shared" si="14"/>
        <v>1743.94</v>
      </c>
      <c r="N75" s="84">
        <f t="shared" si="14"/>
        <v>1773.2399999999998</v>
      </c>
      <c r="O75" s="84">
        <f t="shared" si="14"/>
        <v>1782.64</v>
      </c>
      <c r="P75" s="84">
        <f t="shared" si="14"/>
        <v>1734.1399999999999</v>
      </c>
      <c r="Q75" s="84">
        <f t="shared" si="14"/>
        <v>1713.1399999999999</v>
      </c>
      <c r="R75" s="84">
        <f t="shared" si="14"/>
        <v>1739.8400000000001</v>
      </c>
      <c r="S75" s="84">
        <f t="shared" si="14"/>
        <v>1723.44</v>
      </c>
      <c r="T75" s="84">
        <f t="shared" si="14"/>
        <v>1647.3399999999997</v>
      </c>
      <c r="U75" s="84">
        <f t="shared" si="14"/>
        <v>1646.3399999999997</v>
      </c>
      <c r="V75" s="84">
        <f t="shared" si="14"/>
        <v>1639.3399999999997</v>
      </c>
      <c r="W75" s="84">
        <f t="shared" si="14"/>
        <v>1706.44</v>
      </c>
      <c r="X75" s="84">
        <f t="shared" si="14"/>
        <v>1738.44</v>
      </c>
      <c r="Y75" s="84">
        <f t="shared" si="14"/>
        <v>1733.94</v>
      </c>
      <c r="Z75" s="84">
        <f t="shared" si="14"/>
        <v>1733.44</v>
      </c>
      <c r="AA75" s="84">
        <f t="shared" si="14"/>
        <v>1736.44</v>
      </c>
      <c r="AB75" s="84">
        <f t="shared" si="14"/>
        <v>1761.94</v>
      </c>
      <c r="AC75" s="84">
        <f t="shared" si="14"/>
        <v>1758.54</v>
      </c>
      <c r="AD75" s="84">
        <f t="shared" si="14"/>
        <v>1766.04</v>
      </c>
      <c r="AE75" s="84">
        <f t="shared" si="14"/>
        <v>1758.6399999999999</v>
      </c>
      <c r="AF75" s="84">
        <f t="shared" si="14"/>
        <v>1744.04</v>
      </c>
      <c r="AG75" s="74">
        <f>AG72+AG68+AG56+AG52+AG38+AG74</f>
        <v>2144.14</v>
      </c>
      <c r="AH75" s="55">
        <f t="shared" si="2"/>
        <v>1804.1399999999996</v>
      </c>
      <c r="AI75" s="56">
        <f t="shared" si="3"/>
        <v>1639.3399999999997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5">IF(C60&lt;0,C60*-1,0)</f>
        <v>0</v>
      </c>
      <c r="D76" s="78">
        <f t="shared" si="15"/>
        <v>0</v>
      </c>
      <c r="E76" s="78">
        <f t="shared" si="15"/>
        <v>0</v>
      </c>
      <c r="F76" s="78">
        <f t="shared" si="15"/>
        <v>0</v>
      </c>
      <c r="G76" s="78">
        <f t="shared" si="15"/>
        <v>0</v>
      </c>
      <c r="H76" s="78">
        <f t="shared" si="15"/>
        <v>0</v>
      </c>
      <c r="I76" s="78">
        <f t="shared" si="15"/>
        <v>0</v>
      </c>
      <c r="J76" s="78">
        <f t="shared" si="15"/>
        <v>0</v>
      </c>
      <c r="K76" s="78">
        <f t="shared" si="15"/>
        <v>0</v>
      </c>
      <c r="L76" s="78">
        <f t="shared" si="15"/>
        <v>0</v>
      </c>
      <c r="M76" s="78">
        <f t="shared" si="15"/>
        <v>0</v>
      </c>
      <c r="N76" s="78">
        <f t="shared" si="15"/>
        <v>0</v>
      </c>
      <c r="O76" s="78">
        <f t="shared" si="15"/>
        <v>0</v>
      </c>
      <c r="P76" s="78">
        <f t="shared" si="15"/>
        <v>0</v>
      </c>
      <c r="Q76" s="78">
        <f t="shared" si="15"/>
        <v>0</v>
      </c>
      <c r="R76" s="78">
        <f t="shared" si="15"/>
        <v>0</v>
      </c>
      <c r="S76" s="78">
        <f t="shared" si="15"/>
        <v>0</v>
      </c>
      <c r="T76" s="78">
        <f t="shared" si="15"/>
        <v>0</v>
      </c>
      <c r="U76" s="78">
        <f t="shared" si="15"/>
        <v>0</v>
      </c>
      <c r="V76" s="78">
        <f t="shared" si="15"/>
        <v>0</v>
      </c>
      <c r="W76" s="78">
        <f t="shared" si="15"/>
        <v>0</v>
      </c>
      <c r="X76" s="78">
        <f t="shared" si="15"/>
        <v>0</v>
      </c>
      <c r="Y76" s="78">
        <f t="shared" si="15"/>
        <v>0</v>
      </c>
      <c r="Z76" s="78">
        <f t="shared" si="15"/>
        <v>0</v>
      </c>
      <c r="AA76" s="78">
        <f t="shared" si="15"/>
        <v>0</v>
      </c>
      <c r="AB76" s="78">
        <f t="shared" si="15"/>
        <v>0</v>
      </c>
      <c r="AC76" s="78">
        <f t="shared" si="15"/>
        <v>0</v>
      </c>
      <c r="AD76" s="78">
        <f t="shared" si="15"/>
        <v>0</v>
      </c>
      <c r="AE76" s="78">
        <f t="shared" si="15"/>
        <v>0</v>
      </c>
      <c r="AF76" s="78">
        <f t="shared" si="15"/>
        <v>0</v>
      </c>
      <c r="AG76" s="60"/>
      <c r="AH76" s="55">
        <f t="shared" ref="AH76:AH91" si="16">MAX(B76:AF76)</f>
        <v>0</v>
      </c>
      <c r="AI76" s="56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8">IF(C58&lt;0,C58*-1,0)</f>
        <v>0</v>
      </c>
      <c r="D77" s="78">
        <f t="shared" si="18"/>
        <v>0</v>
      </c>
      <c r="E77" s="78">
        <f t="shared" si="18"/>
        <v>0</v>
      </c>
      <c r="F77" s="78">
        <f t="shared" si="18"/>
        <v>0</v>
      </c>
      <c r="G77" s="78">
        <f t="shared" si="18"/>
        <v>0</v>
      </c>
      <c r="H77" s="78">
        <f t="shared" si="18"/>
        <v>0</v>
      </c>
      <c r="I77" s="78">
        <f t="shared" si="18"/>
        <v>0</v>
      </c>
      <c r="J77" s="78">
        <f t="shared" si="18"/>
        <v>0</v>
      </c>
      <c r="K77" s="78">
        <f t="shared" si="18"/>
        <v>0</v>
      </c>
      <c r="L77" s="78">
        <f t="shared" si="18"/>
        <v>0</v>
      </c>
      <c r="M77" s="78">
        <f t="shared" si="18"/>
        <v>0</v>
      </c>
      <c r="N77" s="78">
        <f t="shared" si="18"/>
        <v>0</v>
      </c>
      <c r="O77" s="78">
        <f t="shared" si="18"/>
        <v>0</v>
      </c>
      <c r="P77" s="78">
        <f t="shared" si="18"/>
        <v>0</v>
      </c>
      <c r="Q77" s="78">
        <f t="shared" si="18"/>
        <v>0</v>
      </c>
      <c r="R77" s="78">
        <f t="shared" si="18"/>
        <v>0</v>
      </c>
      <c r="S77" s="78">
        <f t="shared" si="18"/>
        <v>0</v>
      </c>
      <c r="T77" s="78">
        <f t="shared" si="18"/>
        <v>0</v>
      </c>
      <c r="U77" s="78">
        <f t="shared" si="18"/>
        <v>0</v>
      </c>
      <c r="V77" s="78">
        <f t="shared" si="18"/>
        <v>0</v>
      </c>
      <c r="W77" s="78">
        <f t="shared" si="18"/>
        <v>0</v>
      </c>
      <c r="X77" s="78">
        <f t="shared" si="18"/>
        <v>0</v>
      </c>
      <c r="Y77" s="78">
        <f t="shared" si="18"/>
        <v>0</v>
      </c>
      <c r="Z77" s="78">
        <f t="shared" si="18"/>
        <v>0</v>
      </c>
      <c r="AA77" s="78">
        <f t="shared" si="18"/>
        <v>0</v>
      </c>
      <c r="AB77" s="78">
        <f t="shared" si="18"/>
        <v>0</v>
      </c>
      <c r="AC77" s="78">
        <f t="shared" si="18"/>
        <v>0</v>
      </c>
      <c r="AD77" s="78">
        <f t="shared" si="18"/>
        <v>0</v>
      </c>
      <c r="AE77" s="78">
        <f t="shared" si="18"/>
        <v>0</v>
      </c>
      <c r="AF77" s="78">
        <f t="shared" si="18"/>
        <v>0</v>
      </c>
      <c r="AG77" s="64"/>
      <c r="AH77" s="55">
        <f t="shared" si="16"/>
        <v>0</v>
      </c>
      <c r="AI77" s="56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9">IF(C61&lt;0,C61*-1,0)</f>
        <v>0</v>
      </c>
      <c r="D78" s="78">
        <f t="shared" si="19"/>
        <v>0</v>
      </c>
      <c r="E78" s="78">
        <f t="shared" si="19"/>
        <v>0</v>
      </c>
      <c r="F78" s="78">
        <f t="shared" si="19"/>
        <v>0</v>
      </c>
      <c r="G78" s="78">
        <f t="shared" si="19"/>
        <v>0</v>
      </c>
      <c r="H78" s="78">
        <f t="shared" si="19"/>
        <v>0</v>
      </c>
      <c r="I78" s="78">
        <f t="shared" si="19"/>
        <v>0</v>
      </c>
      <c r="J78" s="78">
        <f t="shared" si="19"/>
        <v>0</v>
      </c>
      <c r="K78" s="78">
        <f t="shared" si="19"/>
        <v>0</v>
      </c>
      <c r="L78" s="78">
        <f t="shared" si="19"/>
        <v>0</v>
      </c>
      <c r="M78" s="78">
        <f t="shared" si="19"/>
        <v>0</v>
      </c>
      <c r="N78" s="78">
        <f t="shared" si="19"/>
        <v>0</v>
      </c>
      <c r="O78" s="78">
        <f t="shared" si="19"/>
        <v>0</v>
      </c>
      <c r="P78" s="78">
        <f t="shared" si="19"/>
        <v>0</v>
      </c>
      <c r="Q78" s="78">
        <f t="shared" si="19"/>
        <v>0</v>
      </c>
      <c r="R78" s="78">
        <f t="shared" si="19"/>
        <v>0</v>
      </c>
      <c r="S78" s="78">
        <f t="shared" si="19"/>
        <v>0</v>
      </c>
      <c r="T78" s="78">
        <f t="shared" si="19"/>
        <v>0</v>
      </c>
      <c r="U78" s="78">
        <f t="shared" si="19"/>
        <v>0</v>
      </c>
      <c r="V78" s="78">
        <f t="shared" si="19"/>
        <v>0</v>
      </c>
      <c r="W78" s="78">
        <f t="shared" si="19"/>
        <v>0</v>
      </c>
      <c r="X78" s="78">
        <f t="shared" si="19"/>
        <v>0</v>
      </c>
      <c r="Y78" s="78">
        <f t="shared" si="19"/>
        <v>0</v>
      </c>
      <c r="Z78" s="78">
        <f t="shared" si="19"/>
        <v>0</v>
      </c>
      <c r="AA78" s="78">
        <f t="shared" si="19"/>
        <v>0</v>
      </c>
      <c r="AB78" s="78">
        <f t="shared" si="19"/>
        <v>0</v>
      </c>
      <c r="AC78" s="78">
        <f t="shared" si="19"/>
        <v>0</v>
      </c>
      <c r="AD78" s="78">
        <f t="shared" si="19"/>
        <v>0</v>
      </c>
      <c r="AE78" s="78">
        <f t="shared" si="19"/>
        <v>0</v>
      </c>
      <c r="AF78" s="78">
        <f t="shared" si="19"/>
        <v>0</v>
      </c>
      <c r="AG78" s="87"/>
      <c r="AH78" s="55">
        <f t="shared" si="16"/>
        <v>0</v>
      </c>
      <c r="AI78" s="56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348</v>
      </c>
      <c r="C79" s="78">
        <f t="shared" ref="C79:AF79" si="20">IF(C59&lt;0,C59*-1,0)</f>
        <v>359</v>
      </c>
      <c r="D79" s="78">
        <f t="shared" si="20"/>
        <v>380</v>
      </c>
      <c r="E79" s="78">
        <f t="shared" si="20"/>
        <v>412.4</v>
      </c>
      <c r="F79" s="78">
        <f t="shared" si="20"/>
        <v>389.2</v>
      </c>
      <c r="G79" s="78">
        <f t="shared" si="20"/>
        <v>460</v>
      </c>
      <c r="H79" s="78">
        <f t="shared" si="20"/>
        <v>387.7</v>
      </c>
      <c r="I79" s="78">
        <f t="shared" si="20"/>
        <v>378.7</v>
      </c>
      <c r="J79" s="78">
        <f t="shared" si="20"/>
        <v>414</v>
      </c>
      <c r="K79" s="78">
        <f t="shared" si="20"/>
        <v>383</v>
      </c>
      <c r="L79" s="78">
        <f t="shared" si="20"/>
        <v>393.8</v>
      </c>
      <c r="M79" s="78">
        <f t="shared" si="20"/>
        <v>369.9</v>
      </c>
      <c r="N79" s="78">
        <f t="shared" si="20"/>
        <v>344.5</v>
      </c>
      <c r="O79" s="78">
        <f t="shared" si="20"/>
        <v>350.2</v>
      </c>
      <c r="P79" s="78">
        <f t="shared" si="20"/>
        <v>345</v>
      </c>
      <c r="Q79" s="78">
        <f t="shared" si="20"/>
        <v>348</v>
      </c>
      <c r="R79" s="78">
        <f t="shared" si="20"/>
        <v>350.4</v>
      </c>
      <c r="S79" s="78">
        <f t="shared" si="20"/>
        <v>347</v>
      </c>
      <c r="T79" s="78">
        <f t="shared" si="20"/>
        <v>280</v>
      </c>
      <c r="U79" s="78">
        <f t="shared" si="20"/>
        <v>365</v>
      </c>
      <c r="V79" s="78">
        <f t="shared" si="20"/>
        <v>365</v>
      </c>
      <c r="W79" s="78">
        <f t="shared" si="20"/>
        <v>388</v>
      </c>
      <c r="X79" s="78">
        <f t="shared" si="20"/>
        <v>388</v>
      </c>
      <c r="Y79" s="78">
        <f t="shared" si="20"/>
        <v>370</v>
      </c>
      <c r="Z79" s="78">
        <f t="shared" si="20"/>
        <v>350</v>
      </c>
      <c r="AA79" s="78">
        <f t="shared" si="20"/>
        <v>200</v>
      </c>
      <c r="AB79" s="78">
        <f t="shared" si="20"/>
        <v>205</v>
      </c>
      <c r="AC79" s="78">
        <f t="shared" si="20"/>
        <v>236</v>
      </c>
      <c r="AD79" s="78">
        <f t="shared" si="20"/>
        <v>228</v>
      </c>
      <c r="AE79" s="78">
        <f t="shared" si="20"/>
        <v>302</v>
      </c>
      <c r="AF79" s="78">
        <f t="shared" si="20"/>
        <v>342</v>
      </c>
      <c r="AG79" s="87"/>
      <c r="AH79" s="55">
        <f t="shared" si="16"/>
        <v>460</v>
      </c>
      <c r="AI79" s="56">
        <f t="shared" si="17"/>
        <v>200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1">IF(C57&lt;0,C57*-1,0)</f>
        <v>0</v>
      </c>
      <c r="D80" s="78">
        <f t="shared" si="21"/>
        <v>0</v>
      </c>
      <c r="E80" s="78">
        <f t="shared" si="21"/>
        <v>0</v>
      </c>
      <c r="F80" s="78">
        <f t="shared" si="21"/>
        <v>0</v>
      </c>
      <c r="G80" s="78">
        <f t="shared" si="21"/>
        <v>0</v>
      </c>
      <c r="H80" s="78">
        <f t="shared" si="21"/>
        <v>0</v>
      </c>
      <c r="I80" s="78">
        <f t="shared" si="21"/>
        <v>0</v>
      </c>
      <c r="J80" s="78">
        <f t="shared" si="21"/>
        <v>0</v>
      </c>
      <c r="K80" s="78">
        <f t="shared" si="21"/>
        <v>0</v>
      </c>
      <c r="L80" s="78">
        <f t="shared" si="21"/>
        <v>0</v>
      </c>
      <c r="M80" s="78">
        <f t="shared" si="21"/>
        <v>0</v>
      </c>
      <c r="N80" s="78">
        <f t="shared" si="21"/>
        <v>0</v>
      </c>
      <c r="O80" s="78">
        <f t="shared" si="21"/>
        <v>0</v>
      </c>
      <c r="P80" s="78">
        <f t="shared" si="21"/>
        <v>0</v>
      </c>
      <c r="Q80" s="78">
        <f t="shared" si="21"/>
        <v>0</v>
      </c>
      <c r="R80" s="78">
        <f t="shared" si="21"/>
        <v>0</v>
      </c>
      <c r="S80" s="78">
        <f t="shared" si="21"/>
        <v>0</v>
      </c>
      <c r="T80" s="78">
        <f t="shared" si="21"/>
        <v>0</v>
      </c>
      <c r="U80" s="78">
        <f t="shared" si="21"/>
        <v>0</v>
      </c>
      <c r="V80" s="78">
        <f t="shared" si="21"/>
        <v>0</v>
      </c>
      <c r="W80" s="78">
        <f t="shared" si="21"/>
        <v>0</v>
      </c>
      <c r="X80" s="78">
        <f t="shared" si="21"/>
        <v>0</v>
      </c>
      <c r="Y80" s="78">
        <f t="shared" si="21"/>
        <v>0</v>
      </c>
      <c r="Z80" s="78">
        <f t="shared" si="21"/>
        <v>0</v>
      </c>
      <c r="AA80" s="78">
        <f t="shared" si="21"/>
        <v>0</v>
      </c>
      <c r="AB80" s="78">
        <f t="shared" si="21"/>
        <v>0</v>
      </c>
      <c r="AC80" s="78">
        <f t="shared" si="21"/>
        <v>0</v>
      </c>
      <c r="AD80" s="78">
        <f t="shared" si="21"/>
        <v>0</v>
      </c>
      <c r="AE80" s="78">
        <f t="shared" si="21"/>
        <v>0</v>
      </c>
      <c r="AF80" s="78">
        <f t="shared" si="21"/>
        <v>0</v>
      </c>
      <c r="AG80" s="87"/>
      <c r="AH80" s="55">
        <f t="shared" si="16"/>
        <v>0</v>
      </c>
      <c r="AI80" s="56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6"/>
        <v>0</v>
      </c>
      <c r="AI81" s="56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348</v>
      </c>
      <c r="C82" s="70">
        <f t="shared" ref="C82:AG82" si="22">SUM(C76:C81)</f>
        <v>359</v>
      </c>
      <c r="D82" s="70">
        <f t="shared" si="22"/>
        <v>380</v>
      </c>
      <c r="E82" s="70">
        <f t="shared" si="22"/>
        <v>412.4</v>
      </c>
      <c r="F82" s="70">
        <f t="shared" si="22"/>
        <v>389.2</v>
      </c>
      <c r="G82" s="70">
        <f t="shared" si="22"/>
        <v>460</v>
      </c>
      <c r="H82" s="70">
        <f t="shared" si="22"/>
        <v>387.7</v>
      </c>
      <c r="I82" s="70">
        <f t="shared" si="22"/>
        <v>378.7</v>
      </c>
      <c r="J82" s="70">
        <f t="shared" si="22"/>
        <v>414</v>
      </c>
      <c r="K82" s="70">
        <f t="shared" si="22"/>
        <v>383</v>
      </c>
      <c r="L82" s="70">
        <f t="shared" si="22"/>
        <v>393.8</v>
      </c>
      <c r="M82" s="70">
        <f t="shared" si="22"/>
        <v>369.9</v>
      </c>
      <c r="N82" s="70">
        <f t="shared" si="22"/>
        <v>344.5</v>
      </c>
      <c r="O82" s="70">
        <f t="shared" si="22"/>
        <v>350.2</v>
      </c>
      <c r="P82" s="70">
        <f t="shared" si="22"/>
        <v>345</v>
      </c>
      <c r="Q82" s="70">
        <f t="shared" si="22"/>
        <v>348</v>
      </c>
      <c r="R82" s="70">
        <f t="shared" si="22"/>
        <v>350.4</v>
      </c>
      <c r="S82" s="70">
        <f t="shared" si="22"/>
        <v>347</v>
      </c>
      <c r="T82" s="70">
        <f t="shared" si="22"/>
        <v>280</v>
      </c>
      <c r="U82" s="70">
        <f t="shared" si="22"/>
        <v>365</v>
      </c>
      <c r="V82" s="70">
        <f t="shared" si="22"/>
        <v>365</v>
      </c>
      <c r="W82" s="70">
        <f t="shared" si="22"/>
        <v>388</v>
      </c>
      <c r="X82" s="70">
        <f t="shared" si="22"/>
        <v>388</v>
      </c>
      <c r="Y82" s="70">
        <f t="shared" si="22"/>
        <v>370</v>
      </c>
      <c r="Z82" s="70">
        <f t="shared" si="22"/>
        <v>350</v>
      </c>
      <c r="AA82" s="70">
        <f t="shared" si="22"/>
        <v>200</v>
      </c>
      <c r="AB82" s="70">
        <f t="shared" si="22"/>
        <v>205</v>
      </c>
      <c r="AC82" s="70">
        <f t="shared" si="22"/>
        <v>236</v>
      </c>
      <c r="AD82" s="70">
        <f t="shared" si="22"/>
        <v>228</v>
      </c>
      <c r="AE82" s="70">
        <f t="shared" si="22"/>
        <v>302</v>
      </c>
      <c r="AF82" s="70">
        <f t="shared" si="22"/>
        <v>342</v>
      </c>
      <c r="AG82" s="74">
        <f t="shared" si="22"/>
        <v>0</v>
      </c>
      <c r="AH82" s="55">
        <f t="shared" si="16"/>
        <v>460</v>
      </c>
      <c r="AI82" s="56">
        <f t="shared" si="17"/>
        <v>200</v>
      </c>
      <c r="AK82" s="57"/>
    </row>
    <row r="83" spans="1:88" s="1" customFormat="1" ht="15.75" thickBot="1" x14ac:dyDescent="0.3">
      <c r="A83" s="69" t="s">
        <v>88</v>
      </c>
      <c r="B83" s="70">
        <f>B68-B82</f>
        <v>-275.10000000000002</v>
      </c>
      <c r="C83" s="70">
        <f t="shared" ref="C83:AF83" si="23">C68-C82</f>
        <v>-290.39999999999998</v>
      </c>
      <c r="D83" s="70">
        <f t="shared" si="23"/>
        <v>-312.60000000000002</v>
      </c>
      <c r="E83" s="70">
        <f t="shared" si="23"/>
        <v>-347.29999999999995</v>
      </c>
      <c r="F83" s="70">
        <f t="shared" si="23"/>
        <v>-327.7</v>
      </c>
      <c r="G83" s="70">
        <f t="shared" si="23"/>
        <v>-401.4</v>
      </c>
      <c r="H83" s="70">
        <f t="shared" si="23"/>
        <v>-333.2</v>
      </c>
      <c r="I83" s="70">
        <f t="shared" si="23"/>
        <v>-313.89999999999998</v>
      </c>
      <c r="J83" s="70">
        <f t="shared" si="23"/>
        <v>-346.2</v>
      </c>
      <c r="K83" s="70">
        <f t="shared" si="23"/>
        <v>-326.60000000000002</v>
      </c>
      <c r="L83" s="70">
        <f t="shared" si="23"/>
        <v>-340.6</v>
      </c>
      <c r="M83" s="70">
        <f t="shared" si="23"/>
        <v>-313.2</v>
      </c>
      <c r="N83" s="70">
        <f t="shared" si="23"/>
        <v>-258.89999999999998</v>
      </c>
      <c r="O83" s="70">
        <f t="shared" si="23"/>
        <v>-255</v>
      </c>
      <c r="P83" s="70">
        <f t="shared" si="23"/>
        <v>-254.8</v>
      </c>
      <c r="Q83" s="70">
        <f t="shared" si="23"/>
        <v>-256.10000000000002</v>
      </c>
      <c r="R83" s="70">
        <f t="shared" si="23"/>
        <v>-270</v>
      </c>
      <c r="S83" s="70">
        <f t="shared" si="23"/>
        <v>-281</v>
      </c>
      <c r="T83" s="70">
        <f t="shared" si="23"/>
        <v>-213</v>
      </c>
      <c r="U83" s="70">
        <f t="shared" si="23"/>
        <v>-299</v>
      </c>
      <c r="V83" s="70">
        <f t="shared" si="23"/>
        <v>-306</v>
      </c>
      <c r="W83" s="70">
        <f t="shared" si="23"/>
        <v>-331</v>
      </c>
      <c r="X83" s="70">
        <f t="shared" si="23"/>
        <v>-331</v>
      </c>
      <c r="Y83" s="70">
        <f t="shared" si="23"/>
        <v>-317.5</v>
      </c>
      <c r="Z83" s="70">
        <f t="shared" si="23"/>
        <v>-323</v>
      </c>
      <c r="AA83" s="70">
        <f t="shared" si="23"/>
        <v>-170</v>
      </c>
      <c r="AB83" s="70">
        <f t="shared" si="23"/>
        <v>-159.5</v>
      </c>
      <c r="AC83" s="70">
        <f t="shared" si="23"/>
        <v>-193.9</v>
      </c>
      <c r="AD83" s="70">
        <f t="shared" si="23"/>
        <v>-181.7</v>
      </c>
      <c r="AE83" s="70">
        <f t="shared" si="23"/>
        <v>-263.39999999999998</v>
      </c>
      <c r="AF83" s="70">
        <f t="shared" si="23"/>
        <v>-318</v>
      </c>
      <c r="AG83" s="74">
        <f t="shared" ref="AG83" si="24">SUM(AG70:AG82)</f>
        <v>4360.08</v>
      </c>
      <c r="AH83" s="55">
        <f t="shared" si="16"/>
        <v>-159.5</v>
      </c>
      <c r="AI83" s="56">
        <f t="shared" si="17"/>
        <v>-401.4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>
        <v>50.042999999999999</v>
      </c>
      <c r="C84" s="90">
        <v>50.026000000000003</v>
      </c>
      <c r="D84" s="90">
        <v>49.951000000000001</v>
      </c>
      <c r="E84" s="90">
        <v>49.98</v>
      </c>
      <c r="F84" s="90">
        <v>50.014000000000003</v>
      </c>
      <c r="G84" s="90">
        <v>49.993000000000002</v>
      </c>
      <c r="H84" s="90">
        <v>49.972999999999999</v>
      </c>
      <c r="I84" s="90">
        <v>50.012</v>
      </c>
      <c r="J84" s="90">
        <v>50.033000000000001</v>
      </c>
      <c r="K84" s="90">
        <v>50.034999999999997</v>
      </c>
      <c r="L84" s="90">
        <v>50.005000000000003</v>
      </c>
      <c r="M84" s="90">
        <v>50.04</v>
      </c>
      <c r="N84" s="90">
        <v>50.045000000000002</v>
      </c>
      <c r="O84" s="90">
        <v>49.99</v>
      </c>
      <c r="P84" s="90">
        <v>50.078000000000003</v>
      </c>
      <c r="Q84" s="90">
        <v>49.988999999999997</v>
      </c>
      <c r="R84" s="90">
        <v>49.976999999999997</v>
      </c>
      <c r="S84" s="90">
        <v>50.103000000000002</v>
      </c>
      <c r="T84" s="90">
        <v>50.103000000000002</v>
      </c>
      <c r="U84" s="90">
        <v>50.103000000000002</v>
      </c>
      <c r="V84" s="90">
        <v>49.923999999999999</v>
      </c>
      <c r="W84" s="90">
        <v>50.02</v>
      </c>
      <c r="X84" s="90">
        <v>50.02</v>
      </c>
      <c r="Y84" s="90">
        <v>49.994999999999997</v>
      </c>
      <c r="Z84" s="90">
        <v>49.994999999999997</v>
      </c>
      <c r="AA84" s="90">
        <v>49.843000000000004</v>
      </c>
      <c r="AB84" s="90">
        <v>49.96</v>
      </c>
      <c r="AC84" s="90">
        <v>49.91</v>
      </c>
      <c r="AD84" s="90">
        <v>50.012</v>
      </c>
      <c r="AE84" s="90">
        <v>50.012</v>
      </c>
      <c r="AF84" s="90">
        <v>50.027000000000001</v>
      </c>
      <c r="AG84" s="91"/>
      <c r="AH84" s="55">
        <f t="shared" si="16"/>
        <v>50.103000000000002</v>
      </c>
      <c r="AI84" s="56">
        <f t="shared" si="17"/>
        <v>49.843000000000004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>
        <v>122.7</v>
      </c>
      <c r="C85" s="49">
        <v>122.5</v>
      </c>
      <c r="D85" s="49">
        <v>123.5</v>
      </c>
      <c r="E85" s="49">
        <v>124.7</v>
      </c>
      <c r="F85" s="49">
        <v>124.7</v>
      </c>
      <c r="G85" s="49">
        <v>126.8</v>
      </c>
      <c r="H85" s="49">
        <v>124.2</v>
      </c>
      <c r="I85" s="49">
        <v>123.9</v>
      </c>
      <c r="J85" s="49">
        <v>123.6</v>
      </c>
      <c r="K85" s="49">
        <v>124.9</v>
      </c>
      <c r="L85" s="49">
        <v>123.1</v>
      </c>
      <c r="M85" s="49">
        <v>123.5</v>
      </c>
      <c r="N85" s="49">
        <v>123.9</v>
      </c>
      <c r="O85" s="49">
        <v>123.5</v>
      </c>
      <c r="P85" s="49">
        <v>123.6</v>
      </c>
      <c r="Q85" s="49">
        <v>123.1</v>
      </c>
      <c r="R85" s="49">
        <v>124.7</v>
      </c>
      <c r="S85" s="49">
        <v>124.7</v>
      </c>
      <c r="T85" s="49">
        <v>124.7</v>
      </c>
      <c r="U85" s="49">
        <v>124.7</v>
      </c>
      <c r="V85" s="49">
        <v>125</v>
      </c>
      <c r="W85" s="49">
        <v>123</v>
      </c>
      <c r="X85" s="49">
        <v>123</v>
      </c>
      <c r="Y85" s="49">
        <v>123</v>
      </c>
      <c r="Z85" s="49">
        <v>123.2</v>
      </c>
      <c r="AA85" s="49">
        <v>124</v>
      </c>
      <c r="AB85" s="49">
        <v>124.2</v>
      </c>
      <c r="AC85" s="49">
        <v>125</v>
      </c>
      <c r="AD85" s="49">
        <v>124</v>
      </c>
      <c r="AE85" s="49">
        <v>124</v>
      </c>
      <c r="AF85" s="49">
        <v>124</v>
      </c>
      <c r="AG85" s="93"/>
      <c r="AH85" s="55">
        <f t="shared" si="16"/>
        <v>126.8</v>
      </c>
      <c r="AI85" s="56">
        <f t="shared" si="17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>
        <v>128.69999999999999</v>
      </c>
      <c r="C86" s="49">
        <v>128.5</v>
      </c>
      <c r="D86" s="49">
        <v>129</v>
      </c>
      <c r="E86" s="49">
        <v>1292</v>
      </c>
      <c r="F86" s="49">
        <v>129.4</v>
      </c>
      <c r="G86" s="49">
        <v>130.69999999999999</v>
      </c>
      <c r="H86" s="49">
        <v>128.1</v>
      </c>
      <c r="I86" s="49">
        <v>128.19999999999999</v>
      </c>
      <c r="J86" s="49">
        <v>127.8</v>
      </c>
      <c r="K86" s="49">
        <v>128.19999999999999</v>
      </c>
      <c r="L86" s="49">
        <v>126.4</v>
      </c>
      <c r="M86" s="49">
        <v>127.3</v>
      </c>
      <c r="N86" s="49">
        <v>127.6</v>
      </c>
      <c r="O86" s="49">
        <v>127.8</v>
      </c>
      <c r="P86" s="49">
        <v>128</v>
      </c>
      <c r="Q86" s="49">
        <v>127.7</v>
      </c>
      <c r="R86" s="49">
        <v>128.5</v>
      </c>
      <c r="S86" s="49">
        <v>128.5</v>
      </c>
      <c r="T86" s="49">
        <v>128.5</v>
      </c>
      <c r="U86" s="49">
        <v>128.5</v>
      </c>
      <c r="V86" s="49">
        <v>129</v>
      </c>
      <c r="W86" s="49">
        <v>128</v>
      </c>
      <c r="X86" s="49">
        <v>128</v>
      </c>
      <c r="Y86" s="49">
        <v>128</v>
      </c>
      <c r="Z86" s="49">
        <v>127</v>
      </c>
      <c r="AA86" s="49">
        <v>128</v>
      </c>
      <c r="AB86" s="49">
        <v>128.4</v>
      </c>
      <c r="AC86" s="49">
        <v>128.9</v>
      </c>
      <c r="AD86" s="49">
        <v>129</v>
      </c>
      <c r="AE86" s="49">
        <v>129</v>
      </c>
      <c r="AF86" s="49">
        <v>129</v>
      </c>
      <c r="AG86" s="93"/>
      <c r="AH86" s="55">
        <f t="shared" si="16"/>
        <v>1292</v>
      </c>
      <c r="AI86" s="56">
        <f t="shared" si="17"/>
        <v>126.4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>
        <v>129.4</v>
      </c>
      <c r="C87" s="49">
        <v>127.4</v>
      </c>
      <c r="D87" s="49">
        <v>128</v>
      </c>
      <c r="E87" s="49">
        <v>127.9</v>
      </c>
      <c r="F87" s="49">
        <v>129.30000000000001</v>
      </c>
      <c r="G87" s="49">
        <v>129.69999999999999</v>
      </c>
      <c r="H87" s="49">
        <v>128.30000000000001</v>
      </c>
      <c r="I87" s="49">
        <v>130</v>
      </c>
      <c r="J87" s="49">
        <v>128.80000000000001</v>
      </c>
      <c r="K87" s="49">
        <v>128.19999999999999</v>
      </c>
      <c r="L87" s="49">
        <v>127.9</v>
      </c>
      <c r="M87" s="49">
        <v>128.30000000000001</v>
      </c>
      <c r="N87" s="49">
        <v>126.8</v>
      </c>
      <c r="O87" s="49">
        <v>124.1</v>
      </c>
      <c r="P87" s="49">
        <v>126.6</v>
      </c>
      <c r="Q87" s="49">
        <v>122.1</v>
      </c>
      <c r="R87" s="49">
        <v>128.6</v>
      </c>
      <c r="S87" s="49">
        <v>128.6</v>
      </c>
      <c r="T87" s="49">
        <v>128.6</v>
      </c>
      <c r="U87" s="49">
        <v>128.6</v>
      </c>
      <c r="V87" s="49">
        <v>128.6</v>
      </c>
      <c r="W87" s="49">
        <v>130</v>
      </c>
      <c r="X87" s="49">
        <v>130</v>
      </c>
      <c r="Y87" s="49">
        <v>130</v>
      </c>
      <c r="Z87" s="49">
        <v>127</v>
      </c>
      <c r="AA87" s="49">
        <v>124</v>
      </c>
      <c r="AB87" s="49">
        <v>127.3</v>
      </c>
      <c r="AC87" s="49">
        <v>127.7</v>
      </c>
      <c r="AD87" s="49">
        <v>130.5</v>
      </c>
      <c r="AE87" s="49">
        <v>130.5</v>
      </c>
      <c r="AF87" s="49">
        <v>130.5</v>
      </c>
      <c r="AG87" s="93"/>
      <c r="AH87" s="55">
        <f t="shared" si="16"/>
        <v>130.5</v>
      </c>
      <c r="AI87" s="56">
        <f t="shared" si="17"/>
        <v>122.1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>
        <v>134.30000000000001</v>
      </c>
      <c r="C88" s="49">
        <v>132.6</v>
      </c>
      <c r="D88" s="49">
        <v>133</v>
      </c>
      <c r="E88" s="49">
        <v>132.80000000000001</v>
      </c>
      <c r="F88" s="49">
        <v>134.30000000000001</v>
      </c>
      <c r="G88" s="49">
        <v>134.69999999999999</v>
      </c>
      <c r="H88" s="49">
        <v>133.69999999999999</v>
      </c>
      <c r="I88" s="49">
        <v>134.4</v>
      </c>
      <c r="J88" s="49">
        <v>134.5</v>
      </c>
      <c r="K88" s="49">
        <v>133.80000000000001</v>
      </c>
      <c r="L88" s="49">
        <v>132.9</v>
      </c>
      <c r="M88" s="49">
        <v>133.30000000000001</v>
      </c>
      <c r="N88" s="49">
        <v>130.80000000000001</v>
      </c>
      <c r="O88" s="49">
        <v>126.4</v>
      </c>
      <c r="P88" s="49">
        <v>128.69999999999999</v>
      </c>
      <c r="Q88" s="49">
        <v>126.9</v>
      </c>
      <c r="R88" s="49">
        <v>132.9</v>
      </c>
      <c r="S88" s="49">
        <v>132.9</v>
      </c>
      <c r="T88" s="49">
        <v>132.9</v>
      </c>
      <c r="U88" s="49">
        <v>132.9</v>
      </c>
      <c r="V88" s="49">
        <v>132.9</v>
      </c>
      <c r="W88" s="49">
        <v>134</v>
      </c>
      <c r="X88" s="49">
        <v>134</v>
      </c>
      <c r="Y88" s="49">
        <v>134</v>
      </c>
      <c r="Z88" s="49">
        <v>132</v>
      </c>
      <c r="AA88" s="49">
        <v>128</v>
      </c>
      <c r="AB88" s="49">
        <v>130.9</v>
      </c>
      <c r="AC88" s="49">
        <v>132.30000000000001</v>
      </c>
      <c r="AD88" s="49">
        <v>130.4</v>
      </c>
      <c r="AE88" s="49">
        <v>130.4</v>
      </c>
      <c r="AF88" s="49">
        <v>130.4</v>
      </c>
      <c r="AG88" s="93"/>
      <c r="AH88" s="55">
        <f t="shared" si="16"/>
        <v>134.69999999999999</v>
      </c>
      <c r="AI88" s="56">
        <f t="shared" si="17"/>
        <v>126.4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>
        <v>135.1</v>
      </c>
      <c r="C89" s="95">
        <v>131.1</v>
      </c>
      <c r="D89" s="95">
        <v>134</v>
      </c>
      <c r="E89" s="95">
        <v>133.30000000000001</v>
      </c>
      <c r="F89" s="95">
        <v>132.30000000000001</v>
      </c>
      <c r="G89" s="95">
        <v>135.19999999999999</v>
      </c>
      <c r="H89" s="95">
        <v>131.6</v>
      </c>
      <c r="I89" s="95">
        <v>130.19999999999999</v>
      </c>
      <c r="J89" s="95">
        <v>130.6</v>
      </c>
      <c r="K89" s="95">
        <v>134.6</v>
      </c>
      <c r="L89" s="95">
        <v>130</v>
      </c>
      <c r="M89" s="95">
        <v>133</v>
      </c>
      <c r="N89" s="95">
        <v>131.80000000000001</v>
      </c>
      <c r="O89" s="95">
        <v>131</v>
      </c>
      <c r="P89" s="95">
        <v>133.6</v>
      </c>
      <c r="Q89" s="95">
        <v>133.4</v>
      </c>
      <c r="R89" s="95">
        <v>133.19999999999999</v>
      </c>
      <c r="S89" s="95">
        <v>133.19999999999999</v>
      </c>
      <c r="T89" s="95">
        <v>133.19999999999999</v>
      </c>
      <c r="U89" s="95">
        <v>133.19999999999999</v>
      </c>
      <c r="V89" s="95">
        <v>133.19999999999999</v>
      </c>
      <c r="W89" s="95">
        <v>131</v>
      </c>
      <c r="X89" s="95">
        <v>131</v>
      </c>
      <c r="Y89" s="95">
        <v>131</v>
      </c>
      <c r="Z89" s="95">
        <v>133</v>
      </c>
      <c r="AA89" s="95">
        <v>131</v>
      </c>
      <c r="AB89" s="95">
        <v>131.9</v>
      </c>
      <c r="AC89" s="95">
        <v>131.9</v>
      </c>
      <c r="AD89" s="95">
        <v>130.19999999999999</v>
      </c>
      <c r="AE89" s="95">
        <v>130.19999999999999</v>
      </c>
      <c r="AF89" s="95">
        <v>130.19999999999999</v>
      </c>
      <c r="AG89" s="96"/>
      <c r="AH89" s="55">
        <f t="shared" si="16"/>
        <v>135.19999999999999</v>
      </c>
      <c r="AI89" s="56">
        <f t="shared" si="17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>
        <v>134</v>
      </c>
      <c r="C90" s="49">
        <v>130.1</v>
      </c>
      <c r="D90" s="49">
        <v>133.5</v>
      </c>
      <c r="E90" s="49">
        <v>134.6</v>
      </c>
      <c r="F90" s="49">
        <v>134.6</v>
      </c>
      <c r="G90" s="49">
        <v>138.1</v>
      </c>
      <c r="H90" s="49">
        <v>134.80000000000001</v>
      </c>
      <c r="I90" s="49">
        <v>133.1</v>
      </c>
      <c r="J90" s="49">
        <v>132.6</v>
      </c>
      <c r="K90" s="49">
        <v>136.5</v>
      </c>
      <c r="L90" s="49">
        <v>131.6</v>
      </c>
      <c r="M90" s="49">
        <v>125.9</v>
      </c>
      <c r="N90" s="49">
        <v>125.7</v>
      </c>
      <c r="O90" s="49">
        <v>127.7</v>
      </c>
      <c r="P90" s="49">
        <v>128.80000000000001</v>
      </c>
      <c r="Q90" s="49">
        <v>130.4</v>
      </c>
      <c r="R90" s="49">
        <v>129.30000000000001</v>
      </c>
      <c r="S90" s="49">
        <v>129.30000000000001</v>
      </c>
      <c r="T90" s="49">
        <v>129.30000000000001</v>
      </c>
      <c r="U90" s="49">
        <v>129.30000000000001</v>
      </c>
      <c r="V90" s="49">
        <v>129.30000000000001</v>
      </c>
      <c r="W90" s="49">
        <v>130</v>
      </c>
      <c r="X90" s="49">
        <v>130</v>
      </c>
      <c r="Y90" s="49">
        <v>130</v>
      </c>
      <c r="Z90" s="49">
        <v>128</v>
      </c>
      <c r="AA90" s="49">
        <v>126</v>
      </c>
      <c r="AB90" s="49">
        <v>128.6</v>
      </c>
      <c r="AC90" s="49">
        <v>129.5</v>
      </c>
      <c r="AD90" s="49">
        <v>128</v>
      </c>
      <c r="AE90" s="49">
        <v>128</v>
      </c>
      <c r="AF90" s="49">
        <v>128</v>
      </c>
      <c r="AG90" s="93"/>
      <c r="AH90" s="55">
        <f t="shared" si="16"/>
        <v>138.1</v>
      </c>
      <c r="AI90" s="56">
        <f t="shared" si="17"/>
        <v>125.7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>
        <v>65.099999999999994</v>
      </c>
      <c r="C91" s="97">
        <v>65</v>
      </c>
      <c r="D91" s="97">
        <v>65.3</v>
      </c>
      <c r="E91" s="97">
        <v>66.5</v>
      </c>
      <c r="F91" s="97">
        <v>65.5</v>
      </c>
      <c r="G91" s="97">
        <v>66.3</v>
      </c>
      <c r="H91" s="97">
        <v>65.099999999999994</v>
      </c>
      <c r="I91" s="97">
        <v>64.7</v>
      </c>
      <c r="J91" s="97">
        <v>64.7</v>
      </c>
      <c r="K91" s="97">
        <v>64.8</v>
      </c>
      <c r="L91" s="97">
        <v>63.8</v>
      </c>
      <c r="M91" s="97">
        <v>64.3</v>
      </c>
      <c r="N91" s="97">
        <v>64.8</v>
      </c>
      <c r="O91" s="97">
        <v>64.8</v>
      </c>
      <c r="P91" s="97">
        <v>64.900000000000006</v>
      </c>
      <c r="Q91" s="97">
        <v>65.099999999999994</v>
      </c>
      <c r="R91" s="97">
        <v>65</v>
      </c>
      <c r="S91" s="97">
        <v>65</v>
      </c>
      <c r="T91" s="97">
        <v>65</v>
      </c>
      <c r="U91" s="97">
        <v>65</v>
      </c>
      <c r="V91" s="97">
        <v>65</v>
      </c>
      <c r="W91" s="97">
        <v>64</v>
      </c>
      <c r="X91" s="97">
        <v>64</v>
      </c>
      <c r="Y91" s="97">
        <v>64</v>
      </c>
      <c r="Z91" s="97">
        <v>64</v>
      </c>
      <c r="AA91" s="97">
        <v>64.400000000000006</v>
      </c>
      <c r="AB91" s="97">
        <v>64</v>
      </c>
      <c r="AC91" s="97">
        <v>65</v>
      </c>
      <c r="AD91" s="97">
        <v>65.2</v>
      </c>
      <c r="AE91" s="97">
        <v>65.2</v>
      </c>
      <c r="AF91" s="97">
        <v>65.2</v>
      </c>
      <c r="AG91" s="98"/>
      <c r="AH91" s="55">
        <f t="shared" si="16"/>
        <v>66.5</v>
      </c>
      <c r="AI91" s="56">
        <f t="shared" si="17"/>
        <v>63.8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5">SUM(B15,B18,B21:B22,B42,B44:B45,B47,B49,B94:B97,B103,B109,B115,B124,B126,B138,B145,B148:B149,B156,B158,B160,B164:B166,B168:B170,B175,B181:B182,B184:B186,B194,B199)</f>
        <v>121.73999999999997</v>
      </c>
      <c r="C93" s="103">
        <f t="shared" si="25"/>
        <v>110.83999999999999</v>
      </c>
      <c r="D93" s="103">
        <f t="shared" si="25"/>
        <v>107.44000000000001</v>
      </c>
      <c r="E93" s="103">
        <f t="shared" si="25"/>
        <v>106.83999999999996</v>
      </c>
      <c r="F93" s="103">
        <f t="shared" si="25"/>
        <v>116.64</v>
      </c>
      <c r="G93" s="103">
        <f t="shared" si="25"/>
        <v>129.83999999999997</v>
      </c>
      <c r="H93" s="103">
        <f t="shared" si="25"/>
        <v>142.93999999999997</v>
      </c>
      <c r="I93" s="103">
        <f t="shared" si="25"/>
        <v>160.04</v>
      </c>
      <c r="J93" s="103">
        <f t="shared" si="25"/>
        <v>170.14</v>
      </c>
      <c r="K93" s="103">
        <f t="shared" si="25"/>
        <v>189.23999999999995</v>
      </c>
      <c r="L93" s="103">
        <f t="shared" si="25"/>
        <v>199.64</v>
      </c>
      <c r="M93" s="103">
        <f t="shared" si="25"/>
        <v>290.34000000000003</v>
      </c>
      <c r="N93" s="103">
        <f t="shared" si="25"/>
        <v>346.44000000000005</v>
      </c>
      <c r="O93" s="103">
        <f t="shared" si="25"/>
        <v>331.74000000000007</v>
      </c>
      <c r="P93" s="103">
        <f t="shared" si="25"/>
        <v>329.54</v>
      </c>
      <c r="Q93" s="103">
        <f t="shared" si="25"/>
        <v>288.34000000000003</v>
      </c>
      <c r="R93" s="103">
        <f t="shared" si="25"/>
        <v>320.64000000000004</v>
      </c>
      <c r="S93" s="103">
        <f t="shared" si="25"/>
        <v>299.04000000000002</v>
      </c>
      <c r="T93" s="103">
        <f t="shared" si="25"/>
        <v>222.03999999999996</v>
      </c>
      <c r="U93" s="103">
        <f t="shared" si="25"/>
        <v>279.03999999999996</v>
      </c>
      <c r="V93" s="103">
        <f t="shared" si="25"/>
        <v>292.04000000000002</v>
      </c>
      <c r="W93" s="103">
        <f t="shared" si="25"/>
        <v>285.04000000000002</v>
      </c>
      <c r="X93" s="103">
        <f t="shared" si="25"/>
        <v>277.04000000000002</v>
      </c>
      <c r="Y93" s="103">
        <f t="shared" si="25"/>
        <v>273.04000000000002</v>
      </c>
      <c r="Z93" s="103">
        <f t="shared" si="25"/>
        <v>291.04000000000002</v>
      </c>
      <c r="AA93" s="103">
        <f t="shared" si="25"/>
        <v>355.04</v>
      </c>
      <c r="AB93" s="103">
        <f t="shared" si="25"/>
        <v>350.64</v>
      </c>
      <c r="AC93" s="103">
        <f t="shared" si="25"/>
        <v>175.93999999999997</v>
      </c>
      <c r="AD93" s="103">
        <f t="shared" si="25"/>
        <v>341.34000000000003</v>
      </c>
      <c r="AE93" s="103">
        <f t="shared" si="25"/>
        <v>290.64</v>
      </c>
      <c r="AF93" s="103">
        <f t="shared" si="25"/>
        <v>277.44</v>
      </c>
      <c r="AG93" s="104"/>
      <c r="AH93" s="55">
        <f>MAX(C93:AF93)</f>
        <v>355.04</v>
      </c>
      <c r="AI93" s="56">
        <f>MIN(C93:AF93)</f>
        <v>106.83999999999996</v>
      </c>
    </row>
    <row r="94" spans="1:88" x14ac:dyDescent="0.25">
      <c r="A94" s="105" t="s">
        <v>98</v>
      </c>
      <c r="B94" s="106">
        <v>17.600000000000001</v>
      </c>
      <c r="C94" s="106">
        <v>17.3</v>
      </c>
      <c r="D94" s="106">
        <v>15.8</v>
      </c>
      <c r="E94" s="106">
        <v>17.100000000000001</v>
      </c>
      <c r="F94" s="106">
        <v>7.5</v>
      </c>
      <c r="G94" s="106">
        <v>4.0999999999999996</v>
      </c>
      <c r="H94" s="106">
        <v>12.1</v>
      </c>
      <c r="I94" s="106">
        <v>12.9</v>
      </c>
      <c r="J94" s="106">
        <v>17.8</v>
      </c>
      <c r="K94" s="106">
        <v>18</v>
      </c>
      <c r="L94" s="106">
        <v>25.8</v>
      </c>
      <c r="M94" s="106">
        <v>27</v>
      </c>
      <c r="N94" s="106">
        <v>24</v>
      </c>
      <c r="O94" s="106">
        <v>17.8</v>
      </c>
      <c r="P94" s="106">
        <v>19.8</v>
      </c>
      <c r="Q94" s="106">
        <v>24.2</v>
      </c>
      <c r="R94" s="106">
        <v>23.3</v>
      </c>
      <c r="S94" s="106">
        <v>30</v>
      </c>
      <c r="T94" s="106"/>
      <c r="U94" s="106">
        <v>20</v>
      </c>
      <c r="V94" s="106">
        <v>32</v>
      </c>
      <c r="W94" s="106">
        <v>43</v>
      </c>
      <c r="X94" s="106">
        <v>43</v>
      </c>
      <c r="Y94" s="106">
        <v>46</v>
      </c>
      <c r="Z94" s="106">
        <v>40</v>
      </c>
      <c r="AA94" s="106">
        <v>4</v>
      </c>
      <c r="AB94" s="106">
        <v>13.7</v>
      </c>
      <c r="AC94" s="106">
        <v>14</v>
      </c>
      <c r="AD94" s="106">
        <v>17.399999999999999</v>
      </c>
      <c r="AE94" s="106">
        <v>18.2</v>
      </c>
      <c r="AF94" s="106">
        <v>16.399999999999999</v>
      </c>
      <c r="AG94" s="107">
        <v>75</v>
      </c>
      <c r="AH94" s="55">
        <f t="shared" ref="AH94:AH100" si="26">IF(ABS(MAX(C94:AF94))&gt;ABS(MIN(C94:AF94)),MAX(C94:AF94),MIN(C94:AF94))</f>
        <v>46</v>
      </c>
      <c r="AI94" s="108">
        <f t="shared" ref="AI94:AI100" si="27">INDEX($C$9:$AF$9,1,MATCH(AH94,C94:AF94,0))</f>
        <v>0.77083333333333337</v>
      </c>
    </row>
    <row r="95" spans="1:88" x14ac:dyDescent="0.25">
      <c r="A95" s="109" t="s">
        <v>99</v>
      </c>
      <c r="B95" s="110">
        <f>-71.5-72.8+2.2+5.9</f>
        <v>-136.20000000000002</v>
      </c>
      <c r="C95" s="110">
        <f>-72-66.8</f>
        <v>-138.80000000000001</v>
      </c>
      <c r="D95" s="110">
        <f>-72.8-67.6</f>
        <v>-140.39999999999998</v>
      </c>
      <c r="E95" s="110">
        <f>-73.5-67.8</f>
        <v>-141.30000000000001</v>
      </c>
      <c r="F95" s="110">
        <f>-64.5-60.1</f>
        <v>-124.6</v>
      </c>
      <c r="G95" s="110">
        <f>-53-56</f>
        <v>-109</v>
      </c>
      <c r="H95" s="110">
        <f>-55.2-53.1</f>
        <v>-108.30000000000001</v>
      </c>
      <c r="I95" s="110">
        <f>-44.6-48.1</f>
        <v>-92.7</v>
      </c>
      <c r="J95" s="110">
        <f>-42.2-45.8</f>
        <v>-88</v>
      </c>
      <c r="K95" s="110">
        <f>-36.1-38.7</f>
        <v>-74.800000000000011</v>
      </c>
      <c r="L95" s="110">
        <f>-35.6-38.5</f>
        <v>-74.099999999999994</v>
      </c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5">
        <f t="shared" si="26"/>
        <v>-141.30000000000001</v>
      </c>
      <c r="AI95" s="108">
        <f t="shared" si="27"/>
        <v>0.125</v>
      </c>
    </row>
    <row r="96" spans="1:88" x14ac:dyDescent="0.25">
      <c r="A96" s="109" t="s">
        <v>100</v>
      </c>
      <c r="B96" s="110">
        <v>2.4</v>
      </c>
      <c r="C96" s="110">
        <v>-5.6</v>
      </c>
      <c r="D96" s="110">
        <v>-5.9</v>
      </c>
      <c r="E96" s="110">
        <v>-6.9</v>
      </c>
      <c r="F96" s="110">
        <v>-4.2</v>
      </c>
      <c r="G96" s="110">
        <v>-3.2</v>
      </c>
      <c r="H96" s="110">
        <v>1.2</v>
      </c>
      <c r="I96" s="110">
        <v>1.9</v>
      </c>
      <c r="J96" s="110">
        <v>2.4</v>
      </c>
      <c r="K96" s="110">
        <v>8.1</v>
      </c>
      <c r="L96" s="110">
        <v>10</v>
      </c>
      <c r="M96" s="110">
        <v>12.2</v>
      </c>
      <c r="N96" s="110">
        <v>21.7</v>
      </c>
      <c r="O96" s="110">
        <v>38.5</v>
      </c>
      <c r="P96" s="110">
        <v>27.9</v>
      </c>
      <c r="Q96" s="110">
        <v>26.6</v>
      </c>
      <c r="R96" s="110">
        <v>36.9</v>
      </c>
      <c r="S96" s="110">
        <v>47</v>
      </c>
      <c r="T96" s="110"/>
      <c r="U96" s="110">
        <v>37</v>
      </c>
      <c r="V96" s="110">
        <v>38</v>
      </c>
      <c r="W96" s="110">
        <v>20</v>
      </c>
      <c r="X96" s="110">
        <v>20</v>
      </c>
      <c r="Y96" s="110">
        <v>13</v>
      </c>
      <c r="Z96" s="110">
        <v>12</v>
      </c>
      <c r="AA96" s="110">
        <v>37</v>
      </c>
      <c r="AB96" s="110">
        <v>46</v>
      </c>
      <c r="AC96" s="110">
        <f>-78.1-48.7</f>
        <v>-126.8</v>
      </c>
      <c r="AD96" s="110">
        <v>38.4</v>
      </c>
      <c r="AE96" s="110">
        <v>33.4</v>
      </c>
      <c r="AF96" s="110">
        <v>22</v>
      </c>
      <c r="AG96" s="107">
        <v>60</v>
      </c>
      <c r="AH96" s="55">
        <f t="shared" si="26"/>
        <v>-126.8</v>
      </c>
      <c r="AI96" s="108">
        <f t="shared" si="27"/>
        <v>0.85416666666666663</v>
      </c>
    </row>
    <row r="97" spans="1:37" x14ac:dyDescent="0.25">
      <c r="A97" s="111" t="s">
        <v>101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49.6</v>
      </c>
      <c r="O97" s="112">
        <v>23.7</v>
      </c>
      <c r="P97" s="112">
        <v>30</v>
      </c>
      <c r="Q97" s="112">
        <v>7.8</v>
      </c>
      <c r="R97" s="112">
        <v>30.4</v>
      </c>
      <c r="S97" s="112">
        <v>0</v>
      </c>
      <c r="T97" s="112"/>
      <c r="U97" s="112">
        <v>0</v>
      </c>
      <c r="V97" s="112">
        <v>0</v>
      </c>
      <c r="W97" s="112">
        <v>0</v>
      </c>
      <c r="X97" s="112">
        <v>0</v>
      </c>
      <c r="Y97" s="112">
        <v>0</v>
      </c>
      <c r="Z97" s="112">
        <v>0</v>
      </c>
      <c r="AA97" s="112">
        <v>75</v>
      </c>
      <c r="AB97" s="112">
        <v>51.9</v>
      </c>
      <c r="AC97" s="112">
        <v>49.7</v>
      </c>
      <c r="AD97" s="112">
        <v>46.5</v>
      </c>
      <c r="AE97" s="112">
        <v>0</v>
      </c>
      <c r="AF97" s="112">
        <v>0</v>
      </c>
      <c r="AG97" s="113">
        <v>120</v>
      </c>
      <c r="AH97" s="55">
        <f t="shared" si="26"/>
        <v>75</v>
      </c>
      <c r="AI97" s="108">
        <f t="shared" si="27"/>
        <v>0.8125</v>
      </c>
    </row>
    <row r="98" spans="1:37" x14ac:dyDescent="0.25">
      <c r="A98" s="111" t="s">
        <v>102</v>
      </c>
      <c r="B98" s="112">
        <v>40.9</v>
      </c>
      <c r="C98" s="112">
        <v>39</v>
      </c>
      <c r="D98" s="112">
        <v>39.799999999999997</v>
      </c>
      <c r="E98" s="112">
        <v>39.799999999999997</v>
      </c>
      <c r="F98" s="112">
        <v>44.9</v>
      </c>
      <c r="G98" s="112">
        <v>24.4</v>
      </c>
      <c r="H98" s="112">
        <v>48.7</v>
      </c>
      <c r="I98" s="112">
        <v>52.1</v>
      </c>
      <c r="J98" s="112">
        <v>50.5</v>
      </c>
      <c r="K98" s="112">
        <v>55.3</v>
      </c>
      <c r="L98" s="112">
        <v>55.6</v>
      </c>
      <c r="M98" s="112">
        <v>66.900000000000006</v>
      </c>
      <c r="N98" s="112">
        <v>44.4</v>
      </c>
      <c r="O98" s="112">
        <v>24.4</v>
      </c>
      <c r="P98" s="112">
        <v>35.299999999999997</v>
      </c>
      <c r="Q98" s="112">
        <v>21.1</v>
      </c>
      <c r="R98" s="112">
        <v>26</v>
      </c>
      <c r="S98" s="112">
        <v>40</v>
      </c>
      <c r="T98" s="112"/>
      <c r="U98" s="112">
        <v>27</v>
      </c>
      <c r="V98" s="112">
        <v>24</v>
      </c>
      <c r="W98" s="112">
        <v>32</v>
      </c>
      <c r="X98" s="112">
        <v>32</v>
      </c>
      <c r="Y98" s="112">
        <v>42</v>
      </c>
      <c r="Z98" s="112">
        <v>46</v>
      </c>
      <c r="AA98" s="112">
        <v>68</v>
      </c>
      <c r="AB98" s="112">
        <v>47.7</v>
      </c>
      <c r="AC98" s="112">
        <v>40.9</v>
      </c>
      <c r="AD98" s="112">
        <v>44.4</v>
      </c>
      <c r="AE98" s="112">
        <v>36</v>
      </c>
      <c r="AF98" s="112">
        <v>19.3</v>
      </c>
      <c r="AG98" s="113"/>
      <c r="AH98" s="55">
        <f t="shared" si="26"/>
        <v>68</v>
      </c>
      <c r="AI98" s="108">
        <f t="shared" si="27"/>
        <v>0.8125</v>
      </c>
    </row>
    <row r="99" spans="1:37" x14ac:dyDescent="0.25">
      <c r="A99" s="111" t="s">
        <v>253</v>
      </c>
      <c r="B99" s="112">
        <v>22.3</v>
      </c>
      <c r="C99" s="112">
        <v>6.9</v>
      </c>
      <c r="D99" s="112">
        <v>9.1999999999999993</v>
      </c>
      <c r="E99" s="112">
        <v>10.4</v>
      </c>
      <c r="F99" s="112">
        <v>61.1</v>
      </c>
      <c r="G99" s="112">
        <v>68.7</v>
      </c>
      <c r="H99" s="112">
        <v>54.2</v>
      </c>
      <c r="I99" s="112">
        <v>55.4</v>
      </c>
      <c r="J99" s="112">
        <v>33.6</v>
      </c>
      <c r="K99" s="112">
        <v>35.5</v>
      </c>
      <c r="L99" s="112">
        <v>33.1</v>
      </c>
      <c r="M99" s="112">
        <v>33.1</v>
      </c>
      <c r="N99" s="112">
        <v>25.7</v>
      </c>
      <c r="O99" s="112">
        <v>43.8</v>
      </c>
      <c r="P99" s="112">
        <v>37</v>
      </c>
      <c r="Q99" s="112">
        <v>9.1999999999999993</v>
      </c>
      <c r="R99" s="112">
        <v>13.3</v>
      </c>
      <c r="S99" s="112">
        <v>-19</v>
      </c>
      <c r="T99" s="112"/>
      <c r="U99" s="112">
        <v>59</v>
      </c>
      <c r="V99" s="112">
        <v>4</v>
      </c>
      <c r="W99" s="112">
        <v>-50</v>
      </c>
      <c r="X99" s="112">
        <v>-50</v>
      </c>
      <c r="Y99" s="112">
        <v>-53</v>
      </c>
      <c r="Z99" s="112">
        <v>-21</v>
      </c>
      <c r="AA99" s="112">
        <v>63</v>
      </c>
      <c r="AB99" s="112">
        <v>50.8</v>
      </c>
      <c r="AC99" s="112">
        <v>52.5</v>
      </c>
      <c r="AD99" s="112">
        <v>53.4</v>
      </c>
      <c r="AE99" s="112">
        <v>45.8</v>
      </c>
      <c r="AF99" s="112">
        <v>50</v>
      </c>
      <c r="AG99" s="114"/>
      <c r="AH99" s="55">
        <f t="shared" si="26"/>
        <v>68.7</v>
      </c>
      <c r="AI99" s="108">
        <f t="shared" si="27"/>
        <v>0.20833333333333301</v>
      </c>
    </row>
    <row r="100" spans="1:37" ht="15.75" thickBot="1" x14ac:dyDescent="0.3">
      <c r="A100" s="115" t="s">
        <v>259</v>
      </c>
      <c r="B100" s="95">
        <v>64.400000000000006</v>
      </c>
      <c r="C100" s="95">
        <v>70.400000000000006</v>
      </c>
      <c r="D100" s="95">
        <v>65.599999999999994</v>
      </c>
      <c r="E100" s="95">
        <v>66.5</v>
      </c>
      <c r="F100" s="95">
        <v>62.1</v>
      </c>
      <c r="G100" s="95">
        <v>64.599999999999994</v>
      </c>
      <c r="H100" s="95">
        <v>46.8</v>
      </c>
      <c r="I100" s="95">
        <v>63.8</v>
      </c>
      <c r="J100" s="95">
        <v>70.400000000000006</v>
      </c>
      <c r="K100" s="95">
        <v>77.599999999999994</v>
      </c>
      <c r="L100" s="95">
        <v>68.099999999999994</v>
      </c>
      <c r="M100" s="95">
        <v>66.3</v>
      </c>
      <c r="N100" s="95">
        <v>60.1</v>
      </c>
      <c r="O100" s="95">
        <v>45.2</v>
      </c>
      <c r="P100" s="95">
        <v>34.1</v>
      </c>
      <c r="Q100" s="95">
        <v>29</v>
      </c>
      <c r="R100" s="95">
        <v>50.5</v>
      </c>
      <c r="S100" s="95">
        <v>62</v>
      </c>
      <c r="T100" s="95"/>
      <c r="U100" s="95">
        <v>47</v>
      </c>
      <c r="V100" s="95">
        <v>40</v>
      </c>
      <c r="W100" s="95">
        <v>43</v>
      </c>
      <c r="X100" s="95">
        <v>43</v>
      </c>
      <c r="Y100" s="95">
        <v>57</v>
      </c>
      <c r="Z100" s="95">
        <v>76</v>
      </c>
      <c r="AA100" s="95">
        <v>52</v>
      </c>
      <c r="AB100" s="95">
        <v>49.5</v>
      </c>
      <c r="AC100" s="95">
        <v>52.6</v>
      </c>
      <c r="AD100" s="95">
        <v>59.5</v>
      </c>
      <c r="AE100" s="95">
        <v>62.6</v>
      </c>
      <c r="AF100" s="95">
        <v>66.8</v>
      </c>
      <c r="AG100" s="114"/>
      <c r="AH100" s="55">
        <f t="shared" si="26"/>
        <v>77.599999999999994</v>
      </c>
      <c r="AI100" s="108">
        <f t="shared" si="27"/>
        <v>0.29166666666666669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 t="s">
        <v>230</v>
      </c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8">AF102</f>
        <v>9.9</v>
      </c>
      <c r="C102" s="54">
        <v>9.9</v>
      </c>
      <c r="D102" s="121">
        <f t="shared" ref="D102:S107" si="29">C102</f>
        <v>9.9</v>
      </c>
      <c r="E102" s="121">
        <f t="shared" si="29"/>
        <v>9.9</v>
      </c>
      <c r="F102" s="121">
        <f t="shared" si="29"/>
        <v>9.9</v>
      </c>
      <c r="G102" s="121">
        <f t="shared" si="29"/>
        <v>9.9</v>
      </c>
      <c r="H102" s="121">
        <f t="shared" si="29"/>
        <v>9.9</v>
      </c>
      <c r="I102" s="121">
        <f t="shared" si="29"/>
        <v>9.9</v>
      </c>
      <c r="J102" s="121">
        <f t="shared" si="29"/>
        <v>9.9</v>
      </c>
      <c r="K102" s="121">
        <f t="shared" si="29"/>
        <v>9.9</v>
      </c>
      <c r="L102" s="121">
        <f t="shared" si="29"/>
        <v>9.9</v>
      </c>
      <c r="M102" s="121">
        <f t="shared" si="29"/>
        <v>9.9</v>
      </c>
      <c r="N102" s="121">
        <f t="shared" si="29"/>
        <v>9.9</v>
      </c>
      <c r="O102" s="121">
        <f t="shared" si="29"/>
        <v>9.9</v>
      </c>
      <c r="P102" s="121">
        <f t="shared" si="29"/>
        <v>9.9</v>
      </c>
      <c r="Q102" s="121">
        <f t="shared" si="29"/>
        <v>9.9</v>
      </c>
      <c r="R102" s="121">
        <f t="shared" si="29"/>
        <v>9.9</v>
      </c>
      <c r="S102" s="121">
        <f t="shared" si="29"/>
        <v>9.9</v>
      </c>
      <c r="T102" s="121">
        <f t="shared" ref="T102:AF107" si="30">S102</f>
        <v>9.9</v>
      </c>
      <c r="U102" s="121">
        <f t="shared" si="30"/>
        <v>9.9</v>
      </c>
      <c r="V102" s="121">
        <f t="shared" si="30"/>
        <v>9.9</v>
      </c>
      <c r="W102" s="121">
        <f t="shared" si="30"/>
        <v>9.9</v>
      </c>
      <c r="X102" s="121">
        <f t="shared" si="30"/>
        <v>9.9</v>
      </c>
      <c r="Y102" s="121">
        <f t="shared" si="30"/>
        <v>9.9</v>
      </c>
      <c r="Z102" s="121">
        <f t="shared" si="30"/>
        <v>9.9</v>
      </c>
      <c r="AA102" s="121">
        <f t="shared" si="30"/>
        <v>9.9</v>
      </c>
      <c r="AB102" s="121">
        <f t="shared" si="30"/>
        <v>9.9</v>
      </c>
      <c r="AC102" s="121">
        <f t="shared" si="30"/>
        <v>9.9</v>
      </c>
      <c r="AD102" s="121">
        <f t="shared" si="30"/>
        <v>9.9</v>
      </c>
      <c r="AE102" s="121">
        <f t="shared" si="30"/>
        <v>9.9</v>
      </c>
      <c r="AF102" s="121">
        <f t="shared" si="30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8"/>
        <v>9.6</v>
      </c>
      <c r="C103" s="124">
        <v>9.6</v>
      </c>
      <c r="D103" s="123">
        <f t="shared" si="29"/>
        <v>9.6</v>
      </c>
      <c r="E103" s="123">
        <f t="shared" si="29"/>
        <v>9.6</v>
      </c>
      <c r="F103" s="123">
        <f t="shared" si="29"/>
        <v>9.6</v>
      </c>
      <c r="G103" s="123">
        <f t="shared" si="29"/>
        <v>9.6</v>
      </c>
      <c r="H103" s="123">
        <f t="shared" si="29"/>
        <v>9.6</v>
      </c>
      <c r="I103" s="123">
        <f t="shared" si="29"/>
        <v>9.6</v>
      </c>
      <c r="J103" s="123">
        <f t="shared" si="29"/>
        <v>9.6</v>
      </c>
      <c r="K103" s="123">
        <f t="shared" si="29"/>
        <v>9.6</v>
      </c>
      <c r="L103" s="123">
        <f t="shared" si="29"/>
        <v>9.6</v>
      </c>
      <c r="M103" s="123">
        <f t="shared" si="29"/>
        <v>9.6</v>
      </c>
      <c r="N103" s="123">
        <f t="shared" si="29"/>
        <v>9.6</v>
      </c>
      <c r="O103" s="123">
        <f t="shared" si="29"/>
        <v>9.6</v>
      </c>
      <c r="P103" s="123">
        <f t="shared" si="29"/>
        <v>9.6</v>
      </c>
      <c r="Q103" s="123">
        <f t="shared" si="29"/>
        <v>9.6</v>
      </c>
      <c r="R103" s="123">
        <f t="shared" si="29"/>
        <v>9.6</v>
      </c>
      <c r="S103" s="123">
        <f t="shared" si="29"/>
        <v>9.6</v>
      </c>
      <c r="T103" s="123">
        <f t="shared" si="30"/>
        <v>9.6</v>
      </c>
      <c r="U103" s="123">
        <f t="shared" si="30"/>
        <v>9.6</v>
      </c>
      <c r="V103" s="123">
        <f t="shared" si="30"/>
        <v>9.6</v>
      </c>
      <c r="W103" s="123">
        <f t="shared" si="30"/>
        <v>9.6</v>
      </c>
      <c r="X103" s="123">
        <f t="shared" si="30"/>
        <v>9.6</v>
      </c>
      <c r="Y103" s="123">
        <f t="shared" si="30"/>
        <v>9.6</v>
      </c>
      <c r="Z103" s="123">
        <f t="shared" si="30"/>
        <v>9.6</v>
      </c>
      <c r="AA103" s="123">
        <f t="shared" si="30"/>
        <v>9.6</v>
      </c>
      <c r="AB103" s="123">
        <f t="shared" si="30"/>
        <v>9.6</v>
      </c>
      <c r="AC103" s="123">
        <f t="shared" si="30"/>
        <v>9.6</v>
      </c>
      <c r="AD103" s="123">
        <f t="shared" si="30"/>
        <v>9.6</v>
      </c>
      <c r="AE103" s="123">
        <f t="shared" si="30"/>
        <v>9.6</v>
      </c>
      <c r="AF103" s="123">
        <f t="shared" si="30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8"/>
        <v>9.98</v>
      </c>
      <c r="C104" s="124">
        <v>9.98</v>
      </c>
      <c r="D104" s="123">
        <f t="shared" si="29"/>
        <v>9.98</v>
      </c>
      <c r="E104" s="123">
        <f t="shared" si="29"/>
        <v>9.98</v>
      </c>
      <c r="F104" s="123">
        <f t="shared" si="29"/>
        <v>9.98</v>
      </c>
      <c r="G104" s="123">
        <f t="shared" si="29"/>
        <v>9.98</v>
      </c>
      <c r="H104" s="123">
        <f t="shared" si="29"/>
        <v>9.98</v>
      </c>
      <c r="I104" s="123">
        <f t="shared" si="29"/>
        <v>9.98</v>
      </c>
      <c r="J104" s="123">
        <f t="shared" si="29"/>
        <v>9.98</v>
      </c>
      <c r="K104" s="123">
        <f t="shared" si="29"/>
        <v>9.98</v>
      </c>
      <c r="L104" s="123">
        <f t="shared" si="29"/>
        <v>9.98</v>
      </c>
      <c r="M104" s="123">
        <f t="shared" si="29"/>
        <v>9.98</v>
      </c>
      <c r="N104" s="123">
        <f t="shared" si="29"/>
        <v>9.98</v>
      </c>
      <c r="O104" s="123">
        <f t="shared" si="29"/>
        <v>9.98</v>
      </c>
      <c r="P104" s="123">
        <f t="shared" si="29"/>
        <v>9.98</v>
      </c>
      <c r="Q104" s="123">
        <f t="shared" si="29"/>
        <v>9.98</v>
      </c>
      <c r="R104" s="123">
        <f t="shared" si="29"/>
        <v>9.98</v>
      </c>
      <c r="S104" s="123">
        <f t="shared" si="29"/>
        <v>9.98</v>
      </c>
      <c r="T104" s="123">
        <f t="shared" si="30"/>
        <v>9.98</v>
      </c>
      <c r="U104" s="123">
        <f t="shared" si="30"/>
        <v>9.98</v>
      </c>
      <c r="V104" s="123">
        <f t="shared" si="30"/>
        <v>9.98</v>
      </c>
      <c r="W104" s="123">
        <f t="shared" si="30"/>
        <v>9.98</v>
      </c>
      <c r="X104" s="123">
        <f t="shared" si="30"/>
        <v>9.98</v>
      </c>
      <c r="Y104" s="123">
        <f t="shared" si="30"/>
        <v>9.98</v>
      </c>
      <c r="Z104" s="123">
        <f t="shared" si="30"/>
        <v>9.98</v>
      </c>
      <c r="AA104" s="123">
        <f t="shared" si="30"/>
        <v>9.98</v>
      </c>
      <c r="AB104" s="123">
        <f t="shared" si="30"/>
        <v>9.98</v>
      </c>
      <c r="AC104" s="123">
        <f t="shared" si="30"/>
        <v>9.98</v>
      </c>
      <c r="AD104" s="123">
        <f t="shared" si="30"/>
        <v>9.98</v>
      </c>
      <c r="AE104" s="123">
        <f t="shared" si="30"/>
        <v>9.98</v>
      </c>
      <c r="AF104" s="123">
        <f t="shared" si="30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8"/>
        <v>9.1</v>
      </c>
      <c r="C105" s="124">
        <v>9.1</v>
      </c>
      <c r="D105" s="123">
        <f t="shared" si="29"/>
        <v>9.1</v>
      </c>
      <c r="E105" s="123">
        <f t="shared" si="29"/>
        <v>9.1</v>
      </c>
      <c r="F105" s="123">
        <f t="shared" si="29"/>
        <v>9.1</v>
      </c>
      <c r="G105" s="123">
        <f t="shared" si="29"/>
        <v>9.1</v>
      </c>
      <c r="H105" s="123">
        <f t="shared" si="29"/>
        <v>9.1</v>
      </c>
      <c r="I105" s="123">
        <f t="shared" si="29"/>
        <v>9.1</v>
      </c>
      <c r="J105" s="123">
        <f t="shared" si="29"/>
        <v>9.1</v>
      </c>
      <c r="K105" s="123">
        <f t="shared" si="29"/>
        <v>9.1</v>
      </c>
      <c r="L105" s="123">
        <f t="shared" si="29"/>
        <v>9.1</v>
      </c>
      <c r="M105" s="123">
        <f t="shared" si="29"/>
        <v>9.1</v>
      </c>
      <c r="N105" s="123">
        <f t="shared" si="29"/>
        <v>9.1</v>
      </c>
      <c r="O105" s="123">
        <f t="shared" si="29"/>
        <v>9.1</v>
      </c>
      <c r="P105" s="123">
        <f t="shared" si="29"/>
        <v>9.1</v>
      </c>
      <c r="Q105" s="123">
        <f t="shared" si="29"/>
        <v>9.1</v>
      </c>
      <c r="R105" s="123">
        <f t="shared" si="29"/>
        <v>9.1</v>
      </c>
      <c r="S105" s="123">
        <f t="shared" si="29"/>
        <v>9.1</v>
      </c>
      <c r="T105" s="123">
        <f t="shared" si="30"/>
        <v>9.1</v>
      </c>
      <c r="U105" s="123">
        <f t="shared" si="30"/>
        <v>9.1</v>
      </c>
      <c r="V105" s="123">
        <f t="shared" si="30"/>
        <v>9.1</v>
      </c>
      <c r="W105" s="123">
        <f t="shared" si="30"/>
        <v>9.1</v>
      </c>
      <c r="X105" s="123">
        <f t="shared" si="30"/>
        <v>9.1</v>
      </c>
      <c r="Y105" s="123">
        <f t="shared" si="30"/>
        <v>9.1</v>
      </c>
      <c r="Z105" s="123">
        <f t="shared" si="30"/>
        <v>9.1</v>
      </c>
      <c r="AA105" s="123">
        <f t="shared" si="30"/>
        <v>9.1</v>
      </c>
      <c r="AB105" s="123">
        <f t="shared" si="30"/>
        <v>9.1</v>
      </c>
      <c r="AC105" s="123">
        <f t="shared" si="30"/>
        <v>9.1</v>
      </c>
      <c r="AD105" s="123">
        <f t="shared" si="30"/>
        <v>9.1</v>
      </c>
      <c r="AE105" s="123">
        <f t="shared" si="30"/>
        <v>9.1</v>
      </c>
      <c r="AF105" s="123">
        <f t="shared" si="30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8"/>
        <v>9.18</v>
      </c>
      <c r="C106" s="124">
        <v>9.18</v>
      </c>
      <c r="D106" s="123">
        <f t="shared" si="29"/>
        <v>9.18</v>
      </c>
      <c r="E106" s="123">
        <f t="shared" si="29"/>
        <v>9.18</v>
      </c>
      <c r="F106" s="123">
        <f t="shared" si="29"/>
        <v>9.18</v>
      </c>
      <c r="G106" s="123">
        <f t="shared" si="29"/>
        <v>9.18</v>
      </c>
      <c r="H106" s="123">
        <f t="shared" si="29"/>
        <v>9.18</v>
      </c>
      <c r="I106" s="123">
        <f t="shared" si="29"/>
        <v>9.18</v>
      </c>
      <c r="J106" s="123">
        <f t="shared" si="29"/>
        <v>9.18</v>
      </c>
      <c r="K106" s="123">
        <f t="shared" si="29"/>
        <v>9.18</v>
      </c>
      <c r="L106" s="123">
        <f t="shared" si="29"/>
        <v>9.18</v>
      </c>
      <c r="M106" s="123">
        <f t="shared" si="29"/>
        <v>9.18</v>
      </c>
      <c r="N106" s="123">
        <f t="shared" si="29"/>
        <v>9.18</v>
      </c>
      <c r="O106" s="123">
        <f t="shared" si="29"/>
        <v>9.18</v>
      </c>
      <c r="P106" s="123">
        <f t="shared" si="29"/>
        <v>9.18</v>
      </c>
      <c r="Q106" s="123">
        <f t="shared" si="29"/>
        <v>9.18</v>
      </c>
      <c r="R106" s="123">
        <f t="shared" si="29"/>
        <v>9.18</v>
      </c>
      <c r="S106" s="123">
        <f t="shared" si="29"/>
        <v>9.18</v>
      </c>
      <c r="T106" s="123">
        <f t="shared" si="30"/>
        <v>9.18</v>
      </c>
      <c r="U106" s="123">
        <f t="shared" si="30"/>
        <v>9.18</v>
      </c>
      <c r="V106" s="123">
        <f t="shared" si="30"/>
        <v>9.18</v>
      </c>
      <c r="W106" s="123">
        <f t="shared" si="30"/>
        <v>9.18</v>
      </c>
      <c r="X106" s="123">
        <f t="shared" si="30"/>
        <v>9.18</v>
      </c>
      <c r="Y106" s="123">
        <f t="shared" si="30"/>
        <v>9.18</v>
      </c>
      <c r="Z106" s="123">
        <f t="shared" si="30"/>
        <v>9.18</v>
      </c>
      <c r="AA106" s="123">
        <f t="shared" si="30"/>
        <v>9.18</v>
      </c>
      <c r="AB106" s="123">
        <f t="shared" si="30"/>
        <v>9.18</v>
      </c>
      <c r="AC106" s="123">
        <f t="shared" si="30"/>
        <v>9.18</v>
      </c>
      <c r="AD106" s="123">
        <f t="shared" si="30"/>
        <v>9.18</v>
      </c>
      <c r="AE106" s="123">
        <f t="shared" si="30"/>
        <v>9.18</v>
      </c>
      <c r="AF106" s="123">
        <f t="shared" si="30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8"/>
        <v>7</v>
      </c>
      <c r="C107" s="124">
        <v>7</v>
      </c>
      <c r="D107" s="123">
        <f t="shared" si="29"/>
        <v>7</v>
      </c>
      <c r="E107" s="123">
        <f t="shared" si="29"/>
        <v>7</v>
      </c>
      <c r="F107" s="123">
        <f t="shared" si="29"/>
        <v>7</v>
      </c>
      <c r="G107" s="123">
        <f t="shared" si="29"/>
        <v>7</v>
      </c>
      <c r="H107" s="123">
        <f t="shared" si="29"/>
        <v>7</v>
      </c>
      <c r="I107" s="123">
        <f t="shared" si="29"/>
        <v>7</v>
      </c>
      <c r="J107" s="123">
        <f t="shared" si="29"/>
        <v>7</v>
      </c>
      <c r="K107" s="123">
        <f t="shared" si="29"/>
        <v>7</v>
      </c>
      <c r="L107" s="123">
        <f t="shared" si="29"/>
        <v>7</v>
      </c>
      <c r="M107" s="123">
        <f t="shared" si="29"/>
        <v>7</v>
      </c>
      <c r="N107" s="123">
        <f t="shared" si="29"/>
        <v>7</v>
      </c>
      <c r="O107" s="123">
        <f t="shared" si="29"/>
        <v>7</v>
      </c>
      <c r="P107" s="123">
        <f t="shared" si="29"/>
        <v>7</v>
      </c>
      <c r="Q107" s="123">
        <f t="shared" si="29"/>
        <v>7</v>
      </c>
      <c r="R107" s="123">
        <f t="shared" si="29"/>
        <v>7</v>
      </c>
      <c r="S107" s="123">
        <f t="shared" si="29"/>
        <v>7</v>
      </c>
      <c r="T107" s="123">
        <f t="shared" si="30"/>
        <v>7</v>
      </c>
      <c r="U107" s="123">
        <f t="shared" si="30"/>
        <v>7</v>
      </c>
      <c r="V107" s="123">
        <f t="shared" si="30"/>
        <v>7</v>
      </c>
      <c r="W107" s="123">
        <f t="shared" si="30"/>
        <v>7</v>
      </c>
      <c r="X107" s="123">
        <f t="shared" si="30"/>
        <v>7</v>
      </c>
      <c r="Y107" s="123">
        <f t="shared" si="30"/>
        <v>7</v>
      </c>
      <c r="Z107" s="123">
        <f t="shared" si="30"/>
        <v>7</v>
      </c>
      <c r="AA107" s="123">
        <f t="shared" si="30"/>
        <v>7</v>
      </c>
      <c r="AB107" s="123">
        <f t="shared" si="30"/>
        <v>7</v>
      </c>
      <c r="AC107" s="123">
        <f t="shared" si="30"/>
        <v>7</v>
      </c>
      <c r="AD107" s="123">
        <f t="shared" si="30"/>
        <v>7</v>
      </c>
      <c r="AE107" s="123">
        <f t="shared" si="30"/>
        <v>7</v>
      </c>
      <c r="AF107" s="123">
        <f t="shared" si="30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1">C109</f>
        <v>2.25</v>
      </c>
      <c r="E109" s="123">
        <f t="shared" si="31"/>
        <v>2.25</v>
      </c>
      <c r="F109" s="123">
        <f t="shared" si="31"/>
        <v>2.25</v>
      </c>
      <c r="G109" s="123">
        <f t="shared" si="31"/>
        <v>2.25</v>
      </c>
      <c r="H109" s="123">
        <f t="shared" si="31"/>
        <v>2.25</v>
      </c>
      <c r="I109" s="123">
        <f t="shared" si="31"/>
        <v>2.25</v>
      </c>
      <c r="J109" s="123">
        <f t="shared" si="31"/>
        <v>2.25</v>
      </c>
      <c r="K109" s="123">
        <f t="shared" si="31"/>
        <v>2.25</v>
      </c>
      <c r="L109" s="123">
        <f t="shared" si="31"/>
        <v>2.25</v>
      </c>
      <c r="M109" s="123">
        <f t="shared" si="31"/>
        <v>2.25</v>
      </c>
      <c r="N109" s="123">
        <f t="shared" si="31"/>
        <v>2.25</v>
      </c>
      <c r="O109" s="123">
        <f t="shared" si="31"/>
        <v>2.25</v>
      </c>
      <c r="P109" s="123">
        <f t="shared" si="31"/>
        <v>2.25</v>
      </c>
      <c r="Q109" s="123">
        <f t="shared" si="31"/>
        <v>2.25</v>
      </c>
      <c r="R109" s="123">
        <f t="shared" si="31"/>
        <v>2.25</v>
      </c>
      <c r="S109" s="123">
        <f t="shared" si="31"/>
        <v>2.25</v>
      </c>
      <c r="T109" s="123">
        <f t="shared" ref="T109:AF110" si="32">S109</f>
        <v>2.25</v>
      </c>
      <c r="U109" s="123">
        <f t="shared" si="32"/>
        <v>2.25</v>
      </c>
      <c r="V109" s="123">
        <f t="shared" si="32"/>
        <v>2.25</v>
      </c>
      <c r="W109" s="123">
        <f t="shared" si="32"/>
        <v>2.25</v>
      </c>
      <c r="X109" s="123">
        <f t="shared" si="32"/>
        <v>2.25</v>
      </c>
      <c r="Y109" s="123">
        <f t="shared" si="32"/>
        <v>2.25</v>
      </c>
      <c r="Z109" s="123">
        <f t="shared" si="32"/>
        <v>2.25</v>
      </c>
      <c r="AA109" s="123">
        <f t="shared" si="32"/>
        <v>2.25</v>
      </c>
      <c r="AB109" s="123">
        <f t="shared" si="32"/>
        <v>2.25</v>
      </c>
      <c r="AC109" s="123">
        <f t="shared" si="32"/>
        <v>2.25</v>
      </c>
      <c r="AD109" s="123">
        <f t="shared" si="32"/>
        <v>2.25</v>
      </c>
      <c r="AE109" s="123">
        <f t="shared" si="32"/>
        <v>2.25</v>
      </c>
      <c r="AF109" s="123">
        <f t="shared" si="32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1"/>
        <v>1.64</v>
      </c>
      <c r="E110" s="123">
        <f t="shared" si="31"/>
        <v>1.64</v>
      </c>
      <c r="F110" s="123">
        <f t="shared" si="31"/>
        <v>1.64</v>
      </c>
      <c r="G110" s="123">
        <f t="shared" si="31"/>
        <v>1.64</v>
      </c>
      <c r="H110" s="123">
        <f t="shared" si="31"/>
        <v>1.64</v>
      </c>
      <c r="I110" s="123">
        <f t="shared" si="31"/>
        <v>1.64</v>
      </c>
      <c r="J110" s="123">
        <f t="shared" si="31"/>
        <v>1.64</v>
      </c>
      <c r="K110" s="123">
        <f t="shared" si="31"/>
        <v>1.64</v>
      </c>
      <c r="L110" s="123">
        <f t="shared" si="31"/>
        <v>1.64</v>
      </c>
      <c r="M110" s="123">
        <f t="shared" si="31"/>
        <v>1.64</v>
      </c>
      <c r="N110" s="123">
        <f t="shared" si="31"/>
        <v>1.64</v>
      </c>
      <c r="O110" s="123">
        <f t="shared" si="31"/>
        <v>1.64</v>
      </c>
      <c r="P110" s="123">
        <f t="shared" si="31"/>
        <v>1.64</v>
      </c>
      <c r="Q110" s="123">
        <f t="shared" si="31"/>
        <v>1.64</v>
      </c>
      <c r="R110" s="123">
        <f t="shared" si="31"/>
        <v>1.64</v>
      </c>
      <c r="S110" s="123">
        <f t="shared" si="31"/>
        <v>1.64</v>
      </c>
      <c r="T110" s="123">
        <f t="shared" si="32"/>
        <v>1.64</v>
      </c>
      <c r="U110" s="123">
        <f t="shared" si="32"/>
        <v>1.64</v>
      </c>
      <c r="V110" s="123">
        <f t="shared" si="32"/>
        <v>1.64</v>
      </c>
      <c r="W110" s="123">
        <f t="shared" si="32"/>
        <v>1.64</v>
      </c>
      <c r="X110" s="123">
        <f t="shared" si="32"/>
        <v>1.64</v>
      </c>
      <c r="Y110" s="123">
        <f t="shared" si="32"/>
        <v>1.64</v>
      </c>
      <c r="Z110" s="123">
        <f t="shared" si="32"/>
        <v>1.64</v>
      </c>
      <c r="AA110" s="123">
        <f t="shared" si="32"/>
        <v>1.64</v>
      </c>
      <c r="AB110" s="123">
        <f t="shared" si="32"/>
        <v>1.64</v>
      </c>
      <c r="AC110" s="123">
        <f t="shared" si="32"/>
        <v>1.64</v>
      </c>
      <c r="AD110" s="123">
        <f t="shared" si="32"/>
        <v>1.64</v>
      </c>
      <c r="AE110" s="123">
        <f t="shared" si="32"/>
        <v>1.64</v>
      </c>
      <c r="AF110" s="123">
        <f t="shared" si="32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3">AF112</f>
        <v>1.62</v>
      </c>
      <c r="C112" s="124">
        <v>1.62</v>
      </c>
      <c r="D112" s="123">
        <f t="shared" ref="D112:S119" si="34">C112</f>
        <v>1.62</v>
      </c>
      <c r="E112" s="123">
        <f t="shared" si="34"/>
        <v>1.62</v>
      </c>
      <c r="F112" s="123">
        <f t="shared" si="34"/>
        <v>1.62</v>
      </c>
      <c r="G112" s="123">
        <f t="shared" si="34"/>
        <v>1.62</v>
      </c>
      <c r="H112" s="123">
        <f t="shared" si="34"/>
        <v>1.62</v>
      </c>
      <c r="I112" s="123">
        <f t="shared" si="34"/>
        <v>1.62</v>
      </c>
      <c r="J112" s="123">
        <f t="shared" si="34"/>
        <v>1.62</v>
      </c>
      <c r="K112" s="123">
        <f t="shared" si="34"/>
        <v>1.62</v>
      </c>
      <c r="L112" s="123">
        <f t="shared" si="34"/>
        <v>1.62</v>
      </c>
      <c r="M112" s="123">
        <f t="shared" si="34"/>
        <v>1.62</v>
      </c>
      <c r="N112" s="123">
        <f t="shared" si="34"/>
        <v>1.62</v>
      </c>
      <c r="O112" s="123">
        <f t="shared" si="34"/>
        <v>1.62</v>
      </c>
      <c r="P112" s="123">
        <f t="shared" si="34"/>
        <v>1.62</v>
      </c>
      <c r="Q112" s="123">
        <f t="shared" si="34"/>
        <v>1.62</v>
      </c>
      <c r="R112" s="123">
        <f t="shared" si="34"/>
        <v>1.62</v>
      </c>
      <c r="S112" s="123">
        <f t="shared" si="34"/>
        <v>1.62</v>
      </c>
      <c r="T112" s="123">
        <f t="shared" ref="T112:AF127" si="35">S112</f>
        <v>1.62</v>
      </c>
      <c r="U112" s="123">
        <f t="shared" si="35"/>
        <v>1.62</v>
      </c>
      <c r="V112" s="123">
        <f t="shared" si="35"/>
        <v>1.62</v>
      </c>
      <c r="W112" s="123">
        <f t="shared" si="35"/>
        <v>1.62</v>
      </c>
      <c r="X112" s="123">
        <f t="shared" si="35"/>
        <v>1.62</v>
      </c>
      <c r="Y112" s="123">
        <f t="shared" si="35"/>
        <v>1.62</v>
      </c>
      <c r="Z112" s="123">
        <f t="shared" si="35"/>
        <v>1.62</v>
      </c>
      <c r="AA112" s="123">
        <f t="shared" si="35"/>
        <v>1.62</v>
      </c>
      <c r="AB112" s="123">
        <f t="shared" si="35"/>
        <v>1.62</v>
      </c>
      <c r="AC112" s="123">
        <f t="shared" si="35"/>
        <v>1.62</v>
      </c>
      <c r="AD112" s="123">
        <f t="shared" si="35"/>
        <v>1.62</v>
      </c>
      <c r="AE112" s="123">
        <f t="shared" si="35"/>
        <v>1.62</v>
      </c>
      <c r="AF112" s="123">
        <f t="shared" si="35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3"/>
        <v>8.36</v>
      </c>
      <c r="C113" s="124">
        <v>8.36</v>
      </c>
      <c r="D113" s="123">
        <f t="shared" si="34"/>
        <v>8.36</v>
      </c>
      <c r="E113" s="123">
        <f t="shared" si="34"/>
        <v>8.36</v>
      </c>
      <c r="F113" s="123">
        <f t="shared" si="34"/>
        <v>8.36</v>
      </c>
      <c r="G113" s="123">
        <f t="shared" si="34"/>
        <v>8.36</v>
      </c>
      <c r="H113" s="123">
        <f t="shared" si="34"/>
        <v>8.36</v>
      </c>
      <c r="I113" s="123">
        <f t="shared" si="34"/>
        <v>8.36</v>
      </c>
      <c r="J113" s="123">
        <f t="shared" si="34"/>
        <v>8.36</v>
      </c>
      <c r="K113" s="123">
        <f t="shared" si="34"/>
        <v>8.36</v>
      </c>
      <c r="L113" s="123">
        <f t="shared" si="34"/>
        <v>8.36</v>
      </c>
      <c r="M113" s="123">
        <f t="shared" si="34"/>
        <v>8.36</v>
      </c>
      <c r="N113" s="123">
        <f t="shared" si="34"/>
        <v>8.36</v>
      </c>
      <c r="O113" s="123">
        <f t="shared" si="34"/>
        <v>8.36</v>
      </c>
      <c r="P113" s="123">
        <f t="shared" si="34"/>
        <v>8.36</v>
      </c>
      <c r="Q113" s="123">
        <f t="shared" si="34"/>
        <v>8.36</v>
      </c>
      <c r="R113" s="123">
        <f t="shared" si="34"/>
        <v>8.36</v>
      </c>
      <c r="S113" s="123">
        <f t="shared" si="34"/>
        <v>8.36</v>
      </c>
      <c r="T113" s="123">
        <f t="shared" si="35"/>
        <v>8.36</v>
      </c>
      <c r="U113" s="123">
        <f t="shared" si="35"/>
        <v>8.36</v>
      </c>
      <c r="V113" s="123">
        <f t="shared" si="35"/>
        <v>8.36</v>
      </c>
      <c r="W113" s="123">
        <f t="shared" si="35"/>
        <v>8.36</v>
      </c>
      <c r="X113" s="123">
        <f t="shared" si="35"/>
        <v>8.36</v>
      </c>
      <c r="Y113" s="123">
        <f t="shared" si="35"/>
        <v>8.36</v>
      </c>
      <c r="Z113" s="123">
        <f t="shared" si="35"/>
        <v>8.36</v>
      </c>
      <c r="AA113" s="123">
        <f t="shared" si="35"/>
        <v>8.36</v>
      </c>
      <c r="AB113" s="123">
        <f t="shared" si="35"/>
        <v>8.36</v>
      </c>
      <c r="AC113" s="123">
        <f t="shared" si="35"/>
        <v>8.36</v>
      </c>
      <c r="AD113" s="123">
        <f t="shared" si="35"/>
        <v>8.36</v>
      </c>
      <c r="AE113" s="123">
        <f t="shared" si="35"/>
        <v>8.36</v>
      </c>
      <c r="AF113" s="123">
        <f t="shared" si="35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3"/>
        <v>5.4</v>
      </c>
      <c r="C114" s="124">
        <v>8</v>
      </c>
      <c r="D114" s="123">
        <f t="shared" si="34"/>
        <v>8</v>
      </c>
      <c r="E114" s="123">
        <f t="shared" si="34"/>
        <v>8</v>
      </c>
      <c r="F114" s="123">
        <f t="shared" si="34"/>
        <v>8</v>
      </c>
      <c r="G114" s="123">
        <f t="shared" si="34"/>
        <v>8</v>
      </c>
      <c r="H114" s="123">
        <f t="shared" si="34"/>
        <v>8</v>
      </c>
      <c r="I114" s="123">
        <f t="shared" si="34"/>
        <v>8</v>
      </c>
      <c r="J114" s="123">
        <v>5.4</v>
      </c>
      <c r="K114" s="123">
        <f t="shared" si="34"/>
        <v>5.4</v>
      </c>
      <c r="L114" s="123">
        <f t="shared" si="34"/>
        <v>5.4</v>
      </c>
      <c r="M114" s="123">
        <f t="shared" si="34"/>
        <v>5.4</v>
      </c>
      <c r="N114" s="123">
        <f t="shared" si="34"/>
        <v>5.4</v>
      </c>
      <c r="O114" s="123">
        <f t="shared" si="34"/>
        <v>5.4</v>
      </c>
      <c r="P114" s="123">
        <f t="shared" si="34"/>
        <v>5.4</v>
      </c>
      <c r="Q114" s="123">
        <f t="shared" si="34"/>
        <v>5.4</v>
      </c>
      <c r="R114" s="123">
        <f t="shared" si="34"/>
        <v>5.4</v>
      </c>
      <c r="S114" s="123">
        <f t="shared" si="34"/>
        <v>5.4</v>
      </c>
      <c r="T114" s="123">
        <f t="shared" si="35"/>
        <v>5.4</v>
      </c>
      <c r="U114" s="123">
        <f t="shared" si="35"/>
        <v>5.4</v>
      </c>
      <c r="V114" s="123">
        <f t="shared" si="35"/>
        <v>5.4</v>
      </c>
      <c r="W114" s="123">
        <f t="shared" si="35"/>
        <v>5.4</v>
      </c>
      <c r="X114" s="123">
        <f t="shared" si="35"/>
        <v>5.4</v>
      </c>
      <c r="Y114" s="123">
        <f t="shared" si="35"/>
        <v>5.4</v>
      </c>
      <c r="Z114" s="123">
        <f t="shared" si="35"/>
        <v>5.4</v>
      </c>
      <c r="AA114" s="123">
        <f t="shared" si="35"/>
        <v>5.4</v>
      </c>
      <c r="AB114" s="123">
        <f t="shared" si="35"/>
        <v>5.4</v>
      </c>
      <c r="AC114" s="123">
        <f t="shared" si="35"/>
        <v>5.4</v>
      </c>
      <c r="AD114" s="123">
        <f t="shared" si="35"/>
        <v>5.4</v>
      </c>
      <c r="AE114" s="123">
        <f t="shared" si="35"/>
        <v>5.4</v>
      </c>
      <c r="AF114" s="123">
        <f t="shared" si="35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3"/>
        <v>6.57</v>
      </c>
      <c r="C115" s="124">
        <v>6.57</v>
      </c>
      <c r="D115" s="123">
        <f t="shared" si="34"/>
        <v>6.57</v>
      </c>
      <c r="E115" s="123">
        <f t="shared" si="34"/>
        <v>6.57</v>
      </c>
      <c r="F115" s="123">
        <f t="shared" si="34"/>
        <v>6.57</v>
      </c>
      <c r="G115" s="123">
        <f t="shared" si="34"/>
        <v>6.57</v>
      </c>
      <c r="H115" s="123">
        <f t="shared" si="34"/>
        <v>6.57</v>
      </c>
      <c r="I115" s="123">
        <f t="shared" si="34"/>
        <v>6.57</v>
      </c>
      <c r="J115" s="123">
        <f t="shared" si="34"/>
        <v>6.57</v>
      </c>
      <c r="K115" s="123">
        <f t="shared" si="34"/>
        <v>6.57</v>
      </c>
      <c r="L115" s="123">
        <f t="shared" si="34"/>
        <v>6.57</v>
      </c>
      <c r="M115" s="123">
        <f t="shared" si="34"/>
        <v>6.57</v>
      </c>
      <c r="N115" s="123">
        <f t="shared" si="34"/>
        <v>6.57</v>
      </c>
      <c r="O115" s="123">
        <f t="shared" si="34"/>
        <v>6.57</v>
      </c>
      <c r="P115" s="123">
        <f t="shared" si="34"/>
        <v>6.57</v>
      </c>
      <c r="Q115" s="123">
        <f t="shared" si="34"/>
        <v>6.57</v>
      </c>
      <c r="R115" s="123">
        <f t="shared" si="34"/>
        <v>6.57</v>
      </c>
      <c r="S115" s="123">
        <f t="shared" si="34"/>
        <v>6.57</v>
      </c>
      <c r="T115" s="123">
        <f t="shared" si="35"/>
        <v>6.57</v>
      </c>
      <c r="U115" s="123">
        <f t="shared" si="35"/>
        <v>6.57</v>
      </c>
      <c r="V115" s="123">
        <f t="shared" si="35"/>
        <v>6.57</v>
      </c>
      <c r="W115" s="123">
        <f t="shared" si="35"/>
        <v>6.57</v>
      </c>
      <c r="X115" s="123">
        <f t="shared" si="35"/>
        <v>6.57</v>
      </c>
      <c r="Y115" s="123">
        <f t="shared" si="35"/>
        <v>6.57</v>
      </c>
      <c r="Z115" s="123">
        <f t="shared" si="35"/>
        <v>6.57</v>
      </c>
      <c r="AA115" s="123">
        <f t="shared" si="35"/>
        <v>6.57</v>
      </c>
      <c r="AB115" s="123">
        <f t="shared" si="35"/>
        <v>6.57</v>
      </c>
      <c r="AC115" s="123">
        <f t="shared" si="35"/>
        <v>6.57</v>
      </c>
      <c r="AD115" s="123">
        <f t="shared" si="35"/>
        <v>6.57</v>
      </c>
      <c r="AE115" s="123">
        <f t="shared" si="35"/>
        <v>6.57</v>
      </c>
      <c r="AF115" s="123">
        <f t="shared" si="35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3"/>
        <v>3.43</v>
      </c>
      <c r="C116" s="124">
        <v>3.43</v>
      </c>
      <c r="D116" s="123">
        <f t="shared" si="34"/>
        <v>3.43</v>
      </c>
      <c r="E116" s="123">
        <f t="shared" si="34"/>
        <v>3.43</v>
      </c>
      <c r="F116" s="123">
        <f t="shared" si="34"/>
        <v>3.43</v>
      </c>
      <c r="G116" s="123">
        <f t="shared" si="34"/>
        <v>3.43</v>
      </c>
      <c r="H116" s="123">
        <f t="shared" si="34"/>
        <v>3.43</v>
      </c>
      <c r="I116" s="123">
        <f t="shared" si="34"/>
        <v>3.43</v>
      </c>
      <c r="J116" s="123">
        <f t="shared" si="34"/>
        <v>3.43</v>
      </c>
      <c r="K116" s="123">
        <f t="shared" si="34"/>
        <v>3.43</v>
      </c>
      <c r="L116" s="123">
        <f t="shared" si="34"/>
        <v>3.43</v>
      </c>
      <c r="M116" s="123">
        <f t="shared" si="34"/>
        <v>3.43</v>
      </c>
      <c r="N116" s="123">
        <f t="shared" si="34"/>
        <v>3.43</v>
      </c>
      <c r="O116" s="123">
        <f t="shared" si="34"/>
        <v>3.43</v>
      </c>
      <c r="P116" s="123">
        <f t="shared" si="34"/>
        <v>3.43</v>
      </c>
      <c r="Q116" s="123">
        <f t="shared" si="34"/>
        <v>3.43</v>
      </c>
      <c r="R116" s="123">
        <f t="shared" si="34"/>
        <v>3.43</v>
      </c>
      <c r="S116" s="123">
        <f t="shared" si="34"/>
        <v>3.43</v>
      </c>
      <c r="T116" s="123">
        <f t="shared" si="35"/>
        <v>3.43</v>
      </c>
      <c r="U116" s="123">
        <f t="shared" si="35"/>
        <v>3.43</v>
      </c>
      <c r="V116" s="123">
        <f t="shared" si="35"/>
        <v>3.43</v>
      </c>
      <c r="W116" s="123">
        <f t="shared" si="35"/>
        <v>3.43</v>
      </c>
      <c r="X116" s="123">
        <f t="shared" si="35"/>
        <v>3.43</v>
      </c>
      <c r="Y116" s="123">
        <f t="shared" si="35"/>
        <v>3.43</v>
      </c>
      <c r="Z116" s="123">
        <f t="shared" si="35"/>
        <v>3.43</v>
      </c>
      <c r="AA116" s="123">
        <f t="shared" si="35"/>
        <v>3.43</v>
      </c>
      <c r="AB116" s="123">
        <f t="shared" si="35"/>
        <v>3.43</v>
      </c>
      <c r="AC116" s="123">
        <f t="shared" si="35"/>
        <v>3.43</v>
      </c>
      <c r="AD116" s="123">
        <f t="shared" si="35"/>
        <v>3.43</v>
      </c>
      <c r="AE116" s="123">
        <f t="shared" si="35"/>
        <v>3.43</v>
      </c>
      <c r="AF116" s="123">
        <f t="shared" si="35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3"/>
        <v>2.96</v>
      </c>
      <c r="C117" s="124">
        <v>2.96</v>
      </c>
      <c r="D117" s="123">
        <f t="shared" si="34"/>
        <v>2.96</v>
      </c>
      <c r="E117" s="123">
        <f t="shared" si="34"/>
        <v>2.96</v>
      </c>
      <c r="F117" s="123">
        <f t="shared" si="34"/>
        <v>2.96</v>
      </c>
      <c r="G117" s="123">
        <f t="shared" si="34"/>
        <v>2.96</v>
      </c>
      <c r="H117" s="123">
        <f t="shared" si="34"/>
        <v>2.96</v>
      </c>
      <c r="I117" s="123">
        <f t="shared" si="34"/>
        <v>2.96</v>
      </c>
      <c r="J117" s="123">
        <f t="shared" si="34"/>
        <v>2.96</v>
      </c>
      <c r="K117" s="123">
        <f t="shared" si="34"/>
        <v>2.96</v>
      </c>
      <c r="L117" s="123">
        <f t="shared" si="34"/>
        <v>2.96</v>
      </c>
      <c r="M117" s="123">
        <f t="shared" si="34"/>
        <v>2.96</v>
      </c>
      <c r="N117" s="123">
        <f t="shared" si="34"/>
        <v>2.96</v>
      </c>
      <c r="O117" s="123">
        <f t="shared" si="34"/>
        <v>2.96</v>
      </c>
      <c r="P117" s="123">
        <f t="shared" si="34"/>
        <v>2.96</v>
      </c>
      <c r="Q117" s="123">
        <f t="shared" si="34"/>
        <v>2.96</v>
      </c>
      <c r="R117" s="123">
        <f t="shared" si="34"/>
        <v>2.96</v>
      </c>
      <c r="S117" s="123">
        <f t="shared" si="34"/>
        <v>2.96</v>
      </c>
      <c r="T117" s="123">
        <f t="shared" si="35"/>
        <v>2.96</v>
      </c>
      <c r="U117" s="123">
        <f t="shared" si="35"/>
        <v>2.96</v>
      </c>
      <c r="V117" s="123">
        <f t="shared" si="35"/>
        <v>2.96</v>
      </c>
      <c r="W117" s="123">
        <f t="shared" si="35"/>
        <v>2.96</v>
      </c>
      <c r="X117" s="123">
        <f t="shared" si="35"/>
        <v>2.96</v>
      </c>
      <c r="Y117" s="123">
        <f t="shared" si="35"/>
        <v>2.96</v>
      </c>
      <c r="Z117" s="123">
        <f t="shared" si="35"/>
        <v>2.96</v>
      </c>
      <c r="AA117" s="123">
        <f t="shared" si="35"/>
        <v>2.96</v>
      </c>
      <c r="AB117" s="123">
        <f t="shared" si="35"/>
        <v>2.96</v>
      </c>
      <c r="AC117" s="123">
        <f t="shared" si="35"/>
        <v>2.96</v>
      </c>
      <c r="AD117" s="123">
        <f t="shared" si="35"/>
        <v>2.96</v>
      </c>
      <c r="AE117" s="123">
        <f t="shared" si="35"/>
        <v>2.96</v>
      </c>
      <c r="AF117" s="123">
        <f t="shared" si="35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3"/>
        <v>8</v>
      </c>
      <c r="C118" s="124">
        <v>8</v>
      </c>
      <c r="D118" s="123">
        <f t="shared" si="34"/>
        <v>8</v>
      </c>
      <c r="E118" s="123">
        <f t="shared" si="34"/>
        <v>8</v>
      </c>
      <c r="F118" s="123">
        <f t="shared" si="34"/>
        <v>8</v>
      </c>
      <c r="G118" s="123">
        <f t="shared" si="34"/>
        <v>8</v>
      </c>
      <c r="H118" s="123">
        <f t="shared" si="34"/>
        <v>8</v>
      </c>
      <c r="I118" s="123">
        <f t="shared" si="34"/>
        <v>8</v>
      </c>
      <c r="J118" s="123">
        <f t="shared" si="34"/>
        <v>8</v>
      </c>
      <c r="K118" s="123">
        <f t="shared" si="34"/>
        <v>8</v>
      </c>
      <c r="L118" s="123">
        <f t="shared" si="34"/>
        <v>8</v>
      </c>
      <c r="M118" s="123">
        <f t="shared" si="34"/>
        <v>8</v>
      </c>
      <c r="N118" s="123">
        <f t="shared" si="34"/>
        <v>8</v>
      </c>
      <c r="O118" s="123">
        <f t="shared" si="34"/>
        <v>8</v>
      </c>
      <c r="P118" s="123">
        <f t="shared" si="34"/>
        <v>8</v>
      </c>
      <c r="Q118" s="123">
        <f t="shared" si="34"/>
        <v>8</v>
      </c>
      <c r="R118" s="123">
        <f t="shared" si="34"/>
        <v>8</v>
      </c>
      <c r="S118" s="123">
        <f t="shared" si="34"/>
        <v>8</v>
      </c>
      <c r="T118" s="123">
        <f t="shared" si="35"/>
        <v>8</v>
      </c>
      <c r="U118" s="123">
        <f t="shared" si="35"/>
        <v>8</v>
      </c>
      <c r="V118" s="123">
        <f t="shared" si="35"/>
        <v>8</v>
      </c>
      <c r="W118" s="123">
        <f t="shared" si="35"/>
        <v>8</v>
      </c>
      <c r="X118" s="123">
        <f t="shared" si="35"/>
        <v>8</v>
      </c>
      <c r="Y118" s="123">
        <f t="shared" si="35"/>
        <v>8</v>
      </c>
      <c r="Z118" s="123">
        <f t="shared" si="35"/>
        <v>8</v>
      </c>
      <c r="AA118" s="123">
        <f t="shared" si="35"/>
        <v>8</v>
      </c>
      <c r="AB118" s="123">
        <f t="shared" si="35"/>
        <v>8</v>
      </c>
      <c r="AC118" s="123">
        <f t="shared" si="35"/>
        <v>8</v>
      </c>
      <c r="AD118" s="123">
        <f t="shared" si="35"/>
        <v>8</v>
      </c>
      <c r="AE118" s="123">
        <f t="shared" si="35"/>
        <v>8</v>
      </c>
      <c r="AF118" s="123">
        <f t="shared" si="35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3"/>
        <v>7</v>
      </c>
      <c r="C119" s="124">
        <v>7</v>
      </c>
      <c r="D119" s="123">
        <f>C119</f>
        <v>7</v>
      </c>
      <c r="E119" s="123">
        <f t="shared" si="34"/>
        <v>7</v>
      </c>
      <c r="F119" s="123">
        <f t="shared" si="34"/>
        <v>7</v>
      </c>
      <c r="G119" s="123">
        <f t="shared" si="34"/>
        <v>7</v>
      </c>
      <c r="H119" s="123">
        <f t="shared" si="34"/>
        <v>7</v>
      </c>
      <c r="I119" s="123">
        <f t="shared" si="34"/>
        <v>7</v>
      </c>
      <c r="J119" s="123">
        <f t="shared" si="34"/>
        <v>7</v>
      </c>
      <c r="K119" s="123">
        <f t="shared" si="34"/>
        <v>7</v>
      </c>
      <c r="L119" s="123">
        <f t="shared" si="34"/>
        <v>7</v>
      </c>
      <c r="M119" s="123">
        <f t="shared" si="34"/>
        <v>7</v>
      </c>
      <c r="N119" s="123">
        <f t="shared" si="34"/>
        <v>7</v>
      </c>
      <c r="O119" s="123">
        <f t="shared" si="34"/>
        <v>7</v>
      </c>
      <c r="P119" s="123">
        <f t="shared" si="34"/>
        <v>7</v>
      </c>
      <c r="Q119" s="123">
        <f t="shared" si="34"/>
        <v>7</v>
      </c>
      <c r="R119" s="123">
        <f t="shared" si="34"/>
        <v>7</v>
      </c>
      <c r="S119" s="123">
        <f t="shared" si="34"/>
        <v>7</v>
      </c>
      <c r="T119" s="123">
        <f t="shared" si="35"/>
        <v>7</v>
      </c>
      <c r="U119" s="123">
        <f t="shared" si="35"/>
        <v>7</v>
      </c>
      <c r="V119" s="123">
        <f t="shared" si="35"/>
        <v>7</v>
      </c>
      <c r="W119" s="123">
        <f t="shared" si="35"/>
        <v>7</v>
      </c>
      <c r="X119" s="123">
        <f t="shared" si="35"/>
        <v>7</v>
      </c>
      <c r="Y119" s="123">
        <f t="shared" si="35"/>
        <v>7</v>
      </c>
      <c r="Z119" s="123">
        <f t="shared" si="35"/>
        <v>7</v>
      </c>
      <c r="AA119" s="123">
        <f t="shared" si="35"/>
        <v>7</v>
      </c>
      <c r="AB119" s="123">
        <f t="shared" si="35"/>
        <v>7</v>
      </c>
      <c r="AC119" s="123">
        <f t="shared" si="35"/>
        <v>7</v>
      </c>
      <c r="AD119" s="123">
        <f t="shared" si="35"/>
        <v>7</v>
      </c>
      <c r="AE119" s="123">
        <f t="shared" si="35"/>
        <v>7</v>
      </c>
      <c r="AF119" s="123">
        <f t="shared" si="35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3"/>
        <v>3.47</v>
      </c>
      <c r="C120" s="124">
        <v>3.47</v>
      </c>
      <c r="D120" s="123">
        <f t="shared" ref="D120:S129" si="36">C120</f>
        <v>3.47</v>
      </c>
      <c r="E120" s="123">
        <f t="shared" si="36"/>
        <v>3.47</v>
      </c>
      <c r="F120" s="123">
        <f t="shared" si="36"/>
        <v>3.47</v>
      </c>
      <c r="G120" s="123">
        <f t="shared" si="36"/>
        <v>3.47</v>
      </c>
      <c r="H120" s="123">
        <f t="shared" si="36"/>
        <v>3.47</v>
      </c>
      <c r="I120" s="123">
        <f t="shared" si="36"/>
        <v>3.47</v>
      </c>
      <c r="J120" s="123">
        <f t="shared" si="36"/>
        <v>3.47</v>
      </c>
      <c r="K120" s="123">
        <f t="shared" si="36"/>
        <v>3.47</v>
      </c>
      <c r="L120" s="123">
        <f t="shared" si="36"/>
        <v>3.47</v>
      </c>
      <c r="M120" s="123">
        <f t="shared" si="36"/>
        <v>3.47</v>
      </c>
      <c r="N120" s="123">
        <f t="shared" si="36"/>
        <v>3.47</v>
      </c>
      <c r="O120" s="123">
        <f t="shared" si="36"/>
        <v>3.47</v>
      </c>
      <c r="P120" s="123">
        <f t="shared" si="36"/>
        <v>3.47</v>
      </c>
      <c r="Q120" s="123">
        <f t="shared" si="36"/>
        <v>3.47</v>
      </c>
      <c r="R120" s="123">
        <f t="shared" si="36"/>
        <v>3.47</v>
      </c>
      <c r="S120" s="123">
        <f t="shared" si="36"/>
        <v>3.47</v>
      </c>
      <c r="T120" s="123">
        <f t="shared" si="35"/>
        <v>3.47</v>
      </c>
      <c r="U120" s="123">
        <f t="shared" si="35"/>
        <v>3.47</v>
      </c>
      <c r="V120" s="123">
        <f t="shared" si="35"/>
        <v>3.47</v>
      </c>
      <c r="W120" s="123">
        <f t="shared" si="35"/>
        <v>3.47</v>
      </c>
      <c r="X120" s="123">
        <f t="shared" si="35"/>
        <v>3.47</v>
      </c>
      <c r="Y120" s="123">
        <f t="shared" si="35"/>
        <v>3.47</v>
      </c>
      <c r="Z120" s="123">
        <f t="shared" si="35"/>
        <v>3.47</v>
      </c>
      <c r="AA120" s="123">
        <f t="shared" si="35"/>
        <v>3.47</v>
      </c>
      <c r="AB120" s="123">
        <f t="shared" si="35"/>
        <v>3.47</v>
      </c>
      <c r="AC120" s="123">
        <f t="shared" si="35"/>
        <v>3.47</v>
      </c>
      <c r="AD120" s="123">
        <f t="shared" si="35"/>
        <v>3.47</v>
      </c>
      <c r="AE120" s="123">
        <f t="shared" si="35"/>
        <v>3.47</v>
      </c>
      <c r="AF120" s="123">
        <f t="shared" si="35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3"/>
        <v>2.1</v>
      </c>
      <c r="C121" s="124">
        <v>2.1</v>
      </c>
      <c r="D121" s="123">
        <f t="shared" si="36"/>
        <v>2.1</v>
      </c>
      <c r="E121" s="123">
        <f t="shared" si="36"/>
        <v>2.1</v>
      </c>
      <c r="F121" s="123">
        <f t="shared" si="36"/>
        <v>2.1</v>
      </c>
      <c r="G121" s="123">
        <f t="shared" si="36"/>
        <v>2.1</v>
      </c>
      <c r="H121" s="123">
        <f t="shared" si="36"/>
        <v>2.1</v>
      </c>
      <c r="I121" s="123">
        <f t="shared" si="36"/>
        <v>2.1</v>
      </c>
      <c r="J121" s="123">
        <f t="shared" si="36"/>
        <v>2.1</v>
      </c>
      <c r="K121" s="123">
        <f t="shared" si="36"/>
        <v>2.1</v>
      </c>
      <c r="L121" s="123">
        <f t="shared" si="36"/>
        <v>2.1</v>
      </c>
      <c r="M121" s="123">
        <f t="shared" si="36"/>
        <v>2.1</v>
      </c>
      <c r="N121" s="123">
        <f t="shared" si="36"/>
        <v>2.1</v>
      </c>
      <c r="O121" s="123">
        <f t="shared" si="36"/>
        <v>2.1</v>
      </c>
      <c r="P121" s="123">
        <f t="shared" si="36"/>
        <v>2.1</v>
      </c>
      <c r="Q121" s="123">
        <f t="shared" si="36"/>
        <v>2.1</v>
      </c>
      <c r="R121" s="123">
        <f t="shared" si="36"/>
        <v>2.1</v>
      </c>
      <c r="S121" s="123">
        <f t="shared" si="36"/>
        <v>2.1</v>
      </c>
      <c r="T121" s="123">
        <f t="shared" si="35"/>
        <v>2.1</v>
      </c>
      <c r="U121" s="123">
        <f t="shared" si="35"/>
        <v>2.1</v>
      </c>
      <c r="V121" s="123">
        <f t="shared" si="35"/>
        <v>2.1</v>
      </c>
      <c r="W121" s="123">
        <f t="shared" si="35"/>
        <v>2.1</v>
      </c>
      <c r="X121" s="123">
        <f t="shared" si="35"/>
        <v>2.1</v>
      </c>
      <c r="Y121" s="123">
        <f t="shared" si="35"/>
        <v>2.1</v>
      </c>
      <c r="Z121" s="123">
        <f t="shared" si="35"/>
        <v>2.1</v>
      </c>
      <c r="AA121" s="123">
        <f t="shared" si="35"/>
        <v>2.1</v>
      </c>
      <c r="AB121" s="123">
        <f t="shared" si="35"/>
        <v>2.1</v>
      </c>
      <c r="AC121" s="123">
        <f t="shared" si="35"/>
        <v>2.1</v>
      </c>
      <c r="AD121" s="123">
        <f t="shared" si="35"/>
        <v>2.1</v>
      </c>
      <c r="AE121" s="123">
        <f t="shared" si="35"/>
        <v>2.1</v>
      </c>
      <c r="AF121" s="123">
        <f t="shared" si="35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3"/>
        <v>9.3000000000000007</v>
      </c>
      <c r="C122" s="124">
        <v>9.3000000000000007</v>
      </c>
      <c r="D122" s="123">
        <f t="shared" si="36"/>
        <v>9.3000000000000007</v>
      </c>
      <c r="E122" s="123">
        <f t="shared" si="36"/>
        <v>9.3000000000000007</v>
      </c>
      <c r="F122" s="123">
        <f t="shared" si="36"/>
        <v>9.3000000000000007</v>
      </c>
      <c r="G122" s="123">
        <f t="shared" si="36"/>
        <v>9.3000000000000007</v>
      </c>
      <c r="H122" s="123">
        <f t="shared" si="36"/>
        <v>9.3000000000000007</v>
      </c>
      <c r="I122" s="123">
        <f t="shared" si="36"/>
        <v>9.3000000000000007</v>
      </c>
      <c r="J122" s="123">
        <f t="shared" si="36"/>
        <v>9.3000000000000007</v>
      </c>
      <c r="K122" s="123">
        <f t="shared" si="36"/>
        <v>9.3000000000000007</v>
      </c>
      <c r="L122" s="123">
        <f t="shared" si="36"/>
        <v>9.3000000000000007</v>
      </c>
      <c r="M122" s="123">
        <f t="shared" si="36"/>
        <v>9.3000000000000007</v>
      </c>
      <c r="N122" s="123">
        <f t="shared" si="36"/>
        <v>9.3000000000000007</v>
      </c>
      <c r="O122" s="123">
        <f t="shared" si="36"/>
        <v>9.3000000000000007</v>
      </c>
      <c r="P122" s="123">
        <f t="shared" si="36"/>
        <v>9.3000000000000007</v>
      </c>
      <c r="Q122" s="123">
        <f t="shared" si="36"/>
        <v>9.3000000000000007</v>
      </c>
      <c r="R122" s="123">
        <f t="shared" si="36"/>
        <v>9.3000000000000007</v>
      </c>
      <c r="S122" s="123">
        <f t="shared" si="36"/>
        <v>9.3000000000000007</v>
      </c>
      <c r="T122" s="123">
        <f t="shared" si="35"/>
        <v>9.3000000000000007</v>
      </c>
      <c r="U122" s="123">
        <f t="shared" si="35"/>
        <v>9.3000000000000007</v>
      </c>
      <c r="V122" s="123">
        <f t="shared" si="35"/>
        <v>9.3000000000000007</v>
      </c>
      <c r="W122" s="123">
        <f t="shared" si="35"/>
        <v>9.3000000000000007</v>
      </c>
      <c r="X122" s="123">
        <f t="shared" si="35"/>
        <v>9.3000000000000007</v>
      </c>
      <c r="Y122" s="123">
        <f t="shared" si="35"/>
        <v>9.3000000000000007</v>
      </c>
      <c r="Z122" s="123">
        <f t="shared" si="35"/>
        <v>9.3000000000000007</v>
      </c>
      <c r="AA122" s="123">
        <f t="shared" si="35"/>
        <v>9.3000000000000007</v>
      </c>
      <c r="AB122" s="123">
        <f t="shared" si="35"/>
        <v>9.3000000000000007</v>
      </c>
      <c r="AC122" s="123">
        <f t="shared" si="35"/>
        <v>9.3000000000000007</v>
      </c>
      <c r="AD122" s="123">
        <f t="shared" si="35"/>
        <v>9.3000000000000007</v>
      </c>
      <c r="AE122" s="123">
        <f t="shared" si="35"/>
        <v>9.3000000000000007</v>
      </c>
      <c r="AF122" s="123">
        <f t="shared" si="35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3"/>
        <v>0</v>
      </c>
      <c r="C123" s="124">
        <v>0</v>
      </c>
      <c r="D123" s="123">
        <f t="shared" si="36"/>
        <v>0</v>
      </c>
      <c r="E123" s="123">
        <f t="shared" si="36"/>
        <v>0</v>
      </c>
      <c r="F123" s="123">
        <f t="shared" si="36"/>
        <v>0</v>
      </c>
      <c r="G123" s="123">
        <f t="shared" si="36"/>
        <v>0</v>
      </c>
      <c r="H123" s="123">
        <f t="shared" si="36"/>
        <v>0</v>
      </c>
      <c r="I123" s="123">
        <f t="shared" si="36"/>
        <v>0</v>
      </c>
      <c r="J123" s="123">
        <f t="shared" si="36"/>
        <v>0</v>
      </c>
      <c r="K123" s="123">
        <f t="shared" si="36"/>
        <v>0</v>
      </c>
      <c r="L123" s="123">
        <f t="shared" si="36"/>
        <v>0</v>
      </c>
      <c r="M123" s="123">
        <f t="shared" si="36"/>
        <v>0</v>
      </c>
      <c r="N123" s="123">
        <f t="shared" si="36"/>
        <v>0</v>
      </c>
      <c r="O123" s="123">
        <f t="shared" si="36"/>
        <v>0</v>
      </c>
      <c r="P123" s="123">
        <f t="shared" si="36"/>
        <v>0</v>
      </c>
      <c r="Q123" s="123">
        <f t="shared" si="36"/>
        <v>0</v>
      </c>
      <c r="R123" s="123">
        <f t="shared" si="36"/>
        <v>0</v>
      </c>
      <c r="S123" s="123">
        <f t="shared" si="36"/>
        <v>0</v>
      </c>
      <c r="T123" s="123">
        <f t="shared" si="35"/>
        <v>0</v>
      </c>
      <c r="U123" s="123">
        <f t="shared" si="35"/>
        <v>0</v>
      </c>
      <c r="V123" s="123">
        <f t="shared" si="35"/>
        <v>0</v>
      </c>
      <c r="W123" s="123">
        <f t="shared" si="35"/>
        <v>0</v>
      </c>
      <c r="X123" s="123">
        <f t="shared" si="35"/>
        <v>0</v>
      </c>
      <c r="Y123" s="123">
        <f t="shared" si="35"/>
        <v>0</v>
      </c>
      <c r="Z123" s="123">
        <f t="shared" si="35"/>
        <v>0</v>
      </c>
      <c r="AA123" s="123">
        <f t="shared" si="35"/>
        <v>0</v>
      </c>
      <c r="AB123" s="123">
        <f t="shared" si="35"/>
        <v>0</v>
      </c>
      <c r="AC123" s="123">
        <f t="shared" si="35"/>
        <v>0</v>
      </c>
      <c r="AD123" s="123">
        <f t="shared" si="35"/>
        <v>0</v>
      </c>
      <c r="AE123" s="123">
        <f t="shared" si="35"/>
        <v>0</v>
      </c>
      <c r="AF123" s="123">
        <f t="shared" si="35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3"/>
        <v>0</v>
      </c>
      <c r="C124" s="124">
        <v>0</v>
      </c>
      <c r="D124" s="123">
        <f t="shared" si="36"/>
        <v>0</v>
      </c>
      <c r="E124" s="123">
        <f t="shared" si="36"/>
        <v>0</v>
      </c>
      <c r="F124" s="123">
        <f t="shared" si="36"/>
        <v>0</v>
      </c>
      <c r="G124" s="123">
        <f t="shared" si="36"/>
        <v>0</v>
      </c>
      <c r="H124" s="123">
        <f t="shared" si="36"/>
        <v>0</v>
      </c>
      <c r="I124" s="123">
        <f t="shared" si="36"/>
        <v>0</v>
      </c>
      <c r="J124" s="123">
        <f t="shared" si="36"/>
        <v>0</v>
      </c>
      <c r="K124" s="123">
        <f t="shared" si="36"/>
        <v>0</v>
      </c>
      <c r="L124" s="123">
        <f t="shared" si="36"/>
        <v>0</v>
      </c>
      <c r="M124" s="123">
        <f t="shared" si="36"/>
        <v>0</v>
      </c>
      <c r="N124" s="123">
        <f t="shared" si="36"/>
        <v>0</v>
      </c>
      <c r="O124" s="123">
        <f t="shared" si="36"/>
        <v>0</v>
      </c>
      <c r="P124" s="123">
        <f t="shared" si="36"/>
        <v>0</v>
      </c>
      <c r="Q124" s="123">
        <f t="shared" si="36"/>
        <v>0</v>
      </c>
      <c r="R124" s="123">
        <f t="shared" si="36"/>
        <v>0</v>
      </c>
      <c r="S124" s="123">
        <f t="shared" si="36"/>
        <v>0</v>
      </c>
      <c r="T124" s="123">
        <f t="shared" si="35"/>
        <v>0</v>
      </c>
      <c r="U124" s="123">
        <f t="shared" si="35"/>
        <v>0</v>
      </c>
      <c r="V124" s="123">
        <f t="shared" si="35"/>
        <v>0</v>
      </c>
      <c r="W124" s="123">
        <f t="shared" si="35"/>
        <v>0</v>
      </c>
      <c r="X124" s="123">
        <f t="shared" si="35"/>
        <v>0</v>
      </c>
      <c r="Y124" s="123">
        <f t="shared" si="35"/>
        <v>0</v>
      </c>
      <c r="Z124" s="123">
        <f t="shared" si="35"/>
        <v>0</v>
      </c>
      <c r="AA124" s="123">
        <f t="shared" si="35"/>
        <v>0</v>
      </c>
      <c r="AB124" s="123">
        <f t="shared" si="35"/>
        <v>0</v>
      </c>
      <c r="AC124" s="123">
        <f t="shared" si="35"/>
        <v>0</v>
      </c>
      <c r="AD124" s="123">
        <f t="shared" si="35"/>
        <v>0</v>
      </c>
      <c r="AE124" s="123">
        <f t="shared" si="35"/>
        <v>0</v>
      </c>
      <c r="AF124" s="123">
        <f t="shared" si="35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3"/>
        <v>;/</v>
      </c>
      <c r="C125" s="124">
        <v>5</v>
      </c>
      <c r="D125" s="123">
        <f t="shared" si="36"/>
        <v>5</v>
      </c>
      <c r="E125" s="123">
        <f t="shared" si="36"/>
        <v>5</v>
      </c>
      <c r="F125" s="123">
        <f t="shared" si="36"/>
        <v>5</v>
      </c>
      <c r="G125" s="123">
        <f t="shared" si="36"/>
        <v>5</v>
      </c>
      <c r="H125" s="123">
        <f t="shared" si="36"/>
        <v>5</v>
      </c>
      <c r="I125" s="123" t="s">
        <v>130</v>
      </c>
      <c r="J125" s="123" t="str">
        <f t="shared" si="36"/>
        <v>;/</v>
      </c>
      <c r="K125" s="123" t="str">
        <f t="shared" si="36"/>
        <v>;/</v>
      </c>
      <c r="L125" s="123" t="str">
        <f t="shared" si="36"/>
        <v>;/</v>
      </c>
      <c r="M125" s="123" t="str">
        <f t="shared" si="36"/>
        <v>;/</v>
      </c>
      <c r="N125" s="123" t="str">
        <f t="shared" si="36"/>
        <v>;/</v>
      </c>
      <c r="O125" s="123" t="str">
        <f t="shared" si="36"/>
        <v>;/</v>
      </c>
      <c r="P125" s="123" t="str">
        <f t="shared" si="36"/>
        <v>;/</v>
      </c>
      <c r="Q125" s="123" t="str">
        <f t="shared" si="36"/>
        <v>;/</v>
      </c>
      <c r="R125" s="123" t="str">
        <f t="shared" si="36"/>
        <v>;/</v>
      </c>
      <c r="S125" s="123" t="str">
        <f t="shared" si="36"/>
        <v>;/</v>
      </c>
      <c r="T125" s="123" t="str">
        <f t="shared" si="35"/>
        <v>;/</v>
      </c>
      <c r="U125" s="123" t="str">
        <f t="shared" si="35"/>
        <v>;/</v>
      </c>
      <c r="V125" s="123" t="str">
        <f t="shared" si="35"/>
        <v>;/</v>
      </c>
      <c r="W125" s="123" t="str">
        <f t="shared" si="35"/>
        <v>;/</v>
      </c>
      <c r="X125" s="123" t="str">
        <f t="shared" si="35"/>
        <v>;/</v>
      </c>
      <c r="Y125" s="123" t="str">
        <f t="shared" si="35"/>
        <v>;/</v>
      </c>
      <c r="Z125" s="123" t="str">
        <f t="shared" si="35"/>
        <v>;/</v>
      </c>
      <c r="AA125" s="123" t="str">
        <f t="shared" si="35"/>
        <v>;/</v>
      </c>
      <c r="AB125" s="123" t="str">
        <f t="shared" si="35"/>
        <v>;/</v>
      </c>
      <c r="AC125" s="123" t="str">
        <f t="shared" si="35"/>
        <v>;/</v>
      </c>
      <c r="AD125" s="123" t="str">
        <f t="shared" si="35"/>
        <v>;/</v>
      </c>
      <c r="AE125" s="123" t="str">
        <f t="shared" si="35"/>
        <v>;/</v>
      </c>
      <c r="AF125" s="123" t="str">
        <f t="shared" si="35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3"/>
        <v>1</v>
      </c>
      <c r="C126" s="124">
        <v>1</v>
      </c>
      <c r="D126" s="123">
        <f t="shared" si="36"/>
        <v>1</v>
      </c>
      <c r="E126" s="123">
        <f t="shared" si="36"/>
        <v>1</v>
      </c>
      <c r="F126" s="123">
        <f t="shared" si="36"/>
        <v>1</v>
      </c>
      <c r="G126" s="123">
        <f t="shared" si="36"/>
        <v>1</v>
      </c>
      <c r="H126" s="123">
        <f t="shared" si="36"/>
        <v>1</v>
      </c>
      <c r="I126" s="123">
        <f t="shared" si="36"/>
        <v>1</v>
      </c>
      <c r="J126" s="123">
        <f t="shared" si="36"/>
        <v>1</v>
      </c>
      <c r="K126" s="123">
        <f t="shared" si="36"/>
        <v>1</v>
      </c>
      <c r="L126" s="123">
        <f t="shared" si="36"/>
        <v>1</v>
      </c>
      <c r="M126" s="123">
        <f t="shared" si="36"/>
        <v>1</v>
      </c>
      <c r="N126" s="123">
        <f t="shared" si="36"/>
        <v>1</v>
      </c>
      <c r="O126" s="123">
        <f t="shared" si="36"/>
        <v>1</v>
      </c>
      <c r="P126" s="123">
        <f t="shared" si="36"/>
        <v>1</v>
      </c>
      <c r="Q126" s="123">
        <f t="shared" si="36"/>
        <v>1</v>
      </c>
      <c r="R126" s="123">
        <f t="shared" si="36"/>
        <v>1</v>
      </c>
      <c r="S126" s="123">
        <f t="shared" si="36"/>
        <v>1</v>
      </c>
      <c r="T126" s="123">
        <f t="shared" si="35"/>
        <v>1</v>
      </c>
      <c r="U126" s="123">
        <f t="shared" si="35"/>
        <v>1</v>
      </c>
      <c r="V126" s="123">
        <f t="shared" si="35"/>
        <v>1</v>
      </c>
      <c r="W126" s="123">
        <f t="shared" si="35"/>
        <v>1</v>
      </c>
      <c r="X126" s="123">
        <f t="shared" si="35"/>
        <v>1</v>
      </c>
      <c r="Y126" s="123">
        <f t="shared" si="35"/>
        <v>1</v>
      </c>
      <c r="Z126" s="123">
        <f t="shared" si="35"/>
        <v>1</v>
      </c>
      <c r="AA126" s="123">
        <f t="shared" si="35"/>
        <v>1</v>
      </c>
      <c r="AB126" s="123">
        <f t="shared" si="35"/>
        <v>1</v>
      </c>
      <c r="AC126" s="123">
        <f t="shared" si="35"/>
        <v>1</v>
      </c>
      <c r="AD126" s="123">
        <f t="shared" si="35"/>
        <v>1</v>
      </c>
      <c r="AE126" s="123">
        <f t="shared" si="35"/>
        <v>1</v>
      </c>
      <c r="AF126" s="123">
        <f t="shared" si="35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3"/>
        <v>1.58</v>
      </c>
      <c r="C127" s="124">
        <v>1.58</v>
      </c>
      <c r="D127" s="123">
        <f t="shared" si="36"/>
        <v>1.58</v>
      </c>
      <c r="E127" s="123">
        <f t="shared" si="36"/>
        <v>1.58</v>
      </c>
      <c r="F127" s="123">
        <f t="shared" si="36"/>
        <v>1.58</v>
      </c>
      <c r="G127" s="123">
        <f t="shared" si="36"/>
        <v>1.58</v>
      </c>
      <c r="H127" s="123">
        <f t="shared" si="36"/>
        <v>1.58</v>
      </c>
      <c r="I127" s="123">
        <f t="shared" si="36"/>
        <v>1.58</v>
      </c>
      <c r="J127" s="123">
        <f t="shared" si="36"/>
        <v>1.58</v>
      </c>
      <c r="K127" s="123">
        <f t="shared" si="36"/>
        <v>1.58</v>
      </c>
      <c r="L127" s="123">
        <f t="shared" si="36"/>
        <v>1.58</v>
      </c>
      <c r="M127" s="123">
        <f t="shared" si="36"/>
        <v>1.58</v>
      </c>
      <c r="N127" s="123">
        <f t="shared" si="36"/>
        <v>1.58</v>
      </c>
      <c r="O127" s="123">
        <f t="shared" si="36"/>
        <v>1.58</v>
      </c>
      <c r="P127" s="123">
        <f t="shared" si="36"/>
        <v>1.58</v>
      </c>
      <c r="Q127" s="123">
        <f t="shared" si="36"/>
        <v>1.58</v>
      </c>
      <c r="R127" s="123">
        <f t="shared" si="36"/>
        <v>1.58</v>
      </c>
      <c r="S127" s="123">
        <f t="shared" si="36"/>
        <v>1.58</v>
      </c>
      <c r="T127" s="123">
        <f t="shared" si="35"/>
        <v>1.58</v>
      </c>
      <c r="U127" s="123">
        <f t="shared" si="35"/>
        <v>1.58</v>
      </c>
      <c r="V127" s="123">
        <f t="shared" si="35"/>
        <v>1.58</v>
      </c>
      <c r="W127" s="123">
        <f t="shared" si="35"/>
        <v>1.58</v>
      </c>
      <c r="X127" s="123">
        <f t="shared" si="35"/>
        <v>1.58</v>
      </c>
      <c r="Y127" s="123">
        <f t="shared" si="35"/>
        <v>1.58</v>
      </c>
      <c r="Z127" s="123">
        <f t="shared" si="35"/>
        <v>1.58</v>
      </c>
      <c r="AA127" s="123">
        <f t="shared" si="35"/>
        <v>1.58</v>
      </c>
      <c r="AB127" s="123">
        <f t="shared" si="35"/>
        <v>1.58</v>
      </c>
      <c r="AC127" s="123">
        <f t="shared" si="35"/>
        <v>1.58</v>
      </c>
      <c r="AD127" s="123">
        <f t="shared" si="35"/>
        <v>1.58</v>
      </c>
      <c r="AE127" s="123">
        <f t="shared" si="35"/>
        <v>1.58</v>
      </c>
      <c r="AF127" s="123">
        <f t="shared" si="35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3"/>
        <v>1.46</v>
      </c>
      <c r="C128" s="124">
        <v>1.46</v>
      </c>
      <c r="D128" s="123">
        <f t="shared" si="36"/>
        <v>1.46</v>
      </c>
      <c r="E128" s="123">
        <f t="shared" si="36"/>
        <v>1.46</v>
      </c>
      <c r="F128" s="123">
        <f t="shared" si="36"/>
        <v>1.46</v>
      </c>
      <c r="G128" s="123">
        <f t="shared" si="36"/>
        <v>1.46</v>
      </c>
      <c r="H128" s="123">
        <f t="shared" si="36"/>
        <v>1.46</v>
      </c>
      <c r="I128" s="123">
        <f t="shared" si="36"/>
        <v>1.46</v>
      </c>
      <c r="J128" s="123">
        <f t="shared" si="36"/>
        <v>1.46</v>
      </c>
      <c r="K128" s="123">
        <f t="shared" si="36"/>
        <v>1.46</v>
      </c>
      <c r="L128" s="123">
        <f t="shared" si="36"/>
        <v>1.46</v>
      </c>
      <c r="M128" s="123">
        <f t="shared" si="36"/>
        <v>1.46</v>
      </c>
      <c r="N128" s="123">
        <f t="shared" si="36"/>
        <v>1.46</v>
      </c>
      <c r="O128" s="123">
        <f t="shared" si="36"/>
        <v>1.46</v>
      </c>
      <c r="P128" s="123">
        <f t="shared" si="36"/>
        <v>1.46</v>
      </c>
      <c r="Q128" s="123">
        <f t="shared" si="36"/>
        <v>1.46</v>
      </c>
      <c r="R128" s="123">
        <f t="shared" si="36"/>
        <v>1.46</v>
      </c>
      <c r="S128" s="123">
        <f t="shared" si="36"/>
        <v>1.46</v>
      </c>
      <c r="T128" s="123">
        <f t="shared" ref="T128:AF129" si="37">S128</f>
        <v>1.46</v>
      </c>
      <c r="U128" s="123">
        <f t="shared" si="37"/>
        <v>1.46</v>
      </c>
      <c r="V128" s="123">
        <f t="shared" si="37"/>
        <v>1.46</v>
      </c>
      <c r="W128" s="123">
        <f t="shared" si="37"/>
        <v>1.46</v>
      </c>
      <c r="X128" s="123">
        <f t="shared" si="37"/>
        <v>1.46</v>
      </c>
      <c r="Y128" s="123">
        <f t="shared" si="37"/>
        <v>1.46</v>
      </c>
      <c r="Z128" s="123">
        <f t="shared" si="37"/>
        <v>1.46</v>
      </c>
      <c r="AA128" s="123">
        <f t="shared" si="37"/>
        <v>1.46</v>
      </c>
      <c r="AB128" s="123">
        <f t="shared" si="37"/>
        <v>1.46</v>
      </c>
      <c r="AC128" s="123">
        <f t="shared" si="37"/>
        <v>1.46</v>
      </c>
      <c r="AD128" s="123">
        <f t="shared" si="37"/>
        <v>1.46</v>
      </c>
      <c r="AE128" s="123">
        <f t="shared" si="37"/>
        <v>1.46</v>
      </c>
      <c r="AF128" s="123">
        <f t="shared" si="37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3"/>
        <v>1.48</v>
      </c>
      <c r="C129" s="124">
        <v>1.48</v>
      </c>
      <c r="D129" s="123">
        <f t="shared" si="36"/>
        <v>1.48</v>
      </c>
      <c r="E129" s="123">
        <f t="shared" si="36"/>
        <v>1.48</v>
      </c>
      <c r="F129" s="123">
        <f t="shared" si="36"/>
        <v>1.48</v>
      </c>
      <c r="G129" s="123">
        <f t="shared" si="36"/>
        <v>1.48</v>
      </c>
      <c r="H129" s="123">
        <f t="shared" si="36"/>
        <v>1.48</v>
      </c>
      <c r="I129" s="123">
        <f t="shared" si="36"/>
        <v>1.48</v>
      </c>
      <c r="J129" s="123">
        <f t="shared" si="36"/>
        <v>1.48</v>
      </c>
      <c r="K129" s="123">
        <f t="shared" si="36"/>
        <v>1.48</v>
      </c>
      <c r="L129" s="123">
        <f t="shared" si="36"/>
        <v>1.48</v>
      </c>
      <c r="M129" s="123">
        <f t="shared" si="36"/>
        <v>1.48</v>
      </c>
      <c r="N129" s="123">
        <f t="shared" si="36"/>
        <v>1.48</v>
      </c>
      <c r="O129" s="123">
        <f t="shared" si="36"/>
        <v>1.48</v>
      </c>
      <c r="P129" s="123">
        <f t="shared" si="36"/>
        <v>1.48</v>
      </c>
      <c r="Q129" s="123">
        <f t="shared" si="36"/>
        <v>1.48</v>
      </c>
      <c r="R129" s="123">
        <f t="shared" si="36"/>
        <v>1.48</v>
      </c>
      <c r="S129" s="123">
        <f t="shared" si="36"/>
        <v>1.48</v>
      </c>
      <c r="T129" s="123">
        <f t="shared" si="37"/>
        <v>1.48</v>
      </c>
      <c r="U129" s="123">
        <f t="shared" si="37"/>
        <v>1.48</v>
      </c>
      <c r="V129" s="123">
        <f t="shared" si="37"/>
        <v>1.48</v>
      </c>
      <c r="W129" s="123">
        <f t="shared" si="37"/>
        <v>1.48</v>
      </c>
      <c r="X129" s="123">
        <f t="shared" si="37"/>
        <v>1.48</v>
      </c>
      <c r="Y129" s="123">
        <f t="shared" si="37"/>
        <v>1.48</v>
      </c>
      <c r="Z129" s="123">
        <f t="shared" si="37"/>
        <v>1.48</v>
      </c>
      <c r="AA129" s="123">
        <f t="shared" si="37"/>
        <v>1.48</v>
      </c>
      <c r="AB129" s="123">
        <f t="shared" si="37"/>
        <v>1.48</v>
      </c>
      <c r="AC129" s="123">
        <f t="shared" si="37"/>
        <v>1.48</v>
      </c>
      <c r="AD129" s="123">
        <f t="shared" si="37"/>
        <v>1.48</v>
      </c>
      <c r="AE129" s="123">
        <f t="shared" si="37"/>
        <v>1.48</v>
      </c>
      <c r="AF129" s="123">
        <f t="shared" si="37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8">AF131</f>
        <v>2.2000000000000002</v>
      </c>
      <c r="C131" s="124">
        <v>2.2000000000000002</v>
      </c>
      <c r="D131" s="123">
        <f t="shared" ref="D131:S138" si="39">C131</f>
        <v>2.2000000000000002</v>
      </c>
      <c r="E131" s="123">
        <f t="shared" si="39"/>
        <v>2.2000000000000002</v>
      </c>
      <c r="F131" s="123">
        <f t="shared" si="39"/>
        <v>2.2000000000000002</v>
      </c>
      <c r="G131" s="123">
        <f t="shared" si="39"/>
        <v>2.2000000000000002</v>
      </c>
      <c r="H131" s="123">
        <f t="shared" si="39"/>
        <v>2.2000000000000002</v>
      </c>
      <c r="I131" s="123">
        <f t="shared" si="39"/>
        <v>2.2000000000000002</v>
      </c>
      <c r="J131" s="123">
        <f t="shared" si="39"/>
        <v>2.2000000000000002</v>
      </c>
      <c r="K131" s="123">
        <f t="shared" si="39"/>
        <v>2.2000000000000002</v>
      </c>
      <c r="L131" s="123">
        <f t="shared" si="39"/>
        <v>2.2000000000000002</v>
      </c>
      <c r="M131" s="123">
        <f t="shared" si="39"/>
        <v>2.2000000000000002</v>
      </c>
      <c r="N131" s="123">
        <f t="shared" si="39"/>
        <v>2.2000000000000002</v>
      </c>
      <c r="O131" s="123">
        <f t="shared" si="39"/>
        <v>2.2000000000000002</v>
      </c>
      <c r="P131" s="123">
        <f t="shared" si="39"/>
        <v>2.2000000000000002</v>
      </c>
      <c r="Q131" s="123">
        <f t="shared" si="39"/>
        <v>2.2000000000000002</v>
      </c>
      <c r="R131" s="123">
        <f t="shared" si="39"/>
        <v>2.2000000000000002</v>
      </c>
      <c r="S131" s="123">
        <f t="shared" si="39"/>
        <v>2.2000000000000002</v>
      </c>
      <c r="T131" s="123">
        <f t="shared" ref="T131:AF138" si="40">S131</f>
        <v>2.2000000000000002</v>
      </c>
      <c r="U131" s="123">
        <f t="shared" si="40"/>
        <v>2.2000000000000002</v>
      </c>
      <c r="V131" s="123">
        <f t="shared" si="40"/>
        <v>2.2000000000000002</v>
      </c>
      <c r="W131" s="123">
        <f t="shared" si="40"/>
        <v>2.2000000000000002</v>
      </c>
      <c r="X131" s="123">
        <f t="shared" si="40"/>
        <v>2.2000000000000002</v>
      </c>
      <c r="Y131" s="123">
        <f t="shared" si="40"/>
        <v>2.2000000000000002</v>
      </c>
      <c r="Z131" s="123">
        <f t="shared" si="40"/>
        <v>2.2000000000000002</v>
      </c>
      <c r="AA131" s="123">
        <f t="shared" si="40"/>
        <v>2.2000000000000002</v>
      </c>
      <c r="AB131" s="123">
        <f t="shared" si="40"/>
        <v>2.2000000000000002</v>
      </c>
      <c r="AC131" s="123">
        <f t="shared" si="40"/>
        <v>2.2000000000000002</v>
      </c>
      <c r="AD131" s="123">
        <f t="shared" si="40"/>
        <v>2.2000000000000002</v>
      </c>
      <c r="AE131" s="123">
        <f t="shared" si="40"/>
        <v>2.2000000000000002</v>
      </c>
      <c r="AF131" s="123">
        <f t="shared" si="40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8"/>
        <v>2</v>
      </c>
      <c r="C132" s="124">
        <v>2</v>
      </c>
      <c r="D132" s="123">
        <f t="shared" si="39"/>
        <v>2</v>
      </c>
      <c r="E132" s="123">
        <f t="shared" si="39"/>
        <v>2</v>
      </c>
      <c r="F132" s="123">
        <f t="shared" si="39"/>
        <v>2</v>
      </c>
      <c r="G132" s="123">
        <f t="shared" si="39"/>
        <v>2</v>
      </c>
      <c r="H132" s="123">
        <f t="shared" si="39"/>
        <v>2</v>
      </c>
      <c r="I132" s="123">
        <f t="shared" si="39"/>
        <v>2</v>
      </c>
      <c r="J132" s="123">
        <f t="shared" si="39"/>
        <v>2</v>
      </c>
      <c r="K132" s="123">
        <f t="shared" si="39"/>
        <v>2</v>
      </c>
      <c r="L132" s="123">
        <f t="shared" si="39"/>
        <v>2</v>
      </c>
      <c r="M132" s="123">
        <f t="shared" si="39"/>
        <v>2</v>
      </c>
      <c r="N132" s="123">
        <f t="shared" si="39"/>
        <v>2</v>
      </c>
      <c r="O132" s="123">
        <f t="shared" si="39"/>
        <v>2</v>
      </c>
      <c r="P132" s="123">
        <f t="shared" si="39"/>
        <v>2</v>
      </c>
      <c r="Q132" s="123">
        <f t="shared" si="39"/>
        <v>2</v>
      </c>
      <c r="R132" s="123">
        <f t="shared" si="39"/>
        <v>2</v>
      </c>
      <c r="S132" s="123">
        <f t="shared" si="39"/>
        <v>2</v>
      </c>
      <c r="T132" s="123">
        <f t="shared" si="40"/>
        <v>2</v>
      </c>
      <c r="U132" s="123">
        <f t="shared" si="40"/>
        <v>2</v>
      </c>
      <c r="V132" s="123">
        <f t="shared" si="40"/>
        <v>2</v>
      </c>
      <c r="W132" s="123">
        <f t="shared" si="40"/>
        <v>2</v>
      </c>
      <c r="X132" s="123">
        <f t="shared" si="40"/>
        <v>2</v>
      </c>
      <c r="Y132" s="123">
        <f t="shared" si="40"/>
        <v>2</v>
      </c>
      <c r="Z132" s="123">
        <f t="shared" si="40"/>
        <v>2</v>
      </c>
      <c r="AA132" s="123">
        <f t="shared" si="40"/>
        <v>2</v>
      </c>
      <c r="AB132" s="123">
        <f t="shared" si="40"/>
        <v>2</v>
      </c>
      <c r="AC132" s="123">
        <f t="shared" si="40"/>
        <v>2</v>
      </c>
      <c r="AD132" s="123">
        <f t="shared" si="40"/>
        <v>2</v>
      </c>
      <c r="AE132" s="123">
        <f t="shared" si="40"/>
        <v>2</v>
      </c>
      <c r="AF132" s="123">
        <f t="shared" si="40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8"/>
        <v>1.25</v>
      </c>
      <c r="C133" s="124">
        <v>1.25</v>
      </c>
      <c r="D133" s="123">
        <f t="shared" si="39"/>
        <v>1.25</v>
      </c>
      <c r="E133" s="123">
        <f t="shared" si="39"/>
        <v>1.25</v>
      </c>
      <c r="F133" s="123">
        <f t="shared" si="39"/>
        <v>1.25</v>
      </c>
      <c r="G133" s="123">
        <f t="shared" si="39"/>
        <v>1.25</v>
      </c>
      <c r="H133" s="123">
        <f t="shared" si="39"/>
        <v>1.25</v>
      </c>
      <c r="I133" s="123">
        <f t="shared" si="39"/>
        <v>1.25</v>
      </c>
      <c r="J133" s="123">
        <f t="shared" si="39"/>
        <v>1.25</v>
      </c>
      <c r="K133" s="123">
        <f t="shared" si="39"/>
        <v>1.25</v>
      </c>
      <c r="L133" s="123">
        <f t="shared" si="39"/>
        <v>1.25</v>
      </c>
      <c r="M133" s="123">
        <f t="shared" si="39"/>
        <v>1.25</v>
      </c>
      <c r="N133" s="123">
        <f t="shared" si="39"/>
        <v>1.25</v>
      </c>
      <c r="O133" s="123">
        <f t="shared" si="39"/>
        <v>1.25</v>
      </c>
      <c r="P133" s="123">
        <f t="shared" si="39"/>
        <v>1.25</v>
      </c>
      <c r="Q133" s="123">
        <f t="shared" si="39"/>
        <v>1.25</v>
      </c>
      <c r="R133" s="123">
        <f t="shared" si="39"/>
        <v>1.25</v>
      </c>
      <c r="S133" s="123">
        <f t="shared" si="39"/>
        <v>1.25</v>
      </c>
      <c r="T133" s="123">
        <f t="shared" si="40"/>
        <v>1.25</v>
      </c>
      <c r="U133" s="123">
        <f t="shared" si="40"/>
        <v>1.25</v>
      </c>
      <c r="V133" s="123">
        <f t="shared" si="40"/>
        <v>1.25</v>
      </c>
      <c r="W133" s="123">
        <f t="shared" si="40"/>
        <v>1.25</v>
      </c>
      <c r="X133" s="123">
        <f t="shared" si="40"/>
        <v>1.25</v>
      </c>
      <c r="Y133" s="123">
        <f t="shared" si="40"/>
        <v>1.25</v>
      </c>
      <c r="Z133" s="123">
        <f t="shared" si="40"/>
        <v>1.25</v>
      </c>
      <c r="AA133" s="123">
        <f t="shared" si="40"/>
        <v>1.25</v>
      </c>
      <c r="AB133" s="123">
        <f t="shared" si="40"/>
        <v>1.25</v>
      </c>
      <c r="AC133" s="123">
        <f t="shared" si="40"/>
        <v>1.25</v>
      </c>
      <c r="AD133" s="123">
        <f t="shared" si="40"/>
        <v>1.25</v>
      </c>
      <c r="AE133" s="123">
        <f t="shared" si="40"/>
        <v>1.25</v>
      </c>
      <c r="AF133" s="123">
        <f t="shared" si="40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8"/>
        <v>1.1499999999999999</v>
      </c>
      <c r="C134" s="124">
        <v>1.1499999999999999</v>
      </c>
      <c r="D134" s="123">
        <f t="shared" si="39"/>
        <v>1.1499999999999999</v>
      </c>
      <c r="E134" s="123">
        <f t="shared" si="39"/>
        <v>1.1499999999999999</v>
      </c>
      <c r="F134" s="123">
        <f t="shared" si="39"/>
        <v>1.1499999999999999</v>
      </c>
      <c r="G134" s="123">
        <f t="shared" si="39"/>
        <v>1.1499999999999999</v>
      </c>
      <c r="H134" s="123">
        <f t="shared" si="39"/>
        <v>1.1499999999999999</v>
      </c>
      <c r="I134" s="123">
        <f t="shared" si="39"/>
        <v>1.1499999999999999</v>
      </c>
      <c r="J134" s="123">
        <f t="shared" si="39"/>
        <v>1.1499999999999999</v>
      </c>
      <c r="K134" s="123">
        <f t="shared" si="39"/>
        <v>1.1499999999999999</v>
      </c>
      <c r="L134" s="123">
        <f t="shared" si="39"/>
        <v>1.1499999999999999</v>
      </c>
      <c r="M134" s="123">
        <f t="shared" si="39"/>
        <v>1.1499999999999999</v>
      </c>
      <c r="N134" s="123">
        <f t="shared" si="39"/>
        <v>1.1499999999999999</v>
      </c>
      <c r="O134" s="123">
        <f t="shared" si="39"/>
        <v>1.1499999999999999</v>
      </c>
      <c r="P134" s="123">
        <f t="shared" si="39"/>
        <v>1.1499999999999999</v>
      </c>
      <c r="Q134" s="123">
        <f t="shared" si="39"/>
        <v>1.1499999999999999</v>
      </c>
      <c r="R134" s="123">
        <f t="shared" si="39"/>
        <v>1.1499999999999999</v>
      </c>
      <c r="S134" s="123">
        <f t="shared" si="39"/>
        <v>1.1499999999999999</v>
      </c>
      <c r="T134" s="123">
        <f t="shared" si="40"/>
        <v>1.1499999999999999</v>
      </c>
      <c r="U134" s="123">
        <f t="shared" si="40"/>
        <v>1.1499999999999999</v>
      </c>
      <c r="V134" s="123">
        <f t="shared" si="40"/>
        <v>1.1499999999999999</v>
      </c>
      <c r="W134" s="123">
        <f t="shared" si="40"/>
        <v>1.1499999999999999</v>
      </c>
      <c r="X134" s="123">
        <f t="shared" si="40"/>
        <v>1.1499999999999999</v>
      </c>
      <c r="Y134" s="123">
        <f t="shared" si="40"/>
        <v>1.1499999999999999</v>
      </c>
      <c r="Z134" s="123">
        <f t="shared" si="40"/>
        <v>1.1499999999999999</v>
      </c>
      <c r="AA134" s="123">
        <f t="shared" si="40"/>
        <v>1.1499999999999999</v>
      </c>
      <c r="AB134" s="123">
        <f t="shared" si="40"/>
        <v>1.1499999999999999</v>
      </c>
      <c r="AC134" s="123">
        <f t="shared" si="40"/>
        <v>1.1499999999999999</v>
      </c>
      <c r="AD134" s="123">
        <f t="shared" si="40"/>
        <v>1.1499999999999999</v>
      </c>
      <c r="AE134" s="123">
        <f t="shared" si="40"/>
        <v>1.1499999999999999</v>
      </c>
      <c r="AF134" s="123">
        <f t="shared" si="40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8"/>
        <v>2.133</v>
      </c>
      <c r="C135" s="124">
        <v>2.133</v>
      </c>
      <c r="D135" s="123">
        <f t="shared" si="39"/>
        <v>2.133</v>
      </c>
      <c r="E135" s="123">
        <f t="shared" si="39"/>
        <v>2.133</v>
      </c>
      <c r="F135" s="123">
        <f t="shared" si="39"/>
        <v>2.133</v>
      </c>
      <c r="G135" s="123">
        <f t="shared" si="39"/>
        <v>2.133</v>
      </c>
      <c r="H135" s="123">
        <f t="shared" si="39"/>
        <v>2.133</v>
      </c>
      <c r="I135" s="123">
        <f t="shared" si="39"/>
        <v>2.133</v>
      </c>
      <c r="J135" s="123">
        <f t="shared" si="39"/>
        <v>2.133</v>
      </c>
      <c r="K135" s="123">
        <f t="shared" si="39"/>
        <v>2.133</v>
      </c>
      <c r="L135" s="123">
        <f t="shared" si="39"/>
        <v>2.133</v>
      </c>
      <c r="M135" s="123">
        <f t="shared" si="39"/>
        <v>2.133</v>
      </c>
      <c r="N135" s="123">
        <f t="shared" si="39"/>
        <v>2.133</v>
      </c>
      <c r="O135" s="123">
        <f t="shared" si="39"/>
        <v>2.133</v>
      </c>
      <c r="P135" s="123">
        <f t="shared" si="39"/>
        <v>2.133</v>
      </c>
      <c r="Q135" s="123">
        <f t="shared" si="39"/>
        <v>2.133</v>
      </c>
      <c r="R135" s="123">
        <f t="shared" si="39"/>
        <v>2.133</v>
      </c>
      <c r="S135" s="123">
        <f t="shared" si="39"/>
        <v>2.133</v>
      </c>
      <c r="T135" s="123">
        <f t="shared" si="40"/>
        <v>2.133</v>
      </c>
      <c r="U135" s="123">
        <f t="shared" si="40"/>
        <v>2.133</v>
      </c>
      <c r="V135" s="123">
        <f t="shared" si="40"/>
        <v>2.133</v>
      </c>
      <c r="W135" s="123">
        <f t="shared" si="40"/>
        <v>2.133</v>
      </c>
      <c r="X135" s="123">
        <f t="shared" si="40"/>
        <v>2.133</v>
      </c>
      <c r="Y135" s="123">
        <f t="shared" si="40"/>
        <v>2.133</v>
      </c>
      <c r="Z135" s="123">
        <f t="shared" si="40"/>
        <v>2.133</v>
      </c>
      <c r="AA135" s="123">
        <f t="shared" si="40"/>
        <v>2.133</v>
      </c>
      <c r="AB135" s="123">
        <f t="shared" si="40"/>
        <v>2.133</v>
      </c>
      <c r="AC135" s="123">
        <f t="shared" si="40"/>
        <v>2.133</v>
      </c>
      <c r="AD135" s="123">
        <f t="shared" si="40"/>
        <v>2.133</v>
      </c>
      <c r="AE135" s="123">
        <f t="shared" si="40"/>
        <v>2.133</v>
      </c>
      <c r="AF135" s="123">
        <f t="shared" si="40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8"/>
        <v>2.09</v>
      </c>
      <c r="C136" s="124">
        <v>2.09</v>
      </c>
      <c r="D136" s="123">
        <f t="shared" si="39"/>
        <v>2.09</v>
      </c>
      <c r="E136" s="123">
        <f t="shared" si="39"/>
        <v>2.09</v>
      </c>
      <c r="F136" s="123">
        <f t="shared" si="39"/>
        <v>2.09</v>
      </c>
      <c r="G136" s="123">
        <f t="shared" si="39"/>
        <v>2.09</v>
      </c>
      <c r="H136" s="123">
        <f t="shared" si="39"/>
        <v>2.09</v>
      </c>
      <c r="I136" s="123">
        <f t="shared" si="39"/>
        <v>2.09</v>
      </c>
      <c r="J136" s="123">
        <f t="shared" si="39"/>
        <v>2.09</v>
      </c>
      <c r="K136" s="123">
        <f t="shared" si="39"/>
        <v>2.09</v>
      </c>
      <c r="L136" s="123">
        <f t="shared" si="39"/>
        <v>2.09</v>
      </c>
      <c r="M136" s="123">
        <f t="shared" si="39"/>
        <v>2.09</v>
      </c>
      <c r="N136" s="123">
        <f t="shared" si="39"/>
        <v>2.09</v>
      </c>
      <c r="O136" s="123">
        <f t="shared" si="39"/>
        <v>2.09</v>
      </c>
      <c r="P136" s="123">
        <f t="shared" si="39"/>
        <v>2.09</v>
      </c>
      <c r="Q136" s="123">
        <f t="shared" si="39"/>
        <v>2.09</v>
      </c>
      <c r="R136" s="123">
        <f t="shared" si="39"/>
        <v>2.09</v>
      </c>
      <c r="S136" s="123">
        <f t="shared" si="39"/>
        <v>2.09</v>
      </c>
      <c r="T136" s="123">
        <f t="shared" si="40"/>
        <v>2.09</v>
      </c>
      <c r="U136" s="123">
        <f t="shared" si="40"/>
        <v>2.09</v>
      </c>
      <c r="V136" s="123">
        <f t="shared" si="40"/>
        <v>2.09</v>
      </c>
      <c r="W136" s="123">
        <f t="shared" si="40"/>
        <v>2.09</v>
      </c>
      <c r="X136" s="123">
        <f t="shared" si="40"/>
        <v>2.09</v>
      </c>
      <c r="Y136" s="123">
        <f t="shared" si="40"/>
        <v>2.09</v>
      </c>
      <c r="Z136" s="123">
        <f t="shared" si="40"/>
        <v>2.09</v>
      </c>
      <c r="AA136" s="123">
        <f t="shared" si="40"/>
        <v>2.09</v>
      </c>
      <c r="AB136" s="123">
        <f t="shared" si="40"/>
        <v>2.09</v>
      </c>
      <c r="AC136" s="123">
        <f t="shared" si="40"/>
        <v>2.09</v>
      </c>
      <c r="AD136" s="123">
        <f t="shared" si="40"/>
        <v>2.09</v>
      </c>
      <c r="AE136" s="123">
        <f t="shared" si="40"/>
        <v>2.09</v>
      </c>
      <c r="AF136" s="123">
        <f t="shared" si="40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8"/>
        <v>1.1399999999999999</v>
      </c>
      <c r="C137" s="124">
        <v>1.1399999999999999</v>
      </c>
      <c r="D137" s="123">
        <f t="shared" si="39"/>
        <v>1.1399999999999999</v>
      </c>
      <c r="E137" s="123">
        <f t="shared" si="39"/>
        <v>1.1399999999999999</v>
      </c>
      <c r="F137" s="123">
        <f t="shared" si="39"/>
        <v>1.1399999999999999</v>
      </c>
      <c r="G137" s="123">
        <f t="shared" si="39"/>
        <v>1.1399999999999999</v>
      </c>
      <c r="H137" s="123">
        <f t="shared" si="39"/>
        <v>1.1399999999999999</v>
      </c>
      <c r="I137" s="123">
        <f t="shared" si="39"/>
        <v>1.1399999999999999</v>
      </c>
      <c r="J137" s="123">
        <f t="shared" si="39"/>
        <v>1.1399999999999999</v>
      </c>
      <c r="K137" s="123">
        <f t="shared" si="39"/>
        <v>1.1399999999999999</v>
      </c>
      <c r="L137" s="123">
        <f t="shared" si="39"/>
        <v>1.1399999999999999</v>
      </c>
      <c r="M137" s="123">
        <f t="shared" si="39"/>
        <v>1.1399999999999999</v>
      </c>
      <c r="N137" s="123">
        <f t="shared" si="39"/>
        <v>1.1399999999999999</v>
      </c>
      <c r="O137" s="123">
        <f t="shared" si="39"/>
        <v>1.1399999999999999</v>
      </c>
      <c r="P137" s="123">
        <f t="shared" si="39"/>
        <v>1.1399999999999999</v>
      </c>
      <c r="Q137" s="123">
        <f t="shared" si="39"/>
        <v>1.1399999999999999</v>
      </c>
      <c r="R137" s="123">
        <f t="shared" si="39"/>
        <v>1.1399999999999999</v>
      </c>
      <c r="S137" s="123">
        <f t="shared" si="39"/>
        <v>1.1399999999999999</v>
      </c>
      <c r="T137" s="123">
        <f t="shared" si="40"/>
        <v>1.1399999999999999</v>
      </c>
      <c r="U137" s="123">
        <f t="shared" si="40"/>
        <v>1.1399999999999999</v>
      </c>
      <c r="V137" s="123">
        <f t="shared" si="40"/>
        <v>1.1399999999999999</v>
      </c>
      <c r="W137" s="123">
        <f t="shared" si="40"/>
        <v>1.1399999999999999</v>
      </c>
      <c r="X137" s="123">
        <f t="shared" si="40"/>
        <v>1.1399999999999999</v>
      </c>
      <c r="Y137" s="123">
        <f t="shared" si="40"/>
        <v>1.1399999999999999</v>
      </c>
      <c r="Z137" s="123">
        <f t="shared" si="40"/>
        <v>1.1399999999999999</v>
      </c>
      <c r="AA137" s="123">
        <f t="shared" si="40"/>
        <v>1.1399999999999999</v>
      </c>
      <c r="AB137" s="123">
        <f t="shared" si="40"/>
        <v>1.1399999999999999</v>
      </c>
      <c r="AC137" s="123">
        <f t="shared" si="40"/>
        <v>1.1399999999999999</v>
      </c>
      <c r="AD137" s="123">
        <f t="shared" si="40"/>
        <v>1.1399999999999999</v>
      </c>
      <c r="AE137" s="123">
        <f t="shared" si="40"/>
        <v>1.1399999999999999</v>
      </c>
      <c r="AF137" s="123">
        <f t="shared" si="40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8"/>
        <v>0.82</v>
      </c>
      <c r="C138" s="124">
        <v>0.82</v>
      </c>
      <c r="D138" s="123">
        <f t="shared" si="39"/>
        <v>0.82</v>
      </c>
      <c r="E138" s="123">
        <f t="shared" si="39"/>
        <v>0.82</v>
      </c>
      <c r="F138" s="123">
        <f t="shared" si="39"/>
        <v>0.82</v>
      </c>
      <c r="G138" s="123">
        <f t="shared" si="39"/>
        <v>0.82</v>
      </c>
      <c r="H138" s="123">
        <f t="shared" si="39"/>
        <v>0.82</v>
      </c>
      <c r="I138" s="123">
        <f t="shared" si="39"/>
        <v>0.82</v>
      </c>
      <c r="J138" s="123">
        <f t="shared" si="39"/>
        <v>0.82</v>
      </c>
      <c r="K138" s="123">
        <f t="shared" si="39"/>
        <v>0.82</v>
      </c>
      <c r="L138" s="123">
        <f t="shared" si="39"/>
        <v>0.82</v>
      </c>
      <c r="M138" s="123">
        <f t="shared" si="39"/>
        <v>0.82</v>
      </c>
      <c r="N138" s="123">
        <f t="shared" si="39"/>
        <v>0.82</v>
      </c>
      <c r="O138" s="123">
        <f t="shared" si="39"/>
        <v>0.82</v>
      </c>
      <c r="P138" s="123">
        <f t="shared" si="39"/>
        <v>0.82</v>
      </c>
      <c r="Q138" s="123">
        <f t="shared" si="39"/>
        <v>0.82</v>
      </c>
      <c r="R138" s="123">
        <f t="shared" si="39"/>
        <v>0.82</v>
      </c>
      <c r="S138" s="123">
        <f t="shared" si="39"/>
        <v>0.82</v>
      </c>
      <c r="T138" s="123">
        <f t="shared" si="40"/>
        <v>0.82</v>
      </c>
      <c r="U138" s="123">
        <f t="shared" si="40"/>
        <v>0.82</v>
      </c>
      <c r="V138" s="123">
        <f t="shared" si="40"/>
        <v>0.82</v>
      </c>
      <c r="W138" s="123">
        <f t="shared" si="40"/>
        <v>0.82</v>
      </c>
      <c r="X138" s="123">
        <f t="shared" si="40"/>
        <v>0.82</v>
      </c>
      <c r="Y138" s="123">
        <f t="shared" si="40"/>
        <v>0.82</v>
      </c>
      <c r="Z138" s="123">
        <f t="shared" si="40"/>
        <v>0.82</v>
      </c>
      <c r="AA138" s="123">
        <f t="shared" si="40"/>
        <v>0.82</v>
      </c>
      <c r="AB138" s="123">
        <f t="shared" si="40"/>
        <v>0.82</v>
      </c>
      <c r="AC138" s="123">
        <f t="shared" si="40"/>
        <v>0.82</v>
      </c>
      <c r="AD138" s="123">
        <f t="shared" si="40"/>
        <v>0.82</v>
      </c>
      <c r="AE138" s="123">
        <f t="shared" si="40"/>
        <v>0.82</v>
      </c>
      <c r="AF138" s="123">
        <f t="shared" si="40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1">AF140</f>
        <v>2</v>
      </c>
      <c r="C140" s="124">
        <v>2</v>
      </c>
      <c r="D140" s="123">
        <f t="shared" ref="D140:S146" si="42">C140</f>
        <v>2</v>
      </c>
      <c r="E140" s="123">
        <f t="shared" si="42"/>
        <v>2</v>
      </c>
      <c r="F140" s="123">
        <f t="shared" si="42"/>
        <v>2</v>
      </c>
      <c r="G140" s="123">
        <f t="shared" si="42"/>
        <v>2</v>
      </c>
      <c r="H140" s="123">
        <f t="shared" si="42"/>
        <v>2</v>
      </c>
      <c r="I140" s="123">
        <f t="shared" si="42"/>
        <v>2</v>
      </c>
      <c r="J140" s="123">
        <f t="shared" si="42"/>
        <v>2</v>
      </c>
      <c r="K140" s="123">
        <f t="shared" si="42"/>
        <v>2</v>
      </c>
      <c r="L140" s="123">
        <f t="shared" si="42"/>
        <v>2</v>
      </c>
      <c r="M140" s="123">
        <f t="shared" si="42"/>
        <v>2</v>
      </c>
      <c r="N140" s="123">
        <f t="shared" si="42"/>
        <v>2</v>
      </c>
      <c r="O140" s="123">
        <f t="shared" si="42"/>
        <v>2</v>
      </c>
      <c r="P140" s="123">
        <f t="shared" si="42"/>
        <v>2</v>
      </c>
      <c r="Q140" s="123">
        <f t="shared" si="42"/>
        <v>2</v>
      </c>
      <c r="R140" s="123">
        <f t="shared" si="42"/>
        <v>2</v>
      </c>
      <c r="S140" s="123">
        <f t="shared" si="42"/>
        <v>2</v>
      </c>
      <c r="T140" s="123">
        <f t="shared" ref="T140:AF146" si="43">S140</f>
        <v>2</v>
      </c>
      <c r="U140" s="123">
        <f t="shared" si="43"/>
        <v>2</v>
      </c>
      <c r="V140" s="123">
        <f t="shared" si="43"/>
        <v>2</v>
      </c>
      <c r="W140" s="123">
        <f t="shared" si="43"/>
        <v>2</v>
      </c>
      <c r="X140" s="123">
        <f t="shared" si="43"/>
        <v>2</v>
      </c>
      <c r="Y140" s="123">
        <f t="shared" si="43"/>
        <v>2</v>
      </c>
      <c r="Z140" s="123">
        <f t="shared" si="43"/>
        <v>2</v>
      </c>
      <c r="AA140" s="123">
        <f t="shared" si="43"/>
        <v>2</v>
      </c>
      <c r="AB140" s="123">
        <f t="shared" si="43"/>
        <v>2</v>
      </c>
      <c r="AC140" s="123">
        <f t="shared" si="43"/>
        <v>2</v>
      </c>
      <c r="AD140" s="123">
        <f t="shared" si="43"/>
        <v>2</v>
      </c>
      <c r="AE140" s="123">
        <f t="shared" si="43"/>
        <v>2</v>
      </c>
      <c r="AF140" s="123">
        <f t="shared" si="43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1"/>
        <v>5.61</v>
      </c>
      <c r="C141" s="124">
        <v>5.61</v>
      </c>
      <c r="D141" s="123">
        <f t="shared" si="42"/>
        <v>5.61</v>
      </c>
      <c r="E141" s="123">
        <f t="shared" si="42"/>
        <v>5.61</v>
      </c>
      <c r="F141" s="123">
        <f t="shared" si="42"/>
        <v>5.61</v>
      </c>
      <c r="G141" s="123">
        <f t="shared" si="42"/>
        <v>5.61</v>
      </c>
      <c r="H141" s="123">
        <f t="shared" si="42"/>
        <v>5.61</v>
      </c>
      <c r="I141" s="123">
        <f t="shared" si="42"/>
        <v>5.61</v>
      </c>
      <c r="J141" s="123">
        <f t="shared" si="42"/>
        <v>5.61</v>
      </c>
      <c r="K141" s="123">
        <f t="shared" si="42"/>
        <v>5.61</v>
      </c>
      <c r="L141" s="123">
        <f t="shared" si="42"/>
        <v>5.61</v>
      </c>
      <c r="M141" s="123">
        <f t="shared" si="42"/>
        <v>5.61</v>
      </c>
      <c r="N141" s="123">
        <f t="shared" si="42"/>
        <v>5.61</v>
      </c>
      <c r="O141" s="123">
        <f t="shared" si="42"/>
        <v>5.61</v>
      </c>
      <c r="P141" s="123">
        <f t="shared" si="42"/>
        <v>5.61</v>
      </c>
      <c r="Q141" s="123">
        <f t="shared" si="42"/>
        <v>5.61</v>
      </c>
      <c r="R141" s="123">
        <f t="shared" si="42"/>
        <v>5.61</v>
      </c>
      <c r="S141" s="123">
        <f t="shared" si="42"/>
        <v>5.61</v>
      </c>
      <c r="T141" s="123">
        <f t="shared" si="43"/>
        <v>5.61</v>
      </c>
      <c r="U141" s="123">
        <f t="shared" si="43"/>
        <v>5.61</v>
      </c>
      <c r="V141" s="123">
        <f t="shared" si="43"/>
        <v>5.61</v>
      </c>
      <c r="W141" s="123">
        <f t="shared" si="43"/>
        <v>5.61</v>
      </c>
      <c r="X141" s="123">
        <f t="shared" si="43"/>
        <v>5.61</v>
      </c>
      <c r="Y141" s="123">
        <f t="shared" si="43"/>
        <v>5.61</v>
      </c>
      <c r="Z141" s="123">
        <f t="shared" si="43"/>
        <v>5.61</v>
      </c>
      <c r="AA141" s="123">
        <f t="shared" si="43"/>
        <v>5.61</v>
      </c>
      <c r="AB141" s="123">
        <f t="shared" si="43"/>
        <v>5.61</v>
      </c>
      <c r="AC141" s="123">
        <f t="shared" si="43"/>
        <v>5.61</v>
      </c>
      <c r="AD141" s="123">
        <f t="shared" si="43"/>
        <v>5.61</v>
      </c>
      <c r="AE141" s="123">
        <f t="shared" si="43"/>
        <v>5.61</v>
      </c>
      <c r="AF141" s="123">
        <f t="shared" si="43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1"/>
        <v>1.25</v>
      </c>
      <c r="C142" s="124">
        <v>1.25</v>
      </c>
      <c r="D142" s="123">
        <f t="shared" si="42"/>
        <v>1.25</v>
      </c>
      <c r="E142" s="123">
        <f t="shared" si="42"/>
        <v>1.25</v>
      </c>
      <c r="F142" s="123">
        <f t="shared" si="42"/>
        <v>1.25</v>
      </c>
      <c r="G142" s="123">
        <f t="shared" si="42"/>
        <v>1.25</v>
      </c>
      <c r="H142" s="123">
        <f t="shared" si="42"/>
        <v>1.25</v>
      </c>
      <c r="I142" s="123">
        <f t="shared" si="42"/>
        <v>1.25</v>
      </c>
      <c r="J142" s="123">
        <f t="shared" si="42"/>
        <v>1.25</v>
      </c>
      <c r="K142" s="123">
        <f t="shared" si="42"/>
        <v>1.25</v>
      </c>
      <c r="L142" s="123">
        <f t="shared" si="42"/>
        <v>1.25</v>
      </c>
      <c r="M142" s="123">
        <f t="shared" si="42"/>
        <v>1.25</v>
      </c>
      <c r="N142" s="123">
        <f t="shared" si="42"/>
        <v>1.25</v>
      </c>
      <c r="O142" s="123">
        <f t="shared" si="42"/>
        <v>1.25</v>
      </c>
      <c r="P142" s="123">
        <f t="shared" si="42"/>
        <v>1.25</v>
      </c>
      <c r="Q142" s="123">
        <f t="shared" si="42"/>
        <v>1.25</v>
      </c>
      <c r="R142" s="123">
        <f t="shared" si="42"/>
        <v>1.25</v>
      </c>
      <c r="S142" s="123">
        <f t="shared" si="42"/>
        <v>1.25</v>
      </c>
      <c r="T142" s="123">
        <f t="shared" si="43"/>
        <v>1.25</v>
      </c>
      <c r="U142" s="123">
        <f t="shared" si="43"/>
        <v>1.25</v>
      </c>
      <c r="V142" s="123">
        <f t="shared" si="43"/>
        <v>1.25</v>
      </c>
      <c r="W142" s="123">
        <f t="shared" si="43"/>
        <v>1.25</v>
      </c>
      <c r="X142" s="123">
        <f t="shared" si="43"/>
        <v>1.25</v>
      </c>
      <c r="Y142" s="123">
        <f t="shared" si="43"/>
        <v>1.25</v>
      </c>
      <c r="Z142" s="123">
        <f t="shared" si="43"/>
        <v>1.25</v>
      </c>
      <c r="AA142" s="123">
        <f t="shared" si="43"/>
        <v>1.25</v>
      </c>
      <c r="AB142" s="123">
        <f t="shared" si="43"/>
        <v>1.25</v>
      </c>
      <c r="AC142" s="123">
        <f t="shared" si="43"/>
        <v>1.25</v>
      </c>
      <c r="AD142" s="123">
        <f t="shared" si="43"/>
        <v>1.25</v>
      </c>
      <c r="AE142" s="123">
        <f t="shared" si="43"/>
        <v>1.25</v>
      </c>
      <c r="AF142" s="123">
        <f t="shared" si="43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1"/>
        <v>1.25</v>
      </c>
      <c r="C143" s="124">
        <v>1.25</v>
      </c>
      <c r="D143" s="123">
        <f t="shared" si="42"/>
        <v>1.25</v>
      </c>
      <c r="E143" s="123">
        <f t="shared" si="42"/>
        <v>1.25</v>
      </c>
      <c r="F143" s="123">
        <f t="shared" si="42"/>
        <v>1.25</v>
      </c>
      <c r="G143" s="123">
        <f t="shared" si="42"/>
        <v>1.25</v>
      </c>
      <c r="H143" s="123">
        <f t="shared" si="42"/>
        <v>1.25</v>
      </c>
      <c r="I143" s="123">
        <f t="shared" si="42"/>
        <v>1.25</v>
      </c>
      <c r="J143" s="123">
        <f t="shared" si="42"/>
        <v>1.25</v>
      </c>
      <c r="K143" s="123">
        <f t="shared" si="42"/>
        <v>1.25</v>
      </c>
      <c r="L143" s="123">
        <f t="shared" si="42"/>
        <v>1.25</v>
      </c>
      <c r="M143" s="123">
        <f t="shared" si="42"/>
        <v>1.25</v>
      </c>
      <c r="N143" s="123">
        <f t="shared" si="42"/>
        <v>1.25</v>
      </c>
      <c r="O143" s="123">
        <f t="shared" si="42"/>
        <v>1.25</v>
      </c>
      <c r="P143" s="123">
        <f t="shared" si="42"/>
        <v>1.25</v>
      </c>
      <c r="Q143" s="123">
        <f t="shared" si="42"/>
        <v>1.25</v>
      </c>
      <c r="R143" s="123">
        <f t="shared" si="42"/>
        <v>1.25</v>
      </c>
      <c r="S143" s="123">
        <f t="shared" si="42"/>
        <v>1.25</v>
      </c>
      <c r="T143" s="123">
        <f t="shared" si="43"/>
        <v>1.25</v>
      </c>
      <c r="U143" s="123">
        <f t="shared" si="43"/>
        <v>1.25</v>
      </c>
      <c r="V143" s="123">
        <f t="shared" si="43"/>
        <v>1.25</v>
      </c>
      <c r="W143" s="123">
        <f t="shared" si="43"/>
        <v>1.25</v>
      </c>
      <c r="X143" s="123">
        <f t="shared" si="43"/>
        <v>1.25</v>
      </c>
      <c r="Y143" s="123">
        <f t="shared" si="43"/>
        <v>1.25</v>
      </c>
      <c r="Z143" s="123">
        <f t="shared" si="43"/>
        <v>1.25</v>
      </c>
      <c r="AA143" s="123">
        <f t="shared" si="43"/>
        <v>1.25</v>
      </c>
      <c r="AB143" s="123">
        <f t="shared" si="43"/>
        <v>1.25</v>
      </c>
      <c r="AC143" s="123">
        <f t="shared" si="43"/>
        <v>1.25</v>
      </c>
      <c r="AD143" s="123">
        <f t="shared" si="43"/>
        <v>1.25</v>
      </c>
      <c r="AE143" s="123">
        <f t="shared" si="43"/>
        <v>1.25</v>
      </c>
      <c r="AF143" s="123">
        <f t="shared" si="43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1"/>
        <v>1.46</v>
      </c>
      <c r="C144" s="124">
        <v>1.46</v>
      </c>
      <c r="D144" s="123">
        <f t="shared" si="42"/>
        <v>1.46</v>
      </c>
      <c r="E144" s="123">
        <f t="shared" si="42"/>
        <v>1.46</v>
      </c>
      <c r="F144" s="123">
        <f t="shared" si="42"/>
        <v>1.46</v>
      </c>
      <c r="G144" s="123">
        <f t="shared" si="42"/>
        <v>1.46</v>
      </c>
      <c r="H144" s="123">
        <f t="shared" si="42"/>
        <v>1.46</v>
      </c>
      <c r="I144" s="123">
        <f t="shared" si="42"/>
        <v>1.46</v>
      </c>
      <c r="J144" s="123">
        <f t="shared" si="42"/>
        <v>1.46</v>
      </c>
      <c r="K144" s="123">
        <f t="shared" si="42"/>
        <v>1.46</v>
      </c>
      <c r="L144" s="123">
        <f t="shared" si="42"/>
        <v>1.46</v>
      </c>
      <c r="M144" s="123">
        <f t="shared" si="42"/>
        <v>1.46</v>
      </c>
      <c r="N144" s="123">
        <f t="shared" si="42"/>
        <v>1.46</v>
      </c>
      <c r="O144" s="123">
        <f t="shared" si="42"/>
        <v>1.46</v>
      </c>
      <c r="P144" s="123">
        <f t="shared" si="42"/>
        <v>1.46</v>
      </c>
      <c r="Q144" s="123">
        <f t="shared" si="42"/>
        <v>1.46</v>
      </c>
      <c r="R144" s="123">
        <f t="shared" si="42"/>
        <v>1.46</v>
      </c>
      <c r="S144" s="123">
        <f t="shared" si="42"/>
        <v>1.46</v>
      </c>
      <c r="T144" s="123">
        <f t="shared" si="43"/>
        <v>1.46</v>
      </c>
      <c r="U144" s="123">
        <f t="shared" si="43"/>
        <v>1.46</v>
      </c>
      <c r="V144" s="123">
        <f t="shared" si="43"/>
        <v>1.46</v>
      </c>
      <c r="W144" s="123">
        <f t="shared" si="43"/>
        <v>1.46</v>
      </c>
      <c r="X144" s="123">
        <f t="shared" si="43"/>
        <v>1.46</v>
      </c>
      <c r="Y144" s="123">
        <f t="shared" si="43"/>
        <v>1.46</v>
      </c>
      <c r="Z144" s="123">
        <f t="shared" si="43"/>
        <v>1.46</v>
      </c>
      <c r="AA144" s="123">
        <f t="shared" si="43"/>
        <v>1.46</v>
      </c>
      <c r="AB144" s="123">
        <f t="shared" si="43"/>
        <v>1.46</v>
      </c>
      <c r="AC144" s="123">
        <f t="shared" si="43"/>
        <v>1.46</v>
      </c>
      <c r="AD144" s="123">
        <f t="shared" si="43"/>
        <v>1.46</v>
      </c>
      <c r="AE144" s="123">
        <f t="shared" si="43"/>
        <v>1.46</v>
      </c>
      <c r="AF144" s="123">
        <f t="shared" si="43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1"/>
        <v>3</v>
      </c>
      <c r="C145" s="124">
        <v>3</v>
      </c>
      <c r="D145" s="123">
        <f t="shared" si="42"/>
        <v>3</v>
      </c>
      <c r="E145" s="123">
        <f t="shared" si="42"/>
        <v>3</v>
      </c>
      <c r="F145" s="123">
        <f t="shared" si="42"/>
        <v>3</v>
      </c>
      <c r="G145" s="123">
        <f t="shared" si="42"/>
        <v>3</v>
      </c>
      <c r="H145" s="123">
        <f t="shared" si="42"/>
        <v>3</v>
      </c>
      <c r="I145" s="123">
        <f t="shared" si="42"/>
        <v>3</v>
      </c>
      <c r="J145" s="123">
        <f t="shared" si="42"/>
        <v>3</v>
      </c>
      <c r="K145" s="123">
        <f t="shared" si="42"/>
        <v>3</v>
      </c>
      <c r="L145" s="123">
        <f t="shared" si="42"/>
        <v>3</v>
      </c>
      <c r="M145" s="123">
        <f t="shared" si="42"/>
        <v>3</v>
      </c>
      <c r="N145" s="123">
        <f t="shared" si="42"/>
        <v>3</v>
      </c>
      <c r="O145" s="123">
        <f t="shared" si="42"/>
        <v>3</v>
      </c>
      <c r="P145" s="123">
        <f t="shared" si="42"/>
        <v>3</v>
      </c>
      <c r="Q145" s="123">
        <f t="shared" si="42"/>
        <v>3</v>
      </c>
      <c r="R145" s="123">
        <f t="shared" si="42"/>
        <v>3</v>
      </c>
      <c r="S145" s="123">
        <f t="shared" si="42"/>
        <v>3</v>
      </c>
      <c r="T145" s="123">
        <f t="shared" si="43"/>
        <v>3</v>
      </c>
      <c r="U145" s="123">
        <f t="shared" si="43"/>
        <v>3</v>
      </c>
      <c r="V145" s="123">
        <f t="shared" si="43"/>
        <v>3</v>
      </c>
      <c r="W145" s="123">
        <f t="shared" si="43"/>
        <v>3</v>
      </c>
      <c r="X145" s="123">
        <f t="shared" si="43"/>
        <v>3</v>
      </c>
      <c r="Y145" s="123">
        <f t="shared" si="43"/>
        <v>3</v>
      </c>
      <c r="Z145" s="123">
        <f t="shared" si="43"/>
        <v>3</v>
      </c>
      <c r="AA145" s="123">
        <f t="shared" si="43"/>
        <v>3</v>
      </c>
      <c r="AB145" s="123">
        <f t="shared" si="43"/>
        <v>3</v>
      </c>
      <c r="AC145" s="123">
        <f t="shared" si="43"/>
        <v>3</v>
      </c>
      <c r="AD145" s="123">
        <f t="shared" si="43"/>
        <v>3</v>
      </c>
      <c r="AE145" s="123">
        <f t="shared" si="43"/>
        <v>3</v>
      </c>
      <c r="AF145" s="123">
        <f t="shared" si="43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1"/>
        <v>3.3</v>
      </c>
      <c r="C146" s="124">
        <v>3.3</v>
      </c>
      <c r="D146" s="123">
        <f t="shared" si="42"/>
        <v>3.3</v>
      </c>
      <c r="E146" s="123">
        <f t="shared" si="42"/>
        <v>3.3</v>
      </c>
      <c r="F146" s="123">
        <f t="shared" si="42"/>
        <v>3.3</v>
      </c>
      <c r="G146" s="123">
        <f t="shared" si="42"/>
        <v>3.3</v>
      </c>
      <c r="H146" s="123">
        <f t="shared" si="42"/>
        <v>3.3</v>
      </c>
      <c r="I146" s="123">
        <f t="shared" si="42"/>
        <v>3.3</v>
      </c>
      <c r="J146" s="123">
        <f t="shared" si="42"/>
        <v>3.3</v>
      </c>
      <c r="K146" s="123">
        <f t="shared" si="42"/>
        <v>3.3</v>
      </c>
      <c r="L146" s="123">
        <f t="shared" si="42"/>
        <v>3.3</v>
      </c>
      <c r="M146" s="123">
        <f t="shared" si="42"/>
        <v>3.3</v>
      </c>
      <c r="N146" s="123">
        <f t="shared" si="42"/>
        <v>3.3</v>
      </c>
      <c r="O146" s="123">
        <f t="shared" si="42"/>
        <v>3.3</v>
      </c>
      <c r="P146" s="123">
        <f t="shared" si="42"/>
        <v>3.3</v>
      </c>
      <c r="Q146" s="123">
        <f t="shared" si="42"/>
        <v>3.3</v>
      </c>
      <c r="R146" s="123">
        <f t="shared" si="42"/>
        <v>3.3</v>
      </c>
      <c r="S146" s="123">
        <f t="shared" si="42"/>
        <v>3.3</v>
      </c>
      <c r="T146" s="123">
        <f t="shared" si="43"/>
        <v>3.3</v>
      </c>
      <c r="U146" s="123">
        <f t="shared" si="43"/>
        <v>3.3</v>
      </c>
      <c r="V146" s="123">
        <f t="shared" si="43"/>
        <v>3.3</v>
      </c>
      <c r="W146" s="123">
        <f t="shared" si="43"/>
        <v>3.3</v>
      </c>
      <c r="X146" s="123">
        <f t="shared" si="43"/>
        <v>3.3</v>
      </c>
      <c r="Y146" s="123">
        <f t="shared" si="43"/>
        <v>3.3</v>
      </c>
      <c r="Z146" s="123">
        <f t="shared" si="43"/>
        <v>3.3</v>
      </c>
      <c r="AA146" s="123">
        <f t="shared" si="43"/>
        <v>3.3</v>
      </c>
      <c r="AB146" s="123">
        <f t="shared" si="43"/>
        <v>3.3</v>
      </c>
      <c r="AC146" s="123">
        <f t="shared" si="43"/>
        <v>3.3</v>
      </c>
      <c r="AD146" s="123">
        <f t="shared" si="43"/>
        <v>3.3</v>
      </c>
      <c r="AE146" s="123">
        <f t="shared" si="43"/>
        <v>3.3</v>
      </c>
      <c r="AF146" s="123">
        <f t="shared" si="43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4">C148</f>
        <v>1.76</v>
      </c>
      <c r="E148" s="123">
        <f t="shared" si="44"/>
        <v>1.76</v>
      </c>
      <c r="F148" s="123">
        <f t="shared" si="44"/>
        <v>1.76</v>
      </c>
      <c r="G148" s="123">
        <f t="shared" si="44"/>
        <v>1.76</v>
      </c>
      <c r="H148" s="123">
        <f t="shared" si="44"/>
        <v>1.76</v>
      </c>
      <c r="I148" s="123">
        <f t="shared" si="44"/>
        <v>1.76</v>
      </c>
      <c r="J148" s="123">
        <f t="shared" si="44"/>
        <v>1.76</v>
      </c>
      <c r="K148" s="123">
        <f t="shared" si="44"/>
        <v>1.76</v>
      </c>
      <c r="L148" s="123">
        <f t="shared" si="44"/>
        <v>1.76</v>
      </c>
      <c r="M148" s="123">
        <f t="shared" si="44"/>
        <v>1.76</v>
      </c>
      <c r="N148" s="123">
        <f t="shared" si="44"/>
        <v>1.76</v>
      </c>
      <c r="O148" s="123">
        <f t="shared" si="44"/>
        <v>1.76</v>
      </c>
      <c r="P148" s="123">
        <f t="shared" si="44"/>
        <v>1.76</v>
      </c>
      <c r="Q148" s="123">
        <f t="shared" si="44"/>
        <v>1.76</v>
      </c>
      <c r="R148" s="123">
        <f t="shared" si="44"/>
        <v>1.76</v>
      </c>
      <c r="S148" s="123">
        <f t="shared" si="44"/>
        <v>1.76</v>
      </c>
      <c r="T148" s="123">
        <f t="shared" ref="T148:AF149" si="45">S148</f>
        <v>1.76</v>
      </c>
      <c r="U148" s="123">
        <f t="shared" si="45"/>
        <v>1.76</v>
      </c>
      <c r="V148" s="123">
        <f t="shared" si="45"/>
        <v>1.76</v>
      </c>
      <c r="W148" s="123">
        <f t="shared" si="45"/>
        <v>1.76</v>
      </c>
      <c r="X148" s="123">
        <f t="shared" si="45"/>
        <v>1.76</v>
      </c>
      <c r="Y148" s="123">
        <f t="shared" si="45"/>
        <v>1.76</v>
      </c>
      <c r="Z148" s="123">
        <f t="shared" si="45"/>
        <v>1.76</v>
      </c>
      <c r="AA148" s="123">
        <f t="shared" si="45"/>
        <v>1.76</v>
      </c>
      <c r="AB148" s="123">
        <f t="shared" si="45"/>
        <v>1.76</v>
      </c>
      <c r="AC148" s="123">
        <f t="shared" si="45"/>
        <v>1.76</v>
      </c>
      <c r="AD148" s="123">
        <f t="shared" si="45"/>
        <v>1.76</v>
      </c>
      <c r="AE148" s="123">
        <f t="shared" si="45"/>
        <v>1.76</v>
      </c>
      <c r="AF148" s="123">
        <f t="shared" si="45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4"/>
        <v>0</v>
      </c>
      <c r="E149" s="123">
        <f t="shared" si="44"/>
        <v>0</v>
      </c>
      <c r="F149" s="123">
        <f t="shared" si="44"/>
        <v>0</v>
      </c>
      <c r="G149" s="123">
        <f t="shared" si="44"/>
        <v>0</v>
      </c>
      <c r="H149" s="123">
        <f t="shared" si="44"/>
        <v>0</v>
      </c>
      <c r="I149" s="123">
        <f t="shared" si="44"/>
        <v>0</v>
      </c>
      <c r="J149" s="123">
        <f t="shared" si="44"/>
        <v>0</v>
      </c>
      <c r="K149" s="123">
        <f t="shared" si="44"/>
        <v>0</v>
      </c>
      <c r="L149" s="123">
        <f t="shared" si="44"/>
        <v>0</v>
      </c>
      <c r="M149" s="123">
        <f t="shared" si="44"/>
        <v>0</v>
      </c>
      <c r="N149" s="123">
        <f t="shared" si="44"/>
        <v>0</v>
      </c>
      <c r="O149" s="123">
        <f t="shared" si="44"/>
        <v>0</v>
      </c>
      <c r="P149" s="123">
        <f t="shared" si="44"/>
        <v>0</v>
      </c>
      <c r="Q149" s="123">
        <f t="shared" si="44"/>
        <v>0</v>
      </c>
      <c r="R149" s="123">
        <f t="shared" si="44"/>
        <v>0</v>
      </c>
      <c r="S149" s="123">
        <f t="shared" si="44"/>
        <v>0</v>
      </c>
      <c r="T149" s="123">
        <f t="shared" si="45"/>
        <v>0</v>
      </c>
      <c r="U149" s="123">
        <f t="shared" si="45"/>
        <v>0</v>
      </c>
      <c r="V149" s="123">
        <f t="shared" si="45"/>
        <v>0</v>
      </c>
      <c r="W149" s="123">
        <f t="shared" si="45"/>
        <v>0</v>
      </c>
      <c r="X149" s="123">
        <f t="shared" si="45"/>
        <v>0</v>
      </c>
      <c r="Y149" s="123">
        <f t="shared" si="45"/>
        <v>0</v>
      </c>
      <c r="Z149" s="123">
        <f t="shared" si="45"/>
        <v>0</v>
      </c>
      <c r="AA149" s="123">
        <f t="shared" si="45"/>
        <v>0</v>
      </c>
      <c r="AB149" s="123">
        <f t="shared" si="45"/>
        <v>0</v>
      </c>
      <c r="AC149" s="123">
        <f t="shared" si="45"/>
        <v>0</v>
      </c>
      <c r="AD149" s="123">
        <f t="shared" si="45"/>
        <v>0</v>
      </c>
      <c r="AE149" s="123">
        <f t="shared" si="45"/>
        <v>0</v>
      </c>
      <c r="AF149" s="123">
        <f t="shared" si="45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6">C151</f>
        <v>0.1</v>
      </c>
      <c r="E151" s="123">
        <f t="shared" si="46"/>
        <v>0.1</v>
      </c>
      <c r="F151" s="123">
        <f t="shared" si="46"/>
        <v>0.1</v>
      </c>
      <c r="G151" s="123">
        <f t="shared" si="46"/>
        <v>0.1</v>
      </c>
      <c r="H151" s="123">
        <f t="shared" si="46"/>
        <v>0.1</v>
      </c>
      <c r="I151" s="123">
        <f t="shared" si="46"/>
        <v>0.1</v>
      </c>
      <c r="J151" s="123">
        <f t="shared" si="46"/>
        <v>0.1</v>
      </c>
      <c r="K151" s="123">
        <f t="shared" si="46"/>
        <v>0.1</v>
      </c>
      <c r="L151" s="123">
        <f t="shared" si="46"/>
        <v>0.1</v>
      </c>
      <c r="M151" s="123">
        <f t="shared" si="46"/>
        <v>0.1</v>
      </c>
      <c r="N151" s="123">
        <f t="shared" si="46"/>
        <v>0.1</v>
      </c>
      <c r="O151" s="123">
        <f t="shared" si="46"/>
        <v>0.1</v>
      </c>
      <c r="P151" s="123">
        <f t="shared" si="46"/>
        <v>0.1</v>
      </c>
      <c r="Q151" s="123">
        <f t="shared" si="46"/>
        <v>0.1</v>
      </c>
      <c r="R151" s="123">
        <f t="shared" si="46"/>
        <v>0.1</v>
      </c>
      <c r="S151" s="123">
        <f t="shared" si="46"/>
        <v>0.1</v>
      </c>
      <c r="T151" s="123">
        <f t="shared" ref="T151:AF154" si="47">S151</f>
        <v>0.1</v>
      </c>
      <c r="U151" s="123">
        <f t="shared" si="47"/>
        <v>0.1</v>
      </c>
      <c r="V151" s="123">
        <f t="shared" si="47"/>
        <v>0.1</v>
      </c>
      <c r="W151" s="123">
        <f t="shared" si="47"/>
        <v>0.1</v>
      </c>
      <c r="X151" s="123">
        <f t="shared" si="47"/>
        <v>0.1</v>
      </c>
      <c r="Y151" s="123">
        <f t="shared" si="47"/>
        <v>0.1</v>
      </c>
      <c r="Z151" s="123">
        <f t="shared" si="47"/>
        <v>0.1</v>
      </c>
      <c r="AA151" s="123">
        <f t="shared" si="47"/>
        <v>0.1</v>
      </c>
      <c r="AB151" s="123">
        <f t="shared" si="47"/>
        <v>0.1</v>
      </c>
      <c r="AC151" s="123">
        <f t="shared" si="47"/>
        <v>0.1</v>
      </c>
      <c r="AD151" s="123">
        <f t="shared" si="47"/>
        <v>0.1</v>
      </c>
      <c r="AE151" s="123">
        <f t="shared" si="47"/>
        <v>0.1</v>
      </c>
      <c r="AF151" s="123">
        <f t="shared" si="47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6"/>
        <v>2.0499999999999998</v>
      </c>
      <c r="E152" s="123">
        <f t="shared" si="46"/>
        <v>2.0499999999999998</v>
      </c>
      <c r="F152" s="123">
        <f t="shared" si="46"/>
        <v>2.0499999999999998</v>
      </c>
      <c r="G152" s="123">
        <f t="shared" si="46"/>
        <v>2.0499999999999998</v>
      </c>
      <c r="H152" s="123">
        <f t="shared" si="46"/>
        <v>2.0499999999999998</v>
      </c>
      <c r="I152" s="123">
        <f t="shared" si="46"/>
        <v>2.0499999999999998</v>
      </c>
      <c r="J152" s="123">
        <f t="shared" si="46"/>
        <v>2.0499999999999998</v>
      </c>
      <c r="K152" s="123">
        <f t="shared" si="46"/>
        <v>2.0499999999999998</v>
      </c>
      <c r="L152" s="123">
        <f t="shared" si="46"/>
        <v>2.0499999999999998</v>
      </c>
      <c r="M152" s="123">
        <f t="shared" si="46"/>
        <v>2.0499999999999998</v>
      </c>
      <c r="N152" s="123">
        <f t="shared" si="46"/>
        <v>2.0499999999999998</v>
      </c>
      <c r="O152" s="123">
        <f t="shared" si="46"/>
        <v>2.0499999999999998</v>
      </c>
      <c r="P152" s="123">
        <f t="shared" si="46"/>
        <v>2.0499999999999998</v>
      </c>
      <c r="Q152" s="123">
        <f t="shared" si="46"/>
        <v>2.0499999999999998</v>
      </c>
      <c r="R152" s="123">
        <f t="shared" si="46"/>
        <v>2.0499999999999998</v>
      </c>
      <c r="S152" s="123">
        <f t="shared" si="46"/>
        <v>2.0499999999999998</v>
      </c>
      <c r="T152" s="123">
        <f t="shared" si="47"/>
        <v>2.0499999999999998</v>
      </c>
      <c r="U152" s="123">
        <f t="shared" si="47"/>
        <v>2.0499999999999998</v>
      </c>
      <c r="V152" s="123">
        <f t="shared" si="47"/>
        <v>2.0499999999999998</v>
      </c>
      <c r="W152" s="123">
        <f t="shared" si="47"/>
        <v>2.0499999999999998</v>
      </c>
      <c r="X152" s="123">
        <f t="shared" si="47"/>
        <v>2.0499999999999998</v>
      </c>
      <c r="Y152" s="123">
        <f t="shared" si="47"/>
        <v>2.0499999999999998</v>
      </c>
      <c r="Z152" s="123">
        <f t="shared" si="47"/>
        <v>2.0499999999999998</v>
      </c>
      <c r="AA152" s="123">
        <f t="shared" si="47"/>
        <v>2.0499999999999998</v>
      </c>
      <c r="AB152" s="123">
        <f t="shared" si="47"/>
        <v>2.0499999999999998</v>
      </c>
      <c r="AC152" s="123">
        <f t="shared" si="47"/>
        <v>2.0499999999999998</v>
      </c>
      <c r="AD152" s="123">
        <f t="shared" si="47"/>
        <v>2.0499999999999998</v>
      </c>
      <c r="AE152" s="123">
        <f t="shared" si="47"/>
        <v>2.0499999999999998</v>
      </c>
      <c r="AF152" s="123">
        <f t="shared" si="47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6"/>
        <v>2.7</v>
      </c>
      <c r="E153" s="123">
        <f t="shared" si="46"/>
        <v>2.7</v>
      </c>
      <c r="F153" s="123">
        <f t="shared" si="46"/>
        <v>2.7</v>
      </c>
      <c r="G153" s="123">
        <f t="shared" si="46"/>
        <v>2.7</v>
      </c>
      <c r="H153" s="123">
        <f t="shared" si="46"/>
        <v>2.7</v>
      </c>
      <c r="I153" s="123">
        <f t="shared" si="46"/>
        <v>2.7</v>
      </c>
      <c r="J153" s="123">
        <f t="shared" si="46"/>
        <v>2.7</v>
      </c>
      <c r="K153" s="123">
        <f t="shared" si="46"/>
        <v>2.7</v>
      </c>
      <c r="L153" s="123">
        <f t="shared" si="46"/>
        <v>2.7</v>
      </c>
      <c r="M153" s="123">
        <f t="shared" si="46"/>
        <v>2.7</v>
      </c>
      <c r="N153" s="123">
        <f t="shared" si="46"/>
        <v>2.7</v>
      </c>
      <c r="O153" s="123">
        <f t="shared" si="46"/>
        <v>2.7</v>
      </c>
      <c r="P153" s="123">
        <f t="shared" si="46"/>
        <v>2.7</v>
      </c>
      <c r="Q153" s="123">
        <f t="shared" si="46"/>
        <v>2.7</v>
      </c>
      <c r="R153" s="123">
        <f t="shared" si="46"/>
        <v>2.7</v>
      </c>
      <c r="S153" s="123">
        <f t="shared" si="46"/>
        <v>2.7</v>
      </c>
      <c r="T153" s="123">
        <f t="shared" si="47"/>
        <v>2.7</v>
      </c>
      <c r="U153" s="123">
        <f t="shared" si="47"/>
        <v>2.7</v>
      </c>
      <c r="V153" s="123">
        <f t="shared" si="47"/>
        <v>2.7</v>
      </c>
      <c r="W153" s="123">
        <f t="shared" si="47"/>
        <v>2.7</v>
      </c>
      <c r="X153" s="123">
        <f t="shared" si="47"/>
        <v>2.7</v>
      </c>
      <c r="Y153" s="123">
        <f t="shared" si="47"/>
        <v>2.7</v>
      </c>
      <c r="Z153" s="123">
        <f t="shared" si="47"/>
        <v>2.7</v>
      </c>
      <c r="AA153" s="123">
        <f t="shared" si="47"/>
        <v>2.7</v>
      </c>
      <c r="AB153" s="123">
        <f t="shared" si="47"/>
        <v>2.7</v>
      </c>
      <c r="AC153" s="123">
        <f t="shared" si="47"/>
        <v>2.7</v>
      </c>
      <c r="AD153" s="123">
        <f t="shared" si="47"/>
        <v>2.7</v>
      </c>
      <c r="AE153" s="123">
        <f t="shared" si="47"/>
        <v>2.7</v>
      </c>
      <c r="AF153" s="123">
        <f t="shared" si="47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6"/>
        <v>2.15</v>
      </c>
      <c r="E154" s="123">
        <f t="shared" si="46"/>
        <v>2.15</v>
      </c>
      <c r="F154" s="123">
        <f t="shared" si="46"/>
        <v>2.15</v>
      </c>
      <c r="G154" s="123">
        <f t="shared" si="46"/>
        <v>2.15</v>
      </c>
      <c r="H154" s="123">
        <f t="shared" si="46"/>
        <v>2.15</v>
      </c>
      <c r="I154" s="123">
        <f t="shared" si="46"/>
        <v>2.15</v>
      </c>
      <c r="J154" s="123">
        <f t="shared" si="46"/>
        <v>2.15</v>
      </c>
      <c r="K154" s="123">
        <f t="shared" si="46"/>
        <v>2.15</v>
      </c>
      <c r="L154" s="123">
        <f t="shared" si="46"/>
        <v>2.15</v>
      </c>
      <c r="M154" s="123">
        <f t="shared" si="46"/>
        <v>2.15</v>
      </c>
      <c r="N154" s="123">
        <f t="shared" si="46"/>
        <v>2.15</v>
      </c>
      <c r="O154" s="123">
        <f t="shared" si="46"/>
        <v>2.15</v>
      </c>
      <c r="P154" s="123">
        <f t="shared" si="46"/>
        <v>2.15</v>
      </c>
      <c r="Q154" s="123">
        <f t="shared" si="46"/>
        <v>2.15</v>
      </c>
      <c r="R154" s="123">
        <f t="shared" si="46"/>
        <v>2.15</v>
      </c>
      <c r="S154" s="123">
        <f t="shared" si="46"/>
        <v>2.15</v>
      </c>
      <c r="T154" s="123">
        <f t="shared" si="47"/>
        <v>2.15</v>
      </c>
      <c r="U154" s="123">
        <f t="shared" si="47"/>
        <v>2.15</v>
      </c>
      <c r="V154" s="123">
        <f t="shared" si="47"/>
        <v>2.15</v>
      </c>
      <c r="W154" s="123">
        <f t="shared" si="47"/>
        <v>2.15</v>
      </c>
      <c r="X154" s="123">
        <f t="shared" si="47"/>
        <v>2.15</v>
      </c>
      <c r="Y154" s="123">
        <f t="shared" si="47"/>
        <v>2.15</v>
      </c>
      <c r="Z154" s="123">
        <f t="shared" si="47"/>
        <v>2.15</v>
      </c>
      <c r="AA154" s="123">
        <f t="shared" si="47"/>
        <v>2.15</v>
      </c>
      <c r="AB154" s="123">
        <f t="shared" si="47"/>
        <v>2.15</v>
      </c>
      <c r="AC154" s="123">
        <f t="shared" si="47"/>
        <v>2.15</v>
      </c>
      <c r="AD154" s="123">
        <f t="shared" si="47"/>
        <v>2.15</v>
      </c>
      <c r="AE154" s="123">
        <f t="shared" si="47"/>
        <v>2.15</v>
      </c>
      <c r="AF154" s="123">
        <f t="shared" si="47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8">AF156</f>
        <v>0.9</v>
      </c>
      <c r="C156" s="124">
        <v>0.9</v>
      </c>
      <c r="D156" s="123">
        <f t="shared" ref="D156:S168" si="49">C156</f>
        <v>0.9</v>
      </c>
      <c r="E156" s="123">
        <f t="shared" si="49"/>
        <v>0.9</v>
      </c>
      <c r="F156" s="123">
        <f t="shared" si="49"/>
        <v>0.9</v>
      </c>
      <c r="G156" s="123">
        <f t="shared" si="49"/>
        <v>0.9</v>
      </c>
      <c r="H156" s="123">
        <f t="shared" si="49"/>
        <v>0.9</v>
      </c>
      <c r="I156" s="123">
        <f t="shared" si="49"/>
        <v>0.9</v>
      </c>
      <c r="J156" s="123">
        <f t="shared" si="49"/>
        <v>0.9</v>
      </c>
      <c r="K156" s="123">
        <f t="shared" si="49"/>
        <v>0.9</v>
      </c>
      <c r="L156" s="123">
        <f t="shared" si="49"/>
        <v>0.9</v>
      </c>
      <c r="M156" s="123">
        <f t="shared" si="49"/>
        <v>0.9</v>
      </c>
      <c r="N156" s="123">
        <f t="shared" si="49"/>
        <v>0.9</v>
      </c>
      <c r="O156" s="123">
        <f t="shared" si="49"/>
        <v>0.9</v>
      </c>
      <c r="P156" s="123">
        <f t="shared" si="49"/>
        <v>0.9</v>
      </c>
      <c r="Q156" s="123">
        <f t="shared" si="49"/>
        <v>0.9</v>
      </c>
      <c r="R156" s="123">
        <f t="shared" si="49"/>
        <v>0.9</v>
      </c>
      <c r="S156" s="123">
        <f t="shared" si="49"/>
        <v>0.9</v>
      </c>
      <c r="T156" s="123">
        <f t="shared" ref="S156:AF168" si="50">S156</f>
        <v>0.9</v>
      </c>
      <c r="U156" s="123">
        <f t="shared" si="50"/>
        <v>0.9</v>
      </c>
      <c r="V156" s="123">
        <f t="shared" si="50"/>
        <v>0.9</v>
      </c>
      <c r="W156" s="123">
        <f t="shared" si="50"/>
        <v>0.9</v>
      </c>
      <c r="X156" s="123">
        <f t="shared" si="50"/>
        <v>0.9</v>
      </c>
      <c r="Y156" s="123">
        <f t="shared" si="50"/>
        <v>0.9</v>
      </c>
      <c r="Z156" s="123">
        <f t="shared" si="50"/>
        <v>0.9</v>
      </c>
      <c r="AA156" s="123">
        <f t="shared" si="50"/>
        <v>0.9</v>
      </c>
      <c r="AB156" s="123">
        <f t="shared" si="50"/>
        <v>0.9</v>
      </c>
      <c r="AC156" s="123">
        <f t="shared" si="50"/>
        <v>0.9</v>
      </c>
      <c r="AD156" s="123">
        <f t="shared" si="50"/>
        <v>0.9</v>
      </c>
      <c r="AE156" s="123">
        <f t="shared" si="50"/>
        <v>0.9</v>
      </c>
      <c r="AF156" s="123">
        <f t="shared" si="50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8"/>
        <v>1.08</v>
      </c>
      <c r="C157" s="124">
        <v>1.08</v>
      </c>
      <c r="D157" s="123">
        <f t="shared" si="49"/>
        <v>1.08</v>
      </c>
      <c r="E157" s="123">
        <f t="shared" si="49"/>
        <v>1.08</v>
      </c>
      <c r="F157" s="123">
        <f t="shared" si="49"/>
        <v>1.08</v>
      </c>
      <c r="G157" s="123">
        <f t="shared" si="49"/>
        <v>1.08</v>
      </c>
      <c r="H157" s="123">
        <f t="shared" si="49"/>
        <v>1.08</v>
      </c>
      <c r="I157" s="123">
        <f t="shared" si="49"/>
        <v>1.08</v>
      </c>
      <c r="J157" s="123">
        <f t="shared" si="49"/>
        <v>1.08</v>
      </c>
      <c r="K157" s="123">
        <f t="shared" si="49"/>
        <v>1.08</v>
      </c>
      <c r="L157" s="123">
        <f t="shared" si="49"/>
        <v>1.08</v>
      </c>
      <c r="M157" s="123">
        <f t="shared" si="49"/>
        <v>1.08</v>
      </c>
      <c r="N157" s="123">
        <f t="shared" si="49"/>
        <v>1.08</v>
      </c>
      <c r="O157" s="123">
        <f t="shared" si="49"/>
        <v>1.08</v>
      </c>
      <c r="P157" s="123">
        <f t="shared" si="49"/>
        <v>1.08</v>
      </c>
      <c r="Q157" s="123">
        <f t="shared" si="49"/>
        <v>1.08</v>
      </c>
      <c r="R157" s="123">
        <f t="shared" si="49"/>
        <v>1.08</v>
      </c>
      <c r="S157" s="123">
        <f t="shared" si="49"/>
        <v>1.08</v>
      </c>
      <c r="T157" s="123">
        <f t="shared" si="50"/>
        <v>1.08</v>
      </c>
      <c r="U157" s="123">
        <f t="shared" si="50"/>
        <v>1.08</v>
      </c>
      <c r="V157" s="123">
        <f t="shared" si="50"/>
        <v>1.08</v>
      </c>
      <c r="W157" s="123">
        <f t="shared" si="50"/>
        <v>1.08</v>
      </c>
      <c r="X157" s="123">
        <f t="shared" si="50"/>
        <v>1.08</v>
      </c>
      <c r="Y157" s="123">
        <f t="shared" si="50"/>
        <v>1.08</v>
      </c>
      <c r="Z157" s="123">
        <f t="shared" si="50"/>
        <v>1.08</v>
      </c>
      <c r="AA157" s="123">
        <f t="shared" si="50"/>
        <v>1.08</v>
      </c>
      <c r="AB157" s="123">
        <f t="shared" si="50"/>
        <v>1.08</v>
      </c>
      <c r="AC157" s="123">
        <f t="shared" si="50"/>
        <v>1.08</v>
      </c>
      <c r="AD157" s="123">
        <f t="shared" si="50"/>
        <v>1.08</v>
      </c>
      <c r="AE157" s="123">
        <f t="shared" si="50"/>
        <v>1.08</v>
      </c>
      <c r="AF157" s="123">
        <f t="shared" si="50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8"/>
        <v>2.37</v>
      </c>
      <c r="C158" s="124">
        <v>2.37</v>
      </c>
      <c r="D158" s="123">
        <f t="shared" si="49"/>
        <v>2.37</v>
      </c>
      <c r="E158" s="123">
        <f t="shared" si="49"/>
        <v>2.37</v>
      </c>
      <c r="F158" s="123">
        <f t="shared" si="49"/>
        <v>2.37</v>
      </c>
      <c r="G158" s="123">
        <f t="shared" si="49"/>
        <v>2.37</v>
      </c>
      <c r="H158" s="123">
        <f t="shared" si="49"/>
        <v>2.37</v>
      </c>
      <c r="I158" s="123">
        <f t="shared" si="49"/>
        <v>2.37</v>
      </c>
      <c r="J158" s="123">
        <f t="shared" si="49"/>
        <v>2.37</v>
      </c>
      <c r="K158" s="123">
        <f t="shared" si="49"/>
        <v>2.37</v>
      </c>
      <c r="L158" s="123">
        <f t="shared" si="49"/>
        <v>2.37</v>
      </c>
      <c r="M158" s="123">
        <f t="shared" si="49"/>
        <v>2.37</v>
      </c>
      <c r="N158" s="123">
        <f t="shared" si="49"/>
        <v>2.37</v>
      </c>
      <c r="O158" s="123">
        <f t="shared" si="49"/>
        <v>2.37</v>
      </c>
      <c r="P158" s="123">
        <f t="shared" si="49"/>
        <v>2.37</v>
      </c>
      <c r="Q158" s="123">
        <f t="shared" si="49"/>
        <v>2.37</v>
      </c>
      <c r="R158" s="123">
        <f t="shared" si="49"/>
        <v>2.37</v>
      </c>
      <c r="S158" s="123">
        <f t="shared" si="49"/>
        <v>2.37</v>
      </c>
      <c r="T158" s="123">
        <f t="shared" si="50"/>
        <v>2.37</v>
      </c>
      <c r="U158" s="123">
        <f t="shared" si="50"/>
        <v>2.37</v>
      </c>
      <c r="V158" s="123">
        <f t="shared" si="50"/>
        <v>2.37</v>
      </c>
      <c r="W158" s="123">
        <f t="shared" si="50"/>
        <v>2.37</v>
      </c>
      <c r="X158" s="123">
        <f t="shared" si="50"/>
        <v>2.37</v>
      </c>
      <c r="Y158" s="123">
        <f t="shared" si="50"/>
        <v>2.37</v>
      </c>
      <c r="Z158" s="123">
        <f t="shared" si="50"/>
        <v>2.37</v>
      </c>
      <c r="AA158" s="123">
        <f t="shared" si="50"/>
        <v>2.37</v>
      </c>
      <c r="AB158" s="123">
        <f t="shared" si="50"/>
        <v>2.37</v>
      </c>
      <c r="AC158" s="123">
        <f t="shared" si="50"/>
        <v>2.37</v>
      </c>
      <c r="AD158" s="123">
        <f t="shared" si="50"/>
        <v>2.37</v>
      </c>
      <c r="AE158" s="123">
        <f t="shared" si="50"/>
        <v>2.37</v>
      </c>
      <c r="AF158" s="123">
        <f t="shared" si="50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8"/>
        <v>1.81</v>
      </c>
      <c r="C159" s="124">
        <v>1.81</v>
      </c>
      <c r="D159" s="123">
        <f t="shared" si="49"/>
        <v>1.81</v>
      </c>
      <c r="E159" s="123">
        <f t="shared" si="49"/>
        <v>1.81</v>
      </c>
      <c r="F159" s="123">
        <f t="shared" si="49"/>
        <v>1.81</v>
      </c>
      <c r="G159" s="123">
        <f t="shared" si="49"/>
        <v>1.81</v>
      </c>
      <c r="H159" s="123">
        <f t="shared" si="49"/>
        <v>1.81</v>
      </c>
      <c r="I159" s="123">
        <f t="shared" si="49"/>
        <v>1.81</v>
      </c>
      <c r="J159" s="123">
        <f t="shared" si="49"/>
        <v>1.81</v>
      </c>
      <c r="K159" s="123">
        <f t="shared" si="49"/>
        <v>1.81</v>
      </c>
      <c r="L159" s="123">
        <f t="shared" si="49"/>
        <v>1.81</v>
      </c>
      <c r="M159" s="123">
        <f t="shared" si="49"/>
        <v>1.81</v>
      </c>
      <c r="N159" s="123">
        <f t="shared" si="49"/>
        <v>1.81</v>
      </c>
      <c r="O159" s="123">
        <f t="shared" si="49"/>
        <v>1.81</v>
      </c>
      <c r="P159" s="123">
        <f t="shared" si="49"/>
        <v>1.81</v>
      </c>
      <c r="Q159" s="123">
        <f t="shared" si="49"/>
        <v>1.81</v>
      </c>
      <c r="R159" s="123">
        <f t="shared" si="49"/>
        <v>1.81</v>
      </c>
      <c r="S159" s="123">
        <f t="shared" si="49"/>
        <v>1.81</v>
      </c>
      <c r="T159" s="123">
        <f t="shared" si="50"/>
        <v>1.81</v>
      </c>
      <c r="U159" s="123">
        <f t="shared" si="50"/>
        <v>1.81</v>
      </c>
      <c r="V159" s="123">
        <f t="shared" si="50"/>
        <v>1.81</v>
      </c>
      <c r="W159" s="123">
        <f t="shared" si="50"/>
        <v>1.81</v>
      </c>
      <c r="X159" s="123">
        <f t="shared" si="50"/>
        <v>1.81</v>
      </c>
      <c r="Y159" s="123">
        <f t="shared" si="50"/>
        <v>1.81</v>
      </c>
      <c r="Z159" s="123">
        <f t="shared" si="50"/>
        <v>1.81</v>
      </c>
      <c r="AA159" s="123">
        <f t="shared" si="50"/>
        <v>1.81</v>
      </c>
      <c r="AB159" s="123">
        <f t="shared" si="50"/>
        <v>1.81</v>
      </c>
      <c r="AC159" s="123">
        <f t="shared" si="50"/>
        <v>1.81</v>
      </c>
      <c r="AD159" s="123">
        <f t="shared" si="50"/>
        <v>1.81</v>
      </c>
      <c r="AE159" s="123">
        <f t="shared" si="50"/>
        <v>1.81</v>
      </c>
      <c r="AF159" s="123">
        <f t="shared" si="50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8"/>
        <v>1.0900000000000001</v>
      </c>
      <c r="C160" s="124">
        <v>1.0900000000000001</v>
      </c>
      <c r="D160" s="123">
        <f t="shared" si="49"/>
        <v>1.0900000000000001</v>
      </c>
      <c r="E160" s="123">
        <f t="shared" si="49"/>
        <v>1.0900000000000001</v>
      </c>
      <c r="F160" s="123">
        <f t="shared" si="49"/>
        <v>1.0900000000000001</v>
      </c>
      <c r="G160" s="123">
        <f t="shared" si="49"/>
        <v>1.0900000000000001</v>
      </c>
      <c r="H160" s="123">
        <f t="shared" si="49"/>
        <v>1.0900000000000001</v>
      </c>
      <c r="I160" s="123">
        <f t="shared" si="49"/>
        <v>1.0900000000000001</v>
      </c>
      <c r="J160" s="123">
        <f t="shared" si="49"/>
        <v>1.0900000000000001</v>
      </c>
      <c r="K160" s="123">
        <f t="shared" si="49"/>
        <v>1.0900000000000001</v>
      </c>
      <c r="L160" s="123">
        <f t="shared" si="49"/>
        <v>1.0900000000000001</v>
      </c>
      <c r="M160" s="123">
        <f t="shared" si="49"/>
        <v>1.0900000000000001</v>
      </c>
      <c r="N160" s="123">
        <f t="shared" si="49"/>
        <v>1.0900000000000001</v>
      </c>
      <c r="O160" s="123">
        <f t="shared" si="49"/>
        <v>1.0900000000000001</v>
      </c>
      <c r="P160" s="123">
        <f t="shared" si="49"/>
        <v>1.0900000000000001</v>
      </c>
      <c r="Q160" s="123">
        <f t="shared" si="49"/>
        <v>1.0900000000000001</v>
      </c>
      <c r="R160" s="123">
        <f t="shared" si="49"/>
        <v>1.0900000000000001</v>
      </c>
      <c r="S160" s="123">
        <f t="shared" si="49"/>
        <v>1.0900000000000001</v>
      </c>
      <c r="T160" s="123">
        <f t="shared" si="50"/>
        <v>1.0900000000000001</v>
      </c>
      <c r="U160" s="123">
        <f t="shared" si="50"/>
        <v>1.0900000000000001</v>
      </c>
      <c r="V160" s="123">
        <f t="shared" si="50"/>
        <v>1.0900000000000001</v>
      </c>
      <c r="W160" s="123">
        <f t="shared" si="50"/>
        <v>1.0900000000000001</v>
      </c>
      <c r="X160" s="123">
        <f t="shared" si="50"/>
        <v>1.0900000000000001</v>
      </c>
      <c r="Y160" s="123">
        <f t="shared" si="50"/>
        <v>1.0900000000000001</v>
      </c>
      <c r="Z160" s="123">
        <f t="shared" si="50"/>
        <v>1.0900000000000001</v>
      </c>
      <c r="AA160" s="123">
        <f t="shared" si="50"/>
        <v>1.0900000000000001</v>
      </c>
      <c r="AB160" s="123">
        <f t="shared" si="50"/>
        <v>1.0900000000000001</v>
      </c>
      <c r="AC160" s="123">
        <f t="shared" si="50"/>
        <v>1.0900000000000001</v>
      </c>
      <c r="AD160" s="123">
        <f t="shared" si="50"/>
        <v>1.0900000000000001</v>
      </c>
      <c r="AE160" s="123">
        <f t="shared" si="50"/>
        <v>1.0900000000000001</v>
      </c>
      <c r="AF160" s="123">
        <f t="shared" si="50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8"/>
        <v>1.58</v>
      </c>
      <c r="C161" s="124">
        <v>1.58</v>
      </c>
      <c r="D161" s="123">
        <f t="shared" si="49"/>
        <v>1.58</v>
      </c>
      <c r="E161" s="123">
        <f t="shared" si="49"/>
        <v>1.58</v>
      </c>
      <c r="F161" s="123">
        <f t="shared" si="49"/>
        <v>1.58</v>
      </c>
      <c r="G161" s="123">
        <f t="shared" si="49"/>
        <v>1.58</v>
      </c>
      <c r="H161" s="123">
        <f t="shared" si="49"/>
        <v>1.58</v>
      </c>
      <c r="I161" s="123">
        <f t="shared" si="49"/>
        <v>1.58</v>
      </c>
      <c r="J161" s="123">
        <f t="shared" si="49"/>
        <v>1.58</v>
      </c>
      <c r="K161" s="123">
        <f t="shared" si="49"/>
        <v>1.58</v>
      </c>
      <c r="L161" s="123">
        <f t="shared" si="49"/>
        <v>1.58</v>
      </c>
      <c r="M161" s="123">
        <f t="shared" si="49"/>
        <v>1.58</v>
      </c>
      <c r="N161" s="123">
        <f t="shared" si="49"/>
        <v>1.58</v>
      </c>
      <c r="O161" s="123">
        <f t="shared" si="49"/>
        <v>1.58</v>
      </c>
      <c r="P161" s="123">
        <f t="shared" si="49"/>
        <v>1.58</v>
      </c>
      <c r="Q161" s="123">
        <f t="shared" si="49"/>
        <v>1.58</v>
      </c>
      <c r="R161" s="123">
        <f t="shared" si="49"/>
        <v>1.58</v>
      </c>
      <c r="S161" s="123">
        <f t="shared" si="49"/>
        <v>1.58</v>
      </c>
      <c r="T161" s="123">
        <f t="shared" si="50"/>
        <v>1.58</v>
      </c>
      <c r="U161" s="123">
        <f t="shared" si="50"/>
        <v>1.58</v>
      </c>
      <c r="V161" s="123">
        <f t="shared" si="50"/>
        <v>1.58</v>
      </c>
      <c r="W161" s="123">
        <f t="shared" si="50"/>
        <v>1.58</v>
      </c>
      <c r="X161" s="123">
        <f t="shared" si="50"/>
        <v>1.58</v>
      </c>
      <c r="Y161" s="123">
        <f t="shared" si="50"/>
        <v>1.58</v>
      </c>
      <c r="Z161" s="123">
        <f t="shared" si="50"/>
        <v>1.58</v>
      </c>
      <c r="AA161" s="123">
        <f t="shared" si="50"/>
        <v>1.58</v>
      </c>
      <c r="AB161" s="123">
        <f t="shared" si="50"/>
        <v>1.58</v>
      </c>
      <c r="AC161" s="123">
        <f t="shared" si="50"/>
        <v>1.58</v>
      </c>
      <c r="AD161" s="123">
        <f t="shared" si="50"/>
        <v>1.58</v>
      </c>
      <c r="AE161" s="123">
        <f t="shared" si="50"/>
        <v>1.58</v>
      </c>
      <c r="AF161" s="123">
        <f t="shared" si="50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8"/>
        <v>2</v>
      </c>
      <c r="C162" s="124">
        <v>2</v>
      </c>
      <c r="D162" s="123">
        <f t="shared" si="49"/>
        <v>2</v>
      </c>
      <c r="E162" s="123">
        <f t="shared" si="49"/>
        <v>2</v>
      </c>
      <c r="F162" s="123">
        <f t="shared" si="49"/>
        <v>2</v>
      </c>
      <c r="G162" s="123">
        <f t="shared" si="49"/>
        <v>2</v>
      </c>
      <c r="H162" s="123">
        <f t="shared" si="49"/>
        <v>2</v>
      </c>
      <c r="I162" s="123">
        <f t="shared" si="49"/>
        <v>2</v>
      </c>
      <c r="J162" s="123">
        <f t="shared" si="49"/>
        <v>2</v>
      </c>
      <c r="K162" s="123">
        <f t="shared" si="49"/>
        <v>2</v>
      </c>
      <c r="L162" s="123">
        <f t="shared" si="49"/>
        <v>2</v>
      </c>
      <c r="M162" s="123">
        <f t="shared" si="49"/>
        <v>2</v>
      </c>
      <c r="N162" s="123">
        <f t="shared" si="49"/>
        <v>2</v>
      </c>
      <c r="O162" s="123">
        <f t="shared" si="49"/>
        <v>2</v>
      </c>
      <c r="P162" s="123">
        <f t="shared" si="49"/>
        <v>2</v>
      </c>
      <c r="Q162" s="123">
        <f t="shared" si="49"/>
        <v>2</v>
      </c>
      <c r="R162" s="123">
        <f t="shared" si="49"/>
        <v>2</v>
      </c>
      <c r="S162" s="123">
        <f t="shared" si="49"/>
        <v>2</v>
      </c>
      <c r="T162" s="123">
        <f t="shared" si="50"/>
        <v>2</v>
      </c>
      <c r="U162" s="123">
        <f t="shared" si="50"/>
        <v>2</v>
      </c>
      <c r="V162" s="123">
        <f t="shared" si="50"/>
        <v>2</v>
      </c>
      <c r="W162" s="123">
        <f t="shared" si="50"/>
        <v>2</v>
      </c>
      <c r="X162" s="123">
        <f t="shared" si="50"/>
        <v>2</v>
      </c>
      <c r="Y162" s="123">
        <f t="shared" si="50"/>
        <v>2</v>
      </c>
      <c r="Z162" s="123">
        <f t="shared" si="50"/>
        <v>2</v>
      </c>
      <c r="AA162" s="123">
        <f t="shared" si="50"/>
        <v>2</v>
      </c>
      <c r="AB162" s="123">
        <f t="shared" si="50"/>
        <v>2</v>
      </c>
      <c r="AC162" s="123">
        <f t="shared" si="50"/>
        <v>2</v>
      </c>
      <c r="AD162" s="123">
        <f t="shared" si="50"/>
        <v>2</v>
      </c>
      <c r="AE162" s="123">
        <f t="shared" si="50"/>
        <v>2</v>
      </c>
      <c r="AF162" s="123">
        <f t="shared" si="50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8"/>
        <v>0.47</v>
      </c>
      <c r="C163" s="124">
        <v>0.47</v>
      </c>
      <c r="D163" s="123">
        <f t="shared" si="49"/>
        <v>0.47</v>
      </c>
      <c r="E163" s="123">
        <f t="shared" si="49"/>
        <v>0.47</v>
      </c>
      <c r="F163" s="123">
        <f t="shared" si="49"/>
        <v>0.47</v>
      </c>
      <c r="G163" s="123">
        <f t="shared" si="49"/>
        <v>0.47</v>
      </c>
      <c r="H163" s="123">
        <f t="shared" si="49"/>
        <v>0.47</v>
      </c>
      <c r="I163" s="123">
        <f t="shared" si="49"/>
        <v>0.47</v>
      </c>
      <c r="J163" s="123">
        <f t="shared" si="49"/>
        <v>0.47</v>
      </c>
      <c r="K163" s="123">
        <f t="shared" si="49"/>
        <v>0.47</v>
      </c>
      <c r="L163" s="123">
        <f t="shared" si="49"/>
        <v>0.47</v>
      </c>
      <c r="M163" s="123">
        <f t="shared" si="49"/>
        <v>0.47</v>
      </c>
      <c r="N163" s="123">
        <f t="shared" si="49"/>
        <v>0.47</v>
      </c>
      <c r="O163" s="123">
        <f t="shared" si="49"/>
        <v>0.47</v>
      </c>
      <c r="P163" s="123">
        <f t="shared" si="49"/>
        <v>0.47</v>
      </c>
      <c r="Q163" s="123">
        <f t="shared" si="49"/>
        <v>0.47</v>
      </c>
      <c r="R163" s="123">
        <f t="shared" si="49"/>
        <v>0.47</v>
      </c>
      <c r="S163" s="123">
        <f t="shared" si="49"/>
        <v>0.47</v>
      </c>
      <c r="T163" s="123">
        <f t="shared" si="50"/>
        <v>0.47</v>
      </c>
      <c r="U163" s="123">
        <f t="shared" si="50"/>
        <v>0.47</v>
      </c>
      <c r="V163" s="123">
        <f t="shared" si="50"/>
        <v>0.47</v>
      </c>
      <c r="W163" s="123">
        <f t="shared" si="50"/>
        <v>0.47</v>
      </c>
      <c r="X163" s="123">
        <f t="shared" si="50"/>
        <v>0.47</v>
      </c>
      <c r="Y163" s="123">
        <f t="shared" si="50"/>
        <v>0.47</v>
      </c>
      <c r="Z163" s="123">
        <f t="shared" si="50"/>
        <v>0.47</v>
      </c>
      <c r="AA163" s="123">
        <f t="shared" si="50"/>
        <v>0.47</v>
      </c>
      <c r="AB163" s="123">
        <f t="shared" si="50"/>
        <v>0.47</v>
      </c>
      <c r="AC163" s="123">
        <f t="shared" si="50"/>
        <v>0.47</v>
      </c>
      <c r="AD163" s="123">
        <f t="shared" si="50"/>
        <v>0.47</v>
      </c>
      <c r="AE163" s="123">
        <f t="shared" si="50"/>
        <v>0.47</v>
      </c>
      <c r="AF163" s="123">
        <f t="shared" si="50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8"/>
        <v>0</v>
      </c>
      <c r="C164" s="124">
        <v>0</v>
      </c>
      <c r="D164" s="123">
        <f t="shared" si="49"/>
        <v>0</v>
      </c>
      <c r="E164" s="123">
        <f t="shared" si="49"/>
        <v>0</v>
      </c>
      <c r="F164" s="123">
        <f t="shared" si="49"/>
        <v>0</v>
      </c>
      <c r="G164" s="123">
        <f t="shared" si="49"/>
        <v>0</v>
      </c>
      <c r="H164" s="123">
        <f t="shared" si="49"/>
        <v>0</v>
      </c>
      <c r="I164" s="123">
        <f t="shared" si="49"/>
        <v>0</v>
      </c>
      <c r="J164" s="123">
        <f t="shared" si="49"/>
        <v>0</v>
      </c>
      <c r="K164" s="123">
        <f t="shared" si="49"/>
        <v>0</v>
      </c>
      <c r="L164" s="123">
        <f t="shared" si="49"/>
        <v>0</v>
      </c>
      <c r="M164" s="123">
        <f t="shared" si="49"/>
        <v>0</v>
      </c>
      <c r="N164" s="123">
        <f t="shared" si="49"/>
        <v>0</v>
      </c>
      <c r="O164" s="123">
        <f t="shared" si="49"/>
        <v>0</v>
      </c>
      <c r="P164" s="123">
        <f t="shared" si="49"/>
        <v>0</v>
      </c>
      <c r="Q164" s="123">
        <f t="shared" si="49"/>
        <v>0</v>
      </c>
      <c r="R164" s="123">
        <f t="shared" si="49"/>
        <v>0</v>
      </c>
      <c r="S164" s="123">
        <f t="shared" si="49"/>
        <v>0</v>
      </c>
      <c r="T164" s="123">
        <f t="shared" si="50"/>
        <v>0</v>
      </c>
      <c r="U164" s="123">
        <f t="shared" si="50"/>
        <v>0</v>
      </c>
      <c r="V164" s="123">
        <f t="shared" si="50"/>
        <v>0</v>
      </c>
      <c r="W164" s="123">
        <f t="shared" si="50"/>
        <v>0</v>
      </c>
      <c r="X164" s="123">
        <f t="shared" si="50"/>
        <v>0</v>
      </c>
      <c r="Y164" s="123">
        <f t="shared" si="50"/>
        <v>0</v>
      </c>
      <c r="Z164" s="123">
        <f t="shared" si="50"/>
        <v>0</v>
      </c>
      <c r="AA164" s="123">
        <f t="shared" si="50"/>
        <v>0</v>
      </c>
      <c r="AB164" s="123">
        <f t="shared" si="50"/>
        <v>0</v>
      </c>
      <c r="AC164" s="123">
        <f t="shared" si="50"/>
        <v>0</v>
      </c>
      <c r="AD164" s="123">
        <f t="shared" si="50"/>
        <v>0</v>
      </c>
      <c r="AE164" s="123">
        <f t="shared" si="50"/>
        <v>0</v>
      </c>
      <c r="AF164" s="123">
        <f t="shared" si="50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8"/>
        <v>0</v>
      </c>
      <c r="C165" s="124">
        <v>0</v>
      </c>
      <c r="D165" s="123">
        <f t="shared" si="49"/>
        <v>0</v>
      </c>
      <c r="E165" s="123">
        <f t="shared" si="49"/>
        <v>0</v>
      </c>
      <c r="F165" s="123">
        <f t="shared" si="49"/>
        <v>0</v>
      </c>
      <c r="G165" s="123">
        <f t="shared" si="49"/>
        <v>0</v>
      </c>
      <c r="H165" s="123">
        <f t="shared" si="49"/>
        <v>0</v>
      </c>
      <c r="I165" s="123">
        <f t="shared" si="49"/>
        <v>0</v>
      </c>
      <c r="J165" s="123">
        <f t="shared" si="49"/>
        <v>0</v>
      </c>
      <c r="K165" s="123">
        <f t="shared" si="49"/>
        <v>0</v>
      </c>
      <c r="L165" s="123">
        <f t="shared" si="49"/>
        <v>0</v>
      </c>
      <c r="M165" s="123">
        <f t="shared" si="49"/>
        <v>0</v>
      </c>
      <c r="N165" s="123">
        <f t="shared" si="49"/>
        <v>0</v>
      </c>
      <c r="O165" s="123">
        <f t="shared" si="49"/>
        <v>0</v>
      </c>
      <c r="P165" s="123">
        <f t="shared" si="49"/>
        <v>0</v>
      </c>
      <c r="Q165" s="123">
        <f t="shared" si="49"/>
        <v>0</v>
      </c>
      <c r="R165" s="123">
        <f t="shared" si="49"/>
        <v>0</v>
      </c>
      <c r="S165" s="123">
        <f t="shared" si="50"/>
        <v>0</v>
      </c>
      <c r="T165" s="123">
        <f t="shared" si="50"/>
        <v>0</v>
      </c>
      <c r="U165" s="123">
        <f t="shared" si="50"/>
        <v>0</v>
      </c>
      <c r="V165" s="123">
        <f t="shared" si="50"/>
        <v>0</v>
      </c>
      <c r="W165" s="123">
        <f t="shared" si="50"/>
        <v>0</v>
      </c>
      <c r="X165" s="123">
        <f t="shared" si="50"/>
        <v>0</v>
      </c>
      <c r="Y165" s="123">
        <f t="shared" si="50"/>
        <v>0</v>
      </c>
      <c r="Z165" s="123">
        <f t="shared" si="50"/>
        <v>0</v>
      </c>
      <c r="AA165" s="123">
        <f t="shared" si="50"/>
        <v>0</v>
      </c>
      <c r="AB165" s="123">
        <f t="shared" si="50"/>
        <v>0</v>
      </c>
      <c r="AC165" s="123">
        <f t="shared" si="50"/>
        <v>0</v>
      </c>
      <c r="AD165" s="123">
        <f t="shared" si="50"/>
        <v>0</v>
      </c>
      <c r="AE165" s="123">
        <f t="shared" si="50"/>
        <v>0</v>
      </c>
      <c r="AF165" s="123">
        <f t="shared" si="50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8"/>
        <v>0.8</v>
      </c>
      <c r="C166" s="124">
        <v>0.8</v>
      </c>
      <c r="D166" s="123">
        <f t="shared" si="49"/>
        <v>0.8</v>
      </c>
      <c r="E166" s="123">
        <f t="shared" si="49"/>
        <v>0.8</v>
      </c>
      <c r="F166" s="123">
        <f t="shared" si="49"/>
        <v>0.8</v>
      </c>
      <c r="G166" s="123">
        <f t="shared" si="49"/>
        <v>0.8</v>
      </c>
      <c r="H166" s="123">
        <f t="shared" si="49"/>
        <v>0.8</v>
      </c>
      <c r="I166" s="123">
        <f t="shared" si="49"/>
        <v>0.8</v>
      </c>
      <c r="J166" s="123">
        <f t="shared" si="49"/>
        <v>0.8</v>
      </c>
      <c r="K166" s="123">
        <f t="shared" si="49"/>
        <v>0.8</v>
      </c>
      <c r="L166" s="123">
        <f t="shared" si="49"/>
        <v>0.8</v>
      </c>
      <c r="M166" s="123">
        <f t="shared" si="49"/>
        <v>0.8</v>
      </c>
      <c r="N166" s="123">
        <f t="shared" si="49"/>
        <v>0.8</v>
      </c>
      <c r="O166" s="123">
        <f t="shared" si="49"/>
        <v>0.8</v>
      </c>
      <c r="P166" s="123">
        <f t="shared" si="49"/>
        <v>0.8</v>
      </c>
      <c r="Q166" s="123">
        <f t="shared" si="49"/>
        <v>0.8</v>
      </c>
      <c r="R166" s="123">
        <f t="shared" si="49"/>
        <v>0.8</v>
      </c>
      <c r="S166" s="123">
        <f t="shared" si="50"/>
        <v>0.8</v>
      </c>
      <c r="T166" s="123">
        <f t="shared" si="50"/>
        <v>0.8</v>
      </c>
      <c r="U166" s="123">
        <f t="shared" si="50"/>
        <v>0.8</v>
      </c>
      <c r="V166" s="123">
        <f t="shared" si="50"/>
        <v>0.8</v>
      </c>
      <c r="W166" s="123">
        <f t="shared" si="50"/>
        <v>0.8</v>
      </c>
      <c r="X166" s="123">
        <f t="shared" si="50"/>
        <v>0.8</v>
      </c>
      <c r="Y166" s="123">
        <f t="shared" si="50"/>
        <v>0.8</v>
      </c>
      <c r="Z166" s="123">
        <f t="shared" si="50"/>
        <v>0.8</v>
      </c>
      <c r="AA166" s="123">
        <f t="shared" si="50"/>
        <v>0.8</v>
      </c>
      <c r="AB166" s="123">
        <f t="shared" si="50"/>
        <v>0.8</v>
      </c>
      <c r="AC166" s="123">
        <f t="shared" si="50"/>
        <v>0.8</v>
      </c>
      <c r="AD166" s="123">
        <f t="shared" si="50"/>
        <v>0.8</v>
      </c>
      <c r="AE166" s="123">
        <f t="shared" si="50"/>
        <v>0.8</v>
      </c>
      <c r="AF166" s="123">
        <f t="shared" si="50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8"/>
        <v>1.5</v>
      </c>
      <c r="C167" s="124">
        <v>1.5</v>
      </c>
      <c r="D167" s="123">
        <f t="shared" si="49"/>
        <v>1.5</v>
      </c>
      <c r="E167" s="123">
        <f t="shared" si="49"/>
        <v>1.5</v>
      </c>
      <c r="F167" s="123">
        <f t="shared" si="49"/>
        <v>1.5</v>
      </c>
      <c r="G167" s="123">
        <f t="shared" si="49"/>
        <v>1.5</v>
      </c>
      <c r="H167" s="123">
        <f t="shared" si="49"/>
        <v>1.5</v>
      </c>
      <c r="I167" s="123">
        <f t="shared" si="49"/>
        <v>1.5</v>
      </c>
      <c r="J167" s="123">
        <f t="shared" si="49"/>
        <v>1.5</v>
      </c>
      <c r="K167" s="123">
        <f t="shared" si="49"/>
        <v>1.5</v>
      </c>
      <c r="L167" s="123">
        <f t="shared" si="49"/>
        <v>1.5</v>
      </c>
      <c r="M167" s="123">
        <f t="shared" si="49"/>
        <v>1.5</v>
      </c>
      <c r="N167" s="123">
        <f t="shared" si="49"/>
        <v>1.5</v>
      </c>
      <c r="O167" s="123">
        <f t="shared" si="49"/>
        <v>1.5</v>
      </c>
      <c r="P167" s="123">
        <f t="shared" si="49"/>
        <v>1.5</v>
      </c>
      <c r="Q167" s="123">
        <f t="shared" si="49"/>
        <v>1.5</v>
      </c>
      <c r="R167" s="123">
        <f t="shared" si="49"/>
        <v>1.5</v>
      </c>
      <c r="S167" s="123">
        <f t="shared" si="50"/>
        <v>1.5</v>
      </c>
      <c r="T167" s="123">
        <f t="shared" si="50"/>
        <v>1.5</v>
      </c>
      <c r="U167" s="123">
        <f t="shared" si="50"/>
        <v>1.5</v>
      </c>
      <c r="V167" s="123">
        <f t="shared" si="50"/>
        <v>1.5</v>
      </c>
      <c r="W167" s="123">
        <f t="shared" si="50"/>
        <v>1.5</v>
      </c>
      <c r="X167" s="123">
        <f t="shared" si="50"/>
        <v>1.5</v>
      </c>
      <c r="Y167" s="123">
        <f t="shared" si="50"/>
        <v>1.5</v>
      </c>
      <c r="Z167" s="123">
        <f t="shared" si="50"/>
        <v>1.5</v>
      </c>
      <c r="AA167" s="123">
        <f t="shared" si="50"/>
        <v>1.5</v>
      </c>
      <c r="AB167" s="123">
        <f t="shared" si="50"/>
        <v>1.5</v>
      </c>
      <c r="AC167" s="123">
        <f t="shared" si="50"/>
        <v>1.5</v>
      </c>
      <c r="AD167" s="123">
        <f t="shared" si="50"/>
        <v>1.5</v>
      </c>
      <c r="AE167" s="123">
        <f t="shared" si="50"/>
        <v>1.5</v>
      </c>
      <c r="AF167" s="123">
        <f t="shared" si="50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8"/>
        <v>1</v>
      </c>
      <c r="C168" s="124">
        <v>1</v>
      </c>
      <c r="D168" s="123">
        <f t="shared" si="49"/>
        <v>1</v>
      </c>
      <c r="E168" s="123">
        <f t="shared" si="49"/>
        <v>1</v>
      </c>
      <c r="F168" s="123">
        <f t="shared" si="49"/>
        <v>1</v>
      </c>
      <c r="G168" s="123">
        <f t="shared" si="49"/>
        <v>1</v>
      </c>
      <c r="H168" s="123">
        <f t="shared" si="49"/>
        <v>1</v>
      </c>
      <c r="I168" s="123">
        <f t="shared" si="49"/>
        <v>1</v>
      </c>
      <c r="J168" s="123">
        <f t="shared" si="49"/>
        <v>1</v>
      </c>
      <c r="K168" s="123">
        <f t="shared" si="49"/>
        <v>1</v>
      </c>
      <c r="L168" s="123">
        <f t="shared" si="49"/>
        <v>1</v>
      </c>
      <c r="M168" s="123">
        <f t="shared" si="49"/>
        <v>1</v>
      </c>
      <c r="N168" s="123">
        <f t="shared" si="49"/>
        <v>1</v>
      </c>
      <c r="O168" s="123">
        <f t="shared" si="49"/>
        <v>1</v>
      </c>
      <c r="P168" s="123">
        <f t="shared" si="49"/>
        <v>1</v>
      </c>
      <c r="Q168" s="123">
        <f t="shared" si="49"/>
        <v>1</v>
      </c>
      <c r="R168" s="123">
        <f t="shared" si="49"/>
        <v>1</v>
      </c>
      <c r="S168" s="123">
        <f t="shared" si="50"/>
        <v>1</v>
      </c>
      <c r="T168" s="123">
        <f t="shared" si="50"/>
        <v>1</v>
      </c>
      <c r="U168" s="123">
        <f t="shared" si="50"/>
        <v>1</v>
      </c>
      <c r="V168" s="123">
        <f t="shared" si="50"/>
        <v>1</v>
      </c>
      <c r="W168" s="123">
        <f t="shared" si="50"/>
        <v>1</v>
      </c>
      <c r="X168" s="123">
        <f t="shared" si="50"/>
        <v>1</v>
      </c>
      <c r="Y168" s="123">
        <f t="shared" si="50"/>
        <v>1</v>
      </c>
      <c r="Z168" s="123">
        <f t="shared" si="50"/>
        <v>1</v>
      </c>
      <c r="AA168" s="123">
        <f t="shared" si="50"/>
        <v>1</v>
      </c>
      <c r="AB168" s="123">
        <f t="shared" si="50"/>
        <v>1</v>
      </c>
      <c r="AC168" s="123">
        <f t="shared" si="50"/>
        <v>1</v>
      </c>
      <c r="AD168" s="123">
        <f t="shared" si="50"/>
        <v>1</v>
      </c>
      <c r="AE168" s="123">
        <f t="shared" si="50"/>
        <v>1</v>
      </c>
      <c r="AF168" s="123">
        <f t="shared" si="50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1">AF170</f>
        <v>1</v>
      </c>
      <c r="C170" s="124">
        <v>1</v>
      </c>
      <c r="D170" s="123">
        <f t="shared" ref="D170:S177" si="52">C170</f>
        <v>1</v>
      </c>
      <c r="E170" s="123">
        <f t="shared" si="52"/>
        <v>1</v>
      </c>
      <c r="F170" s="123">
        <f t="shared" si="52"/>
        <v>1</v>
      </c>
      <c r="G170" s="123">
        <f t="shared" si="52"/>
        <v>1</v>
      </c>
      <c r="H170" s="123">
        <f t="shared" si="52"/>
        <v>1</v>
      </c>
      <c r="I170" s="123">
        <f t="shared" si="52"/>
        <v>1</v>
      </c>
      <c r="J170" s="123">
        <f t="shared" si="52"/>
        <v>1</v>
      </c>
      <c r="K170" s="123">
        <f t="shared" si="52"/>
        <v>1</v>
      </c>
      <c r="L170" s="123">
        <f t="shared" si="52"/>
        <v>1</v>
      </c>
      <c r="M170" s="123">
        <f t="shared" si="52"/>
        <v>1</v>
      </c>
      <c r="N170" s="123">
        <f t="shared" si="52"/>
        <v>1</v>
      </c>
      <c r="O170" s="123">
        <f t="shared" si="52"/>
        <v>1</v>
      </c>
      <c r="P170" s="123">
        <f t="shared" si="52"/>
        <v>1</v>
      </c>
      <c r="Q170" s="123">
        <f t="shared" si="52"/>
        <v>1</v>
      </c>
      <c r="R170" s="123">
        <f t="shared" si="52"/>
        <v>1</v>
      </c>
      <c r="S170" s="123">
        <f t="shared" si="52"/>
        <v>1</v>
      </c>
      <c r="T170" s="123">
        <f t="shared" ref="S170:AF177" si="53">S170</f>
        <v>1</v>
      </c>
      <c r="U170" s="123">
        <f t="shared" si="53"/>
        <v>1</v>
      </c>
      <c r="V170" s="123">
        <f t="shared" si="53"/>
        <v>1</v>
      </c>
      <c r="W170" s="123">
        <f t="shared" si="53"/>
        <v>1</v>
      </c>
      <c r="X170" s="123">
        <f t="shared" si="53"/>
        <v>1</v>
      </c>
      <c r="Y170" s="123">
        <f t="shared" si="53"/>
        <v>1</v>
      </c>
      <c r="Z170" s="123">
        <f t="shared" si="53"/>
        <v>1</v>
      </c>
      <c r="AA170" s="123">
        <f t="shared" si="53"/>
        <v>1</v>
      </c>
      <c r="AB170" s="123">
        <f t="shared" si="53"/>
        <v>1</v>
      </c>
      <c r="AC170" s="123">
        <f t="shared" si="53"/>
        <v>1</v>
      </c>
      <c r="AD170" s="123">
        <f t="shared" si="53"/>
        <v>1</v>
      </c>
      <c r="AE170" s="123">
        <f t="shared" si="53"/>
        <v>1</v>
      </c>
      <c r="AF170" s="123">
        <f t="shared" si="53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1"/>
        <v>0.42</v>
      </c>
      <c r="C171" s="124">
        <v>0.42</v>
      </c>
      <c r="D171" s="123">
        <f t="shared" si="52"/>
        <v>0.42</v>
      </c>
      <c r="E171" s="123">
        <f t="shared" si="52"/>
        <v>0.42</v>
      </c>
      <c r="F171" s="123">
        <f t="shared" si="52"/>
        <v>0.42</v>
      </c>
      <c r="G171" s="123">
        <f t="shared" si="52"/>
        <v>0.42</v>
      </c>
      <c r="H171" s="123">
        <f t="shared" si="52"/>
        <v>0.42</v>
      </c>
      <c r="I171" s="123">
        <f t="shared" si="52"/>
        <v>0.42</v>
      </c>
      <c r="J171" s="123">
        <f t="shared" si="52"/>
        <v>0.42</v>
      </c>
      <c r="K171" s="123">
        <f t="shared" si="52"/>
        <v>0.42</v>
      </c>
      <c r="L171" s="123">
        <f t="shared" si="52"/>
        <v>0.42</v>
      </c>
      <c r="M171" s="123">
        <f t="shared" si="52"/>
        <v>0.42</v>
      </c>
      <c r="N171" s="123">
        <f t="shared" si="52"/>
        <v>0.42</v>
      </c>
      <c r="O171" s="123">
        <f t="shared" si="52"/>
        <v>0.42</v>
      </c>
      <c r="P171" s="123">
        <f t="shared" si="52"/>
        <v>0.42</v>
      </c>
      <c r="Q171" s="123">
        <f t="shared" si="52"/>
        <v>0.42</v>
      </c>
      <c r="R171" s="123">
        <f t="shared" si="52"/>
        <v>0.42</v>
      </c>
      <c r="S171" s="123">
        <f t="shared" si="53"/>
        <v>0.42</v>
      </c>
      <c r="T171" s="123">
        <f t="shared" si="53"/>
        <v>0.42</v>
      </c>
      <c r="U171" s="123">
        <f t="shared" si="53"/>
        <v>0.42</v>
      </c>
      <c r="V171" s="123">
        <f t="shared" si="53"/>
        <v>0.42</v>
      </c>
      <c r="W171" s="123">
        <f t="shared" si="53"/>
        <v>0.42</v>
      </c>
      <c r="X171" s="123">
        <f t="shared" si="53"/>
        <v>0.42</v>
      </c>
      <c r="Y171" s="123">
        <f t="shared" si="53"/>
        <v>0.42</v>
      </c>
      <c r="Z171" s="123">
        <f t="shared" si="53"/>
        <v>0.42</v>
      </c>
      <c r="AA171" s="123">
        <f t="shared" si="53"/>
        <v>0.42</v>
      </c>
      <c r="AB171" s="123">
        <f t="shared" si="53"/>
        <v>0.42</v>
      </c>
      <c r="AC171" s="123">
        <f t="shared" si="53"/>
        <v>0.42</v>
      </c>
      <c r="AD171" s="123">
        <f t="shared" si="53"/>
        <v>0.42</v>
      </c>
      <c r="AE171" s="123">
        <f t="shared" si="53"/>
        <v>0.42</v>
      </c>
      <c r="AF171" s="123">
        <f t="shared" si="53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1"/>
        <v>0.46</v>
      </c>
      <c r="C172" s="124">
        <v>0.46</v>
      </c>
      <c r="D172" s="123">
        <f t="shared" si="52"/>
        <v>0.46</v>
      </c>
      <c r="E172" s="123">
        <f t="shared" si="52"/>
        <v>0.46</v>
      </c>
      <c r="F172" s="123">
        <f t="shared" si="52"/>
        <v>0.46</v>
      </c>
      <c r="G172" s="123">
        <f t="shared" si="52"/>
        <v>0.46</v>
      </c>
      <c r="H172" s="123">
        <f t="shared" si="52"/>
        <v>0.46</v>
      </c>
      <c r="I172" s="123">
        <f t="shared" si="52"/>
        <v>0.46</v>
      </c>
      <c r="J172" s="123">
        <f t="shared" si="52"/>
        <v>0.46</v>
      </c>
      <c r="K172" s="123">
        <f t="shared" si="52"/>
        <v>0.46</v>
      </c>
      <c r="L172" s="123">
        <f t="shared" si="52"/>
        <v>0.46</v>
      </c>
      <c r="M172" s="123">
        <f t="shared" si="52"/>
        <v>0.46</v>
      </c>
      <c r="N172" s="123">
        <f t="shared" si="52"/>
        <v>0.46</v>
      </c>
      <c r="O172" s="123">
        <f t="shared" si="52"/>
        <v>0.46</v>
      </c>
      <c r="P172" s="123">
        <f t="shared" si="52"/>
        <v>0.46</v>
      </c>
      <c r="Q172" s="123">
        <f t="shared" si="52"/>
        <v>0.46</v>
      </c>
      <c r="R172" s="123">
        <f t="shared" si="52"/>
        <v>0.46</v>
      </c>
      <c r="S172" s="123">
        <f t="shared" si="53"/>
        <v>0.46</v>
      </c>
      <c r="T172" s="123">
        <f t="shared" si="53"/>
        <v>0.46</v>
      </c>
      <c r="U172" s="123">
        <f t="shared" si="53"/>
        <v>0.46</v>
      </c>
      <c r="V172" s="123">
        <f t="shared" si="53"/>
        <v>0.46</v>
      </c>
      <c r="W172" s="123">
        <f t="shared" si="53"/>
        <v>0.46</v>
      </c>
      <c r="X172" s="123">
        <f t="shared" si="53"/>
        <v>0.46</v>
      </c>
      <c r="Y172" s="123">
        <f t="shared" si="53"/>
        <v>0.46</v>
      </c>
      <c r="Z172" s="123">
        <f t="shared" si="53"/>
        <v>0.46</v>
      </c>
      <c r="AA172" s="123">
        <f t="shared" si="53"/>
        <v>0.46</v>
      </c>
      <c r="AB172" s="123">
        <f t="shared" si="53"/>
        <v>0.46</v>
      </c>
      <c r="AC172" s="123">
        <f t="shared" si="53"/>
        <v>0.46</v>
      </c>
      <c r="AD172" s="123">
        <f t="shared" si="53"/>
        <v>0.46</v>
      </c>
      <c r="AE172" s="123">
        <f t="shared" si="53"/>
        <v>0.46</v>
      </c>
      <c r="AF172" s="123">
        <f t="shared" si="53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1"/>
        <v>0.85</v>
      </c>
      <c r="C173" s="124">
        <v>0.85</v>
      </c>
      <c r="D173" s="123">
        <f t="shared" si="52"/>
        <v>0.85</v>
      </c>
      <c r="E173" s="123">
        <f t="shared" si="52"/>
        <v>0.85</v>
      </c>
      <c r="F173" s="123">
        <f t="shared" si="52"/>
        <v>0.85</v>
      </c>
      <c r="G173" s="123">
        <f t="shared" si="52"/>
        <v>0.85</v>
      </c>
      <c r="H173" s="123">
        <f t="shared" si="52"/>
        <v>0.85</v>
      </c>
      <c r="I173" s="123">
        <f t="shared" si="52"/>
        <v>0.85</v>
      </c>
      <c r="J173" s="123">
        <f t="shared" si="52"/>
        <v>0.85</v>
      </c>
      <c r="K173" s="123">
        <f t="shared" si="52"/>
        <v>0.85</v>
      </c>
      <c r="L173" s="123">
        <f t="shared" si="52"/>
        <v>0.85</v>
      </c>
      <c r="M173" s="123">
        <f t="shared" si="52"/>
        <v>0.85</v>
      </c>
      <c r="N173" s="123">
        <f t="shared" si="52"/>
        <v>0.85</v>
      </c>
      <c r="O173" s="123">
        <f t="shared" si="52"/>
        <v>0.85</v>
      </c>
      <c r="P173" s="123">
        <f t="shared" si="52"/>
        <v>0.85</v>
      </c>
      <c r="Q173" s="123">
        <f t="shared" si="52"/>
        <v>0.85</v>
      </c>
      <c r="R173" s="123">
        <f t="shared" si="52"/>
        <v>0.85</v>
      </c>
      <c r="S173" s="123">
        <f t="shared" si="53"/>
        <v>0.85</v>
      </c>
      <c r="T173" s="123">
        <f t="shared" si="53"/>
        <v>0.85</v>
      </c>
      <c r="U173" s="123">
        <f t="shared" si="53"/>
        <v>0.85</v>
      </c>
      <c r="V173" s="123">
        <f t="shared" si="53"/>
        <v>0.85</v>
      </c>
      <c r="W173" s="123">
        <f t="shared" si="53"/>
        <v>0.85</v>
      </c>
      <c r="X173" s="123">
        <f t="shared" si="53"/>
        <v>0.85</v>
      </c>
      <c r="Y173" s="123">
        <f t="shared" si="53"/>
        <v>0.85</v>
      </c>
      <c r="Z173" s="123">
        <f t="shared" si="53"/>
        <v>0.85</v>
      </c>
      <c r="AA173" s="123">
        <f t="shared" si="53"/>
        <v>0.85</v>
      </c>
      <c r="AB173" s="123">
        <f t="shared" si="53"/>
        <v>0.85</v>
      </c>
      <c r="AC173" s="123">
        <f t="shared" si="53"/>
        <v>0.85</v>
      </c>
      <c r="AD173" s="123">
        <f t="shared" si="53"/>
        <v>0.85</v>
      </c>
      <c r="AE173" s="123">
        <f t="shared" si="53"/>
        <v>0.85</v>
      </c>
      <c r="AF173" s="123">
        <f t="shared" si="53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1"/>
        <v>0.9</v>
      </c>
      <c r="C174" s="124">
        <v>0.9</v>
      </c>
      <c r="D174" s="123">
        <f t="shared" si="52"/>
        <v>0.9</v>
      </c>
      <c r="E174" s="123">
        <f t="shared" si="52"/>
        <v>0.9</v>
      </c>
      <c r="F174" s="123">
        <f t="shared" si="52"/>
        <v>0.9</v>
      </c>
      <c r="G174" s="123">
        <f t="shared" si="52"/>
        <v>0.9</v>
      </c>
      <c r="H174" s="123">
        <f t="shared" si="52"/>
        <v>0.9</v>
      </c>
      <c r="I174" s="123">
        <f t="shared" si="52"/>
        <v>0.9</v>
      </c>
      <c r="J174" s="123">
        <f t="shared" si="52"/>
        <v>0.9</v>
      </c>
      <c r="K174" s="123">
        <f t="shared" si="52"/>
        <v>0.9</v>
      </c>
      <c r="L174" s="123">
        <f t="shared" si="52"/>
        <v>0.9</v>
      </c>
      <c r="M174" s="123">
        <f t="shared" si="52"/>
        <v>0.9</v>
      </c>
      <c r="N174" s="123">
        <f t="shared" si="52"/>
        <v>0.9</v>
      </c>
      <c r="O174" s="123">
        <f t="shared" si="52"/>
        <v>0.9</v>
      </c>
      <c r="P174" s="123">
        <f t="shared" si="52"/>
        <v>0.9</v>
      </c>
      <c r="Q174" s="123">
        <f t="shared" si="52"/>
        <v>0.9</v>
      </c>
      <c r="R174" s="123">
        <f t="shared" si="52"/>
        <v>0.9</v>
      </c>
      <c r="S174" s="123">
        <f t="shared" si="53"/>
        <v>0.9</v>
      </c>
      <c r="T174" s="123">
        <f t="shared" si="53"/>
        <v>0.9</v>
      </c>
      <c r="U174" s="123">
        <f t="shared" si="53"/>
        <v>0.9</v>
      </c>
      <c r="V174" s="123">
        <f t="shared" si="53"/>
        <v>0.9</v>
      </c>
      <c r="W174" s="123">
        <f t="shared" si="53"/>
        <v>0.9</v>
      </c>
      <c r="X174" s="123">
        <f t="shared" si="53"/>
        <v>0.9</v>
      </c>
      <c r="Y174" s="123">
        <f t="shared" si="53"/>
        <v>0.9</v>
      </c>
      <c r="Z174" s="123">
        <f t="shared" si="53"/>
        <v>0.9</v>
      </c>
      <c r="AA174" s="123">
        <f t="shared" si="53"/>
        <v>0.9</v>
      </c>
      <c r="AB174" s="123">
        <f t="shared" si="53"/>
        <v>0.9</v>
      </c>
      <c r="AC174" s="123">
        <f t="shared" si="53"/>
        <v>0.9</v>
      </c>
      <c r="AD174" s="123">
        <f t="shared" si="53"/>
        <v>0.9</v>
      </c>
      <c r="AE174" s="123">
        <f t="shared" si="53"/>
        <v>0.9</v>
      </c>
      <c r="AF174" s="123">
        <f t="shared" si="53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1"/>
        <v>0.44</v>
      </c>
      <c r="C175" s="124">
        <v>0.44</v>
      </c>
      <c r="D175" s="123">
        <f t="shared" si="52"/>
        <v>0.44</v>
      </c>
      <c r="E175" s="123">
        <f t="shared" si="52"/>
        <v>0.44</v>
      </c>
      <c r="F175" s="123">
        <f t="shared" si="52"/>
        <v>0.44</v>
      </c>
      <c r="G175" s="123">
        <f t="shared" si="52"/>
        <v>0.44</v>
      </c>
      <c r="H175" s="123">
        <f t="shared" si="52"/>
        <v>0.44</v>
      </c>
      <c r="I175" s="123">
        <f t="shared" si="52"/>
        <v>0.44</v>
      </c>
      <c r="J175" s="123">
        <f t="shared" si="52"/>
        <v>0.44</v>
      </c>
      <c r="K175" s="123">
        <f t="shared" si="52"/>
        <v>0.44</v>
      </c>
      <c r="L175" s="123">
        <f t="shared" si="52"/>
        <v>0.44</v>
      </c>
      <c r="M175" s="123">
        <f t="shared" si="52"/>
        <v>0.44</v>
      </c>
      <c r="N175" s="123">
        <f t="shared" si="52"/>
        <v>0.44</v>
      </c>
      <c r="O175" s="123">
        <f t="shared" si="52"/>
        <v>0.44</v>
      </c>
      <c r="P175" s="123">
        <f t="shared" si="52"/>
        <v>0.44</v>
      </c>
      <c r="Q175" s="123">
        <f t="shared" si="52"/>
        <v>0.44</v>
      </c>
      <c r="R175" s="123">
        <f t="shared" si="52"/>
        <v>0.44</v>
      </c>
      <c r="S175" s="123">
        <f t="shared" si="53"/>
        <v>0.44</v>
      </c>
      <c r="T175" s="123">
        <f t="shared" si="53"/>
        <v>0.44</v>
      </c>
      <c r="U175" s="123">
        <f t="shared" si="53"/>
        <v>0.44</v>
      </c>
      <c r="V175" s="123">
        <f t="shared" si="53"/>
        <v>0.44</v>
      </c>
      <c r="W175" s="123">
        <f t="shared" si="53"/>
        <v>0.44</v>
      </c>
      <c r="X175" s="123">
        <f t="shared" si="53"/>
        <v>0.44</v>
      </c>
      <c r="Y175" s="123">
        <f t="shared" si="53"/>
        <v>0.44</v>
      </c>
      <c r="Z175" s="123">
        <f t="shared" si="53"/>
        <v>0.44</v>
      </c>
      <c r="AA175" s="123">
        <f t="shared" si="53"/>
        <v>0.44</v>
      </c>
      <c r="AB175" s="123">
        <f t="shared" si="53"/>
        <v>0.44</v>
      </c>
      <c r="AC175" s="123">
        <f t="shared" si="53"/>
        <v>0.44</v>
      </c>
      <c r="AD175" s="123">
        <f t="shared" si="53"/>
        <v>0.44</v>
      </c>
      <c r="AE175" s="123">
        <f t="shared" si="53"/>
        <v>0.44</v>
      </c>
      <c r="AF175" s="123">
        <f t="shared" si="53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1"/>
        <v>2.1</v>
      </c>
      <c r="C176" s="124">
        <v>2.1</v>
      </c>
      <c r="D176" s="123">
        <f t="shared" si="52"/>
        <v>2.1</v>
      </c>
      <c r="E176" s="123">
        <f t="shared" si="52"/>
        <v>2.1</v>
      </c>
      <c r="F176" s="123">
        <f t="shared" si="52"/>
        <v>2.1</v>
      </c>
      <c r="G176" s="123">
        <f t="shared" si="52"/>
        <v>2.1</v>
      </c>
      <c r="H176" s="123">
        <f t="shared" si="52"/>
        <v>2.1</v>
      </c>
      <c r="I176" s="123">
        <f t="shared" si="52"/>
        <v>2.1</v>
      </c>
      <c r="J176" s="123">
        <f t="shared" si="52"/>
        <v>2.1</v>
      </c>
      <c r="K176" s="123">
        <f t="shared" si="52"/>
        <v>2.1</v>
      </c>
      <c r="L176" s="123">
        <f t="shared" si="52"/>
        <v>2.1</v>
      </c>
      <c r="M176" s="123">
        <f t="shared" si="52"/>
        <v>2.1</v>
      </c>
      <c r="N176" s="123">
        <f t="shared" si="52"/>
        <v>2.1</v>
      </c>
      <c r="O176" s="123">
        <f t="shared" si="52"/>
        <v>2.1</v>
      </c>
      <c r="P176" s="123">
        <f t="shared" si="52"/>
        <v>2.1</v>
      </c>
      <c r="Q176" s="123">
        <f t="shared" si="52"/>
        <v>2.1</v>
      </c>
      <c r="R176" s="123">
        <f t="shared" si="52"/>
        <v>2.1</v>
      </c>
      <c r="S176" s="123">
        <f t="shared" si="53"/>
        <v>2.1</v>
      </c>
      <c r="T176" s="123">
        <f t="shared" si="53"/>
        <v>2.1</v>
      </c>
      <c r="U176" s="123">
        <f t="shared" si="53"/>
        <v>2.1</v>
      </c>
      <c r="V176" s="123">
        <f t="shared" si="53"/>
        <v>2.1</v>
      </c>
      <c r="W176" s="123">
        <f t="shared" si="53"/>
        <v>2.1</v>
      </c>
      <c r="X176" s="123">
        <f t="shared" si="53"/>
        <v>2.1</v>
      </c>
      <c r="Y176" s="123">
        <f t="shared" si="53"/>
        <v>2.1</v>
      </c>
      <c r="Z176" s="123">
        <f t="shared" si="53"/>
        <v>2.1</v>
      </c>
      <c r="AA176" s="123">
        <f t="shared" si="53"/>
        <v>2.1</v>
      </c>
      <c r="AB176" s="123">
        <f t="shared" si="53"/>
        <v>2.1</v>
      </c>
      <c r="AC176" s="123">
        <f t="shared" si="53"/>
        <v>2.1</v>
      </c>
      <c r="AD176" s="123">
        <f t="shared" si="53"/>
        <v>2.1</v>
      </c>
      <c r="AE176" s="123">
        <f t="shared" si="53"/>
        <v>2.1</v>
      </c>
      <c r="AF176" s="123">
        <f t="shared" si="53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1"/>
        <v>0.9</v>
      </c>
      <c r="C177" s="124">
        <v>0.9</v>
      </c>
      <c r="D177" s="123">
        <f t="shared" si="52"/>
        <v>0.9</v>
      </c>
      <c r="E177" s="123">
        <f t="shared" si="52"/>
        <v>0.9</v>
      </c>
      <c r="F177" s="123">
        <f t="shared" si="52"/>
        <v>0.9</v>
      </c>
      <c r="G177" s="123">
        <f t="shared" si="52"/>
        <v>0.9</v>
      </c>
      <c r="H177" s="123">
        <f t="shared" si="52"/>
        <v>0.9</v>
      </c>
      <c r="I177" s="123">
        <f t="shared" si="52"/>
        <v>0.9</v>
      </c>
      <c r="J177" s="123">
        <f t="shared" si="52"/>
        <v>0.9</v>
      </c>
      <c r="K177" s="123">
        <f t="shared" si="52"/>
        <v>0.9</v>
      </c>
      <c r="L177" s="123">
        <f t="shared" si="52"/>
        <v>0.9</v>
      </c>
      <c r="M177" s="123">
        <f t="shared" si="52"/>
        <v>0.9</v>
      </c>
      <c r="N177" s="123">
        <f t="shared" si="52"/>
        <v>0.9</v>
      </c>
      <c r="O177" s="123">
        <f t="shared" si="52"/>
        <v>0.9</v>
      </c>
      <c r="P177" s="123">
        <f t="shared" si="52"/>
        <v>0.9</v>
      </c>
      <c r="Q177" s="123">
        <f t="shared" si="52"/>
        <v>0.9</v>
      </c>
      <c r="R177" s="123">
        <f t="shared" si="52"/>
        <v>0.9</v>
      </c>
      <c r="S177" s="123">
        <f t="shared" si="53"/>
        <v>0.9</v>
      </c>
      <c r="T177" s="123">
        <f t="shared" si="53"/>
        <v>0.9</v>
      </c>
      <c r="U177" s="123">
        <f t="shared" si="53"/>
        <v>0.9</v>
      </c>
      <c r="V177" s="123">
        <f t="shared" si="53"/>
        <v>0.9</v>
      </c>
      <c r="W177" s="123">
        <f t="shared" si="53"/>
        <v>0.9</v>
      </c>
      <c r="X177" s="123">
        <f t="shared" si="53"/>
        <v>0.9</v>
      </c>
      <c r="Y177" s="123">
        <f t="shared" si="53"/>
        <v>0.9</v>
      </c>
      <c r="Z177" s="123">
        <f t="shared" si="53"/>
        <v>0.9</v>
      </c>
      <c r="AA177" s="123">
        <f t="shared" si="53"/>
        <v>0.9</v>
      </c>
      <c r="AB177" s="123">
        <f t="shared" si="53"/>
        <v>0.9</v>
      </c>
      <c r="AC177" s="123">
        <f t="shared" si="53"/>
        <v>0.9</v>
      </c>
      <c r="AD177" s="123">
        <f t="shared" si="53"/>
        <v>0.9</v>
      </c>
      <c r="AE177" s="123">
        <f t="shared" si="53"/>
        <v>0.9</v>
      </c>
      <c r="AF177" s="123">
        <f t="shared" si="53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4">AF179</f>
        <v>0.57999999999999996</v>
      </c>
      <c r="C179" s="124">
        <v>0.57999999999999996</v>
      </c>
      <c r="D179" s="123">
        <f t="shared" ref="D179:S191" si="55">C179</f>
        <v>0.57999999999999996</v>
      </c>
      <c r="E179" s="123">
        <f t="shared" si="55"/>
        <v>0.57999999999999996</v>
      </c>
      <c r="F179" s="123">
        <f t="shared" si="55"/>
        <v>0.57999999999999996</v>
      </c>
      <c r="G179" s="123">
        <f t="shared" si="55"/>
        <v>0.57999999999999996</v>
      </c>
      <c r="H179" s="123">
        <f t="shared" si="55"/>
        <v>0.57999999999999996</v>
      </c>
      <c r="I179" s="123">
        <f t="shared" si="55"/>
        <v>0.57999999999999996</v>
      </c>
      <c r="J179" s="123">
        <f t="shared" si="55"/>
        <v>0.57999999999999996</v>
      </c>
      <c r="K179" s="123">
        <f t="shared" si="55"/>
        <v>0.57999999999999996</v>
      </c>
      <c r="L179" s="123">
        <f t="shared" si="55"/>
        <v>0.57999999999999996</v>
      </c>
      <c r="M179" s="123">
        <f t="shared" si="55"/>
        <v>0.57999999999999996</v>
      </c>
      <c r="N179" s="123">
        <f t="shared" si="55"/>
        <v>0.57999999999999996</v>
      </c>
      <c r="O179" s="123">
        <f t="shared" si="55"/>
        <v>0.57999999999999996</v>
      </c>
      <c r="P179" s="123">
        <f t="shared" si="55"/>
        <v>0.57999999999999996</v>
      </c>
      <c r="Q179" s="123">
        <f t="shared" si="55"/>
        <v>0.57999999999999996</v>
      </c>
      <c r="R179" s="123">
        <f t="shared" si="55"/>
        <v>0.57999999999999996</v>
      </c>
      <c r="S179" s="123">
        <f t="shared" si="55"/>
        <v>0.57999999999999996</v>
      </c>
      <c r="T179" s="123">
        <f t="shared" ref="S179:AF191" si="56">S179</f>
        <v>0.57999999999999996</v>
      </c>
      <c r="U179" s="123">
        <f t="shared" si="56"/>
        <v>0.57999999999999996</v>
      </c>
      <c r="V179" s="123">
        <f t="shared" si="56"/>
        <v>0.57999999999999996</v>
      </c>
      <c r="W179" s="123">
        <f t="shared" si="56"/>
        <v>0.57999999999999996</v>
      </c>
      <c r="X179" s="123">
        <f t="shared" si="56"/>
        <v>0.57999999999999996</v>
      </c>
      <c r="Y179" s="123">
        <f t="shared" si="56"/>
        <v>0.57999999999999996</v>
      </c>
      <c r="Z179" s="123">
        <f t="shared" si="56"/>
        <v>0.57999999999999996</v>
      </c>
      <c r="AA179" s="123">
        <f t="shared" si="56"/>
        <v>0.57999999999999996</v>
      </c>
      <c r="AB179" s="123">
        <f t="shared" si="56"/>
        <v>0.57999999999999996</v>
      </c>
      <c r="AC179" s="123">
        <f t="shared" si="56"/>
        <v>0.57999999999999996</v>
      </c>
      <c r="AD179" s="123">
        <f t="shared" si="56"/>
        <v>0.57999999999999996</v>
      </c>
      <c r="AE179" s="123">
        <f t="shared" si="56"/>
        <v>0.57999999999999996</v>
      </c>
      <c r="AF179" s="123">
        <f t="shared" si="56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4"/>
        <v>0.8</v>
      </c>
      <c r="C180" s="124">
        <v>0.8</v>
      </c>
      <c r="D180" s="123">
        <f t="shared" si="55"/>
        <v>0.8</v>
      </c>
      <c r="E180" s="123">
        <f t="shared" si="55"/>
        <v>0.8</v>
      </c>
      <c r="F180" s="123">
        <f t="shared" si="55"/>
        <v>0.8</v>
      </c>
      <c r="G180" s="123">
        <f t="shared" si="55"/>
        <v>0.8</v>
      </c>
      <c r="H180" s="123">
        <f t="shared" si="55"/>
        <v>0.8</v>
      </c>
      <c r="I180" s="123">
        <f t="shared" si="55"/>
        <v>0.8</v>
      </c>
      <c r="J180" s="123">
        <f t="shared" si="55"/>
        <v>0.8</v>
      </c>
      <c r="K180" s="123">
        <f t="shared" si="55"/>
        <v>0.8</v>
      </c>
      <c r="L180" s="123">
        <f t="shared" si="55"/>
        <v>0.8</v>
      </c>
      <c r="M180" s="123">
        <f t="shared" si="55"/>
        <v>0.8</v>
      </c>
      <c r="N180" s="123">
        <f t="shared" si="55"/>
        <v>0.8</v>
      </c>
      <c r="O180" s="123">
        <f t="shared" si="55"/>
        <v>0.8</v>
      </c>
      <c r="P180" s="123">
        <f t="shared" si="55"/>
        <v>0.8</v>
      </c>
      <c r="Q180" s="123">
        <f t="shared" si="55"/>
        <v>0.8</v>
      </c>
      <c r="R180" s="123">
        <f t="shared" si="55"/>
        <v>0.8</v>
      </c>
      <c r="S180" s="123">
        <f t="shared" si="55"/>
        <v>0.8</v>
      </c>
      <c r="T180" s="123">
        <f t="shared" si="56"/>
        <v>0.8</v>
      </c>
      <c r="U180" s="123">
        <f t="shared" si="56"/>
        <v>0.8</v>
      </c>
      <c r="V180" s="123">
        <f t="shared" si="56"/>
        <v>0.8</v>
      </c>
      <c r="W180" s="123">
        <f t="shared" si="56"/>
        <v>0.8</v>
      </c>
      <c r="X180" s="123">
        <f t="shared" si="56"/>
        <v>0.8</v>
      </c>
      <c r="Y180" s="123">
        <f t="shared" si="56"/>
        <v>0.8</v>
      </c>
      <c r="Z180" s="123">
        <f t="shared" si="56"/>
        <v>0.8</v>
      </c>
      <c r="AA180" s="123">
        <f t="shared" si="56"/>
        <v>0.8</v>
      </c>
      <c r="AB180" s="123">
        <f t="shared" si="56"/>
        <v>0.8</v>
      </c>
      <c r="AC180" s="123">
        <f t="shared" si="56"/>
        <v>0.8</v>
      </c>
      <c r="AD180" s="123">
        <f t="shared" si="56"/>
        <v>0.8</v>
      </c>
      <c r="AE180" s="123">
        <f t="shared" si="56"/>
        <v>0.8</v>
      </c>
      <c r="AF180" s="123">
        <f t="shared" si="56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4"/>
        <v>0</v>
      </c>
      <c r="C181" s="124">
        <v>0</v>
      </c>
      <c r="D181" s="123">
        <f t="shared" si="55"/>
        <v>0</v>
      </c>
      <c r="E181" s="123">
        <f t="shared" si="55"/>
        <v>0</v>
      </c>
      <c r="F181" s="123">
        <f t="shared" si="55"/>
        <v>0</v>
      </c>
      <c r="G181" s="123">
        <f t="shared" si="55"/>
        <v>0</v>
      </c>
      <c r="H181" s="123">
        <f t="shared" si="55"/>
        <v>0</v>
      </c>
      <c r="I181" s="123">
        <f t="shared" si="55"/>
        <v>0</v>
      </c>
      <c r="J181" s="123">
        <f t="shared" si="55"/>
        <v>0</v>
      </c>
      <c r="K181" s="123">
        <f t="shared" si="55"/>
        <v>0</v>
      </c>
      <c r="L181" s="123">
        <f t="shared" si="55"/>
        <v>0</v>
      </c>
      <c r="M181" s="123">
        <f t="shared" si="55"/>
        <v>0</v>
      </c>
      <c r="N181" s="123">
        <f t="shared" si="55"/>
        <v>0</v>
      </c>
      <c r="O181" s="123">
        <f t="shared" si="55"/>
        <v>0</v>
      </c>
      <c r="P181" s="123">
        <f t="shared" si="55"/>
        <v>0</v>
      </c>
      <c r="Q181" s="123">
        <f t="shared" si="55"/>
        <v>0</v>
      </c>
      <c r="R181" s="123">
        <f t="shared" si="55"/>
        <v>0</v>
      </c>
      <c r="S181" s="123">
        <f t="shared" si="55"/>
        <v>0</v>
      </c>
      <c r="T181" s="123">
        <f t="shared" si="56"/>
        <v>0</v>
      </c>
      <c r="U181" s="123">
        <f t="shared" si="56"/>
        <v>0</v>
      </c>
      <c r="V181" s="123">
        <f t="shared" si="56"/>
        <v>0</v>
      </c>
      <c r="W181" s="123">
        <f t="shared" si="56"/>
        <v>0</v>
      </c>
      <c r="X181" s="123">
        <f t="shared" si="56"/>
        <v>0</v>
      </c>
      <c r="Y181" s="123">
        <f t="shared" si="56"/>
        <v>0</v>
      </c>
      <c r="Z181" s="123">
        <f t="shared" si="56"/>
        <v>0</v>
      </c>
      <c r="AA181" s="123">
        <f t="shared" si="56"/>
        <v>0</v>
      </c>
      <c r="AB181" s="123">
        <f t="shared" si="56"/>
        <v>0</v>
      </c>
      <c r="AC181" s="123">
        <f t="shared" si="56"/>
        <v>0</v>
      </c>
      <c r="AD181" s="123">
        <f t="shared" si="56"/>
        <v>0</v>
      </c>
      <c r="AE181" s="123">
        <f t="shared" si="56"/>
        <v>0</v>
      </c>
      <c r="AF181" s="123">
        <f t="shared" si="56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4"/>
        <v>0.6</v>
      </c>
      <c r="C182" s="124">
        <v>0.6</v>
      </c>
      <c r="D182" s="123">
        <f t="shared" si="55"/>
        <v>0.6</v>
      </c>
      <c r="E182" s="123">
        <f t="shared" si="55"/>
        <v>0.6</v>
      </c>
      <c r="F182" s="123">
        <f t="shared" si="55"/>
        <v>0.6</v>
      </c>
      <c r="G182" s="123">
        <f t="shared" si="55"/>
        <v>0.6</v>
      </c>
      <c r="H182" s="123">
        <f t="shared" si="55"/>
        <v>0.6</v>
      </c>
      <c r="I182" s="123">
        <f t="shared" si="55"/>
        <v>0.6</v>
      </c>
      <c r="J182" s="123">
        <f t="shared" si="55"/>
        <v>0.6</v>
      </c>
      <c r="K182" s="123">
        <f t="shared" si="55"/>
        <v>0.6</v>
      </c>
      <c r="L182" s="123">
        <f t="shared" si="55"/>
        <v>0.6</v>
      </c>
      <c r="M182" s="123">
        <f t="shared" si="55"/>
        <v>0.6</v>
      </c>
      <c r="N182" s="123">
        <f t="shared" si="55"/>
        <v>0.6</v>
      </c>
      <c r="O182" s="123">
        <f t="shared" si="55"/>
        <v>0.6</v>
      </c>
      <c r="P182" s="123">
        <f t="shared" si="55"/>
        <v>0.6</v>
      </c>
      <c r="Q182" s="123">
        <f t="shared" si="55"/>
        <v>0.6</v>
      </c>
      <c r="R182" s="123">
        <f t="shared" si="55"/>
        <v>0.6</v>
      </c>
      <c r="S182" s="123">
        <f t="shared" si="55"/>
        <v>0.6</v>
      </c>
      <c r="T182" s="123">
        <f t="shared" si="56"/>
        <v>0.6</v>
      </c>
      <c r="U182" s="123">
        <f t="shared" si="56"/>
        <v>0.6</v>
      </c>
      <c r="V182" s="123">
        <f t="shared" si="56"/>
        <v>0.6</v>
      </c>
      <c r="W182" s="123">
        <f t="shared" si="56"/>
        <v>0.6</v>
      </c>
      <c r="X182" s="123">
        <f t="shared" si="56"/>
        <v>0.6</v>
      </c>
      <c r="Y182" s="123">
        <f t="shared" si="56"/>
        <v>0.6</v>
      </c>
      <c r="Z182" s="123">
        <f t="shared" si="56"/>
        <v>0.6</v>
      </c>
      <c r="AA182" s="123">
        <f t="shared" si="56"/>
        <v>0.6</v>
      </c>
      <c r="AB182" s="123">
        <f t="shared" si="56"/>
        <v>0.6</v>
      </c>
      <c r="AC182" s="123">
        <f t="shared" si="56"/>
        <v>0.6</v>
      </c>
      <c r="AD182" s="123">
        <f t="shared" si="56"/>
        <v>0.6</v>
      </c>
      <c r="AE182" s="123">
        <f t="shared" si="56"/>
        <v>0.6</v>
      </c>
      <c r="AF182" s="123">
        <f t="shared" si="56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4"/>
        <v>0.6</v>
      </c>
      <c r="C183" s="124">
        <v>0.6</v>
      </c>
      <c r="D183" s="123">
        <f t="shared" si="55"/>
        <v>0.6</v>
      </c>
      <c r="E183" s="123">
        <f t="shared" si="55"/>
        <v>0.6</v>
      </c>
      <c r="F183" s="123">
        <f t="shared" si="55"/>
        <v>0.6</v>
      </c>
      <c r="G183" s="123">
        <f t="shared" si="55"/>
        <v>0.6</v>
      </c>
      <c r="H183" s="123">
        <f t="shared" si="55"/>
        <v>0.6</v>
      </c>
      <c r="I183" s="123">
        <f t="shared" si="55"/>
        <v>0.6</v>
      </c>
      <c r="J183" s="123">
        <f t="shared" si="55"/>
        <v>0.6</v>
      </c>
      <c r="K183" s="123">
        <f t="shared" si="55"/>
        <v>0.6</v>
      </c>
      <c r="L183" s="123">
        <f t="shared" si="55"/>
        <v>0.6</v>
      </c>
      <c r="M183" s="123">
        <f t="shared" si="55"/>
        <v>0.6</v>
      </c>
      <c r="N183" s="123">
        <f t="shared" si="55"/>
        <v>0.6</v>
      </c>
      <c r="O183" s="123">
        <f t="shared" si="55"/>
        <v>0.6</v>
      </c>
      <c r="P183" s="123">
        <f t="shared" si="55"/>
        <v>0.6</v>
      </c>
      <c r="Q183" s="123">
        <f t="shared" si="55"/>
        <v>0.6</v>
      </c>
      <c r="R183" s="123">
        <f t="shared" si="55"/>
        <v>0.6</v>
      </c>
      <c r="S183" s="123">
        <f t="shared" si="55"/>
        <v>0.6</v>
      </c>
      <c r="T183" s="123">
        <f t="shared" si="56"/>
        <v>0.6</v>
      </c>
      <c r="U183" s="123">
        <f t="shared" si="56"/>
        <v>0.6</v>
      </c>
      <c r="V183" s="123">
        <f t="shared" si="56"/>
        <v>0.6</v>
      </c>
      <c r="W183" s="123">
        <f t="shared" si="56"/>
        <v>0.6</v>
      </c>
      <c r="X183" s="123">
        <f t="shared" si="56"/>
        <v>0.6</v>
      </c>
      <c r="Y183" s="123">
        <f t="shared" si="56"/>
        <v>0.6</v>
      </c>
      <c r="Z183" s="123">
        <f t="shared" si="56"/>
        <v>0.6</v>
      </c>
      <c r="AA183" s="123">
        <f t="shared" si="56"/>
        <v>0.6</v>
      </c>
      <c r="AB183" s="123">
        <f t="shared" si="56"/>
        <v>0.6</v>
      </c>
      <c r="AC183" s="123">
        <f t="shared" si="56"/>
        <v>0.6</v>
      </c>
      <c r="AD183" s="123">
        <f t="shared" si="56"/>
        <v>0.6</v>
      </c>
      <c r="AE183" s="123">
        <f t="shared" si="56"/>
        <v>0.6</v>
      </c>
      <c r="AF183" s="123">
        <f t="shared" si="56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4"/>
        <v>0.35</v>
      </c>
      <c r="C184" s="124">
        <v>0.35</v>
      </c>
      <c r="D184" s="123">
        <f t="shared" si="55"/>
        <v>0.35</v>
      </c>
      <c r="E184" s="123">
        <f t="shared" si="55"/>
        <v>0.35</v>
      </c>
      <c r="F184" s="123">
        <f t="shared" si="55"/>
        <v>0.35</v>
      </c>
      <c r="G184" s="123">
        <f t="shared" si="55"/>
        <v>0.35</v>
      </c>
      <c r="H184" s="123">
        <f t="shared" si="55"/>
        <v>0.35</v>
      </c>
      <c r="I184" s="123">
        <f t="shared" si="55"/>
        <v>0.35</v>
      </c>
      <c r="J184" s="123">
        <f t="shared" si="55"/>
        <v>0.35</v>
      </c>
      <c r="K184" s="123">
        <f t="shared" si="55"/>
        <v>0.35</v>
      </c>
      <c r="L184" s="123">
        <f t="shared" si="55"/>
        <v>0.35</v>
      </c>
      <c r="M184" s="123">
        <f t="shared" si="55"/>
        <v>0.35</v>
      </c>
      <c r="N184" s="123">
        <f t="shared" si="55"/>
        <v>0.35</v>
      </c>
      <c r="O184" s="123">
        <f t="shared" si="55"/>
        <v>0.35</v>
      </c>
      <c r="P184" s="123">
        <f t="shared" si="55"/>
        <v>0.35</v>
      </c>
      <c r="Q184" s="123">
        <f t="shared" si="55"/>
        <v>0.35</v>
      </c>
      <c r="R184" s="123">
        <f t="shared" si="55"/>
        <v>0.35</v>
      </c>
      <c r="S184" s="123">
        <f t="shared" si="55"/>
        <v>0.35</v>
      </c>
      <c r="T184" s="123">
        <f t="shared" si="56"/>
        <v>0.35</v>
      </c>
      <c r="U184" s="123">
        <f t="shared" si="56"/>
        <v>0.35</v>
      </c>
      <c r="V184" s="123">
        <f t="shared" si="56"/>
        <v>0.35</v>
      </c>
      <c r="W184" s="123">
        <f t="shared" si="56"/>
        <v>0.35</v>
      </c>
      <c r="X184" s="123">
        <f t="shared" si="56"/>
        <v>0.35</v>
      </c>
      <c r="Y184" s="123">
        <f t="shared" si="56"/>
        <v>0.35</v>
      </c>
      <c r="Z184" s="123">
        <f t="shared" si="56"/>
        <v>0.35</v>
      </c>
      <c r="AA184" s="123">
        <f t="shared" si="56"/>
        <v>0.35</v>
      </c>
      <c r="AB184" s="123">
        <f t="shared" si="56"/>
        <v>0.35</v>
      </c>
      <c r="AC184" s="123">
        <f t="shared" si="56"/>
        <v>0.35</v>
      </c>
      <c r="AD184" s="123">
        <f t="shared" si="56"/>
        <v>0.35</v>
      </c>
      <c r="AE184" s="123">
        <f t="shared" si="56"/>
        <v>0.35</v>
      </c>
      <c r="AF184" s="123">
        <f t="shared" si="56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4"/>
        <v>0.28999999999999998</v>
      </c>
      <c r="C185" s="124">
        <v>0.28999999999999998</v>
      </c>
      <c r="D185" s="123">
        <f t="shared" si="55"/>
        <v>0.28999999999999998</v>
      </c>
      <c r="E185" s="123">
        <f t="shared" si="55"/>
        <v>0.28999999999999998</v>
      </c>
      <c r="F185" s="123">
        <f t="shared" si="55"/>
        <v>0.28999999999999998</v>
      </c>
      <c r="G185" s="123">
        <f t="shared" si="55"/>
        <v>0.28999999999999998</v>
      </c>
      <c r="H185" s="123">
        <f t="shared" si="55"/>
        <v>0.28999999999999998</v>
      </c>
      <c r="I185" s="123">
        <f t="shared" si="55"/>
        <v>0.28999999999999998</v>
      </c>
      <c r="J185" s="123">
        <f t="shared" si="55"/>
        <v>0.28999999999999998</v>
      </c>
      <c r="K185" s="123">
        <f t="shared" si="55"/>
        <v>0.28999999999999998</v>
      </c>
      <c r="L185" s="123">
        <f t="shared" si="55"/>
        <v>0.28999999999999998</v>
      </c>
      <c r="M185" s="123">
        <f t="shared" si="55"/>
        <v>0.28999999999999998</v>
      </c>
      <c r="N185" s="123">
        <f t="shared" si="55"/>
        <v>0.28999999999999998</v>
      </c>
      <c r="O185" s="123">
        <f t="shared" si="55"/>
        <v>0.28999999999999998</v>
      </c>
      <c r="P185" s="123">
        <f t="shared" si="55"/>
        <v>0.28999999999999998</v>
      </c>
      <c r="Q185" s="123">
        <f t="shared" si="55"/>
        <v>0.28999999999999998</v>
      </c>
      <c r="R185" s="123">
        <f t="shared" si="55"/>
        <v>0.28999999999999998</v>
      </c>
      <c r="S185" s="123">
        <f t="shared" si="55"/>
        <v>0.28999999999999998</v>
      </c>
      <c r="T185" s="123">
        <f t="shared" si="56"/>
        <v>0.28999999999999998</v>
      </c>
      <c r="U185" s="123">
        <f t="shared" si="56"/>
        <v>0.28999999999999998</v>
      </c>
      <c r="V185" s="123">
        <f t="shared" si="56"/>
        <v>0.28999999999999998</v>
      </c>
      <c r="W185" s="123">
        <f t="shared" si="56"/>
        <v>0.28999999999999998</v>
      </c>
      <c r="X185" s="123">
        <f t="shared" si="56"/>
        <v>0.28999999999999998</v>
      </c>
      <c r="Y185" s="123">
        <f t="shared" si="56"/>
        <v>0.28999999999999998</v>
      </c>
      <c r="Z185" s="123">
        <f t="shared" si="56"/>
        <v>0.28999999999999998</v>
      </c>
      <c r="AA185" s="123">
        <f t="shared" si="56"/>
        <v>0.28999999999999998</v>
      </c>
      <c r="AB185" s="123">
        <f t="shared" si="56"/>
        <v>0.28999999999999998</v>
      </c>
      <c r="AC185" s="123">
        <f t="shared" si="56"/>
        <v>0.28999999999999998</v>
      </c>
      <c r="AD185" s="123">
        <f t="shared" si="56"/>
        <v>0.28999999999999998</v>
      </c>
      <c r="AE185" s="123">
        <f t="shared" si="56"/>
        <v>0.28999999999999998</v>
      </c>
      <c r="AF185" s="123">
        <f t="shared" si="56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4"/>
        <v>0.06</v>
      </c>
      <c r="C186" s="124">
        <v>0.06</v>
      </c>
      <c r="D186" s="123">
        <f t="shared" si="55"/>
        <v>0.06</v>
      </c>
      <c r="E186" s="123">
        <f t="shared" si="55"/>
        <v>0.06</v>
      </c>
      <c r="F186" s="123">
        <f t="shared" si="55"/>
        <v>0.06</v>
      </c>
      <c r="G186" s="123">
        <f t="shared" si="55"/>
        <v>0.06</v>
      </c>
      <c r="H186" s="123">
        <f t="shared" si="55"/>
        <v>0.06</v>
      </c>
      <c r="I186" s="123">
        <f t="shared" si="55"/>
        <v>0.06</v>
      </c>
      <c r="J186" s="123">
        <f t="shared" si="55"/>
        <v>0.06</v>
      </c>
      <c r="K186" s="123">
        <f t="shared" si="55"/>
        <v>0.06</v>
      </c>
      <c r="L186" s="123">
        <f t="shared" si="55"/>
        <v>0.06</v>
      </c>
      <c r="M186" s="123">
        <f t="shared" si="55"/>
        <v>0.06</v>
      </c>
      <c r="N186" s="123">
        <f t="shared" si="55"/>
        <v>0.06</v>
      </c>
      <c r="O186" s="123">
        <f t="shared" si="55"/>
        <v>0.06</v>
      </c>
      <c r="P186" s="123">
        <f t="shared" si="55"/>
        <v>0.06</v>
      </c>
      <c r="Q186" s="123">
        <f t="shared" si="55"/>
        <v>0.06</v>
      </c>
      <c r="R186" s="123">
        <f t="shared" si="55"/>
        <v>0.06</v>
      </c>
      <c r="S186" s="123">
        <f t="shared" si="55"/>
        <v>0.06</v>
      </c>
      <c r="T186" s="123">
        <f t="shared" si="56"/>
        <v>0.06</v>
      </c>
      <c r="U186" s="123">
        <f t="shared" si="56"/>
        <v>0.06</v>
      </c>
      <c r="V186" s="123">
        <f t="shared" si="56"/>
        <v>0.06</v>
      </c>
      <c r="W186" s="123">
        <f t="shared" si="56"/>
        <v>0.06</v>
      </c>
      <c r="X186" s="123">
        <f t="shared" si="56"/>
        <v>0.06</v>
      </c>
      <c r="Y186" s="123">
        <f t="shared" si="56"/>
        <v>0.06</v>
      </c>
      <c r="Z186" s="123">
        <f t="shared" si="56"/>
        <v>0.06</v>
      </c>
      <c r="AA186" s="123">
        <f t="shared" si="56"/>
        <v>0.06</v>
      </c>
      <c r="AB186" s="123">
        <f t="shared" si="56"/>
        <v>0.06</v>
      </c>
      <c r="AC186" s="123">
        <f t="shared" si="56"/>
        <v>0.06</v>
      </c>
      <c r="AD186" s="123">
        <f t="shared" si="56"/>
        <v>0.06</v>
      </c>
      <c r="AE186" s="123">
        <f t="shared" si="56"/>
        <v>0.06</v>
      </c>
      <c r="AF186" s="123">
        <f t="shared" si="56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4"/>
        <v>0.11</v>
      </c>
      <c r="C187" s="124">
        <v>0.11</v>
      </c>
      <c r="D187" s="123">
        <f t="shared" si="55"/>
        <v>0.11</v>
      </c>
      <c r="E187" s="123">
        <f t="shared" si="55"/>
        <v>0.11</v>
      </c>
      <c r="F187" s="123">
        <f t="shared" si="55"/>
        <v>0.11</v>
      </c>
      <c r="G187" s="123">
        <f t="shared" si="55"/>
        <v>0.11</v>
      </c>
      <c r="H187" s="123">
        <f t="shared" si="55"/>
        <v>0.11</v>
      </c>
      <c r="I187" s="123">
        <f t="shared" si="55"/>
        <v>0.11</v>
      </c>
      <c r="J187" s="123">
        <f t="shared" si="55"/>
        <v>0.11</v>
      </c>
      <c r="K187" s="123">
        <f t="shared" si="55"/>
        <v>0.11</v>
      </c>
      <c r="L187" s="123">
        <f t="shared" si="55"/>
        <v>0.11</v>
      </c>
      <c r="M187" s="123">
        <f t="shared" si="55"/>
        <v>0.11</v>
      </c>
      <c r="N187" s="123">
        <f t="shared" si="55"/>
        <v>0.11</v>
      </c>
      <c r="O187" s="123">
        <f t="shared" si="55"/>
        <v>0.11</v>
      </c>
      <c r="P187" s="123">
        <f t="shared" si="55"/>
        <v>0.11</v>
      </c>
      <c r="Q187" s="123">
        <f t="shared" si="55"/>
        <v>0.11</v>
      </c>
      <c r="R187" s="123">
        <f t="shared" si="55"/>
        <v>0.11</v>
      </c>
      <c r="S187" s="123">
        <f t="shared" si="55"/>
        <v>0.11</v>
      </c>
      <c r="T187" s="123">
        <f t="shared" si="56"/>
        <v>0.11</v>
      </c>
      <c r="U187" s="123">
        <f t="shared" si="56"/>
        <v>0.11</v>
      </c>
      <c r="V187" s="123">
        <f t="shared" si="56"/>
        <v>0.11</v>
      </c>
      <c r="W187" s="123">
        <f t="shared" si="56"/>
        <v>0.11</v>
      </c>
      <c r="X187" s="123">
        <f t="shared" si="56"/>
        <v>0.11</v>
      </c>
      <c r="Y187" s="123">
        <f t="shared" si="56"/>
        <v>0.11</v>
      </c>
      <c r="Z187" s="123">
        <f t="shared" si="56"/>
        <v>0.11</v>
      </c>
      <c r="AA187" s="123">
        <f t="shared" si="56"/>
        <v>0.11</v>
      </c>
      <c r="AB187" s="123">
        <f t="shared" si="56"/>
        <v>0.11</v>
      </c>
      <c r="AC187" s="123">
        <f t="shared" si="56"/>
        <v>0.11</v>
      </c>
      <c r="AD187" s="123">
        <f t="shared" si="56"/>
        <v>0.11</v>
      </c>
      <c r="AE187" s="123">
        <f t="shared" si="56"/>
        <v>0.11</v>
      </c>
      <c r="AF187" s="123">
        <f t="shared" si="56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4"/>
        <v>0.1</v>
      </c>
      <c r="C188" s="124">
        <v>0.1</v>
      </c>
      <c r="D188" s="123">
        <f t="shared" si="55"/>
        <v>0.1</v>
      </c>
      <c r="E188" s="123">
        <f t="shared" si="55"/>
        <v>0.1</v>
      </c>
      <c r="F188" s="123">
        <f t="shared" si="55"/>
        <v>0.1</v>
      </c>
      <c r="G188" s="123">
        <f t="shared" si="55"/>
        <v>0.1</v>
      </c>
      <c r="H188" s="123">
        <f t="shared" si="55"/>
        <v>0.1</v>
      </c>
      <c r="I188" s="123">
        <f t="shared" si="55"/>
        <v>0.1</v>
      </c>
      <c r="J188" s="123">
        <f t="shared" si="55"/>
        <v>0.1</v>
      </c>
      <c r="K188" s="123">
        <f t="shared" si="55"/>
        <v>0.1</v>
      </c>
      <c r="L188" s="123">
        <f t="shared" si="55"/>
        <v>0.1</v>
      </c>
      <c r="M188" s="123">
        <f t="shared" si="55"/>
        <v>0.1</v>
      </c>
      <c r="N188" s="123">
        <f t="shared" si="55"/>
        <v>0.1</v>
      </c>
      <c r="O188" s="123">
        <f t="shared" si="55"/>
        <v>0.1</v>
      </c>
      <c r="P188" s="123">
        <f t="shared" si="55"/>
        <v>0.1</v>
      </c>
      <c r="Q188" s="123">
        <f t="shared" si="55"/>
        <v>0.1</v>
      </c>
      <c r="R188" s="123">
        <f t="shared" si="55"/>
        <v>0.1</v>
      </c>
      <c r="S188" s="123">
        <f t="shared" si="56"/>
        <v>0.1</v>
      </c>
      <c r="T188" s="123">
        <f t="shared" si="56"/>
        <v>0.1</v>
      </c>
      <c r="U188" s="123">
        <f t="shared" si="56"/>
        <v>0.1</v>
      </c>
      <c r="V188" s="123">
        <f t="shared" si="56"/>
        <v>0.1</v>
      </c>
      <c r="W188" s="123">
        <f t="shared" si="56"/>
        <v>0.1</v>
      </c>
      <c r="X188" s="123">
        <f t="shared" si="56"/>
        <v>0.1</v>
      </c>
      <c r="Y188" s="123">
        <f t="shared" si="56"/>
        <v>0.1</v>
      </c>
      <c r="Z188" s="123">
        <f t="shared" si="56"/>
        <v>0.1</v>
      </c>
      <c r="AA188" s="123">
        <f t="shared" si="56"/>
        <v>0.1</v>
      </c>
      <c r="AB188" s="123">
        <f t="shared" si="56"/>
        <v>0.1</v>
      </c>
      <c r="AC188" s="123">
        <f t="shared" si="56"/>
        <v>0.1</v>
      </c>
      <c r="AD188" s="123">
        <f t="shared" si="56"/>
        <v>0.1</v>
      </c>
      <c r="AE188" s="123">
        <f t="shared" si="56"/>
        <v>0.1</v>
      </c>
      <c r="AF188" s="123">
        <f t="shared" si="56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4"/>
        <v>0.09</v>
      </c>
      <c r="C189" s="124">
        <v>0.09</v>
      </c>
      <c r="D189" s="123">
        <f t="shared" si="55"/>
        <v>0.09</v>
      </c>
      <c r="E189" s="123">
        <f t="shared" si="55"/>
        <v>0.09</v>
      </c>
      <c r="F189" s="123">
        <f t="shared" si="55"/>
        <v>0.09</v>
      </c>
      <c r="G189" s="123">
        <f t="shared" si="55"/>
        <v>0.09</v>
      </c>
      <c r="H189" s="123">
        <f t="shared" si="55"/>
        <v>0.09</v>
      </c>
      <c r="I189" s="123">
        <f t="shared" si="55"/>
        <v>0.09</v>
      </c>
      <c r="J189" s="123">
        <f t="shared" si="55"/>
        <v>0.09</v>
      </c>
      <c r="K189" s="123">
        <f t="shared" si="55"/>
        <v>0.09</v>
      </c>
      <c r="L189" s="123">
        <f t="shared" si="55"/>
        <v>0.09</v>
      </c>
      <c r="M189" s="123">
        <f t="shared" si="55"/>
        <v>0.09</v>
      </c>
      <c r="N189" s="123">
        <f t="shared" si="55"/>
        <v>0.09</v>
      </c>
      <c r="O189" s="123">
        <f t="shared" si="55"/>
        <v>0.09</v>
      </c>
      <c r="P189" s="123">
        <f t="shared" si="55"/>
        <v>0.09</v>
      </c>
      <c r="Q189" s="123">
        <f t="shared" si="55"/>
        <v>0.09</v>
      </c>
      <c r="R189" s="123">
        <f t="shared" si="55"/>
        <v>0.09</v>
      </c>
      <c r="S189" s="123">
        <f t="shared" si="56"/>
        <v>0.09</v>
      </c>
      <c r="T189" s="123">
        <f t="shared" si="56"/>
        <v>0.09</v>
      </c>
      <c r="U189" s="123">
        <f t="shared" si="56"/>
        <v>0.09</v>
      </c>
      <c r="V189" s="123">
        <f t="shared" si="56"/>
        <v>0.09</v>
      </c>
      <c r="W189" s="123">
        <f t="shared" si="56"/>
        <v>0.09</v>
      </c>
      <c r="X189" s="123">
        <f t="shared" si="56"/>
        <v>0.09</v>
      </c>
      <c r="Y189" s="123">
        <f t="shared" si="56"/>
        <v>0.09</v>
      </c>
      <c r="Z189" s="123">
        <f t="shared" si="56"/>
        <v>0.09</v>
      </c>
      <c r="AA189" s="123">
        <f t="shared" si="56"/>
        <v>0.09</v>
      </c>
      <c r="AB189" s="123">
        <f t="shared" si="56"/>
        <v>0.09</v>
      </c>
      <c r="AC189" s="123">
        <f t="shared" si="56"/>
        <v>0.09</v>
      </c>
      <c r="AD189" s="123">
        <f t="shared" si="56"/>
        <v>0.09</v>
      </c>
      <c r="AE189" s="123">
        <f t="shared" si="56"/>
        <v>0.09</v>
      </c>
      <c r="AF189" s="123">
        <f t="shared" si="56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4"/>
        <v>0.04</v>
      </c>
      <c r="C190" s="54">
        <v>0.04</v>
      </c>
      <c r="D190" s="123">
        <f t="shared" si="55"/>
        <v>0.04</v>
      </c>
      <c r="E190" s="123">
        <f t="shared" si="55"/>
        <v>0.04</v>
      </c>
      <c r="F190" s="123">
        <f t="shared" si="55"/>
        <v>0.04</v>
      </c>
      <c r="G190" s="123">
        <f t="shared" si="55"/>
        <v>0.04</v>
      </c>
      <c r="H190" s="123">
        <f t="shared" si="55"/>
        <v>0.04</v>
      </c>
      <c r="I190" s="123">
        <f t="shared" si="55"/>
        <v>0.04</v>
      </c>
      <c r="J190" s="123">
        <f t="shared" si="55"/>
        <v>0.04</v>
      </c>
      <c r="K190" s="123">
        <f t="shared" si="55"/>
        <v>0.04</v>
      </c>
      <c r="L190" s="123">
        <f t="shared" si="55"/>
        <v>0.04</v>
      </c>
      <c r="M190" s="123">
        <f t="shared" si="55"/>
        <v>0.04</v>
      </c>
      <c r="N190" s="123">
        <f t="shared" si="55"/>
        <v>0.04</v>
      </c>
      <c r="O190" s="123">
        <f t="shared" si="55"/>
        <v>0.04</v>
      </c>
      <c r="P190" s="123">
        <f t="shared" si="55"/>
        <v>0.04</v>
      </c>
      <c r="Q190" s="123">
        <f t="shared" si="55"/>
        <v>0.04</v>
      </c>
      <c r="R190" s="123">
        <f t="shared" si="55"/>
        <v>0.04</v>
      </c>
      <c r="S190" s="123">
        <f t="shared" si="56"/>
        <v>0.04</v>
      </c>
      <c r="T190" s="123">
        <f t="shared" si="56"/>
        <v>0.04</v>
      </c>
      <c r="U190" s="123">
        <f t="shared" si="56"/>
        <v>0.04</v>
      </c>
      <c r="V190" s="123">
        <f t="shared" si="56"/>
        <v>0.04</v>
      </c>
      <c r="W190" s="123">
        <f t="shared" si="56"/>
        <v>0.04</v>
      </c>
      <c r="X190" s="123">
        <f t="shared" si="56"/>
        <v>0.04</v>
      </c>
      <c r="Y190" s="123">
        <f t="shared" si="56"/>
        <v>0.04</v>
      </c>
      <c r="Z190" s="123">
        <f t="shared" si="56"/>
        <v>0.04</v>
      </c>
      <c r="AA190" s="123">
        <f t="shared" si="56"/>
        <v>0.04</v>
      </c>
      <c r="AB190" s="123">
        <f t="shared" si="56"/>
        <v>0.04</v>
      </c>
      <c r="AC190" s="123">
        <f t="shared" si="56"/>
        <v>0.04</v>
      </c>
      <c r="AD190" s="123">
        <f t="shared" si="56"/>
        <v>0.04</v>
      </c>
      <c r="AE190" s="123">
        <f t="shared" si="56"/>
        <v>0.04</v>
      </c>
      <c r="AF190" s="123">
        <f t="shared" si="56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4"/>
        <v>2.3E-2</v>
      </c>
      <c r="C191" s="54">
        <v>2.3E-2</v>
      </c>
      <c r="D191" s="123">
        <f>C191</f>
        <v>2.3E-2</v>
      </c>
      <c r="E191" s="123">
        <f t="shared" si="55"/>
        <v>2.3E-2</v>
      </c>
      <c r="F191" s="123">
        <f t="shared" si="55"/>
        <v>2.3E-2</v>
      </c>
      <c r="G191" s="123">
        <f t="shared" si="55"/>
        <v>2.3E-2</v>
      </c>
      <c r="H191" s="123">
        <f t="shared" si="55"/>
        <v>2.3E-2</v>
      </c>
      <c r="I191" s="123">
        <f t="shared" si="55"/>
        <v>2.3E-2</v>
      </c>
      <c r="J191" s="123">
        <f t="shared" si="55"/>
        <v>2.3E-2</v>
      </c>
      <c r="K191" s="123">
        <f t="shared" si="55"/>
        <v>2.3E-2</v>
      </c>
      <c r="L191" s="123">
        <f t="shared" si="55"/>
        <v>2.3E-2</v>
      </c>
      <c r="M191" s="123">
        <f t="shared" si="55"/>
        <v>2.3E-2</v>
      </c>
      <c r="N191" s="123">
        <f t="shared" si="55"/>
        <v>2.3E-2</v>
      </c>
      <c r="O191" s="123">
        <f t="shared" si="55"/>
        <v>2.3E-2</v>
      </c>
      <c r="P191" s="123">
        <f t="shared" si="55"/>
        <v>2.3E-2</v>
      </c>
      <c r="Q191" s="123">
        <f t="shared" si="55"/>
        <v>2.3E-2</v>
      </c>
      <c r="R191" s="123">
        <f t="shared" si="55"/>
        <v>2.3E-2</v>
      </c>
      <c r="S191" s="123">
        <f t="shared" si="56"/>
        <v>2.3E-2</v>
      </c>
      <c r="T191" s="123">
        <f t="shared" si="56"/>
        <v>2.3E-2</v>
      </c>
      <c r="U191" s="123">
        <f t="shared" si="56"/>
        <v>2.3E-2</v>
      </c>
      <c r="V191" s="123">
        <f t="shared" si="56"/>
        <v>2.3E-2</v>
      </c>
      <c r="W191" s="123">
        <f t="shared" si="56"/>
        <v>2.3E-2</v>
      </c>
      <c r="X191" s="123">
        <f t="shared" si="56"/>
        <v>2.3E-2</v>
      </c>
      <c r="Y191" s="123">
        <f t="shared" si="56"/>
        <v>2.3E-2</v>
      </c>
      <c r="Z191" s="123">
        <f t="shared" si="56"/>
        <v>2.3E-2</v>
      </c>
      <c r="AA191" s="123">
        <f t="shared" si="56"/>
        <v>2.3E-2</v>
      </c>
      <c r="AB191" s="123">
        <f t="shared" si="56"/>
        <v>2.3E-2</v>
      </c>
      <c r="AC191" s="123">
        <f t="shared" si="56"/>
        <v>2.3E-2</v>
      </c>
      <c r="AD191" s="123">
        <f t="shared" si="56"/>
        <v>2.3E-2</v>
      </c>
      <c r="AE191" s="123">
        <f t="shared" si="56"/>
        <v>2.3E-2</v>
      </c>
      <c r="AF191" s="123">
        <f t="shared" si="56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7">SUM(C102:C191)</f>
        <v>194.70600000000002</v>
      </c>
      <c r="D192" s="128">
        <f t="shared" si="57"/>
        <v>194.70600000000002</v>
      </c>
      <c r="E192" s="128">
        <f t="shared" si="57"/>
        <v>194.70600000000002</v>
      </c>
      <c r="F192" s="128">
        <f t="shared" si="57"/>
        <v>194.70600000000002</v>
      </c>
      <c r="G192" s="128">
        <f t="shared" si="57"/>
        <v>194.70600000000002</v>
      </c>
      <c r="H192" s="128">
        <f t="shared" si="57"/>
        <v>194.70600000000002</v>
      </c>
      <c r="I192" s="128">
        <f t="shared" si="57"/>
        <v>189.70600000000005</v>
      </c>
      <c r="J192" s="128">
        <f t="shared" si="57"/>
        <v>187.10600000000005</v>
      </c>
      <c r="K192" s="128">
        <f t="shared" si="57"/>
        <v>187.10600000000005</v>
      </c>
      <c r="L192" s="128">
        <f t="shared" si="57"/>
        <v>187.10600000000005</v>
      </c>
      <c r="M192" s="128">
        <f t="shared" si="57"/>
        <v>187.10600000000005</v>
      </c>
      <c r="N192" s="128">
        <f t="shared" si="57"/>
        <v>187.10600000000005</v>
      </c>
      <c r="O192" s="128">
        <f t="shared" si="57"/>
        <v>187.10600000000005</v>
      </c>
      <c r="P192" s="128">
        <f t="shared" si="57"/>
        <v>187.10600000000005</v>
      </c>
      <c r="Q192" s="128">
        <f t="shared" si="57"/>
        <v>187.10600000000005</v>
      </c>
      <c r="R192" s="128">
        <f t="shared" si="57"/>
        <v>187.10600000000005</v>
      </c>
      <c r="S192" s="128">
        <f t="shared" si="57"/>
        <v>187.10600000000005</v>
      </c>
      <c r="T192" s="128">
        <f t="shared" si="57"/>
        <v>187.10600000000005</v>
      </c>
      <c r="U192" s="128">
        <f t="shared" si="57"/>
        <v>187.10600000000005</v>
      </c>
      <c r="V192" s="128">
        <f t="shared" si="57"/>
        <v>187.10600000000005</v>
      </c>
      <c r="W192" s="128">
        <f t="shared" si="57"/>
        <v>187.10600000000005</v>
      </c>
      <c r="X192" s="128">
        <f t="shared" si="57"/>
        <v>187.10600000000005</v>
      </c>
      <c r="Y192" s="128">
        <f t="shared" si="57"/>
        <v>187.10600000000005</v>
      </c>
      <c r="Z192" s="128">
        <f t="shared" si="57"/>
        <v>187.10600000000005</v>
      </c>
      <c r="AA192" s="128">
        <f t="shared" si="57"/>
        <v>187.10600000000005</v>
      </c>
      <c r="AB192" s="128">
        <f t="shared" si="57"/>
        <v>187.10600000000005</v>
      </c>
      <c r="AC192" s="128">
        <f t="shared" si="57"/>
        <v>187.10600000000005</v>
      </c>
      <c r="AD192" s="128">
        <f t="shared" si="57"/>
        <v>187.10600000000005</v>
      </c>
      <c r="AE192" s="128">
        <f t="shared" si="57"/>
        <v>187.10600000000005</v>
      </c>
      <c r="AF192" s="128">
        <f t="shared" si="57"/>
        <v>187.10600000000005</v>
      </c>
      <c r="AG192" s="129">
        <f t="shared" si="57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8">AF194</f>
        <v>0.3</v>
      </c>
      <c r="C194" s="130">
        <v>0.3</v>
      </c>
      <c r="D194" s="130">
        <f t="shared" ref="D194:S199" si="59">C194</f>
        <v>0.3</v>
      </c>
      <c r="E194" s="130">
        <f t="shared" si="59"/>
        <v>0.3</v>
      </c>
      <c r="F194" s="130">
        <f t="shared" si="59"/>
        <v>0.3</v>
      </c>
      <c r="G194" s="130">
        <f t="shared" si="59"/>
        <v>0.3</v>
      </c>
      <c r="H194" s="130">
        <f t="shared" si="59"/>
        <v>0.3</v>
      </c>
      <c r="I194" s="130">
        <f t="shared" si="59"/>
        <v>0.3</v>
      </c>
      <c r="J194" s="130">
        <f t="shared" si="59"/>
        <v>0.3</v>
      </c>
      <c r="K194" s="130">
        <f t="shared" si="59"/>
        <v>0.3</v>
      </c>
      <c r="L194" s="130">
        <f t="shared" si="59"/>
        <v>0.3</v>
      </c>
      <c r="M194" s="130">
        <f t="shared" si="59"/>
        <v>0.3</v>
      </c>
      <c r="N194" s="130">
        <f t="shared" si="59"/>
        <v>0.3</v>
      </c>
      <c r="O194" s="130">
        <f t="shared" si="59"/>
        <v>0.3</v>
      </c>
      <c r="P194" s="130">
        <f t="shared" si="59"/>
        <v>0.3</v>
      </c>
      <c r="Q194" s="130">
        <f t="shared" si="59"/>
        <v>0.3</v>
      </c>
      <c r="R194" s="130">
        <f t="shared" si="59"/>
        <v>0.3</v>
      </c>
      <c r="S194" s="130">
        <f t="shared" si="59"/>
        <v>0.3</v>
      </c>
      <c r="T194" s="130">
        <f t="shared" ref="T194:AF199" si="60">S194</f>
        <v>0.3</v>
      </c>
      <c r="U194" s="130">
        <f t="shared" si="60"/>
        <v>0.3</v>
      </c>
      <c r="V194" s="130">
        <f t="shared" si="60"/>
        <v>0.3</v>
      </c>
      <c r="W194" s="130">
        <f t="shared" si="60"/>
        <v>0.3</v>
      </c>
      <c r="X194" s="130">
        <f t="shared" si="60"/>
        <v>0.3</v>
      </c>
      <c r="Y194" s="130">
        <f t="shared" si="60"/>
        <v>0.3</v>
      </c>
      <c r="Z194" s="130">
        <f t="shared" si="60"/>
        <v>0.3</v>
      </c>
      <c r="AA194" s="130">
        <f t="shared" si="60"/>
        <v>0.3</v>
      </c>
      <c r="AB194" s="130">
        <f t="shared" si="60"/>
        <v>0.3</v>
      </c>
      <c r="AC194" s="130">
        <f t="shared" si="60"/>
        <v>0.3</v>
      </c>
      <c r="AD194" s="130">
        <f t="shared" si="60"/>
        <v>0.3</v>
      </c>
      <c r="AE194" s="130">
        <f t="shared" si="60"/>
        <v>0.3</v>
      </c>
      <c r="AF194" s="130">
        <f t="shared" si="60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8"/>
        <v>0.4</v>
      </c>
      <c r="C195" s="123">
        <v>0.4</v>
      </c>
      <c r="D195" s="123">
        <f t="shared" si="59"/>
        <v>0.4</v>
      </c>
      <c r="E195" s="123">
        <f t="shared" si="59"/>
        <v>0.4</v>
      </c>
      <c r="F195" s="123">
        <f t="shared" si="59"/>
        <v>0.4</v>
      </c>
      <c r="G195" s="123">
        <f t="shared" si="59"/>
        <v>0.4</v>
      </c>
      <c r="H195" s="123">
        <f t="shared" si="59"/>
        <v>0.4</v>
      </c>
      <c r="I195" s="123">
        <f t="shared" si="59"/>
        <v>0.4</v>
      </c>
      <c r="J195" s="123">
        <f t="shared" si="59"/>
        <v>0.4</v>
      </c>
      <c r="K195" s="123">
        <f t="shared" si="59"/>
        <v>0.4</v>
      </c>
      <c r="L195" s="123">
        <f t="shared" si="59"/>
        <v>0.4</v>
      </c>
      <c r="M195" s="123">
        <f t="shared" si="59"/>
        <v>0.4</v>
      </c>
      <c r="N195" s="123">
        <f t="shared" si="59"/>
        <v>0.4</v>
      </c>
      <c r="O195" s="123">
        <f t="shared" si="59"/>
        <v>0.4</v>
      </c>
      <c r="P195" s="123">
        <f t="shared" si="59"/>
        <v>0.4</v>
      </c>
      <c r="Q195" s="123">
        <f t="shared" si="59"/>
        <v>0.4</v>
      </c>
      <c r="R195" s="123">
        <f t="shared" si="59"/>
        <v>0.4</v>
      </c>
      <c r="S195" s="123">
        <f t="shared" si="59"/>
        <v>0.4</v>
      </c>
      <c r="T195" s="123">
        <f t="shared" si="60"/>
        <v>0.4</v>
      </c>
      <c r="U195" s="123">
        <f t="shared" si="60"/>
        <v>0.4</v>
      </c>
      <c r="V195" s="123">
        <f t="shared" si="60"/>
        <v>0.4</v>
      </c>
      <c r="W195" s="123">
        <f>V195</f>
        <v>0.4</v>
      </c>
      <c r="X195" s="123">
        <f>W195</f>
        <v>0.4</v>
      </c>
      <c r="Y195" s="123">
        <f t="shared" si="60"/>
        <v>0.4</v>
      </c>
      <c r="Z195" s="123">
        <f t="shared" si="60"/>
        <v>0.4</v>
      </c>
      <c r="AA195" s="123">
        <f t="shared" si="60"/>
        <v>0.4</v>
      </c>
      <c r="AB195" s="123">
        <f t="shared" si="60"/>
        <v>0.4</v>
      </c>
      <c r="AC195" s="123">
        <f t="shared" si="60"/>
        <v>0.4</v>
      </c>
      <c r="AD195" s="123">
        <f t="shared" si="60"/>
        <v>0.4</v>
      </c>
      <c r="AE195" s="123">
        <f t="shared" si="60"/>
        <v>0.4</v>
      </c>
      <c r="AF195" s="123">
        <f t="shared" si="60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8"/>
        <v>1.5</v>
      </c>
      <c r="C196" s="123">
        <v>1.5</v>
      </c>
      <c r="D196" s="123">
        <f t="shared" si="59"/>
        <v>1.5</v>
      </c>
      <c r="E196" s="123">
        <f t="shared" si="59"/>
        <v>1.5</v>
      </c>
      <c r="F196" s="123">
        <f t="shared" si="59"/>
        <v>1.5</v>
      </c>
      <c r="G196" s="123">
        <f t="shared" si="59"/>
        <v>1.5</v>
      </c>
      <c r="H196" s="123">
        <f t="shared" si="59"/>
        <v>1.5</v>
      </c>
      <c r="I196" s="123">
        <f t="shared" si="59"/>
        <v>1.5</v>
      </c>
      <c r="J196" s="123">
        <f t="shared" si="59"/>
        <v>1.5</v>
      </c>
      <c r="K196" s="123">
        <f t="shared" si="59"/>
        <v>1.5</v>
      </c>
      <c r="L196" s="123">
        <f t="shared" si="59"/>
        <v>1.5</v>
      </c>
      <c r="M196" s="123">
        <f t="shared" si="59"/>
        <v>1.5</v>
      </c>
      <c r="N196" s="123">
        <f t="shared" si="59"/>
        <v>1.5</v>
      </c>
      <c r="O196" s="123">
        <f t="shared" si="59"/>
        <v>1.5</v>
      </c>
      <c r="P196" s="123">
        <f t="shared" si="59"/>
        <v>1.5</v>
      </c>
      <c r="Q196" s="123">
        <f t="shared" si="59"/>
        <v>1.5</v>
      </c>
      <c r="R196" s="123">
        <f t="shared" si="59"/>
        <v>1.5</v>
      </c>
      <c r="S196" s="123">
        <f t="shared" si="59"/>
        <v>1.5</v>
      </c>
      <c r="T196" s="123">
        <f t="shared" si="60"/>
        <v>1.5</v>
      </c>
      <c r="U196" s="123">
        <f t="shared" si="60"/>
        <v>1.5</v>
      </c>
      <c r="V196" s="123">
        <f t="shared" si="60"/>
        <v>1.5</v>
      </c>
      <c r="W196" s="123">
        <f t="shared" si="60"/>
        <v>1.5</v>
      </c>
      <c r="X196" s="123">
        <f t="shared" si="60"/>
        <v>1.5</v>
      </c>
      <c r="Y196" s="123">
        <f t="shared" si="60"/>
        <v>1.5</v>
      </c>
      <c r="Z196" s="123">
        <f t="shared" si="60"/>
        <v>1.5</v>
      </c>
      <c r="AA196" s="123">
        <f t="shared" si="60"/>
        <v>1.5</v>
      </c>
      <c r="AB196" s="123">
        <f t="shared" si="60"/>
        <v>1.5</v>
      </c>
      <c r="AC196" s="123">
        <f t="shared" si="60"/>
        <v>1.5</v>
      </c>
      <c r="AD196" s="123">
        <f t="shared" si="60"/>
        <v>1.5</v>
      </c>
      <c r="AE196" s="123">
        <f t="shared" si="60"/>
        <v>1.5</v>
      </c>
      <c r="AF196" s="123">
        <f t="shared" si="60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8"/>
        <v>0.3</v>
      </c>
      <c r="C197" s="123">
        <v>0.3</v>
      </c>
      <c r="D197" s="123">
        <f t="shared" si="59"/>
        <v>0.3</v>
      </c>
      <c r="E197" s="123">
        <f t="shared" si="59"/>
        <v>0.3</v>
      </c>
      <c r="F197" s="123">
        <f t="shared" si="59"/>
        <v>0.3</v>
      </c>
      <c r="G197" s="123">
        <f t="shared" si="59"/>
        <v>0.3</v>
      </c>
      <c r="H197" s="123">
        <f t="shared" si="59"/>
        <v>0.3</v>
      </c>
      <c r="I197" s="123">
        <f t="shared" si="59"/>
        <v>0.3</v>
      </c>
      <c r="J197" s="123">
        <f t="shared" si="59"/>
        <v>0.3</v>
      </c>
      <c r="K197" s="123">
        <f t="shared" si="59"/>
        <v>0.3</v>
      </c>
      <c r="L197" s="123">
        <f t="shared" si="59"/>
        <v>0.3</v>
      </c>
      <c r="M197" s="123">
        <f t="shared" si="59"/>
        <v>0.3</v>
      </c>
      <c r="N197" s="123">
        <f t="shared" si="59"/>
        <v>0.3</v>
      </c>
      <c r="O197" s="123">
        <f t="shared" si="59"/>
        <v>0.3</v>
      </c>
      <c r="P197" s="123">
        <f t="shared" si="59"/>
        <v>0.3</v>
      </c>
      <c r="Q197" s="123">
        <f t="shared" si="59"/>
        <v>0.3</v>
      </c>
      <c r="R197" s="123">
        <f t="shared" si="59"/>
        <v>0.3</v>
      </c>
      <c r="S197" s="123">
        <f t="shared" si="59"/>
        <v>0.3</v>
      </c>
      <c r="T197" s="123">
        <f t="shared" si="60"/>
        <v>0.3</v>
      </c>
      <c r="U197" s="123">
        <f t="shared" si="60"/>
        <v>0.3</v>
      </c>
      <c r="V197" s="123">
        <f t="shared" si="60"/>
        <v>0.3</v>
      </c>
      <c r="W197" s="123">
        <f t="shared" si="60"/>
        <v>0.3</v>
      </c>
      <c r="X197" s="123">
        <f t="shared" si="60"/>
        <v>0.3</v>
      </c>
      <c r="Y197" s="123">
        <f t="shared" si="60"/>
        <v>0.3</v>
      </c>
      <c r="Z197" s="123">
        <f t="shared" si="60"/>
        <v>0.3</v>
      </c>
      <c r="AA197" s="123">
        <f t="shared" si="60"/>
        <v>0.3</v>
      </c>
      <c r="AB197" s="123">
        <f t="shared" si="60"/>
        <v>0.3</v>
      </c>
      <c r="AC197" s="123">
        <f t="shared" si="60"/>
        <v>0.3</v>
      </c>
      <c r="AD197" s="123">
        <f t="shared" si="60"/>
        <v>0.3</v>
      </c>
      <c r="AE197" s="123">
        <f t="shared" si="60"/>
        <v>0.3</v>
      </c>
      <c r="AF197" s="123">
        <f t="shared" si="60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8"/>
        <v>0.4</v>
      </c>
      <c r="C198" s="123">
        <v>0.4</v>
      </c>
      <c r="D198" s="123">
        <f t="shared" si="59"/>
        <v>0.4</v>
      </c>
      <c r="E198" s="123">
        <f t="shared" si="59"/>
        <v>0.4</v>
      </c>
      <c r="F198" s="123">
        <f t="shared" si="59"/>
        <v>0.4</v>
      </c>
      <c r="G198" s="123">
        <f t="shared" si="59"/>
        <v>0.4</v>
      </c>
      <c r="H198" s="123">
        <f t="shared" si="59"/>
        <v>0.4</v>
      </c>
      <c r="I198" s="123">
        <f t="shared" si="59"/>
        <v>0.4</v>
      </c>
      <c r="J198" s="123">
        <f t="shared" si="59"/>
        <v>0.4</v>
      </c>
      <c r="K198" s="123">
        <f t="shared" si="59"/>
        <v>0.4</v>
      </c>
      <c r="L198" s="123">
        <f t="shared" si="59"/>
        <v>0.4</v>
      </c>
      <c r="M198" s="123">
        <f t="shared" si="59"/>
        <v>0.4</v>
      </c>
      <c r="N198" s="123">
        <f t="shared" si="59"/>
        <v>0.4</v>
      </c>
      <c r="O198" s="123">
        <f t="shared" si="59"/>
        <v>0.4</v>
      </c>
      <c r="P198" s="123">
        <f t="shared" si="59"/>
        <v>0.4</v>
      </c>
      <c r="Q198" s="123">
        <f t="shared" si="59"/>
        <v>0.4</v>
      </c>
      <c r="R198" s="123">
        <f t="shared" si="59"/>
        <v>0.4</v>
      </c>
      <c r="S198" s="123">
        <f t="shared" si="59"/>
        <v>0.4</v>
      </c>
      <c r="T198" s="123">
        <f t="shared" si="60"/>
        <v>0.4</v>
      </c>
      <c r="U198" s="123">
        <f t="shared" si="60"/>
        <v>0.4</v>
      </c>
      <c r="V198" s="123">
        <f t="shared" si="60"/>
        <v>0.4</v>
      </c>
      <c r="W198" s="123">
        <f t="shared" si="60"/>
        <v>0.4</v>
      </c>
      <c r="X198" s="123">
        <f t="shared" si="60"/>
        <v>0.4</v>
      </c>
      <c r="Y198" s="123">
        <f t="shared" si="60"/>
        <v>0.4</v>
      </c>
      <c r="Z198" s="123">
        <f t="shared" si="60"/>
        <v>0.4</v>
      </c>
      <c r="AA198" s="123">
        <f t="shared" si="60"/>
        <v>0.4</v>
      </c>
      <c r="AB198" s="123">
        <f t="shared" si="60"/>
        <v>0.4</v>
      </c>
      <c r="AC198" s="123">
        <f t="shared" si="60"/>
        <v>0.4</v>
      </c>
      <c r="AD198" s="123">
        <f t="shared" si="60"/>
        <v>0.4</v>
      </c>
      <c r="AE198" s="123">
        <f t="shared" si="60"/>
        <v>0.4</v>
      </c>
      <c r="AF198" s="123">
        <f t="shared" si="60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8"/>
        <v>0.64</v>
      </c>
      <c r="C199" s="133">
        <v>0.64</v>
      </c>
      <c r="D199" s="133">
        <f t="shared" si="59"/>
        <v>0.64</v>
      </c>
      <c r="E199" s="133">
        <f t="shared" si="59"/>
        <v>0.64</v>
      </c>
      <c r="F199" s="133">
        <f t="shared" si="59"/>
        <v>0.64</v>
      </c>
      <c r="G199" s="133">
        <f t="shared" si="59"/>
        <v>0.64</v>
      </c>
      <c r="H199" s="133">
        <f t="shared" si="59"/>
        <v>0.64</v>
      </c>
      <c r="I199" s="133">
        <f t="shared" si="59"/>
        <v>0.64</v>
      </c>
      <c r="J199" s="133">
        <f t="shared" si="59"/>
        <v>0.64</v>
      </c>
      <c r="K199" s="133">
        <f t="shared" si="59"/>
        <v>0.64</v>
      </c>
      <c r="L199" s="133">
        <f t="shared" si="59"/>
        <v>0.64</v>
      </c>
      <c r="M199" s="133">
        <f t="shared" si="59"/>
        <v>0.64</v>
      </c>
      <c r="N199" s="133">
        <f t="shared" si="59"/>
        <v>0.64</v>
      </c>
      <c r="O199" s="133">
        <f t="shared" si="59"/>
        <v>0.64</v>
      </c>
      <c r="P199" s="133">
        <f t="shared" si="59"/>
        <v>0.64</v>
      </c>
      <c r="Q199" s="133">
        <f t="shared" si="59"/>
        <v>0.64</v>
      </c>
      <c r="R199" s="133">
        <f t="shared" si="59"/>
        <v>0.64</v>
      </c>
      <c r="S199" s="133">
        <f t="shared" si="59"/>
        <v>0.64</v>
      </c>
      <c r="T199" s="133">
        <f t="shared" si="60"/>
        <v>0.64</v>
      </c>
      <c r="U199" s="133">
        <f t="shared" si="60"/>
        <v>0.64</v>
      </c>
      <c r="V199" s="133">
        <f t="shared" si="60"/>
        <v>0.64</v>
      </c>
      <c r="W199" s="133">
        <f t="shared" si="60"/>
        <v>0.64</v>
      </c>
      <c r="X199" s="133">
        <f t="shared" si="60"/>
        <v>0.64</v>
      </c>
      <c r="Y199" s="133">
        <f t="shared" si="60"/>
        <v>0.64</v>
      </c>
      <c r="Z199" s="133">
        <f t="shared" si="60"/>
        <v>0.64</v>
      </c>
      <c r="AA199" s="133">
        <f t="shared" si="60"/>
        <v>0.64</v>
      </c>
      <c r="AB199" s="133">
        <f t="shared" si="60"/>
        <v>0.64</v>
      </c>
      <c r="AC199" s="133">
        <f t="shared" si="60"/>
        <v>0.64</v>
      </c>
      <c r="AD199" s="133">
        <f t="shared" si="60"/>
        <v>0.64</v>
      </c>
      <c r="AE199" s="133">
        <f t="shared" si="60"/>
        <v>0.64</v>
      </c>
      <c r="AF199" s="133">
        <f t="shared" si="60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1">SUM(D194:D199)</f>
        <v>3.54</v>
      </c>
      <c r="E200" s="136">
        <f t="shared" si="61"/>
        <v>3.54</v>
      </c>
      <c r="F200" s="136">
        <f t="shared" si="61"/>
        <v>3.54</v>
      </c>
      <c r="G200" s="136">
        <f t="shared" si="61"/>
        <v>3.54</v>
      </c>
      <c r="H200" s="136">
        <f t="shared" si="61"/>
        <v>3.54</v>
      </c>
      <c r="I200" s="136">
        <f t="shared" si="61"/>
        <v>3.54</v>
      </c>
      <c r="J200" s="136">
        <f t="shared" si="61"/>
        <v>3.54</v>
      </c>
      <c r="K200" s="136">
        <f t="shared" si="61"/>
        <v>3.54</v>
      </c>
      <c r="L200" s="136">
        <f t="shared" si="61"/>
        <v>3.54</v>
      </c>
      <c r="M200" s="136">
        <f>SUM(M194:M199)</f>
        <v>3.54</v>
      </c>
      <c r="N200" s="136">
        <f t="shared" ref="N200:S200" si="62">SUM(N194:N199)</f>
        <v>3.54</v>
      </c>
      <c r="O200" s="136">
        <f t="shared" si="62"/>
        <v>3.54</v>
      </c>
      <c r="P200" s="136">
        <f t="shared" si="62"/>
        <v>3.54</v>
      </c>
      <c r="Q200" s="136">
        <f t="shared" si="62"/>
        <v>3.54</v>
      </c>
      <c r="R200" s="136">
        <f t="shared" si="62"/>
        <v>3.54</v>
      </c>
      <c r="S200" s="136">
        <f t="shared" si="62"/>
        <v>3.54</v>
      </c>
      <c r="T200" s="136">
        <f>SUM(T194:T199)</f>
        <v>3.54</v>
      </c>
      <c r="U200" s="136">
        <f t="shared" ref="U200:AG200" si="63">SUM(U194:U199)</f>
        <v>3.54</v>
      </c>
      <c r="V200" s="136">
        <f t="shared" si="63"/>
        <v>3.54</v>
      </c>
      <c r="W200" s="136">
        <f t="shared" si="63"/>
        <v>3.54</v>
      </c>
      <c r="X200" s="136">
        <f t="shared" si="63"/>
        <v>3.54</v>
      </c>
      <c r="Y200" s="136">
        <f t="shared" si="63"/>
        <v>3.54</v>
      </c>
      <c r="Z200" s="136">
        <f t="shared" si="63"/>
        <v>3.54</v>
      </c>
      <c r="AA200" s="136">
        <f t="shared" si="63"/>
        <v>3.54</v>
      </c>
      <c r="AB200" s="136">
        <f t="shared" si="63"/>
        <v>3.54</v>
      </c>
      <c r="AC200" s="136">
        <f t="shared" si="63"/>
        <v>3.54</v>
      </c>
      <c r="AD200" s="136">
        <f t="shared" si="63"/>
        <v>3.54</v>
      </c>
      <c r="AE200" s="136">
        <f t="shared" si="63"/>
        <v>3.54</v>
      </c>
      <c r="AF200" s="136">
        <f t="shared" si="63"/>
        <v>3.54</v>
      </c>
      <c r="AG200" s="137">
        <f t="shared" si="63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1804.1399999999996</v>
      </c>
      <c r="C209" s="151">
        <f>INDEX(G9:N9,1,MATCH(MAX(G75:N75),G75:N75,0))</f>
        <v>0.20833333333333301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32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str">
        <f ca="1">"Pie Chart of Daily Peak Demand(Inclusive of Export) of Nepal ("&amp;A4&amp;" "&amp;B4&amp;")"</f>
        <v>Pie Chart of Daily Peak Demand(Inclusive of Export) of Nepal (Nepali Date: 2079/02/32)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2079/02/32)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4">B75</f>
        <v>1792.5400000000002</v>
      </c>
      <c r="U214" s="161">
        <f t="shared" si="64"/>
        <v>1777.24</v>
      </c>
      <c r="V214" s="161">
        <f t="shared" si="64"/>
        <v>1776.0400000000002</v>
      </c>
      <c r="W214" s="161">
        <f t="shared" si="64"/>
        <v>1754.04</v>
      </c>
      <c r="X214" s="161">
        <f t="shared" si="64"/>
        <v>1706.94</v>
      </c>
      <c r="Y214" s="161">
        <f t="shared" si="64"/>
        <v>1804.1399999999996</v>
      </c>
      <c r="Z214" s="161">
        <f t="shared" si="64"/>
        <v>1710.9399999999998</v>
      </c>
      <c r="AA214" s="161">
        <f t="shared" si="64"/>
        <v>1721.4399999999998</v>
      </c>
      <c r="AB214" s="161">
        <f t="shared" si="64"/>
        <v>1748.9399999999998</v>
      </c>
      <c r="AC214" s="161">
        <f t="shared" si="64"/>
        <v>1731.34</v>
      </c>
      <c r="AD214" s="161">
        <f t="shared" si="64"/>
        <v>1726.7399999999998</v>
      </c>
      <c r="AE214" s="161">
        <f t="shared" si="64"/>
        <v>1743.94</v>
      </c>
      <c r="AF214" s="161">
        <f t="shared" si="64"/>
        <v>1773.2399999999998</v>
      </c>
      <c r="AG214" s="161">
        <f t="shared" si="64"/>
        <v>1782.64</v>
      </c>
      <c r="AH214" s="161">
        <f t="shared" si="64"/>
        <v>1734.1399999999999</v>
      </c>
      <c r="AI214" s="161">
        <f t="shared" si="64"/>
        <v>1713.1399999999999</v>
      </c>
      <c r="AJ214" s="161">
        <f t="shared" si="64"/>
        <v>1739.8400000000001</v>
      </c>
      <c r="AK214" s="161">
        <f t="shared" si="64"/>
        <v>1723.44</v>
      </c>
      <c r="AL214" s="161">
        <f t="shared" si="64"/>
        <v>1647.3399999999997</v>
      </c>
      <c r="AM214" s="161">
        <f t="shared" si="64"/>
        <v>1646.3399999999997</v>
      </c>
      <c r="AN214" s="161">
        <f t="shared" si="64"/>
        <v>1639.3399999999997</v>
      </c>
      <c r="AO214" s="161">
        <f t="shared" si="64"/>
        <v>1706.44</v>
      </c>
      <c r="AP214" s="161">
        <f t="shared" si="64"/>
        <v>1738.44</v>
      </c>
      <c r="AQ214" s="161">
        <f t="shared" si="64"/>
        <v>1733.94</v>
      </c>
      <c r="AR214" s="161">
        <f t="shared" si="64"/>
        <v>1733.44</v>
      </c>
      <c r="AS214" s="161">
        <f t="shared" si="64"/>
        <v>1736.44</v>
      </c>
      <c r="AT214" s="161">
        <f t="shared" si="64"/>
        <v>1761.94</v>
      </c>
      <c r="AU214" s="161">
        <f t="shared" si="64"/>
        <v>1758.54</v>
      </c>
      <c r="AV214" s="161">
        <f t="shared" si="64"/>
        <v>1766.04</v>
      </c>
      <c r="AW214" s="161">
        <f t="shared" si="64"/>
        <v>1758.6399999999999</v>
      </c>
      <c r="AX214" s="161">
        <f t="shared" si="64"/>
        <v>1744.04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5">C199</f>
        <v>0.64</v>
      </c>
      <c r="C235" s="164">
        <f t="shared" si="65"/>
        <v>0.64</v>
      </c>
      <c r="D235" s="164">
        <f t="shared" si="65"/>
        <v>0.64</v>
      </c>
      <c r="E235" s="164">
        <f t="shared" si="65"/>
        <v>0.64</v>
      </c>
      <c r="F235" s="164">
        <f t="shared" si="65"/>
        <v>0.64</v>
      </c>
      <c r="G235" s="164">
        <f t="shared" si="65"/>
        <v>0.64</v>
      </c>
      <c r="H235" s="164">
        <f t="shared" si="65"/>
        <v>0.64</v>
      </c>
      <c r="I235" s="164">
        <f t="shared" si="65"/>
        <v>0.64</v>
      </c>
      <c r="J235" s="164">
        <f t="shared" si="65"/>
        <v>0.64</v>
      </c>
      <c r="K235" s="164">
        <f t="shared" si="65"/>
        <v>0.64</v>
      </c>
      <c r="L235" s="164">
        <f t="shared" si="65"/>
        <v>0.64</v>
      </c>
      <c r="M235" s="164">
        <f t="shared" si="65"/>
        <v>0.64</v>
      </c>
      <c r="N235" s="164">
        <f t="shared" si="65"/>
        <v>0.64</v>
      </c>
      <c r="O235" s="164">
        <f t="shared" si="65"/>
        <v>0.64</v>
      </c>
      <c r="P235" s="164">
        <f t="shared" si="65"/>
        <v>0.64</v>
      </c>
      <c r="Q235" s="164">
        <f t="shared" si="65"/>
        <v>0.64</v>
      </c>
      <c r="R235" s="164">
        <f t="shared" si="65"/>
        <v>0.64</v>
      </c>
      <c r="S235" s="164">
        <f t="shared" si="65"/>
        <v>0.64</v>
      </c>
      <c r="T235" s="164">
        <f t="shared" si="65"/>
        <v>0.64</v>
      </c>
      <c r="U235" s="164">
        <f t="shared" si="65"/>
        <v>0.64</v>
      </c>
      <c r="V235" s="164">
        <f t="shared" si="65"/>
        <v>0.64</v>
      </c>
      <c r="W235" s="164">
        <f t="shared" si="65"/>
        <v>0.64</v>
      </c>
      <c r="X235" s="164">
        <f t="shared" si="65"/>
        <v>0.64</v>
      </c>
      <c r="Y235" s="164">
        <f t="shared" si="65"/>
        <v>0.64</v>
      </c>
      <c r="Z235" s="164">
        <f t="shared" si="65"/>
        <v>0.64</v>
      </c>
      <c r="AA235" s="164">
        <f t="shared" si="65"/>
        <v>0.64</v>
      </c>
      <c r="AB235" s="164">
        <f t="shared" si="65"/>
        <v>0.64</v>
      </c>
      <c r="AC235" s="164">
        <f t="shared" si="65"/>
        <v>0.64</v>
      </c>
      <c r="AD235" s="164">
        <f t="shared" si="65"/>
        <v>0.64</v>
      </c>
      <c r="AE235" s="164">
        <f t="shared" si="6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6">IF(C203&lt;100,"",C203-520)</f>
        <v/>
      </c>
      <c r="D236" s="107" t="str">
        <f t="shared" si="66"/>
        <v/>
      </c>
      <c r="E236" s="107" t="str">
        <f t="shared" si="66"/>
        <v/>
      </c>
      <c r="F236" s="107" t="str">
        <f t="shared" si="66"/>
        <v/>
      </c>
      <c r="G236" s="107" t="str">
        <f t="shared" si="66"/>
        <v/>
      </c>
      <c r="H236" s="107" t="str">
        <f t="shared" si="66"/>
        <v/>
      </c>
      <c r="I236" s="107" t="str">
        <f t="shared" si="66"/>
        <v/>
      </c>
      <c r="J236" s="107" t="str">
        <f t="shared" si="66"/>
        <v/>
      </c>
      <c r="K236" s="107" t="str">
        <f t="shared" si="66"/>
        <v/>
      </c>
      <c r="L236" s="107" t="str">
        <f t="shared" si="66"/>
        <v/>
      </c>
      <c r="M236" s="107" t="str">
        <f t="shared" si="66"/>
        <v/>
      </c>
      <c r="N236" s="107" t="str">
        <f t="shared" si="66"/>
        <v/>
      </c>
      <c r="O236" s="107" t="str">
        <f t="shared" si="66"/>
        <v/>
      </c>
      <c r="P236" s="107" t="str">
        <f t="shared" si="66"/>
        <v/>
      </c>
      <c r="Q236" s="107" t="str">
        <f t="shared" si="66"/>
        <v/>
      </c>
      <c r="R236" s="107" t="str">
        <f t="shared" si="66"/>
        <v/>
      </c>
      <c r="S236" s="107" t="str">
        <f t="shared" si="66"/>
        <v/>
      </c>
      <c r="T236" s="107" t="str">
        <f t="shared" si="66"/>
        <v/>
      </c>
      <c r="U236" s="107" t="str">
        <f t="shared" si="66"/>
        <v/>
      </c>
      <c r="V236" s="107" t="str">
        <f t="shared" si="66"/>
        <v/>
      </c>
      <c r="W236" s="107" t="str">
        <f t="shared" si="66"/>
        <v/>
      </c>
      <c r="X236" s="107" t="str">
        <f t="shared" si="66"/>
        <v/>
      </c>
      <c r="Y236" s="107" t="str">
        <f t="shared" si="66"/>
        <v/>
      </c>
      <c r="Z236" s="107" t="str">
        <f t="shared" si="66"/>
        <v/>
      </c>
      <c r="AA236" s="107" t="str">
        <f t="shared" si="66"/>
        <v/>
      </c>
      <c r="AB236" s="107" t="str">
        <f t="shared" si="66"/>
        <v/>
      </c>
      <c r="AC236" s="107" t="str">
        <f t="shared" si="66"/>
        <v/>
      </c>
      <c r="AD236" s="107" t="str">
        <f t="shared" si="66"/>
        <v/>
      </c>
      <c r="AE236" s="107" t="str">
        <f t="shared" si="66"/>
        <v/>
      </c>
      <c r="AF236" s="107" t="str">
        <f t="shared" si="6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7">IF(B204&lt;100,"",B204-620)</f>
        <v/>
      </c>
      <c r="C237" s="107" t="str">
        <f t="shared" si="67"/>
        <v/>
      </c>
      <c r="D237" s="107" t="str">
        <f t="shared" si="67"/>
        <v/>
      </c>
      <c r="E237" s="107" t="str">
        <f t="shared" si="67"/>
        <v/>
      </c>
      <c r="F237" s="107" t="str">
        <f t="shared" si="67"/>
        <v/>
      </c>
      <c r="G237" s="107" t="str">
        <f t="shared" si="67"/>
        <v/>
      </c>
      <c r="H237" s="107" t="str">
        <f t="shared" si="67"/>
        <v/>
      </c>
      <c r="I237" s="107" t="str">
        <f t="shared" si="67"/>
        <v/>
      </c>
      <c r="J237" s="107" t="str">
        <f t="shared" si="67"/>
        <v/>
      </c>
      <c r="K237" s="107" t="str">
        <f t="shared" si="67"/>
        <v/>
      </c>
      <c r="L237" s="107" t="str">
        <f t="shared" si="67"/>
        <v/>
      </c>
      <c r="M237" s="107" t="str">
        <f t="shared" si="67"/>
        <v/>
      </c>
      <c r="N237" s="107" t="str">
        <f t="shared" si="67"/>
        <v/>
      </c>
      <c r="O237" s="107" t="str">
        <f t="shared" si="67"/>
        <v/>
      </c>
      <c r="P237" s="107" t="str">
        <f t="shared" si="67"/>
        <v/>
      </c>
      <c r="Q237" s="107" t="str">
        <f t="shared" si="67"/>
        <v/>
      </c>
      <c r="R237" s="107" t="str">
        <f t="shared" si="67"/>
        <v/>
      </c>
      <c r="S237" s="107" t="str">
        <f t="shared" si="67"/>
        <v/>
      </c>
      <c r="T237" s="107" t="str">
        <f t="shared" si="67"/>
        <v/>
      </c>
      <c r="U237" s="107" t="str">
        <f t="shared" si="67"/>
        <v/>
      </c>
      <c r="V237" s="107" t="str">
        <f t="shared" si="67"/>
        <v/>
      </c>
      <c r="W237" s="107" t="str">
        <f t="shared" si="67"/>
        <v/>
      </c>
      <c r="X237" s="107" t="str">
        <f t="shared" si="67"/>
        <v/>
      </c>
      <c r="Y237" s="107" t="str">
        <f t="shared" si="67"/>
        <v/>
      </c>
      <c r="Z237" s="107" t="str">
        <f t="shared" si="67"/>
        <v/>
      </c>
      <c r="AA237" s="107" t="str">
        <f t="shared" si="67"/>
        <v/>
      </c>
      <c r="AB237" s="107" t="str">
        <f t="shared" si="67"/>
        <v/>
      </c>
      <c r="AC237" s="107" t="str">
        <f t="shared" si="67"/>
        <v/>
      </c>
      <c r="AD237" s="107" t="str">
        <f t="shared" si="67"/>
        <v/>
      </c>
      <c r="AE237" s="107" t="str">
        <f t="shared" si="67"/>
        <v/>
      </c>
      <c r="AF237" s="107" t="str">
        <f t="shared" si="6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8">IF(B205&lt;100,"",B205-330)</f>
        <v/>
      </c>
      <c r="C238" s="107" t="str">
        <f t="shared" si="68"/>
        <v/>
      </c>
      <c r="D238" s="107" t="str">
        <f t="shared" si="68"/>
        <v/>
      </c>
      <c r="E238" s="107" t="str">
        <f t="shared" si="68"/>
        <v/>
      </c>
      <c r="F238" s="107" t="str">
        <f t="shared" si="68"/>
        <v/>
      </c>
      <c r="G238" s="107" t="str">
        <f t="shared" si="68"/>
        <v/>
      </c>
      <c r="H238" s="107" t="str">
        <f t="shared" si="68"/>
        <v/>
      </c>
      <c r="I238" s="107" t="str">
        <f t="shared" si="68"/>
        <v/>
      </c>
      <c r="J238" s="107" t="str">
        <f t="shared" si="68"/>
        <v/>
      </c>
      <c r="K238" s="107" t="str">
        <f t="shared" si="68"/>
        <v/>
      </c>
      <c r="L238" s="107" t="str">
        <f t="shared" si="68"/>
        <v/>
      </c>
      <c r="M238" s="107" t="str">
        <f t="shared" si="68"/>
        <v/>
      </c>
      <c r="N238" s="107" t="str">
        <f t="shared" si="68"/>
        <v/>
      </c>
      <c r="O238" s="107" t="str">
        <f t="shared" si="68"/>
        <v/>
      </c>
      <c r="P238" s="107" t="str">
        <f t="shared" si="68"/>
        <v/>
      </c>
      <c r="Q238" s="107" t="str">
        <f t="shared" si="68"/>
        <v/>
      </c>
      <c r="R238" s="107" t="str">
        <f t="shared" si="68"/>
        <v/>
      </c>
      <c r="S238" s="107" t="str">
        <f t="shared" si="68"/>
        <v/>
      </c>
      <c r="T238" s="107" t="str">
        <f t="shared" si="68"/>
        <v/>
      </c>
      <c r="U238" s="107" t="str">
        <f t="shared" si="68"/>
        <v/>
      </c>
      <c r="V238" s="107" t="str">
        <f t="shared" si="68"/>
        <v/>
      </c>
      <c r="W238" s="107" t="str">
        <f t="shared" si="68"/>
        <v/>
      </c>
      <c r="X238" s="107" t="str">
        <f t="shared" si="68"/>
        <v/>
      </c>
      <c r="Y238" s="107" t="str">
        <f t="shared" si="68"/>
        <v/>
      </c>
      <c r="Z238" s="107" t="str">
        <f t="shared" si="68"/>
        <v/>
      </c>
      <c r="AA238" s="107" t="str">
        <f t="shared" si="68"/>
        <v/>
      </c>
      <c r="AB238" s="107" t="str">
        <f t="shared" si="68"/>
        <v/>
      </c>
      <c r="AC238" s="107" t="str">
        <f t="shared" si="68"/>
        <v/>
      </c>
      <c r="AD238" s="107" t="str">
        <f t="shared" si="68"/>
        <v/>
      </c>
      <c r="AE238" s="107" t="str">
        <f t="shared" si="68"/>
        <v/>
      </c>
      <c r="AF238" s="107" t="str">
        <f t="shared" si="6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9">IF(C206&lt;100,"",C206-1500)</f>
        <v/>
      </c>
      <c r="D239" s="107" t="str">
        <f t="shared" si="69"/>
        <v/>
      </c>
      <c r="E239" s="107" t="str">
        <f t="shared" si="69"/>
        <v/>
      </c>
      <c r="F239" s="107" t="str">
        <f t="shared" si="69"/>
        <v/>
      </c>
      <c r="G239" s="107" t="str">
        <f t="shared" si="69"/>
        <v/>
      </c>
      <c r="H239" s="107" t="str">
        <f t="shared" si="69"/>
        <v/>
      </c>
      <c r="I239" s="107" t="str">
        <f t="shared" si="69"/>
        <v/>
      </c>
      <c r="J239" s="107" t="str">
        <f t="shared" si="69"/>
        <v/>
      </c>
      <c r="K239" s="107" t="str">
        <f t="shared" si="69"/>
        <v/>
      </c>
      <c r="L239" s="107" t="str">
        <f t="shared" si="69"/>
        <v/>
      </c>
      <c r="M239" s="107" t="str">
        <f t="shared" si="69"/>
        <v/>
      </c>
      <c r="N239" s="107" t="str">
        <f t="shared" si="69"/>
        <v/>
      </c>
      <c r="O239" s="107" t="str">
        <f t="shared" si="69"/>
        <v/>
      </c>
      <c r="P239" s="107" t="str">
        <f t="shared" si="69"/>
        <v/>
      </c>
      <c r="Q239" s="107" t="str">
        <f t="shared" si="69"/>
        <v/>
      </c>
      <c r="R239" s="107" t="str">
        <f t="shared" si="69"/>
        <v/>
      </c>
      <c r="S239" s="107" t="str">
        <f t="shared" si="69"/>
        <v/>
      </c>
      <c r="T239" s="107" t="str">
        <f t="shared" si="69"/>
        <v/>
      </c>
      <c r="U239" s="107" t="str">
        <f t="shared" si="69"/>
        <v/>
      </c>
      <c r="V239" s="107" t="str">
        <f t="shared" si="69"/>
        <v/>
      </c>
      <c r="W239" s="107" t="str">
        <f t="shared" si="69"/>
        <v/>
      </c>
      <c r="X239" s="107" t="str">
        <f t="shared" si="69"/>
        <v/>
      </c>
      <c r="Y239" s="107" t="str">
        <f t="shared" si="69"/>
        <v/>
      </c>
      <c r="Z239" s="107" t="str">
        <f t="shared" si="69"/>
        <v/>
      </c>
      <c r="AA239" s="107" t="str">
        <f t="shared" si="69"/>
        <v/>
      </c>
      <c r="AB239" s="107" t="str">
        <f t="shared" si="69"/>
        <v/>
      </c>
      <c r="AC239" s="107" t="str">
        <f t="shared" si="69"/>
        <v/>
      </c>
      <c r="AD239" s="107" t="str">
        <f t="shared" si="69"/>
        <v/>
      </c>
      <c r="AE239" s="107" t="str">
        <f t="shared" si="69"/>
        <v/>
      </c>
      <c r="AF239" s="107" t="str">
        <f t="shared" si="6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">
    <cfRule type="expression" dxfId="381" priority="210">
      <formula>B$9&gt;=20/24</formula>
    </cfRule>
    <cfRule type="expression" dxfId="380" priority="211">
      <formula>AND(B$9&gt;=14/24,B$9&lt;20/24)</formula>
    </cfRule>
    <cfRule type="expression" dxfId="379" priority="212">
      <formula>AND(B$9&gt;=8/24,B$9&lt;14/24)</formula>
    </cfRule>
    <cfRule type="expression" dxfId="378" priority="213">
      <formula>B$9&lt;8/24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G51 B12:L16 M11:O11 M16:O16 P11:AF16">
    <cfRule type="expression" dxfId="377" priority="204">
      <formula>B11&gt;$AG11</formula>
    </cfRule>
  </conditionalFormatting>
  <conditionalFormatting sqref="A101:A157 A84:A97 A11:A14 A45:A72 A80:A82 A74:A78 A35:A43 A170:A200 A16:A32">
    <cfRule type="expression" dxfId="376" priority="203">
      <formula>$AH11=0</formula>
    </cfRule>
  </conditionalFormatting>
  <conditionalFormatting sqref="A98">
    <cfRule type="expression" dxfId="375" priority="202">
      <formula>$AH98=0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74" priority="200">
      <formula>$AH34=0</formula>
    </cfRule>
  </conditionalFormatting>
  <conditionalFormatting sqref="A83">
    <cfRule type="expression" dxfId="373" priority="199">
      <formula>$AH83=0</formula>
    </cfRule>
  </conditionalFormatting>
  <conditionalFormatting sqref="A15">
    <cfRule type="expression" dxfId="372" priority="198">
      <formula>$AH15=0</formula>
    </cfRule>
  </conditionalFormatting>
  <conditionalFormatting sqref="A164:A169">
    <cfRule type="expression" dxfId="371" priority="197">
      <formula>$AH164=0</formula>
    </cfRule>
  </conditionalFormatting>
  <conditionalFormatting sqref="A158:A163">
    <cfRule type="expression" dxfId="370" priority="196">
      <formula>$AH158=0</formula>
    </cfRule>
  </conditionalFormatting>
  <conditionalFormatting sqref="A44">
    <cfRule type="expression" dxfId="369" priority="195">
      <formula>$AH44=0</formula>
    </cfRule>
  </conditionalFormatting>
  <conditionalFormatting sqref="A79">
    <cfRule type="expression" dxfId="368" priority="194">
      <formula>$AH79=0</formula>
    </cfRule>
  </conditionalFormatting>
  <conditionalFormatting sqref="A73">
    <cfRule type="expression" dxfId="367" priority="193">
      <formula>$AH73=0</formula>
    </cfRule>
  </conditionalFormatting>
  <conditionalFormatting sqref="AL34:AL35 AL7: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66" priority="189">
      <formula>C$9&gt;=20/24</formula>
    </cfRule>
    <cfRule type="expression" dxfId="365" priority="190">
      <formula>AND(C$9&gt;=14/24,C$9&lt;20/24)</formula>
    </cfRule>
    <cfRule type="expression" dxfId="364" priority="191">
      <formula>AND(C$9&gt;=8/24,C$9&lt;14/24)</formula>
    </cfRule>
    <cfRule type="expression" dxfId="363" priority="192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62" priority="217">
      <formula>C$9&gt;=20/24</formula>
    </cfRule>
    <cfRule type="expression" dxfId="361" priority="218">
      <formula>AND(C$9&gt;=14/24,C$9&lt;20/24)</formula>
    </cfRule>
    <cfRule type="expression" dxfId="360" priority="219">
      <formula>AND(C$9&gt;=8/24,C$9&lt;14/24)</formula>
    </cfRule>
    <cfRule type="expression" dxfId="359" priority="220">
      <formula>C$9&lt;8/24</formula>
    </cfRule>
  </conditionalFormatting>
  <conditionalFormatting sqref="A201">
    <cfRule type="expression" dxfId="358" priority="221">
      <formula>$AH201=0</formula>
    </cfRule>
  </conditionalFormatting>
  <conditionalFormatting sqref="AG213">
    <cfRule type="expression" dxfId="357" priority="222">
      <formula>B$9&gt;=20/24</formula>
    </cfRule>
    <cfRule type="expression" dxfId="356" priority="223">
      <formula>AND(B$9&gt;=14/24,B$9&lt;20/24)</formula>
    </cfRule>
    <cfRule type="expression" dxfId="355" priority="224">
      <formula>AND(B$9&gt;=8/24,B$9&lt;14/24)</formula>
    </cfRule>
    <cfRule type="expression" dxfId="354" priority="225">
      <formula>B$9&lt;8/24</formula>
    </cfRule>
  </conditionalFormatting>
  <conditionalFormatting sqref="S8">
    <cfRule type="expression" dxfId="353" priority="184">
      <formula>U$9&gt;=20/24</formula>
    </cfRule>
    <cfRule type="expression" dxfId="352" priority="185">
      <formula>AND(U$9&gt;=14/24,U$9&lt;20/24)</formula>
    </cfRule>
    <cfRule type="expression" dxfId="351" priority="186">
      <formula>AND(U$9&gt;=8/24,U$9&lt;14/24)</formula>
    </cfRule>
    <cfRule type="expression" dxfId="350" priority="187">
      <formula>U$9&lt;8/24</formula>
    </cfRule>
  </conditionalFormatting>
  <conditionalFormatting sqref="AB8">
    <cfRule type="expression" dxfId="349" priority="180">
      <formula>AD$9&gt;=20/24</formula>
    </cfRule>
    <cfRule type="expression" dxfId="348" priority="181">
      <formula>AND(AD$9&gt;=14/24,AD$9&lt;20/24)</formula>
    </cfRule>
    <cfRule type="expression" dxfId="347" priority="182">
      <formula>AND(AD$9&gt;=8/24,AD$9&lt;14/24)</formula>
    </cfRule>
    <cfRule type="expression" dxfId="346" priority="183">
      <formula>AD$9&lt;8/24</formula>
    </cfRule>
  </conditionalFormatting>
  <conditionalFormatting sqref="AH213:AX213">
    <cfRule type="expression" dxfId="345" priority="226">
      <formula>AG$9&gt;=20/24</formula>
    </cfRule>
    <cfRule type="expression" dxfId="344" priority="227">
      <formula>AND(AG$9&gt;=14/24,AG$9&lt;20/24)</formula>
    </cfRule>
    <cfRule type="expression" dxfId="343" priority="228">
      <formula>AND(AG$9&gt;=8/24,AG$9&lt;14/24)</formula>
    </cfRule>
    <cfRule type="expression" dxfId="342" priority="229">
      <formula>AG$9&lt;8/24</formula>
    </cfRule>
  </conditionalFormatting>
  <conditionalFormatting sqref="T213">
    <cfRule type="expression" dxfId="341" priority="230">
      <formula>AX$9&gt;=20/24</formula>
    </cfRule>
    <cfRule type="expression" dxfId="340" priority="231">
      <formula>AND(AX$9&gt;=14/24,AX$9&lt;20/24)</formula>
    </cfRule>
    <cfRule type="expression" dxfId="339" priority="232">
      <formula>AND(AX$9&gt;=8/24,AX$9&lt;14/24)</formula>
    </cfRule>
    <cfRule type="expression" dxfId="338" priority="233">
      <formula>AX$9&lt;8/24</formula>
    </cfRule>
  </conditionalFormatting>
  <conditionalFormatting sqref="A99:A100">
    <cfRule type="expression" dxfId="337" priority="179">
      <formula>$AH99=0</formula>
    </cfRule>
  </conditionalFormatting>
  <conditionalFormatting sqref="E40:L41 E57:AF57 AD40:AF41">
    <cfRule type="expression" dxfId="336" priority="175">
      <formula>E$9&gt;=20/24</formula>
    </cfRule>
    <cfRule type="expression" dxfId="335" priority="176">
      <formula>AND(E$9&gt;=14/24,E$9&lt;20/24)</formula>
    </cfRule>
    <cfRule type="expression" dxfId="334" priority="177">
      <formula>AND(E$9&gt;=8/24,E$9&lt;14/24)</formula>
    </cfRule>
    <cfRule type="expression" dxfId="333" priority="178">
      <formula>E$9&lt;8/24</formula>
    </cfRule>
  </conditionalFormatting>
  <conditionalFormatting sqref="E39:L39 T39:AF39">
    <cfRule type="expression" dxfId="332" priority="171">
      <formula>E$9&gt;=20/24</formula>
    </cfRule>
    <cfRule type="expression" dxfId="331" priority="172">
      <formula>AND(E$9&gt;=14/24,E$9&lt;20/24)</formula>
    </cfRule>
    <cfRule type="expression" dxfId="330" priority="173">
      <formula>AND(E$9&gt;=8/24,E$9&lt;14/24)</formula>
    </cfRule>
    <cfRule type="expression" dxfId="329" priority="174">
      <formula>E$9&lt;8/24</formula>
    </cfRule>
  </conditionalFormatting>
  <conditionalFormatting sqref="E39:L41 T39:AC39 AD39:AF41">
    <cfRule type="expression" dxfId="328" priority="170">
      <formula>E39&gt;$AG39</formula>
    </cfRule>
  </conditionalFormatting>
  <conditionalFormatting sqref="N36:R36 C81:AF81 C69:AF72 C56:AF56 M37:R37 J60:L61 J58:W59 E58:I62 L62:L63 J62:K62 M60:W63 D53:AF55 X58:AB63 S36:AF37 M11:AF14 M16:AF16 M18:AF20 AC58:AF67 C85:AF91">
    <cfRule type="expression" dxfId="327" priority="166">
      <formula>C$9&gt;=20/24</formula>
    </cfRule>
    <cfRule type="expression" dxfId="326" priority="167">
      <formula>AND(C$9&gt;=14/24,C$9&lt;20/24)</formula>
    </cfRule>
    <cfRule type="expression" dxfId="325" priority="168">
      <formula>AND(C$9&gt;=8/24,C$9&lt;14/24)</formula>
    </cfRule>
    <cfRule type="expression" dxfId="324" priority="169">
      <formula>C$9&lt;8/24</formula>
    </cfRule>
  </conditionalFormatting>
  <conditionalFormatting sqref="N35:AF35">
    <cfRule type="expression" dxfId="323" priority="158">
      <formula>N$9&gt;=20/24</formula>
    </cfRule>
    <cfRule type="expression" dxfId="322" priority="159">
      <formula>AND(N$9&gt;=14/24,N$9&lt;20/24)</formula>
    </cfRule>
    <cfRule type="expression" dxfId="321" priority="160">
      <formula>AND(N$9&gt;=8/24,N$9&lt;14/24)</formula>
    </cfRule>
    <cfRule type="expression" dxfId="320" priority="161">
      <formula>N$9&lt;8/24</formula>
    </cfRule>
  </conditionalFormatting>
  <conditionalFormatting sqref="N35:R36 C51:AF51 C56:AF56 E37:R37 F42:L43 M11:O15 D53:AF55 P27:AF27 P11:AF11 M18:AF20 S35:AF37">
    <cfRule type="expression" dxfId="319" priority="157">
      <formula>C11&gt;$AG11</formula>
    </cfRule>
  </conditionalFormatting>
  <conditionalFormatting sqref="M15:AF15">
    <cfRule type="expression" dxfId="318" priority="149">
      <formula>M$9&gt;=20/24</formula>
    </cfRule>
    <cfRule type="expression" dxfId="317" priority="150">
      <formula>AND(M$9&gt;=14/24,M$9&lt;20/24)</formula>
    </cfRule>
    <cfRule type="expression" dxfId="316" priority="151">
      <formula>AND(M$9&gt;=8/24,M$9&lt;14/24)</formula>
    </cfRule>
    <cfRule type="expression" dxfId="315" priority="152">
      <formula>M$9&lt;8/24</formula>
    </cfRule>
  </conditionalFormatting>
  <conditionalFormatting sqref="M39:R43 N44:O45 O46:O48 P44:R48 S39:S48 T40:AC47 AD42:AF47 T48:AF48">
    <cfRule type="expression" dxfId="314" priority="131">
      <formula>M$9&gt;=20/24</formula>
    </cfRule>
    <cfRule type="expression" dxfId="313" priority="132">
      <formula>AND(M$9&gt;=14/24,M$9&lt;20/24)</formula>
    </cfRule>
    <cfRule type="expression" dxfId="312" priority="133">
      <formula>AND(M$9&gt;=8/24,M$9&lt;14/24)</formula>
    </cfRule>
    <cfRule type="expression" dxfId="311" priority="134">
      <formula>M$9&lt;8/24</formula>
    </cfRule>
  </conditionalFormatting>
  <conditionalFormatting sqref="M39:R43 N44:O45 O46:O48 P44:R48 S39:S48 T40:AC47 AD42:AF47 T48:AF48">
    <cfRule type="expression" dxfId="310" priority="130">
      <formula>M39&gt;$AG39</formula>
    </cfRule>
  </conditionalFormatting>
  <conditionalFormatting sqref="P27:AF27">
    <cfRule type="expression" dxfId="309" priority="126">
      <formula>P$9&gt;=20/24</formula>
    </cfRule>
    <cfRule type="expression" dxfId="308" priority="127">
      <formula>AND(P$9&gt;=14/24,P$9&lt;20/24)</formula>
    </cfRule>
    <cfRule type="expression" dxfId="307" priority="128">
      <formula>AND(P$9&gt;=8/24,P$9&lt;14/24)</formula>
    </cfRule>
    <cfRule type="expression" dxfId="306" priority="129">
      <formula>P$9&lt;8/24</formula>
    </cfRule>
  </conditionalFormatting>
  <conditionalFormatting sqref="H16:L16">
    <cfRule type="expression" dxfId="305" priority="122">
      <formula>H$9&gt;=20/24</formula>
    </cfRule>
    <cfRule type="expression" dxfId="304" priority="123">
      <formula>AND(H$9&gt;=14/24,H$9&lt;20/24)</formula>
    </cfRule>
    <cfRule type="expression" dxfId="303" priority="124">
      <formula>AND(H$9&gt;=8/24,H$9&lt;14/24)</formula>
    </cfRule>
    <cfRule type="expression" dxfId="302" priority="125">
      <formula>H$9&lt;8/24</formula>
    </cfRule>
  </conditionalFormatting>
  <conditionalFormatting sqref="L64:AB64">
    <cfRule type="expression" dxfId="301" priority="87">
      <formula>L$9&gt;=20/24</formula>
    </cfRule>
    <cfRule type="expression" dxfId="300" priority="88">
      <formula>AND(L$9&gt;=14/24,L$9&lt;20/24)</formula>
    </cfRule>
    <cfRule type="expression" dxfId="299" priority="89">
      <formula>AND(L$9&gt;=8/24,L$9&lt;14/24)</formula>
    </cfRule>
    <cfRule type="expression" dxfId="298" priority="90">
      <formula>L$9&lt;8/24</formula>
    </cfRule>
  </conditionalFormatting>
  <conditionalFormatting sqref="B94:B100 B74:AF74 B82:AF82 B11:L11">
    <cfRule type="expression" dxfId="297" priority="68">
      <formula>B$9&gt;=20/24</formula>
    </cfRule>
    <cfRule type="expression" dxfId="296" priority="69">
      <formula>AND(B$9&gt;=14/24,B$9&lt;20/24)</formula>
    </cfRule>
    <cfRule type="expression" dxfId="295" priority="70">
      <formula>AND(B$9&gt;=8/24,B$9&lt;14/24)</formula>
    </cfRule>
    <cfRule type="expression" dxfId="294" priority="71">
      <formula>B$9&lt;8/24</formula>
    </cfRule>
  </conditionalFormatting>
  <conditionalFormatting sqref="B37:D37">
    <cfRule type="expression" dxfId="293" priority="64">
      <formula>B$9&gt;=20/24</formula>
    </cfRule>
    <cfRule type="expression" dxfId="292" priority="65">
      <formula>AND(B$9&gt;=14/24,B$9&lt;20/24)</formula>
    </cfRule>
    <cfRule type="expression" dxfId="291" priority="66">
      <formula>AND(B$9&gt;=8/24,B$9&lt;14/24)</formula>
    </cfRule>
    <cfRule type="expression" dxfId="290" priority="67">
      <formula>B$9&lt;8/24</formula>
    </cfRule>
  </conditionalFormatting>
  <conditionalFormatting sqref="B37:D37 B11:L11">
    <cfRule type="expression" dxfId="289" priority="63">
      <formula>B11&gt;$AG11</formula>
    </cfRule>
  </conditionalFormatting>
  <conditionalFormatting sqref="B84">
    <cfRule type="expression" dxfId="288" priority="59">
      <formula>B$9&gt;=20/24</formula>
    </cfRule>
    <cfRule type="expression" dxfId="287" priority="60">
      <formula>AND(B$9&gt;=14/24,B$9&lt;20/24)</formula>
    </cfRule>
    <cfRule type="expression" dxfId="286" priority="61">
      <formula>AND(B$9&gt;=8/24,B$9&lt;14/24)</formula>
    </cfRule>
    <cfRule type="expression" dxfId="285" priority="62">
      <formula>B$9&lt;8/24</formula>
    </cfRule>
  </conditionalFormatting>
  <conditionalFormatting sqref="B40:D41 B57:D57 B36:M36">
    <cfRule type="expression" dxfId="284" priority="55">
      <formula>B$9&gt;=20/24</formula>
    </cfRule>
    <cfRule type="expression" dxfId="283" priority="56">
      <formula>AND(B$9&gt;=14/24,B$9&lt;20/24)</formula>
    </cfRule>
    <cfRule type="expression" dxfId="282" priority="57">
      <formula>AND(B$9&gt;=8/24,B$9&lt;14/24)</formula>
    </cfRule>
    <cfRule type="expression" dxfId="281" priority="58">
      <formula>B$9&lt;8/24</formula>
    </cfRule>
  </conditionalFormatting>
  <conditionalFormatting sqref="B39:D39">
    <cfRule type="expression" dxfId="280" priority="51">
      <formula>B$9&gt;=20/24</formula>
    </cfRule>
    <cfRule type="expression" dxfId="279" priority="52">
      <formula>AND(B$9&gt;=14/24,B$9&lt;20/24)</formula>
    </cfRule>
    <cfRule type="expression" dxfId="278" priority="53">
      <formula>AND(B$9&gt;=8/24,B$9&lt;14/24)</formula>
    </cfRule>
    <cfRule type="expression" dxfId="277" priority="54">
      <formula>B$9&lt;8/24</formula>
    </cfRule>
  </conditionalFormatting>
  <conditionalFormatting sqref="B39:D41 B36:M36">
    <cfRule type="expression" dxfId="276" priority="50">
      <formula>B36&gt;$AG36</formula>
    </cfRule>
  </conditionalFormatting>
  <conditionalFormatting sqref="B85:B91 B53:B56 B69:B73 B75:AF75 C73:AF73 B81 B83:AF83 C53:C55 B58:D67 B16:G16 E63:K67 B12:L14 B18:L22 L65:AB67 B24:AF26 M21:AF22 B28:AF31">
    <cfRule type="expression" dxfId="275" priority="46">
      <formula>B$9&gt;=20/24</formula>
    </cfRule>
    <cfRule type="expression" dxfId="274" priority="47">
      <formula>AND(B$9&gt;=14/24,B$9&lt;20/24)</formula>
    </cfRule>
    <cfRule type="expression" dxfId="273" priority="48">
      <formula>AND(B$9&gt;=8/24,B$9&lt;14/24)</formula>
    </cfRule>
    <cfRule type="expression" dxfId="272" priority="49">
      <formula>B$9&lt;8/24</formula>
    </cfRule>
  </conditionalFormatting>
  <conditionalFormatting sqref="B32:AF32">
    <cfRule type="expression" dxfId="271" priority="42">
      <formula>B$9&gt;=20/24</formula>
    </cfRule>
    <cfRule type="expression" dxfId="270" priority="43">
      <formula>AND(B$9&gt;=14/24,B$9&lt;20/24)</formula>
    </cfRule>
    <cfRule type="expression" dxfId="269" priority="44">
      <formula>AND(B$9&gt;=8/24,B$9&lt;14/24)</formula>
    </cfRule>
    <cfRule type="expression" dxfId="268" priority="45">
      <formula>B$9&lt;8/24</formula>
    </cfRule>
  </conditionalFormatting>
  <conditionalFormatting sqref="B35:M35">
    <cfRule type="expression" dxfId="267" priority="38">
      <formula>B$9&gt;=20/24</formula>
    </cfRule>
    <cfRule type="expression" dxfId="266" priority="39">
      <formula>AND(B$9&gt;=14/24,B$9&lt;20/24)</formula>
    </cfRule>
    <cfRule type="expression" dxfId="265" priority="40">
      <formula>AND(B$9&gt;=8/24,B$9&lt;14/24)</formula>
    </cfRule>
    <cfRule type="expression" dxfId="264" priority="41">
      <formula>B$9&lt;8/24</formula>
    </cfRule>
  </conditionalFormatting>
  <conditionalFormatting sqref="B51:B56 C52:AF52 B38:AF38 C53:C55 B42:E43 B18:L22 B34:M35 B24:O32 P24:AF26 M21:AF22 N34:AF34 P28:AF32">
    <cfRule type="expression" dxfId="263" priority="37">
      <formula>B18&gt;$AG18</formula>
    </cfRule>
  </conditionalFormatting>
  <conditionalFormatting sqref="B34:AF34">
    <cfRule type="expression" dxfId="262" priority="33">
      <formula>B$9&gt;=20/24</formula>
    </cfRule>
    <cfRule type="expression" dxfId="261" priority="34">
      <formula>AND(B$9&gt;=14/24,B$9&lt;20/24)</formula>
    </cfRule>
    <cfRule type="expression" dxfId="260" priority="35">
      <formula>AND(B$9&gt;=8/24,B$9&lt;14/24)</formula>
    </cfRule>
    <cfRule type="expression" dxfId="259" priority="36">
      <formula>B$9&lt;8/24</formula>
    </cfRule>
  </conditionalFormatting>
  <conditionalFormatting sqref="B15:L15">
    <cfRule type="expression" dxfId="258" priority="29">
      <formula>B$9&gt;=20/24</formula>
    </cfRule>
    <cfRule type="expression" dxfId="257" priority="30">
      <formula>AND(B$9&gt;=14/24,B$9&lt;20/24)</formula>
    </cfRule>
    <cfRule type="expression" dxfId="256" priority="31">
      <formula>AND(B$9&gt;=8/24,B$9&lt;14/24)</formula>
    </cfRule>
    <cfRule type="expression" dxfId="255" priority="32">
      <formula>B$9&lt;8/24</formula>
    </cfRule>
  </conditionalFormatting>
  <conditionalFormatting sqref="B33:AF33">
    <cfRule type="expression" dxfId="254" priority="25">
      <formula>B$9&gt;=20/24</formula>
    </cfRule>
    <cfRule type="expression" dxfId="253" priority="26">
      <formula>AND(B$9&gt;=14/24,B$9&lt;20/24)</formula>
    </cfRule>
    <cfRule type="expression" dxfId="252" priority="27">
      <formula>AND(B$9&gt;=8/24,B$9&lt;14/24)</formula>
    </cfRule>
    <cfRule type="expression" dxfId="251" priority="28">
      <formula>B$9&lt;8/24</formula>
    </cfRule>
  </conditionalFormatting>
  <conditionalFormatting sqref="B33:AF33">
    <cfRule type="expression" dxfId="250" priority="24">
      <formula>B33&gt;$AG33</formula>
    </cfRule>
  </conditionalFormatting>
  <conditionalFormatting sqref="B44:M50 N46:N50 O49:AF50">
    <cfRule type="expression" dxfId="249" priority="20">
      <formula>B$9&gt;=20/24</formula>
    </cfRule>
    <cfRule type="expression" dxfId="248" priority="21">
      <formula>AND(B$9&gt;=14/24,B$9&lt;20/24)</formula>
    </cfRule>
    <cfRule type="expression" dxfId="247" priority="22">
      <formula>AND(B$9&gt;=8/24,B$9&lt;14/24)</formula>
    </cfRule>
    <cfRule type="expression" dxfId="246" priority="23">
      <formula>B$9&lt;8/24</formula>
    </cfRule>
  </conditionalFormatting>
  <conditionalFormatting sqref="B44:M50 N46:N50 O49:AF50">
    <cfRule type="expression" dxfId="245" priority="19">
      <formula>B44&gt;$AG44</formula>
    </cfRule>
  </conditionalFormatting>
  <conditionalFormatting sqref="B27:O27">
    <cfRule type="expression" dxfId="244" priority="15">
      <formula>B$9&gt;=20/24</formula>
    </cfRule>
    <cfRule type="expression" dxfId="243" priority="16">
      <formula>AND(B$9&gt;=14/24,B$9&lt;20/24)</formula>
    </cfRule>
    <cfRule type="expression" dxfId="242" priority="17">
      <formula>AND(B$9&gt;=8/24,B$9&lt;14/24)</formula>
    </cfRule>
    <cfRule type="expression" dxfId="241" priority="18">
      <formula>B$9&lt;8/24</formula>
    </cfRule>
  </conditionalFormatting>
  <conditionalFormatting sqref="B23:AF23 B17:AF17">
    <cfRule type="expression" dxfId="240" priority="11">
      <formula>B$9&gt;=20/24</formula>
    </cfRule>
    <cfRule type="expression" dxfId="239" priority="12">
      <formula>AND(B$9&gt;=14/24,B$9&lt;20/24)</formula>
    </cfRule>
    <cfRule type="expression" dxfId="238" priority="13">
      <formula>AND(B$9&gt;=8/24,B$9&lt;14/24)</formula>
    </cfRule>
    <cfRule type="expression" dxfId="237" priority="14">
      <formula>B$9&lt;8/24</formula>
    </cfRule>
  </conditionalFormatting>
  <conditionalFormatting sqref="B23:AF23 B17:AF17">
    <cfRule type="expression" dxfId="236" priority="10">
      <formula>B17&gt;$AG17</formula>
    </cfRule>
  </conditionalFormatting>
  <conditionalFormatting sqref="A33">
    <cfRule type="expression" dxfId="235" priority="9">
      <formula>$AH33=0</formula>
    </cfRule>
  </conditionalFormatting>
  <conditionalFormatting sqref="B68:AF68">
    <cfRule type="expression" dxfId="234" priority="5">
      <formula>B$9&gt;=20/24</formula>
    </cfRule>
    <cfRule type="expression" dxfId="233" priority="6">
      <formula>AND(B$9&gt;=14/24,B$9&lt;20/24)</formula>
    </cfRule>
    <cfRule type="expression" dxfId="232" priority="7">
      <formula>AND(B$9&gt;=8/24,B$9&lt;14/24)</formula>
    </cfRule>
    <cfRule type="expression" dxfId="231" priority="8">
      <formula>B$9&lt;8/24</formula>
    </cfRule>
  </conditionalFormatting>
  <conditionalFormatting sqref="B76:AF80">
    <cfRule type="expression" dxfId="230" priority="1">
      <formula>B$9&gt;=20/24</formula>
    </cfRule>
    <cfRule type="expression" dxfId="229" priority="2">
      <formula>AND(B$9&gt;=14/24,B$9&lt;20/24)</formula>
    </cfRule>
    <cfRule type="expression" dxfId="228" priority="3">
      <formula>AND(B$9&gt;=8/24,B$9&lt;14/24)</formula>
    </cfRule>
    <cfRule type="expression" dxfId="227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1" activePane="bottomRight" state="frozen"/>
      <selection activeCell="AF88" sqref="AF88"/>
      <selection pane="topRight" activeCell="AF88" sqref="AF88"/>
      <selection pane="bottomLeft" activeCell="AF88" sqref="AF88"/>
      <selection pane="bottomRight" activeCell="E98" sqref="E9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e">
        <f ca="1">"2079/"&amp;"02/"&amp;INT(MID(CELL("filename",D6),FIND("]",CELL("filename",D6))+1,200))</f>
        <v>#VALUE!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7"/>
      <c r="AA10" s="194"/>
      <c r="AB10" s="194"/>
      <c r="AC10" s="194"/>
      <c r="AD10" s="194"/>
      <c r="AE10" s="194"/>
      <c r="AF10" s="194"/>
      <c r="AG10" s="19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/>
      <c r="C11" s="50"/>
      <c r="D11" s="50"/>
      <c r="E11" s="51"/>
      <c r="F11" s="51"/>
      <c r="G11" s="51"/>
      <c r="H11" s="51"/>
      <c r="I11" s="51"/>
      <c r="J11" s="52"/>
      <c r="K11" s="52"/>
      <c r="L11" s="52"/>
      <c r="M11" s="51"/>
      <c r="N11" s="51"/>
      <c r="O11" s="51"/>
      <c r="P11" s="51"/>
      <c r="Q11" s="51"/>
      <c r="R11" s="51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4">
        <v>456</v>
      </c>
      <c r="AH11" s="55">
        <f>MAX(B11:AF11)</f>
        <v>0</v>
      </c>
      <c r="AI11" s="56">
        <f>MIN(B11:AF11)</f>
        <v>0</v>
      </c>
      <c r="AK11" s="57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8" t="s">
        <v>20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9">
        <v>60</v>
      </c>
      <c r="AH12" s="55">
        <f t="shared" ref="AH12:AH75" si="2">MAX(B12:AF12)</f>
        <v>0</v>
      </c>
      <c r="AI12" s="56">
        <f t="shared" ref="AI12:AI75" si="3">MIN(B12:AF12)</f>
        <v>0</v>
      </c>
      <c r="AK12" s="57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8" t="s">
        <v>21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9">
        <v>52.4</v>
      </c>
      <c r="AH13" s="55">
        <f t="shared" si="2"/>
        <v>0</v>
      </c>
      <c r="AI13" s="56">
        <f t="shared" si="3"/>
        <v>0</v>
      </c>
      <c r="AK13" s="57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22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9">
        <v>50</v>
      </c>
      <c r="AH14" s="55">
        <f t="shared" si="2"/>
        <v>0</v>
      </c>
      <c r="AI14" s="56">
        <f t="shared" si="3"/>
        <v>0</v>
      </c>
      <c r="AK14" s="57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23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60">
        <v>45</v>
      </c>
      <c r="AH15" s="55">
        <f t="shared" si="2"/>
        <v>0</v>
      </c>
      <c r="AI15" s="56">
        <f t="shared" si="3"/>
        <v>0</v>
      </c>
      <c r="AK15" s="57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24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9">
        <v>45</v>
      </c>
      <c r="AH16" s="55">
        <f t="shared" si="2"/>
        <v>0</v>
      </c>
      <c r="AI16" s="56">
        <f t="shared" si="3"/>
        <v>0</v>
      </c>
      <c r="AK16" s="57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8" t="s">
        <v>25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9">
        <v>42</v>
      </c>
      <c r="AH17" s="55">
        <f t="shared" si="2"/>
        <v>0</v>
      </c>
      <c r="AI17" s="56">
        <f t="shared" si="3"/>
        <v>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26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9">
        <v>36</v>
      </c>
      <c r="AH18" s="55">
        <f t="shared" si="2"/>
        <v>0</v>
      </c>
      <c r="AI18" s="56">
        <f t="shared" si="3"/>
        <v>0</v>
      </c>
      <c r="AK18" s="57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9">
        <v>30</v>
      </c>
      <c r="AH19" s="55">
        <f t="shared" si="2"/>
        <v>0</v>
      </c>
      <c r="AI19" s="56">
        <f t="shared" si="3"/>
        <v>0</v>
      </c>
      <c r="AK19" s="57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28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9">
        <v>27</v>
      </c>
      <c r="AH20" s="55">
        <f t="shared" si="2"/>
        <v>0</v>
      </c>
      <c r="AI20" s="56">
        <f t="shared" si="3"/>
        <v>0</v>
      </c>
      <c r="AK20" s="57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9">
        <v>25</v>
      </c>
      <c r="AH21" s="55">
        <f t="shared" si="2"/>
        <v>0</v>
      </c>
      <c r="AI21" s="56">
        <f t="shared" si="3"/>
        <v>0</v>
      </c>
      <c r="AK21" s="57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30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9">
        <v>25</v>
      </c>
      <c r="AH22" s="55">
        <f t="shared" si="2"/>
        <v>0</v>
      </c>
      <c r="AI22" s="56">
        <f t="shared" si="3"/>
        <v>0</v>
      </c>
      <c r="AK22" s="57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31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9">
        <v>25</v>
      </c>
      <c r="AH23" s="55">
        <f t="shared" si="2"/>
        <v>0</v>
      </c>
      <c r="AI23" s="56">
        <f t="shared" si="3"/>
        <v>0</v>
      </c>
      <c r="AK23" s="57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8" t="s">
        <v>32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9">
        <v>25</v>
      </c>
      <c r="AH24" s="55">
        <f t="shared" si="2"/>
        <v>0</v>
      </c>
      <c r="AI24" s="56">
        <f t="shared" si="3"/>
        <v>0</v>
      </c>
      <c r="AK24" s="57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8" t="s">
        <v>33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9">
        <v>24.2</v>
      </c>
      <c r="AH25" s="55">
        <f t="shared" si="2"/>
        <v>0</v>
      </c>
      <c r="AI25" s="56">
        <f t="shared" si="3"/>
        <v>0</v>
      </c>
      <c r="AK25" s="57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8" t="s">
        <v>34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9">
        <v>20</v>
      </c>
      <c r="AH26" s="55">
        <f t="shared" si="2"/>
        <v>0</v>
      </c>
      <c r="AI26" s="56">
        <f t="shared" si="3"/>
        <v>0</v>
      </c>
      <c r="AK26" s="57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9">
        <v>23.5</v>
      </c>
      <c r="AH27" s="55">
        <f t="shared" si="2"/>
        <v>0</v>
      </c>
      <c r="AI27" s="56">
        <f t="shared" si="3"/>
        <v>0</v>
      </c>
      <c r="AK27" s="57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8" t="s">
        <v>36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9">
        <v>22.2</v>
      </c>
      <c r="AH28" s="55">
        <f t="shared" si="2"/>
        <v>0</v>
      </c>
      <c r="AI28" s="56">
        <f t="shared" si="3"/>
        <v>0</v>
      </c>
      <c r="AK28" s="57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8" t="s">
        <v>37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9">
        <v>22.1</v>
      </c>
      <c r="AH29" s="55">
        <f t="shared" si="2"/>
        <v>0</v>
      </c>
      <c r="AI29" s="56">
        <f t="shared" si="3"/>
        <v>0</v>
      </c>
      <c r="AK29" s="57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8" t="s">
        <v>38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9">
        <v>22.1</v>
      </c>
      <c r="AH30" s="55">
        <f t="shared" si="2"/>
        <v>0</v>
      </c>
      <c r="AI30" s="56">
        <f t="shared" si="3"/>
        <v>0</v>
      </c>
      <c r="AK30" s="57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8" t="s">
        <v>39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60">
        <v>22</v>
      </c>
      <c r="AH31" s="55">
        <f t="shared" si="2"/>
        <v>0</v>
      </c>
      <c r="AI31" s="56">
        <f t="shared" si="3"/>
        <v>0</v>
      </c>
      <c r="AK31" s="57"/>
      <c r="AL31" s="30"/>
      <c r="AM31" s="26"/>
      <c r="AN31" s="26"/>
      <c r="AO31" s="26"/>
      <c r="AP31" s="26"/>
      <c r="AQ31" s="61"/>
      <c r="AR31" s="62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3" t="s">
        <v>40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64">
        <v>22</v>
      </c>
      <c r="AH32" s="55">
        <f t="shared" si="2"/>
        <v>0</v>
      </c>
      <c r="AI32" s="56">
        <f t="shared" si="3"/>
        <v>0</v>
      </c>
      <c r="AK32" s="57"/>
      <c r="AL32" s="30"/>
      <c r="AM32" s="26"/>
      <c r="AN32" s="26"/>
      <c r="AO32" s="26"/>
      <c r="AP32" s="26"/>
      <c r="AQ32" s="61"/>
      <c r="AR32" s="62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3" t="s">
        <v>41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64">
        <v>11</v>
      </c>
      <c r="AH33" s="55">
        <f t="shared" si="2"/>
        <v>0</v>
      </c>
      <c r="AI33" s="56">
        <f t="shared" si="3"/>
        <v>0</v>
      </c>
      <c r="AK33" s="57"/>
      <c r="AL33" s="30"/>
      <c r="AM33" s="26"/>
      <c r="AN33" s="26"/>
      <c r="AO33" s="26"/>
      <c r="AP33" s="26"/>
      <c r="AQ33" s="61"/>
      <c r="AR33" s="62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3" t="s">
        <v>42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64">
        <v>20</v>
      </c>
      <c r="AH34" s="55">
        <f t="shared" si="2"/>
        <v>0</v>
      </c>
      <c r="AI34" s="56">
        <f t="shared" si="3"/>
        <v>0</v>
      </c>
      <c r="AK34" s="57"/>
      <c r="AL34" s="30"/>
      <c r="AO34" s="26"/>
      <c r="AP34" s="26"/>
      <c r="AQ34" s="61"/>
      <c r="AR34" s="62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3" t="s">
        <v>43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64">
        <v>15.33</v>
      </c>
      <c r="AH35" s="55">
        <f t="shared" si="2"/>
        <v>0</v>
      </c>
      <c r="AI35" s="56">
        <f t="shared" si="3"/>
        <v>0</v>
      </c>
      <c r="AK35" s="57"/>
      <c r="AL35" s="30"/>
      <c r="AO35" s="26"/>
      <c r="AP35" s="26"/>
      <c r="AQ35" s="61"/>
      <c r="AR35" s="62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5" t="s">
        <v>44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4">
        <v>85</v>
      </c>
      <c r="AH36" s="55">
        <f t="shared" si="2"/>
        <v>0</v>
      </c>
      <c r="AI36" s="56">
        <f t="shared" si="3"/>
        <v>0</v>
      </c>
      <c r="AK36" s="57"/>
    </row>
    <row r="37" spans="1:88" ht="15.75" thickBot="1" x14ac:dyDescent="0.3">
      <c r="A37" s="67" t="s">
        <v>45</v>
      </c>
      <c r="B37" s="68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4">
        <v>240</v>
      </c>
      <c r="AH37" s="55">
        <f t="shared" si="2"/>
        <v>0</v>
      </c>
      <c r="AI37" s="56">
        <f t="shared" si="3"/>
        <v>0</v>
      </c>
      <c r="AK37" s="57"/>
    </row>
    <row r="38" spans="1:88" ht="15.75" thickBot="1" x14ac:dyDescent="0.3">
      <c r="A38" s="69" t="s">
        <v>46</v>
      </c>
      <c r="B38" s="70">
        <f t="shared" ref="B38:L38" si="4">SUM(B11:B36)</f>
        <v>0</v>
      </c>
      <c r="C38" s="70">
        <f t="shared" si="4"/>
        <v>0</v>
      </c>
      <c r="D38" s="70">
        <f t="shared" si="4"/>
        <v>0</v>
      </c>
      <c r="E38" s="70">
        <f t="shared" si="4"/>
        <v>0</v>
      </c>
      <c r="F38" s="70">
        <f t="shared" si="4"/>
        <v>0</v>
      </c>
      <c r="G38" s="70">
        <f t="shared" si="4"/>
        <v>0</v>
      </c>
      <c r="H38" s="70">
        <f t="shared" si="4"/>
        <v>0</v>
      </c>
      <c r="I38" s="70">
        <f t="shared" si="4"/>
        <v>0</v>
      </c>
      <c r="J38" s="70">
        <f t="shared" si="4"/>
        <v>0</v>
      </c>
      <c r="K38" s="70">
        <f t="shared" si="4"/>
        <v>0</v>
      </c>
      <c r="L38" s="70">
        <f t="shared" si="4"/>
        <v>0</v>
      </c>
      <c r="M38" s="70">
        <f t="shared" ref="M38:S38" si="5">SUM(M11:M36)</f>
        <v>0</v>
      </c>
      <c r="N38" s="70">
        <f t="shared" si="5"/>
        <v>0</v>
      </c>
      <c r="O38" s="70">
        <f t="shared" si="5"/>
        <v>0</v>
      </c>
      <c r="P38" s="70">
        <f t="shared" si="5"/>
        <v>0</v>
      </c>
      <c r="Q38" s="70">
        <f t="shared" si="5"/>
        <v>0</v>
      </c>
      <c r="R38" s="70">
        <f t="shared" si="5"/>
        <v>0</v>
      </c>
      <c r="S38" s="70">
        <f t="shared" si="5"/>
        <v>0</v>
      </c>
      <c r="T38" s="70">
        <f t="shared" ref="T38:AF38" si="6">SUM(T11:T36)</f>
        <v>0</v>
      </c>
      <c r="U38" s="70">
        <f t="shared" si="6"/>
        <v>0</v>
      </c>
      <c r="V38" s="70">
        <f t="shared" si="6"/>
        <v>0</v>
      </c>
      <c r="W38" s="70">
        <f t="shared" si="6"/>
        <v>0</v>
      </c>
      <c r="X38" s="70">
        <f t="shared" si="6"/>
        <v>0</v>
      </c>
      <c r="Y38" s="70">
        <f t="shared" si="6"/>
        <v>0</v>
      </c>
      <c r="Z38" s="70">
        <f t="shared" si="6"/>
        <v>0</v>
      </c>
      <c r="AA38" s="70">
        <f t="shared" si="6"/>
        <v>0</v>
      </c>
      <c r="AB38" s="70">
        <f t="shared" si="6"/>
        <v>0</v>
      </c>
      <c r="AC38" s="70">
        <f t="shared" si="6"/>
        <v>0</v>
      </c>
      <c r="AD38" s="70">
        <f t="shared" si="6"/>
        <v>0</v>
      </c>
      <c r="AE38" s="70">
        <f t="shared" si="6"/>
        <v>0</v>
      </c>
      <c r="AF38" s="70">
        <f t="shared" si="6"/>
        <v>0</v>
      </c>
      <c r="AG38" s="64">
        <f>SUM(AG11:AG37)</f>
        <v>1492.8299999999997</v>
      </c>
      <c r="AH38" s="55">
        <f t="shared" si="2"/>
        <v>0</v>
      </c>
      <c r="AI38" s="56">
        <f t="shared" si="3"/>
        <v>0</v>
      </c>
      <c r="AK38" s="57"/>
    </row>
    <row r="39" spans="1:88" x14ac:dyDescent="0.25">
      <c r="A39" s="58" t="s">
        <v>47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60">
        <v>144</v>
      </c>
      <c r="AH39" s="55">
        <f t="shared" si="2"/>
        <v>0</v>
      </c>
      <c r="AI39" s="56">
        <f t="shared" si="3"/>
        <v>0</v>
      </c>
      <c r="AK39" s="57"/>
    </row>
    <row r="40" spans="1:88" x14ac:dyDescent="0.25">
      <c r="A40" s="63" t="s">
        <v>48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51"/>
      <c r="N40" s="51"/>
      <c r="O40" s="51"/>
      <c r="P40" s="51"/>
      <c r="Q40" s="51"/>
      <c r="R40" s="51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64">
        <v>70</v>
      </c>
      <c r="AH40" s="55">
        <f t="shared" si="2"/>
        <v>0</v>
      </c>
      <c r="AI40" s="56">
        <f t="shared" si="3"/>
        <v>0</v>
      </c>
      <c r="AK40" s="57"/>
    </row>
    <row r="41" spans="1:88" x14ac:dyDescent="0.25">
      <c r="A41" s="63" t="s">
        <v>49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51"/>
      <c r="N41" s="51"/>
      <c r="O41" s="51"/>
      <c r="P41" s="51"/>
      <c r="Q41" s="51"/>
      <c r="R41" s="51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64">
        <v>69</v>
      </c>
      <c r="AH41" s="55">
        <f t="shared" si="2"/>
        <v>0</v>
      </c>
      <c r="AI41" s="56">
        <f t="shared" si="3"/>
        <v>0</v>
      </c>
      <c r="AK41" s="57"/>
    </row>
    <row r="42" spans="1:88" x14ac:dyDescent="0.25">
      <c r="A42" s="63" t="s">
        <v>50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51"/>
      <c r="N42" s="51"/>
      <c r="O42" s="51"/>
      <c r="P42" s="51"/>
      <c r="Q42" s="51"/>
      <c r="R42" s="51"/>
      <c r="S42" s="51"/>
      <c r="T42" s="51"/>
      <c r="U42" s="51"/>
      <c r="V42" s="49"/>
      <c r="W42" s="49"/>
      <c r="X42" s="49"/>
      <c r="Y42" s="49"/>
      <c r="Z42" s="49"/>
      <c r="AA42" s="49"/>
      <c r="AB42" s="66"/>
      <c r="AC42" s="66"/>
      <c r="AD42" s="66"/>
      <c r="AE42" s="66"/>
      <c r="AF42" s="66"/>
      <c r="AG42" s="64">
        <v>60</v>
      </c>
      <c r="AH42" s="55">
        <f t="shared" si="2"/>
        <v>0</v>
      </c>
      <c r="AI42" s="56">
        <f t="shared" si="3"/>
        <v>0</v>
      </c>
      <c r="AK42" s="57"/>
    </row>
    <row r="43" spans="1:88" x14ac:dyDescent="0.25">
      <c r="A43" s="63" t="s">
        <v>51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51"/>
      <c r="N43" s="51"/>
      <c r="O43" s="51"/>
      <c r="P43" s="51"/>
      <c r="Q43" s="51"/>
      <c r="R43" s="51"/>
      <c r="S43" s="51"/>
      <c r="T43" s="51"/>
      <c r="U43" s="51"/>
      <c r="V43" s="49"/>
      <c r="W43" s="49"/>
      <c r="X43" s="49"/>
      <c r="Y43" s="49"/>
      <c r="Z43" s="49"/>
      <c r="AA43" s="49"/>
      <c r="AB43" s="66"/>
      <c r="AC43" s="66"/>
      <c r="AD43" s="66"/>
      <c r="AE43" s="66"/>
      <c r="AF43" s="66"/>
      <c r="AG43" s="64">
        <v>30</v>
      </c>
      <c r="AH43" s="55">
        <f t="shared" si="2"/>
        <v>0</v>
      </c>
      <c r="AI43" s="56">
        <f t="shared" si="3"/>
        <v>0</v>
      </c>
      <c r="AK43" s="57"/>
    </row>
    <row r="44" spans="1:88" x14ac:dyDescent="0.25">
      <c r="A44" s="63" t="s">
        <v>52</v>
      </c>
      <c r="B44" s="49"/>
      <c r="C44" s="49"/>
      <c r="D44" s="49"/>
      <c r="E44" s="49"/>
      <c r="F44" s="66"/>
      <c r="G44" s="66"/>
      <c r="H44" s="66"/>
      <c r="I44" s="66"/>
      <c r="J44" s="66"/>
      <c r="K44" s="66"/>
      <c r="L44" s="66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49"/>
      <c r="AC44" s="49"/>
      <c r="AD44" s="49"/>
      <c r="AE44" s="49"/>
      <c r="AF44" s="49"/>
      <c r="AG44" s="64">
        <v>25</v>
      </c>
      <c r="AH44" s="55">
        <f t="shared" si="2"/>
        <v>0</v>
      </c>
      <c r="AI44" s="56">
        <f t="shared" si="3"/>
        <v>0</v>
      </c>
      <c r="AK44" s="57"/>
    </row>
    <row r="45" spans="1:88" x14ac:dyDescent="0.25">
      <c r="A45" s="63" t="s">
        <v>53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49"/>
      <c r="AC45" s="49"/>
      <c r="AD45" s="49"/>
      <c r="AE45" s="49"/>
      <c r="AF45" s="49"/>
      <c r="AG45" s="64">
        <v>24</v>
      </c>
      <c r="AH45" s="55">
        <f t="shared" si="2"/>
        <v>0</v>
      </c>
      <c r="AI45" s="56">
        <f t="shared" si="3"/>
        <v>0</v>
      </c>
      <c r="AK45" s="57"/>
    </row>
    <row r="46" spans="1:88" x14ac:dyDescent="0.25">
      <c r="A46" s="63" t="s">
        <v>54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49"/>
      <c r="AC46" s="49"/>
      <c r="AD46" s="49"/>
      <c r="AE46" s="49"/>
      <c r="AF46" s="49"/>
      <c r="AG46" s="64">
        <v>15</v>
      </c>
      <c r="AH46" s="55">
        <f t="shared" si="2"/>
        <v>0</v>
      </c>
      <c r="AI46" s="56">
        <f t="shared" si="3"/>
        <v>0</v>
      </c>
      <c r="AK46" s="57"/>
      <c r="AL46" s="71"/>
      <c r="AO46" s="71"/>
    </row>
    <row r="47" spans="1:88" s="71" customFormat="1" x14ac:dyDescent="0.25">
      <c r="A47" s="63" t="s">
        <v>55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49"/>
      <c r="AC47" s="49"/>
      <c r="AD47" s="49"/>
      <c r="AE47" s="49"/>
      <c r="AF47" s="49"/>
      <c r="AG47" s="64">
        <v>14.1</v>
      </c>
      <c r="AH47" s="55">
        <f t="shared" si="2"/>
        <v>0</v>
      </c>
      <c r="AI47" s="56">
        <f t="shared" si="3"/>
        <v>0</v>
      </c>
      <c r="AJ47" s="1"/>
      <c r="AK47" s="57"/>
      <c r="AL47"/>
      <c r="AM47"/>
      <c r="AN47"/>
      <c r="AO47"/>
    </row>
    <row r="48" spans="1:88" x14ac:dyDescent="0.25">
      <c r="A48" s="72" t="s">
        <v>56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49"/>
      <c r="AC48" s="49"/>
      <c r="AD48" s="49"/>
      <c r="AE48" s="49"/>
      <c r="AF48" s="49"/>
      <c r="AG48" s="64">
        <v>14</v>
      </c>
      <c r="AH48" s="55">
        <f t="shared" si="2"/>
        <v>0</v>
      </c>
      <c r="AI48" s="56">
        <f t="shared" si="3"/>
        <v>0</v>
      </c>
      <c r="AK48" s="57"/>
    </row>
    <row r="49" spans="1:37" x14ac:dyDescent="0.25">
      <c r="A49" s="63" t="s">
        <v>57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49"/>
      <c r="AC49" s="49"/>
      <c r="AD49" s="49"/>
      <c r="AE49" s="49"/>
      <c r="AF49" s="49"/>
      <c r="AG49" s="64">
        <v>10.050000000000001</v>
      </c>
      <c r="AH49" s="55">
        <f t="shared" si="2"/>
        <v>0</v>
      </c>
      <c r="AI49" s="56">
        <f t="shared" si="3"/>
        <v>0</v>
      </c>
      <c r="AK49" s="57"/>
    </row>
    <row r="50" spans="1:37" x14ac:dyDescent="0.25">
      <c r="A50" s="63" t="s">
        <v>58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49"/>
      <c r="AC50" s="49"/>
      <c r="AD50" s="49"/>
      <c r="AE50" s="49"/>
      <c r="AF50" s="49"/>
      <c r="AG50" s="64">
        <v>6.2</v>
      </c>
      <c r="AH50" s="55">
        <f t="shared" si="2"/>
        <v>0</v>
      </c>
      <c r="AI50" s="56">
        <f t="shared" si="3"/>
        <v>0</v>
      </c>
      <c r="AK50" s="57"/>
    </row>
    <row r="51" spans="1:37" ht="15.75" thickBot="1" x14ac:dyDescent="0.3">
      <c r="A51" s="65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5">
        <f t="shared" si="2"/>
        <v>3.54</v>
      </c>
      <c r="AI51" s="56">
        <f t="shared" si="3"/>
        <v>3.54</v>
      </c>
      <c r="AK51" s="57"/>
    </row>
    <row r="52" spans="1:37" ht="15.75" thickBot="1" x14ac:dyDescent="0.3">
      <c r="A52" s="69" t="s">
        <v>60</v>
      </c>
      <c r="B52" s="70">
        <f>SUM(B39:B51)</f>
        <v>3.54</v>
      </c>
      <c r="C52" s="70">
        <f t="shared" ref="C52:AF52" si="8">SUM(C39:C51)</f>
        <v>3.54</v>
      </c>
      <c r="D52" s="70">
        <f t="shared" si="8"/>
        <v>3.54</v>
      </c>
      <c r="E52" s="70">
        <f t="shared" si="8"/>
        <v>3.54</v>
      </c>
      <c r="F52" s="70">
        <f t="shared" si="8"/>
        <v>3.54</v>
      </c>
      <c r="G52" s="70">
        <f t="shared" si="8"/>
        <v>3.54</v>
      </c>
      <c r="H52" s="70">
        <f t="shared" si="8"/>
        <v>3.54</v>
      </c>
      <c r="I52" s="70">
        <f t="shared" si="8"/>
        <v>3.54</v>
      </c>
      <c r="J52" s="70">
        <f t="shared" si="8"/>
        <v>3.54</v>
      </c>
      <c r="K52" s="70">
        <f t="shared" si="8"/>
        <v>3.54</v>
      </c>
      <c r="L52" s="70">
        <f t="shared" si="8"/>
        <v>3.54</v>
      </c>
      <c r="M52" s="70">
        <f t="shared" si="8"/>
        <v>3.54</v>
      </c>
      <c r="N52" s="70">
        <f t="shared" si="8"/>
        <v>3.54</v>
      </c>
      <c r="O52" s="70">
        <f t="shared" si="8"/>
        <v>3.54</v>
      </c>
      <c r="P52" s="70">
        <f t="shared" si="8"/>
        <v>3.54</v>
      </c>
      <c r="Q52" s="70">
        <f t="shared" si="8"/>
        <v>3.54</v>
      </c>
      <c r="R52" s="70">
        <f t="shared" si="8"/>
        <v>3.54</v>
      </c>
      <c r="S52" s="70">
        <f t="shared" si="8"/>
        <v>3.54</v>
      </c>
      <c r="T52" s="70">
        <f t="shared" si="8"/>
        <v>3.54</v>
      </c>
      <c r="U52" s="70">
        <f t="shared" si="8"/>
        <v>3.54</v>
      </c>
      <c r="V52" s="70">
        <f t="shared" si="8"/>
        <v>3.54</v>
      </c>
      <c r="W52" s="70">
        <f t="shared" si="8"/>
        <v>3.54</v>
      </c>
      <c r="X52" s="70">
        <f t="shared" si="8"/>
        <v>3.54</v>
      </c>
      <c r="Y52" s="70">
        <f t="shared" si="8"/>
        <v>3.54</v>
      </c>
      <c r="Z52" s="70">
        <f t="shared" si="8"/>
        <v>3.54</v>
      </c>
      <c r="AA52" s="70">
        <f t="shared" si="8"/>
        <v>3.54</v>
      </c>
      <c r="AB52" s="70">
        <f t="shared" si="8"/>
        <v>3.54</v>
      </c>
      <c r="AC52" s="70">
        <f t="shared" si="8"/>
        <v>3.54</v>
      </c>
      <c r="AD52" s="70">
        <f t="shared" si="8"/>
        <v>3.54</v>
      </c>
      <c r="AE52" s="70">
        <f t="shared" si="8"/>
        <v>3.54</v>
      </c>
      <c r="AF52" s="70">
        <f t="shared" si="8"/>
        <v>3.54</v>
      </c>
      <c r="AG52" s="74">
        <f>SUM(AG39:AG51)</f>
        <v>489.91</v>
      </c>
      <c r="AH52" s="55">
        <f t="shared" si="2"/>
        <v>3.54</v>
      </c>
      <c r="AI52" s="56">
        <f t="shared" si="3"/>
        <v>3.54</v>
      </c>
      <c r="AK52" s="57"/>
    </row>
    <row r="53" spans="1:37" x14ac:dyDescent="0.25">
      <c r="A53" s="58" t="s">
        <v>61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60">
        <v>60</v>
      </c>
      <c r="AH53" s="55">
        <f t="shared" si="2"/>
        <v>0</v>
      </c>
      <c r="AI53" s="56">
        <f t="shared" si="3"/>
        <v>0</v>
      </c>
      <c r="AK53" s="57"/>
    </row>
    <row r="54" spans="1:37" x14ac:dyDescent="0.25">
      <c r="A54" s="63" t="s">
        <v>62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64">
        <v>32</v>
      </c>
      <c r="AH54" s="55">
        <f t="shared" si="2"/>
        <v>0</v>
      </c>
      <c r="AI54" s="56">
        <f t="shared" si="3"/>
        <v>0</v>
      </c>
      <c r="AK54" s="57"/>
    </row>
    <row r="55" spans="1:37" ht="15.75" thickBot="1" x14ac:dyDescent="0.3">
      <c r="A55" s="72" t="s">
        <v>63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6">
        <v>14</v>
      </c>
      <c r="AH55" s="55">
        <f t="shared" si="2"/>
        <v>0</v>
      </c>
      <c r="AI55" s="56">
        <f t="shared" si="3"/>
        <v>0</v>
      </c>
      <c r="AK55" s="57"/>
    </row>
    <row r="56" spans="1:37" ht="15.75" thickBot="1" x14ac:dyDescent="0.3">
      <c r="A56" s="69" t="s">
        <v>64</v>
      </c>
      <c r="B56" s="70">
        <f t="shared" ref="B56:AF56" si="9">SUM(B53:B55)</f>
        <v>0</v>
      </c>
      <c r="C56" s="70">
        <f t="shared" si="9"/>
        <v>0</v>
      </c>
      <c r="D56" s="70">
        <f t="shared" si="9"/>
        <v>0</v>
      </c>
      <c r="E56" s="70">
        <f t="shared" si="9"/>
        <v>0</v>
      </c>
      <c r="F56" s="70">
        <f t="shared" si="9"/>
        <v>0</v>
      </c>
      <c r="G56" s="70">
        <f t="shared" si="9"/>
        <v>0</v>
      </c>
      <c r="H56" s="70">
        <f t="shared" si="9"/>
        <v>0</v>
      </c>
      <c r="I56" s="70">
        <f t="shared" si="9"/>
        <v>0</v>
      </c>
      <c r="J56" s="70">
        <f t="shared" si="9"/>
        <v>0</v>
      </c>
      <c r="K56" s="70">
        <f t="shared" si="9"/>
        <v>0</v>
      </c>
      <c r="L56" s="70">
        <f t="shared" si="9"/>
        <v>0</v>
      </c>
      <c r="M56" s="70">
        <f t="shared" si="9"/>
        <v>0</v>
      </c>
      <c r="N56" s="70">
        <f t="shared" si="9"/>
        <v>0</v>
      </c>
      <c r="O56" s="70">
        <f t="shared" si="9"/>
        <v>0</v>
      </c>
      <c r="P56" s="70">
        <f t="shared" si="9"/>
        <v>0</v>
      </c>
      <c r="Q56" s="70">
        <f t="shared" si="9"/>
        <v>0</v>
      </c>
      <c r="R56" s="70">
        <f t="shared" si="9"/>
        <v>0</v>
      </c>
      <c r="S56" s="70">
        <f t="shared" si="9"/>
        <v>0</v>
      </c>
      <c r="T56" s="70">
        <f t="shared" si="9"/>
        <v>0</v>
      </c>
      <c r="U56" s="70">
        <f t="shared" si="9"/>
        <v>0</v>
      </c>
      <c r="V56" s="70">
        <f t="shared" si="9"/>
        <v>0</v>
      </c>
      <c r="W56" s="70">
        <f t="shared" si="9"/>
        <v>0</v>
      </c>
      <c r="X56" s="70">
        <f t="shared" si="9"/>
        <v>0</v>
      </c>
      <c r="Y56" s="70">
        <f t="shared" si="9"/>
        <v>0</v>
      </c>
      <c r="Z56" s="70">
        <f t="shared" si="9"/>
        <v>0</v>
      </c>
      <c r="AA56" s="70">
        <f t="shared" si="9"/>
        <v>0</v>
      </c>
      <c r="AB56" s="70">
        <f t="shared" si="9"/>
        <v>0</v>
      </c>
      <c r="AC56" s="70">
        <f t="shared" si="9"/>
        <v>0</v>
      </c>
      <c r="AD56" s="70">
        <f t="shared" si="9"/>
        <v>0</v>
      </c>
      <c r="AE56" s="70">
        <f t="shared" si="9"/>
        <v>0</v>
      </c>
      <c r="AF56" s="70">
        <f t="shared" si="9"/>
        <v>0</v>
      </c>
      <c r="AG56" s="74">
        <f>SUM(AG53:AG55)</f>
        <v>106</v>
      </c>
      <c r="AH56" s="55">
        <f t="shared" si="2"/>
        <v>0</v>
      </c>
      <c r="AI56" s="56">
        <f t="shared" si="3"/>
        <v>0</v>
      </c>
      <c r="AK56" s="57"/>
    </row>
    <row r="57" spans="1:37" x14ac:dyDescent="0.25">
      <c r="A57" s="58" t="s">
        <v>65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60"/>
      <c r="AH57" s="55">
        <f t="shared" si="2"/>
        <v>0</v>
      </c>
      <c r="AI57" s="56">
        <f t="shared" si="3"/>
        <v>0</v>
      </c>
      <c r="AK57" s="57"/>
    </row>
    <row r="58" spans="1:37" x14ac:dyDescent="0.25">
      <c r="A58" s="63" t="s">
        <v>66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64"/>
      <c r="AH58" s="55">
        <f t="shared" si="2"/>
        <v>0</v>
      </c>
      <c r="AI58" s="56">
        <f t="shared" si="3"/>
        <v>0</v>
      </c>
      <c r="AK58" s="57"/>
    </row>
    <row r="59" spans="1:37" x14ac:dyDescent="0.25">
      <c r="A59" s="63" t="s">
        <v>67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77"/>
      <c r="AH59" s="55">
        <f t="shared" si="2"/>
        <v>0</v>
      </c>
      <c r="AI59" s="56">
        <f t="shared" si="3"/>
        <v>0</v>
      </c>
      <c r="AK59" s="57"/>
    </row>
    <row r="60" spans="1:37" x14ac:dyDescent="0.25">
      <c r="A60" s="63" t="s">
        <v>68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7"/>
      <c r="AH60" s="55">
        <f t="shared" si="2"/>
        <v>0</v>
      </c>
      <c r="AI60" s="56">
        <f t="shared" si="3"/>
        <v>0</v>
      </c>
      <c r="AK60" s="57"/>
    </row>
    <row r="61" spans="1:37" x14ac:dyDescent="0.25">
      <c r="A61" s="63" t="s">
        <v>69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77"/>
      <c r="AH61" s="55">
        <f t="shared" si="2"/>
        <v>0</v>
      </c>
      <c r="AI61" s="56">
        <f t="shared" si="3"/>
        <v>0</v>
      </c>
      <c r="AK61" s="57"/>
    </row>
    <row r="62" spans="1:37" x14ac:dyDescent="0.25">
      <c r="A62" s="63" t="s">
        <v>70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7"/>
      <c r="AH62" s="55">
        <f t="shared" si="2"/>
        <v>0</v>
      </c>
      <c r="AI62" s="56">
        <f t="shared" si="3"/>
        <v>0</v>
      </c>
      <c r="AK62" s="57"/>
    </row>
    <row r="63" spans="1:37" x14ac:dyDescent="0.25">
      <c r="A63" s="63" t="s">
        <v>71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7"/>
      <c r="AH63" s="55">
        <f t="shared" si="2"/>
        <v>0</v>
      </c>
      <c r="AI63" s="56">
        <f t="shared" si="3"/>
        <v>0</v>
      </c>
      <c r="AK63" s="57"/>
    </row>
    <row r="64" spans="1:37" x14ac:dyDescent="0.25">
      <c r="A64" s="63" t="s">
        <v>72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7"/>
      <c r="AH64" s="55">
        <f t="shared" si="2"/>
        <v>0</v>
      </c>
      <c r="AI64" s="56">
        <f t="shared" si="3"/>
        <v>0</v>
      </c>
      <c r="AK64" s="57"/>
    </row>
    <row r="65" spans="1:88" x14ac:dyDescent="0.25">
      <c r="A65" s="63" t="s">
        <v>73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7"/>
      <c r="AH65" s="55">
        <f t="shared" si="2"/>
        <v>0</v>
      </c>
      <c r="AI65" s="56">
        <f t="shared" si="3"/>
        <v>0</v>
      </c>
      <c r="AK65" s="57"/>
    </row>
    <row r="66" spans="1:88" x14ac:dyDescent="0.25">
      <c r="A66" s="80" t="s">
        <v>74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2"/>
      <c r="AH66" s="55">
        <f t="shared" si="2"/>
        <v>0</v>
      </c>
      <c r="AI66" s="56">
        <f t="shared" si="3"/>
        <v>0</v>
      </c>
      <c r="AK66" s="57"/>
    </row>
    <row r="67" spans="1:88" ht="15.75" thickBot="1" x14ac:dyDescent="0.3">
      <c r="A67" s="80" t="s">
        <v>75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2"/>
      <c r="AH67" s="55">
        <f t="shared" si="2"/>
        <v>0</v>
      </c>
      <c r="AI67" s="56">
        <f t="shared" si="3"/>
        <v>0</v>
      </c>
      <c r="AK67" s="57"/>
    </row>
    <row r="68" spans="1:88" ht="15.75" thickBot="1" x14ac:dyDescent="0.3">
      <c r="A68" s="69" t="s">
        <v>76</v>
      </c>
      <c r="B68" s="70">
        <f>SUMIF(B57:B67,"&gt;0")</f>
        <v>0</v>
      </c>
      <c r="C68" s="70">
        <f t="shared" ref="C68:AF68" si="10">SUMIF(C57:C67,"&gt;0")</f>
        <v>0</v>
      </c>
      <c r="D68" s="70">
        <f t="shared" si="10"/>
        <v>0</v>
      </c>
      <c r="E68" s="70">
        <f t="shared" si="10"/>
        <v>0</v>
      </c>
      <c r="F68" s="70">
        <f t="shared" si="10"/>
        <v>0</v>
      </c>
      <c r="G68" s="70">
        <f t="shared" si="10"/>
        <v>0</v>
      </c>
      <c r="H68" s="70">
        <f t="shared" si="10"/>
        <v>0</v>
      </c>
      <c r="I68" s="70">
        <f t="shared" si="10"/>
        <v>0</v>
      </c>
      <c r="J68" s="70">
        <f t="shared" si="10"/>
        <v>0</v>
      </c>
      <c r="K68" s="70">
        <f t="shared" si="10"/>
        <v>0</v>
      </c>
      <c r="L68" s="70">
        <f t="shared" si="10"/>
        <v>0</v>
      </c>
      <c r="M68" s="70">
        <f t="shared" si="10"/>
        <v>0</v>
      </c>
      <c r="N68" s="70">
        <f t="shared" si="10"/>
        <v>0</v>
      </c>
      <c r="O68" s="70">
        <f t="shared" si="10"/>
        <v>0</v>
      </c>
      <c r="P68" s="70">
        <f t="shared" si="10"/>
        <v>0</v>
      </c>
      <c r="Q68" s="70">
        <f t="shared" si="10"/>
        <v>0</v>
      </c>
      <c r="R68" s="70">
        <f t="shared" si="10"/>
        <v>0</v>
      </c>
      <c r="S68" s="70">
        <f t="shared" si="10"/>
        <v>0</v>
      </c>
      <c r="T68" s="70">
        <f t="shared" si="10"/>
        <v>0</v>
      </c>
      <c r="U68" s="70">
        <f t="shared" si="10"/>
        <v>0</v>
      </c>
      <c r="V68" s="70">
        <f t="shared" si="10"/>
        <v>0</v>
      </c>
      <c r="W68" s="70">
        <f t="shared" si="10"/>
        <v>0</v>
      </c>
      <c r="X68" s="70">
        <f t="shared" si="10"/>
        <v>0</v>
      </c>
      <c r="Y68" s="70">
        <f t="shared" si="10"/>
        <v>0</v>
      </c>
      <c r="Z68" s="70">
        <f t="shared" si="10"/>
        <v>0</v>
      </c>
      <c r="AA68" s="70">
        <f t="shared" si="10"/>
        <v>0</v>
      </c>
      <c r="AB68" s="70">
        <f t="shared" si="10"/>
        <v>0</v>
      </c>
      <c r="AC68" s="70">
        <f t="shared" si="10"/>
        <v>0</v>
      </c>
      <c r="AD68" s="70">
        <f t="shared" si="10"/>
        <v>0</v>
      </c>
      <c r="AE68" s="70">
        <f t="shared" si="10"/>
        <v>0</v>
      </c>
      <c r="AF68" s="70">
        <f t="shared" si="10"/>
        <v>0</v>
      </c>
      <c r="AG68" s="74">
        <f>SUM(AG57:AG67)</f>
        <v>0</v>
      </c>
      <c r="AH68" s="55">
        <f t="shared" si="2"/>
        <v>0</v>
      </c>
      <c r="AI68" s="56">
        <f t="shared" si="3"/>
        <v>0</v>
      </c>
      <c r="AK68" s="57"/>
    </row>
    <row r="69" spans="1:88" x14ac:dyDescent="0.25">
      <c r="A69" s="58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5">
        <f t="shared" si="2"/>
        <v>0</v>
      </c>
      <c r="AI69" s="56">
        <f t="shared" si="3"/>
        <v>0</v>
      </c>
      <c r="AK69" s="57"/>
    </row>
    <row r="70" spans="1:88" x14ac:dyDescent="0.25">
      <c r="A70" s="63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5">
        <f t="shared" si="2"/>
        <v>0</v>
      </c>
      <c r="AI70" s="56">
        <f t="shared" si="3"/>
        <v>0</v>
      </c>
      <c r="AK70" s="57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5">
        <f t="shared" si="2"/>
        <v>0</v>
      </c>
      <c r="AI71" s="56">
        <f t="shared" si="3"/>
        <v>0</v>
      </c>
    </row>
    <row r="72" spans="1:88" s="1" customFormat="1" ht="15.75" thickBot="1" x14ac:dyDescent="0.3">
      <c r="A72" s="69" t="s">
        <v>80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4">
        <f>SUM(AG69:AG71)</f>
        <v>55.4</v>
      </c>
      <c r="AH72" s="55">
        <f t="shared" si="2"/>
        <v>0</v>
      </c>
      <c r="AI72" s="56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9" t="s">
        <v>81</v>
      </c>
      <c r="B73" s="84">
        <f>B38+B52+B68+B72</f>
        <v>3.54</v>
      </c>
      <c r="C73" s="84">
        <f t="shared" ref="C73:AF73" si="11">C38+C52+C68+C72</f>
        <v>3.54</v>
      </c>
      <c r="D73" s="84">
        <f t="shared" si="11"/>
        <v>3.54</v>
      </c>
      <c r="E73" s="84">
        <f t="shared" si="11"/>
        <v>3.54</v>
      </c>
      <c r="F73" s="84">
        <f t="shared" si="11"/>
        <v>3.54</v>
      </c>
      <c r="G73" s="84">
        <f t="shared" si="11"/>
        <v>3.54</v>
      </c>
      <c r="H73" s="84">
        <f t="shared" si="11"/>
        <v>3.54</v>
      </c>
      <c r="I73" s="84">
        <f t="shared" si="11"/>
        <v>3.54</v>
      </c>
      <c r="J73" s="84">
        <f t="shared" si="11"/>
        <v>3.54</v>
      </c>
      <c r="K73" s="84">
        <f t="shared" si="11"/>
        <v>3.54</v>
      </c>
      <c r="L73" s="84">
        <f t="shared" si="11"/>
        <v>3.54</v>
      </c>
      <c r="M73" s="84">
        <f t="shared" si="11"/>
        <v>3.54</v>
      </c>
      <c r="N73" s="84">
        <f t="shared" si="11"/>
        <v>3.54</v>
      </c>
      <c r="O73" s="84">
        <f t="shared" si="11"/>
        <v>3.54</v>
      </c>
      <c r="P73" s="84">
        <f t="shared" si="11"/>
        <v>3.54</v>
      </c>
      <c r="Q73" s="84">
        <f t="shared" si="11"/>
        <v>3.54</v>
      </c>
      <c r="R73" s="84">
        <f t="shared" si="11"/>
        <v>3.54</v>
      </c>
      <c r="S73" s="84">
        <f t="shared" si="11"/>
        <v>3.54</v>
      </c>
      <c r="T73" s="84">
        <f t="shared" si="11"/>
        <v>3.54</v>
      </c>
      <c r="U73" s="84">
        <f t="shared" si="11"/>
        <v>3.54</v>
      </c>
      <c r="V73" s="84">
        <f t="shared" si="11"/>
        <v>3.54</v>
      </c>
      <c r="W73" s="84">
        <f t="shared" si="11"/>
        <v>3.54</v>
      </c>
      <c r="X73" s="84">
        <f t="shared" si="11"/>
        <v>3.54</v>
      </c>
      <c r="Y73" s="84">
        <f t="shared" si="11"/>
        <v>3.54</v>
      </c>
      <c r="Z73" s="84">
        <f t="shared" si="11"/>
        <v>3.54</v>
      </c>
      <c r="AA73" s="84">
        <f t="shared" si="11"/>
        <v>3.54</v>
      </c>
      <c r="AB73" s="84">
        <f t="shared" si="11"/>
        <v>3.54</v>
      </c>
      <c r="AC73" s="84">
        <f t="shared" si="11"/>
        <v>3.54</v>
      </c>
      <c r="AD73" s="84">
        <f t="shared" si="11"/>
        <v>3.54</v>
      </c>
      <c r="AE73" s="84">
        <f t="shared" si="11"/>
        <v>3.54</v>
      </c>
      <c r="AF73" s="84">
        <f t="shared" si="11"/>
        <v>3.54</v>
      </c>
      <c r="AG73" s="84">
        <f t="shared" ref="AG73" si="12">AG68+AG56+AG52+AG38+AG72</f>
        <v>2144.14</v>
      </c>
      <c r="AH73" s="55">
        <f t="shared" si="2"/>
        <v>3.54</v>
      </c>
      <c r="AI73" s="56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5">
        <f t="shared" si="2"/>
        <v>0</v>
      </c>
      <c r="AI74" s="56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9" t="s">
        <v>83</v>
      </c>
      <c r="B75" s="84">
        <f>B73+B74</f>
        <v>3.54</v>
      </c>
      <c r="C75" s="84">
        <f t="shared" ref="C75:AF75" si="13">C73+C74</f>
        <v>3.54</v>
      </c>
      <c r="D75" s="84">
        <f t="shared" si="13"/>
        <v>3.54</v>
      </c>
      <c r="E75" s="84">
        <f t="shared" si="13"/>
        <v>3.54</v>
      </c>
      <c r="F75" s="84">
        <f t="shared" si="13"/>
        <v>3.54</v>
      </c>
      <c r="G75" s="84">
        <f t="shared" si="13"/>
        <v>3.54</v>
      </c>
      <c r="H75" s="84">
        <f t="shared" si="13"/>
        <v>3.54</v>
      </c>
      <c r="I75" s="84">
        <f t="shared" si="13"/>
        <v>3.54</v>
      </c>
      <c r="J75" s="84">
        <f t="shared" si="13"/>
        <v>3.54</v>
      </c>
      <c r="K75" s="84">
        <f t="shared" si="13"/>
        <v>3.54</v>
      </c>
      <c r="L75" s="84">
        <f t="shared" si="13"/>
        <v>3.54</v>
      </c>
      <c r="M75" s="84">
        <f t="shared" si="13"/>
        <v>3.54</v>
      </c>
      <c r="N75" s="84">
        <f t="shared" si="13"/>
        <v>3.54</v>
      </c>
      <c r="O75" s="84">
        <f t="shared" si="13"/>
        <v>3.54</v>
      </c>
      <c r="P75" s="84">
        <f t="shared" si="13"/>
        <v>3.54</v>
      </c>
      <c r="Q75" s="84">
        <f t="shared" si="13"/>
        <v>3.54</v>
      </c>
      <c r="R75" s="84">
        <f t="shared" si="13"/>
        <v>3.54</v>
      </c>
      <c r="S75" s="84">
        <f t="shared" si="13"/>
        <v>3.54</v>
      </c>
      <c r="T75" s="84">
        <f t="shared" si="13"/>
        <v>3.54</v>
      </c>
      <c r="U75" s="84">
        <f t="shared" si="13"/>
        <v>3.54</v>
      </c>
      <c r="V75" s="84">
        <f t="shared" si="13"/>
        <v>3.54</v>
      </c>
      <c r="W75" s="84">
        <f t="shared" si="13"/>
        <v>3.54</v>
      </c>
      <c r="X75" s="84">
        <f t="shared" si="13"/>
        <v>3.54</v>
      </c>
      <c r="Y75" s="84">
        <f t="shared" si="13"/>
        <v>3.54</v>
      </c>
      <c r="Z75" s="84">
        <f t="shared" si="13"/>
        <v>3.54</v>
      </c>
      <c r="AA75" s="84">
        <f t="shared" si="13"/>
        <v>3.54</v>
      </c>
      <c r="AB75" s="84">
        <f t="shared" si="13"/>
        <v>3.54</v>
      </c>
      <c r="AC75" s="84">
        <f t="shared" si="13"/>
        <v>3.54</v>
      </c>
      <c r="AD75" s="84">
        <f t="shared" si="13"/>
        <v>3.54</v>
      </c>
      <c r="AE75" s="84">
        <f t="shared" si="13"/>
        <v>3.54</v>
      </c>
      <c r="AF75" s="84">
        <f t="shared" si="13"/>
        <v>3.54</v>
      </c>
      <c r="AG75" s="74">
        <f>AG72+AG68+AG56+AG52+AG38+AG74</f>
        <v>2144.14</v>
      </c>
      <c r="AH75" s="55">
        <f t="shared" si="2"/>
        <v>3.54</v>
      </c>
      <c r="AI75" s="56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8" t="s">
        <v>68</v>
      </c>
      <c r="B76" s="78">
        <f>IF(B60&lt;0,B60*-1,0)</f>
        <v>0</v>
      </c>
      <c r="C76" s="78">
        <f t="shared" ref="C76:AF76" si="14">IF(C60&lt;0,C60*-1,0)</f>
        <v>0</v>
      </c>
      <c r="D76" s="78">
        <f t="shared" si="14"/>
        <v>0</v>
      </c>
      <c r="E76" s="78">
        <f t="shared" si="14"/>
        <v>0</v>
      </c>
      <c r="F76" s="78">
        <f t="shared" si="14"/>
        <v>0</v>
      </c>
      <c r="G76" s="78">
        <f t="shared" si="14"/>
        <v>0</v>
      </c>
      <c r="H76" s="78">
        <f t="shared" si="14"/>
        <v>0</v>
      </c>
      <c r="I76" s="78">
        <f t="shared" si="14"/>
        <v>0</v>
      </c>
      <c r="J76" s="78">
        <f t="shared" si="14"/>
        <v>0</v>
      </c>
      <c r="K76" s="78">
        <f t="shared" si="14"/>
        <v>0</v>
      </c>
      <c r="L76" s="78">
        <f t="shared" si="14"/>
        <v>0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>
        <f t="shared" si="14"/>
        <v>0</v>
      </c>
      <c r="R76" s="78">
        <f t="shared" si="14"/>
        <v>0</v>
      </c>
      <c r="S76" s="78">
        <f t="shared" si="14"/>
        <v>0</v>
      </c>
      <c r="T76" s="78">
        <f t="shared" si="14"/>
        <v>0</v>
      </c>
      <c r="U76" s="78">
        <f t="shared" si="14"/>
        <v>0</v>
      </c>
      <c r="V76" s="78">
        <f t="shared" si="14"/>
        <v>0</v>
      </c>
      <c r="W76" s="78">
        <f t="shared" si="14"/>
        <v>0</v>
      </c>
      <c r="X76" s="78">
        <f t="shared" si="14"/>
        <v>0</v>
      </c>
      <c r="Y76" s="78">
        <f t="shared" si="14"/>
        <v>0</v>
      </c>
      <c r="Z76" s="78">
        <f t="shared" si="14"/>
        <v>0</v>
      </c>
      <c r="AA76" s="78">
        <f t="shared" si="14"/>
        <v>0</v>
      </c>
      <c r="AB76" s="78">
        <f t="shared" si="14"/>
        <v>0</v>
      </c>
      <c r="AC76" s="78">
        <f t="shared" si="14"/>
        <v>0</v>
      </c>
      <c r="AD76" s="78">
        <f t="shared" si="14"/>
        <v>0</v>
      </c>
      <c r="AE76" s="78">
        <f t="shared" si="14"/>
        <v>0</v>
      </c>
      <c r="AF76" s="78">
        <f t="shared" si="14"/>
        <v>0</v>
      </c>
      <c r="AG76" s="60"/>
      <c r="AH76" s="55">
        <f t="shared" ref="AH76:AH91" si="15">MAX(B76:AF76)</f>
        <v>0</v>
      </c>
      <c r="AI76" s="56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3" t="s">
        <v>66</v>
      </c>
      <c r="B77" s="78">
        <f>IF(B58&lt;0,B58*-1,0)</f>
        <v>0</v>
      </c>
      <c r="C77" s="78">
        <f t="shared" ref="C77:AF77" si="17">IF(C58&lt;0,C58*-1,0)</f>
        <v>0</v>
      </c>
      <c r="D77" s="78">
        <f t="shared" si="17"/>
        <v>0</v>
      </c>
      <c r="E77" s="78">
        <f t="shared" si="17"/>
        <v>0</v>
      </c>
      <c r="F77" s="78">
        <f t="shared" si="17"/>
        <v>0</v>
      </c>
      <c r="G77" s="78">
        <f t="shared" si="17"/>
        <v>0</v>
      </c>
      <c r="H77" s="78">
        <f t="shared" si="17"/>
        <v>0</v>
      </c>
      <c r="I77" s="78">
        <f t="shared" si="17"/>
        <v>0</v>
      </c>
      <c r="J77" s="78">
        <f t="shared" si="17"/>
        <v>0</v>
      </c>
      <c r="K77" s="78">
        <f t="shared" si="17"/>
        <v>0</v>
      </c>
      <c r="L77" s="78">
        <f t="shared" si="17"/>
        <v>0</v>
      </c>
      <c r="M77" s="78">
        <f t="shared" si="17"/>
        <v>0</v>
      </c>
      <c r="N77" s="78">
        <f t="shared" si="17"/>
        <v>0</v>
      </c>
      <c r="O77" s="78">
        <f t="shared" si="17"/>
        <v>0</v>
      </c>
      <c r="P77" s="78">
        <f t="shared" si="17"/>
        <v>0</v>
      </c>
      <c r="Q77" s="78">
        <f t="shared" si="17"/>
        <v>0</v>
      </c>
      <c r="R77" s="78">
        <f t="shared" si="17"/>
        <v>0</v>
      </c>
      <c r="S77" s="78">
        <f t="shared" si="17"/>
        <v>0</v>
      </c>
      <c r="T77" s="78">
        <f t="shared" si="17"/>
        <v>0</v>
      </c>
      <c r="U77" s="78">
        <f t="shared" si="17"/>
        <v>0</v>
      </c>
      <c r="V77" s="78">
        <f t="shared" si="17"/>
        <v>0</v>
      </c>
      <c r="W77" s="78">
        <f t="shared" si="17"/>
        <v>0</v>
      </c>
      <c r="X77" s="78">
        <f t="shared" si="17"/>
        <v>0</v>
      </c>
      <c r="Y77" s="78">
        <f t="shared" si="17"/>
        <v>0</v>
      </c>
      <c r="Z77" s="78">
        <f t="shared" si="17"/>
        <v>0</v>
      </c>
      <c r="AA77" s="78">
        <f t="shared" si="17"/>
        <v>0</v>
      </c>
      <c r="AB77" s="78">
        <f t="shared" si="17"/>
        <v>0</v>
      </c>
      <c r="AC77" s="78">
        <f t="shared" si="17"/>
        <v>0</v>
      </c>
      <c r="AD77" s="78">
        <f t="shared" si="17"/>
        <v>0</v>
      </c>
      <c r="AE77" s="78">
        <f t="shared" si="17"/>
        <v>0</v>
      </c>
      <c r="AF77" s="78">
        <f t="shared" si="17"/>
        <v>0</v>
      </c>
      <c r="AG77" s="64"/>
      <c r="AH77" s="55">
        <f t="shared" si="15"/>
        <v>0</v>
      </c>
      <c r="AI77" s="56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8">IF(C61&lt;0,C61*-1,0)</f>
        <v>0</v>
      </c>
      <c r="D78" s="78">
        <f t="shared" si="18"/>
        <v>0</v>
      </c>
      <c r="E78" s="78">
        <f t="shared" si="18"/>
        <v>0</v>
      </c>
      <c r="F78" s="78">
        <f t="shared" si="18"/>
        <v>0</v>
      </c>
      <c r="G78" s="78">
        <f t="shared" si="18"/>
        <v>0</v>
      </c>
      <c r="H78" s="78">
        <f t="shared" si="18"/>
        <v>0</v>
      </c>
      <c r="I78" s="78">
        <f t="shared" si="18"/>
        <v>0</v>
      </c>
      <c r="J78" s="78">
        <f t="shared" si="18"/>
        <v>0</v>
      </c>
      <c r="K78" s="78">
        <f t="shared" si="18"/>
        <v>0</v>
      </c>
      <c r="L78" s="78">
        <f t="shared" si="18"/>
        <v>0</v>
      </c>
      <c r="M78" s="78">
        <f t="shared" si="18"/>
        <v>0</v>
      </c>
      <c r="N78" s="78">
        <f t="shared" si="18"/>
        <v>0</v>
      </c>
      <c r="O78" s="78">
        <f t="shared" si="18"/>
        <v>0</v>
      </c>
      <c r="P78" s="78">
        <f t="shared" si="18"/>
        <v>0</v>
      </c>
      <c r="Q78" s="78">
        <f t="shared" si="18"/>
        <v>0</v>
      </c>
      <c r="R78" s="78">
        <f t="shared" si="18"/>
        <v>0</v>
      </c>
      <c r="S78" s="78">
        <f t="shared" si="18"/>
        <v>0</v>
      </c>
      <c r="T78" s="78">
        <f t="shared" si="18"/>
        <v>0</v>
      </c>
      <c r="U78" s="78">
        <f t="shared" si="18"/>
        <v>0</v>
      </c>
      <c r="V78" s="78">
        <f t="shared" si="18"/>
        <v>0</v>
      </c>
      <c r="W78" s="78">
        <f t="shared" si="18"/>
        <v>0</v>
      </c>
      <c r="X78" s="78">
        <f t="shared" si="18"/>
        <v>0</v>
      </c>
      <c r="Y78" s="78">
        <f t="shared" si="18"/>
        <v>0</v>
      </c>
      <c r="Z78" s="78">
        <f t="shared" si="18"/>
        <v>0</v>
      </c>
      <c r="AA78" s="78">
        <f t="shared" si="18"/>
        <v>0</v>
      </c>
      <c r="AB78" s="78">
        <f t="shared" si="18"/>
        <v>0</v>
      </c>
      <c r="AC78" s="78">
        <f t="shared" si="18"/>
        <v>0</v>
      </c>
      <c r="AD78" s="78">
        <f t="shared" si="18"/>
        <v>0</v>
      </c>
      <c r="AE78" s="78">
        <f t="shared" si="18"/>
        <v>0</v>
      </c>
      <c r="AF78" s="78">
        <f t="shared" si="18"/>
        <v>0</v>
      </c>
      <c r="AG78" s="87"/>
      <c r="AH78" s="55">
        <f t="shared" si="15"/>
        <v>0</v>
      </c>
      <c r="AI78" s="56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85</v>
      </c>
      <c r="B79" s="78">
        <f>IF(B59&lt;0,B59*-1,0)</f>
        <v>0</v>
      </c>
      <c r="C79" s="78">
        <f t="shared" ref="C79:AF79" si="19">IF(C59&lt;0,C59*-1,0)</f>
        <v>0</v>
      </c>
      <c r="D79" s="78">
        <f t="shared" si="19"/>
        <v>0</v>
      </c>
      <c r="E79" s="78">
        <f t="shared" si="19"/>
        <v>0</v>
      </c>
      <c r="F79" s="78">
        <f t="shared" si="19"/>
        <v>0</v>
      </c>
      <c r="G79" s="78">
        <f t="shared" si="19"/>
        <v>0</v>
      </c>
      <c r="H79" s="78">
        <f t="shared" si="19"/>
        <v>0</v>
      </c>
      <c r="I79" s="78">
        <f t="shared" si="19"/>
        <v>0</v>
      </c>
      <c r="J79" s="78">
        <f t="shared" si="19"/>
        <v>0</v>
      </c>
      <c r="K79" s="78">
        <f t="shared" si="19"/>
        <v>0</v>
      </c>
      <c r="L79" s="78">
        <f t="shared" si="19"/>
        <v>0</v>
      </c>
      <c r="M79" s="78">
        <f t="shared" si="19"/>
        <v>0</v>
      </c>
      <c r="N79" s="78">
        <f t="shared" si="19"/>
        <v>0</v>
      </c>
      <c r="O79" s="78">
        <f t="shared" si="19"/>
        <v>0</v>
      </c>
      <c r="P79" s="78">
        <f t="shared" si="19"/>
        <v>0</v>
      </c>
      <c r="Q79" s="78">
        <f t="shared" si="19"/>
        <v>0</v>
      </c>
      <c r="R79" s="78">
        <f t="shared" si="19"/>
        <v>0</v>
      </c>
      <c r="S79" s="78">
        <f t="shared" si="19"/>
        <v>0</v>
      </c>
      <c r="T79" s="78">
        <f t="shared" si="19"/>
        <v>0</v>
      </c>
      <c r="U79" s="78">
        <f t="shared" si="19"/>
        <v>0</v>
      </c>
      <c r="V79" s="78">
        <f t="shared" si="19"/>
        <v>0</v>
      </c>
      <c r="W79" s="78">
        <f t="shared" si="19"/>
        <v>0</v>
      </c>
      <c r="X79" s="78">
        <f t="shared" si="19"/>
        <v>0</v>
      </c>
      <c r="Y79" s="78">
        <f t="shared" si="19"/>
        <v>0</v>
      </c>
      <c r="Z79" s="78">
        <f t="shared" si="19"/>
        <v>0</v>
      </c>
      <c r="AA79" s="78">
        <f t="shared" si="19"/>
        <v>0</v>
      </c>
      <c r="AB79" s="78">
        <f t="shared" si="19"/>
        <v>0</v>
      </c>
      <c r="AC79" s="78">
        <f t="shared" si="19"/>
        <v>0</v>
      </c>
      <c r="AD79" s="78">
        <f t="shared" si="19"/>
        <v>0</v>
      </c>
      <c r="AE79" s="78">
        <f t="shared" si="19"/>
        <v>0</v>
      </c>
      <c r="AF79" s="78">
        <f t="shared" si="19"/>
        <v>0</v>
      </c>
      <c r="AG79" s="87"/>
      <c r="AH79" s="55">
        <f t="shared" si="15"/>
        <v>0</v>
      </c>
      <c r="AI79" s="56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20">IF(C57&lt;0,C57*-1,0)</f>
        <v>0</v>
      </c>
      <c r="D80" s="78">
        <f t="shared" si="20"/>
        <v>0</v>
      </c>
      <c r="E80" s="78">
        <f t="shared" si="20"/>
        <v>0</v>
      </c>
      <c r="F80" s="78">
        <f t="shared" si="20"/>
        <v>0</v>
      </c>
      <c r="G80" s="78">
        <f t="shared" si="20"/>
        <v>0</v>
      </c>
      <c r="H80" s="78">
        <f t="shared" si="20"/>
        <v>0</v>
      </c>
      <c r="I80" s="78">
        <f t="shared" si="20"/>
        <v>0</v>
      </c>
      <c r="J80" s="78">
        <f t="shared" si="20"/>
        <v>0</v>
      </c>
      <c r="K80" s="78">
        <f t="shared" si="20"/>
        <v>0</v>
      </c>
      <c r="L80" s="78">
        <f t="shared" si="20"/>
        <v>0</v>
      </c>
      <c r="M80" s="78">
        <f t="shared" si="20"/>
        <v>0</v>
      </c>
      <c r="N80" s="78">
        <f t="shared" si="20"/>
        <v>0</v>
      </c>
      <c r="O80" s="78">
        <f t="shared" si="20"/>
        <v>0</v>
      </c>
      <c r="P80" s="78">
        <f t="shared" si="20"/>
        <v>0</v>
      </c>
      <c r="Q80" s="78">
        <f t="shared" si="20"/>
        <v>0</v>
      </c>
      <c r="R80" s="78">
        <f t="shared" si="20"/>
        <v>0</v>
      </c>
      <c r="S80" s="78">
        <f t="shared" si="20"/>
        <v>0</v>
      </c>
      <c r="T80" s="78">
        <f t="shared" si="20"/>
        <v>0</v>
      </c>
      <c r="U80" s="78">
        <f t="shared" si="20"/>
        <v>0</v>
      </c>
      <c r="V80" s="78">
        <f t="shared" si="20"/>
        <v>0</v>
      </c>
      <c r="W80" s="78">
        <f t="shared" si="20"/>
        <v>0</v>
      </c>
      <c r="X80" s="78">
        <f t="shared" si="20"/>
        <v>0</v>
      </c>
      <c r="Y80" s="78">
        <f t="shared" si="20"/>
        <v>0</v>
      </c>
      <c r="Z80" s="78">
        <f t="shared" si="20"/>
        <v>0</v>
      </c>
      <c r="AA80" s="78">
        <f t="shared" si="20"/>
        <v>0</v>
      </c>
      <c r="AB80" s="78">
        <f t="shared" si="20"/>
        <v>0</v>
      </c>
      <c r="AC80" s="78">
        <f t="shared" si="20"/>
        <v>0</v>
      </c>
      <c r="AD80" s="78">
        <f t="shared" si="20"/>
        <v>0</v>
      </c>
      <c r="AE80" s="78">
        <f t="shared" si="20"/>
        <v>0</v>
      </c>
      <c r="AF80" s="78">
        <f t="shared" si="20"/>
        <v>0</v>
      </c>
      <c r="AG80" s="87"/>
      <c r="AH80" s="55">
        <f t="shared" si="15"/>
        <v>0</v>
      </c>
      <c r="AI80" s="56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86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5">
        <f t="shared" si="15"/>
        <v>0</v>
      </c>
      <c r="AI81" s="56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87</v>
      </c>
      <c r="B82" s="70">
        <f>SUM(B76:B81)</f>
        <v>0</v>
      </c>
      <c r="C82" s="70">
        <f t="shared" ref="C82:AF82" si="21">SUM(C76:C81)</f>
        <v>0</v>
      </c>
      <c r="D82" s="70">
        <f t="shared" si="21"/>
        <v>0</v>
      </c>
      <c r="E82" s="70">
        <f t="shared" si="21"/>
        <v>0</v>
      </c>
      <c r="F82" s="70">
        <f t="shared" si="21"/>
        <v>0</v>
      </c>
      <c r="G82" s="70">
        <f t="shared" si="21"/>
        <v>0</v>
      </c>
      <c r="H82" s="70">
        <f t="shared" si="21"/>
        <v>0</v>
      </c>
      <c r="I82" s="70">
        <f t="shared" si="21"/>
        <v>0</v>
      </c>
      <c r="J82" s="70">
        <f t="shared" si="21"/>
        <v>0</v>
      </c>
      <c r="K82" s="70">
        <f t="shared" si="21"/>
        <v>0</v>
      </c>
      <c r="L82" s="70">
        <f t="shared" si="21"/>
        <v>0</v>
      </c>
      <c r="M82" s="70">
        <f t="shared" si="21"/>
        <v>0</v>
      </c>
      <c r="N82" s="70">
        <f t="shared" si="21"/>
        <v>0</v>
      </c>
      <c r="O82" s="70">
        <f t="shared" si="21"/>
        <v>0</v>
      </c>
      <c r="P82" s="70">
        <f t="shared" si="21"/>
        <v>0</v>
      </c>
      <c r="Q82" s="70">
        <f t="shared" si="21"/>
        <v>0</v>
      </c>
      <c r="R82" s="70">
        <f t="shared" si="21"/>
        <v>0</v>
      </c>
      <c r="S82" s="70">
        <f t="shared" si="21"/>
        <v>0</v>
      </c>
      <c r="T82" s="70">
        <f t="shared" si="21"/>
        <v>0</v>
      </c>
      <c r="U82" s="70">
        <f t="shared" si="21"/>
        <v>0</v>
      </c>
      <c r="V82" s="70">
        <f t="shared" si="21"/>
        <v>0</v>
      </c>
      <c r="W82" s="70">
        <f t="shared" si="21"/>
        <v>0</v>
      </c>
      <c r="X82" s="70">
        <f t="shared" si="21"/>
        <v>0</v>
      </c>
      <c r="Y82" s="70">
        <f t="shared" si="21"/>
        <v>0</v>
      </c>
      <c r="Z82" s="70">
        <f t="shared" si="21"/>
        <v>0</v>
      </c>
      <c r="AA82" s="70">
        <f t="shared" si="21"/>
        <v>0</v>
      </c>
      <c r="AB82" s="70">
        <f t="shared" si="21"/>
        <v>0</v>
      </c>
      <c r="AC82" s="70">
        <f t="shared" si="21"/>
        <v>0</v>
      </c>
      <c r="AD82" s="70">
        <f t="shared" si="21"/>
        <v>0</v>
      </c>
      <c r="AE82" s="70">
        <f t="shared" si="21"/>
        <v>0</v>
      </c>
      <c r="AF82" s="70">
        <f t="shared" si="21"/>
        <v>0</v>
      </c>
      <c r="AG82" s="74">
        <f t="shared" ref="AG82" si="22">SUM(AG76:AG81)</f>
        <v>0</v>
      </c>
      <c r="AH82" s="55">
        <f t="shared" si="15"/>
        <v>0</v>
      </c>
      <c r="AI82" s="56">
        <f t="shared" si="16"/>
        <v>0</v>
      </c>
      <c r="AK82" s="57"/>
    </row>
    <row r="83" spans="1:88" s="1" customFormat="1" ht="15.75" thickBot="1" x14ac:dyDescent="0.3">
      <c r="A83" s="69" t="s">
        <v>88</v>
      </c>
      <c r="B83" s="70">
        <f>B68-B82</f>
        <v>0</v>
      </c>
      <c r="C83" s="70">
        <f t="shared" ref="C83:AF83" si="23">C68-C82</f>
        <v>0</v>
      </c>
      <c r="D83" s="70">
        <f t="shared" si="23"/>
        <v>0</v>
      </c>
      <c r="E83" s="70">
        <f t="shared" si="23"/>
        <v>0</v>
      </c>
      <c r="F83" s="70">
        <f t="shared" si="23"/>
        <v>0</v>
      </c>
      <c r="G83" s="70">
        <f t="shared" si="23"/>
        <v>0</v>
      </c>
      <c r="H83" s="70">
        <f t="shared" si="23"/>
        <v>0</v>
      </c>
      <c r="I83" s="70">
        <f t="shared" si="23"/>
        <v>0</v>
      </c>
      <c r="J83" s="70">
        <f t="shared" si="23"/>
        <v>0</v>
      </c>
      <c r="K83" s="70">
        <f t="shared" si="23"/>
        <v>0</v>
      </c>
      <c r="L83" s="70">
        <f t="shared" si="23"/>
        <v>0</v>
      </c>
      <c r="M83" s="70">
        <f t="shared" si="23"/>
        <v>0</v>
      </c>
      <c r="N83" s="70">
        <f t="shared" si="23"/>
        <v>0</v>
      </c>
      <c r="O83" s="70">
        <f t="shared" si="23"/>
        <v>0</v>
      </c>
      <c r="P83" s="70">
        <f t="shared" si="23"/>
        <v>0</v>
      </c>
      <c r="Q83" s="70">
        <f t="shared" si="23"/>
        <v>0</v>
      </c>
      <c r="R83" s="70">
        <f t="shared" si="23"/>
        <v>0</v>
      </c>
      <c r="S83" s="70">
        <f t="shared" si="23"/>
        <v>0</v>
      </c>
      <c r="T83" s="70">
        <f t="shared" si="23"/>
        <v>0</v>
      </c>
      <c r="U83" s="70">
        <f t="shared" si="23"/>
        <v>0</v>
      </c>
      <c r="V83" s="70">
        <f t="shared" si="23"/>
        <v>0</v>
      </c>
      <c r="W83" s="70">
        <f t="shared" si="23"/>
        <v>0</v>
      </c>
      <c r="X83" s="70">
        <f t="shared" si="23"/>
        <v>0</v>
      </c>
      <c r="Y83" s="70">
        <f t="shared" si="23"/>
        <v>0</v>
      </c>
      <c r="Z83" s="70">
        <f t="shared" si="23"/>
        <v>0</v>
      </c>
      <c r="AA83" s="70">
        <f t="shared" si="23"/>
        <v>0</v>
      </c>
      <c r="AB83" s="70">
        <f t="shared" si="23"/>
        <v>0</v>
      </c>
      <c r="AC83" s="70">
        <f t="shared" si="23"/>
        <v>0</v>
      </c>
      <c r="AD83" s="70">
        <f t="shared" si="23"/>
        <v>0</v>
      </c>
      <c r="AE83" s="70">
        <f t="shared" si="23"/>
        <v>0</v>
      </c>
      <c r="AF83" s="70">
        <f t="shared" si="23"/>
        <v>0</v>
      </c>
      <c r="AG83" s="74">
        <f t="shared" ref="AG83" si="24">SUM(AG70:AG82)</f>
        <v>4360.08</v>
      </c>
      <c r="AH83" s="55">
        <f t="shared" si="15"/>
        <v>0</v>
      </c>
      <c r="AI83" s="56">
        <f t="shared" si="16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89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1"/>
      <c r="AH84" s="55">
        <f t="shared" si="15"/>
        <v>0</v>
      </c>
      <c r="AI84" s="56">
        <f t="shared" si="16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90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93"/>
      <c r="AH85" s="55">
        <f t="shared" si="15"/>
        <v>0</v>
      </c>
      <c r="AI85" s="56">
        <f t="shared" si="16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91</v>
      </c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93"/>
      <c r="AH86" s="55">
        <f t="shared" si="15"/>
        <v>0</v>
      </c>
      <c r="AI86" s="56">
        <f t="shared" si="16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92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93"/>
      <c r="AH87" s="55">
        <f t="shared" si="15"/>
        <v>0</v>
      </c>
      <c r="AI87" s="56">
        <f t="shared" si="16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93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93"/>
      <c r="AH88" s="55">
        <f t="shared" si="15"/>
        <v>0</v>
      </c>
      <c r="AI88" s="56">
        <f t="shared" si="16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94</v>
      </c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6"/>
      <c r="AH89" s="55">
        <f t="shared" si="15"/>
        <v>0</v>
      </c>
      <c r="AI89" s="56">
        <f t="shared" si="16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95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93"/>
      <c r="AH90" s="55">
        <f t="shared" si="15"/>
        <v>0</v>
      </c>
      <c r="AI90" s="56">
        <f t="shared" si="16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96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8"/>
      <c r="AH91" s="55">
        <f t="shared" si="15"/>
        <v>0</v>
      </c>
      <c r="AI91" s="56">
        <f t="shared" si="16"/>
        <v>0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5"/>
      <c r="AI92" s="56"/>
    </row>
    <row r="93" spans="1:88" ht="15.75" thickBot="1" x14ac:dyDescent="0.3">
      <c r="A93" s="102" t="s">
        <v>97</v>
      </c>
      <c r="B93" s="103">
        <f t="shared" ref="B93:AF93" si="25">SUM(B15,B18,B21:B22,B42,B44:B45,B47,B49,B94:B97,B103,B109,B115,B124,B126,B138,B145,B148:B149,B156,B158,B160,B164:B166,B168:B170,B175,B181:B182,B184:B186,B194,B199)</f>
        <v>34.840000000000003</v>
      </c>
      <c r="C93" s="103">
        <f t="shared" si="25"/>
        <v>34.840000000000003</v>
      </c>
      <c r="D93" s="103">
        <f t="shared" si="25"/>
        <v>34.840000000000003</v>
      </c>
      <c r="E93" s="103">
        <f t="shared" si="25"/>
        <v>34.840000000000003</v>
      </c>
      <c r="F93" s="103">
        <f t="shared" si="25"/>
        <v>34.840000000000003</v>
      </c>
      <c r="G93" s="103">
        <f t="shared" si="25"/>
        <v>34.840000000000003</v>
      </c>
      <c r="H93" s="103">
        <f t="shared" si="25"/>
        <v>34.840000000000003</v>
      </c>
      <c r="I93" s="103">
        <f t="shared" si="25"/>
        <v>34.840000000000003</v>
      </c>
      <c r="J93" s="103">
        <f t="shared" si="25"/>
        <v>34.840000000000003</v>
      </c>
      <c r="K93" s="103">
        <f t="shared" si="25"/>
        <v>34.840000000000003</v>
      </c>
      <c r="L93" s="103">
        <f t="shared" si="25"/>
        <v>34.840000000000003</v>
      </c>
      <c r="M93" s="103">
        <f t="shared" si="25"/>
        <v>34.840000000000003</v>
      </c>
      <c r="N93" s="103">
        <f t="shared" si="25"/>
        <v>34.840000000000003</v>
      </c>
      <c r="O93" s="103">
        <f t="shared" si="25"/>
        <v>34.840000000000003</v>
      </c>
      <c r="P93" s="103">
        <f t="shared" si="25"/>
        <v>34.840000000000003</v>
      </c>
      <c r="Q93" s="103">
        <f t="shared" si="25"/>
        <v>34.840000000000003</v>
      </c>
      <c r="R93" s="103">
        <f t="shared" si="25"/>
        <v>34.840000000000003</v>
      </c>
      <c r="S93" s="103">
        <f t="shared" si="25"/>
        <v>34.840000000000003</v>
      </c>
      <c r="T93" s="103">
        <f t="shared" si="25"/>
        <v>34.840000000000003</v>
      </c>
      <c r="U93" s="103">
        <f t="shared" si="25"/>
        <v>34.840000000000003</v>
      </c>
      <c r="V93" s="103">
        <f t="shared" si="25"/>
        <v>34.840000000000003</v>
      </c>
      <c r="W93" s="103">
        <f t="shared" si="25"/>
        <v>34.840000000000003</v>
      </c>
      <c r="X93" s="103">
        <f t="shared" si="25"/>
        <v>34.840000000000003</v>
      </c>
      <c r="Y93" s="103">
        <f t="shared" si="25"/>
        <v>34.840000000000003</v>
      </c>
      <c r="Z93" s="103">
        <f t="shared" si="25"/>
        <v>34.840000000000003</v>
      </c>
      <c r="AA93" s="103">
        <f t="shared" si="25"/>
        <v>34.840000000000003</v>
      </c>
      <c r="AB93" s="103">
        <f t="shared" si="25"/>
        <v>34.840000000000003</v>
      </c>
      <c r="AC93" s="103">
        <f t="shared" si="25"/>
        <v>34.840000000000003</v>
      </c>
      <c r="AD93" s="103">
        <f t="shared" si="25"/>
        <v>34.840000000000003</v>
      </c>
      <c r="AE93" s="103">
        <f t="shared" si="25"/>
        <v>34.840000000000003</v>
      </c>
      <c r="AF93" s="103">
        <f t="shared" si="25"/>
        <v>34.840000000000003</v>
      </c>
      <c r="AG93" s="104"/>
      <c r="AH93" s="55">
        <f>MAX(C93:AF93)</f>
        <v>34.840000000000003</v>
      </c>
      <c r="AI93" s="56">
        <f>MIN(C93:AF93)</f>
        <v>34.840000000000003</v>
      </c>
    </row>
    <row r="94" spans="1:88" x14ac:dyDescent="0.25">
      <c r="A94" s="105" t="s">
        <v>98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7">
        <v>75</v>
      </c>
      <c r="AH94" s="55">
        <f t="shared" ref="AH94:AH100" si="26">IF(ABS(MAX(C94:AF94))&gt;ABS(MIN(C94:AF94)),MAX(C94:AF94),MIN(C94:AF94))</f>
        <v>0</v>
      </c>
      <c r="AI94" s="108" t="e">
        <f t="shared" ref="AI94:AI100" si="27">INDEX($C$9:$AF$9,1,MATCH(AH94,C94:AF94,0))</f>
        <v>#N/A</v>
      </c>
    </row>
    <row r="95" spans="1:88" x14ac:dyDescent="0.25">
      <c r="A95" s="109" t="s">
        <v>99</v>
      </c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5">
        <f t="shared" si="26"/>
        <v>0</v>
      </c>
      <c r="AI95" s="108" t="e">
        <f t="shared" si="27"/>
        <v>#N/A</v>
      </c>
    </row>
    <row r="96" spans="1:88" x14ac:dyDescent="0.25">
      <c r="A96" s="109" t="s">
        <v>100</v>
      </c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07">
        <v>60</v>
      </c>
      <c r="AH96" s="55">
        <f t="shared" si="26"/>
        <v>0</v>
      </c>
      <c r="AI96" s="108" t="e">
        <f t="shared" si="27"/>
        <v>#N/A</v>
      </c>
    </row>
    <row r="97" spans="1:37" x14ac:dyDescent="0.25">
      <c r="A97" s="111" t="s">
        <v>101</v>
      </c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3">
        <v>120</v>
      </c>
      <c r="AH97" s="55">
        <f t="shared" si="26"/>
        <v>0</v>
      </c>
      <c r="AI97" s="108" t="e">
        <f t="shared" si="27"/>
        <v>#N/A</v>
      </c>
    </row>
    <row r="98" spans="1:37" x14ac:dyDescent="0.25">
      <c r="A98" s="111" t="s">
        <v>102</v>
      </c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3"/>
      <c r="AH98" s="55">
        <f t="shared" si="26"/>
        <v>0</v>
      </c>
      <c r="AI98" s="108" t="e">
        <f t="shared" si="27"/>
        <v>#N/A</v>
      </c>
    </row>
    <row r="99" spans="1:37" x14ac:dyDescent="0.25">
      <c r="A99" s="111" t="s">
        <v>253</v>
      </c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4"/>
      <c r="AH99" s="55">
        <f t="shared" si="26"/>
        <v>0</v>
      </c>
      <c r="AI99" s="108" t="e">
        <f t="shared" si="27"/>
        <v>#N/A</v>
      </c>
    </row>
    <row r="100" spans="1:37" ht="15.75" thickBot="1" x14ac:dyDescent="0.3">
      <c r="A100" s="115" t="s">
        <v>259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114"/>
      <c r="AH100" s="55">
        <f t="shared" si="26"/>
        <v>0</v>
      </c>
      <c r="AI100" s="108" t="e">
        <f t="shared" si="27"/>
        <v>#N/A</v>
      </c>
    </row>
    <row r="101" spans="1:37" ht="15.75" thickBot="1" x14ac:dyDescent="0.3">
      <c r="A101" s="116" t="s">
        <v>105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6"/>
      <c r="AK101" s="57"/>
    </row>
    <row r="102" spans="1:37" x14ac:dyDescent="0.25">
      <c r="A102" s="120" t="s">
        <v>106</v>
      </c>
      <c r="B102" s="121">
        <f t="shared" ref="B102:B107" si="28">AF102</f>
        <v>9.9</v>
      </c>
      <c r="C102" s="54">
        <v>9.9</v>
      </c>
      <c r="D102" s="121">
        <f t="shared" ref="D102:S107" si="29">C102</f>
        <v>9.9</v>
      </c>
      <c r="E102" s="121">
        <f t="shared" si="29"/>
        <v>9.9</v>
      </c>
      <c r="F102" s="121">
        <f t="shared" si="29"/>
        <v>9.9</v>
      </c>
      <c r="G102" s="121">
        <f t="shared" si="29"/>
        <v>9.9</v>
      </c>
      <c r="H102" s="121">
        <f t="shared" si="29"/>
        <v>9.9</v>
      </c>
      <c r="I102" s="121">
        <f t="shared" si="29"/>
        <v>9.9</v>
      </c>
      <c r="J102" s="121">
        <f t="shared" si="29"/>
        <v>9.9</v>
      </c>
      <c r="K102" s="121">
        <f t="shared" si="29"/>
        <v>9.9</v>
      </c>
      <c r="L102" s="121">
        <f t="shared" si="29"/>
        <v>9.9</v>
      </c>
      <c r="M102" s="121">
        <f t="shared" si="29"/>
        <v>9.9</v>
      </c>
      <c r="N102" s="121">
        <f t="shared" si="29"/>
        <v>9.9</v>
      </c>
      <c r="O102" s="121">
        <f t="shared" si="29"/>
        <v>9.9</v>
      </c>
      <c r="P102" s="121">
        <f t="shared" si="29"/>
        <v>9.9</v>
      </c>
      <c r="Q102" s="121">
        <f t="shared" si="29"/>
        <v>9.9</v>
      </c>
      <c r="R102" s="121">
        <f t="shared" si="29"/>
        <v>9.9</v>
      </c>
      <c r="S102" s="121">
        <f t="shared" si="29"/>
        <v>9.9</v>
      </c>
      <c r="T102" s="121">
        <f t="shared" ref="T102:AF107" si="30">S102</f>
        <v>9.9</v>
      </c>
      <c r="U102" s="121">
        <f t="shared" si="30"/>
        <v>9.9</v>
      </c>
      <c r="V102" s="121">
        <f t="shared" si="30"/>
        <v>9.9</v>
      </c>
      <c r="W102" s="121">
        <f t="shared" si="30"/>
        <v>9.9</v>
      </c>
      <c r="X102" s="121">
        <f t="shared" si="30"/>
        <v>9.9</v>
      </c>
      <c r="Y102" s="121">
        <f t="shared" si="30"/>
        <v>9.9</v>
      </c>
      <c r="Z102" s="121">
        <f t="shared" si="30"/>
        <v>9.9</v>
      </c>
      <c r="AA102" s="121">
        <f t="shared" si="30"/>
        <v>9.9</v>
      </c>
      <c r="AB102" s="121">
        <f t="shared" si="30"/>
        <v>9.9</v>
      </c>
      <c r="AC102" s="121">
        <f t="shared" si="30"/>
        <v>9.9</v>
      </c>
      <c r="AD102" s="121">
        <f t="shared" si="30"/>
        <v>9.9</v>
      </c>
      <c r="AE102" s="121">
        <f t="shared" si="30"/>
        <v>9.9</v>
      </c>
      <c r="AF102" s="121">
        <f t="shared" si="30"/>
        <v>9.9</v>
      </c>
      <c r="AG102" s="122">
        <v>9.94</v>
      </c>
      <c r="AH102" s="55"/>
      <c r="AI102" s="56"/>
      <c r="AK102" s="57"/>
    </row>
    <row r="103" spans="1:37" x14ac:dyDescent="0.25">
      <c r="A103" s="109" t="s">
        <v>107</v>
      </c>
      <c r="B103" s="123">
        <f t="shared" si="28"/>
        <v>9.6</v>
      </c>
      <c r="C103" s="124">
        <v>9.6</v>
      </c>
      <c r="D103" s="123">
        <f t="shared" si="29"/>
        <v>9.6</v>
      </c>
      <c r="E103" s="123">
        <f t="shared" si="29"/>
        <v>9.6</v>
      </c>
      <c r="F103" s="123">
        <f t="shared" si="29"/>
        <v>9.6</v>
      </c>
      <c r="G103" s="123">
        <f t="shared" si="29"/>
        <v>9.6</v>
      </c>
      <c r="H103" s="123">
        <f t="shared" si="29"/>
        <v>9.6</v>
      </c>
      <c r="I103" s="123">
        <f t="shared" si="29"/>
        <v>9.6</v>
      </c>
      <c r="J103" s="123">
        <f t="shared" si="29"/>
        <v>9.6</v>
      </c>
      <c r="K103" s="123">
        <f t="shared" si="29"/>
        <v>9.6</v>
      </c>
      <c r="L103" s="123">
        <f t="shared" si="29"/>
        <v>9.6</v>
      </c>
      <c r="M103" s="123">
        <f t="shared" si="29"/>
        <v>9.6</v>
      </c>
      <c r="N103" s="123">
        <f t="shared" si="29"/>
        <v>9.6</v>
      </c>
      <c r="O103" s="123">
        <f t="shared" si="29"/>
        <v>9.6</v>
      </c>
      <c r="P103" s="123">
        <f t="shared" si="29"/>
        <v>9.6</v>
      </c>
      <c r="Q103" s="123">
        <f t="shared" si="29"/>
        <v>9.6</v>
      </c>
      <c r="R103" s="123">
        <f t="shared" si="29"/>
        <v>9.6</v>
      </c>
      <c r="S103" s="123">
        <f t="shared" si="29"/>
        <v>9.6</v>
      </c>
      <c r="T103" s="123">
        <f t="shared" si="30"/>
        <v>9.6</v>
      </c>
      <c r="U103" s="123">
        <f t="shared" si="30"/>
        <v>9.6</v>
      </c>
      <c r="V103" s="123">
        <f t="shared" si="30"/>
        <v>9.6</v>
      </c>
      <c r="W103" s="123">
        <f t="shared" si="30"/>
        <v>9.6</v>
      </c>
      <c r="X103" s="123">
        <f t="shared" si="30"/>
        <v>9.6</v>
      </c>
      <c r="Y103" s="123">
        <f t="shared" si="30"/>
        <v>9.6</v>
      </c>
      <c r="Z103" s="123">
        <f t="shared" si="30"/>
        <v>9.6</v>
      </c>
      <c r="AA103" s="123">
        <f t="shared" si="30"/>
        <v>9.6</v>
      </c>
      <c r="AB103" s="123">
        <f t="shared" si="30"/>
        <v>9.6</v>
      </c>
      <c r="AC103" s="123">
        <f t="shared" si="30"/>
        <v>9.6</v>
      </c>
      <c r="AD103" s="123">
        <f t="shared" si="30"/>
        <v>9.6</v>
      </c>
      <c r="AE103" s="123">
        <f t="shared" si="30"/>
        <v>9.6</v>
      </c>
      <c r="AF103" s="123">
        <f t="shared" si="30"/>
        <v>9.6</v>
      </c>
      <c r="AG103" s="125">
        <v>9.9</v>
      </c>
      <c r="AH103" s="55"/>
      <c r="AI103" s="56"/>
      <c r="AK103" s="57"/>
    </row>
    <row r="104" spans="1:37" x14ac:dyDescent="0.25">
      <c r="A104" s="111" t="s">
        <v>108</v>
      </c>
      <c r="B104" s="123">
        <f t="shared" si="28"/>
        <v>9.98</v>
      </c>
      <c r="C104" s="124">
        <v>9.98</v>
      </c>
      <c r="D104" s="123">
        <f t="shared" si="29"/>
        <v>9.98</v>
      </c>
      <c r="E104" s="123">
        <f t="shared" si="29"/>
        <v>9.98</v>
      </c>
      <c r="F104" s="123">
        <f t="shared" si="29"/>
        <v>9.98</v>
      </c>
      <c r="G104" s="123">
        <f t="shared" si="29"/>
        <v>9.98</v>
      </c>
      <c r="H104" s="123">
        <f t="shared" si="29"/>
        <v>9.98</v>
      </c>
      <c r="I104" s="123">
        <f t="shared" si="29"/>
        <v>9.98</v>
      </c>
      <c r="J104" s="123">
        <f t="shared" si="29"/>
        <v>9.98</v>
      </c>
      <c r="K104" s="123">
        <f t="shared" si="29"/>
        <v>9.98</v>
      </c>
      <c r="L104" s="123">
        <f t="shared" si="29"/>
        <v>9.98</v>
      </c>
      <c r="M104" s="123">
        <f t="shared" si="29"/>
        <v>9.98</v>
      </c>
      <c r="N104" s="123">
        <f t="shared" si="29"/>
        <v>9.98</v>
      </c>
      <c r="O104" s="123">
        <f t="shared" si="29"/>
        <v>9.98</v>
      </c>
      <c r="P104" s="123">
        <f t="shared" si="29"/>
        <v>9.98</v>
      </c>
      <c r="Q104" s="123">
        <f t="shared" si="29"/>
        <v>9.98</v>
      </c>
      <c r="R104" s="123">
        <f t="shared" si="29"/>
        <v>9.98</v>
      </c>
      <c r="S104" s="123">
        <f t="shared" si="29"/>
        <v>9.98</v>
      </c>
      <c r="T104" s="123">
        <f t="shared" si="30"/>
        <v>9.98</v>
      </c>
      <c r="U104" s="123">
        <f t="shared" si="30"/>
        <v>9.98</v>
      </c>
      <c r="V104" s="123">
        <f t="shared" si="30"/>
        <v>9.98</v>
      </c>
      <c r="W104" s="123">
        <f t="shared" si="30"/>
        <v>9.98</v>
      </c>
      <c r="X104" s="123">
        <f t="shared" si="30"/>
        <v>9.98</v>
      </c>
      <c r="Y104" s="123">
        <f t="shared" si="30"/>
        <v>9.98</v>
      </c>
      <c r="Z104" s="123">
        <f t="shared" si="30"/>
        <v>9.98</v>
      </c>
      <c r="AA104" s="123">
        <f t="shared" si="30"/>
        <v>9.98</v>
      </c>
      <c r="AB104" s="123">
        <f t="shared" si="30"/>
        <v>9.98</v>
      </c>
      <c r="AC104" s="123">
        <f t="shared" si="30"/>
        <v>9.98</v>
      </c>
      <c r="AD104" s="123">
        <f t="shared" si="30"/>
        <v>9.98</v>
      </c>
      <c r="AE104" s="123">
        <f t="shared" si="30"/>
        <v>9.98</v>
      </c>
      <c r="AF104" s="123">
        <f t="shared" si="30"/>
        <v>9.98</v>
      </c>
      <c r="AG104" s="126">
        <v>9.6579999999999995</v>
      </c>
      <c r="AH104" s="55"/>
      <c r="AI104" s="56"/>
      <c r="AK104" s="57"/>
    </row>
    <row r="105" spans="1:37" x14ac:dyDescent="0.25">
      <c r="A105" s="111" t="s">
        <v>109</v>
      </c>
      <c r="B105" s="123">
        <f t="shared" si="28"/>
        <v>9.1</v>
      </c>
      <c r="C105" s="124">
        <v>9.1</v>
      </c>
      <c r="D105" s="123">
        <f t="shared" si="29"/>
        <v>9.1</v>
      </c>
      <c r="E105" s="123">
        <f t="shared" si="29"/>
        <v>9.1</v>
      </c>
      <c r="F105" s="123">
        <f t="shared" si="29"/>
        <v>9.1</v>
      </c>
      <c r="G105" s="123">
        <f t="shared" si="29"/>
        <v>9.1</v>
      </c>
      <c r="H105" s="123">
        <f t="shared" si="29"/>
        <v>9.1</v>
      </c>
      <c r="I105" s="123">
        <f t="shared" si="29"/>
        <v>9.1</v>
      </c>
      <c r="J105" s="123">
        <f t="shared" si="29"/>
        <v>9.1</v>
      </c>
      <c r="K105" s="123">
        <f t="shared" si="29"/>
        <v>9.1</v>
      </c>
      <c r="L105" s="123">
        <f t="shared" si="29"/>
        <v>9.1</v>
      </c>
      <c r="M105" s="123">
        <f t="shared" si="29"/>
        <v>9.1</v>
      </c>
      <c r="N105" s="123">
        <f t="shared" si="29"/>
        <v>9.1</v>
      </c>
      <c r="O105" s="123">
        <f t="shared" si="29"/>
        <v>9.1</v>
      </c>
      <c r="P105" s="123">
        <f t="shared" si="29"/>
        <v>9.1</v>
      </c>
      <c r="Q105" s="123">
        <f t="shared" si="29"/>
        <v>9.1</v>
      </c>
      <c r="R105" s="123">
        <f t="shared" si="29"/>
        <v>9.1</v>
      </c>
      <c r="S105" s="123">
        <f t="shared" si="29"/>
        <v>9.1</v>
      </c>
      <c r="T105" s="123">
        <f t="shared" si="30"/>
        <v>9.1</v>
      </c>
      <c r="U105" s="123">
        <f t="shared" si="30"/>
        <v>9.1</v>
      </c>
      <c r="V105" s="123">
        <f t="shared" si="30"/>
        <v>9.1</v>
      </c>
      <c r="W105" s="123">
        <f t="shared" si="30"/>
        <v>9.1</v>
      </c>
      <c r="X105" s="123">
        <f t="shared" si="30"/>
        <v>9.1</v>
      </c>
      <c r="Y105" s="123">
        <f t="shared" si="30"/>
        <v>9.1</v>
      </c>
      <c r="Z105" s="123">
        <f t="shared" si="30"/>
        <v>9.1</v>
      </c>
      <c r="AA105" s="123">
        <f t="shared" si="30"/>
        <v>9.1</v>
      </c>
      <c r="AB105" s="123">
        <f t="shared" si="30"/>
        <v>9.1</v>
      </c>
      <c r="AC105" s="123">
        <f t="shared" si="30"/>
        <v>9.1</v>
      </c>
      <c r="AD105" s="123">
        <f t="shared" si="30"/>
        <v>9.1</v>
      </c>
      <c r="AE105" s="123">
        <f t="shared" si="30"/>
        <v>9.1</v>
      </c>
      <c r="AF105" s="123">
        <f t="shared" si="30"/>
        <v>9.1</v>
      </c>
      <c r="AG105" s="126">
        <v>9.6</v>
      </c>
      <c r="AH105" s="55"/>
      <c r="AI105" s="56"/>
      <c r="AK105" s="57"/>
    </row>
    <row r="106" spans="1:37" x14ac:dyDescent="0.25">
      <c r="A106" s="111" t="s">
        <v>110</v>
      </c>
      <c r="B106" s="123">
        <f t="shared" si="28"/>
        <v>9.18</v>
      </c>
      <c r="C106" s="124">
        <v>9.18</v>
      </c>
      <c r="D106" s="123">
        <f t="shared" si="29"/>
        <v>9.18</v>
      </c>
      <c r="E106" s="123">
        <f t="shared" si="29"/>
        <v>9.18</v>
      </c>
      <c r="F106" s="123">
        <f t="shared" si="29"/>
        <v>9.18</v>
      </c>
      <c r="G106" s="123">
        <f t="shared" si="29"/>
        <v>9.18</v>
      </c>
      <c r="H106" s="123">
        <f t="shared" si="29"/>
        <v>9.18</v>
      </c>
      <c r="I106" s="123">
        <f t="shared" si="29"/>
        <v>9.18</v>
      </c>
      <c r="J106" s="123">
        <f t="shared" si="29"/>
        <v>9.18</v>
      </c>
      <c r="K106" s="123">
        <f t="shared" si="29"/>
        <v>9.18</v>
      </c>
      <c r="L106" s="123">
        <f t="shared" si="29"/>
        <v>9.18</v>
      </c>
      <c r="M106" s="123">
        <f t="shared" si="29"/>
        <v>9.18</v>
      </c>
      <c r="N106" s="123">
        <f t="shared" si="29"/>
        <v>9.18</v>
      </c>
      <c r="O106" s="123">
        <f t="shared" si="29"/>
        <v>9.18</v>
      </c>
      <c r="P106" s="123">
        <f t="shared" si="29"/>
        <v>9.18</v>
      </c>
      <c r="Q106" s="123">
        <f t="shared" si="29"/>
        <v>9.18</v>
      </c>
      <c r="R106" s="123">
        <f t="shared" si="29"/>
        <v>9.18</v>
      </c>
      <c r="S106" s="123">
        <f t="shared" si="29"/>
        <v>9.18</v>
      </c>
      <c r="T106" s="123">
        <f t="shared" si="30"/>
        <v>9.18</v>
      </c>
      <c r="U106" s="123">
        <f t="shared" si="30"/>
        <v>9.18</v>
      </c>
      <c r="V106" s="123">
        <f t="shared" si="30"/>
        <v>9.18</v>
      </c>
      <c r="W106" s="123">
        <f t="shared" si="30"/>
        <v>9.18</v>
      </c>
      <c r="X106" s="123">
        <f t="shared" si="30"/>
        <v>9.18</v>
      </c>
      <c r="Y106" s="123">
        <f t="shared" si="30"/>
        <v>9.18</v>
      </c>
      <c r="Z106" s="123">
        <f t="shared" si="30"/>
        <v>9.18</v>
      </c>
      <c r="AA106" s="123">
        <f t="shared" si="30"/>
        <v>9.18</v>
      </c>
      <c r="AB106" s="123">
        <f t="shared" si="30"/>
        <v>9.18</v>
      </c>
      <c r="AC106" s="123">
        <f t="shared" si="30"/>
        <v>9.18</v>
      </c>
      <c r="AD106" s="123">
        <f t="shared" si="30"/>
        <v>9.18</v>
      </c>
      <c r="AE106" s="123">
        <f t="shared" si="30"/>
        <v>9.18</v>
      </c>
      <c r="AF106" s="123">
        <f t="shared" si="30"/>
        <v>9.18</v>
      </c>
      <c r="AG106" s="126">
        <v>9.51</v>
      </c>
      <c r="AH106" s="55"/>
      <c r="AI106" s="56"/>
      <c r="AK106" s="57"/>
    </row>
    <row r="107" spans="1:37" x14ac:dyDescent="0.25">
      <c r="A107" s="111" t="s">
        <v>111</v>
      </c>
      <c r="B107" s="123">
        <f t="shared" si="28"/>
        <v>7</v>
      </c>
      <c r="C107" s="124">
        <v>7</v>
      </c>
      <c r="D107" s="123">
        <f t="shared" si="29"/>
        <v>7</v>
      </c>
      <c r="E107" s="123">
        <f t="shared" si="29"/>
        <v>7</v>
      </c>
      <c r="F107" s="123">
        <f t="shared" si="29"/>
        <v>7</v>
      </c>
      <c r="G107" s="123">
        <f t="shared" si="29"/>
        <v>7</v>
      </c>
      <c r="H107" s="123">
        <f t="shared" si="29"/>
        <v>7</v>
      </c>
      <c r="I107" s="123">
        <f t="shared" si="29"/>
        <v>7</v>
      </c>
      <c r="J107" s="123">
        <f t="shared" si="29"/>
        <v>7</v>
      </c>
      <c r="K107" s="123">
        <f t="shared" si="29"/>
        <v>7</v>
      </c>
      <c r="L107" s="123">
        <f t="shared" si="29"/>
        <v>7</v>
      </c>
      <c r="M107" s="123">
        <f t="shared" si="29"/>
        <v>7</v>
      </c>
      <c r="N107" s="123">
        <f t="shared" si="29"/>
        <v>7</v>
      </c>
      <c r="O107" s="123">
        <f t="shared" si="29"/>
        <v>7</v>
      </c>
      <c r="P107" s="123">
        <f t="shared" si="29"/>
        <v>7</v>
      </c>
      <c r="Q107" s="123">
        <f t="shared" si="29"/>
        <v>7</v>
      </c>
      <c r="R107" s="123">
        <f t="shared" si="29"/>
        <v>7</v>
      </c>
      <c r="S107" s="123">
        <f t="shared" si="29"/>
        <v>7</v>
      </c>
      <c r="T107" s="123">
        <f t="shared" si="30"/>
        <v>7</v>
      </c>
      <c r="U107" s="123">
        <f t="shared" si="30"/>
        <v>7</v>
      </c>
      <c r="V107" s="123">
        <f t="shared" si="30"/>
        <v>7</v>
      </c>
      <c r="W107" s="123">
        <f t="shared" si="30"/>
        <v>7</v>
      </c>
      <c r="X107" s="123">
        <f t="shared" si="30"/>
        <v>7</v>
      </c>
      <c r="Y107" s="123">
        <f t="shared" si="30"/>
        <v>7</v>
      </c>
      <c r="Z107" s="123">
        <f t="shared" si="30"/>
        <v>7</v>
      </c>
      <c r="AA107" s="123">
        <f t="shared" si="30"/>
        <v>7</v>
      </c>
      <c r="AB107" s="123">
        <f t="shared" si="30"/>
        <v>7</v>
      </c>
      <c r="AC107" s="123">
        <f t="shared" si="30"/>
        <v>7</v>
      </c>
      <c r="AD107" s="123">
        <f t="shared" si="30"/>
        <v>7</v>
      </c>
      <c r="AE107" s="123">
        <f t="shared" si="30"/>
        <v>7</v>
      </c>
      <c r="AF107" s="123">
        <f t="shared" si="30"/>
        <v>7</v>
      </c>
      <c r="AG107" s="126">
        <v>9.4</v>
      </c>
      <c r="AH107" s="55"/>
      <c r="AI107" s="56"/>
      <c r="AK107" s="57"/>
    </row>
    <row r="108" spans="1:37" x14ac:dyDescent="0.25">
      <c r="A108" s="111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5"/>
      <c r="AI108" s="56"/>
      <c r="AK108" s="57"/>
    </row>
    <row r="109" spans="1:37" x14ac:dyDescent="0.25">
      <c r="A109" s="111" t="s">
        <v>113</v>
      </c>
      <c r="B109" s="123">
        <f>AF109</f>
        <v>2.25</v>
      </c>
      <c r="C109" s="124">
        <v>2.25</v>
      </c>
      <c r="D109" s="123">
        <f t="shared" ref="D109:S110" si="31">C109</f>
        <v>2.25</v>
      </c>
      <c r="E109" s="123">
        <f t="shared" si="31"/>
        <v>2.25</v>
      </c>
      <c r="F109" s="123">
        <f t="shared" si="31"/>
        <v>2.25</v>
      </c>
      <c r="G109" s="123">
        <f t="shared" si="31"/>
        <v>2.25</v>
      </c>
      <c r="H109" s="123">
        <f t="shared" si="31"/>
        <v>2.25</v>
      </c>
      <c r="I109" s="123">
        <f t="shared" si="31"/>
        <v>2.25</v>
      </c>
      <c r="J109" s="123">
        <f t="shared" si="31"/>
        <v>2.25</v>
      </c>
      <c r="K109" s="123">
        <f t="shared" si="31"/>
        <v>2.25</v>
      </c>
      <c r="L109" s="123">
        <f t="shared" si="31"/>
        <v>2.25</v>
      </c>
      <c r="M109" s="123">
        <f t="shared" si="31"/>
        <v>2.25</v>
      </c>
      <c r="N109" s="123">
        <f t="shared" si="31"/>
        <v>2.25</v>
      </c>
      <c r="O109" s="123">
        <f t="shared" si="31"/>
        <v>2.25</v>
      </c>
      <c r="P109" s="123">
        <f t="shared" si="31"/>
        <v>2.25</v>
      </c>
      <c r="Q109" s="123">
        <f t="shared" si="31"/>
        <v>2.25</v>
      </c>
      <c r="R109" s="123">
        <f t="shared" si="31"/>
        <v>2.25</v>
      </c>
      <c r="S109" s="123">
        <f t="shared" si="31"/>
        <v>2.25</v>
      </c>
      <c r="T109" s="123">
        <f t="shared" ref="T109:AF110" si="32">S109</f>
        <v>2.25</v>
      </c>
      <c r="U109" s="123">
        <f t="shared" si="32"/>
        <v>2.25</v>
      </c>
      <c r="V109" s="123">
        <f t="shared" si="32"/>
        <v>2.25</v>
      </c>
      <c r="W109" s="123">
        <f t="shared" si="32"/>
        <v>2.25</v>
      </c>
      <c r="X109" s="123">
        <f t="shared" si="32"/>
        <v>2.25</v>
      </c>
      <c r="Y109" s="123">
        <f t="shared" si="32"/>
        <v>2.25</v>
      </c>
      <c r="Z109" s="123">
        <f t="shared" si="32"/>
        <v>2.25</v>
      </c>
      <c r="AA109" s="123">
        <f t="shared" si="32"/>
        <v>2.25</v>
      </c>
      <c r="AB109" s="123">
        <f t="shared" si="32"/>
        <v>2.25</v>
      </c>
      <c r="AC109" s="123">
        <f t="shared" si="32"/>
        <v>2.25</v>
      </c>
      <c r="AD109" s="123">
        <f t="shared" si="32"/>
        <v>2.25</v>
      </c>
      <c r="AE109" s="123">
        <f t="shared" si="32"/>
        <v>2.25</v>
      </c>
      <c r="AF109" s="123">
        <f t="shared" si="32"/>
        <v>2.25</v>
      </c>
      <c r="AG109" s="126">
        <v>8.5</v>
      </c>
      <c r="AH109" s="55"/>
      <c r="AI109" s="56"/>
      <c r="AK109" s="57"/>
    </row>
    <row r="110" spans="1:37" x14ac:dyDescent="0.25">
      <c r="A110" s="111" t="s">
        <v>114</v>
      </c>
      <c r="B110" s="123">
        <f>AF110</f>
        <v>1.64</v>
      </c>
      <c r="C110" s="124">
        <v>1.64</v>
      </c>
      <c r="D110" s="123">
        <f t="shared" si="31"/>
        <v>1.64</v>
      </c>
      <c r="E110" s="123">
        <f t="shared" si="31"/>
        <v>1.64</v>
      </c>
      <c r="F110" s="123">
        <f t="shared" si="31"/>
        <v>1.64</v>
      </c>
      <c r="G110" s="123">
        <f t="shared" si="31"/>
        <v>1.64</v>
      </c>
      <c r="H110" s="123">
        <f t="shared" si="31"/>
        <v>1.64</v>
      </c>
      <c r="I110" s="123">
        <f t="shared" si="31"/>
        <v>1.64</v>
      </c>
      <c r="J110" s="123">
        <f t="shared" si="31"/>
        <v>1.64</v>
      </c>
      <c r="K110" s="123">
        <f t="shared" si="31"/>
        <v>1.64</v>
      </c>
      <c r="L110" s="123">
        <f t="shared" si="31"/>
        <v>1.64</v>
      </c>
      <c r="M110" s="123">
        <f t="shared" si="31"/>
        <v>1.64</v>
      </c>
      <c r="N110" s="123">
        <f t="shared" si="31"/>
        <v>1.64</v>
      </c>
      <c r="O110" s="123">
        <f t="shared" si="31"/>
        <v>1.64</v>
      </c>
      <c r="P110" s="123">
        <f t="shared" si="31"/>
        <v>1.64</v>
      </c>
      <c r="Q110" s="123">
        <f t="shared" si="31"/>
        <v>1.64</v>
      </c>
      <c r="R110" s="123">
        <f t="shared" si="31"/>
        <v>1.64</v>
      </c>
      <c r="S110" s="123">
        <f t="shared" si="31"/>
        <v>1.64</v>
      </c>
      <c r="T110" s="123">
        <f t="shared" si="32"/>
        <v>1.64</v>
      </c>
      <c r="U110" s="123">
        <f t="shared" si="32"/>
        <v>1.64</v>
      </c>
      <c r="V110" s="123">
        <f t="shared" si="32"/>
        <v>1.64</v>
      </c>
      <c r="W110" s="123">
        <f t="shared" si="32"/>
        <v>1.64</v>
      </c>
      <c r="X110" s="123">
        <f t="shared" si="32"/>
        <v>1.64</v>
      </c>
      <c r="Y110" s="123">
        <f t="shared" si="32"/>
        <v>1.64</v>
      </c>
      <c r="Z110" s="123">
        <f t="shared" si="32"/>
        <v>1.64</v>
      </c>
      <c r="AA110" s="123">
        <f t="shared" si="32"/>
        <v>1.64</v>
      </c>
      <c r="AB110" s="123">
        <f t="shared" si="32"/>
        <v>1.64</v>
      </c>
      <c r="AC110" s="123">
        <f t="shared" si="32"/>
        <v>1.64</v>
      </c>
      <c r="AD110" s="123">
        <f t="shared" si="32"/>
        <v>1.64</v>
      </c>
      <c r="AE110" s="123">
        <f t="shared" si="32"/>
        <v>1.64</v>
      </c>
      <c r="AF110" s="123">
        <f t="shared" si="32"/>
        <v>1.64</v>
      </c>
      <c r="AG110" s="126">
        <v>8.5</v>
      </c>
      <c r="AH110" s="55"/>
      <c r="AI110" s="56"/>
      <c r="AK110" s="57"/>
    </row>
    <row r="111" spans="1:37" x14ac:dyDescent="0.25">
      <c r="A111" s="111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5"/>
      <c r="AI111" s="56"/>
      <c r="AK111" s="57"/>
    </row>
    <row r="112" spans="1:37" ht="13.5" customHeight="1" x14ac:dyDescent="0.25">
      <c r="A112" s="111" t="s">
        <v>116</v>
      </c>
      <c r="B112" s="123">
        <f t="shared" ref="B112:B129" si="33">AF112</f>
        <v>1.62</v>
      </c>
      <c r="C112" s="124">
        <v>1.62</v>
      </c>
      <c r="D112" s="123">
        <f t="shared" ref="D112:S119" si="34">C112</f>
        <v>1.62</v>
      </c>
      <c r="E112" s="123">
        <f t="shared" si="34"/>
        <v>1.62</v>
      </c>
      <c r="F112" s="123">
        <f t="shared" si="34"/>
        <v>1.62</v>
      </c>
      <c r="G112" s="123">
        <f t="shared" si="34"/>
        <v>1.62</v>
      </c>
      <c r="H112" s="123">
        <f t="shared" si="34"/>
        <v>1.62</v>
      </c>
      <c r="I112" s="123">
        <f t="shared" si="34"/>
        <v>1.62</v>
      </c>
      <c r="J112" s="123">
        <f t="shared" si="34"/>
        <v>1.62</v>
      </c>
      <c r="K112" s="123">
        <f t="shared" si="34"/>
        <v>1.62</v>
      </c>
      <c r="L112" s="123">
        <f t="shared" si="34"/>
        <v>1.62</v>
      </c>
      <c r="M112" s="123">
        <f t="shared" si="34"/>
        <v>1.62</v>
      </c>
      <c r="N112" s="123">
        <f t="shared" si="34"/>
        <v>1.62</v>
      </c>
      <c r="O112" s="123">
        <f t="shared" si="34"/>
        <v>1.62</v>
      </c>
      <c r="P112" s="123">
        <f t="shared" si="34"/>
        <v>1.62</v>
      </c>
      <c r="Q112" s="123">
        <f t="shared" si="34"/>
        <v>1.62</v>
      </c>
      <c r="R112" s="123">
        <f t="shared" si="34"/>
        <v>1.62</v>
      </c>
      <c r="S112" s="123">
        <f t="shared" si="34"/>
        <v>1.62</v>
      </c>
      <c r="T112" s="123">
        <f t="shared" ref="T112:AF127" si="35">S112</f>
        <v>1.62</v>
      </c>
      <c r="U112" s="123">
        <f t="shared" si="35"/>
        <v>1.62</v>
      </c>
      <c r="V112" s="123">
        <f t="shared" si="35"/>
        <v>1.62</v>
      </c>
      <c r="W112" s="123">
        <f t="shared" si="35"/>
        <v>1.62</v>
      </c>
      <c r="X112" s="123">
        <f t="shared" si="35"/>
        <v>1.62</v>
      </c>
      <c r="Y112" s="123">
        <f t="shared" si="35"/>
        <v>1.62</v>
      </c>
      <c r="Z112" s="123">
        <f t="shared" si="35"/>
        <v>1.62</v>
      </c>
      <c r="AA112" s="123">
        <f t="shared" si="35"/>
        <v>1.62</v>
      </c>
      <c r="AB112" s="123">
        <f t="shared" si="35"/>
        <v>1.62</v>
      </c>
      <c r="AC112" s="123">
        <f t="shared" si="35"/>
        <v>1.62</v>
      </c>
      <c r="AD112" s="123">
        <f t="shared" si="35"/>
        <v>1.62</v>
      </c>
      <c r="AE112" s="123">
        <f t="shared" si="35"/>
        <v>1.62</v>
      </c>
      <c r="AF112" s="123">
        <f t="shared" si="35"/>
        <v>1.62</v>
      </c>
      <c r="AG112" s="126">
        <v>8</v>
      </c>
      <c r="AH112" s="55"/>
      <c r="AI112" s="56"/>
      <c r="AK112" s="57"/>
    </row>
    <row r="113" spans="1:37" x14ac:dyDescent="0.25">
      <c r="A113" s="111" t="s">
        <v>117</v>
      </c>
      <c r="B113" s="123">
        <f t="shared" si="33"/>
        <v>8.36</v>
      </c>
      <c r="C113" s="124">
        <v>8.36</v>
      </c>
      <c r="D113" s="123">
        <f t="shared" si="34"/>
        <v>8.36</v>
      </c>
      <c r="E113" s="123">
        <f t="shared" si="34"/>
        <v>8.36</v>
      </c>
      <c r="F113" s="123">
        <f t="shared" si="34"/>
        <v>8.36</v>
      </c>
      <c r="G113" s="123">
        <f t="shared" si="34"/>
        <v>8.36</v>
      </c>
      <c r="H113" s="123">
        <f t="shared" si="34"/>
        <v>8.36</v>
      </c>
      <c r="I113" s="123">
        <f t="shared" si="34"/>
        <v>8.36</v>
      </c>
      <c r="J113" s="123">
        <f t="shared" si="34"/>
        <v>8.36</v>
      </c>
      <c r="K113" s="123">
        <f t="shared" si="34"/>
        <v>8.36</v>
      </c>
      <c r="L113" s="123">
        <f t="shared" si="34"/>
        <v>8.36</v>
      </c>
      <c r="M113" s="123">
        <f t="shared" si="34"/>
        <v>8.36</v>
      </c>
      <c r="N113" s="123">
        <f t="shared" si="34"/>
        <v>8.36</v>
      </c>
      <c r="O113" s="123">
        <f t="shared" si="34"/>
        <v>8.36</v>
      </c>
      <c r="P113" s="123">
        <f t="shared" si="34"/>
        <v>8.36</v>
      </c>
      <c r="Q113" s="123">
        <f t="shared" si="34"/>
        <v>8.36</v>
      </c>
      <c r="R113" s="123">
        <f t="shared" si="34"/>
        <v>8.36</v>
      </c>
      <c r="S113" s="123">
        <f t="shared" si="34"/>
        <v>8.36</v>
      </c>
      <c r="T113" s="123">
        <f t="shared" si="35"/>
        <v>8.36</v>
      </c>
      <c r="U113" s="123">
        <f t="shared" si="35"/>
        <v>8.36</v>
      </c>
      <c r="V113" s="123">
        <f t="shared" si="35"/>
        <v>8.36</v>
      </c>
      <c r="W113" s="123">
        <f t="shared" si="35"/>
        <v>8.36</v>
      </c>
      <c r="X113" s="123">
        <f t="shared" si="35"/>
        <v>8.36</v>
      </c>
      <c r="Y113" s="123">
        <f t="shared" si="35"/>
        <v>8.36</v>
      </c>
      <c r="Z113" s="123">
        <f t="shared" si="35"/>
        <v>8.36</v>
      </c>
      <c r="AA113" s="123">
        <f t="shared" si="35"/>
        <v>8.36</v>
      </c>
      <c r="AB113" s="123">
        <f t="shared" si="35"/>
        <v>8.36</v>
      </c>
      <c r="AC113" s="123">
        <f t="shared" si="35"/>
        <v>8.36</v>
      </c>
      <c r="AD113" s="123">
        <f t="shared" si="35"/>
        <v>8.36</v>
      </c>
      <c r="AE113" s="123">
        <f t="shared" si="35"/>
        <v>8.36</v>
      </c>
      <c r="AF113" s="123">
        <f t="shared" si="35"/>
        <v>8.36</v>
      </c>
      <c r="AG113" s="126">
        <v>8</v>
      </c>
      <c r="AH113" s="55"/>
      <c r="AI113" s="56"/>
      <c r="AK113" s="57"/>
    </row>
    <row r="114" spans="1:37" x14ac:dyDescent="0.25">
      <c r="A114" s="111" t="s">
        <v>118</v>
      </c>
      <c r="B114" s="123">
        <f t="shared" si="33"/>
        <v>5.4</v>
      </c>
      <c r="C114" s="124">
        <v>8</v>
      </c>
      <c r="D114" s="123">
        <f t="shared" si="34"/>
        <v>8</v>
      </c>
      <c r="E114" s="123">
        <f t="shared" si="34"/>
        <v>8</v>
      </c>
      <c r="F114" s="123">
        <f t="shared" si="34"/>
        <v>8</v>
      </c>
      <c r="G114" s="123">
        <f t="shared" si="34"/>
        <v>8</v>
      </c>
      <c r="H114" s="123">
        <f t="shared" si="34"/>
        <v>8</v>
      </c>
      <c r="I114" s="123">
        <f t="shared" si="34"/>
        <v>8</v>
      </c>
      <c r="J114" s="123">
        <v>5.4</v>
      </c>
      <c r="K114" s="123">
        <f t="shared" si="34"/>
        <v>5.4</v>
      </c>
      <c r="L114" s="123">
        <f t="shared" si="34"/>
        <v>5.4</v>
      </c>
      <c r="M114" s="123">
        <f t="shared" si="34"/>
        <v>5.4</v>
      </c>
      <c r="N114" s="123">
        <f t="shared" si="34"/>
        <v>5.4</v>
      </c>
      <c r="O114" s="123">
        <f t="shared" si="34"/>
        <v>5.4</v>
      </c>
      <c r="P114" s="123">
        <f t="shared" si="34"/>
        <v>5.4</v>
      </c>
      <c r="Q114" s="123">
        <f t="shared" si="34"/>
        <v>5.4</v>
      </c>
      <c r="R114" s="123">
        <f t="shared" si="34"/>
        <v>5.4</v>
      </c>
      <c r="S114" s="123">
        <f t="shared" si="34"/>
        <v>5.4</v>
      </c>
      <c r="T114" s="123">
        <f t="shared" si="35"/>
        <v>5.4</v>
      </c>
      <c r="U114" s="123">
        <f t="shared" si="35"/>
        <v>5.4</v>
      </c>
      <c r="V114" s="123">
        <f t="shared" si="35"/>
        <v>5.4</v>
      </c>
      <c r="W114" s="123">
        <f t="shared" si="35"/>
        <v>5.4</v>
      </c>
      <c r="X114" s="123">
        <f t="shared" si="35"/>
        <v>5.4</v>
      </c>
      <c r="Y114" s="123">
        <f t="shared" si="35"/>
        <v>5.4</v>
      </c>
      <c r="Z114" s="123">
        <f t="shared" si="35"/>
        <v>5.4</v>
      </c>
      <c r="AA114" s="123">
        <f t="shared" si="35"/>
        <v>5.4</v>
      </c>
      <c r="AB114" s="123">
        <f t="shared" si="35"/>
        <v>5.4</v>
      </c>
      <c r="AC114" s="123">
        <f t="shared" si="35"/>
        <v>5.4</v>
      </c>
      <c r="AD114" s="123">
        <f t="shared" si="35"/>
        <v>5.4</v>
      </c>
      <c r="AE114" s="123">
        <f t="shared" si="35"/>
        <v>5.4</v>
      </c>
      <c r="AF114" s="123">
        <f t="shared" si="35"/>
        <v>5.4</v>
      </c>
      <c r="AG114" s="126">
        <v>8</v>
      </c>
      <c r="AH114" s="55"/>
      <c r="AI114" s="56"/>
      <c r="AK114" s="57"/>
    </row>
    <row r="115" spans="1:37" x14ac:dyDescent="0.25">
      <c r="A115" s="111" t="s">
        <v>119</v>
      </c>
      <c r="B115" s="123">
        <f t="shared" si="33"/>
        <v>6.57</v>
      </c>
      <c r="C115" s="124">
        <v>6.57</v>
      </c>
      <c r="D115" s="123">
        <f t="shared" si="34"/>
        <v>6.57</v>
      </c>
      <c r="E115" s="123">
        <f t="shared" si="34"/>
        <v>6.57</v>
      </c>
      <c r="F115" s="123">
        <f t="shared" si="34"/>
        <v>6.57</v>
      </c>
      <c r="G115" s="123">
        <f t="shared" si="34"/>
        <v>6.57</v>
      </c>
      <c r="H115" s="123">
        <f t="shared" si="34"/>
        <v>6.57</v>
      </c>
      <c r="I115" s="123">
        <f t="shared" si="34"/>
        <v>6.57</v>
      </c>
      <c r="J115" s="123">
        <f t="shared" si="34"/>
        <v>6.57</v>
      </c>
      <c r="K115" s="123">
        <f t="shared" si="34"/>
        <v>6.57</v>
      </c>
      <c r="L115" s="123">
        <f t="shared" si="34"/>
        <v>6.57</v>
      </c>
      <c r="M115" s="123">
        <f t="shared" si="34"/>
        <v>6.57</v>
      </c>
      <c r="N115" s="123">
        <f t="shared" si="34"/>
        <v>6.57</v>
      </c>
      <c r="O115" s="123">
        <f t="shared" si="34"/>
        <v>6.57</v>
      </c>
      <c r="P115" s="123">
        <f t="shared" si="34"/>
        <v>6.57</v>
      </c>
      <c r="Q115" s="123">
        <f t="shared" si="34"/>
        <v>6.57</v>
      </c>
      <c r="R115" s="123">
        <f t="shared" si="34"/>
        <v>6.57</v>
      </c>
      <c r="S115" s="123">
        <f t="shared" si="34"/>
        <v>6.57</v>
      </c>
      <c r="T115" s="123">
        <f t="shared" si="35"/>
        <v>6.57</v>
      </c>
      <c r="U115" s="123">
        <f t="shared" si="35"/>
        <v>6.57</v>
      </c>
      <c r="V115" s="123">
        <f t="shared" si="35"/>
        <v>6.57</v>
      </c>
      <c r="W115" s="123">
        <f t="shared" si="35"/>
        <v>6.57</v>
      </c>
      <c r="X115" s="123">
        <f t="shared" si="35"/>
        <v>6.57</v>
      </c>
      <c r="Y115" s="123">
        <f t="shared" si="35"/>
        <v>6.57</v>
      </c>
      <c r="Z115" s="123">
        <f t="shared" si="35"/>
        <v>6.57</v>
      </c>
      <c r="AA115" s="123">
        <f t="shared" si="35"/>
        <v>6.57</v>
      </c>
      <c r="AB115" s="123">
        <f t="shared" si="35"/>
        <v>6.57</v>
      </c>
      <c r="AC115" s="123">
        <f t="shared" si="35"/>
        <v>6.57</v>
      </c>
      <c r="AD115" s="123">
        <f t="shared" si="35"/>
        <v>6.57</v>
      </c>
      <c r="AE115" s="123">
        <f t="shared" si="35"/>
        <v>6.57</v>
      </c>
      <c r="AF115" s="123">
        <f t="shared" si="35"/>
        <v>6.57</v>
      </c>
      <c r="AG115" s="126">
        <v>7.8</v>
      </c>
      <c r="AH115" s="55"/>
      <c r="AI115" s="56"/>
      <c r="AK115" s="57"/>
    </row>
    <row r="116" spans="1:37" x14ac:dyDescent="0.25">
      <c r="A116" s="111" t="s">
        <v>120</v>
      </c>
      <c r="B116" s="123">
        <f t="shared" si="33"/>
        <v>3.43</v>
      </c>
      <c r="C116" s="124">
        <v>3.43</v>
      </c>
      <c r="D116" s="123">
        <f t="shared" si="34"/>
        <v>3.43</v>
      </c>
      <c r="E116" s="123">
        <f t="shared" si="34"/>
        <v>3.43</v>
      </c>
      <c r="F116" s="123">
        <f t="shared" si="34"/>
        <v>3.43</v>
      </c>
      <c r="G116" s="123">
        <f t="shared" si="34"/>
        <v>3.43</v>
      </c>
      <c r="H116" s="123">
        <f t="shared" si="34"/>
        <v>3.43</v>
      </c>
      <c r="I116" s="123">
        <f t="shared" si="34"/>
        <v>3.43</v>
      </c>
      <c r="J116" s="123">
        <f t="shared" si="34"/>
        <v>3.43</v>
      </c>
      <c r="K116" s="123">
        <f t="shared" si="34"/>
        <v>3.43</v>
      </c>
      <c r="L116" s="123">
        <f t="shared" si="34"/>
        <v>3.43</v>
      </c>
      <c r="M116" s="123">
        <f t="shared" si="34"/>
        <v>3.43</v>
      </c>
      <c r="N116" s="123">
        <f t="shared" si="34"/>
        <v>3.43</v>
      </c>
      <c r="O116" s="123">
        <f t="shared" si="34"/>
        <v>3.43</v>
      </c>
      <c r="P116" s="123">
        <f t="shared" si="34"/>
        <v>3.43</v>
      </c>
      <c r="Q116" s="123">
        <f t="shared" si="34"/>
        <v>3.43</v>
      </c>
      <c r="R116" s="123">
        <f t="shared" si="34"/>
        <v>3.43</v>
      </c>
      <c r="S116" s="123">
        <f t="shared" si="34"/>
        <v>3.43</v>
      </c>
      <c r="T116" s="123">
        <f t="shared" si="35"/>
        <v>3.43</v>
      </c>
      <c r="U116" s="123">
        <f t="shared" si="35"/>
        <v>3.43</v>
      </c>
      <c r="V116" s="123">
        <f t="shared" si="35"/>
        <v>3.43</v>
      </c>
      <c r="W116" s="123">
        <f t="shared" si="35"/>
        <v>3.43</v>
      </c>
      <c r="X116" s="123">
        <f t="shared" si="35"/>
        <v>3.43</v>
      </c>
      <c r="Y116" s="123">
        <f t="shared" si="35"/>
        <v>3.43</v>
      </c>
      <c r="Z116" s="123">
        <f t="shared" si="35"/>
        <v>3.43</v>
      </c>
      <c r="AA116" s="123">
        <f t="shared" si="35"/>
        <v>3.43</v>
      </c>
      <c r="AB116" s="123">
        <f t="shared" si="35"/>
        <v>3.43</v>
      </c>
      <c r="AC116" s="123">
        <f t="shared" si="35"/>
        <v>3.43</v>
      </c>
      <c r="AD116" s="123">
        <f t="shared" si="35"/>
        <v>3.43</v>
      </c>
      <c r="AE116" s="123">
        <f t="shared" si="35"/>
        <v>3.43</v>
      </c>
      <c r="AF116" s="123">
        <f t="shared" si="35"/>
        <v>3.43</v>
      </c>
      <c r="AG116" s="126">
        <v>7.6</v>
      </c>
      <c r="AH116" s="55"/>
      <c r="AI116" s="56"/>
      <c r="AK116" s="57"/>
    </row>
    <row r="117" spans="1:37" x14ac:dyDescent="0.25">
      <c r="A117" s="111" t="s">
        <v>121</v>
      </c>
      <c r="B117" s="123">
        <f t="shared" si="33"/>
        <v>2.96</v>
      </c>
      <c r="C117" s="124">
        <v>2.96</v>
      </c>
      <c r="D117" s="123">
        <f t="shared" si="34"/>
        <v>2.96</v>
      </c>
      <c r="E117" s="123">
        <f t="shared" si="34"/>
        <v>2.96</v>
      </c>
      <c r="F117" s="123">
        <f t="shared" si="34"/>
        <v>2.96</v>
      </c>
      <c r="G117" s="123">
        <f t="shared" si="34"/>
        <v>2.96</v>
      </c>
      <c r="H117" s="123">
        <f t="shared" si="34"/>
        <v>2.96</v>
      </c>
      <c r="I117" s="123">
        <f t="shared" si="34"/>
        <v>2.96</v>
      </c>
      <c r="J117" s="123">
        <f t="shared" si="34"/>
        <v>2.96</v>
      </c>
      <c r="K117" s="123">
        <f t="shared" si="34"/>
        <v>2.96</v>
      </c>
      <c r="L117" s="123">
        <f t="shared" si="34"/>
        <v>2.96</v>
      </c>
      <c r="M117" s="123">
        <f t="shared" si="34"/>
        <v>2.96</v>
      </c>
      <c r="N117" s="123">
        <f t="shared" si="34"/>
        <v>2.96</v>
      </c>
      <c r="O117" s="123">
        <f t="shared" si="34"/>
        <v>2.96</v>
      </c>
      <c r="P117" s="123">
        <f t="shared" si="34"/>
        <v>2.96</v>
      </c>
      <c r="Q117" s="123">
        <f t="shared" si="34"/>
        <v>2.96</v>
      </c>
      <c r="R117" s="123">
        <f t="shared" si="34"/>
        <v>2.96</v>
      </c>
      <c r="S117" s="123">
        <f t="shared" si="34"/>
        <v>2.96</v>
      </c>
      <c r="T117" s="123">
        <f t="shared" si="35"/>
        <v>2.96</v>
      </c>
      <c r="U117" s="123">
        <f t="shared" si="35"/>
        <v>2.96</v>
      </c>
      <c r="V117" s="123">
        <f t="shared" si="35"/>
        <v>2.96</v>
      </c>
      <c r="W117" s="123">
        <f t="shared" si="35"/>
        <v>2.96</v>
      </c>
      <c r="X117" s="123">
        <f t="shared" si="35"/>
        <v>2.96</v>
      </c>
      <c r="Y117" s="123">
        <f t="shared" si="35"/>
        <v>2.96</v>
      </c>
      <c r="Z117" s="123">
        <f t="shared" si="35"/>
        <v>2.96</v>
      </c>
      <c r="AA117" s="123">
        <f t="shared" si="35"/>
        <v>2.96</v>
      </c>
      <c r="AB117" s="123">
        <f t="shared" si="35"/>
        <v>2.96</v>
      </c>
      <c r="AC117" s="123">
        <f t="shared" si="35"/>
        <v>2.96</v>
      </c>
      <c r="AD117" s="123">
        <f t="shared" si="35"/>
        <v>2.96</v>
      </c>
      <c r="AE117" s="123">
        <f t="shared" si="35"/>
        <v>2.96</v>
      </c>
      <c r="AF117" s="123">
        <f t="shared" si="35"/>
        <v>2.96</v>
      </c>
      <c r="AG117" s="126">
        <v>7.5</v>
      </c>
      <c r="AH117" s="55"/>
      <c r="AI117" s="56"/>
      <c r="AK117" s="57"/>
    </row>
    <row r="118" spans="1:37" x14ac:dyDescent="0.25">
      <c r="A118" s="111" t="s">
        <v>122</v>
      </c>
      <c r="B118" s="123">
        <f t="shared" si="33"/>
        <v>8</v>
      </c>
      <c r="C118" s="124">
        <v>8</v>
      </c>
      <c r="D118" s="123">
        <f t="shared" si="34"/>
        <v>8</v>
      </c>
      <c r="E118" s="123">
        <f t="shared" si="34"/>
        <v>8</v>
      </c>
      <c r="F118" s="123">
        <f t="shared" si="34"/>
        <v>8</v>
      </c>
      <c r="G118" s="123">
        <f t="shared" si="34"/>
        <v>8</v>
      </c>
      <c r="H118" s="123">
        <f t="shared" si="34"/>
        <v>8</v>
      </c>
      <c r="I118" s="123">
        <f t="shared" si="34"/>
        <v>8</v>
      </c>
      <c r="J118" s="123">
        <f t="shared" si="34"/>
        <v>8</v>
      </c>
      <c r="K118" s="123">
        <f t="shared" si="34"/>
        <v>8</v>
      </c>
      <c r="L118" s="123">
        <f t="shared" si="34"/>
        <v>8</v>
      </c>
      <c r="M118" s="123">
        <f t="shared" si="34"/>
        <v>8</v>
      </c>
      <c r="N118" s="123">
        <f t="shared" si="34"/>
        <v>8</v>
      </c>
      <c r="O118" s="123">
        <f t="shared" si="34"/>
        <v>8</v>
      </c>
      <c r="P118" s="123">
        <f t="shared" si="34"/>
        <v>8</v>
      </c>
      <c r="Q118" s="123">
        <f t="shared" si="34"/>
        <v>8</v>
      </c>
      <c r="R118" s="123">
        <f t="shared" si="34"/>
        <v>8</v>
      </c>
      <c r="S118" s="123">
        <f t="shared" si="34"/>
        <v>8</v>
      </c>
      <c r="T118" s="123">
        <f t="shared" si="35"/>
        <v>8</v>
      </c>
      <c r="U118" s="123">
        <f t="shared" si="35"/>
        <v>8</v>
      </c>
      <c r="V118" s="123">
        <f t="shared" si="35"/>
        <v>8</v>
      </c>
      <c r="W118" s="123">
        <f t="shared" si="35"/>
        <v>8</v>
      </c>
      <c r="X118" s="123">
        <f t="shared" si="35"/>
        <v>8</v>
      </c>
      <c r="Y118" s="123">
        <f t="shared" si="35"/>
        <v>8</v>
      </c>
      <c r="Z118" s="123">
        <f t="shared" si="35"/>
        <v>8</v>
      </c>
      <c r="AA118" s="123">
        <f t="shared" si="35"/>
        <v>8</v>
      </c>
      <c r="AB118" s="123">
        <f t="shared" si="35"/>
        <v>8</v>
      </c>
      <c r="AC118" s="123">
        <f t="shared" si="35"/>
        <v>8</v>
      </c>
      <c r="AD118" s="123">
        <f t="shared" si="35"/>
        <v>8</v>
      </c>
      <c r="AE118" s="123">
        <f t="shared" si="35"/>
        <v>8</v>
      </c>
      <c r="AF118" s="123">
        <f t="shared" si="35"/>
        <v>8</v>
      </c>
      <c r="AG118" s="126">
        <v>7.5</v>
      </c>
      <c r="AH118" s="55"/>
      <c r="AI118" s="56"/>
      <c r="AK118" s="57"/>
    </row>
    <row r="119" spans="1:37" x14ac:dyDescent="0.25">
      <c r="A119" s="111" t="s">
        <v>123</v>
      </c>
      <c r="B119" s="123">
        <f t="shared" si="33"/>
        <v>7</v>
      </c>
      <c r="C119" s="124">
        <v>7</v>
      </c>
      <c r="D119" s="123">
        <f>C119</f>
        <v>7</v>
      </c>
      <c r="E119" s="123">
        <f t="shared" si="34"/>
        <v>7</v>
      </c>
      <c r="F119" s="123">
        <f t="shared" si="34"/>
        <v>7</v>
      </c>
      <c r="G119" s="123">
        <f t="shared" si="34"/>
        <v>7</v>
      </c>
      <c r="H119" s="123">
        <f t="shared" si="34"/>
        <v>7</v>
      </c>
      <c r="I119" s="123">
        <f t="shared" si="34"/>
        <v>7</v>
      </c>
      <c r="J119" s="123">
        <f t="shared" si="34"/>
        <v>7</v>
      </c>
      <c r="K119" s="123">
        <f t="shared" si="34"/>
        <v>7</v>
      </c>
      <c r="L119" s="123">
        <f t="shared" si="34"/>
        <v>7</v>
      </c>
      <c r="M119" s="123">
        <f t="shared" si="34"/>
        <v>7</v>
      </c>
      <c r="N119" s="123">
        <f t="shared" si="34"/>
        <v>7</v>
      </c>
      <c r="O119" s="123">
        <f t="shared" si="34"/>
        <v>7</v>
      </c>
      <c r="P119" s="123">
        <f t="shared" si="34"/>
        <v>7</v>
      </c>
      <c r="Q119" s="123">
        <f t="shared" si="34"/>
        <v>7</v>
      </c>
      <c r="R119" s="123">
        <f t="shared" si="34"/>
        <v>7</v>
      </c>
      <c r="S119" s="123">
        <f t="shared" si="34"/>
        <v>7</v>
      </c>
      <c r="T119" s="123">
        <f t="shared" si="35"/>
        <v>7</v>
      </c>
      <c r="U119" s="123">
        <f t="shared" si="35"/>
        <v>7</v>
      </c>
      <c r="V119" s="123">
        <f t="shared" si="35"/>
        <v>7</v>
      </c>
      <c r="W119" s="123">
        <f t="shared" si="35"/>
        <v>7</v>
      </c>
      <c r="X119" s="123">
        <f t="shared" si="35"/>
        <v>7</v>
      </c>
      <c r="Y119" s="123">
        <f t="shared" si="35"/>
        <v>7</v>
      </c>
      <c r="Z119" s="123">
        <f t="shared" si="35"/>
        <v>7</v>
      </c>
      <c r="AA119" s="123">
        <f t="shared" si="35"/>
        <v>7</v>
      </c>
      <c r="AB119" s="123">
        <f t="shared" si="35"/>
        <v>7</v>
      </c>
      <c r="AC119" s="123">
        <f t="shared" si="35"/>
        <v>7</v>
      </c>
      <c r="AD119" s="123">
        <f t="shared" si="35"/>
        <v>7</v>
      </c>
      <c r="AE119" s="123">
        <f t="shared" si="35"/>
        <v>7</v>
      </c>
      <c r="AF119" s="123">
        <f t="shared" si="35"/>
        <v>7</v>
      </c>
      <c r="AG119" s="126">
        <v>7</v>
      </c>
      <c r="AH119" s="55"/>
      <c r="AI119" s="56"/>
      <c r="AK119" s="57"/>
    </row>
    <row r="120" spans="1:37" x14ac:dyDescent="0.25">
      <c r="A120" s="111" t="s">
        <v>124</v>
      </c>
      <c r="B120" s="123">
        <f t="shared" si="33"/>
        <v>3.47</v>
      </c>
      <c r="C120" s="124">
        <v>3.47</v>
      </c>
      <c r="D120" s="123">
        <f t="shared" ref="D120:S129" si="36">C120</f>
        <v>3.47</v>
      </c>
      <c r="E120" s="123">
        <f t="shared" si="36"/>
        <v>3.47</v>
      </c>
      <c r="F120" s="123">
        <f t="shared" si="36"/>
        <v>3.47</v>
      </c>
      <c r="G120" s="123">
        <f t="shared" si="36"/>
        <v>3.47</v>
      </c>
      <c r="H120" s="123">
        <f t="shared" si="36"/>
        <v>3.47</v>
      </c>
      <c r="I120" s="123">
        <f t="shared" si="36"/>
        <v>3.47</v>
      </c>
      <c r="J120" s="123">
        <f t="shared" si="36"/>
        <v>3.47</v>
      </c>
      <c r="K120" s="123">
        <f t="shared" si="36"/>
        <v>3.47</v>
      </c>
      <c r="L120" s="123">
        <f t="shared" si="36"/>
        <v>3.47</v>
      </c>
      <c r="M120" s="123">
        <f t="shared" si="36"/>
        <v>3.47</v>
      </c>
      <c r="N120" s="123">
        <f t="shared" si="36"/>
        <v>3.47</v>
      </c>
      <c r="O120" s="123">
        <f t="shared" si="36"/>
        <v>3.47</v>
      </c>
      <c r="P120" s="123">
        <f t="shared" si="36"/>
        <v>3.47</v>
      </c>
      <c r="Q120" s="123">
        <f t="shared" si="36"/>
        <v>3.47</v>
      </c>
      <c r="R120" s="123">
        <f t="shared" si="36"/>
        <v>3.47</v>
      </c>
      <c r="S120" s="123">
        <f t="shared" si="36"/>
        <v>3.47</v>
      </c>
      <c r="T120" s="123">
        <f t="shared" si="35"/>
        <v>3.47</v>
      </c>
      <c r="U120" s="123">
        <f t="shared" si="35"/>
        <v>3.47</v>
      </c>
      <c r="V120" s="123">
        <f t="shared" si="35"/>
        <v>3.47</v>
      </c>
      <c r="W120" s="123">
        <f t="shared" si="35"/>
        <v>3.47</v>
      </c>
      <c r="X120" s="123">
        <f t="shared" si="35"/>
        <v>3.47</v>
      </c>
      <c r="Y120" s="123">
        <f t="shared" si="35"/>
        <v>3.47</v>
      </c>
      <c r="Z120" s="123">
        <f t="shared" si="35"/>
        <v>3.47</v>
      </c>
      <c r="AA120" s="123">
        <f t="shared" si="35"/>
        <v>3.47</v>
      </c>
      <c r="AB120" s="123">
        <f t="shared" si="35"/>
        <v>3.47</v>
      </c>
      <c r="AC120" s="123">
        <f t="shared" si="35"/>
        <v>3.47</v>
      </c>
      <c r="AD120" s="123">
        <f t="shared" si="35"/>
        <v>3.47</v>
      </c>
      <c r="AE120" s="123">
        <f t="shared" si="35"/>
        <v>3.47</v>
      </c>
      <c r="AF120" s="123">
        <f t="shared" si="35"/>
        <v>3.47</v>
      </c>
      <c r="AG120" s="126">
        <v>7</v>
      </c>
      <c r="AH120" s="55"/>
      <c r="AI120" s="56"/>
      <c r="AK120" s="57"/>
    </row>
    <row r="121" spans="1:37" x14ac:dyDescent="0.25">
      <c r="A121" s="111" t="s">
        <v>125</v>
      </c>
      <c r="B121" s="123">
        <f t="shared" si="33"/>
        <v>2.1</v>
      </c>
      <c r="C121" s="124">
        <v>2.1</v>
      </c>
      <c r="D121" s="123">
        <f t="shared" si="36"/>
        <v>2.1</v>
      </c>
      <c r="E121" s="123">
        <f t="shared" si="36"/>
        <v>2.1</v>
      </c>
      <c r="F121" s="123">
        <f t="shared" si="36"/>
        <v>2.1</v>
      </c>
      <c r="G121" s="123">
        <f t="shared" si="36"/>
        <v>2.1</v>
      </c>
      <c r="H121" s="123">
        <f t="shared" si="36"/>
        <v>2.1</v>
      </c>
      <c r="I121" s="123">
        <f t="shared" si="36"/>
        <v>2.1</v>
      </c>
      <c r="J121" s="123">
        <f t="shared" si="36"/>
        <v>2.1</v>
      </c>
      <c r="K121" s="123">
        <f t="shared" si="36"/>
        <v>2.1</v>
      </c>
      <c r="L121" s="123">
        <f t="shared" si="36"/>
        <v>2.1</v>
      </c>
      <c r="M121" s="123">
        <f t="shared" si="36"/>
        <v>2.1</v>
      </c>
      <c r="N121" s="123">
        <f t="shared" si="36"/>
        <v>2.1</v>
      </c>
      <c r="O121" s="123">
        <f t="shared" si="36"/>
        <v>2.1</v>
      </c>
      <c r="P121" s="123">
        <f t="shared" si="36"/>
        <v>2.1</v>
      </c>
      <c r="Q121" s="123">
        <f t="shared" si="36"/>
        <v>2.1</v>
      </c>
      <c r="R121" s="123">
        <f t="shared" si="36"/>
        <v>2.1</v>
      </c>
      <c r="S121" s="123">
        <f t="shared" si="36"/>
        <v>2.1</v>
      </c>
      <c r="T121" s="123">
        <f t="shared" si="35"/>
        <v>2.1</v>
      </c>
      <c r="U121" s="123">
        <f t="shared" si="35"/>
        <v>2.1</v>
      </c>
      <c r="V121" s="123">
        <f t="shared" si="35"/>
        <v>2.1</v>
      </c>
      <c r="W121" s="123">
        <f t="shared" si="35"/>
        <v>2.1</v>
      </c>
      <c r="X121" s="123">
        <f t="shared" si="35"/>
        <v>2.1</v>
      </c>
      <c r="Y121" s="123">
        <f t="shared" si="35"/>
        <v>2.1</v>
      </c>
      <c r="Z121" s="123">
        <f t="shared" si="35"/>
        <v>2.1</v>
      </c>
      <c r="AA121" s="123">
        <f t="shared" si="35"/>
        <v>2.1</v>
      </c>
      <c r="AB121" s="123">
        <f t="shared" si="35"/>
        <v>2.1</v>
      </c>
      <c r="AC121" s="123">
        <f t="shared" si="35"/>
        <v>2.1</v>
      </c>
      <c r="AD121" s="123">
        <f t="shared" si="35"/>
        <v>2.1</v>
      </c>
      <c r="AE121" s="123">
        <f t="shared" si="35"/>
        <v>2.1</v>
      </c>
      <c r="AF121" s="123">
        <f t="shared" si="35"/>
        <v>2.1</v>
      </c>
      <c r="AG121" s="126">
        <v>7</v>
      </c>
      <c r="AH121" s="55"/>
      <c r="AI121" s="56"/>
      <c r="AK121" s="57"/>
    </row>
    <row r="122" spans="1:37" x14ac:dyDescent="0.25">
      <c r="A122" s="111" t="s">
        <v>126</v>
      </c>
      <c r="B122" s="123">
        <f t="shared" si="33"/>
        <v>9.3000000000000007</v>
      </c>
      <c r="C122" s="124">
        <v>9.3000000000000007</v>
      </c>
      <c r="D122" s="123">
        <f t="shared" si="36"/>
        <v>9.3000000000000007</v>
      </c>
      <c r="E122" s="123">
        <f t="shared" si="36"/>
        <v>9.3000000000000007</v>
      </c>
      <c r="F122" s="123">
        <f t="shared" si="36"/>
        <v>9.3000000000000007</v>
      </c>
      <c r="G122" s="123">
        <f t="shared" si="36"/>
        <v>9.3000000000000007</v>
      </c>
      <c r="H122" s="123">
        <f t="shared" si="36"/>
        <v>9.3000000000000007</v>
      </c>
      <c r="I122" s="123">
        <f t="shared" si="36"/>
        <v>9.3000000000000007</v>
      </c>
      <c r="J122" s="123">
        <f t="shared" si="36"/>
        <v>9.3000000000000007</v>
      </c>
      <c r="K122" s="123">
        <f t="shared" si="36"/>
        <v>9.3000000000000007</v>
      </c>
      <c r="L122" s="123">
        <f t="shared" si="36"/>
        <v>9.3000000000000007</v>
      </c>
      <c r="M122" s="123">
        <f t="shared" si="36"/>
        <v>9.3000000000000007</v>
      </c>
      <c r="N122" s="123">
        <f t="shared" si="36"/>
        <v>9.3000000000000007</v>
      </c>
      <c r="O122" s="123">
        <f t="shared" si="36"/>
        <v>9.3000000000000007</v>
      </c>
      <c r="P122" s="123">
        <f t="shared" si="36"/>
        <v>9.3000000000000007</v>
      </c>
      <c r="Q122" s="123">
        <f t="shared" si="36"/>
        <v>9.3000000000000007</v>
      </c>
      <c r="R122" s="123">
        <f t="shared" si="36"/>
        <v>9.3000000000000007</v>
      </c>
      <c r="S122" s="123">
        <f t="shared" si="36"/>
        <v>9.3000000000000007</v>
      </c>
      <c r="T122" s="123">
        <f t="shared" si="35"/>
        <v>9.3000000000000007</v>
      </c>
      <c r="U122" s="123">
        <f t="shared" si="35"/>
        <v>9.3000000000000007</v>
      </c>
      <c r="V122" s="123">
        <f t="shared" si="35"/>
        <v>9.3000000000000007</v>
      </c>
      <c r="W122" s="123">
        <f t="shared" si="35"/>
        <v>9.3000000000000007</v>
      </c>
      <c r="X122" s="123">
        <f t="shared" si="35"/>
        <v>9.3000000000000007</v>
      </c>
      <c r="Y122" s="123">
        <f t="shared" si="35"/>
        <v>9.3000000000000007</v>
      </c>
      <c r="Z122" s="123">
        <f t="shared" si="35"/>
        <v>9.3000000000000007</v>
      </c>
      <c r="AA122" s="123">
        <f t="shared" si="35"/>
        <v>9.3000000000000007</v>
      </c>
      <c r="AB122" s="123">
        <f t="shared" si="35"/>
        <v>9.3000000000000007</v>
      </c>
      <c r="AC122" s="123">
        <f t="shared" si="35"/>
        <v>9.3000000000000007</v>
      </c>
      <c r="AD122" s="123">
        <f t="shared" si="35"/>
        <v>9.3000000000000007</v>
      </c>
      <c r="AE122" s="123">
        <f t="shared" si="35"/>
        <v>9.3000000000000007</v>
      </c>
      <c r="AF122" s="123">
        <f t="shared" si="35"/>
        <v>9.3000000000000007</v>
      </c>
      <c r="AG122" s="126">
        <v>7</v>
      </c>
      <c r="AH122" s="55"/>
      <c r="AI122" s="56"/>
      <c r="AK122" s="57"/>
    </row>
    <row r="123" spans="1:37" x14ac:dyDescent="0.25">
      <c r="A123" s="111" t="s">
        <v>127</v>
      </c>
      <c r="B123" s="123">
        <f t="shared" si="33"/>
        <v>0</v>
      </c>
      <c r="C123" s="124">
        <v>0</v>
      </c>
      <c r="D123" s="123">
        <f t="shared" si="36"/>
        <v>0</v>
      </c>
      <c r="E123" s="123">
        <f t="shared" si="36"/>
        <v>0</v>
      </c>
      <c r="F123" s="123">
        <f t="shared" si="36"/>
        <v>0</v>
      </c>
      <c r="G123" s="123">
        <f t="shared" si="36"/>
        <v>0</v>
      </c>
      <c r="H123" s="123">
        <f t="shared" si="36"/>
        <v>0</v>
      </c>
      <c r="I123" s="123">
        <f t="shared" si="36"/>
        <v>0</v>
      </c>
      <c r="J123" s="123">
        <f t="shared" si="36"/>
        <v>0</v>
      </c>
      <c r="K123" s="123">
        <f t="shared" si="36"/>
        <v>0</v>
      </c>
      <c r="L123" s="123">
        <f t="shared" si="36"/>
        <v>0</v>
      </c>
      <c r="M123" s="123">
        <f t="shared" si="36"/>
        <v>0</v>
      </c>
      <c r="N123" s="123">
        <f t="shared" si="36"/>
        <v>0</v>
      </c>
      <c r="O123" s="123">
        <f t="shared" si="36"/>
        <v>0</v>
      </c>
      <c r="P123" s="123">
        <f t="shared" si="36"/>
        <v>0</v>
      </c>
      <c r="Q123" s="123">
        <f t="shared" si="36"/>
        <v>0</v>
      </c>
      <c r="R123" s="123">
        <f t="shared" si="36"/>
        <v>0</v>
      </c>
      <c r="S123" s="123">
        <f t="shared" si="36"/>
        <v>0</v>
      </c>
      <c r="T123" s="123">
        <f t="shared" si="35"/>
        <v>0</v>
      </c>
      <c r="U123" s="123">
        <f t="shared" si="35"/>
        <v>0</v>
      </c>
      <c r="V123" s="123">
        <f t="shared" si="35"/>
        <v>0</v>
      </c>
      <c r="W123" s="123">
        <f t="shared" si="35"/>
        <v>0</v>
      </c>
      <c r="X123" s="123">
        <f t="shared" si="35"/>
        <v>0</v>
      </c>
      <c r="Y123" s="123">
        <f t="shared" si="35"/>
        <v>0</v>
      </c>
      <c r="Z123" s="123">
        <f t="shared" si="35"/>
        <v>0</v>
      </c>
      <c r="AA123" s="123">
        <f t="shared" si="35"/>
        <v>0</v>
      </c>
      <c r="AB123" s="123">
        <f t="shared" si="35"/>
        <v>0</v>
      </c>
      <c r="AC123" s="123">
        <f t="shared" si="35"/>
        <v>0</v>
      </c>
      <c r="AD123" s="123">
        <f t="shared" si="35"/>
        <v>0</v>
      </c>
      <c r="AE123" s="123">
        <f t="shared" si="35"/>
        <v>0</v>
      </c>
      <c r="AF123" s="123">
        <f t="shared" si="35"/>
        <v>0</v>
      </c>
      <c r="AG123" s="126">
        <v>6.6</v>
      </c>
      <c r="AH123" s="55"/>
      <c r="AI123" s="56"/>
      <c r="AK123" s="57"/>
    </row>
    <row r="124" spans="1:37" x14ac:dyDescent="0.25">
      <c r="A124" s="111" t="s">
        <v>128</v>
      </c>
      <c r="B124" s="123">
        <f t="shared" si="33"/>
        <v>0</v>
      </c>
      <c r="C124" s="124">
        <v>0</v>
      </c>
      <c r="D124" s="123">
        <f t="shared" si="36"/>
        <v>0</v>
      </c>
      <c r="E124" s="123">
        <f t="shared" si="36"/>
        <v>0</v>
      </c>
      <c r="F124" s="123">
        <f t="shared" si="36"/>
        <v>0</v>
      </c>
      <c r="G124" s="123">
        <f t="shared" si="36"/>
        <v>0</v>
      </c>
      <c r="H124" s="123">
        <f t="shared" si="36"/>
        <v>0</v>
      </c>
      <c r="I124" s="123">
        <f t="shared" si="36"/>
        <v>0</v>
      </c>
      <c r="J124" s="123">
        <f t="shared" si="36"/>
        <v>0</v>
      </c>
      <c r="K124" s="123">
        <f t="shared" si="36"/>
        <v>0</v>
      </c>
      <c r="L124" s="123">
        <f t="shared" si="36"/>
        <v>0</v>
      </c>
      <c r="M124" s="123">
        <f t="shared" si="36"/>
        <v>0</v>
      </c>
      <c r="N124" s="123">
        <f t="shared" si="36"/>
        <v>0</v>
      </c>
      <c r="O124" s="123">
        <f t="shared" si="36"/>
        <v>0</v>
      </c>
      <c r="P124" s="123">
        <f t="shared" si="36"/>
        <v>0</v>
      </c>
      <c r="Q124" s="123">
        <f t="shared" si="36"/>
        <v>0</v>
      </c>
      <c r="R124" s="123">
        <f t="shared" si="36"/>
        <v>0</v>
      </c>
      <c r="S124" s="123">
        <f t="shared" si="36"/>
        <v>0</v>
      </c>
      <c r="T124" s="123">
        <f t="shared" si="35"/>
        <v>0</v>
      </c>
      <c r="U124" s="123">
        <f t="shared" si="35"/>
        <v>0</v>
      </c>
      <c r="V124" s="123">
        <f t="shared" si="35"/>
        <v>0</v>
      </c>
      <c r="W124" s="123">
        <f t="shared" si="35"/>
        <v>0</v>
      </c>
      <c r="X124" s="123">
        <f t="shared" si="35"/>
        <v>0</v>
      </c>
      <c r="Y124" s="123">
        <f t="shared" si="35"/>
        <v>0</v>
      </c>
      <c r="Z124" s="123">
        <f t="shared" si="35"/>
        <v>0</v>
      </c>
      <c r="AA124" s="123">
        <f t="shared" si="35"/>
        <v>0</v>
      </c>
      <c r="AB124" s="123">
        <f t="shared" si="35"/>
        <v>0</v>
      </c>
      <c r="AC124" s="123">
        <f t="shared" si="35"/>
        <v>0</v>
      </c>
      <c r="AD124" s="123">
        <f t="shared" si="35"/>
        <v>0</v>
      </c>
      <c r="AE124" s="123">
        <f t="shared" si="35"/>
        <v>0</v>
      </c>
      <c r="AF124" s="123">
        <f t="shared" si="35"/>
        <v>0</v>
      </c>
      <c r="AG124" s="126">
        <v>6.6</v>
      </c>
      <c r="AH124" s="55"/>
      <c r="AI124" s="56"/>
      <c r="AK124" s="57"/>
    </row>
    <row r="125" spans="1:37" x14ac:dyDescent="0.25">
      <c r="A125" s="111" t="s">
        <v>129</v>
      </c>
      <c r="B125" s="123" t="str">
        <f t="shared" si="33"/>
        <v>;/</v>
      </c>
      <c r="C125" s="124">
        <v>5</v>
      </c>
      <c r="D125" s="123">
        <f t="shared" si="36"/>
        <v>5</v>
      </c>
      <c r="E125" s="123">
        <f t="shared" si="36"/>
        <v>5</v>
      </c>
      <c r="F125" s="123">
        <f t="shared" si="36"/>
        <v>5</v>
      </c>
      <c r="G125" s="123">
        <f t="shared" si="36"/>
        <v>5</v>
      </c>
      <c r="H125" s="123">
        <f t="shared" si="36"/>
        <v>5</v>
      </c>
      <c r="I125" s="123" t="s">
        <v>130</v>
      </c>
      <c r="J125" s="123" t="str">
        <f t="shared" si="36"/>
        <v>;/</v>
      </c>
      <c r="K125" s="123" t="str">
        <f t="shared" si="36"/>
        <v>;/</v>
      </c>
      <c r="L125" s="123" t="str">
        <f t="shared" si="36"/>
        <v>;/</v>
      </c>
      <c r="M125" s="123" t="str">
        <f t="shared" si="36"/>
        <v>;/</v>
      </c>
      <c r="N125" s="123" t="str">
        <f t="shared" si="36"/>
        <v>;/</v>
      </c>
      <c r="O125" s="123" t="str">
        <f t="shared" si="36"/>
        <v>;/</v>
      </c>
      <c r="P125" s="123" t="str">
        <f t="shared" si="36"/>
        <v>;/</v>
      </c>
      <c r="Q125" s="123" t="str">
        <f t="shared" si="36"/>
        <v>;/</v>
      </c>
      <c r="R125" s="123" t="str">
        <f t="shared" si="36"/>
        <v>;/</v>
      </c>
      <c r="S125" s="123" t="str">
        <f t="shared" si="36"/>
        <v>;/</v>
      </c>
      <c r="T125" s="123" t="str">
        <f t="shared" si="35"/>
        <v>;/</v>
      </c>
      <c r="U125" s="123" t="str">
        <f t="shared" si="35"/>
        <v>;/</v>
      </c>
      <c r="V125" s="123" t="str">
        <f t="shared" si="35"/>
        <v>;/</v>
      </c>
      <c r="W125" s="123" t="str">
        <f t="shared" si="35"/>
        <v>;/</v>
      </c>
      <c r="X125" s="123" t="str">
        <f t="shared" si="35"/>
        <v>;/</v>
      </c>
      <c r="Y125" s="123" t="str">
        <f t="shared" si="35"/>
        <v>;/</v>
      </c>
      <c r="Z125" s="123" t="str">
        <f t="shared" si="35"/>
        <v>;/</v>
      </c>
      <c r="AA125" s="123" t="str">
        <f t="shared" si="35"/>
        <v>;/</v>
      </c>
      <c r="AB125" s="123" t="str">
        <f t="shared" si="35"/>
        <v>;/</v>
      </c>
      <c r="AC125" s="123" t="str">
        <f t="shared" si="35"/>
        <v>;/</v>
      </c>
      <c r="AD125" s="123" t="str">
        <f t="shared" si="35"/>
        <v>;/</v>
      </c>
      <c r="AE125" s="123" t="str">
        <f t="shared" si="35"/>
        <v>;/</v>
      </c>
      <c r="AF125" s="123" t="str">
        <f t="shared" si="35"/>
        <v>;/</v>
      </c>
      <c r="AG125" s="126">
        <v>6.4</v>
      </c>
      <c r="AH125" s="55"/>
      <c r="AI125" s="56"/>
      <c r="AK125" s="57"/>
    </row>
    <row r="126" spans="1:37" x14ac:dyDescent="0.25">
      <c r="A126" s="111" t="s">
        <v>131</v>
      </c>
      <c r="B126" s="123">
        <f t="shared" si="33"/>
        <v>1</v>
      </c>
      <c r="C126" s="124">
        <v>1</v>
      </c>
      <c r="D126" s="123">
        <f t="shared" si="36"/>
        <v>1</v>
      </c>
      <c r="E126" s="123">
        <f t="shared" si="36"/>
        <v>1</v>
      </c>
      <c r="F126" s="123">
        <f t="shared" si="36"/>
        <v>1</v>
      </c>
      <c r="G126" s="123">
        <f t="shared" si="36"/>
        <v>1</v>
      </c>
      <c r="H126" s="123">
        <f t="shared" si="36"/>
        <v>1</v>
      </c>
      <c r="I126" s="123">
        <f t="shared" si="36"/>
        <v>1</v>
      </c>
      <c r="J126" s="123">
        <f t="shared" si="36"/>
        <v>1</v>
      </c>
      <c r="K126" s="123">
        <f t="shared" si="36"/>
        <v>1</v>
      </c>
      <c r="L126" s="123">
        <f t="shared" si="36"/>
        <v>1</v>
      </c>
      <c r="M126" s="123">
        <f t="shared" si="36"/>
        <v>1</v>
      </c>
      <c r="N126" s="123">
        <f t="shared" si="36"/>
        <v>1</v>
      </c>
      <c r="O126" s="123">
        <f t="shared" si="36"/>
        <v>1</v>
      </c>
      <c r="P126" s="123">
        <f t="shared" si="36"/>
        <v>1</v>
      </c>
      <c r="Q126" s="123">
        <f t="shared" si="36"/>
        <v>1</v>
      </c>
      <c r="R126" s="123">
        <f t="shared" si="36"/>
        <v>1</v>
      </c>
      <c r="S126" s="123">
        <f t="shared" si="36"/>
        <v>1</v>
      </c>
      <c r="T126" s="123">
        <f t="shared" si="35"/>
        <v>1</v>
      </c>
      <c r="U126" s="123">
        <f t="shared" si="35"/>
        <v>1</v>
      </c>
      <c r="V126" s="123">
        <f t="shared" si="35"/>
        <v>1</v>
      </c>
      <c r="W126" s="123">
        <f t="shared" si="35"/>
        <v>1</v>
      </c>
      <c r="X126" s="123">
        <f t="shared" si="35"/>
        <v>1</v>
      </c>
      <c r="Y126" s="123">
        <f t="shared" si="35"/>
        <v>1</v>
      </c>
      <c r="Z126" s="123">
        <f t="shared" si="35"/>
        <v>1</v>
      </c>
      <c r="AA126" s="123">
        <f t="shared" si="35"/>
        <v>1</v>
      </c>
      <c r="AB126" s="123">
        <f t="shared" si="35"/>
        <v>1</v>
      </c>
      <c r="AC126" s="123">
        <f t="shared" si="35"/>
        <v>1</v>
      </c>
      <c r="AD126" s="123">
        <f t="shared" si="35"/>
        <v>1</v>
      </c>
      <c r="AE126" s="123">
        <f t="shared" si="35"/>
        <v>1</v>
      </c>
      <c r="AF126" s="123">
        <f t="shared" si="35"/>
        <v>1</v>
      </c>
      <c r="AG126" s="126">
        <v>6</v>
      </c>
      <c r="AH126" s="55"/>
      <c r="AI126" s="56"/>
      <c r="AK126" s="57"/>
    </row>
    <row r="127" spans="1:37" x14ac:dyDescent="0.25">
      <c r="A127" s="111" t="s">
        <v>132</v>
      </c>
      <c r="B127" s="123">
        <f t="shared" si="33"/>
        <v>1.58</v>
      </c>
      <c r="C127" s="124">
        <v>1.58</v>
      </c>
      <c r="D127" s="123">
        <f t="shared" si="36"/>
        <v>1.58</v>
      </c>
      <c r="E127" s="123">
        <f t="shared" si="36"/>
        <v>1.58</v>
      </c>
      <c r="F127" s="123">
        <f t="shared" si="36"/>
        <v>1.58</v>
      </c>
      <c r="G127" s="123">
        <f t="shared" si="36"/>
        <v>1.58</v>
      </c>
      <c r="H127" s="123">
        <f t="shared" si="36"/>
        <v>1.58</v>
      </c>
      <c r="I127" s="123">
        <f t="shared" si="36"/>
        <v>1.58</v>
      </c>
      <c r="J127" s="123">
        <f t="shared" si="36"/>
        <v>1.58</v>
      </c>
      <c r="K127" s="123">
        <f t="shared" si="36"/>
        <v>1.58</v>
      </c>
      <c r="L127" s="123">
        <f t="shared" si="36"/>
        <v>1.58</v>
      </c>
      <c r="M127" s="123">
        <f t="shared" si="36"/>
        <v>1.58</v>
      </c>
      <c r="N127" s="123">
        <f t="shared" si="36"/>
        <v>1.58</v>
      </c>
      <c r="O127" s="123">
        <f t="shared" si="36"/>
        <v>1.58</v>
      </c>
      <c r="P127" s="123">
        <f t="shared" si="36"/>
        <v>1.58</v>
      </c>
      <c r="Q127" s="123">
        <f t="shared" si="36"/>
        <v>1.58</v>
      </c>
      <c r="R127" s="123">
        <f t="shared" si="36"/>
        <v>1.58</v>
      </c>
      <c r="S127" s="123">
        <f t="shared" si="36"/>
        <v>1.58</v>
      </c>
      <c r="T127" s="123">
        <f t="shared" si="35"/>
        <v>1.58</v>
      </c>
      <c r="U127" s="123">
        <f t="shared" si="35"/>
        <v>1.58</v>
      </c>
      <c r="V127" s="123">
        <f t="shared" si="35"/>
        <v>1.58</v>
      </c>
      <c r="W127" s="123">
        <f t="shared" si="35"/>
        <v>1.58</v>
      </c>
      <c r="X127" s="123">
        <f t="shared" si="35"/>
        <v>1.58</v>
      </c>
      <c r="Y127" s="123">
        <f t="shared" si="35"/>
        <v>1.58</v>
      </c>
      <c r="Z127" s="123">
        <f t="shared" si="35"/>
        <v>1.58</v>
      </c>
      <c r="AA127" s="123">
        <f t="shared" si="35"/>
        <v>1.58</v>
      </c>
      <c r="AB127" s="123">
        <f t="shared" si="35"/>
        <v>1.58</v>
      </c>
      <c r="AC127" s="123">
        <f t="shared" si="35"/>
        <v>1.58</v>
      </c>
      <c r="AD127" s="123">
        <f t="shared" si="35"/>
        <v>1.58</v>
      </c>
      <c r="AE127" s="123">
        <f t="shared" si="35"/>
        <v>1.58</v>
      </c>
      <c r="AF127" s="123">
        <f t="shared" si="35"/>
        <v>1.58</v>
      </c>
      <c r="AG127" s="126">
        <v>5.0999999999999996</v>
      </c>
      <c r="AH127" s="55"/>
      <c r="AI127" s="56"/>
      <c r="AK127" s="57"/>
    </row>
    <row r="128" spans="1:37" x14ac:dyDescent="0.25">
      <c r="A128" s="111" t="s">
        <v>133</v>
      </c>
      <c r="B128" s="123">
        <f t="shared" si="33"/>
        <v>1.46</v>
      </c>
      <c r="C128" s="124">
        <v>1.46</v>
      </c>
      <c r="D128" s="123">
        <f t="shared" si="36"/>
        <v>1.46</v>
      </c>
      <c r="E128" s="123">
        <f t="shared" si="36"/>
        <v>1.46</v>
      </c>
      <c r="F128" s="123">
        <f t="shared" si="36"/>
        <v>1.46</v>
      </c>
      <c r="G128" s="123">
        <f t="shared" si="36"/>
        <v>1.46</v>
      </c>
      <c r="H128" s="123">
        <f t="shared" si="36"/>
        <v>1.46</v>
      </c>
      <c r="I128" s="123">
        <f t="shared" si="36"/>
        <v>1.46</v>
      </c>
      <c r="J128" s="123">
        <f t="shared" si="36"/>
        <v>1.46</v>
      </c>
      <c r="K128" s="123">
        <f t="shared" si="36"/>
        <v>1.46</v>
      </c>
      <c r="L128" s="123">
        <f t="shared" si="36"/>
        <v>1.46</v>
      </c>
      <c r="M128" s="123">
        <f t="shared" si="36"/>
        <v>1.46</v>
      </c>
      <c r="N128" s="123">
        <f t="shared" si="36"/>
        <v>1.46</v>
      </c>
      <c r="O128" s="123">
        <f t="shared" si="36"/>
        <v>1.46</v>
      </c>
      <c r="P128" s="123">
        <f t="shared" si="36"/>
        <v>1.46</v>
      </c>
      <c r="Q128" s="123">
        <f t="shared" si="36"/>
        <v>1.46</v>
      </c>
      <c r="R128" s="123">
        <f t="shared" si="36"/>
        <v>1.46</v>
      </c>
      <c r="S128" s="123">
        <f t="shared" si="36"/>
        <v>1.46</v>
      </c>
      <c r="T128" s="123">
        <f t="shared" ref="T128:AF129" si="37">S128</f>
        <v>1.46</v>
      </c>
      <c r="U128" s="123">
        <f t="shared" si="37"/>
        <v>1.46</v>
      </c>
      <c r="V128" s="123">
        <f t="shared" si="37"/>
        <v>1.46</v>
      </c>
      <c r="W128" s="123">
        <f t="shared" si="37"/>
        <v>1.46</v>
      </c>
      <c r="X128" s="123">
        <f t="shared" si="37"/>
        <v>1.46</v>
      </c>
      <c r="Y128" s="123">
        <f t="shared" si="37"/>
        <v>1.46</v>
      </c>
      <c r="Z128" s="123">
        <f t="shared" si="37"/>
        <v>1.46</v>
      </c>
      <c r="AA128" s="123">
        <f t="shared" si="37"/>
        <v>1.46</v>
      </c>
      <c r="AB128" s="123">
        <f t="shared" si="37"/>
        <v>1.46</v>
      </c>
      <c r="AC128" s="123">
        <f t="shared" si="37"/>
        <v>1.46</v>
      </c>
      <c r="AD128" s="123">
        <f t="shared" si="37"/>
        <v>1.46</v>
      </c>
      <c r="AE128" s="123">
        <f t="shared" si="37"/>
        <v>1.46</v>
      </c>
      <c r="AF128" s="123">
        <f t="shared" si="37"/>
        <v>1.46</v>
      </c>
      <c r="AG128" s="126">
        <v>5</v>
      </c>
      <c r="AH128" s="55"/>
      <c r="AI128" s="56"/>
      <c r="AK128" s="57"/>
    </row>
    <row r="129" spans="1:37" x14ac:dyDescent="0.25">
      <c r="A129" s="109" t="s">
        <v>134</v>
      </c>
      <c r="B129" s="123">
        <f t="shared" si="33"/>
        <v>1.48</v>
      </c>
      <c r="C129" s="124">
        <v>1.48</v>
      </c>
      <c r="D129" s="123">
        <f t="shared" si="36"/>
        <v>1.48</v>
      </c>
      <c r="E129" s="123">
        <f t="shared" si="36"/>
        <v>1.48</v>
      </c>
      <c r="F129" s="123">
        <f t="shared" si="36"/>
        <v>1.48</v>
      </c>
      <c r="G129" s="123">
        <f t="shared" si="36"/>
        <v>1.48</v>
      </c>
      <c r="H129" s="123">
        <f t="shared" si="36"/>
        <v>1.48</v>
      </c>
      <c r="I129" s="123">
        <f t="shared" si="36"/>
        <v>1.48</v>
      </c>
      <c r="J129" s="123">
        <f t="shared" si="36"/>
        <v>1.48</v>
      </c>
      <c r="K129" s="123">
        <f t="shared" si="36"/>
        <v>1.48</v>
      </c>
      <c r="L129" s="123">
        <f t="shared" si="36"/>
        <v>1.48</v>
      </c>
      <c r="M129" s="123">
        <f t="shared" si="36"/>
        <v>1.48</v>
      </c>
      <c r="N129" s="123">
        <f t="shared" si="36"/>
        <v>1.48</v>
      </c>
      <c r="O129" s="123">
        <f t="shared" si="36"/>
        <v>1.48</v>
      </c>
      <c r="P129" s="123">
        <f t="shared" si="36"/>
        <v>1.48</v>
      </c>
      <c r="Q129" s="123">
        <f t="shared" si="36"/>
        <v>1.48</v>
      </c>
      <c r="R129" s="123">
        <f t="shared" si="36"/>
        <v>1.48</v>
      </c>
      <c r="S129" s="123">
        <f t="shared" si="36"/>
        <v>1.48</v>
      </c>
      <c r="T129" s="123">
        <f t="shared" si="37"/>
        <v>1.48</v>
      </c>
      <c r="U129" s="123">
        <f t="shared" si="37"/>
        <v>1.48</v>
      </c>
      <c r="V129" s="123">
        <f t="shared" si="37"/>
        <v>1.48</v>
      </c>
      <c r="W129" s="123">
        <f t="shared" si="37"/>
        <v>1.48</v>
      </c>
      <c r="X129" s="123">
        <f t="shared" si="37"/>
        <v>1.48</v>
      </c>
      <c r="Y129" s="123">
        <f t="shared" si="37"/>
        <v>1.48</v>
      </c>
      <c r="Z129" s="123">
        <f t="shared" si="37"/>
        <v>1.48</v>
      </c>
      <c r="AA129" s="123">
        <f t="shared" si="37"/>
        <v>1.48</v>
      </c>
      <c r="AB129" s="123">
        <f t="shared" si="37"/>
        <v>1.48</v>
      </c>
      <c r="AC129" s="123">
        <f t="shared" si="37"/>
        <v>1.48</v>
      </c>
      <c r="AD129" s="123">
        <f t="shared" si="37"/>
        <v>1.48</v>
      </c>
      <c r="AE129" s="123">
        <f t="shared" si="37"/>
        <v>1.48</v>
      </c>
      <c r="AF129" s="123">
        <f t="shared" si="37"/>
        <v>1.48</v>
      </c>
      <c r="AG129" s="125">
        <v>5</v>
      </c>
      <c r="AH129" s="55"/>
      <c r="AI129" s="56"/>
      <c r="AK129" s="57"/>
    </row>
    <row r="130" spans="1:37" x14ac:dyDescent="0.25">
      <c r="A130" s="111" t="s">
        <v>135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5"/>
      <c r="AI130" s="56"/>
      <c r="AK130" s="57"/>
    </row>
    <row r="131" spans="1:37" x14ac:dyDescent="0.25">
      <c r="A131" s="111" t="s">
        <v>136</v>
      </c>
      <c r="B131" s="123">
        <f t="shared" ref="B131:B138" si="38">AF131</f>
        <v>2.2000000000000002</v>
      </c>
      <c r="C131" s="124">
        <v>2.2000000000000002</v>
      </c>
      <c r="D131" s="123">
        <f t="shared" ref="D131:S138" si="39">C131</f>
        <v>2.2000000000000002</v>
      </c>
      <c r="E131" s="123">
        <f t="shared" si="39"/>
        <v>2.2000000000000002</v>
      </c>
      <c r="F131" s="123">
        <f t="shared" si="39"/>
        <v>2.2000000000000002</v>
      </c>
      <c r="G131" s="123">
        <f t="shared" si="39"/>
        <v>2.2000000000000002</v>
      </c>
      <c r="H131" s="123">
        <f t="shared" si="39"/>
        <v>2.2000000000000002</v>
      </c>
      <c r="I131" s="123">
        <f t="shared" si="39"/>
        <v>2.2000000000000002</v>
      </c>
      <c r="J131" s="123">
        <f t="shared" si="39"/>
        <v>2.2000000000000002</v>
      </c>
      <c r="K131" s="123">
        <f t="shared" si="39"/>
        <v>2.2000000000000002</v>
      </c>
      <c r="L131" s="123">
        <f t="shared" si="39"/>
        <v>2.2000000000000002</v>
      </c>
      <c r="M131" s="123">
        <f t="shared" si="39"/>
        <v>2.2000000000000002</v>
      </c>
      <c r="N131" s="123">
        <f t="shared" si="39"/>
        <v>2.2000000000000002</v>
      </c>
      <c r="O131" s="123">
        <f t="shared" si="39"/>
        <v>2.2000000000000002</v>
      </c>
      <c r="P131" s="123">
        <f t="shared" si="39"/>
        <v>2.2000000000000002</v>
      </c>
      <c r="Q131" s="123">
        <f t="shared" si="39"/>
        <v>2.2000000000000002</v>
      </c>
      <c r="R131" s="123">
        <f t="shared" si="39"/>
        <v>2.2000000000000002</v>
      </c>
      <c r="S131" s="123">
        <f t="shared" si="39"/>
        <v>2.2000000000000002</v>
      </c>
      <c r="T131" s="123">
        <f t="shared" ref="T131:AF138" si="40">S131</f>
        <v>2.2000000000000002</v>
      </c>
      <c r="U131" s="123">
        <f t="shared" si="40"/>
        <v>2.2000000000000002</v>
      </c>
      <c r="V131" s="123">
        <f t="shared" si="40"/>
        <v>2.2000000000000002</v>
      </c>
      <c r="W131" s="123">
        <f t="shared" si="40"/>
        <v>2.2000000000000002</v>
      </c>
      <c r="X131" s="123">
        <f t="shared" si="40"/>
        <v>2.2000000000000002</v>
      </c>
      <c r="Y131" s="123">
        <f t="shared" si="40"/>
        <v>2.2000000000000002</v>
      </c>
      <c r="Z131" s="123">
        <f t="shared" si="40"/>
        <v>2.2000000000000002</v>
      </c>
      <c r="AA131" s="123">
        <f t="shared" si="40"/>
        <v>2.2000000000000002</v>
      </c>
      <c r="AB131" s="123">
        <f t="shared" si="40"/>
        <v>2.2000000000000002</v>
      </c>
      <c r="AC131" s="123">
        <f t="shared" si="40"/>
        <v>2.2000000000000002</v>
      </c>
      <c r="AD131" s="123">
        <f t="shared" si="40"/>
        <v>2.2000000000000002</v>
      </c>
      <c r="AE131" s="123">
        <f t="shared" si="40"/>
        <v>2.2000000000000002</v>
      </c>
      <c r="AF131" s="123">
        <f t="shared" si="40"/>
        <v>2.2000000000000002</v>
      </c>
      <c r="AG131" s="126">
        <v>5</v>
      </c>
      <c r="AH131" s="55"/>
      <c r="AI131" s="56"/>
      <c r="AK131" s="57"/>
    </row>
    <row r="132" spans="1:37" x14ac:dyDescent="0.25">
      <c r="A132" s="111" t="s">
        <v>137</v>
      </c>
      <c r="B132" s="123">
        <f t="shared" si="38"/>
        <v>2</v>
      </c>
      <c r="C132" s="124">
        <v>2</v>
      </c>
      <c r="D132" s="123">
        <f t="shared" si="39"/>
        <v>2</v>
      </c>
      <c r="E132" s="123">
        <f t="shared" si="39"/>
        <v>2</v>
      </c>
      <c r="F132" s="123">
        <f t="shared" si="39"/>
        <v>2</v>
      </c>
      <c r="G132" s="123">
        <f t="shared" si="39"/>
        <v>2</v>
      </c>
      <c r="H132" s="123">
        <f t="shared" si="39"/>
        <v>2</v>
      </c>
      <c r="I132" s="123">
        <f t="shared" si="39"/>
        <v>2</v>
      </c>
      <c r="J132" s="123">
        <f t="shared" si="39"/>
        <v>2</v>
      </c>
      <c r="K132" s="123">
        <f t="shared" si="39"/>
        <v>2</v>
      </c>
      <c r="L132" s="123">
        <f t="shared" si="39"/>
        <v>2</v>
      </c>
      <c r="M132" s="123">
        <f t="shared" si="39"/>
        <v>2</v>
      </c>
      <c r="N132" s="123">
        <f t="shared" si="39"/>
        <v>2</v>
      </c>
      <c r="O132" s="123">
        <f t="shared" si="39"/>
        <v>2</v>
      </c>
      <c r="P132" s="123">
        <f t="shared" si="39"/>
        <v>2</v>
      </c>
      <c r="Q132" s="123">
        <f t="shared" si="39"/>
        <v>2</v>
      </c>
      <c r="R132" s="123">
        <f t="shared" si="39"/>
        <v>2</v>
      </c>
      <c r="S132" s="123">
        <f t="shared" si="39"/>
        <v>2</v>
      </c>
      <c r="T132" s="123">
        <f t="shared" si="40"/>
        <v>2</v>
      </c>
      <c r="U132" s="123">
        <f t="shared" si="40"/>
        <v>2</v>
      </c>
      <c r="V132" s="123">
        <f t="shared" si="40"/>
        <v>2</v>
      </c>
      <c r="W132" s="123">
        <f t="shared" si="40"/>
        <v>2</v>
      </c>
      <c r="X132" s="123">
        <f t="shared" si="40"/>
        <v>2</v>
      </c>
      <c r="Y132" s="123">
        <f t="shared" si="40"/>
        <v>2</v>
      </c>
      <c r="Z132" s="123">
        <f t="shared" si="40"/>
        <v>2</v>
      </c>
      <c r="AA132" s="123">
        <f t="shared" si="40"/>
        <v>2</v>
      </c>
      <c r="AB132" s="123">
        <f t="shared" si="40"/>
        <v>2</v>
      </c>
      <c r="AC132" s="123">
        <f t="shared" si="40"/>
        <v>2</v>
      </c>
      <c r="AD132" s="123">
        <f t="shared" si="40"/>
        <v>2</v>
      </c>
      <c r="AE132" s="123">
        <f t="shared" si="40"/>
        <v>2</v>
      </c>
      <c r="AF132" s="123">
        <f t="shared" si="40"/>
        <v>2</v>
      </c>
      <c r="AG132" s="126">
        <v>5</v>
      </c>
      <c r="AH132" s="55"/>
      <c r="AI132" s="56"/>
      <c r="AK132" s="57"/>
    </row>
    <row r="133" spans="1:37" x14ac:dyDescent="0.25">
      <c r="A133" s="111" t="s">
        <v>138</v>
      </c>
      <c r="B133" s="123">
        <f t="shared" si="38"/>
        <v>1.25</v>
      </c>
      <c r="C133" s="124">
        <v>1.25</v>
      </c>
      <c r="D133" s="123">
        <f t="shared" si="39"/>
        <v>1.25</v>
      </c>
      <c r="E133" s="123">
        <f t="shared" si="39"/>
        <v>1.25</v>
      </c>
      <c r="F133" s="123">
        <f t="shared" si="39"/>
        <v>1.25</v>
      </c>
      <c r="G133" s="123">
        <f t="shared" si="39"/>
        <v>1.25</v>
      </c>
      <c r="H133" s="123">
        <f t="shared" si="39"/>
        <v>1.25</v>
      </c>
      <c r="I133" s="123">
        <f t="shared" si="39"/>
        <v>1.25</v>
      </c>
      <c r="J133" s="123">
        <f t="shared" si="39"/>
        <v>1.25</v>
      </c>
      <c r="K133" s="123">
        <f t="shared" si="39"/>
        <v>1.25</v>
      </c>
      <c r="L133" s="123">
        <f t="shared" si="39"/>
        <v>1.25</v>
      </c>
      <c r="M133" s="123">
        <f t="shared" si="39"/>
        <v>1.25</v>
      </c>
      <c r="N133" s="123">
        <f t="shared" si="39"/>
        <v>1.25</v>
      </c>
      <c r="O133" s="123">
        <f t="shared" si="39"/>
        <v>1.25</v>
      </c>
      <c r="P133" s="123">
        <f t="shared" si="39"/>
        <v>1.25</v>
      </c>
      <c r="Q133" s="123">
        <f t="shared" si="39"/>
        <v>1.25</v>
      </c>
      <c r="R133" s="123">
        <f t="shared" si="39"/>
        <v>1.25</v>
      </c>
      <c r="S133" s="123">
        <f t="shared" si="39"/>
        <v>1.25</v>
      </c>
      <c r="T133" s="123">
        <f t="shared" si="40"/>
        <v>1.25</v>
      </c>
      <c r="U133" s="123">
        <f t="shared" si="40"/>
        <v>1.25</v>
      </c>
      <c r="V133" s="123">
        <f t="shared" si="40"/>
        <v>1.25</v>
      </c>
      <c r="W133" s="123">
        <f t="shared" si="40"/>
        <v>1.25</v>
      </c>
      <c r="X133" s="123">
        <f t="shared" si="40"/>
        <v>1.25</v>
      </c>
      <c r="Y133" s="123">
        <f t="shared" si="40"/>
        <v>1.25</v>
      </c>
      <c r="Z133" s="123">
        <f t="shared" si="40"/>
        <v>1.25</v>
      </c>
      <c r="AA133" s="123">
        <f t="shared" si="40"/>
        <v>1.25</v>
      </c>
      <c r="AB133" s="123">
        <f t="shared" si="40"/>
        <v>1.25</v>
      </c>
      <c r="AC133" s="123">
        <f t="shared" si="40"/>
        <v>1.25</v>
      </c>
      <c r="AD133" s="123">
        <f t="shared" si="40"/>
        <v>1.25</v>
      </c>
      <c r="AE133" s="123">
        <f t="shared" si="40"/>
        <v>1.25</v>
      </c>
      <c r="AF133" s="123">
        <f t="shared" si="40"/>
        <v>1.25</v>
      </c>
      <c r="AG133" s="126">
        <v>5</v>
      </c>
      <c r="AH133" s="55"/>
      <c r="AI133" s="56"/>
      <c r="AK133" s="57"/>
    </row>
    <row r="134" spans="1:37" x14ac:dyDescent="0.25">
      <c r="A134" s="111" t="s">
        <v>139</v>
      </c>
      <c r="B134" s="123">
        <f t="shared" si="38"/>
        <v>1.1499999999999999</v>
      </c>
      <c r="C134" s="124">
        <v>1.1499999999999999</v>
      </c>
      <c r="D134" s="123">
        <f t="shared" si="39"/>
        <v>1.1499999999999999</v>
      </c>
      <c r="E134" s="123">
        <f t="shared" si="39"/>
        <v>1.1499999999999999</v>
      </c>
      <c r="F134" s="123">
        <f t="shared" si="39"/>
        <v>1.1499999999999999</v>
      </c>
      <c r="G134" s="123">
        <f t="shared" si="39"/>
        <v>1.1499999999999999</v>
      </c>
      <c r="H134" s="123">
        <f t="shared" si="39"/>
        <v>1.1499999999999999</v>
      </c>
      <c r="I134" s="123">
        <f t="shared" si="39"/>
        <v>1.1499999999999999</v>
      </c>
      <c r="J134" s="123">
        <f t="shared" si="39"/>
        <v>1.1499999999999999</v>
      </c>
      <c r="K134" s="123">
        <f t="shared" si="39"/>
        <v>1.1499999999999999</v>
      </c>
      <c r="L134" s="123">
        <f t="shared" si="39"/>
        <v>1.1499999999999999</v>
      </c>
      <c r="M134" s="123">
        <f t="shared" si="39"/>
        <v>1.1499999999999999</v>
      </c>
      <c r="N134" s="123">
        <f t="shared" si="39"/>
        <v>1.1499999999999999</v>
      </c>
      <c r="O134" s="123">
        <f t="shared" si="39"/>
        <v>1.1499999999999999</v>
      </c>
      <c r="P134" s="123">
        <f t="shared" si="39"/>
        <v>1.1499999999999999</v>
      </c>
      <c r="Q134" s="123">
        <f t="shared" si="39"/>
        <v>1.1499999999999999</v>
      </c>
      <c r="R134" s="123">
        <f t="shared" si="39"/>
        <v>1.1499999999999999</v>
      </c>
      <c r="S134" s="123">
        <f t="shared" si="39"/>
        <v>1.1499999999999999</v>
      </c>
      <c r="T134" s="123">
        <f t="shared" si="40"/>
        <v>1.1499999999999999</v>
      </c>
      <c r="U134" s="123">
        <f t="shared" si="40"/>
        <v>1.1499999999999999</v>
      </c>
      <c r="V134" s="123">
        <f t="shared" si="40"/>
        <v>1.1499999999999999</v>
      </c>
      <c r="W134" s="123">
        <f t="shared" si="40"/>
        <v>1.1499999999999999</v>
      </c>
      <c r="X134" s="123">
        <f t="shared" si="40"/>
        <v>1.1499999999999999</v>
      </c>
      <c r="Y134" s="123">
        <f t="shared" si="40"/>
        <v>1.1499999999999999</v>
      </c>
      <c r="Z134" s="123">
        <f t="shared" si="40"/>
        <v>1.1499999999999999</v>
      </c>
      <c r="AA134" s="123">
        <f t="shared" si="40"/>
        <v>1.1499999999999999</v>
      </c>
      <c r="AB134" s="123">
        <f t="shared" si="40"/>
        <v>1.1499999999999999</v>
      </c>
      <c r="AC134" s="123">
        <f t="shared" si="40"/>
        <v>1.1499999999999999</v>
      </c>
      <c r="AD134" s="123">
        <f t="shared" si="40"/>
        <v>1.1499999999999999</v>
      </c>
      <c r="AE134" s="123">
        <f t="shared" si="40"/>
        <v>1.1499999999999999</v>
      </c>
      <c r="AF134" s="123">
        <f t="shared" si="40"/>
        <v>1.1499999999999999</v>
      </c>
      <c r="AG134" s="126">
        <v>5</v>
      </c>
      <c r="AH134" s="55"/>
      <c r="AI134" s="56"/>
      <c r="AK134" s="57"/>
    </row>
    <row r="135" spans="1:37" x14ac:dyDescent="0.25">
      <c r="A135" s="111" t="s">
        <v>140</v>
      </c>
      <c r="B135" s="123">
        <f t="shared" si="38"/>
        <v>2.133</v>
      </c>
      <c r="C135" s="124">
        <v>2.133</v>
      </c>
      <c r="D135" s="123">
        <f t="shared" si="39"/>
        <v>2.133</v>
      </c>
      <c r="E135" s="123">
        <f t="shared" si="39"/>
        <v>2.133</v>
      </c>
      <c r="F135" s="123">
        <f t="shared" si="39"/>
        <v>2.133</v>
      </c>
      <c r="G135" s="123">
        <f t="shared" si="39"/>
        <v>2.133</v>
      </c>
      <c r="H135" s="123">
        <f t="shared" si="39"/>
        <v>2.133</v>
      </c>
      <c r="I135" s="123">
        <f t="shared" si="39"/>
        <v>2.133</v>
      </c>
      <c r="J135" s="123">
        <f t="shared" si="39"/>
        <v>2.133</v>
      </c>
      <c r="K135" s="123">
        <f t="shared" si="39"/>
        <v>2.133</v>
      </c>
      <c r="L135" s="123">
        <f t="shared" si="39"/>
        <v>2.133</v>
      </c>
      <c r="M135" s="123">
        <f t="shared" si="39"/>
        <v>2.133</v>
      </c>
      <c r="N135" s="123">
        <f t="shared" si="39"/>
        <v>2.133</v>
      </c>
      <c r="O135" s="123">
        <f t="shared" si="39"/>
        <v>2.133</v>
      </c>
      <c r="P135" s="123">
        <f t="shared" si="39"/>
        <v>2.133</v>
      </c>
      <c r="Q135" s="123">
        <f t="shared" si="39"/>
        <v>2.133</v>
      </c>
      <c r="R135" s="123">
        <f t="shared" si="39"/>
        <v>2.133</v>
      </c>
      <c r="S135" s="123">
        <f t="shared" si="39"/>
        <v>2.133</v>
      </c>
      <c r="T135" s="123">
        <f t="shared" si="40"/>
        <v>2.133</v>
      </c>
      <c r="U135" s="123">
        <f t="shared" si="40"/>
        <v>2.133</v>
      </c>
      <c r="V135" s="123">
        <f t="shared" si="40"/>
        <v>2.133</v>
      </c>
      <c r="W135" s="123">
        <f t="shared" si="40"/>
        <v>2.133</v>
      </c>
      <c r="X135" s="123">
        <f t="shared" si="40"/>
        <v>2.133</v>
      </c>
      <c r="Y135" s="123">
        <f t="shared" si="40"/>
        <v>2.133</v>
      </c>
      <c r="Z135" s="123">
        <f t="shared" si="40"/>
        <v>2.133</v>
      </c>
      <c r="AA135" s="123">
        <f t="shared" si="40"/>
        <v>2.133</v>
      </c>
      <c r="AB135" s="123">
        <f t="shared" si="40"/>
        <v>2.133</v>
      </c>
      <c r="AC135" s="123">
        <f t="shared" si="40"/>
        <v>2.133</v>
      </c>
      <c r="AD135" s="123">
        <f t="shared" si="40"/>
        <v>2.133</v>
      </c>
      <c r="AE135" s="123">
        <f t="shared" si="40"/>
        <v>2.133</v>
      </c>
      <c r="AF135" s="123">
        <f t="shared" si="40"/>
        <v>2.133</v>
      </c>
      <c r="AG135" s="126">
        <v>4.9930000000000003</v>
      </c>
      <c r="AH135" s="55"/>
      <c r="AI135" s="56"/>
      <c r="AK135" s="57"/>
    </row>
    <row r="136" spans="1:37" x14ac:dyDescent="0.25">
      <c r="A136" s="111" t="s">
        <v>141</v>
      </c>
      <c r="B136" s="123">
        <f t="shared" si="38"/>
        <v>2.09</v>
      </c>
      <c r="C136" s="124">
        <v>2.09</v>
      </c>
      <c r="D136" s="123">
        <f t="shared" si="39"/>
        <v>2.09</v>
      </c>
      <c r="E136" s="123">
        <f t="shared" si="39"/>
        <v>2.09</v>
      </c>
      <c r="F136" s="123">
        <f t="shared" si="39"/>
        <v>2.09</v>
      </c>
      <c r="G136" s="123">
        <f t="shared" si="39"/>
        <v>2.09</v>
      </c>
      <c r="H136" s="123">
        <f t="shared" si="39"/>
        <v>2.09</v>
      </c>
      <c r="I136" s="123">
        <f t="shared" si="39"/>
        <v>2.09</v>
      </c>
      <c r="J136" s="123">
        <f t="shared" si="39"/>
        <v>2.09</v>
      </c>
      <c r="K136" s="123">
        <f t="shared" si="39"/>
        <v>2.09</v>
      </c>
      <c r="L136" s="123">
        <f t="shared" si="39"/>
        <v>2.09</v>
      </c>
      <c r="M136" s="123">
        <f t="shared" si="39"/>
        <v>2.09</v>
      </c>
      <c r="N136" s="123">
        <f t="shared" si="39"/>
        <v>2.09</v>
      </c>
      <c r="O136" s="123">
        <f t="shared" si="39"/>
        <v>2.09</v>
      </c>
      <c r="P136" s="123">
        <f t="shared" si="39"/>
        <v>2.09</v>
      </c>
      <c r="Q136" s="123">
        <f t="shared" si="39"/>
        <v>2.09</v>
      </c>
      <c r="R136" s="123">
        <f t="shared" si="39"/>
        <v>2.09</v>
      </c>
      <c r="S136" s="123">
        <f t="shared" si="39"/>
        <v>2.09</v>
      </c>
      <c r="T136" s="123">
        <f t="shared" si="40"/>
        <v>2.09</v>
      </c>
      <c r="U136" s="123">
        <f t="shared" si="40"/>
        <v>2.09</v>
      </c>
      <c r="V136" s="123">
        <f t="shared" si="40"/>
        <v>2.09</v>
      </c>
      <c r="W136" s="123">
        <f t="shared" si="40"/>
        <v>2.09</v>
      </c>
      <c r="X136" s="123">
        <f t="shared" si="40"/>
        <v>2.09</v>
      </c>
      <c r="Y136" s="123">
        <f t="shared" si="40"/>
        <v>2.09</v>
      </c>
      <c r="Z136" s="123">
        <f t="shared" si="40"/>
        <v>2.09</v>
      </c>
      <c r="AA136" s="123">
        <f t="shared" si="40"/>
        <v>2.09</v>
      </c>
      <c r="AB136" s="123">
        <f t="shared" si="40"/>
        <v>2.09</v>
      </c>
      <c r="AC136" s="123">
        <f t="shared" si="40"/>
        <v>2.09</v>
      </c>
      <c r="AD136" s="123">
        <f t="shared" si="40"/>
        <v>2.09</v>
      </c>
      <c r="AE136" s="123">
        <f t="shared" si="40"/>
        <v>2.09</v>
      </c>
      <c r="AF136" s="123">
        <f t="shared" si="40"/>
        <v>2.09</v>
      </c>
      <c r="AG136" s="126">
        <v>4.9800000000000004</v>
      </c>
      <c r="AH136" s="55"/>
      <c r="AI136" s="56"/>
      <c r="AK136" s="57"/>
    </row>
    <row r="137" spans="1:37" x14ac:dyDescent="0.25">
      <c r="A137" s="111" t="s">
        <v>142</v>
      </c>
      <c r="B137" s="123">
        <f t="shared" si="38"/>
        <v>1.1399999999999999</v>
      </c>
      <c r="C137" s="124">
        <v>1.1399999999999999</v>
      </c>
      <c r="D137" s="123">
        <f t="shared" si="39"/>
        <v>1.1399999999999999</v>
      </c>
      <c r="E137" s="123">
        <f t="shared" si="39"/>
        <v>1.1399999999999999</v>
      </c>
      <c r="F137" s="123">
        <f t="shared" si="39"/>
        <v>1.1399999999999999</v>
      </c>
      <c r="G137" s="123">
        <f t="shared" si="39"/>
        <v>1.1399999999999999</v>
      </c>
      <c r="H137" s="123">
        <f t="shared" si="39"/>
        <v>1.1399999999999999</v>
      </c>
      <c r="I137" s="123">
        <f t="shared" si="39"/>
        <v>1.1399999999999999</v>
      </c>
      <c r="J137" s="123">
        <f t="shared" si="39"/>
        <v>1.1399999999999999</v>
      </c>
      <c r="K137" s="123">
        <f t="shared" si="39"/>
        <v>1.1399999999999999</v>
      </c>
      <c r="L137" s="123">
        <f t="shared" si="39"/>
        <v>1.1399999999999999</v>
      </c>
      <c r="M137" s="123">
        <f t="shared" si="39"/>
        <v>1.1399999999999999</v>
      </c>
      <c r="N137" s="123">
        <f t="shared" si="39"/>
        <v>1.1399999999999999</v>
      </c>
      <c r="O137" s="123">
        <f t="shared" si="39"/>
        <v>1.1399999999999999</v>
      </c>
      <c r="P137" s="123">
        <f t="shared" si="39"/>
        <v>1.1399999999999999</v>
      </c>
      <c r="Q137" s="123">
        <f t="shared" si="39"/>
        <v>1.1399999999999999</v>
      </c>
      <c r="R137" s="123">
        <f t="shared" si="39"/>
        <v>1.1399999999999999</v>
      </c>
      <c r="S137" s="123">
        <f t="shared" si="39"/>
        <v>1.1399999999999999</v>
      </c>
      <c r="T137" s="123">
        <f t="shared" si="40"/>
        <v>1.1399999999999999</v>
      </c>
      <c r="U137" s="123">
        <f t="shared" si="40"/>
        <v>1.1399999999999999</v>
      </c>
      <c r="V137" s="123">
        <f t="shared" si="40"/>
        <v>1.1399999999999999</v>
      </c>
      <c r="W137" s="123">
        <f t="shared" si="40"/>
        <v>1.1399999999999999</v>
      </c>
      <c r="X137" s="123">
        <f t="shared" si="40"/>
        <v>1.1399999999999999</v>
      </c>
      <c r="Y137" s="123">
        <f t="shared" si="40"/>
        <v>1.1399999999999999</v>
      </c>
      <c r="Z137" s="123">
        <f t="shared" si="40"/>
        <v>1.1399999999999999</v>
      </c>
      <c r="AA137" s="123">
        <f t="shared" si="40"/>
        <v>1.1399999999999999</v>
      </c>
      <c r="AB137" s="123">
        <f t="shared" si="40"/>
        <v>1.1399999999999999</v>
      </c>
      <c r="AC137" s="123">
        <f t="shared" si="40"/>
        <v>1.1399999999999999</v>
      </c>
      <c r="AD137" s="123">
        <f t="shared" si="40"/>
        <v>1.1399999999999999</v>
      </c>
      <c r="AE137" s="123">
        <f t="shared" si="40"/>
        <v>1.1399999999999999</v>
      </c>
      <c r="AF137" s="123">
        <f t="shared" si="40"/>
        <v>1.1399999999999999</v>
      </c>
      <c r="AG137" s="126">
        <v>4.95</v>
      </c>
      <c r="AH137" s="55"/>
      <c r="AI137" s="56"/>
      <c r="AK137" s="57"/>
    </row>
    <row r="138" spans="1:37" x14ac:dyDescent="0.25">
      <c r="A138" s="111" t="s">
        <v>143</v>
      </c>
      <c r="B138" s="123">
        <f t="shared" si="38"/>
        <v>0.82</v>
      </c>
      <c r="C138" s="124">
        <v>0.82</v>
      </c>
      <c r="D138" s="123">
        <f t="shared" si="39"/>
        <v>0.82</v>
      </c>
      <c r="E138" s="123">
        <f t="shared" si="39"/>
        <v>0.82</v>
      </c>
      <c r="F138" s="123">
        <f t="shared" si="39"/>
        <v>0.82</v>
      </c>
      <c r="G138" s="123">
        <f t="shared" si="39"/>
        <v>0.82</v>
      </c>
      <c r="H138" s="123">
        <f t="shared" si="39"/>
        <v>0.82</v>
      </c>
      <c r="I138" s="123">
        <f t="shared" si="39"/>
        <v>0.82</v>
      </c>
      <c r="J138" s="123">
        <f t="shared" si="39"/>
        <v>0.82</v>
      </c>
      <c r="K138" s="123">
        <f t="shared" si="39"/>
        <v>0.82</v>
      </c>
      <c r="L138" s="123">
        <f t="shared" si="39"/>
        <v>0.82</v>
      </c>
      <c r="M138" s="123">
        <f t="shared" si="39"/>
        <v>0.82</v>
      </c>
      <c r="N138" s="123">
        <f t="shared" si="39"/>
        <v>0.82</v>
      </c>
      <c r="O138" s="123">
        <f t="shared" si="39"/>
        <v>0.82</v>
      </c>
      <c r="P138" s="123">
        <f t="shared" si="39"/>
        <v>0.82</v>
      </c>
      <c r="Q138" s="123">
        <f t="shared" si="39"/>
        <v>0.82</v>
      </c>
      <c r="R138" s="123">
        <f t="shared" si="39"/>
        <v>0.82</v>
      </c>
      <c r="S138" s="123">
        <f t="shared" si="39"/>
        <v>0.82</v>
      </c>
      <c r="T138" s="123">
        <f t="shared" si="40"/>
        <v>0.82</v>
      </c>
      <c r="U138" s="123">
        <f t="shared" si="40"/>
        <v>0.82</v>
      </c>
      <c r="V138" s="123">
        <f t="shared" si="40"/>
        <v>0.82</v>
      </c>
      <c r="W138" s="123">
        <f t="shared" si="40"/>
        <v>0.82</v>
      </c>
      <c r="X138" s="123">
        <f t="shared" si="40"/>
        <v>0.82</v>
      </c>
      <c r="Y138" s="123">
        <f t="shared" si="40"/>
        <v>0.82</v>
      </c>
      <c r="Z138" s="123">
        <f t="shared" si="40"/>
        <v>0.82</v>
      </c>
      <c r="AA138" s="123">
        <f t="shared" si="40"/>
        <v>0.82</v>
      </c>
      <c r="AB138" s="123">
        <f t="shared" si="40"/>
        <v>0.82</v>
      </c>
      <c r="AC138" s="123">
        <f t="shared" si="40"/>
        <v>0.82</v>
      </c>
      <c r="AD138" s="123">
        <f t="shared" si="40"/>
        <v>0.82</v>
      </c>
      <c r="AE138" s="123">
        <f t="shared" si="40"/>
        <v>0.82</v>
      </c>
      <c r="AF138" s="123">
        <f t="shared" si="40"/>
        <v>0.82</v>
      </c>
      <c r="AG138" s="126">
        <v>4.95</v>
      </c>
      <c r="AH138" s="55"/>
      <c r="AI138" s="56"/>
      <c r="AK138" s="57"/>
    </row>
    <row r="139" spans="1:37" x14ac:dyDescent="0.25">
      <c r="A139" s="111" t="s">
        <v>144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5"/>
      <c r="AI139" s="56"/>
      <c r="AK139" s="57"/>
    </row>
    <row r="140" spans="1:37" x14ac:dyDescent="0.25">
      <c r="A140" s="111" t="s">
        <v>145</v>
      </c>
      <c r="B140" s="123">
        <f t="shared" ref="B140:B146" si="41">AF140</f>
        <v>2</v>
      </c>
      <c r="C140" s="124">
        <v>2</v>
      </c>
      <c r="D140" s="123">
        <f t="shared" ref="D140:S146" si="42">C140</f>
        <v>2</v>
      </c>
      <c r="E140" s="123">
        <f t="shared" si="42"/>
        <v>2</v>
      </c>
      <c r="F140" s="123">
        <f t="shared" si="42"/>
        <v>2</v>
      </c>
      <c r="G140" s="123">
        <f t="shared" si="42"/>
        <v>2</v>
      </c>
      <c r="H140" s="123">
        <f t="shared" si="42"/>
        <v>2</v>
      </c>
      <c r="I140" s="123">
        <f t="shared" si="42"/>
        <v>2</v>
      </c>
      <c r="J140" s="123">
        <f t="shared" si="42"/>
        <v>2</v>
      </c>
      <c r="K140" s="123">
        <f t="shared" si="42"/>
        <v>2</v>
      </c>
      <c r="L140" s="123">
        <f t="shared" si="42"/>
        <v>2</v>
      </c>
      <c r="M140" s="123">
        <f t="shared" si="42"/>
        <v>2</v>
      </c>
      <c r="N140" s="123">
        <f t="shared" si="42"/>
        <v>2</v>
      </c>
      <c r="O140" s="123">
        <f t="shared" si="42"/>
        <v>2</v>
      </c>
      <c r="P140" s="123">
        <f t="shared" si="42"/>
        <v>2</v>
      </c>
      <c r="Q140" s="123">
        <f t="shared" si="42"/>
        <v>2</v>
      </c>
      <c r="R140" s="123">
        <f t="shared" si="42"/>
        <v>2</v>
      </c>
      <c r="S140" s="123">
        <f t="shared" si="42"/>
        <v>2</v>
      </c>
      <c r="T140" s="123">
        <f t="shared" ref="T140:AF146" si="43">S140</f>
        <v>2</v>
      </c>
      <c r="U140" s="123">
        <f t="shared" si="43"/>
        <v>2</v>
      </c>
      <c r="V140" s="123">
        <f t="shared" si="43"/>
        <v>2</v>
      </c>
      <c r="W140" s="123">
        <f t="shared" si="43"/>
        <v>2</v>
      </c>
      <c r="X140" s="123">
        <f t="shared" si="43"/>
        <v>2</v>
      </c>
      <c r="Y140" s="123">
        <f t="shared" si="43"/>
        <v>2</v>
      </c>
      <c r="Z140" s="123">
        <f t="shared" si="43"/>
        <v>2</v>
      </c>
      <c r="AA140" s="123">
        <f t="shared" si="43"/>
        <v>2</v>
      </c>
      <c r="AB140" s="123">
        <f t="shared" si="43"/>
        <v>2</v>
      </c>
      <c r="AC140" s="123">
        <f t="shared" si="43"/>
        <v>2</v>
      </c>
      <c r="AD140" s="123">
        <f t="shared" si="43"/>
        <v>2</v>
      </c>
      <c r="AE140" s="123">
        <f t="shared" si="43"/>
        <v>2</v>
      </c>
      <c r="AF140" s="123">
        <f t="shared" si="43"/>
        <v>2</v>
      </c>
      <c r="AG140" s="126">
        <v>4.8</v>
      </c>
      <c r="AH140" s="55"/>
      <c r="AI140" s="56"/>
      <c r="AK140" s="57"/>
    </row>
    <row r="141" spans="1:37" x14ac:dyDescent="0.25">
      <c r="A141" s="111" t="s">
        <v>146</v>
      </c>
      <c r="B141" s="123">
        <f t="shared" si="41"/>
        <v>5.61</v>
      </c>
      <c r="C141" s="124">
        <v>5.61</v>
      </c>
      <c r="D141" s="123">
        <f t="shared" si="42"/>
        <v>5.61</v>
      </c>
      <c r="E141" s="123">
        <f t="shared" si="42"/>
        <v>5.61</v>
      </c>
      <c r="F141" s="123">
        <f t="shared" si="42"/>
        <v>5.61</v>
      </c>
      <c r="G141" s="123">
        <f t="shared" si="42"/>
        <v>5.61</v>
      </c>
      <c r="H141" s="123">
        <f t="shared" si="42"/>
        <v>5.61</v>
      </c>
      <c r="I141" s="123">
        <f t="shared" si="42"/>
        <v>5.61</v>
      </c>
      <c r="J141" s="123">
        <f t="shared" si="42"/>
        <v>5.61</v>
      </c>
      <c r="K141" s="123">
        <f t="shared" si="42"/>
        <v>5.61</v>
      </c>
      <c r="L141" s="123">
        <f t="shared" si="42"/>
        <v>5.61</v>
      </c>
      <c r="M141" s="123">
        <f t="shared" si="42"/>
        <v>5.61</v>
      </c>
      <c r="N141" s="123">
        <f t="shared" si="42"/>
        <v>5.61</v>
      </c>
      <c r="O141" s="123">
        <f t="shared" si="42"/>
        <v>5.61</v>
      </c>
      <c r="P141" s="123">
        <f t="shared" si="42"/>
        <v>5.61</v>
      </c>
      <c r="Q141" s="123">
        <f t="shared" si="42"/>
        <v>5.61</v>
      </c>
      <c r="R141" s="123">
        <f t="shared" si="42"/>
        <v>5.61</v>
      </c>
      <c r="S141" s="123">
        <f t="shared" si="42"/>
        <v>5.61</v>
      </c>
      <c r="T141" s="123">
        <f t="shared" si="43"/>
        <v>5.61</v>
      </c>
      <c r="U141" s="123">
        <f t="shared" si="43"/>
        <v>5.61</v>
      </c>
      <c r="V141" s="123">
        <f t="shared" si="43"/>
        <v>5.61</v>
      </c>
      <c r="W141" s="123">
        <f t="shared" si="43"/>
        <v>5.61</v>
      </c>
      <c r="X141" s="123">
        <f t="shared" si="43"/>
        <v>5.61</v>
      </c>
      <c r="Y141" s="123">
        <f t="shared" si="43"/>
        <v>5.61</v>
      </c>
      <c r="Z141" s="123">
        <f t="shared" si="43"/>
        <v>5.61</v>
      </c>
      <c r="AA141" s="123">
        <f t="shared" si="43"/>
        <v>5.61</v>
      </c>
      <c r="AB141" s="123">
        <f t="shared" si="43"/>
        <v>5.61</v>
      </c>
      <c r="AC141" s="123">
        <f t="shared" si="43"/>
        <v>5.61</v>
      </c>
      <c r="AD141" s="123">
        <f t="shared" si="43"/>
        <v>5.61</v>
      </c>
      <c r="AE141" s="123">
        <f t="shared" si="43"/>
        <v>5.61</v>
      </c>
      <c r="AF141" s="123">
        <f t="shared" si="43"/>
        <v>5.61</v>
      </c>
      <c r="AG141" s="126">
        <v>4.8</v>
      </c>
      <c r="AH141" s="55"/>
      <c r="AI141" s="56"/>
      <c r="AK141" s="57"/>
    </row>
    <row r="142" spans="1:37" x14ac:dyDescent="0.25">
      <c r="A142" s="111" t="s">
        <v>147</v>
      </c>
      <c r="B142" s="123">
        <f t="shared" si="41"/>
        <v>1.25</v>
      </c>
      <c r="C142" s="124">
        <v>1.25</v>
      </c>
      <c r="D142" s="123">
        <f t="shared" si="42"/>
        <v>1.25</v>
      </c>
      <c r="E142" s="123">
        <f t="shared" si="42"/>
        <v>1.25</v>
      </c>
      <c r="F142" s="123">
        <f t="shared" si="42"/>
        <v>1.25</v>
      </c>
      <c r="G142" s="123">
        <f t="shared" si="42"/>
        <v>1.25</v>
      </c>
      <c r="H142" s="123">
        <f t="shared" si="42"/>
        <v>1.25</v>
      </c>
      <c r="I142" s="123">
        <f t="shared" si="42"/>
        <v>1.25</v>
      </c>
      <c r="J142" s="123">
        <f t="shared" si="42"/>
        <v>1.25</v>
      </c>
      <c r="K142" s="123">
        <f t="shared" si="42"/>
        <v>1.25</v>
      </c>
      <c r="L142" s="123">
        <f t="shared" si="42"/>
        <v>1.25</v>
      </c>
      <c r="M142" s="123">
        <f t="shared" si="42"/>
        <v>1.25</v>
      </c>
      <c r="N142" s="123">
        <f t="shared" si="42"/>
        <v>1.25</v>
      </c>
      <c r="O142" s="123">
        <f t="shared" si="42"/>
        <v>1.25</v>
      </c>
      <c r="P142" s="123">
        <f t="shared" si="42"/>
        <v>1.25</v>
      </c>
      <c r="Q142" s="123">
        <f t="shared" si="42"/>
        <v>1.25</v>
      </c>
      <c r="R142" s="123">
        <f t="shared" si="42"/>
        <v>1.25</v>
      </c>
      <c r="S142" s="123">
        <f t="shared" si="42"/>
        <v>1.25</v>
      </c>
      <c r="T142" s="123">
        <f t="shared" si="43"/>
        <v>1.25</v>
      </c>
      <c r="U142" s="123">
        <f t="shared" si="43"/>
        <v>1.25</v>
      </c>
      <c r="V142" s="123">
        <f t="shared" si="43"/>
        <v>1.25</v>
      </c>
      <c r="W142" s="123">
        <f t="shared" si="43"/>
        <v>1.25</v>
      </c>
      <c r="X142" s="123">
        <f t="shared" si="43"/>
        <v>1.25</v>
      </c>
      <c r="Y142" s="123">
        <f t="shared" si="43"/>
        <v>1.25</v>
      </c>
      <c r="Z142" s="123">
        <f t="shared" si="43"/>
        <v>1.25</v>
      </c>
      <c r="AA142" s="123">
        <f t="shared" si="43"/>
        <v>1.25</v>
      </c>
      <c r="AB142" s="123">
        <f t="shared" si="43"/>
        <v>1.25</v>
      </c>
      <c r="AC142" s="123">
        <f t="shared" si="43"/>
        <v>1.25</v>
      </c>
      <c r="AD142" s="123">
        <f t="shared" si="43"/>
        <v>1.25</v>
      </c>
      <c r="AE142" s="123">
        <f t="shared" si="43"/>
        <v>1.25</v>
      </c>
      <c r="AF142" s="123">
        <f t="shared" si="43"/>
        <v>1.25</v>
      </c>
      <c r="AG142" s="126">
        <v>4.5</v>
      </c>
      <c r="AH142" s="55"/>
      <c r="AI142" s="56"/>
      <c r="AK142" s="57"/>
    </row>
    <row r="143" spans="1:37" x14ac:dyDescent="0.25">
      <c r="A143" s="111" t="s">
        <v>148</v>
      </c>
      <c r="B143" s="123">
        <f t="shared" si="41"/>
        <v>1.25</v>
      </c>
      <c r="C143" s="124">
        <v>1.25</v>
      </c>
      <c r="D143" s="123">
        <f t="shared" si="42"/>
        <v>1.25</v>
      </c>
      <c r="E143" s="123">
        <f t="shared" si="42"/>
        <v>1.25</v>
      </c>
      <c r="F143" s="123">
        <f t="shared" si="42"/>
        <v>1.25</v>
      </c>
      <c r="G143" s="123">
        <f t="shared" si="42"/>
        <v>1.25</v>
      </c>
      <c r="H143" s="123">
        <f t="shared" si="42"/>
        <v>1.25</v>
      </c>
      <c r="I143" s="123">
        <f t="shared" si="42"/>
        <v>1.25</v>
      </c>
      <c r="J143" s="123">
        <f t="shared" si="42"/>
        <v>1.25</v>
      </c>
      <c r="K143" s="123">
        <f t="shared" si="42"/>
        <v>1.25</v>
      </c>
      <c r="L143" s="123">
        <f t="shared" si="42"/>
        <v>1.25</v>
      </c>
      <c r="M143" s="123">
        <f t="shared" si="42"/>
        <v>1.25</v>
      </c>
      <c r="N143" s="123">
        <f t="shared" si="42"/>
        <v>1.25</v>
      </c>
      <c r="O143" s="123">
        <f t="shared" si="42"/>
        <v>1.25</v>
      </c>
      <c r="P143" s="123">
        <f t="shared" si="42"/>
        <v>1.25</v>
      </c>
      <c r="Q143" s="123">
        <f t="shared" si="42"/>
        <v>1.25</v>
      </c>
      <c r="R143" s="123">
        <f t="shared" si="42"/>
        <v>1.25</v>
      </c>
      <c r="S143" s="123">
        <f t="shared" si="42"/>
        <v>1.25</v>
      </c>
      <c r="T143" s="123">
        <f t="shared" si="43"/>
        <v>1.25</v>
      </c>
      <c r="U143" s="123">
        <f t="shared" si="43"/>
        <v>1.25</v>
      </c>
      <c r="V143" s="123">
        <f t="shared" si="43"/>
        <v>1.25</v>
      </c>
      <c r="W143" s="123">
        <f t="shared" si="43"/>
        <v>1.25</v>
      </c>
      <c r="X143" s="123">
        <f t="shared" si="43"/>
        <v>1.25</v>
      </c>
      <c r="Y143" s="123">
        <f t="shared" si="43"/>
        <v>1.25</v>
      </c>
      <c r="Z143" s="123">
        <f t="shared" si="43"/>
        <v>1.25</v>
      </c>
      <c r="AA143" s="123">
        <f t="shared" si="43"/>
        <v>1.25</v>
      </c>
      <c r="AB143" s="123">
        <f t="shared" si="43"/>
        <v>1.25</v>
      </c>
      <c r="AC143" s="123">
        <f t="shared" si="43"/>
        <v>1.25</v>
      </c>
      <c r="AD143" s="123">
        <f t="shared" si="43"/>
        <v>1.25</v>
      </c>
      <c r="AE143" s="123">
        <f t="shared" si="43"/>
        <v>1.25</v>
      </c>
      <c r="AF143" s="123">
        <f t="shared" si="43"/>
        <v>1.25</v>
      </c>
      <c r="AG143" s="126">
        <v>4.5</v>
      </c>
      <c r="AH143" s="55"/>
      <c r="AI143" s="56"/>
      <c r="AK143" s="57"/>
    </row>
    <row r="144" spans="1:37" x14ac:dyDescent="0.25">
      <c r="A144" s="111" t="s">
        <v>149</v>
      </c>
      <c r="B144" s="123">
        <f t="shared" si="41"/>
        <v>1.46</v>
      </c>
      <c r="C144" s="124">
        <v>1.46</v>
      </c>
      <c r="D144" s="123">
        <f t="shared" si="42"/>
        <v>1.46</v>
      </c>
      <c r="E144" s="123">
        <f t="shared" si="42"/>
        <v>1.46</v>
      </c>
      <c r="F144" s="123">
        <f t="shared" si="42"/>
        <v>1.46</v>
      </c>
      <c r="G144" s="123">
        <f t="shared" si="42"/>
        <v>1.46</v>
      </c>
      <c r="H144" s="123">
        <f t="shared" si="42"/>
        <v>1.46</v>
      </c>
      <c r="I144" s="123">
        <f t="shared" si="42"/>
        <v>1.46</v>
      </c>
      <c r="J144" s="123">
        <f t="shared" si="42"/>
        <v>1.46</v>
      </c>
      <c r="K144" s="123">
        <f t="shared" si="42"/>
        <v>1.46</v>
      </c>
      <c r="L144" s="123">
        <f t="shared" si="42"/>
        <v>1.46</v>
      </c>
      <c r="M144" s="123">
        <f t="shared" si="42"/>
        <v>1.46</v>
      </c>
      <c r="N144" s="123">
        <f t="shared" si="42"/>
        <v>1.46</v>
      </c>
      <c r="O144" s="123">
        <f t="shared" si="42"/>
        <v>1.46</v>
      </c>
      <c r="P144" s="123">
        <f t="shared" si="42"/>
        <v>1.46</v>
      </c>
      <c r="Q144" s="123">
        <f t="shared" si="42"/>
        <v>1.46</v>
      </c>
      <c r="R144" s="123">
        <f t="shared" si="42"/>
        <v>1.46</v>
      </c>
      <c r="S144" s="123">
        <f t="shared" si="42"/>
        <v>1.46</v>
      </c>
      <c r="T144" s="123">
        <f t="shared" si="43"/>
        <v>1.46</v>
      </c>
      <c r="U144" s="123">
        <f t="shared" si="43"/>
        <v>1.46</v>
      </c>
      <c r="V144" s="123">
        <f t="shared" si="43"/>
        <v>1.46</v>
      </c>
      <c r="W144" s="123">
        <f t="shared" si="43"/>
        <v>1.46</v>
      </c>
      <c r="X144" s="123">
        <f t="shared" si="43"/>
        <v>1.46</v>
      </c>
      <c r="Y144" s="123">
        <f t="shared" si="43"/>
        <v>1.46</v>
      </c>
      <c r="Z144" s="123">
        <f t="shared" si="43"/>
        <v>1.46</v>
      </c>
      <c r="AA144" s="123">
        <f t="shared" si="43"/>
        <v>1.46</v>
      </c>
      <c r="AB144" s="123">
        <f t="shared" si="43"/>
        <v>1.46</v>
      </c>
      <c r="AC144" s="123">
        <f t="shared" si="43"/>
        <v>1.46</v>
      </c>
      <c r="AD144" s="123">
        <f t="shared" si="43"/>
        <v>1.46</v>
      </c>
      <c r="AE144" s="123">
        <f t="shared" si="43"/>
        <v>1.46</v>
      </c>
      <c r="AF144" s="123">
        <f t="shared" si="43"/>
        <v>1.46</v>
      </c>
      <c r="AG144" s="126">
        <v>4.4550000000000001</v>
      </c>
      <c r="AH144" s="55"/>
      <c r="AI144" s="56"/>
      <c r="AK144" s="57"/>
    </row>
    <row r="145" spans="1:37" x14ac:dyDescent="0.25">
      <c r="A145" s="111" t="s">
        <v>150</v>
      </c>
      <c r="B145" s="123">
        <f t="shared" si="41"/>
        <v>3</v>
      </c>
      <c r="C145" s="124">
        <v>3</v>
      </c>
      <c r="D145" s="123">
        <f t="shared" si="42"/>
        <v>3</v>
      </c>
      <c r="E145" s="123">
        <f t="shared" si="42"/>
        <v>3</v>
      </c>
      <c r="F145" s="123">
        <f t="shared" si="42"/>
        <v>3</v>
      </c>
      <c r="G145" s="123">
        <f t="shared" si="42"/>
        <v>3</v>
      </c>
      <c r="H145" s="123">
        <f t="shared" si="42"/>
        <v>3</v>
      </c>
      <c r="I145" s="123">
        <f t="shared" si="42"/>
        <v>3</v>
      </c>
      <c r="J145" s="123">
        <f t="shared" si="42"/>
        <v>3</v>
      </c>
      <c r="K145" s="123">
        <f t="shared" si="42"/>
        <v>3</v>
      </c>
      <c r="L145" s="123">
        <f t="shared" si="42"/>
        <v>3</v>
      </c>
      <c r="M145" s="123">
        <f t="shared" si="42"/>
        <v>3</v>
      </c>
      <c r="N145" s="123">
        <f t="shared" si="42"/>
        <v>3</v>
      </c>
      <c r="O145" s="123">
        <f t="shared" si="42"/>
        <v>3</v>
      </c>
      <c r="P145" s="123">
        <f t="shared" si="42"/>
        <v>3</v>
      </c>
      <c r="Q145" s="123">
        <f t="shared" si="42"/>
        <v>3</v>
      </c>
      <c r="R145" s="123">
        <f t="shared" si="42"/>
        <v>3</v>
      </c>
      <c r="S145" s="123">
        <f t="shared" si="42"/>
        <v>3</v>
      </c>
      <c r="T145" s="123">
        <f t="shared" si="43"/>
        <v>3</v>
      </c>
      <c r="U145" s="123">
        <f t="shared" si="43"/>
        <v>3</v>
      </c>
      <c r="V145" s="123">
        <f t="shared" si="43"/>
        <v>3</v>
      </c>
      <c r="W145" s="123">
        <f t="shared" si="43"/>
        <v>3</v>
      </c>
      <c r="X145" s="123">
        <f t="shared" si="43"/>
        <v>3</v>
      </c>
      <c r="Y145" s="123">
        <f t="shared" si="43"/>
        <v>3</v>
      </c>
      <c r="Z145" s="123">
        <f t="shared" si="43"/>
        <v>3</v>
      </c>
      <c r="AA145" s="123">
        <f t="shared" si="43"/>
        <v>3</v>
      </c>
      <c r="AB145" s="123">
        <f t="shared" si="43"/>
        <v>3</v>
      </c>
      <c r="AC145" s="123">
        <f t="shared" si="43"/>
        <v>3</v>
      </c>
      <c r="AD145" s="123">
        <f t="shared" si="43"/>
        <v>3</v>
      </c>
      <c r="AE145" s="123">
        <f t="shared" si="43"/>
        <v>3</v>
      </c>
      <c r="AF145" s="123">
        <f t="shared" si="43"/>
        <v>3</v>
      </c>
      <c r="AG145" s="126">
        <v>4.41</v>
      </c>
      <c r="AH145" s="55"/>
      <c r="AI145" s="56"/>
      <c r="AK145" s="57"/>
    </row>
    <row r="146" spans="1:37" x14ac:dyDescent="0.25">
      <c r="A146" s="111" t="s">
        <v>151</v>
      </c>
      <c r="B146" s="123">
        <f t="shared" si="41"/>
        <v>3.3</v>
      </c>
      <c r="C146" s="124">
        <v>3.3</v>
      </c>
      <c r="D146" s="123">
        <f t="shared" si="42"/>
        <v>3.3</v>
      </c>
      <c r="E146" s="123">
        <f t="shared" si="42"/>
        <v>3.3</v>
      </c>
      <c r="F146" s="123">
        <f t="shared" si="42"/>
        <v>3.3</v>
      </c>
      <c r="G146" s="123">
        <f t="shared" si="42"/>
        <v>3.3</v>
      </c>
      <c r="H146" s="123">
        <f t="shared" si="42"/>
        <v>3.3</v>
      </c>
      <c r="I146" s="123">
        <f t="shared" si="42"/>
        <v>3.3</v>
      </c>
      <c r="J146" s="123">
        <f t="shared" si="42"/>
        <v>3.3</v>
      </c>
      <c r="K146" s="123">
        <f t="shared" si="42"/>
        <v>3.3</v>
      </c>
      <c r="L146" s="123">
        <f t="shared" si="42"/>
        <v>3.3</v>
      </c>
      <c r="M146" s="123">
        <f t="shared" si="42"/>
        <v>3.3</v>
      </c>
      <c r="N146" s="123">
        <f t="shared" si="42"/>
        <v>3.3</v>
      </c>
      <c r="O146" s="123">
        <f t="shared" si="42"/>
        <v>3.3</v>
      </c>
      <c r="P146" s="123">
        <f t="shared" si="42"/>
        <v>3.3</v>
      </c>
      <c r="Q146" s="123">
        <f t="shared" si="42"/>
        <v>3.3</v>
      </c>
      <c r="R146" s="123">
        <f t="shared" si="42"/>
        <v>3.3</v>
      </c>
      <c r="S146" s="123">
        <f t="shared" si="42"/>
        <v>3.3</v>
      </c>
      <c r="T146" s="123">
        <f t="shared" si="43"/>
        <v>3.3</v>
      </c>
      <c r="U146" s="123">
        <f t="shared" si="43"/>
        <v>3.3</v>
      </c>
      <c r="V146" s="123">
        <f t="shared" si="43"/>
        <v>3.3</v>
      </c>
      <c r="W146" s="123">
        <f t="shared" si="43"/>
        <v>3.3</v>
      </c>
      <c r="X146" s="123">
        <f t="shared" si="43"/>
        <v>3.3</v>
      </c>
      <c r="Y146" s="123">
        <f t="shared" si="43"/>
        <v>3.3</v>
      </c>
      <c r="Z146" s="123">
        <f t="shared" si="43"/>
        <v>3.3</v>
      </c>
      <c r="AA146" s="123">
        <f t="shared" si="43"/>
        <v>3.3</v>
      </c>
      <c r="AB146" s="123">
        <f t="shared" si="43"/>
        <v>3.3</v>
      </c>
      <c r="AC146" s="123">
        <f t="shared" si="43"/>
        <v>3.3</v>
      </c>
      <c r="AD146" s="123">
        <f t="shared" si="43"/>
        <v>3.3</v>
      </c>
      <c r="AE146" s="123">
        <f t="shared" si="43"/>
        <v>3.3</v>
      </c>
      <c r="AF146" s="123">
        <f t="shared" si="43"/>
        <v>3.3</v>
      </c>
      <c r="AG146" s="126">
        <v>4.4000000000000004</v>
      </c>
      <c r="AH146" s="55"/>
      <c r="AI146" s="56"/>
      <c r="AK146" s="57"/>
    </row>
    <row r="147" spans="1:37" x14ac:dyDescent="0.25">
      <c r="A147" s="111" t="s">
        <v>152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5"/>
      <c r="AI147" s="56"/>
      <c r="AK147" s="57"/>
    </row>
    <row r="148" spans="1:37" x14ac:dyDescent="0.25">
      <c r="A148" s="111" t="s">
        <v>153</v>
      </c>
      <c r="B148" s="123">
        <f>AF148</f>
        <v>1.76</v>
      </c>
      <c r="C148" s="124">
        <v>1.76</v>
      </c>
      <c r="D148" s="123">
        <f t="shared" ref="D148:S149" si="44">C148</f>
        <v>1.76</v>
      </c>
      <c r="E148" s="123">
        <f t="shared" si="44"/>
        <v>1.76</v>
      </c>
      <c r="F148" s="123">
        <f t="shared" si="44"/>
        <v>1.76</v>
      </c>
      <c r="G148" s="123">
        <f t="shared" si="44"/>
        <v>1.76</v>
      </c>
      <c r="H148" s="123">
        <f t="shared" si="44"/>
        <v>1.76</v>
      </c>
      <c r="I148" s="123">
        <f t="shared" si="44"/>
        <v>1.76</v>
      </c>
      <c r="J148" s="123">
        <f t="shared" si="44"/>
        <v>1.76</v>
      </c>
      <c r="K148" s="123">
        <f t="shared" si="44"/>
        <v>1.76</v>
      </c>
      <c r="L148" s="123">
        <f t="shared" si="44"/>
        <v>1.76</v>
      </c>
      <c r="M148" s="123">
        <f t="shared" si="44"/>
        <v>1.76</v>
      </c>
      <c r="N148" s="123">
        <f t="shared" si="44"/>
        <v>1.76</v>
      </c>
      <c r="O148" s="123">
        <f t="shared" si="44"/>
        <v>1.76</v>
      </c>
      <c r="P148" s="123">
        <f t="shared" si="44"/>
        <v>1.76</v>
      </c>
      <c r="Q148" s="123">
        <f t="shared" si="44"/>
        <v>1.76</v>
      </c>
      <c r="R148" s="123">
        <f t="shared" si="44"/>
        <v>1.76</v>
      </c>
      <c r="S148" s="123">
        <f t="shared" si="44"/>
        <v>1.76</v>
      </c>
      <c r="T148" s="123">
        <f t="shared" ref="T148:AF149" si="45">S148</f>
        <v>1.76</v>
      </c>
      <c r="U148" s="123">
        <f t="shared" si="45"/>
        <v>1.76</v>
      </c>
      <c r="V148" s="123">
        <f t="shared" si="45"/>
        <v>1.76</v>
      </c>
      <c r="W148" s="123">
        <f t="shared" si="45"/>
        <v>1.76</v>
      </c>
      <c r="X148" s="123">
        <f t="shared" si="45"/>
        <v>1.76</v>
      </c>
      <c r="Y148" s="123">
        <f t="shared" si="45"/>
        <v>1.76</v>
      </c>
      <c r="Z148" s="123">
        <f t="shared" si="45"/>
        <v>1.76</v>
      </c>
      <c r="AA148" s="123">
        <f t="shared" si="45"/>
        <v>1.76</v>
      </c>
      <c r="AB148" s="123">
        <f t="shared" si="45"/>
        <v>1.76</v>
      </c>
      <c r="AC148" s="123">
        <f t="shared" si="45"/>
        <v>1.76</v>
      </c>
      <c r="AD148" s="123">
        <f t="shared" si="45"/>
        <v>1.76</v>
      </c>
      <c r="AE148" s="123">
        <f t="shared" si="45"/>
        <v>1.76</v>
      </c>
      <c r="AF148" s="123">
        <f t="shared" si="45"/>
        <v>1.76</v>
      </c>
      <c r="AG148" s="126">
        <v>4.2</v>
      </c>
      <c r="AH148" s="55"/>
      <c r="AI148" s="56"/>
      <c r="AK148" s="57"/>
    </row>
    <row r="149" spans="1:37" x14ac:dyDescent="0.25">
      <c r="A149" s="111" t="s">
        <v>154</v>
      </c>
      <c r="B149" s="123">
        <f>AF149</f>
        <v>0</v>
      </c>
      <c r="C149" s="124">
        <v>0</v>
      </c>
      <c r="D149" s="123">
        <f t="shared" si="44"/>
        <v>0</v>
      </c>
      <c r="E149" s="123">
        <f t="shared" si="44"/>
        <v>0</v>
      </c>
      <c r="F149" s="123">
        <f t="shared" si="44"/>
        <v>0</v>
      </c>
      <c r="G149" s="123">
        <f t="shared" si="44"/>
        <v>0</v>
      </c>
      <c r="H149" s="123">
        <f t="shared" si="44"/>
        <v>0</v>
      </c>
      <c r="I149" s="123">
        <f t="shared" si="44"/>
        <v>0</v>
      </c>
      <c r="J149" s="123">
        <f t="shared" si="44"/>
        <v>0</v>
      </c>
      <c r="K149" s="123">
        <f t="shared" si="44"/>
        <v>0</v>
      </c>
      <c r="L149" s="123">
        <f t="shared" si="44"/>
        <v>0</v>
      </c>
      <c r="M149" s="123">
        <f t="shared" si="44"/>
        <v>0</v>
      </c>
      <c r="N149" s="123">
        <f t="shared" si="44"/>
        <v>0</v>
      </c>
      <c r="O149" s="123">
        <f t="shared" si="44"/>
        <v>0</v>
      </c>
      <c r="P149" s="123">
        <f t="shared" si="44"/>
        <v>0</v>
      </c>
      <c r="Q149" s="123">
        <f t="shared" si="44"/>
        <v>0</v>
      </c>
      <c r="R149" s="123">
        <f t="shared" si="44"/>
        <v>0</v>
      </c>
      <c r="S149" s="123">
        <f t="shared" si="44"/>
        <v>0</v>
      </c>
      <c r="T149" s="123">
        <f t="shared" si="45"/>
        <v>0</v>
      </c>
      <c r="U149" s="123">
        <f t="shared" si="45"/>
        <v>0</v>
      </c>
      <c r="V149" s="123">
        <f t="shared" si="45"/>
        <v>0</v>
      </c>
      <c r="W149" s="123">
        <f t="shared" si="45"/>
        <v>0</v>
      </c>
      <c r="X149" s="123">
        <f t="shared" si="45"/>
        <v>0</v>
      </c>
      <c r="Y149" s="123">
        <f t="shared" si="45"/>
        <v>0</v>
      </c>
      <c r="Z149" s="123">
        <f t="shared" si="45"/>
        <v>0</v>
      </c>
      <c r="AA149" s="123">
        <f t="shared" si="45"/>
        <v>0</v>
      </c>
      <c r="AB149" s="123">
        <f t="shared" si="45"/>
        <v>0</v>
      </c>
      <c r="AC149" s="123">
        <f t="shared" si="45"/>
        <v>0</v>
      </c>
      <c r="AD149" s="123">
        <f t="shared" si="45"/>
        <v>0</v>
      </c>
      <c r="AE149" s="123">
        <f t="shared" si="45"/>
        <v>0</v>
      </c>
      <c r="AF149" s="123">
        <f t="shared" si="45"/>
        <v>0</v>
      </c>
      <c r="AG149" s="126">
        <v>4</v>
      </c>
      <c r="AH149" s="55"/>
      <c r="AI149" s="56"/>
      <c r="AK149" s="57"/>
    </row>
    <row r="150" spans="1:37" x14ac:dyDescent="0.25">
      <c r="A150" s="111" t="s">
        <v>155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5"/>
      <c r="AI150" s="56"/>
      <c r="AK150" s="57"/>
    </row>
    <row r="151" spans="1:37" x14ac:dyDescent="0.25">
      <c r="A151" s="111" t="s">
        <v>156</v>
      </c>
      <c r="B151" s="123">
        <f>AF151</f>
        <v>0.1</v>
      </c>
      <c r="C151" s="124">
        <v>0.1</v>
      </c>
      <c r="D151" s="123">
        <f t="shared" ref="D151:S154" si="46">C151</f>
        <v>0.1</v>
      </c>
      <c r="E151" s="123">
        <f t="shared" si="46"/>
        <v>0.1</v>
      </c>
      <c r="F151" s="123">
        <f t="shared" si="46"/>
        <v>0.1</v>
      </c>
      <c r="G151" s="123">
        <f t="shared" si="46"/>
        <v>0.1</v>
      </c>
      <c r="H151" s="123">
        <f t="shared" si="46"/>
        <v>0.1</v>
      </c>
      <c r="I151" s="123">
        <f t="shared" si="46"/>
        <v>0.1</v>
      </c>
      <c r="J151" s="123">
        <f t="shared" si="46"/>
        <v>0.1</v>
      </c>
      <c r="K151" s="123">
        <f t="shared" si="46"/>
        <v>0.1</v>
      </c>
      <c r="L151" s="123">
        <f t="shared" si="46"/>
        <v>0.1</v>
      </c>
      <c r="M151" s="123">
        <f t="shared" si="46"/>
        <v>0.1</v>
      </c>
      <c r="N151" s="123">
        <f t="shared" si="46"/>
        <v>0.1</v>
      </c>
      <c r="O151" s="123">
        <f t="shared" si="46"/>
        <v>0.1</v>
      </c>
      <c r="P151" s="123">
        <f t="shared" si="46"/>
        <v>0.1</v>
      </c>
      <c r="Q151" s="123">
        <f t="shared" si="46"/>
        <v>0.1</v>
      </c>
      <c r="R151" s="123">
        <f t="shared" si="46"/>
        <v>0.1</v>
      </c>
      <c r="S151" s="123">
        <f t="shared" si="46"/>
        <v>0.1</v>
      </c>
      <c r="T151" s="123">
        <f t="shared" ref="T151:AF154" si="47">S151</f>
        <v>0.1</v>
      </c>
      <c r="U151" s="123">
        <f t="shared" si="47"/>
        <v>0.1</v>
      </c>
      <c r="V151" s="123">
        <f t="shared" si="47"/>
        <v>0.1</v>
      </c>
      <c r="W151" s="123">
        <f t="shared" si="47"/>
        <v>0.1</v>
      </c>
      <c r="X151" s="123">
        <f t="shared" si="47"/>
        <v>0.1</v>
      </c>
      <c r="Y151" s="123">
        <f t="shared" si="47"/>
        <v>0.1</v>
      </c>
      <c r="Z151" s="123">
        <f t="shared" si="47"/>
        <v>0.1</v>
      </c>
      <c r="AA151" s="123">
        <f t="shared" si="47"/>
        <v>0.1</v>
      </c>
      <c r="AB151" s="123">
        <f t="shared" si="47"/>
        <v>0.1</v>
      </c>
      <c r="AC151" s="123">
        <f t="shared" si="47"/>
        <v>0.1</v>
      </c>
      <c r="AD151" s="123">
        <f t="shared" si="47"/>
        <v>0.1</v>
      </c>
      <c r="AE151" s="123">
        <f t="shared" si="47"/>
        <v>0.1</v>
      </c>
      <c r="AF151" s="123">
        <f t="shared" si="47"/>
        <v>0.1</v>
      </c>
      <c r="AG151" s="126">
        <v>4</v>
      </c>
      <c r="AH151" s="55"/>
      <c r="AI151" s="56"/>
      <c r="AK151" s="57"/>
    </row>
    <row r="152" spans="1:37" x14ac:dyDescent="0.25">
      <c r="A152" s="111" t="s">
        <v>157</v>
      </c>
      <c r="B152" s="123">
        <f>AF152</f>
        <v>2.0499999999999998</v>
      </c>
      <c r="C152" s="124">
        <v>2.0499999999999998</v>
      </c>
      <c r="D152" s="123">
        <f t="shared" si="46"/>
        <v>2.0499999999999998</v>
      </c>
      <c r="E152" s="123">
        <f t="shared" si="46"/>
        <v>2.0499999999999998</v>
      </c>
      <c r="F152" s="123">
        <f t="shared" si="46"/>
        <v>2.0499999999999998</v>
      </c>
      <c r="G152" s="123">
        <f t="shared" si="46"/>
        <v>2.0499999999999998</v>
      </c>
      <c r="H152" s="123">
        <f t="shared" si="46"/>
        <v>2.0499999999999998</v>
      </c>
      <c r="I152" s="123">
        <f t="shared" si="46"/>
        <v>2.0499999999999998</v>
      </c>
      <c r="J152" s="123">
        <f t="shared" si="46"/>
        <v>2.0499999999999998</v>
      </c>
      <c r="K152" s="123">
        <f t="shared" si="46"/>
        <v>2.0499999999999998</v>
      </c>
      <c r="L152" s="123">
        <f t="shared" si="46"/>
        <v>2.0499999999999998</v>
      </c>
      <c r="M152" s="123">
        <f t="shared" si="46"/>
        <v>2.0499999999999998</v>
      </c>
      <c r="N152" s="123">
        <f t="shared" si="46"/>
        <v>2.0499999999999998</v>
      </c>
      <c r="O152" s="123">
        <f t="shared" si="46"/>
        <v>2.0499999999999998</v>
      </c>
      <c r="P152" s="123">
        <f t="shared" si="46"/>
        <v>2.0499999999999998</v>
      </c>
      <c r="Q152" s="123">
        <f t="shared" si="46"/>
        <v>2.0499999999999998</v>
      </c>
      <c r="R152" s="123">
        <f t="shared" si="46"/>
        <v>2.0499999999999998</v>
      </c>
      <c r="S152" s="123">
        <f t="shared" si="46"/>
        <v>2.0499999999999998</v>
      </c>
      <c r="T152" s="123">
        <f t="shared" si="47"/>
        <v>2.0499999999999998</v>
      </c>
      <c r="U152" s="123">
        <f t="shared" si="47"/>
        <v>2.0499999999999998</v>
      </c>
      <c r="V152" s="123">
        <f t="shared" si="47"/>
        <v>2.0499999999999998</v>
      </c>
      <c r="W152" s="123">
        <f t="shared" si="47"/>
        <v>2.0499999999999998</v>
      </c>
      <c r="X152" s="123">
        <f t="shared" si="47"/>
        <v>2.0499999999999998</v>
      </c>
      <c r="Y152" s="123">
        <f t="shared" si="47"/>
        <v>2.0499999999999998</v>
      </c>
      <c r="Z152" s="123">
        <f t="shared" si="47"/>
        <v>2.0499999999999998</v>
      </c>
      <c r="AA152" s="123">
        <f t="shared" si="47"/>
        <v>2.0499999999999998</v>
      </c>
      <c r="AB152" s="123">
        <f t="shared" si="47"/>
        <v>2.0499999999999998</v>
      </c>
      <c r="AC152" s="123">
        <f t="shared" si="47"/>
        <v>2.0499999999999998</v>
      </c>
      <c r="AD152" s="123">
        <f t="shared" si="47"/>
        <v>2.0499999999999998</v>
      </c>
      <c r="AE152" s="123">
        <f t="shared" si="47"/>
        <v>2.0499999999999998</v>
      </c>
      <c r="AF152" s="123">
        <f t="shared" si="47"/>
        <v>2.0499999999999998</v>
      </c>
      <c r="AG152" s="126">
        <v>4</v>
      </c>
      <c r="AH152" s="55"/>
      <c r="AI152" s="56"/>
      <c r="AK152" s="57"/>
    </row>
    <row r="153" spans="1:37" x14ac:dyDescent="0.25">
      <c r="A153" s="111" t="s">
        <v>158</v>
      </c>
      <c r="B153" s="123">
        <f>AF153</f>
        <v>2.7</v>
      </c>
      <c r="C153" s="124">
        <v>2.7</v>
      </c>
      <c r="D153" s="123">
        <f t="shared" si="46"/>
        <v>2.7</v>
      </c>
      <c r="E153" s="123">
        <f t="shared" si="46"/>
        <v>2.7</v>
      </c>
      <c r="F153" s="123">
        <f t="shared" si="46"/>
        <v>2.7</v>
      </c>
      <c r="G153" s="123">
        <f t="shared" si="46"/>
        <v>2.7</v>
      </c>
      <c r="H153" s="123">
        <f t="shared" si="46"/>
        <v>2.7</v>
      </c>
      <c r="I153" s="123">
        <f t="shared" si="46"/>
        <v>2.7</v>
      </c>
      <c r="J153" s="123">
        <f t="shared" si="46"/>
        <v>2.7</v>
      </c>
      <c r="K153" s="123">
        <f t="shared" si="46"/>
        <v>2.7</v>
      </c>
      <c r="L153" s="123">
        <f t="shared" si="46"/>
        <v>2.7</v>
      </c>
      <c r="M153" s="123">
        <f t="shared" si="46"/>
        <v>2.7</v>
      </c>
      <c r="N153" s="123">
        <f t="shared" si="46"/>
        <v>2.7</v>
      </c>
      <c r="O153" s="123">
        <f t="shared" si="46"/>
        <v>2.7</v>
      </c>
      <c r="P153" s="123">
        <f t="shared" si="46"/>
        <v>2.7</v>
      </c>
      <c r="Q153" s="123">
        <f t="shared" si="46"/>
        <v>2.7</v>
      </c>
      <c r="R153" s="123">
        <f t="shared" si="46"/>
        <v>2.7</v>
      </c>
      <c r="S153" s="123">
        <f t="shared" si="46"/>
        <v>2.7</v>
      </c>
      <c r="T153" s="123">
        <f t="shared" si="47"/>
        <v>2.7</v>
      </c>
      <c r="U153" s="123">
        <f t="shared" si="47"/>
        <v>2.7</v>
      </c>
      <c r="V153" s="123">
        <f t="shared" si="47"/>
        <v>2.7</v>
      </c>
      <c r="W153" s="123">
        <f t="shared" si="47"/>
        <v>2.7</v>
      </c>
      <c r="X153" s="123">
        <f t="shared" si="47"/>
        <v>2.7</v>
      </c>
      <c r="Y153" s="123">
        <f t="shared" si="47"/>
        <v>2.7</v>
      </c>
      <c r="Z153" s="123">
        <f t="shared" si="47"/>
        <v>2.7</v>
      </c>
      <c r="AA153" s="123">
        <f t="shared" si="47"/>
        <v>2.7</v>
      </c>
      <c r="AB153" s="123">
        <f t="shared" si="47"/>
        <v>2.7</v>
      </c>
      <c r="AC153" s="123">
        <f t="shared" si="47"/>
        <v>2.7</v>
      </c>
      <c r="AD153" s="123">
        <f t="shared" si="47"/>
        <v>2.7</v>
      </c>
      <c r="AE153" s="123">
        <f t="shared" si="47"/>
        <v>2.7</v>
      </c>
      <c r="AF153" s="123">
        <f t="shared" si="47"/>
        <v>2.7</v>
      </c>
      <c r="AG153" s="126">
        <v>4</v>
      </c>
      <c r="AH153" s="55"/>
      <c r="AI153" s="56"/>
      <c r="AK153" s="57"/>
    </row>
    <row r="154" spans="1:37" x14ac:dyDescent="0.25">
      <c r="A154" s="111" t="s">
        <v>159</v>
      </c>
      <c r="B154" s="123">
        <f>AF154</f>
        <v>2.15</v>
      </c>
      <c r="C154" s="124">
        <v>2.15</v>
      </c>
      <c r="D154" s="123">
        <f t="shared" si="46"/>
        <v>2.15</v>
      </c>
      <c r="E154" s="123">
        <f t="shared" si="46"/>
        <v>2.15</v>
      </c>
      <c r="F154" s="123">
        <f t="shared" si="46"/>
        <v>2.15</v>
      </c>
      <c r="G154" s="123">
        <f t="shared" si="46"/>
        <v>2.15</v>
      </c>
      <c r="H154" s="123">
        <f t="shared" si="46"/>
        <v>2.15</v>
      </c>
      <c r="I154" s="123">
        <f t="shared" si="46"/>
        <v>2.15</v>
      </c>
      <c r="J154" s="123">
        <f t="shared" si="46"/>
        <v>2.15</v>
      </c>
      <c r="K154" s="123">
        <f t="shared" si="46"/>
        <v>2.15</v>
      </c>
      <c r="L154" s="123">
        <f t="shared" si="46"/>
        <v>2.15</v>
      </c>
      <c r="M154" s="123">
        <f t="shared" si="46"/>
        <v>2.15</v>
      </c>
      <c r="N154" s="123">
        <f t="shared" si="46"/>
        <v>2.15</v>
      </c>
      <c r="O154" s="123">
        <f t="shared" si="46"/>
        <v>2.15</v>
      </c>
      <c r="P154" s="123">
        <f t="shared" si="46"/>
        <v>2.15</v>
      </c>
      <c r="Q154" s="123">
        <f t="shared" si="46"/>
        <v>2.15</v>
      </c>
      <c r="R154" s="123">
        <f t="shared" si="46"/>
        <v>2.15</v>
      </c>
      <c r="S154" s="123">
        <f t="shared" si="46"/>
        <v>2.15</v>
      </c>
      <c r="T154" s="123">
        <f t="shared" si="47"/>
        <v>2.15</v>
      </c>
      <c r="U154" s="123">
        <f t="shared" si="47"/>
        <v>2.15</v>
      </c>
      <c r="V154" s="123">
        <f t="shared" si="47"/>
        <v>2.15</v>
      </c>
      <c r="W154" s="123">
        <f t="shared" si="47"/>
        <v>2.15</v>
      </c>
      <c r="X154" s="123">
        <f t="shared" si="47"/>
        <v>2.15</v>
      </c>
      <c r="Y154" s="123">
        <f t="shared" si="47"/>
        <v>2.15</v>
      </c>
      <c r="Z154" s="123">
        <f t="shared" si="47"/>
        <v>2.15</v>
      </c>
      <c r="AA154" s="123">
        <f t="shared" si="47"/>
        <v>2.15</v>
      </c>
      <c r="AB154" s="123">
        <f t="shared" si="47"/>
        <v>2.15</v>
      </c>
      <c r="AC154" s="123">
        <f t="shared" si="47"/>
        <v>2.15</v>
      </c>
      <c r="AD154" s="123">
        <f t="shared" si="47"/>
        <v>2.15</v>
      </c>
      <c r="AE154" s="123">
        <f t="shared" si="47"/>
        <v>2.15</v>
      </c>
      <c r="AF154" s="123">
        <f t="shared" si="47"/>
        <v>2.15</v>
      </c>
      <c r="AG154" s="126">
        <v>4</v>
      </c>
      <c r="AH154" s="55"/>
      <c r="AI154" s="56"/>
      <c r="AK154" s="57"/>
    </row>
    <row r="155" spans="1:37" x14ac:dyDescent="0.25">
      <c r="A155" s="111" t="s">
        <v>160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5"/>
      <c r="AI155" s="56"/>
      <c r="AK155" s="57"/>
    </row>
    <row r="156" spans="1:37" x14ac:dyDescent="0.25">
      <c r="A156" s="111" t="s">
        <v>161</v>
      </c>
      <c r="B156" s="123">
        <f t="shared" ref="B156:B168" si="48">AF156</f>
        <v>0.9</v>
      </c>
      <c r="C156" s="124">
        <v>0.9</v>
      </c>
      <c r="D156" s="123">
        <f t="shared" ref="D156:S168" si="49">C156</f>
        <v>0.9</v>
      </c>
      <c r="E156" s="123">
        <f t="shared" si="49"/>
        <v>0.9</v>
      </c>
      <c r="F156" s="123">
        <f t="shared" si="49"/>
        <v>0.9</v>
      </c>
      <c r="G156" s="123">
        <f t="shared" si="49"/>
        <v>0.9</v>
      </c>
      <c r="H156" s="123">
        <f t="shared" si="49"/>
        <v>0.9</v>
      </c>
      <c r="I156" s="123">
        <f t="shared" si="49"/>
        <v>0.9</v>
      </c>
      <c r="J156" s="123">
        <f t="shared" si="49"/>
        <v>0.9</v>
      </c>
      <c r="K156" s="123">
        <f t="shared" si="49"/>
        <v>0.9</v>
      </c>
      <c r="L156" s="123">
        <f t="shared" si="49"/>
        <v>0.9</v>
      </c>
      <c r="M156" s="123">
        <f t="shared" si="49"/>
        <v>0.9</v>
      </c>
      <c r="N156" s="123">
        <f t="shared" si="49"/>
        <v>0.9</v>
      </c>
      <c r="O156" s="123">
        <f t="shared" si="49"/>
        <v>0.9</v>
      </c>
      <c r="P156" s="123">
        <f t="shared" si="49"/>
        <v>0.9</v>
      </c>
      <c r="Q156" s="123">
        <f t="shared" si="49"/>
        <v>0.9</v>
      </c>
      <c r="R156" s="123">
        <f t="shared" si="49"/>
        <v>0.9</v>
      </c>
      <c r="S156" s="123">
        <f t="shared" si="49"/>
        <v>0.9</v>
      </c>
      <c r="T156" s="123">
        <f t="shared" ref="S156:AF168" si="50">S156</f>
        <v>0.9</v>
      </c>
      <c r="U156" s="123">
        <f t="shared" si="50"/>
        <v>0.9</v>
      </c>
      <c r="V156" s="123">
        <f t="shared" si="50"/>
        <v>0.9</v>
      </c>
      <c r="W156" s="123">
        <f t="shared" si="50"/>
        <v>0.9</v>
      </c>
      <c r="X156" s="123">
        <f t="shared" si="50"/>
        <v>0.9</v>
      </c>
      <c r="Y156" s="123">
        <f t="shared" si="50"/>
        <v>0.9</v>
      </c>
      <c r="Z156" s="123">
        <f t="shared" si="50"/>
        <v>0.9</v>
      </c>
      <c r="AA156" s="123">
        <f t="shared" si="50"/>
        <v>0.9</v>
      </c>
      <c r="AB156" s="123">
        <f t="shared" si="50"/>
        <v>0.9</v>
      </c>
      <c r="AC156" s="123">
        <f t="shared" si="50"/>
        <v>0.9</v>
      </c>
      <c r="AD156" s="123">
        <f t="shared" si="50"/>
        <v>0.9</v>
      </c>
      <c r="AE156" s="123">
        <f t="shared" si="50"/>
        <v>0.9</v>
      </c>
      <c r="AF156" s="123">
        <f t="shared" si="50"/>
        <v>0.9</v>
      </c>
      <c r="AG156" s="126">
        <v>4</v>
      </c>
      <c r="AH156" s="55"/>
      <c r="AI156" s="56"/>
      <c r="AK156" s="57"/>
    </row>
    <row r="157" spans="1:37" x14ac:dyDescent="0.25">
      <c r="A157" s="111" t="s">
        <v>162</v>
      </c>
      <c r="B157" s="123">
        <f t="shared" si="48"/>
        <v>1.08</v>
      </c>
      <c r="C157" s="124">
        <v>1.08</v>
      </c>
      <c r="D157" s="123">
        <f t="shared" si="49"/>
        <v>1.08</v>
      </c>
      <c r="E157" s="123">
        <f t="shared" si="49"/>
        <v>1.08</v>
      </c>
      <c r="F157" s="123">
        <f t="shared" si="49"/>
        <v>1.08</v>
      </c>
      <c r="G157" s="123">
        <f t="shared" si="49"/>
        <v>1.08</v>
      </c>
      <c r="H157" s="123">
        <f t="shared" si="49"/>
        <v>1.08</v>
      </c>
      <c r="I157" s="123">
        <f t="shared" si="49"/>
        <v>1.08</v>
      </c>
      <c r="J157" s="123">
        <f t="shared" si="49"/>
        <v>1.08</v>
      </c>
      <c r="K157" s="123">
        <f t="shared" si="49"/>
        <v>1.08</v>
      </c>
      <c r="L157" s="123">
        <f t="shared" si="49"/>
        <v>1.08</v>
      </c>
      <c r="M157" s="123">
        <f t="shared" si="49"/>
        <v>1.08</v>
      </c>
      <c r="N157" s="123">
        <f t="shared" si="49"/>
        <v>1.08</v>
      </c>
      <c r="O157" s="123">
        <f t="shared" si="49"/>
        <v>1.08</v>
      </c>
      <c r="P157" s="123">
        <f t="shared" si="49"/>
        <v>1.08</v>
      </c>
      <c r="Q157" s="123">
        <f t="shared" si="49"/>
        <v>1.08</v>
      </c>
      <c r="R157" s="123">
        <f t="shared" si="49"/>
        <v>1.08</v>
      </c>
      <c r="S157" s="123">
        <f t="shared" si="49"/>
        <v>1.08</v>
      </c>
      <c r="T157" s="123">
        <f t="shared" si="50"/>
        <v>1.08</v>
      </c>
      <c r="U157" s="123">
        <f t="shared" si="50"/>
        <v>1.08</v>
      </c>
      <c r="V157" s="123">
        <f t="shared" si="50"/>
        <v>1.08</v>
      </c>
      <c r="W157" s="123">
        <f t="shared" si="50"/>
        <v>1.08</v>
      </c>
      <c r="X157" s="123">
        <f t="shared" si="50"/>
        <v>1.08</v>
      </c>
      <c r="Y157" s="123">
        <f t="shared" si="50"/>
        <v>1.08</v>
      </c>
      <c r="Z157" s="123">
        <f t="shared" si="50"/>
        <v>1.08</v>
      </c>
      <c r="AA157" s="123">
        <f t="shared" si="50"/>
        <v>1.08</v>
      </c>
      <c r="AB157" s="123">
        <f t="shared" si="50"/>
        <v>1.08</v>
      </c>
      <c r="AC157" s="123">
        <f t="shared" si="50"/>
        <v>1.08</v>
      </c>
      <c r="AD157" s="123">
        <f t="shared" si="50"/>
        <v>1.08</v>
      </c>
      <c r="AE157" s="123">
        <f t="shared" si="50"/>
        <v>1.08</v>
      </c>
      <c r="AF157" s="123">
        <f t="shared" si="50"/>
        <v>1.08</v>
      </c>
      <c r="AG157" s="126">
        <v>3.75</v>
      </c>
      <c r="AH157" s="55"/>
      <c r="AI157" s="56"/>
      <c r="AK157" s="57"/>
    </row>
    <row r="158" spans="1:37" x14ac:dyDescent="0.25">
      <c r="A158" s="111" t="s">
        <v>163</v>
      </c>
      <c r="B158" s="123">
        <f t="shared" si="48"/>
        <v>2.37</v>
      </c>
      <c r="C158" s="124">
        <v>2.37</v>
      </c>
      <c r="D158" s="123">
        <f t="shared" si="49"/>
        <v>2.37</v>
      </c>
      <c r="E158" s="123">
        <f t="shared" si="49"/>
        <v>2.37</v>
      </c>
      <c r="F158" s="123">
        <f t="shared" si="49"/>
        <v>2.37</v>
      </c>
      <c r="G158" s="123">
        <f t="shared" si="49"/>
        <v>2.37</v>
      </c>
      <c r="H158" s="123">
        <f t="shared" si="49"/>
        <v>2.37</v>
      </c>
      <c r="I158" s="123">
        <f t="shared" si="49"/>
        <v>2.37</v>
      </c>
      <c r="J158" s="123">
        <f t="shared" si="49"/>
        <v>2.37</v>
      </c>
      <c r="K158" s="123">
        <f t="shared" si="49"/>
        <v>2.37</v>
      </c>
      <c r="L158" s="123">
        <f t="shared" si="49"/>
        <v>2.37</v>
      </c>
      <c r="M158" s="123">
        <f t="shared" si="49"/>
        <v>2.37</v>
      </c>
      <c r="N158" s="123">
        <f t="shared" si="49"/>
        <v>2.37</v>
      </c>
      <c r="O158" s="123">
        <f t="shared" si="49"/>
        <v>2.37</v>
      </c>
      <c r="P158" s="123">
        <f t="shared" si="49"/>
        <v>2.37</v>
      </c>
      <c r="Q158" s="123">
        <f t="shared" si="49"/>
        <v>2.37</v>
      </c>
      <c r="R158" s="123">
        <f t="shared" si="49"/>
        <v>2.37</v>
      </c>
      <c r="S158" s="123">
        <f t="shared" si="49"/>
        <v>2.37</v>
      </c>
      <c r="T158" s="123">
        <f t="shared" si="50"/>
        <v>2.37</v>
      </c>
      <c r="U158" s="123">
        <f t="shared" si="50"/>
        <v>2.37</v>
      </c>
      <c r="V158" s="123">
        <f t="shared" si="50"/>
        <v>2.37</v>
      </c>
      <c r="W158" s="123">
        <f t="shared" si="50"/>
        <v>2.37</v>
      </c>
      <c r="X158" s="123">
        <f t="shared" si="50"/>
        <v>2.37</v>
      </c>
      <c r="Y158" s="123">
        <f t="shared" si="50"/>
        <v>2.37</v>
      </c>
      <c r="Z158" s="123">
        <f t="shared" si="50"/>
        <v>2.37</v>
      </c>
      <c r="AA158" s="123">
        <f t="shared" si="50"/>
        <v>2.37</v>
      </c>
      <c r="AB158" s="123">
        <f t="shared" si="50"/>
        <v>2.37</v>
      </c>
      <c r="AC158" s="123">
        <f t="shared" si="50"/>
        <v>2.37</v>
      </c>
      <c r="AD158" s="123">
        <f t="shared" si="50"/>
        <v>2.37</v>
      </c>
      <c r="AE158" s="123">
        <f t="shared" si="50"/>
        <v>2.37</v>
      </c>
      <c r="AF158" s="123">
        <f t="shared" si="50"/>
        <v>2.37</v>
      </c>
      <c r="AG158" s="126">
        <v>3.52</v>
      </c>
      <c r="AH158" s="55"/>
      <c r="AI158" s="56"/>
      <c r="AK158" s="57"/>
    </row>
    <row r="159" spans="1:37" x14ac:dyDescent="0.25">
      <c r="A159" s="111" t="s">
        <v>164</v>
      </c>
      <c r="B159" s="123">
        <f t="shared" si="48"/>
        <v>1.81</v>
      </c>
      <c r="C159" s="124">
        <v>1.81</v>
      </c>
      <c r="D159" s="123">
        <f t="shared" si="49"/>
        <v>1.81</v>
      </c>
      <c r="E159" s="123">
        <f t="shared" si="49"/>
        <v>1.81</v>
      </c>
      <c r="F159" s="123">
        <f t="shared" si="49"/>
        <v>1.81</v>
      </c>
      <c r="G159" s="123">
        <f t="shared" si="49"/>
        <v>1.81</v>
      </c>
      <c r="H159" s="123">
        <f t="shared" si="49"/>
        <v>1.81</v>
      </c>
      <c r="I159" s="123">
        <f t="shared" si="49"/>
        <v>1.81</v>
      </c>
      <c r="J159" s="123">
        <f t="shared" si="49"/>
        <v>1.81</v>
      </c>
      <c r="K159" s="123">
        <f t="shared" si="49"/>
        <v>1.81</v>
      </c>
      <c r="L159" s="123">
        <f t="shared" si="49"/>
        <v>1.81</v>
      </c>
      <c r="M159" s="123">
        <f t="shared" si="49"/>
        <v>1.81</v>
      </c>
      <c r="N159" s="123">
        <f t="shared" si="49"/>
        <v>1.81</v>
      </c>
      <c r="O159" s="123">
        <f t="shared" si="49"/>
        <v>1.81</v>
      </c>
      <c r="P159" s="123">
        <f t="shared" si="49"/>
        <v>1.81</v>
      </c>
      <c r="Q159" s="123">
        <f t="shared" si="49"/>
        <v>1.81</v>
      </c>
      <c r="R159" s="123">
        <f t="shared" si="49"/>
        <v>1.81</v>
      </c>
      <c r="S159" s="123">
        <f t="shared" si="49"/>
        <v>1.81</v>
      </c>
      <c r="T159" s="123">
        <f t="shared" si="50"/>
        <v>1.81</v>
      </c>
      <c r="U159" s="123">
        <f t="shared" si="50"/>
        <v>1.81</v>
      </c>
      <c r="V159" s="123">
        <f t="shared" si="50"/>
        <v>1.81</v>
      </c>
      <c r="W159" s="123">
        <f t="shared" si="50"/>
        <v>1.81</v>
      </c>
      <c r="X159" s="123">
        <f t="shared" si="50"/>
        <v>1.81</v>
      </c>
      <c r="Y159" s="123">
        <f t="shared" si="50"/>
        <v>1.81</v>
      </c>
      <c r="Z159" s="123">
        <f t="shared" si="50"/>
        <v>1.81</v>
      </c>
      <c r="AA159" s="123">
        <f t="shared" si="50"/>
        <v>1.81</v>
      </c>
      <c r="AB159" s="123">
        <f t="shared" si="50"/>
        <v>1.81</v>
      </c>
      <c r="AC159" s="123">
        <f t="shared" si="50"/>
        <v>1.81</v>
      </c>
      <c r="AD159" s="123">
        <f t="shared" si="50"/>
        <v>1.81</v>
      </c>
      <c r="AE159" s="123">
        <f t="shared" si="50"/>
        <v>1.81</v>
      </c>
      <c r="AF159" s="123">
        <f t="shared" si="50"/>
        <v>1.81</v>
      </c>
      <c r="AG159" s="126">
        <v>3.33</v>
      </c>
      <c r="AH159" s="55"/>
      <c r="AI159" s="56"/>
      <c r="AK159" s="57"/>
    </row>
    <row r="160" spans="1:37" x14ac:dyDescent="0.25">
      <c r="A160" s="111" t="s">
        <v>165</v>
      </c>
      <c r="B160" s="123">
        <f t="shared" si="48"/>
        <v>1.0900000000000001</v>
      </c>
      <c r="C160" s="124">
        <v>1.0900000000000001</v>
      </c>
      <c r="D160" s="123">
        <f t="shared" si="49"/>
        <v>1.0900000000000001</v>
      </c>
      <c r="E160" s="123">
        <f t="shared" si="49"/>
        <v>1.0900000000000001</v>
      </c>
      <c r="F160" s="123">
        <f t="shared" si="49"/>
        <v>1.0900000000000001</v>
      </c>
      <c r="G160" s="123">
        <f t="shared" si="49"/>
        <v>1.0900000000000001</v>
      </c>
      <c r="H160" s="123">
        <f t="shared" si="49"/>
        <v>1.0900000000000001</v>
      </c>
      <c r="I160" s="123">
        <f t="shared" si="49"/>
        <v>1.0900000000000001</v>
      </c>
      <c r="J160" s="123">
        <f t="shared" si="49"/>
        <v>1.0900000000000001</v>
      </c>
      <c r="K160" s="123">
        <f t="shared" si="49"/>
        <v>1.0900000000000001</v>
      </c>
      <c r="L160" s="123">
        <f t="shared" si="49"/>
        <v>1.0900000000000001</v>
      </c>
      <c r="M160" s="123">
        <f t="shared" si="49"/>
        <v>1.0900000000000001</v>
      </c>
      <c r="N160" s="123">
        <f t="shared" si="49"/>
        <v>1.0900000000000001</v>
      </c>
      <c r="O160" s="123">
        <f t="shared" si="49"/>
        <v>1.0900000000000001</v>
      </c>
      <c r="P160" s="123">
        <f t="shared" si="49"/>
        <v>1.0900000000000001</v>
      </c>
      <c r="Q160" s="123">
        <f t="shared" si="49"/>
        <v>1.0900000000000001</v>
      </c>
      <c r="R160" s="123">
        <f t="shared" si="49"/>
        <v>1.0900000000000001</v>
      </c>
      <c r="S160" s="123">
        <f t="shared" si="49"/>
        <v>1.0900000000000001</v>
      </c>
      <c r="T160" s="123">
        <f t="shared" si="50"/>
        <v>1.0900000000000001</v>
      </c>
      <c r="U160" s="123">
        <f t="shared" si="50"/>
        <v>1.0900000000000001</v>
      </c>
      <c r="V160" s="123">
        <f t="shared" si="50"/>
        <v>1.0900000000000001</v>
      </c>
      <c r="W160" s="123">
        <f t="shared" si="50"/>
        <v>1.0900000000000001</v>
      </c>
      <c r="X160" s="123">
        <f t="shared" si="50"/>
        <v>1.0900000000000001</v>
      </c>
      <c r="Y160" s="123">
        <f t="shared" si="50"/>
        <v>1.0900000000000001</v>
      </c>
      <c r="Z160" s="123">
        <f t="shared" si="50"/>
        <v>1.0900000000000001</v>
      </c>
      <c r="AA160" s="123">
        <f t="shared" si="50"/>
        <v>1.0900000000000001</v>
      </c>
      <c r="AB160" s="123">
        <f t="shared" si="50"/>
        <v>1.0900000000000001</v>
      </c>
      <c r="AC160" s="123">
        <f t="shared" si="50"/>
        <v>1.0900000000000001</v>
      </c>
      <c r="AD160" s="123">
        <f t="shared" si="50"/>
        <v>1.0900000000000001</v>
      </c>
      <c r="AE160" s="123">
        <f t="shared" si="50"/>
        <v>1.0900000000000001</v>
      </c>
      <c r="AF160" s="123">
        <f t="shared" si="50"/>
        <v>1.0900000000000001</v>
      </c>
      <c r="AG160" s="126">
        <v>3.2</v>
      </c>
      <c r="AH160" s="55"/>
      <c r="AI160" s="56"/>
      <c r="AK160" s="57"/>
    </row>
    <row r="161" spans="1:37" x14ac:dyDescent="0.25">
      <c r="A161" s="111" t="s">
        <v>166</v>
      </c>
      <c r="B161" s="123">
        <f t="shared" si="48"/>
        <v>1.58</v>
      </c>
      <c r="C161" s="124">
        <v>1.58</v>
      </c>
      <c r="D161" s="123">
        <f t="shared" si="49"/>
        <v>1.58</v>
      </c>
      <c r="E161" s="123">
        <f t="shared" si="49"/>
        <v>1.58</v>
      </c>
      <c r="F161" s="123">
        <f t="shared" si="49"/>
        <v>1.58</v>
      </c>
      <c r="G161" s="123">
        <f t="shared" si="49"/>
        <v>1.58</v>
      </c>
      <c r="H161" s="123">
        <f t="shared" si="49"/>
        <v>1.58</v>
      </c>
      <c r="I161" s="123">
        <f t="shared" si="49"/>
        <v>1.58</v>
      </c>
      <c r="J161" s="123">
        <f t="shared" si="49"/>
        <v>1.58</v>
      </c>
      <c r="K161" s="123">
        <f t="shared" si="49"/>
        <v>1.58</v>
      </c>
      <c r="L161" s="123">
        <f t="shared" si="49"/>
        <v>1.58</v>
      </c>
      <c r="M161" s="123">
        <f t="shared" si="49"/>
        <v>1.58</v>
      </c>
      <c r="N161" s="123">
        <f t="shared" si="49"/>
        <v>1.58</v>
      </c>
      <c r="O161" s="123">
        <f t="shared" si="49"/>
        <v>1.58</v>
      </c>
      <c r="P161" s="123">
        <f t="shared" si="49"/>
        <v>1.58</v>
      </c>
      <c r="Q161" s="123">
        <f t="shared" si="49"/>
        <v>1.58</v>
      </c>
      <c r="R161" s="123">
        <f t="shared" si="49"/>
        <v>1.58</v>
      </c>
      <c r="S161" s="123">
        <f t="shared" si="49"/>
        <v>1.58</v>
      </c>
      <c r="T161" s="123">
        <f t="shared" si="50"/>
        <v>1.58</v>
      </c>
      <c r="U161" s="123">
        <f t="shared" si="50"/>
        <v>1.58</v>
      </c>
      <c r="V161" s="123">
        <f t="shared" si="50"/>
        <v>1.58</v>
      </c>
      <c r="W161" s="123">
        <f t="shared" si="50"/>
        <v>1.58</v>
      </c>
      <c r="X161" s="123">
        <f t="shared" si="50"/>
        <v>1.58</v>
      </c>
      <c r="Y161" s="123">
        <f t="shared" si="50"/>
        <v>1.58</v>
      </c>
      <c r="Z161" s="123">
        <f t="shared" si="50"/>
        <v>1.58</v>
      </c>
      <c r="AA161" s="123">
        <f t="shared" si="50"/>
        <v>1.58</v>
      </c>
      <c r="AB161" s="123">
        <f t="shared" si="50"/>
        <v>1.58</v>
      </c>
      <c r="AC161" s="123">
        <f t="shared" si="50"/>
        <v>1.58</v>
      </c>
      <c r="AD161" s="123">
        <f t="shared" si="50"/>
        <v>1.58</v>
      </c>
      <c r="AE161" s="123">
        <f t="shared" si="50"/>
        <v>1.58</v>
      </c>
      <c r="AF161" s="123">
        <f t="shared" si="50"/>
        <v>1.58</v>
      </c>
      <c r="AG161" s="126">
        <v>3</v>
      </c>
      <c r="AH161" s="55"/>
      <c r="AI161" s="56"/>
      <c r="AK161" s="57"/>
    </row>
    <row r="162" spans="1:37" x14ac:dyDescent="0.25">
      <c r="A162" s="111" t="s">
        <v>167</v>
      </c>
      <c r="B162" s="123">
        <f t="shared" si="48"/>
        <v>2</v>
      </c>
      <c r="C162" s="124">
        <v>2</v>
      </c>
      <c r="D162" s="123">
        <f t="shared" si="49"/>
        <v>2</v>
      </c>
      <c r="E162" s="123">
        <f t="shared" si="49"/>
        <v>2</v>
      </c>
      <c r="F162" s="123">
        <f t="shared" si="49"/>
        <v>2</v>
      </c>
      <c r="G162" s="123">
        <f t="shared" si="49"/>
        <v>2</v>
      </c>
      <c r="H162" s="123">
        <f t="shared" si="49"/>
        <v>2</v>
      </c>
      <c r="I162" s="123">
        <f t="shared" si="49"/>
        <v>2</v>
      </c>
      <c r="J162" s="123">
        <f t="shared" si="49"/>
        <v>2</v>
      </c>
      <c r="K162" s="123">
        <f t="shared" si="49"/>
        <v>2</v>
      </c>
      <c r="L162" s="123">
        <f t="shared" si="49"/>
        <v>2</v>
      </c>
      <c r="M162" s="123">
        <f t="shared" si="49"/>
        <v>2</v>
      </c>
      <c r="N162" s="123">
        <f t="shared" si="49"/>
        <v>2</v>
      </c>
      <c r="O162" s="123">
        <f t="shared" si="49"/>
        <v>2</v>
      </c>
      <c r="P162" s="123">
        <f t="shared" si="49"/>
        <v>2</v>
      </c>
      <c r="Q162" s="123">
        <f t="shared" si="49"/>
        <v>2</v>
      </c>
      <c r="R162" s="123">
        <f t="shared" si="49"/>
        <v>2</v>
      </c>
      <c r="S162" s="123">
        <f t="shared" si="49"/>
        <v>2</v>
      </c>
      <c r="T162" s="123">
        <f t="shared" si="50"/>
        <v>2</v>
      </c>
      <c r="U162" s="123">
        <f t="shared" si="50"/>
        <v>2</v>
      </c>
      <c r="V162" s="123">
        <f t="shared" si="50"/>
        <v>2</v>
      </c>
      <c r="W162" s="123">
        <f t="shared" si="50"/>
        <v>2</v>
      </c>
      <c r="X162" s="123">
        <f t="shared" si="50"/>
        <v>2</v>
      </c>
      <c r="Y162" s="123">
        <f t="shared" si="50"/>
        <v>2</v>
      </c>
      <c r="Z162" s="123">
        <f t="shared" si="50"/>
        <v>2</v>
      </c>
      <c r="AA162" s="123">
        <f t="shared" si="50"/>
        <v>2</v>
      </c>
      <c r="AB162" s="123">
        <f t="shared" si="50"/>
        <v>2</v>
      </c>
      <c r="AC162" s="123">
        <f t="shared" si="50"/>
        <v>2</v>
      </c>
      <c r="AD162" s="123">
        <f t="shared" si="50"/>
        <v>2</v>
      </c>
      <c r="AE162" s="123">
        <f t="shared" si="50"/>
        <v>2</v>
      </c>
      <c r="AF162" s="123">
        <f t="shared" si="50"/>
        <v>2</v>
      </c>
      <c r="AG162" s="126">
        <v>3</v>
      </c>
      <c r="AH162" s="55"/>
      <c r="AI162" s="56"/>
      <c r="AK162" s="57"/>
    </row>
    <row r="163" spans="1:37" x14ac:dyDescent="0.25">
      <c r="A163" s="111" t="s">
        <v>168</v>
      </c>
      <c r="B163" s="123">
        <f t="shared" si="48"/>
        <v>0.47</v>
      </c>
      <c r="C163" s="124">
        <v>0.47</v>
      </c>
      <c r="D163" s="123">
        <f t="shared" si="49"/>
        <v>0.47</v>
      </c>
      <c r="E163" s="123">
        <f t="shared" si="49"/>
        <v>0.47</v>
      </c>
      <c r="F163" s="123">
        <f t="shared" si="49"/>
        <v>0.47</v>
      </c>
      <c r="G163" s="123">
        <f t="shared" si="49"/>
        <v>0.47</v>
      </c>
      <c r="H163" s="123">
        <f t="shared" si="49"/>
        <v>0.47</v>
      </c>
      <c r="I163" s="123">
        <f t="shared" si="49"/>
        <v>0.47</v>
      </c>
      <c r="J163" s="123">
        <f t="shared" si="49"/>
        <v>0.47</v>
      </c>
      <c r="K163" s="123">
        <f t="shared" si="49"/>
        <v>0.47</v>
      </c>
      <c r="L163" s="123">
        <f t="shared" si="49"/>
        <v>0.47</v>
      </c>
      <c r="M163" s="123">
        <f t="shared" si="49"/>
        <v>0.47</v>
      </c>
      <c r="N163" s="123">
        <f t="shared" si="49"/>
        <v>0.47</v>
      </c>
      <c r="O163" s="123">
        <f t="shared" si="49"/>
        <v>0.47</v>
      </c>
      <c r="P163" s="123">
        <f t="shared" si="49"/>
        <v>0.47</v>
      </c>
      <c r="Q163" s="123">
        <f t="shared" si="49"/>
        <v>0.47</v>
      </c>
      <c r="R163" s="123">
        <f t="shared" si="49"/>
        <v>0.47</v>
      </c>
      <c r="S163" s="123">
        <f t="shared" si="49"/>
        <v>0.47</v>
      </c>
      <c r="T163" s="123">
        <f t="shared" si="50"/>
        <v>0.47</v>
      </c>
      <c r="U163" s="123">
        <f t="shared" si="50"/>
        <v>0.47</v>
      </c>
      <c r="V163" s="123">
        <f t="shared" si="50"/>
        <v>0.47</v>
      </c>
      <c r="W163" s="123">
        <f t="shared" si="50"/>
        <v>0.47</v>
      </c>
      <c r="X163" s="123">
        <f t="shared" si="50"/>
        <v>0.47</v>
      </c>
      <c r="Y163" s="123">
        <f t="shared" si="50"/>
        <v>0.47</v>
      </c>
      <c r="Z163" s="123">
        <f t="shared" si="50"/>
        <v>0.47</v>
      </c>
      <c r="AA163" s="123">
        <f t="shared" si="50"/>
        <v>0.47</v>
      </c>
      <c r="AB163" s="123">
        <f t="shared" si="50"/>
        <v>0.47</v>
      </c>
      <c r="AC163" s="123">
        <f t="shared" si="50"/>
        <v>0.47</v>
      </c>
      <c r="AD163" s="123">
        <f t="shared" si="50"/>
        <v>0.47</v>
      </c>
      <c r="AE163" s="123">
        <f t="shared" si="50"/>
        <v>0.47</v>
      </c>
      <c r="AF163" s="123">
        <f t="shared" si="50"/>
        <v>0.47</v>
      </c>
      <c r="AG163" s="126">
        <v>3</v>
      </c>
      <c r="AH163" s="55"/>
      <c r="AI163" s="56"/>
      <c r="AK163" s="57"/>
    </row>
    <row r="164" spans="1:37" x14ac:dyDescent="0.25">
      <c r="A164" s="111" t="s">
        <v>169</v>
      </c>
      <c r="B164" s="123">
        <f t="shared" si="48"/>
        <v>0</v>
      </c>
      <c r="C164" s="124">
        <v>0</v>
      </c>
      <c r="D164" s="123">
        <f t="shared" si="49"/>
        <v>0</v>
      </c>
      <c r="E164" s="123">
        <f t="shared" si="49"/>
        <v>0</v>
      </c>
      <c r="F164" s="123">
        <f t="shared" si="49"/>
        <v>0</v>
      </c>
      <c r="G164" s="123">
        <f t="shared" si="49"/>
        <v>0</v>
      </c>
      <c r="H164" s="123">
        <f t="shared" si="49"/>
        <v>0</v>
      </c>
      <c r="I164" s="123">
        <f t="shared" si="49"/>
        <v>0</v>
      </c>
      <c r="J164" s="123">
        <f t="shared" si="49"/>
        <v>0</v>
      </c>
      <c r="K164" s="123">
        <f t="shared" si="49"/>
        <v>0</v>
      </c>
      <c r="L164" s="123">
        <f t="shared" si="49"/>
        <v>0</v>
      </c>
      <c r="M164" s="123">
        <f t="shared" si="49"/>
        <v>0</v>
      </c>
      <c r="N164" s="123">
        <f t="shared" si="49"/>
        <v>0</v>
      </c>
      <c r="O164" s="123">
        <f t="shared" si="49"/>
        <v>0</v>
      </c>
      <c r="P164" s="123">
        <f t="shared" si="49"/>
        <v>0</v>
      </c>
      <c r="Q164" s="123">
        <f t="shared" si="49"/>
        <v>0</v>
      </c>
      <c r="R164" s="123">
        <f t="shared" si="49"/>
        <v>0</v>
      </c>
      <c r="S164" s="123">
        <f t="shared" si="49"/>
        <v>0</v>
      </c>
      <c r="T164" s="123">
        <f t="shared" si="50"/>
        <v>0</v>
      </c>
      <c r="U164" s="123">
        <f t="shared" si="50"/>
        <v>0</v>
      </c>
      <c r="V164" s="123">
        <f t="shared" si="50"/>
        <v>0</v>
      </c>
      <c r="W164" s="123">
        <f t="shared" si="50"/>
        <v>0</v>
      </c>
      <c r="X164" s="123">
        <f t="shared" si="50"/>
        <v>0</v>
      </c>
      <c r="Y164" s="123">
        <f t="shared" si="50"/>
        <v>0</v>
      </c>
      <c r="Z164" s="123">
        <f t="shared" si="50"/>
        <v>0</v>
      </c>
      <c r="AA164" s="123">
        <f t="shared" si="50"/>
        <v>0</v>
      </c>
      <c r="AB164" s="123">
        <f t="shared" si="50"/>
        <v>0</v>
      </c>
      <c r="AC164" s="123">
        <f t="shared" si="50"/>
        <v>0</v>
      </c>
      <c r="AD164" s="123">
        <f t="shared" si="50"/>
        <v>0</v>
      </c>
      <c r="AE164" s="123">
        <f t="shared" si="50"/>
        <v>0</v>
      </c>
      <c r="AF164" s="123">
        <f t="shared" si="50"/>
        <v>0</v>
      </c>
      <c r="AG164" s="126">
        <v>3</v>
      </c>
      <c r="AH164" s="55"/>
      <c r="AI164" s="56"/>
      <c r="AK164" s="57"/>
    </row>
    <row r="165" spans="1:37" x14ac:dyDescent="0.25">
      <c r="A165" s="111" t="s">
        <v>170</v>
      </c>
      <c r="B165" s="123">
        <f t="shared" si="48"/>
        <v>0</v>
      </c>
      <c r="C165" s="124">
        <v>0</v>
      </c>
      <c r="D165" s="123">
        <f t="shared" si="49"/>
        <v>0</v>
      </c>
      <c r="E165" s="123">
        <f t="shared" si="49"/>
        <v>0</v>
      </c>
      <c r="F165" s="123">
        <f t="shared" si="49"/>
        <v>0</v>
      </c>
      <c r="G165" s="123">
        <f t="shared" si="49"/>
        <v>0</v>
      </c>
      <c r="H165" s="123">
        <f t="shared" si="49"/>
        <v>0</v>
      </c>
      <c r="I165" s="123">
        <f t="shared" si="49"/>
        <v>0</v>
      </c>
      <c r="J165" s="123">
        <f t="shared" si="49"/>
        <v>0</v>
      </c>
      <c r="K165" s="123">
        <f t="shared" si="49"/>
        <v>0</v>
      </c>
      <c r="L165" s="123">
        <f t="shared" si="49"/>
        <v>0</v>
      </c>
      <c r="M165" s="123">
        <f t="shared" si="49"/>
        <v>0</v>
      </c>
      <c r="N165" s="123">
        <f t="shared" si="49"/>
        <v>0</v>
      </c>
      <c r="O165" s="123">
        <f t="shared" si="49"/>
        <v>0</v>
      </c>
      <c r="P165" s="123">
        <f t="shared" si="49"/>
        <v>0</v>
      </c>
      <c r="Q165" s="123">
        <f t="shared" si="49"/>
        <v>0</v>
      </c>
      <c r="R165" s="123">
        <f t="shared" si="49"/>
        <v>0</v>
      </c>
      <c r="S165" s="123">
        <f t="shared" si="50"/>
        <v>0</v>
      </c>
      <c r="T165" s="123">
        <f t="shared" si="50"/>
        <v>0</v>
      </c>
      <c r="U165" s="123">
        <f t="shared" si="50"/>
        <v>0</v>
      </c>
      <c r="V165" s="123">
        <f t="shared" si="50"/>
        <v>0</v>
      </c>
      <c r="W165" s="123">
        <f t="shared" si="50"/>
        <v>0</v>
      </c>
      <c r="X165" s="123">
        <f t="shared" si="50"/>
        <v>0</v>
      </c>
      <c r="Y165" s="123">
        <f t="shared" si="50"/>
        <v>0</v>
      </c>
      <c r="Z165" s="123">
        <f t="shared" si="50"/>
        <v>0</v>
      </c>
      <c r="AA165" s="123">
        <f t="shared" si="50"/>
        <v>0</v>
      </c>
      <c r="AB165" s="123">
        <f t="shared" si="50"/>
        <v>0</v>
      </c>
      <c r="AC165" s="123">
        <f t="shared" si="50"/>
        <v>0</v>
      </c>
      <c r="AD165" s="123">
        <f t="shared" si="50"/>
        <v>0</v>
      </c>
      <c r="AE165" s="123">
        <f t="shared" si="50"/>
        <v>0</v>
      </c>
      <c r="AF165" s="123">
        <f t="shared" si="50"/>
        <v>0</v>
      </c>
      <c r="AG165" s="126">
        <v>3</v>
      </c>
      <c r="AH165" s="55"/>
      <c r="AI165" s="56"/>
      <c r="AK165" s="57"/>
    </row>
    <row r="166" spans="1:37" x14ac:dyDescent="0.25">
      <c r="A166" s="111" t="s">
        <v>171</v>
      </c>
      <c r="B166" s="123">
        <f t="shared" si="48"/>
        <v>0.8</v>
      </c>
      <c r="C166" s="124">
        <v>0.8</v>
      </c>
      <c r="D166" s="123">
        <f t="shared" si="49"/>
        <v>0.8</v>
      </c>
      <c r="E166" s="123">
        <f t="shared" si="49"/>
        <v>0.8</v>
      </c>
      <c r="F166" s="123">
        <f t="shared" si="49"/>
        <v>0.8</v>
      </c>
      <c r="G166" s="123">
        <f t="shared" si="49"/>
        <v>0.8</v>
      </c>
      <c r="H166" s="123">
        <f t="shared" si="49"/>
        <v>0.8</v>
      </c>
      <c r="I166" s="123">
        <f t="shared" si="49"/>
        <v>0.8</v>
      </c>
      <c r="J166" s="123">
        <f t="shared" si="49"/>
        <v>0.8</v>
      </c>
      <c r="K166" s="123">
        <f t="shared" si="49"/>
        <v>0.8</v>
      </c>
      <c r="L166" s="123">
        <f t="shared" si="49"/>
        <v>0.8</v>
      </c>
      <c r="M166" s="123">
        <f t="shared" si="49"/>
        <v>0.8</v>
      </c>
      <c r="N166" s="123">
        <f t="shared" si="49"/>
        <v>0.8</v>
      </c>
      <c r="O166" s="123">
        <f t="shared" si="49"/>
        <v>0.8</v>
      </c>
      <c r="P166" s="123">
        <f t="shared" si="49"/>
        <v>0.8</v>
      </c>
      <c r="Q166" s="123">
        <f t="shared" si="49"/>
        <v>0.8</v>
      </c>
      <c r="R166" s="123">
        <f t="shared" si="49"/>
        <v>0.8</v>
      </c>
      <c r="S166" s="123">
        <f t="shared" si="50"/>
        <v>0.8</v>
      </c>
      <c r="T166" s="123">
        <f t="shared" si="50"/>
        <v>0.8</v>
      </c>
      <c r="U166" s="123">
        <f t="shared" si="50"/>
        <v>0.8</v>
      </c>
      <c r="V166" s="123">
        <f t="shared" si="50"/>
        <v>0.8</v>
      </c>
      <c r="W166" s="123">
        <f t="shared" si="50"/>
        <v>0.8</v>
      </c>
      <c r="X166" s="123">
        <f t="shared" si="50"/>
        <v>0.8</v>
      </c>
      <c r="Y166" s="123">
        <f t="shared" si="50"/>
        <v>0.8</v>
      </c>
      <c r="Z166" s="123">
        <f t="shared" si="50"/>
        <v>0.8</v>
      </c>
      <c r="AA166" s="123">
        <f t="shared" si="50"/>
        <v>0.8</v>
      </c>
      <c r="AB166" s="123">
        <f t="shared" si="50"/>
        <v>0.8</v>
      </c>
      <c r="AC166" s="123">
        <f t="shared" si="50"/>
        <v>0.8</v>
      </c>
      <c r="AD166" s="123">
        <f t="shared" si="50"/>
        <v>0.8</v>
      </c>
      <c r="AE166" s="123">
        <f t="shared" si="50"/>
        <v>0.8</v>
      </c>
      <c r="AF166" s="123">
        <f t="shared" si="50"/>
        <v>0.8</v>
      </c>
      <c r="AG166" s="126">
        <v>3</v>
      </c>
      <c r="AH166" s="55"/>
      <c r="AI166" s="56"/>
      <c r="AK166" s="57"/>
    </row>
    <row r="167" spans="1:37" x14ac:dyDescent="0.25">
      <c r="A167" s="111" t="s">
        <v>172</v>
      </c>
      <c r="B167" s="123">
        <f t="shared" si="48"/>
        <v>1.5</v>
      </c>
      <c r="C167" s="124">
        <v>1.5</v>
      </c>
      <c r="D167" s="123">
        <f t="shared" si="49"/>
        <v>1.5</v>
      </c>
      <c r="E167" s="123">
        <f t="shared" si="49"/>
        <v>1.5</v>
      </c>
      <c r="F167" s="123">
        <f t="shared" si="49"/>
        <v>1.5</v>
      </c>
      <c r="G167" s="123">
        <f t="shared" si="49"/>
        <v>1.5</v>
      </c>
      <c r="H167" s="123">
        <f t="shared" si="49"/>
        <v>1.5</v>
      </c>
      <c r="I167" s="123">
        <f t="shared" si="49"/>
        <v>1.5</v>
      </c>
      <c r="J167" s="123">
        <f t="shared" si="49"/>
        <v>1.5</v>
      </c>
      <c r="K167" s="123">
        <f t="shared" si="49"/>
        <v>1.5</v>
      </c>
      <c r="L167" s="123">
        <f t="shared" si="49"/>
        <v>1.5</v>
      </c>
      <c r="M167" s="123">
        <f t="shared" si="49"/>
        <v>1.5</v>
      </c>
      <c r="N167" s="123">
        <f t="shared" si="49"/>
        <v>1.5</v>
      </c>
      <c r="O167" s="123">
        <f t="shared" si="49"/>
        <v>1.5</v>
      </c>
      <c r="P167" s="123">
        <f t="shared" si="49"/>
        <v>1.5</v>
      </c>
      <c r="Q167" s="123">
        <f t="shared" si="49"/>
        <v>1.5</v>
      </c>
      <c r="R167" s="123">
        <f t="shared" si="49"/>
        <v>1.5</v>
      </c>
      <c r="S167" s="123">
        <f t="shared" si="50"/>
        <v>1.5</v>
      </c>
      <c r="T167" s="123">
        <f t="shared" si="50"/>
        <v>1.5</v>
      </c>
      <c r="U167" s="123">
        <f t="shared" si="50"/>
        <v>1.5</v>
      </c>
      <c r="V167" s="123">
        <f t="shared" si="50"/>
        <v>1.5</v>
      </c>
      <c r="W167" s="123">
        <f t="shared" si="50"/>
        <v>1.5</v>
      </c>
      <c r="X167" s="123">
        <f t="shared" si="50"/>
        <v>1.5</v>
      </c>
      <c r="Y167" s="123">
        <f t="shared" si="50"/>
        <v>1.5</v>
      </c>
      <c r="Z167" s="123">
        <f t="shared" si="50"/>
        <v>1.5</v>
      </c>
      <c r="AA167" s="123">
        <f t="shared" si="50"/>
        <v>1.5</v>
      </c>
      <c r="AB167" s="123">
        <f t="shared" si="50"/>
        <v>1.5</v>
      </c>
      <c r="AC167" s="123">
        <f t="shared" si="50"/>
        <v>1.5</v>
      </c>
      <c r="AD167" s="123">
        <f t="shared" si="50"/>
        <v>1.5</v>
      </c>
      <c r="AE167" s="123">
        <f t="shared" si="50"/>
        <v>1.5</v>
      </c>
      <c r="AF167" s="123">
        <f t="shared" si="50"/>
        <v>1.5</v>
      </c>
      <c r="AG167" s="126">
        <v>3</v>
      </c>
      <c r="AH167" s="55"/>
      <c r="AI167" s="56"/>
      <c r="AK167" s="57"/>
    </row>
    <row r="168" spans="1:37" x14ac:dyDescent="0.25">
      <c r="A168" s="111" t="s">
        <v>173</v>
      </c>
      <c r="B168" s="123">
        <f t="shared" si="48"/>
        <v>1</v>
      </c>
      <c r="C168" s="124">
        <v>1</v>
      </c>
      <c r="D168" s="123">
        <f t="shared" si="49"/>
        <v>1</v>
      </c>
      <c r="E168" s="123">
        <f t="shared" si="49"/>
        <v>1</v>
      </c>
      <c r="F168" s="123">
        <f t="shared" si="49"/>
        <v>1</v>
      </c>
      <c r="G168" s="123">
        <f t="shared" si="49"/>
        <v>1</v>
      </c>
      <c r="H168" s="123">
        <f t="shared" si="49"/>
        <v>1</v>
      </c>
      <c r="I168" s="123">
        <f t="shared" si="49"/>
        <v>1</v>
      </c>
      <c r="J168" s="123">
        <f t="shared" si="49"/>
        <v>1</v>
      </c>
      <c r="K168" s="123">
        <f t="shared" si="49"/>
        <v>1</v>
      </c>
      <c r="L168" s="123">
        <f t="shared" si="49"/>
        <v>1</v>
      </c>
      <c r="M168" s="123">
        <f t="shared" si="49"/>
        <v>1</v>
      </c>
      <c r="N168" s="123">
        <f t="shared" si="49"/>
        <v>1</v>
      </c>
      <c r="O168" s="123">
        <f t="shared" si="49"/>
        <v>1</v>
      </c>
      <c r="P168" s="123">
        <f t="shared" si="49"/>
        <v>1</v>
      </c>
      <c r="Q168" s="123">
        <f t="shared" si="49"/>
        <v>1</v>
      </c>
      <c r="R168" s="123">
        <f t="shared" si="49"/>
        <v>1</v>
      </c>
      <c r="S168" s="123">
        <f t="shared" si="50"/>
        <v>1</v>
      </c>
      <c r="T168" s="123">
        <f t="shared" si="50"/>
        <v>1</v>
      </c>
      <c r="U168" s="123">
        <f t="shared" si="50"/>
        <v>1</v>
      </c>
      <c r="V168" s="123">
        <f t="shared" si="50"/>
        <v>1</v>
      </c>
      <c r="W168" s="123">
        <f t="shared" si="50"/>
        <v>1</v>
      </c>
      <c r="X168" s="123">
        <f t="shared" si="50"/>
        <v>1</v>
      </c>
      <c r="Y168" s="123">
        <f t="shared" si="50"/>
        <v>1</v>
      </c>
      <c r="Z168" s="123">
        <f t="shared" si="50"/>
        <v>1</v>
      </c>
      <c r="AA168" s="123">
        <f t="shared" si="50"/>
        <v>1</v>
      </c>
      <c r="AB168" s="123">
        <f t="shared" si="50"/>
        <v>1</v>
      </c>
      <c r="AC168" s="123">
        <f t="shared" si="50"/>
        <v>1</v>
      </c>
      <c r="AD168" s="123">
        <f t="shared" si="50"/>
        <v>1</v>
      </c>
      <c r="AE168" s="123">
        <f t="shared" si="50"/>
        <v>1</v>
      </c>
      <c r="AF168" s="123">
        <f t="shared" si="50"/>
        <v>1</v>
      </c>
      <c r="AG168" s="126">
        <v>3</v>
      </c>
      <c r="AH168" s="55"/>
      <c r="AI168" s="56"/>
      <c r="AK168" s="57"/>
    </row>
    <row r="169" spans="1:37" x14ac:dyDescent="0.25">
      <c r="A169" s="111" t="s">
        <v>174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5"/>
      <c r="AI169" s="56"/>
      <c r="AK169" s="57"/>
    </row>
    <row r="170" spans="1:37" x14ac:dyDescent="0.25">
      <c r="A170" s="111" t="s">
        <v>175</v>
      </c>
      <c r="B170" s="123">
        <f t="shared" ref="B170:B177" si="51">AF170</f>
        <v>1</v>
      </c>
      <c r="C170" s="124">
        <v>1</v>
      </c>
      <c r="D170" s="123">
        <f t="shared" ref="D170:S177" si="52">C170</f>
        <v>1</v>
      </c>
      <c r="E170" s="123">
        <f t="shared" si="52"/>
        <v>1</v>
      </c>
      <c r="F170" s="123">
        <f t="shared" si="52"/>
        <v>1</v>
      </c>
      <c r="G170" s="123">
        <f t="shared" si="52"/>
        <v>1</v>
      </c>
      <c r="H170" s="123">
        <f t="shared" si="52"/>
        <v>1</v>
      </c>
      <c r="I170" s="123">
        <f t="shared" si="52"/>
        <v>1</v>
      </c>
      <c r="J170" s="123">
        <f t="shared" si="52"/>
        <v>1</v>
      </c>
      <c r="K170" s="123">
        <f t="shared" si="52"/>
        <v>1</v>
      </c>
      <c r="L170" s="123">
        <f t="shared" si="52"/>
        <v>1</v>
      </c>
      <c r="M170" s="123">
        <f t="shared" si="52"/>
        <v>1</v>
      </c>
      <c r="N170" s="123">
        <f t="shared" si="52"/>
        <v>1</v>
      </c>
      <c r="O170" s="123">
        <f t="shared" si="52"/>
        <v>1</v>
      </c>
      <c r="P170" s="123">
        <f t="shared" si="52"/>
        <v>1</v>
      </c>
      <c r="Q170" s="123">
        <f t="shared" si="52"/>
        <v>1</v>
      </c>
      <c r="R170" s="123">
        <f t="shared" si="52"/>
        <v>1</v>
      </c>
      <c r="S170" s="123">
        <f t="shared" si="52"/>
        <v>1</v>
      </c>
      <c r="T170" s="123">
        <f t="shared" ref="S170:AF177" si="53">S170</f>
        <v>1</v>
      </c>
      <c r="U170" s="123">
        <f t="shared" si="53"/>
        <v>1</v>
      </c>
      <c r="V170" s="123">
        <f t="shared" si="53"/>
        <v>1</v>
      </c>
      <c r="W170" s="123">
        <f t="shared" si="53"/>
        <v>1</v>
      </c>
      <c r="X170" s="123">
        <f t="shared" si="53"/>
        <v>1</v>
      </c>
      <c r="Y170" s="123">
        <f t="shared" si="53"/>
        <v>1</v>
      </c>
      <c r="Z170" s="123">
        <f t="shared" si="53"/>
        <v>1</v>
      </c>
      <c r="AA170" s="123">
        <f t="shared" si="53"/>
        <v>1</v>
      </c>
      <c r="AB170" s="123">
        <f t="shared" si="53"/>
        <v>1</v>
      </c>
      <c r="AC170" s="123">
        <f t="shared" si="53"/>
        <v>1</v>
      </c>
      <c r="AD170" s="123">
        <f t="shared" si="53"/>
        <v>1</v>
      </c>
      <c r="AE170" s="123">
        <f t="shared" si="53"/>
        <v>1</v>
      </c>
      <c r="AF170" s="123">
        <f t="shared" si="53"/>
        <v>1</v>
      </c>
      <c r="AG170" s="126">
        <v>2.5</v>
      </c>
      <c r="AH170" s="55"/>
      <c r="AI170" s="56"/>
      <c r="AK170" s="57"/>
    </row>
    <row r="171" spans="1:37" x14ac:dyDescent="0.25">
      <c r="A171" s="111" t="s">
        <v>176</v>
      </c>
      <c r="B171" s="123">
        <f t="shared" si="51"/>
        <v>0.42</v>
      </c>
      <c r="C171" s="124">
        <v>0.42</v>
      </c>
      <c r="D171" s="123">
        <f t="shared" si="52"/>
        <v>0.42</v>
      </c>
      <c r="E171" s="123">
        <f t="shared" si="52"/>
        <v>0.42</v>
      </c>
      <c r="F171" s="123">
        <f t="shared" si="52"/>
        <v>0.42</v>
      </c>
      <c r="G171" s="123">
        <f t="shared" si="52"/>
        <v>0.42</v>
      </c>
      <c r="H171" s="123">
        <f t="shared" si="52"/>
        <v>0.42</v>
      </c>
      <c r="I171" s="123">
        <f t="shared" si="52"/>
        <v>0.42</v>
      </c>
      <c r="J171" s="123">
        <f t="shared" si="52"/>
        <v>0.42</v>
      </c>
      <c r="K171" s="123">
        <f t="shared" si="52"/>
        <v>0.42</v>
      </c>
      <c r="L171" s="123">
        <f t="shared" si="52"/>
        <v>0.42</v>
      </c>
      <c r="M171" s="123">
        <f t="shared" si="52"/>
        <v>0.42</v>
      </c>
      <c r="N171" s="123">
        <f t="shared" si="52"/>
        <v>0.42</v>
      </c>
      <c r="O171" s="123">
        <f t="shared" si="52"/>
        <v>0.42</v>
      </c>
      <c r="P171" s="123">
        <f t="shared" si="52"/>
        <v>0.42</v>
      </c>
      <c r="Q171" s="123">
        <f t="shared" si="52"/>
        <v>0.42</v>
      </c>
      <c r="R171" s="123">
        <f t="shared" si="52"/>
        <v>0.42</v>
      </c>
      <c r="S171" s="123">
        <f t="shared" si="53"/>
        <v>0.42</v>
      </c>
      <c r="T171" s="123">
        <f t="shared" si="53"/>
        <v>0.42</v>
      </c>
      <c r="U171" s="123">
        <f t="shared" si="53"/>
        <v>0.42</v>
      </c>
      <c r="V171" s="123">
        <f t="shared" si="53"/>
        <v>0.42</v>
      </c>
      <c r="W171" s="123">
        <f t="shared" si="53"/>
        <v>0.42</v>
      </c>
      <c r="X171" s="123">
        <f t="shared" si="53"/>
        <v>0.42</v>
      </c>
      <c r="Y171" s="123">
        <f t="shared" si="53"/>
        <v>0.42</v>
      </c>
      <c r="Z171" s="123">
        <f t="shared" si="53"/>
        <v>0.42</v>
      </c>
      <c r="AA171" s="123">
        <f t="shared" si="53"/>
        <v>0.42</v>
      </c>
      <c r="AB171" s="123">
        <f t="shared" si="53"/>
        <v>0.42</v>
      </c>
      <c r="AC171" s="123">
        <f t="shared" si="53"/>
        <v>0.42</v>
      </c>
      <c r="AD171" s="123">
        <f t="shared" si="53"/>
        <v>0.42</v>
      </c>
      <c r="AE171" s="123">
        <f t="shared" si="53"/>
        <v>0.42</v>
      </c>
      <c r="AF171" s="123">
        <f t="shared" si="53"/>
        <v>0.42</v>
      </c>
      <c r="AG171" s="126">
        <v>2.5</v>
      </c>
      <c r="AH171" s="55"/>
      <c r="AI171" s="56"/>
      <c r="AK171" s="57"/>
    </row>
    <row r="172" spans="1:37" x14ac:dyDescent="0.25">
      <c r="A172" s="111" t="s">
        <v>177</v>
      </c>
      <c r="B172" s="123">
        <f t="shared" si="51"/>
        <v>0.46</v>
      </c>
      <c r="C172" s="124">
        <v>0.46</v>
      </c>
      <c r="D172" s="123">
        <f t="shared" si="52"/>
        <v>0.46</v>
      </c>
      <c r="E172" s="123">
        <f t="shared" si="52"/>
        <v>0.46</v>
      </c>
      <c r="F172" s="123">
        <f t="shared" si="52"/>
        <v>0.46</v>
      </c>
      <c r="G172" s="123">
        <f t="shared" si="52"/>
        <v>0.46</v>
      </c>
      <c r="H172" s="123">
        <f t="shared" si="52"/>
        <v>0.46</v>
      </c>
      <c r="I172" s="123">
        <f t="shared" si="52"/>
        <v>0.46</v>
      </c>
      <c r="J172" s="123">
        <f t="shared" si="52"/>
        <v>0.46</v>
      </c>
      <c r="K172" s="123">
        <f t="shared" si="52"/>
        <v>0.46</v>
      </c>
      <c r="L172" s="123">
        <f t="shared" si="52"/>
        <v>0.46</v>
      </c>
      <c r="M172" s="123">
        <f t="shared" si="52"/>
        <v>0.46</v>
      </c>
      <c r="N172" s="123">
        <f t="shared" si="52"/>
        <v>0.46</v>
      </c>
      <c r="O172" s="123">
        <f t="shared" si="52"/>
        <v>0.46</v>
      </c>
      <c r="P172" s="123">
        <f t="shared" si="52"/>
        <v>0.46</v>
      </c>
      <c r="Q172" s="123">
        <f t="shared" si="52"/>
        <v>0.46</v>
      </c>
      <c r="R172" s="123">
        <f t="shared" si="52"/>
        <v>0.46</v>
      </c>
      <c r="S172" s="123">
        <f t="shared" si="53"/>
        <v>0.46</v>
      </c>
      <c r="T172" s="123">
        <f t="shared" si="53"/>
        <v>0.46</v>
      </c>
      <c r="U172" s="123">
        <f t="shared" si="53"/>
        <v>0.46</v>
      </c>
      <c r="V172" s="123">
        <f t="shared" si="53"/>
        <v>0.46</v>
      </c>
      <c r="W172" s="123">
        <f t="shared" si="53"/>
        <v>0.46</v>
      </c>
      <c r="X172" s="123">
        <f t="shared" si="53"/>
        <v>0.46</v>
      </c>
      <c r="Y172" s="123">
        <f t="shared" si="53"/>
        <v>0.46</v>
      </c>
      <c r="Z172" s="123">
        <f t="shared" si="53"/>
        <v>0.46</v>
      </c>
      <c r="AA172" s="123">
        <f t="shared" si="53"/>
        <v>0.46</v>
      </c>
      <c r="AB172" s="123">
        <f t="shared" si="53"/>
        <v>0.46</v>
      </c>
      <c r="AC172" s="123">
        <f t="shared" si="53"/>
        <v>0.46</v>
      </c>
      <c r="AD172" s="123">
        <f t="shared" si="53"/>
        <v>0.46</v>
      </c>
      <c r="AE172" s="123">
        <f t="shared" si="53"/>
        <v>0.46</v>
      </c>
      <c r="AF172" s="123">
        <f t="shared" si="53"/>
        <v>0.46</v>
      </c>
      <c r="AG172" s="126">
        <v>2.4</v>
      </c>
      <c r="AH172" s="55"/>
      <c r="AI172" s="56"/>
      <c r="AK172" s="57"/>
    </row>
    <row r="173" spans="1:37" x14ac:dyDescent="0.25">
      <c r="A173" s="111" t="s">
        <v>178</v>
      </c>
      <c r="B173" s="123">
        <f t="shared" si="51"/>
        <v>0.85</v>
      </c>
      <c r="C173" s="124">
        <v>0.85</v>
      </c>
      <c r="D173" s="123">
        <f t="shared" si="52"/>
        <v>0.85</v>
      </c>
      <c r="E173" s="123">
        <f t="shared" si="52"/>
        <v>0.85</v>
      </c>
      <c r="F173" s="123">
        <f t="shared" si="52"/>
        <v>0.85</v>
      </c>
      <c r="G173" s="123">
        <f t="shared" si="52"/>
        <v>0.85</v>
      </c>
      <c r="H173" s="123">
        <f t="shared" si="52"/>
        <v>0.85</v>
      </c>
      <c r="I173" s="123">
        <f t="shared" si="52"/>
        <v>0.85</v>
      </c>
      <c r="J173" s="123">
        <f t="shared" si="52"/>
        <v>0.85</v>
      </c>
      <c r="K173" s="123">
        <f t="shared" si="52"/>
        <v>0.85</v>
      </c>
      <c r="L173" s="123">
        <f t="shared" si="52"/>
        <v>0.85</v>
      </c>
      <c r="M173" s="123">
        <f t="shared" si="52"/>
        <v>0.85</v>
      </c>
      <c r="N173" s="123">
        <f t="shared" si="52"/>
        <v>0.85</v>
      </c>
      <c r="O173" s="123">
        <f t="shared" si="52"/>
        <v>0.85</v>
      </c>
      <c r="P173" s="123">
        <f t="shared" si="52"/>
        <v>0.85</v>
      </c>
      <c r="Q173" s="123">
        <f t="shared" si="52"/>
        <v>0.85</v>
      </c>
      <c r="R173" s="123">
        <f t="shared" si="52"/>
        <v>0.85</v>
      </c>
      <c r="S173" s="123">
        <f t="shared" si="53"/>
        <v>0.85</v>
      </c>
      <c r="T173" s="123">
        <f t="shared" si="53"/>
        <v>0.85</v>
      </c>
      <c r="U173" s="123">
        <f t="shared" si="53"/>
        <v>0.85</v>
      </c>
      <c r="V173" s="123">
        <f t="shared" si="53"/>
        <v>0.85</v>
      </c>
      <c r="W173" s="123">
        <f t="shared" si="53"/>
        <v>0.85</v>
      </c>
      <c r="X173" s="123">
        <f t="shared" si="53"/>
        <v>0.85</v>
      </c>
      <c r="Y173" s="123">
        <f t="shared" si="53"/>
        <v>0.85</v>
      </c>
      <c r="Z173" s="123">
        <f t="shared" si="53"/>
        <v>0.85</v>
      </c>
      <c r="AA173" s="123">
        <f t="shared" si="53"/>
        <v>0.85</v>
      </c>
      <c r="AB173" s="123">
        <f t="shared" si="53"/>
        <v>0.85</v>
      </c>
      <c r="AC173" s="123">
        <f t="shared" si="53"/>
        <v>0.85</v>
      </c>
      <c r="AD173" s="123">
        <f t="shared" si="53"/>
        <v>0.85</v>
      </c>
      <c r="AE173" s="123">
        <f t="shared" si="53"/>
        <v>0.85</v>
      </c>
      <c r="AF173" s="123">
        <f t="shared" si="53"/>
        <v>0.85</v>
      </c>
      <c r="AG173" s="126">
        <v>2.4</v>
      </c>
      <c r="AH173" s="55"/>
      <c r="AI173" s="56"/>
      <c r="AK173" s="57"/>
    </row>
    <row r="174" spans="1:37" x14ac:dyDescent="0.25">
      <c r="A174" s="111" t="s">
        <v>179</v>
      </c>
      <c r="B174" s="123">
        <f t="shared" si="51"/>
        <v>0.9</v>
      </c>
      <c r="C174" s="124">
        <v>0.9</v>
      </c>
      <c r="D174" s="123">
        <f t="shared" si="52"/>
        <v>0.9</v>
      </c>
      <c r="E174" s="123">
        <f t="shared" si="52"/>
        <v>0.9</v>
      </c>
      <c r="F174" s="123">
        <f t="shared" si="52"/>
        <v>0.9</v>
      </c>
      <c r="G174" s="123">
        <f t="shared" si="52"/>
        <v>0.9</v>
      </c>
      <c r="H174" s="123">
        <f t="shared" si="52"/>
        <v>0.9</v>
      </c>
      <c r="I174" s="123">
        <f t="shared" si="52"/>
        <v>0.9</v>
      </c>
      <c r="J174" s="123">
        <f t="shared" si="52"/>
        <v>0.9</v>
      </c>
      <c r="K174" s="123">
        <f t="shared" si="52"/>
        <v>0.9</v>
      </c>
      <c r="L174" s="123">
        <f t="shared" si="52"/>
        <v>0.9</v>
      </c>
      <c r="M174" s="123">
        <f t="shared" si="52"/>
        <v>0.9</v>
      </c>
      <c r="N174" s="123">
        <f t="shared" si="52"/>
        <v>0.9</v>
      </c>
      <c r="O174" s="123">
        <f t="shared" si="52"/>
        <v>0.9</v>
      </c>
      <c r="P174" s="123">
        <f t="shared" si="52"/>
        <v>0.9</v>
      </c>
      <c r="Q174" s="123">
        <f t="shared" si="52"/>
        <v>0.9</v>
      </c>
      <c r="R174" s="123">
        <f t="shared" si="52"/>
        <v>0.9</v>
      </c>
      <c r="S174" s="123">
        <f t="shared" si="53"/>
        <v>0.9</v>
      </c>
      <c r="T174" s="123">
        <f t="shared" si="53"/>
        <v>0.9</v>
      </c>
      <c r="U174" s="123">
        <f t="shared" si="53"/>
        <v>0.9</v>
      </c>
      <c r="V174" s="123">
        <f t="shared" si="53"/>
        <v>0.9</v>
      </c>
      <c r="W174" s="123">
        <f t="shared" si="53"/>
        <v>0.9</v>
      </c>
      <c r="X174" s="123">
        <f t="shared" si="53"/>
        <v>0.9</v>
      </c>
      <c r="Y174" s="123">
        <f t="shared" si="53"/>
        <v>0.9</v>
      </c>
      <c r="Z174" s="123">
        <f t="shared" si="53"/>
        <v>0.9</v>
      </c>
      <c r="AA174" s="123">
        <f t="shared" si="53"/>
        <v>0.9</v>
      </c>
      <c r="AB174" s="123">
        <f t="shared" si="53"/>
        <v>0.9</v>
      </c>
      <c r="AC174" s="123">
        <f t="shared" si="53"/>
        <v>0.9</v>
      </c>
      <c r="AD174" s="123">
        <f t="shared" si="53"/>
        <v>0.9</v>
      </c>
      <c r="AE174" s="123">
        <f t="shared" si="53"/>
        <v>0.9</v>
      </c>
      <c r="AF174" s="123">
        <f t="shared" si="53"/>
        <v>0.9</v>
      </c>
      <c r="AG174" s="126">
        <v>2.2000000000000002</v>
      </c>
      <c r="AH174" s="55"/>
      <c r="AI174" s="56"/>
      <c r="AK174" s="57"/>
    </row>
    <row r="175" spans="1:37" x14ac:dyDescent="0.25">
      <c r="A175" s="111" t="s">
        <v>180</v>
      </c>
      <c r="B175" s="123">
        <f t="shared" si="51"/>
        <v>0.44</v>
      </c>
      <c r="C175" s="124">
        <v>0.44</v>
      </c>
      <c r="D175" s="123">
        <f t="shared" si="52"/>
        <v>0.44</v>
      </c>
      <c r="E175" s="123">
        <f t="shared" si="52"/>
        <v>0.44</v>
      </c>
      <c r="F175" s="123">
        <f t="shared" si="52"/>
        <v>0.44</v>
      </c>
      <c r="G175" s="123">
        <f t="shared" si="52"/>
        <v>0.44</v>
      </c>
      <c r="H175" s="123">
        <f t="shared" si="52"/>
        <v>0.44</v>
      </c>
      <c r="I175" s="123">
        <f t="shared" si="52"/>
        <v>0.44</v>
      </c>
      <c r="J175" s="123">
        <f t="shared" si="52"/>
        <v>0.44</v>
      </c>
      <c r="K175" s="123">
        <f t="shared" si="52"/>
        <v>0.44</v>
      </c>
      <c r="L175" s="123">
        <f t="shared" si="52"/>
        <v>0.44</v>
      </c>
      <c r="M175" s="123">
        <f t="shared" si="52"/>
        <v>0.44</v>
      </c>
      <c r="N175" s="123">
        <f t="shared" si="52"/>
        <v>0.44</v>
      </c>
      <c r="O175" s="123">
        <f t="shared" si="52"/>
        <v>0.44</v>
      </c>
      <c r="P175" s="123">
        <f t="shared" si="52"/>
        <v>0.44</v>
      </c>
      <c r="Q175" s="123">
        <f t="shared" si="52"/>
        <v>0.44</v>
      </c>
      <c r="R175" s="123">
        <f t="shared" si="52"/>
        <v>0.44</v>
      </c>
      <c r="S175" s="123">
        <f t="shared" si="53"/>
        <v>0.44</v>
      </c>
      <c r="T175" s="123">
        <f t="shared" si="53"/>
        <v>0.44</v>
      </c>
      <c r="U175" s="123">
        <f t="shared" si="53"/>
        <v>0.44</v>
      </c>
      <c r="V175" s="123">
        <f t="shared" si="53"/>
        <v>0.44</v>
      </c>
      <c r="W175" s="123">
        <f t="shared" si="53"/>
        <v>0.44</v>
      </c>
      <c r="X175" s="123">
        <f t="shared" si="53"/>
        <v>0.44</v>
      </c>
      <c r="Y175" s="123">
        <f t="shared" si="53"/>
        <v>0.44</v>
      </c>
      <c r="Z175" s="123">
        <f t="shared" si="53"/>
        <v>0.44</v>
      </c>
      <c r="AA175" s="123">
        <f t="shared" si="53"/>
        <v>0.44</v>
      </c>
      <c r="AB175" s="123">
        <f t="shared" si="53"/>
        <v>0.44</v>
      </c>
      <c r="AC175" s="123">
        <f t="shared" si="53"/>
        <v>0.44</v>
      </c>
      <c r="AD175" s="123">
        <f t="shared" si="53"/>
        <v>0.44</v>
      </c>
      <c r="AE175" s="123">
        <f t="shared" si="53"/>
        <v>0.44</v>
      </c>
      <c r="AF175" s="123">
        <f t="shared" si="53"/>
        <v>0.44</v>
      </c>
      <c r="AG175" s="126">
        <v>2</v>
      </c>
      <c r="AH175" s="55"/>
      <c r="AI175" s="56"/>
      <c r="AK175" s="57"/>
    </row>
    <row r="176" spans="1:37" x14ac:dyDescent="0.25">
      <c r="A176" s="111" t="s">
        <v>181</v>
      </c>
      <c r="B176" s="123">
        <f t="shared" si="51"/>
        <v>2.1</v>
      </c>
      <c r="C176" s="124">
        <v>2.1</v>
      </c>
      <c r="D176" s="123">
        <f t="shared" si="52"/>
        <v>2.1</v>
      </c>
      <c r="E176" s="123">
        <f t="shared" si="52"/>
        <v>2.1</v>
      </c>
      <c r="F176" s="123">
        <f t="shared" si="52"/>
        <v>2.1</v>
      </c>
      <c r="G176" s="123">
        <f t="shared" si="52"/>
        <v>2.1</v>
      </c>
      <c r="H176" s="123">
        <f t="shared" si="52"/>
        <v>2.1</v>
      </c>
      <c r="I176" s="123">
        <f t="shared" si="52"/>
        <v>2.1</v>
      </c>
      <c r="J176" s="123">
        <f t="shared" si="52"/>
        <v>2.1</v>
      </c>
      <c r="K176" s="123">
        <f t="shared" si="52"/>
        <v>2.1</v>
      </c>
      <c r="L176" s="123">
        <f t="shared" si="52"/>
        <v>2.1</v>
      </c>
      <c r="M176" s="123">
        <f t="shared" si="52"/>
        <v>2.1</v>
      </c>
      <c r="N176" s="123">
        <f t="shared" si="52"/>
        <v>2.1</v>
      </c>
      <c r="O176" s="123">
        <f t="shared" si="52"/>
        <v>2.1</v>
      </c>
      <c r="P176" s="123">
        <f t="shared" si="52"/>
        <v>2.1</v>
      </c>
      <c r="Q176" s="123">
        <f t="shared" si="52"/>
        <v>2.1</v>
      </c>
      <c r="R176" s="123">
        <f t="shared" si="52"/>
        <v>2.1</v>
      </c>
      <c r="S176" s="123">
        <f t="shared" si="53"/>
        <v>2.1</v>
      </c>
      <c r="T176" s="123">
        <f t="shared" si="53"/>
        <v>2.1</v>
      </c>
      <c r="U176" s="123">
        <f t="shared" si="53"/>
        <v>2.1</v>
      </c>
      <c r="V176" s="123">
        <f t="shared" si="53"/>
        <v>2.1</v>
      </c>
      <c r="W176" s="123">
        <f t="shared" si="53"/>
        <v>2.1</v>
      </c>
      <c r="X176" s="123">
        <f t="shared" si="53"/>
        <v>2.1</v>
      </c>
      <c r="Y176" s="123">
        <f t="shared" si="53"/>
        <v>2.1</v>
      </c>
      <c r="Z176" s="123">
        <f t="shared" si="53"/>
        <v>2.1</v>
      </c>
      <c r="AA176" s="123">
        <f t="shared" si="53"/>
        <v>2.1</v>
      </c>
      <c r="AB176" s="123">
        <f t="shared" si="53"/>
        <v>2.1</v>
      </c>
      <c r="AC176" s="123">
        <f t="shared" si="53"/>
        <v>2.1</v>
      </c>
      <c r="AD176" s="123">
        <f t="shared" si="53"/>
        <v>2.1</v>
      </c>
      <c r="AE176" s="123">
        <f t="shared" si="53"/>
        <v>2.1</v>
      </c>
      <c r="AF176" s="123">
        <f t="shared" si="53"/>
        <v>2.1</v>
      </c>
      <c r="AG176" s="126">
        <v>2</v>
      </c>
      <c r="AH176" s="55"/>
      <c r="AI176" s="56"/>
      <c r="AK176" s="57"/>
    </row>
    <row r="177" spans="1:37" x14ac:dyDescent="0.25">
      <c r="A177" s="111" t="s">
        <v>182</v>
      </c>
      <c r="B177" s="123">
        <f t="shared" si="51"/>
        <v>0.9</v>
      </c>
      <c r="C177" s="124">
        <v>0.9</v>
      </c>
      <c r="D177" s="123">
        <f t="shared" si="52"/>
        <v>0.9</v>
      </c>
      <c r="E177" s="123">
        <f t="shared" si="52"/>
        <v>0.9</v>
      </c>
      <c r="F177" s="123">
        <f t="shared" si="52"/>
        <v>0.9</v>
      </c>
      <c r="G177" s="123">
        <f t="shared" si="52"/>
        <v>0.9</v>
      </c>
      <c r="H177" s="123">
        <f t="shared" si="52"/>
        <v>0.9</v>
      </c>
      <c r="I177" s="123">
        <f t="shared" si="52"/>
        <v>0.9</v>
      </c>
      <c r="J177" s="123">
        <f t="shared" si="52"/>
        <v>0.9</v>
      </c>
      <c r="K177" s="123">
        <f t="shared" si="52"/>
        <v>0.9</v>
      </c>
      <c r="L177" s="123">
        <f t="shared" si="52"/>
        <v>0.9</v>
      </c>
      <c r="M177" s="123">
        <f t="shared" si="52"/>
        <v>0.9</v>
      </c>
      <c r="N177" s="123">
        <f t="shared" si="52"/>
        <v>0.9</v>
      </c>
      <c r="O177" s="123">
        <f t="shared" si="52"/>
        <v>0.9</v>
      </c>
      <c r="P177" s="123">
        <f t="shared" si="52"/>
        <v>0.9</v>
      </c>
      <c r="Q177" s="123">
        <f t="shared" si="52"/>
        <v>0.9</v>
      </c>
      <c r="R177" s="123">
        <f t="shared" si="52"/>
        <v>0.9</v>
      </c>
      <c r="S177" s="123">
        <f t="shared" si="53"/>
        <v>0.9</v>
      </c>
      <c r="T177" s="123">
        <f t="shared" si="53"/>
        <v>0.9</v>
      </c>
      <c r="U177" s="123">
        <f t="shared" si="53"/>
        <v>0.9</v>
      </c>
      <c r="V177" s="123">
        <f t="shared" si="53"/>
        <v>0.9</v>
      </c>
      <c r="W177" s="123">
        <f t="shared" si="53"/>
        <v>0.9</v>
      </c>
      <c r="X177" s="123">
        <f t="shared" si="53"/>
        <v>0.9</v>
      </c>
      <c r="Y177" s="123">
        <f t="shared" si="53"/>
        <v>0.9</v>
      </c>
      <c r="Z177" s="123">
        <f t="shared" si="53"/>
        <v>0.9</v>
      </c>
      <c r="AA177" s="123">
        <f t="shared" si="53"/>
        <v>0.9</v>
      </c>
      <c r="AB177" s="123">
        <f t="shared" si="53"/>
        <v>0.9</v>
      </c>
      <c r="AC177" s="123">
        <f t="shared" si="53"/>
        <v>0.9</v>
      </c>
      <c r="AD177" s="123">
        <f t="shared" si="53"/>
        <v>0.9</v>
      </c>
      <c r="AE177" s="123">
        <f t="shared" si="53"/>
        <v>0.9</v>
      </c>
      <c r="AF177" s="123">
        <f t="shared" si="53"/>
        <v>0.9</v>
      </c>
      <c r="AG177" s="126">
        <v>2</v>
      </c>
      <c r="AH177" s="55"/>
      <c r="AI177" s="56"/>
      <c r="AK177" s="57"/>
    </row>
    <row r="178" spans="1:37" x14ac:dyDescent="0.25">
      <c r="A178" s="111" t="s">
        <v>183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5"/>
      <c r="AI178" s="56"/>
      <c r="AK178" s="57"/>
    </row>
    <row r="179" spans="1:37" x14ac:dyDescent="0.25">
      <c r="A179" s="111" t="s">
        <v>184</v>
      </c>
      <c r="B179" s="123">
        <f t="shared" ref="B179:B191" si="54">AF179</f>
        <v>0.57999999999999996</v>
      </c>
      <c r="C179" s="124">
        <v>0.57999999999999996</v>
      </c>
      <c r="D179" s="123">
        <f t="shared" ref="D179:S191" si="55">C179</f>
        <v>0.57999999999999996</v>
      </c>
      <c r="E179" s="123">
        <f t="shared" si="55"/>
        <v>0.57999999999999996</v>
      </c>
      <c r="F179" s="123">
        <f t="shared" si="55"/>
        <v>0.57999999999999996</v>
      </c>
      <c r="G179" s="123">
        <f t="shared" si="55"/>
        <v>0.57999999999999996</v>
      </c>
      <c r="H179" s="123">
        <f t="shared" si="55"/>
        <v>0.57999999999999996</v>
      </c>
      <c r="I179" s="123">
        <f t="shared" si="55"/>
        <v>0.57999999999999996</v>
      </c>
      <c r="J179" s="123">
        <f t="shared" si="55"/>
        <v>0.57999999999999996</v>
      </c>
      <c r="K179" s="123">
        <f t="shared" si="55"/>
        <v>0.57999999999999996</v>
      </c>
      <c r="L179" s="123">
        <f t="shared" si="55"/>
        <v>0.57999999999999996</v>
      </c>
      <c r="M179" s="123">
        <f t="shared" si="55"/>
        <v>0.57999999999999996</v>
      </c>
      <c r="N179" s="123">
        <f t="shared" si="55"/>
        <v>0.57999999999999996</v>
      </c>
      <c r="O179" s="123">
        <f t="shared" si="55"/>
        <v>0.57999999999999996</v>
      </c>
      <c r="P179" s="123">
        <f t="shared" si="55"/>
        <v>0.57999999999999996</v>
      </c>
      <c r="Q179" s="123">
        <f t="shared" si="55"/>
        <v>0.57999999999999996</v>
      </c>
      <c r="R179" s="123">
        <f t="shared" si="55"/>
        <v>0.57999999999999996</v>
      </c>
      <c r="S179" s="123">
        <f t="shared" si="55"/>
        <v>0.57999999999999996</v>
      </c>
      <c r="T179" s="123">
        <f t="shared" ref="S179:AF191" si="56">S179</f>
        <v>0.57999999999999996</v>
      </c>
      <c r="U179" s="123">
        <f t="shared" si="56"/>
        <v>0.57999999999999996</v>
      </c>
      <c r="V179" s="123">
        <f t="shared" si="56"/>
        <v>0.57999999999999996</v>
      </c>
      <c r="W179" s="123">
        <f t="shared" si="56"/>
        <v>0.57999999999999996</v>
      </c>
      <c r="X179" s="123">
        <f t="shared" si="56"/>
        <v>0.57999999999999996</v>
      </c>
      <c r="Y179" s="123">
        <f t="shared" si="56"/>
        <v>0.57999999999999996</v>
      </c>
      <c r="Z179" s="123">
        <f t="shared" si="56"/>
        <v>0.57999999999999996</v>
      </c>
      <c r="AA179" s="123">
        <f t="shared" si="56"/>
        <v>0.57999999999999996</v>
      </c>
      <c r="AB179" s="123">
        <f t="shared" si="56"/>
        <v>0.57999999999999996</v>
      </c>
      <c r="AC179" s="123">
        <f t="shared" si="56"/>
        <v>0.57999999999999996</v>
      </c>
      <c r="AD179" s="123">
        <f t="shared" si="56"/>
        <v>0.57999999999999996</v>
      </c>
      <c r="AE179" s="123">
        <f t="shared" si="56"/>
        <v>0.57999999999999996</v>
      </c>
      <c r="AF179" s="123">
        <f t="shared" si="56"/>
        <v>0.57999999999999996</v>
      </c>
      <c r="AG179" s="126">
        <v>1.8</v>
      </c>
      <c r="AH179" s="55"/>
      <c r="AI179" s="56"/>
      <c r="AK179" s="57"/>
    </row>
    <row r="180" spans="1:37" x14ac:dyDescent="0.25">
      <c r="A180" s="111" t="s">
        <v>185</v>
      </c>
      <c r="B180" s="123">
        <f t="shared" si="54"/>
        <v>0.8</v>
      </c>
      <c r="C180" s="124">
        <v>0.8</v>
      </c>
      <c r="D180" s="123">
        <f t="shared" si="55"/>
        <v>0.8</v>
      </c>
      <c r="E180" s="123">
        <f t="shared" si="55"/>
        <v>0.8</v>
      </c>
      <c r="F180" s="123">
        <f t="shared" si="55"/>
        <v>0.8</v>
      </c>
      <c r="G180" s="123">
        <f t="shared" si="55"/>
        <v>0.8</v>
      </c>
      <c r="H180" s="123">
        <f t="shared" si="55"/>
        <v>0.8</v>
      </c>
      <c r="I180" s="123">
        <f t="shared" si="55"/>
        <v>0.8</v>
      </c>
      <c r="J180" s="123">
        <f t="shared" si="55"/>
        <v>0.8</v>
      </c>
      <c r="K180" s="123">
        <f t="shared" si="55"/>
        <v>0.8</v>
      </c>
      <c r="L180" s="123">
        <f t="shared" si="55"/>
        <v>0.8</v>
      </c>
      <c r="M180" s="123">
        <f t="shared" si="55"/>
        <v>0.8</v>
      </c>
      <c r="N180" s="123">
        <f t="shared" si="55"/>
        <v>0.8</v>
      </c>
      <c r="O180" s="123">
        <f t="shared" si="55"/>
        <v>0.8</v>
      </c>
      <c r="P180" s="123">
        <f t="shared" si="55"/>
        <v>0.8</v>
      </c>
      <c r="Q180" s="123">
        <f t="shared" si="55"/>
        <v>0.8</v>
      </c>
      <c r="R180" s="123">
        <f t="shared" si="55"/>
        <v>0.8</v>
      </c>
      <c r="S180" s="123">
        <f t="shared" si="55"/>
        <v>0.8</v>
      </c>
      <c r="T180" s="123">
        <f t="shared" si="56"/>
        <v>0.8</v>
      </c>
      <c r="U180" s="123">
        <f t="shared" si="56"/>
        <v>0.8</v>
      </c>
      <c r="V180" s="123">
        <f t="shared" si="56"/>
        <v>0.8</v>
      </c>
      <c r="W180" s="123">
        <f t="shared" si="56"/>
        <v>0.8</v>
      </c>
      <c r="X180" s="123">
        <f t="shared" si="56"/>
        <v>0.8</v>
      </c>
      <c r="Y180" s="123">
        <f t="shared" si="56"/>
        <v>0.8</v>
      </c>
      <c r="Z180" s="123">
        <f t="shared" si="56"/>
        <v>0.8</v>
      </c>
      <c r="AA180" s="123">
        <f t="shared" si="56"/>
        <v>0.8</v>
      </c>
      <c r="AB180" s="123">
        <f t="shared" si="56"/>
        <v>0.8</v>
      </c>
      <c r="AC180" s="123">
        <f t="shared" si="56"/>
        <v>0.8</v>
      </c>
      <c r="AD180" s="123">
        <f t="shared" si="56"/>
        <v>0.8</v>
      </c>
      <c r="AE180" s="123">
        <f t="shared" si="56"/>
        <v>0.8</v>
      </c>
      <c r="AF180" s="123">
        <f t="shared" si="56"/>
        <v>0.8</v>
      </c>
      <c r="AG180" s="126">
        <v>1.65</v>
      </c>
      <c r="AH180" s="55"/>
      <c r="AI180" s="56"/>
      <c r="AK180" s="57"/>
    </row>
    <row r="181" spans="1:37" x14ac:dyDescent="0.25">
      <c r="A181" s="111" t="s">
        <v>186</v>
      </c>
      <c r="B181" s="123">
        <f t="shared" si="54"/>
        <v>0</v>
      </c>
      <c r="C181" s="124">
        <v>0</v>
      </c>
      <c r="D181" s="123">
        <f t="shared" si="55"/>
        <v>0</v>
      </c>
      <c r="E181" s="123">
        <f t="shared" si="55"/>
        <v>0</v>
      </c>
      <c r="F181" s="123">
        <f t="shared" si="55"/>
        <v>0</v>
      </c>
      <c r="G181" s="123">
        <f t="shared" si="55"/>
        <v>0</v>
      </c>
      <c r="H181" s="123">
        <f t="shared" si="55"/>
        <v>0</v>
      </c>
      <c r="I181" s="123">
        <f t="shared" si="55"/>
        <v>0</v>
      </c>
      <c r="J181" s="123">
        <f t="shared" si="55"/>
        <v>0</v>
      </c>
      <c r="K181" s="123">
        <f t="shared" si="55"/>
        <v>0</v>
      </c>
      <c r="L181" s="123">
        <f t="shared" si="55"/>
        <v>0</v>
      </c>
      <c r="M181" s="123">
        <f t="shared" si="55"/>
        <v>0</v>
      </c>
      <c r="N181" s="123">
        <f t="shared" si="55"/>
        <v>0</v>
      </c>
      <c r="O181" s="123">
        <f t="shared" si="55"/>
        <v>0</v>
      </c>
      <c r="P181" s="123">
        <f t="shared" si="55"/>
        <v>0</v>
      </c>
      <c r="Q181" s="123">
        <f t="shared" si="55"/>
        <v>0</v>
      </c>
      <c r="R181" s="123">
        <f t="shared" si="55"/>
        <v>0</v>
      </c>
      <c r="S181" s="123">
        <f t="shared" si="55"/>
        <v>0</v>
      </c>
      <c r="T181" s="123">
        <f t="shared" si="56"/>
        <v>0</v>
      </c>
      <c r="U181" s="123">
        <f t="shared" si="56"/>
        <v>0</v>
      </c>
      <c r="V181" s="123">
        <f t="shared" si="56"/>
        <v>0</v>
      </c>
      <c r="W181" s="123">
        <f t="shared" si="56"/>
        <v>0</v>
      </c>
      <c r="X181" s="123">
        <f t="shared" si="56"/>
        <v>0</v>
      </c>
      <c r="Y181" s="123">
        <f t="shared" si="56"/>
        <v>0</v>
      </c>
      <c r="Z181" s="123">
        <f t="shared" si="56"/>
        <v>0</v>
      </c>
      <c r="AA181" s="123">
        <f t="shared" si="56"/>
        <v>0</v>
      </c>
      <c r="AB181" s="123">
        <f t="shared" si="56"/>
        <v>0</v>
      </c>
      <c r="AC181" s="123">
        <f t="shared" si="56"/>
        <v>0</v>
      </c>
      <c r="AD181" s="123">
        <f t="shared" si="56"/>
        <v>0</v>
      </c>
      <c r="AE181" s="123">
        <f t="shared" si="56"/>
        <v>0</v>
      </c>
      <c r="AF181" s="123">
        <f t="shared" si="56"/>
        <v>0</v>
      </c>
      <c r="AG181" s="126">
        <v>1.5</v>
      </c>
      <c r="AH181" s="55"/>
      <c r="AI181" s="56"/>
      <c r="AK181" s="57"/>
    </row>
    <row r="182" spans="1:37" x14ac:dyDescent="0.25">
      <c r="A182" s="111" t="s">
        <v>187</v>
      </c>
      <c r="B182" s="123">
        <f t="shared" si="54"/>
        <v>0.6</v>
      </c>
      <c r="C182" s="124">
        <v>0.6</v>
      </c>
      <c r="D182" s="123">
        <f t="shared" si="55"/>
        <v>0.6</v>
      </c>
      <c r="E182" s="123">
        <f t="shared" si="55"/>
        <v>0.6</v>
      </c>
      <c r="F182" s="123">
        <f t="shared" si="55"/>
        <v>0.6</v>
      </c>
      <c r="G182" s="123">
        <f t="shared" si="55"/>
        <v>0.6</v>
      </c>
      <c r="H182" s="123">
        <f t="shared" si="55"/>
        <v>0.6</v>
      </c>
      <c r="I182" s="123">
        <f t="shared" si="55"/>
        <v>0.6</v>
      </c>
      <c r="J182" s="123">
        <f t="shared" si="55"/>
        <v>0.6</v>
      </c>
      <c r="K182" s="123">
        <f t="shared" si="55"/>
        <v>0.6</v>
      </c>
      <c r="L182" s="123">
        <f t="shared" si="55"/>
        <v>0.6</v>
      </c>
      <c r="M182" s="123">
        <f t="shared" si="55"/>
        <v>0.6</v>
      </c>
      <c r="N182" s="123">
        <f t="shared" si="55"/>
        <v>0.6</v>
      </c>
      <c r="O182" s="123">
        <f t="shared" si="55"/>
        <v>0.6</v>
      </c>
      <c r="P182" s="123">
        <f t="shared" si="55"/>
        <v>0.6</v>
      </c>
      <c r="Q182" s="123">
        <f t="shared" si="55"/>
        <v>0.6</v>
      </c>
      <c r="R182" s="123">
        <f t="shared" si="55"/>
        <v>0.6</v>
      </c>
      <c r="S182" s="123">
        <f t="shared" si="55"/>
        <v>0.6</v>
      </c>
      <c r="T182" s="123">
        <f t="shared" si="56"/>
        <v>0.6</v>
      </c>
      <c r="U182" s="123">
        <f t="shared" si="56"/>
        <v>0.6</v>
      </c>
      <c r="V182" s="123">
        <f t="shared" si="56"/>
        <v>0.6</v>
      </c>
      <c r="W182" s="123">
        <f t="shared" si="56"/>
        <v>0.6</v>
      </c>
      <c r="X182" s="123">
        <f t="shared" si="56"/>
        <v>0.6</v>
      </c>
      <c r="Y182" s="123">
        <f t="shared" si="56"/>
        <v>0.6</v>
      </c>
      <c r="Z182" s="123">
        <f t="shared" si="56"/>
        <v>0.6</v>
      </c>
      <c r="AA182" s="123">
        <f t="shared" si="56"/>
        <v>0.6</v>
      </c>
      <c r="AB182" s="123">
        <f t="shared" si="56"/>
        <v>0.6</v>
      </c>
      <c r="AC182" s="123">
        <f t="shared" si="56"/>
        <v>0.6</v>
      </c>
      <c r="AD182" s="123">
        <f t="shared" si="56"/>
        <v>0.6</v>
      </c>
      <c r="AE182" s="123">
        <f t="shared" si="56"/>
        <v>0.6</v>
      </c>
      <c r="AF182" s="123">
        <f t="shared" si="56"/>
        <v>0.6</v>
      </c>
      <c r="AG182" s="126">
        <v>0.998</v>
      </c>
      <c r="AH182" s="55"/>
      <c r="AI182" s="56"/>
      <c r="AK182" s="57"/>
    </row>
    <row r="183" spans="1:37" x14ac:dyDescent="0.25">
      <c r="A183" s="111" t="s">
        <v>188</v>
      </c>
      <c r="B183" s="123">
        <f t="shared" si="54"/>
        <v>0.6</v>
      </c>
      <c r="C183" s="124">
        <v>0.6</v>
      </c>
      <c r="D183" s="123">
        <f t="shared" si="55"/>
        <v>0.6</v>
      </c>
      <c r="E183" s="123">
        <f t="shared" si="55"/>
        <v>0.6</v>
      </c>
      <c r="F183" s="123">
        <f t="shared" si="55"/>
        <v>0.6</v>
      </c>
      <c r="G183" s="123">
        <f t="shared" si="55"/>
        <v>0.6</v>
      </c>
      <c r="H183" s="123">
        <f t="shared" si="55"/>
        <v>0.6</v>
      </c>
      <c r="I183" s="123">
        <f t="shared" si="55"/>
        <v>0.6</v>
      </c>
      <c r="J183" s="123">
        <f t="shared" si="55"/>
        <v>0.6</v>
      </c>
      <c r="K183" s="123">
        <f t="shared" si="55"/>
        <v>0.6</v>
      </c>
      <c r="L183" s="123">
        <f t="shared" si="55"/>
        <v>0.6</v>
      </c>
      <c r="M183" s="123">
        <f t="shared" si="55"/>
        <v>0.6</v>
      </c>
      <c r="N183" s="123">
        <f t="shared" si="55"/>
        <v>0.6</v>
      </c>
      <c r="O183" s="123">
        <f t="shared" si="55"/>
        <v>0.6</v>
      </c>
      <c r="P183" s="123">
        <f t="shared" si="55"/>
        <v>0.6</v>
      </c>
      <c r="Q183" s="123">
        <f t="shared" si="55"/>
        <v>0.6</v>
      </c>
      <c r="R183" s="123">
        <f t="shared" si="55"/>
        <v>0.6</v>
      </c>
      <c r="S183" s="123">
        <f t="shared" si="55"/>
        <v>0.6</v>
      </c>
      <c r="T183" s="123">
        <f t="shared" si="56"/>
        <v>0.6</v>
      </c>
      <c r="U183" s="123">
        <f t="shared" si="56"/>
        <v>0.6</v>
      </c>
      <c r="V183" s="123">
        <f t="shared" si="56"/>
        <v>0.6</v>
      </c>
      <c r="W183" s="123">
        <f t="shared" si="56"/>
        <v>0.6</v>
      </c>
      <c r="X183" s="123">
        <f t="shared" si="56"/>
        <v>0.6</v>
      </c>
      <c r="Y183" s="123">
        <f t="shared" si="56"/>
        <v>0.6</v>
      </c>
      <c r="Z183" s="123">
        <f t="shared" si="56"/>
        <v>0.6</v>
      </c>
      <c r="AA183" s="123">
        <f t="shared" si="56"/>
        <v>0.6</v>
      </c>
      <c r="AB183" s="123">
        <f t="shared" si="56"/>
        <v>0.6</v>
      </c>
      <c r="AC183" s="123">
        <f t="shared" si="56"/>
        <v>0.6</v>
      </c>
      <c r="AD183" s="123">
        <f t="shared" si="56"/>
        <v>0.6</v>
      </c>
      <c r="AE183" s="123">
        <f t="shared" si="56"/>
        <v>0.6</v>
      </c>
      <c r="AF183" s="123">
        <f t="shared" si="56"/>
        <v>0.6</v>
      </c>
      <c r="AG183" s="126">
        <v>0.997</v>
      </c>
      <c r="AH183" s="55"/>
      <c r="AI183" s="56"/>
      <c r="AK183" s="57"/>
    </row>
    <row r="184" spans="1:37" x14ac:dyDescent="0.25">
      <c r="A184" s="111" t="s">
        <v>189</v>
      </c>
      <c r="B184" s="123">
        <f t="shared" si="54"/>
        <v>0.35</v>
      </c>
      <c r="C184" s="124">
        <v>0.35</v>
      </c>
      <c r="D184" s="123">
        <f t="shared" si="55"/>
        <v>0.35</v>
      </c>
      <c r="E184" s="123">
        <f t="shared" si="55"/>
        <v>0.35</v>
      </c>
      <c r="F184" s="123">
        <f t="shared" si="55"/>
        <v>0.35</v>
      </c>
      <c r="G184" s="123">
        <f t="shared" si="55"/>
        <v>0.35</v>
      </c>
      <c r="H184" s="123">
        <f t="shared" si="55"/>
        <v>0.35</v>
      </c>
      <c r="I184" s="123">
        <f t="shared" si="55"/>
        <v>0.35</v>
      </c>
      <c r="J184" s="123">
        <f t="shared" si="55"/>
        <v>0.35</v>
      </c>
      <c r="K184" s="123">
        <f t="shared" si="55"/>
        <v>0.35</v>
      </c>
      <c r="L184" s="123">
        <f t="shared" si="55"/>
        <v>0.35</v>
      </c>
      <c r="M184" s="123">
        <f t="shared" si="55"/>
        <v>0.35</v>
      </c>
      <c r="N184" s="123">
        <f t="shared" si="55"/>
        <v>0.35</v>
      </c>
      <c r="O184" s="123">
        <f t="shared" si="55"/>
        <v>0.35</v>
      </c>
      <c r="P184" s="123">
        <f t="shared" si="55"/>
        <v>0.35</v>
      </c>
      <c r="Q184" s="123">
        <f t="shared" si="55"/>
        <v>0.35</v>
      </c>
      <c r="R184" s="123">
        <f t="shared" si="55"/>
        <v>0.35</v>
      </c>
      <c r="S184" s="123">
        <f t="shared" si="55"/>
        <v>0.35</v>
      </c>
      <c r="T184" s="123">
        <f t="shared" si="56"/>
        <v>0.35</v>
      </c>
      <c r="U184" s="123">
        <f t="shared" si="56"/>
        <v>0.35</v>
      </c>
      <c r="V184" s="123">
        <f t="shared" si="56"/>
        <v>0.35</v>
      </c>
      <c r="W184" s="123">
        <f t="shared" si="56"/>
        <v>0.35</v>
      </c>
      <c r="X184" s="123">
        <f t="shared" si="56"/>
        <v>0.35</v>
      </c>
      <c r="Y184" s="123">
        <f t="shared" si="56"/>
        <v>0.35</v>
      </c>
      <c r="Z184" s="123">
        <f t="shared" si="56"/>
        <v>0.35</v>
      </c>
      <c r="AA184" s="123">
        <f t="shared" si="56"/>
        <v>0.35</v>
      </c>
      <c r="AB184" s="123">
        <f t="shared" si="56"/>
        <v>0.35</v>
      </c>
      <c r="AC184" s="123">
        <f t="shared" si="56"/>
        <v>0.35</v>
      </c>
      <c r="AD184" s="123">
        <f t="shared" si="56"/>
        <v>0.35</v>
      </c>
      <c r="AE184" s="123">
        <f t="shared" si="56"/>
        <v>0.35</v>
      </c>
      <c r="AF184" s="123">
        <f t="shared" si="56"/>
        <v>0.35</v>
      </c>
      <c r="AG184" s="126">
        <v>0.997</v>
      </c>
      <c r="AH184" s="55"/>
      <c r="AI184" s="56"/>
      <c r="AK184" s="57"/>
    </row>
    <row r="185" spans="1:37" x14ac:dyDescent="0.25">
      <c r="A185" s="111" t="s">
        <v>190</v>
      </c>
      <c r="B185" s="123">
        <f t="shared" si="54"/>
        <v>0.28999999999999998</v>
      </c>
      <c r="C185" s="124">
        <v>0.28999999999999998</v>
      </c>
      <c r="D185" s="123">
        <f t="shared" si="55"/>
        <v>0.28999999999999998</v>
      </c>
      <c r="E185" s="123">
        <f t="shared" si="55"/>
        <v>0.28999999999999998</v>
      </c>
      <c r="F185" s="123">
        <f t="shared" si="55"/>
        <v>0.28999999999999998</v>
      </c>
      <c r="G185" s="123">
        <f t="shared" si="55"/>
        <v>0.28999999999999998</v>
      </c>
      <c r="H185" s="123">
        <f t="shared" si="55"/>
        <v>0.28999999999999998</v>
      </c>
      <c r="I185" s="123">
        <f t="shared" si="55"/>
        <v>0.28999999999999998</v>
      </c>
      <c r="J185" s="123">
        <f t="shared" si="55"/>
        <v>0.28999999999999998</v>
      </c>
      <c r="K185" s="123">
        <f t="shared" si="55"/>
        <v>0.28999999999999998</v>
      </c>
      <c r="L185" s="123">
        <f t="shared" si="55"/>
        <v>0.28999999999999998</v>
      </c>
      <c r="M185" s="123">
        <f t="shared" si="55"/>
        <v>0.28999999999999998</v>
      </c>
      <c r="N185" s="123">
        <f t="shared" si="55"/>
        <v>0.28999999999999998</v>
      </c>
      <c r="O185" s="123">
        <f t="shared" si="55"/>
        <v>0.28999999999999998</v>
      </c>
      <c r="P185" s="123">
        <f t="shared" si="55"/>
        <v>0.28999999999999998</v>
      </c>
      <c r="Q185" s="123">
        <f t="shared" si="55"/>
        <v>0.28999999999999998</v>
      </c>
      <c r="R185" s="123">
        <f t="shared" si="55"/>
        <v>0.28999999999999998</v>
      </c>
      <c r="S185" s="123">
        <f t="shared" si="55"/>
        <v>0.28999999999999998</v>
      </c>
      <c r="T185" s="123">
        <f t="shared" si="56"/>
        <v>0.28999999999999998</v>
      </c>
      <c r="U185" s="123">
        <f t="shared" si="56"/>
        <v>0.28999999999999998</v>
      </c>
      <c r="V185" s="123">
        <f t="shared" si="56"/>
        <v>0.28999999999999998</v>
      </c>
      <c r="W185" s="123">
        <f t="shared" si="56"/>
        <v>0.28999999999999998</v>
      </c>
      <c r="X185" s="123">
        <f t="shared" si="56"/>
        <v>0.28999999999999998</v>
      </c>
      <c r="Y185" s="123">
        <f t="shared" si="56"/>
        <v>0.28999999999999998</v>
      </c>
      <c r="Z185" s="123">
        <f t="shared" si="56"/>
        <v>0.28999999999999998</v>
      </c>
      <c r="AA185" s="123">
        <f t="shared" si="56"/>
        <v>0.28999999999999998</v>
      </c>
      <c r="AB185" s="123">
        <f t="shared" si="56"/>
        <v>0.28999999999999998</v>
      </c>
      <c r="AC185" s="123">
        <f t="shared" si="56"/>
        <v>0.28999999999999998</v>
      </c>
      <c r="AD185" s="123">
        <f t="shared" si="56"/>
        <v>0.28999999999999998</v>
      </c>
      <c r="AE185" s="123">
        <f t="shared" si="56"/>
        <v>0.28999999999999998</v>
      </c>
      <c r="AF185" s="123">
        <f t="shared" si="56"/>
        <v>0.28999999999999998</v>
      </c>
      <c r="AG185" s="126">
        <v>0.996</v>
      </c>
      <c r="AH185" s="55"/>
      <c r="AI185" s="56"/>
      <c r="AK185" s="57"/>
    </row>
    <row r="186" spans="1:37" x14ac:dyDescent="0.25">
      <c r="A186" s="111" t="s">
        <v>191</v>
      </c>
      <c r="B186" s="123">
        <f t="shared" si="54"/>
        <v>0.06</v>
      </c>
      <c r="C186" s="124">
        <v>0.06</v>
      </c>
      <c r="D186" s="123">
        <f t="shared" si="55"/>
        <v>0.06</v>
      </c>
      <c r="E186" s="123">
        <f t="shared" si="55"/>
        <v>0.06</v>
      </c>
      <c r="F186" s="123">
        <f t="shared" si="55"/>
        <v>0.06</v>
      </c>
      <c r="G186" s="123">
        <f t="shared" si="55"/>
        <v>0.06</v>
      </c>
      <c r="H186" s="123">
        <f t="shared" si="55"/>
        <v>0.06</v>
      </c>
      <c r="I186" s="123">
        <f t="shared" si="55"/>
        <v>0.06</v>
      </c>
      <c r="J186" s="123">
        <f t="shared" si="55"/>
        <v>0.06</v>
      </c>
      <c r="K186" s="123">
        <f t="shared" si="55"/>
        <v>0.06</v>
      </c>
      <c r="L186" s="123">
        <f t="shared" si="55"/>
        <v>0.06</v>
      </c>
      <c r="M186" s="123">
        <f t="shared" si="55"/>
        <v>0.06</v>
      </c>
      <c r="N186" s="123">
        <f t="shared" si="55"/>
        <v>0.06</v>
      </c>
      <c r="O186" s="123">
        <f t="shared" si="55"/>
        <v>0.06</v>
      </c>
      <c r="P186" s="123">
        <f t="shared" si="55"/>
        <v>0.06</v>
      </c>
      <c r="Q186" s="123">
        <f t="shared" si="55"/>
        <v>0.06</v>
      </c>
      <c r="R186" s="123">
        <f t="shared" si="55"/>
        <v>0.06</v>
      </c>
      <c r="S186" s="123">
        <f t="shared" si="55"/>
        <v>0.06</v>
      </c>
      <c r="T186" s="123">
        <f t="shared" si="56"/>
        <v>0.06</v>
      </c>
      <c r="U186" s="123">
        <f t="shared" si="56"/>
        <v>0.06</v>
      </c>
      <c r="V186" s="123">
        <f t="shared" si="56"/>
        <v>0.06</v>
      </c>
      <c r="W186" s="123">
        <f t="shared" si="56"/>
        <v>0.06</v>
      </c>
      <c r="X186" s="123">
        <f t="shared" si="56"/>
        <v>0.06</v>
      </c>
      <c r="Y186" s="123">
        <f t="shared" si="56"/>
        <v>0.06</v>
      </c>
      <c r="Z186" s="123">
        <f t="shared" si="56"/>
        <v>0.06</v>
      </c>
      <c r="AA186" s="123">
        <f t="shared" si="56"/>
        <v>0.06</v>
      </c>
      <c r="AB186" s="123">
        <f t="shared" si="56"/>
        <v>0.06</v>
      </c>
      <c r="AC186" s="123">
        <f t="shared" si="56"/>
        <v>0.06</v>
      </c>
      <c r="AD186" s="123">
        <f t="shared" si="56"/>
        <v>0.06</v>
      </c>
      <c r="AE186" s="123">
        <f t="shared" si="56"/>
        <v>0.06</v>
      </c>
      <c r="AF186" s="123">
        <f t="shared" si="56"/>
        <v>0.06</v>
      </c>
      <c r="AG186" s="126">
        <v>0.996</v>
      </c>
      <c r="AH186" s="55"/>
      <c r="AI186" s="56"/>
      <c r="AK186" s="57"/>
    </row>
    <row r="187" spans="1:37" x14ac:dyDescent="0.25">
      <c r="A187" s="111" t="s">
        <v>192</v>
      </c>
      <c r="B187" s="123">
        <f t="shared" si="54"/>
        <v>0.11</v>
      </c>
      <c r="C187" s="124">
        <v>0.11</v>
      </c>
      <c r="D187" s="123">
        <f t="shared" si="55"/>
        <v>0.11</v>
      </c>
      <c r="E187" s="123">
        <f t="shared" si="55"/>
        <v>0.11</v>
      </c>
      <c r="F187" s="123">
        <f t="shared" si="55"/>
        <v>0.11</v>
      </c>
      <c r="G187" s="123">
        <f t="shared" si="55"/>
        <v>0.11</v>
      </c>
      <c r="H187" s="123">
        <f t="shared" si="55"/>
        <v>0.11</v>
      </c>
      <c r="I187" s="123">
        <f t="shared" si="55"/>
        <v>0.11</v>
      </c>
      <c r="J187" s="123">
        <f t="shared" si="55"/>
        <v>0.11</v>
      </c>
      <c r="K187" s="123">
        <f t="shared" si="55"/>
        <v>0.11</v>
      </c>
      <c r="L187" s="123">
        <f t="shared" si="55"/>
        <v>0.11</v>
      </c>
      <c r="M187" s="123">
        <f t="shared" si="55"/>
        <v>0.11</v>
      </c>
      <c r="N187" s="123">
        <f t="shared" si="55"/>
        <v>0.11</v>
      </c>
      <c r="O187" s="123">
        <f t="shared" si="55"/>
        <v>0.11</v>
      </c>
      <c r="P187" s="123">
        <f t="shared" si="55"/>
        <v>0.11</v>
      </c>
      <c r="Q187" s="123">
        <f t="shared" si="55"/>
        <v>0.11</v>
      </c>
      <c r="R187" s="123">
        <f t="shared" si="55"/>
        <v>0.11</v>
      </c>
      <c r="S187" s="123">
        <f t="shared" si="55"/>
        <v>0.11</v>
      </c>
      <c r="T187" s="123">
        <f t="shared" si="56"/>
        <v>0.11</v>
      </c>
      <c r="U187" s="123">
        <f t="shared" si="56"/>
        <v>0.11</v>
      </c>
      <c r="V187" s="123">
        <f t="shared" si="56"/>
        <v>0.11</v>
      </c>
      <c r="W187" s="123">
        <f t="shared" si="56"/>
        <v>0.11</v>
      </c>
      <c r="X187" s="123">
        <f t="shared" si="56"/>
        <v>0.11</v>
      </c>
      <c r="Y187" s="123">
        <f t="shared" si="56"/>
        <v>0.11</v>
      </c>
      <c r="Z187" s="123">
        <f t="shared" si="56"/>
        <v>0.11</v>
      </c>
      <c r="AA187" s="123">
        <f t="shared" si="56"/>
        <v>0.11</v>
      </c>
      <c r="AB187" s="123">
        <f t="shared" si="56"/>
        <v>0.11</v>
      </c>
      <c r="AC187" s="123">
        <f t="shared" si="56"/>
        <v>0.11</v>
      </c>
      <c r="AD187" s="123">
        <f t="shared" si="56"/>
        <v>0.11</v>
      </c>
      <c r="AE187" s="123">
        <f t="shared" si="56"/>
        <v>0.11</v>
      </c>
      <c r="AF187" s="123">
        <f t="shared" si="56"/>
        <v>0.11</v>
      </c>
      <c r="AG187" s="126">
        <v>0.996</v>
      </c>
      <c r="AH187" s="55"/>
      <c r="AI187" s="56"/>
      <c r="AK187" s="57"/>
    </row>
    <row r="188" spans="1:37" x14ac:dyDescent="0.25">
      <c r="A188" s="111" t="s">
        <v>193</v>
      </c>
      <c r="B188" s="123">
        <f t="shared" si="54"/>
        <v>0.1</v>
      </c>
      <c r="C188" s="124">
        <v>0.1</v>
      </c>
      <c r="D188" s="123">
        <f t="shared" si="55"/>
        <v>0.1</v>
      </c>
      <c r="E188" s="123">
        <f t="shared" si="55"/>
        <v>0.1</v>
      </c>
      <c r="F188" s="123">
        <f t="shared" si="55"/>
        <v>0.1</v>
      </c>
      <c r="G188" s="123">
        <f t="shared" si="55"/>
        <v>0.1</v>
      </c>
      <c r="H188" s="123">
        <f t="shared" si="55"/>
        <v>0.1</v>
      </c>
      <c r="I188" s="123">
        <f t="shared" si="55"/>
        <v>0.1</v>
      </c>
      <c r="J188" s="123">
        <f t="shared" si="55"/>
        <v>0.1</v>
      </c>
      <c r="K188" s="123">
        <f t="shared" si="55"/>
        <v>0.1</v>
      </c>
      <c r="L188" s="123">
        <f t="shared" si="55"/>
        <v>0.1</v>
      </c>
      <c r="M188" s="123">
        <f t="shared" si="55"/>
        <v>0.1</v>
      </c>
      <c r="N188" s="123">
        <f t="shared" si="55"/>
        <v>0.1</v>
      </c>
      <c r="O188" s="123">
        <f t="shared" si="55"/>
        <v>0.1</v>
      </c>
      <c r="P188" s="123">
        <f t="shared" si="55"/>
        <v>0.1</v>
      </c>
      <c r="Q188" s="123">
        <f t="shared" si="55"/>
        <v>0.1</v>
      </c>
      <c r="R188" s="123">
        <f t="shared" si="55"/>
        <v>0.1</v>
      </c>
      <c r="S188" s="123">
        <f t="shared" si="56"/>
        <v>0.1</v>
      </c>
      <c r="T188" s="123">
        <f t="shared" si="56"/>
        <v>0.1</v>
      </c>
      <c r="U188" s="123">
        <f t="shared" si="56"/>
        <v>0.1</v>
      </c>
      <c r="V188" s="123">
        <f t="shared" si="56"/>
        <v>0.1</v>
      </c>
      <c r="W188" s="123">
        <f t="shared" si="56"/>
        <v>0.1</v>
      </c>
      <c r="X188" s="123">
        <f t="shared" si="56"/>
        <v>0.1</v>
      </c>
      <c r="Y188" s="123">
        <f t="shared" si="56"/>
        <v>0.1</v>
      </c>
      <c r="Z188" s="123">
        <f t="shared" si="56"/>
        <v>0.1</v>
      </c>
      <c r="AA188" s="123">
        <f t="shared" si="56"/>
        <v>0.1</v>
      </c>
      <c r="AB188" s="123">
        <f t="shared" si="56"/>
        <v>0.1</v>
      </c>
      <c r="AC188" s="123">
        <f t="shared" si="56"/>
        <v>0.1</v>
      </c>
      <c r="AD188" s="123">
        <f t="shared" si="56"/>
        <v>0.1</v>
      </c>
      <c r="AE188" s="123">
        <f t="shared" si="56"/>
        <v>0.1</v>
      </c>
      <c r="AF188" s="123">
        <f t="shared" si="56"/>
        <v>0.1</v>
      </c>
      <c r="AG188" s="126">
        <v>0.995</v>
      </c>
      <c r="AH188" s="55"/>
      <c r="AI188" s="56"/>
      <c r="AK188" s="57"/>
    </row>
    <row r="189" spans="1:37" x14ac:dyDescent="0.25">
      <c r="A189" s="111" t="s">
        <v>194</v>
      </c>
      <c r="B189" s="123">
        <f t="shared" si="54"/>
        <v>0.09</v>
      </c>
      <c r="C189" s="124">
        <v>0.09</v>
      </c>
      <c r="D189" s="123">
        <f t="shared" si="55"/>
        <v>0.09</v>
      </c>
      <c r="E189" s="123">
        <f t="shared" si="55"/>
        <v>0.09</v>
      </c>
      <c r="F189" s="123">
        <f t="shared" si="55"/>
        <v>0.09</v>
      </c>
      <c r="G189" s="123">
        <f t="shared" si="55"/>
        <v>0.09</v>
      </c>
      <c r="H189" s="123">
        <f t="shared" si="55"/>
        <v>0.09</v>
      </c>
      <c r="I189" s="123">
        <f t="shared" si="55"/>
        <v>0.09</v>
      </c>
      <c r="J189" s="123">
        <f t="shared" si="55"/>
        <v>0.09</v>
      </c>
      <c r="K189" s="123">
        <f t="shared" si="55"/>
        <v>0.09</v>
      </c>
      <c r="L189" s="123">
        <f t="shared" si="55"/>
        <v>0.09</v>
      </c>
      <c r="M189" s="123">
        <f t="shared" si="55"/>
        <v>0.09</v>
      </c>
      <c r="N189" s="123">
        <f t="shared" si="55"/>
        <v>0.09</v>
      </c>
      <c r="O189" s="123">
        <f t="shared" si="55"/>
        <v>0.09</v>
      </c>
      <c r="P189" s="123">
        <f t="shared" si="55"/>
        <v>0.09</v>
      </c>
      <c r="Q189" s="123">
        <f t="shared" si="55"/>
        <v>0.09</v>
      </c>
      <c r="R189" s="123">
        <f t="shared" si="55"/>
        <v>0.09</v>
      </c>
      <c r="S189" s="123">
        <f t="shared" si="56"/>
        <v>0.09</v>
      </c>
      <c r="T189" s="123">
        <f t="shared" si="56"/>
        <v>0.09</v>
      </c>
      <c r="U189" s="123">
        <f t="shared" si="56"/>
        <v>0.09</v>
      </c>
      <c r="V189" s="123">
        <f t="shared" si="56"/>
        <v>0.09</v>
      </c>
      <c r="W189" s="123">
        <f t="shared" si="56"/>
        <v>0.09</v>
      </c>
      <c r="X189" s="123">
        <f t="shared" si="56"/>
        <v>0.09</v>
      </c>
      <c r="Y189" s="123">
        <f t="shared" si="56"/>
        <v>0.09</v>
      </c>
      <c r="Z189" s="123">
        <f t="shared" si="56"/>
        <v>0.09</v>
      </c>
      <c r="AA189" s="123">
        <f t="shared" si="56"/>
        <v>0.09</v>
      </c>
      <c r="AB189" s="123">
        <f t="shared" si="56"/>
        <v>0.09</v>
      </c>
      <c r="AC189" s="123">
        <f t="shared" si="56"/>
        <v>0.09</v>
      </c>
      <c r="AD189" s="123">
        <f t="shared" si="56"/>
        <v>0.09</v>
      </c>
      <c r="AE189" s="123">
        <f t="shared" si="56"/>
        <v>0.09</v>
      </c>
      <c r="AF189" s="123">
        <f t="shared" si="56"/>
        <v>0.09</v>
      </c>
      <c r="AG189" s="126">
        <v>0.99299999999999999</v>
      </c>
      <c r="AH189" s="55"/>
      <c r="AI189" s="56"/>
      <c r="AK189" s="57"/>
    </row>
    <row r="190" spans="1:37" x14ac:dyDescent="0.25">
      <c r="A190" s="111" t="s">
        <v>195</v>
      </c>
      <c r="B190" s="123">
        <f t="shared" si="54"/>
        <v>0.04</v>
      </c>
      <c r="C190" s="54">
        <v>0.04</v>
      </c>
      <c r="D190" s="123">
        <f t="shared" si="55"/>
        <v>0.04</v>
      </c>
      <c r="E190" s="123">
        <f t="shared" si="55"/>
        <v>0.04</v>
      </c>
      <c r="F190" s="123">
        <f t="shared" si="55"/>
        <v>0.04</v>
      </c>
      <c r="G190" s="123">
        <f t="shared" si="55"/>
        <v>0.04</v>
      </c>
      <c r="H190" s="123">
        <f t="shared" si="55"/>
        <v>0.04</v>
      </c>
      <c r="I190" s="123">
        <f t="shared" si="55"/>
        <v>0.04</v>
      </c>
      <c r="J190" s="123">
        <f t="shared" si="55"/>
        <v>0.04</v>
      </c>
      <c r="K190" s="123">
        <f t="shared" si="55"/>
        <v>0.04</v>
      </c>
      <c r="L190" s="123">
        <f t="shared" si="55"/>
        <v>0.04</v>
      </c>
      <c r="M190" s="123">
        <f t="shared" si="55"/>
        <v>0.04</v>
      </c>
      <c r="N190" s="123">
        <f t="shared" si="55"/>
        <v>0.04</v>
      </c>
      <c r="O190" s="123">
        <f t="shared" si="55"/>
        <v>0.04</v>
      </c>
      <c r="P190" s="123">
        <f t="shared" si="55"/>
        <v>0.04</v>
      </c>
      <c r="Q190" s="123">
        <f t="shared" si="55"/>
        <v>0.04</v>
      </c>
      <c r="R190" s="123">
        <f t="shared" si="55"/>
        <v>0.04</v>
      </c>
      <c r="S190" s="123">
        <f t="shared" si="56"/>
        <v>0.04</v>
      </c>
      <c r="T190" s="123">
        <f t="shared" si="56"/>
        <v>0.04</v>
      </c>
      <c r="U190" s="123">
        <f t="shared" si="56"/>
        <v>0.04</v>
      </c>
      <c r="V190" s="123">
        <f t="shared" si="56"/>
        <v>0.04</v>
      </c>
      <c r="W190" s="123">
        <f t="shared" si="56"/>
        <v>0.04</v>
      </c>
      <c r="X190" s="123">
        <f t="shared" si="56"/>
        <v>0.04</v>
      </c>
      <c r="Y190" s="123">
        <f t="shared" si="56"/>
        <v>0.04</v>
      </c>
      <c r="Z190" s="123">
        <f t="shared" si="56"/>
        <v>0.04</v>
      </c>
      <c r="AA190" s="123">
        <f t="shared" si="56"/>
        <v>0.04</v>
      </c>
      <c r="AB190" s="123">
        <f t="shared" si="56"/>
        <v>0.04</v>
      </c>
      <c r="AC190" s="123">
        <f t="shared" si="56"/>
        <v>0.04</v>
      </c>
      <c r="AD190" s="123">
        <f t="shared" si="56"/>
        <v>0.04</v>
      </c>
      <c r="AE190" s="123">
        <f t="shared" si="56"/>
        <v>0.04</v>
      </c>
      <c r="AF190" s="123">
        <f t="shared" si="56"/>
        <v>0.04</v>
      </c>
      <c r="AG190" s="126">
        <v>0.99</v>
      </c>
      <c r="AH190" s="55"/>
      <c r="AI190" s="56"/>
      <c r="AK190" s="57"/>
    </row>
    <row r="191" spans="1:37" x14ac:dyDescent="0.25">
      <c r="A191" s="111" t="s">
        <v>196</v>
      </c>
      <c r="B191" s="123">
        <f t="shared" si="54"/>
        <v>2.3E-2</v>
      </c>
      <c r="C191" s="54">
        <v>2.3E-2</v>
      </c>
      <c r="D191" s="123">
        <f>C191</f>
        <v>2.3E-2</v>
      </c>
      <c r="E191" s="123">
        <f t="shared" si="55"/>
        <v>2.3E-2</v>
      </c>
      <c r="F191" s="123">
        <f t="shared" si="55"/>
        <v>2.3E-2</v>
      </c>
      <c r="G191" s="123">
        <f t="shared" si="55"/>
        <v>2.3E-2</v>
      </c>
      <c r="H191" s="123">
        <f t="shared" si="55"/>
        <v>2.3E-2</v>
      </c>
      <c r="I191" s="123">
        <f t="shared" si="55"/>
        <v>2.3E-2</v>
      </c>
      <c r="J191" s="123">
        <f t="shared" si="55"/>
        <v>2.3E-2</v>
      </c>
      <c r="K191" s="123">
        <f t="shared" si="55"/>
        <v>2.3E-2</v>
      </c>
      <c r="L191" s="123">
        <f t="shared" si="55"/>
        <v>2.3E-2</v>
      </c>
      <c r="M191" s="123">
        <f t="shared" si="55"/>
        <v>2.3E-2</v>
      </c>
      <c r="N191" s="123">
        <f t="shared" si="55"/>
        <v>2.3E-2</v>
      </c>
      <c r="O191" s="123">
        <f t="shared" si="55"/>
        <v>2.3E-2</v>
      </c>
      <c r="P191" s="123">
        <f t="shared" si="55"/>
        <v>2.3E-2</v>
      </c>
      <c r="Q191" s="123">
        <f t="shared" si="55"/>
        <v>2.3E-2</v>
      </c>
      <c r="R191" s="123">
        <f t="shared" si="55"/>
        <v>2.3E-2</v>
      </c>
      <c r="S191" s="123">
        <f t="shared" si="56"/>
        <v>2.3E-2</v>
      </c>
      <c r="T191" s="123">
        <f t="shared" si="56"/>
        <v>2.3E-2</v>
      </c>
      <c r="U191" s="123">
        <f t="shared" si="56"/>
        <v>2.3E-2</v>
      </c>
      <c r="V191" s="123">
        <f t="shared" si="56"/>
        <v>2.3E-2</v>
      </c>
      <c r="W191" s="123">
        <f t="shared" si="56"/>
        <v>2.3E-2</v>
      </c>
      <c r="X191" s="123">
        <f t="shared" si="56"/>
        <v>2.3E-2</v>
      </c>
      <c r="Y191" s="123">
        <f t="shared" si="56"/>
        <v>2.3E-2</v>
      </c>
      <c r="Z191" s="123">
        <f t="shared" si="56"/>
        <v>2.3E-2</v>
      </c>
      <c r="AA191" s="123">
        <f t="shared" si="56"/>
        <v>2.3E-2</v>
      </c>
      <c r="AB191" s="123">
        <f t="shared" si="56"/>
        <v>2.3E-2</v>
      </c>
      <c r="AC191" s="123">
        <f t="shared" si="56"/>
        <v>2.3E-2</v>
      </c>
      <c r="AD191" s="123">
        <f t="shared" si="56"/>
        <v>2.3E-2</v>
      </c>
      <c r="AE191" s="123">
        <f t="shared" si="56"/>
        <v>2.3E-2</v>
      </c>
      <c r="AF191" s="123">
        <f t="shared" si="56"/>
        <v>2.3E-2</v>
      </c>
      <c r="AG191" s="126">
        <v>0.97899999999999998</v>
      </c>
      <c r="AH191" s="55"/>
      <c r="AI191" s="56"/>
      <c r="AK191" s="57"/>
    </row>
    <row r="192" spans="1:37" ht="15.75" thickBot="1" x14ac:dyDescent="0.3">
      <c r="A192" s="127" t="s">
        <v>197</v>
      </c>
      <c r="B192" s="128">
        <f>SUM(B102:B191)</f>
        <v>187.10600000000005</v>
      </c>
      <c r="C192" s="128">
        <f t="shared" ref="C192:AG192" si="57">SUM(C102:C191)</f>
        <v>194.70600000000002</v>
      </c>
      <c r="D192" s="128">
        <f t="shared" si="57"/>
        <v>194.70600000000002</v>
      </c>
      <c r="E192" s="128">
        <f t="shared" si="57"/>
        <v>194.70600000000002</v>
      </c>
      <c r="F192" s="128">
        <f t="shared" si="57"/>
        <v>194.70600000000002</v>
      </c>
      <c r="G192" s="128">
        <f t="shared" si="57"/>
        <v>194.70600000000002</v>
      </c>
      <c r="H192" s="128">
        <f t="shared" si="57"/>
        <v>194.70600000000002</v>
      </c>
      <c r="I192" s="128">
        <f t="shared" si="57"/>
        <v>189.70600000000005</v>
      </c>
      <c r="J192" s="128">
        <f t="shared" si="57"/>
        <v>187.10600000000005</v>
      </c>
      <c r="K192" s="128">
        <f t="shared" si="57"/>
        <v>187.10600000000005</v>
      </c>
      <c r="L192" s="128">
        <f t="shared" si="57"/>
        <v>187.10600000000005</v>
      </c>
      <c r="M192" s="128">
        <f t="shared" si="57"/>
        <v>187.10600000000005</v>
      </c>
      <c r="N192" s="128">
        <f t="shared" si="57"/>
        <v>187.10600000000005</v>
      </c>
      <c r="O192" s="128">
        <f t="shared" si="57"/>
        <v>187.10600000000005</v>
      </c>
      <c r="P192" s="128">
        <f t="shared" si="57"/>
        <v>187.10600000000005</v>
      </c>
      <c r="Q192" s="128">
        <f t="shared" si="57"/>
        <v>187.10600000000005</v>
      </c>
      <c r="R192" s="128">
        <f t="shared" si="57"/>
        <v>187.10600000000005</v>
      </c>
      <c r="S192" s="128">
        <f t="shared" si="57"/>
        <v>187.10600000000005</v>
      </c>
      <c r="T192" s="128">
        <f t="shared" si="57"/>
        <v>187.10600000000005</v>
      </c>
      <c r="U192" s="128">
        <f t="shared" si="57"/>
        <v>187.10600000000005</v>
      </c>
      <c r="V192" s="128">
        <f t="shared" si="57"/>
        <v>187.10600000000005</v>
      </c>
      <c r="W192" s="128">
        <f t="shared" si="57"/>
        <v>187.10600000000005</v>
      </c>
      <c r="X192" s="128">
        <f t="shared" si="57"/>
        <v>187.10600000000005</v>
      </c>
      <c r="Y192" s="128">
        <f t="shared" si="57"/>
        <v>187.10600000000005</v>
      </c>
      <c r="Z192" s="128">
        <f t="shared" si="57"/>
        <v>187.10600000000005</v>
      </c>
      <c r="AA192" s="128">
        <f t="shared" si="57"/>
        <v>187.10600000000005</v>
      </c>
      <c r="AB192" s="128">
        <f t="shared" si="57"/>
        <v>187.10600000000005</v>
      </c>
      <c r="AC192" s="128">
        <f t="shared" si="57"/>
        <v>187.10600000000005</v>
      </c>
      <c r="AD192" s="128">
        <f t="shared" si="57"/>
        <v>187.10600000000005</v>
      </c>
      <c r="AE192" s="128">
        <f t="shared" si="57"/>
        <v>187.10600000000005</v>
      </c>
      <c r="AF192" s="128">
        <f t="shared" si="57"/>
        <v>187.10600000000005</v>
      </c>
      <c r="AG192" s="129">
        <f t="shared" si="57"/>
        <v>412.72299999999984</v>
      </c>
      <c r="AH192" s="55"/>
      <c r="AI192" s="56"/>
      <c r="AK192" s="57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5"/>
      <c r="AI193" s="56"/>
      <c r="AK193" s="57"/>
    </row>
    <row r="194" spans="1:37" x14ac:dyDescent="0.25">
      <c r="A194" s="105" t="s">
        <v>198</v>
      </c>
      <c r="B194" s="130">
        <f t="shared" ref="B194:B199" si="58">AF194</f>
        <v>0.3</v>
      </c>
      <c r="C194" s="130">
        <v>0.3</v>
      </c>
      <c r="D194" s="130">
        <f t="shared" ref="D194:S199" si="59">C194</f>
        <v>0.3</v>
      </c>
      <c r="E194" s="130">
        <f t="shared" si="59"/>
        <v>0.3</v>
      </c>
      <c r="F194" s="130">
        <f t="shared" si="59"/>
        <v>0.3</v>
      </c>
      <c r="G194" s="130">
        <f t="shared" si="59"/>
        <v>0.3</v>
      </c>
      <c r="H194" s="130">
        <f t="shared" si="59"/>
        <v>0.3</v>
      </c>
      <c r="I194" s="130">
        <f t="shared" si="59"/>
        <v>0.3</v>
      </c>
      <c r="J194" s="130">
        <f t="shared" si="59"/>
        <v>0.3</v>
      </c>
      <c r="K194" s="130">
        <f t="shared" si="59"/>
        <v>0.3</v>
      </c>
      <c r="L194" s="130">
        <f t="shared" si="59"/>
        <v>0.3</v>
      </c>
      <c r="M194" s="130">
        <f t="shared" si="59"/>
        <v>0.3</v>
      </c>
      <c r="N194" s="130">
        <f t="shared" si="59"/>
        <v>0.3</v>
      </c>
      <c r="O194" s="130">
        <f t="shared" si="59"/>
        <v>0.3</v>
      </c>
      <c r="P194" s="130">
        <f t="shared" si="59"/>
        <v>0.3</v>
      </c>
      <c r="Q194" s="130">
        <f t="shared" si="59"/>
        <v>0.3</v>
      </c>
      <c r="R194" s="130">
        <f t="shared" si="59"/>
        <v>0.3</v>
      </c>
      <c r="S194" s="130">
        <f t="shared" si="59"/>
        <v>0.3</v>
      </c>
      <c r="T194" s="130">
        <f t="shared" ref="T194:AF199" si="60">S194</f>
        <v>0.3</v>
      </c>
      <c r="U194" s="130">
        <f t="shared" si="60"/>
        <v>0.3</v>
      </c>
      <c r="V194" s="130">
        <f t="shared" si="60"/>
        <v>0.3</v>
      </c>
      <c r="W194" s="130">
        <f t="shared" si="60"/>
        <v>0.3</v>
      </c>
      <c r="X194" s="130">
        <f t="shared" si="60"/>
        <v>0.3</v>
      </c>
      <c r="Y194" s="130">
        <f t="shared" si="60"/>
        <v>0.3</v>
      </c>
      <c r="Z194" s="130">
        <f t="shared" si="60"/>
        <v>0.3</v>
      </c>
      <c r="AA194" s="130">
        <f t="shared" si="60"/>
        <v>0.3</v>
      </c>
      <c r="AB194" s="130">
        <f t="shared" si="60"/>
        <v>0.3</v>
      </c>
      <c r="AC194" s="130">
        <f t="shared" si="60"/>
        <v>0.3</v>
      </c>
      <c r="AD194" s="130">
        <f t="shared" si="60"/>
        <v>0.3</v>
      </c>
      <c r="AE194" s="130">
        <f t="shared" si="60"/>
        <v>0.3</v>
      </c>
      <c r="AF194" s="130">
        <f t="shared" si="60"/>
        <v>0.3</v>
      </c>
      <c r="AG194" s="131">
        <v>2.4</v>
      </c>
      <c r="AH194" s="55"/>
      <c r="AI194" s="56"/>
      <c r="AK194" s="57"/>
    </row>
    <row r="195" spans="1:37" x14ac:dyDescent="0.25">
      <c r="A195" s="109" t="s">
        <v>199</v>
      </c>
      <c r="B195" s="123">
        <f t="shared" si="58"/>
        <v>0.4</v>
      </c>
      <c r="C195" s="123">
        <v>0.4</v>
      </c>
      <c r="D195" s="123">
        <f t="shared" si="59"/>
        <v>0.4</v>
      </c>
      <c r="E195" s="123">
        <f t="shared" si="59"/>
        <v>0.4</v>
      </c>
      <c r="F195" s="123">
        <f t="shared" si="59"/>
        <v>0.4</v>
      </c>
      <c r="G195" s="123">
        <f t="shared" si="59"/>
        <v>0.4</v>
      </c>
      <c r="H195" s="123">
        <f t="shared" si="59"/>
        <v>0.4</v>
      </c>
      <c r="I195" s="123">
        <f t="shared" si="59"/>
        <v>0.4</v>
      </c>
      <c r="J195" s="123">
        <f t="shared" si="59"/>
        <v>0.4</v>
      </c>
      <c r="K195" s="123">
        <f t="shared" si="59"/>
        <v>0.4</v>
      </c>
      <c r="L195" s="123">
        <f t="shared" si="59"/>
        <v>0.4</v>
      </c>
      <c r="M195" s="123">
        <f t="shared" si="59"/>
        <v>0.4</v>
      </c>
      <c r="N195" s="123">
        <f t="shared" si="59"/>
        <v>0.4</v>
      </c>
      <c r="O195" s="123">
        <f t="shared" si="59"/>
        <v>0.4</v>
      </c>
      <c r="P195" s="123">
        <f t="shared" si="59"/>
        <v>0.4</v>
      </c>
      <c r="Q195" s="123">
        <f t="shared" si="59"/>
        <v>0.4</v>
      </c>
      <c r="R195" s="123">
        <f t="shared" si="59"/>
        <v>0.4</v>
      </c>
      <c r="S195" s="123">
        <f t="shared" si="59"/>
        <v>0.4</v>
      </c>
      <c r="T195" s="123">
        <f t="shared" si="60"/>
        <v>0.4</v>
      </c>
      <c r="U195" s="123">
        <f t="shared" si="60"/>
        <v>0.4</v>
      </c>
      <c r="V195" s="123">
        <f t="shared" si="60"/>
        <v>0.4</v>
      </c>
      <c r="W195" s="123">
        <f>V195</f>
        <v>0.4</v>
      </c>
      <c r="X195" s="123">
        <f>W195</f>
        <v>0.4</v>
      </c>
      <c r="Y195" s="123">
        <f t="shared" si="60"/>
        <v>0.4</v>
      </c>
      <c r="Z195" s="123">
        <f t="shared" si="60"/>
        <v>0.4</v>
      </c>
      <c r="AA195" s="123">
        <f t="shared" si="60"/>
        <v>0.4</v>
      </c>
      <c r="AB195" s="123">
        <f t="shared" si="60"/>
        <v>0.4</v>
      </c>
      <c r="AC195" s="123">
        <f t="shared" si="60"/>
        <v>0.4</v>
      </c>
      <c r="AD195" s="123">
        <f t="shared" si="60"/>
        <v>0.4</v>
      </c>
      <c r="AE195" s="123">
        <f t="shared" si="60"/>
        <v>0.4</v>
      </c>
      <c r="AF195" s="123">
        <f t="shared" si="60"/>
        <v>0.4</v>
      </c>
      <c r="AG195" s="132">
        <v>2</v>
      </c>
      <c r="AH195" s="55"/>
      <c r="AI195" s="56"/>
      <c r="AK195" s="57"/>
    </row>
    <row r="196" spans="1:37" x14ac:dyDescent="0.25">
      <c r="A196" s="109" t="s">
        <v>200</v>
      </c>
      <c r="B196" s="123">
        <f t="shared" si="58"/>
        <v>1.5</v>
      </c>
      <c r="C196" s="123">
        <v>1.5</v>
      </c>
      <c r="D196" s="123">
        <f t="shared" si="59"/>
        <v>1.5</v>
      </c>
      <c r="E196" s="123">
        <f t="shared" si="59"/>
        <v>1.5</v>
      </c>
      <c r="F196" s="123">
        <f t="shared" si="59"/>
        <v>1.5</v>
      </c>
      <c r="G196" s="123">
        <f t="shared" si="59"/>
        <v>1.5</v>
      </c>
      <c r="H196" s="123">
        <f t="shared" si="59"/>
        <v>1.5</v>
      </c>
      <c r="I196" s="123">
        <f t="shared" si="59"/>
        <v>1.5</v>
      </c>
      <c r="J196" s="123">
        <f t="shared" si="59"/>
        <v>1.5</v>
      </c>
      <c r="K196" s="123">
        <f t="shared" si="59"/>
        <v>1.5</v>
      </c>
      <c r="L196" s="123">
        <f t="shared" si="59"/>
        <v>1.5</v>
      </c>
      <c r="M196" s="123">
        <f t="shared" si="59"/>
        <v>1.5</v>
      </c>
      <c r="N196" s="123">
        <f t="shared" si="59"/>
        <v>1.5</v>
      </c>
      <c r="O196" s="123">
        <f t="shared" si="59"/>
        <v>1.5</v>
      </c>
      <c r="P196" s="123">
        <f t="shared" si="59"/>
        <v>1.5</v>
      </c>
      <c r="Q196" s="123">
        <f t="shared" si="59"/>
        <v>1.5</v>
      </c>
      <c r="R196" s="123">
        <f t="shared" si="59"/>
        <v>1.5</v>
      </c>
      <c r="S196" s="123">
        <f t="shared" si="59"/>
        <v>1.5</v>
      </c>
      <c r="T196" s="123">
        <f t="shared" si="60"/>
        <v>1.5</v>
      </c>
      <c r="U196" s="123">
        <f t="shared" si="60"/>
        <v>1.5</v>
      </c>
      <c r="V196" s="123">
        <f t="shared" si="60"/>
        <v>1.5</v>
      </c>
      <c r="W196" s="123">
        <f t="shared" si="60"/>
        <v>1.5</v>
      </c>
      <c r="X196" s="123">
        <f t="shared" si="60"/>
        <v>1.5</v>
      </c>
      <c r="Y196" s="123">
        <f t="shared" si="60"/>
        <v>1.5</v>
      </c>
      <c r="Z196" s="123">
        <f t="shared" si="60"/>
        <v>1.5</v>
      </c>
      <c r="AA196" s="123">
        <f t="shared" si="60"/>
        <v>1.5</v>
      </c>
      <c r="AB196" s="123">
        <f t="shared" si="60"/>
        <v>1.5</v>
      </c>
      <c r="AC196" s="123">
        <f t="shared" si="60"/>
        <v>1.5</v>
      </c>
      <c r="AD196" s="123">
        <f t="shared" si="60"/>
        <v>1.5</v>
      </c>
      <c r="AE196" s="123">
        <f t="shared" si="60"/>
        <v>1.5</v>
      </c>
      <c r="AF196" s="123">
        <f t="shared" si="60"/>
        <v>1.5</v>
      </c>
      <c r="AG196" s="132">
        <v>1.5</v>
      </c>
      <c r="AH196" s="55"/>
      <c r="AI196" s="56"/>
      <c r="AK196" s="57"/>
    </row>
    <row r="197" spans="1:37" x14ac:dyDescent="0.25">
      <c r="A197" s="109" t="s">
        <v>201</v>
      </c>
      <c r="B197" s="123">
        <f t="shared" si="58"/>
        <v>0.3</v>
      </c>
      <c r="C197" s="123">
        <v>0.3</v>
      </c>
      <c r="D197" s="123">
        <f t="shared" si="59"/>
        <v>0.3</v>
      </c>
      <c r="E197" s="123">
        <f t="shared" si="59"/>
        <v>0.3</v>
      </c>
      <c r="F197" s="123">
        <f t="shared" si="59"/>
        <v>0.3</v>
      </c>
      <c r="G197" s="123">
        <f t="shared" si="59"/>
        <v>0.3</v>
      </c>
      <c r="H197" s="123">
        <f t="shared" si="59"/>
        <v>0.3</v>
      </c>
      <c r="I197" s="123">
        <f t="shared" si="59"/>
        <v>0.3</v>
      </c>
      <c r="J197" s="123">
        <f t="shared" si="59"/>
        <v>0.3</v>
      </c>
      <c r="K197" s="123">
        <f t="shared" si="59"/>
        <v>0.3</v>
      </c>
      <c r="L197" s="123">
        <f t="shared" si="59"/>
        <v>0.3</v>
      </c>
      <c r="M197" s="123">
        <f t="shared" si="59"/>
        <v>0.3</v>
      </c>
      <c r="N197" s="123">
        <f t="shared" si="59"/>
        <v>0.3</v>
      </c>
      <c r="O197" s="123">
        <f t="shared" si="59"/>
        <v>0.3</v>
      </c>
      <c r="P197" s="123">
        <f t="shared" si="59"/>
        <v>0.3</v>
      </c>
      <c r="Q197" s="123">
        <f t="shared" si="59"/>
        <v>0.3</v>
      </c>
      <c r="R197" s="123">
        <f t="shared" si="59"/>
        <v>0.3</v>
      </c>
      <c r="S197" s="123">
        <f t="shared" si="59"/>
        <v>0.3</v>
      </c>
      <c r="T197" s="123">
        <f t="shared" si="60"/>
        <v>0.3</v>
      </c>
      <c r="U197" s="123">
        <f t="shared" si="60"/>
        <v>0.3</v>
      </c>
      <c r="V197" s="123">
        <f t="shared" si="60"/>
        <v>0.3</v>
      </c>
      <c r="W197" s="123">
        <f t="shared" si="60"/>
        <v>0.3</v>
      </c>
      <c r="X197" s="123">
        <f t="shared" si="60"/>
        <v>0.3</v>
      </c>
      <c r="Y197" s="123">
        <f t="shared" si="60"/>
        <v>0.3</v>
      </c>
      <c r="Z197" s="123">
        <f t="shared" si="60"/>
        <v>0.3</v>
      </c>
      <c r="AA197" s="123">
        <f t="shared" si="60"/>
        <v>0.3</v>
      </c>
      <c r="AB197" s="123">
        <f t="shared" si="60"/>
        <v>0.3</v>
      </c>
      <c r="AC197" s="123">
        <f t="shared" si="60"/>
        <v>0.3</v>
      </c>
      <c r="AD197" s="123">
        <f t="shared" si="60"/>
        <v>0.3</v>
      </c>
      <c r="AE197" s="123">
        <f t="shared" si="60"/>
        <v>0.3</v>
      </c>
      <c r="AF197" s="123">
        <f t="shared" si="60"/>
        <v>0.3</v>
      </c>
      <c r="AG197" s="132">
        <v>1</v>
      </c>
      <c r="AH197" s="55"/>
      <c r="AI197" s="56"/>
      <c r="AK197" s="57"/>
    </row>
    <row r="198" spans="1:37" x14ac:dyDescent="0.25">
      <c r="A198" s="109" t="s">
        <v>202</v>
      </c>
      <c r="B198" s="123">
        <f t="shared" si="58"/>
        <v>0.4</v>
      </c>
      <c r="C198" s="123">
        <v>0.4</v>
      </c>
      <c r="D198" s="123">
        <f t="shared" si="59"/>
        <v>0.4</v>
      </c>
      <c r="E198" s="123">
        <f t="shared" si="59"/>
        <v>0.4</v>
      </c>
      <c r="F198" s="123">
        <f t="shared" si="59"/>
        <v>0.4</v>
      </c>
      <c r="G198" s="123">
        <f t="shared" si="59"/>
        <v>0.4</v>
      </c>
      <c r="H198" s="123">
        <f t="shared" si="59"/>
        <v>0.4</v>
      </c>
      <c r="I198" s="123">
        <f t="shared" si="59"/>
        <v>0.4</v>
      </c>
      <c r="J198" s="123">
        <f t="shared" si="59"/>
        <v>0.4</v>
      </c>
      <c r="K198" s="123">
        <f t="shared" si="59"/>
        <v>0.4</v>
      </c>
      <c r="L198" s="123">
        <f t="shared" si="59"/>
        <v>0.4</v>
      </c>
      <c r="M198" s="123">
        <f t="shared" si="59"/>
        <v>0.4</v>
      </c>
      <c r="N198" s="123">
        <f t="shared" si="59"/>
        <v>0.4</v>
      </c>
      <c r="O198" s="123">
        <f t="shared" si="59"/>
        <v>0.4</v>
      </c>
      <c r="P198" s="123">
        <f t="shared" si="59"/>
        <v>0.4</v>
      </c>
      <c r="Q198" s="123">
        <f t="shared" si="59"/>
        <v>0.4</v>
      </c>
      <c r="R198" s="123">
        <f t="shared" si="59"/>
        <v>0.4</v>
      </c>
      <c r="S198" s="123">
        <f t="shared" si="59"/>
        <v>0.4</v>
      </c>
      <c r="T198" s="123">
        <f t="shared" si="60"/>
        <v>0.4</v>
      </c>
      <c r="U198" s="123">
        <f t="shared" si="60"/>
        <v>0.4</v>
      </c>
      <c r="V198" s="123">
        <f t="shared" si="60"/>
        <v>0.4</v>
      </c>
      <c r="W198" s="123">
        <f t="shared" si="60"/>
        <v>0.4</v>
      </c>
      <c r="X198" s="123">
        <f t="shared" si="60"/>
        <v>0.4</v>
      </c>
      <c r="Y198" s="123">
        <f t="shared" si="60"/>
        <v>0.4</v>
      </c>
      <c r="Z198" s="123">
        <f t="shared" si="60"/>
        <v>0.4</v>
      </c>
      <c r="AA198" s="123">
        <f t="shared" si="60"/>
        <v>0.4</v>
      </c>
      <c r="AB198" s="123">
        <f t="shared" si="60"/>
        <v>0.4</v>
      </c>
      <c r="AC198" s="123">
        <f t="shared" si="60"/>
        <v>0.4</v>
      </c>
      <c r="AD198" s="123">
        <f t="shared" si="60"/>
        <v>0.4</v>
      </c>
      <c r="AE198" s="123">
        <f t="shared" si="60"/>
        <v>0.4</v>
      </c>
      <c r="AF198" s="123">
        <f t="shared" si="60"/>
        <v>0.4</v>
      </c>
      <c r="AG198" s="132">
        <v>1</v>
      </c>
      <c r="AH198" s="55"/>
      <c r="AI198" s="56"/>
      <c r="AK198" s="57"/>
    </row>
    <row r="199" spans="1:37" ht="15.75" thickBot="1" x14ac:dyDescent="0.3">
      <c r="A199" s="111" t="s">
        <v>203</v>
      </c>
      <c r="B199" s="133">
        <f t="shared" si="58"/>
        <v>0.64</v>
      </c>
      <c r="C199" s="133">
        <v>0.64</v>
      </c>
      <c r="D199" s="133">
        <f t="shared" si="59"/>
        <v>0.64</v>
      </c>
      <c r="E199" s="133">
        <f t="shared" si="59"/>
        <v>0.64</v>
      </c>
      <c r="F199" s="133">
        <f t="shared" si="59"/>
        <v>0.64</v>
      </c>
      <c r="G199" s="133">
        <f t="shared" si="59"/>
        <v>0.64</v>
      </c>
      <c r="H199" s="133">
        <f t="shared" si="59"/>
        <v>0.64</v>
      </c>
      <c r="I199" s="133">
        <f t="shared" si="59"/>
        <v>0.64</v>
      </c>
      <c r="J199" s="133">
        <f t="shared" si="59"/>
        <v>0.64</v>
      </c>
      <c r="K199" s="133">
        <f t="shared" si="59"/>
        <v>0.64</v>
      </c>
      <c r="L199" s="133">
        <f t="shared" si="59"/>
        <v>0.64</v>
      </c>
      <c r="M199" s="133">
        <f t="shared" si="59"/>
        <v>0.64</v>
      </c>
      <c r="N199" s="133">
        <f t="shared" si="59"/>
        <v>0.64</v>
      </c>
      <c r="O199" s="133">
        <f t="shared" si="59"/>
        <v>0.64</v>
      </c>
      <c r="P199" s="133">
        <f t="shared" si="59"/>
        <v>0.64</v>
      </c>
      <c r="Q199" s="133">
        <f t="shared" si="59"/>
        <v>0.64</v>
      </c>
      <c r="R199" s="133">
        <f t="shared" si="59"/>
        <v>0.64</v>
      </c>
      <c r="S199" s="133">
        <f t="shared" si="59"/>
        <v>0.64</v>
      </c>
      <c r="T199" s="133">
        <f t="shared" si="60"/>
        <v>0.64</v>
      </c>
      <c r="U199" s="133">
        <f t="shared" si="60"/>
        <v>0.64</v>
      </c>
      <c r="V199" s="133">
        <f t="shared" si="60"/>
        <v>0.64</v>
      </c>
      <c r="W199" s="133">
        <f t="shared" si="60"/>
        <v>0.64</v>
      </c>
      <c r="X199" s="133">
        <f t="shared" si="60"/>
        <v>0.64</v>
      </c>
      <c r="Y199" s="133">
        <f t="shared" si="60"/>
        <v>0.64</v>
      </c>
      <c r="Z199" s="133">
        <f t="shared" si="60"/>
        <v>0.64</v>
      </c>
      <c r="AA199" s="133">
        <f t="shared" si="60"/>
        <v>0.64</v>
      </c>
      <c r="AB199" s="133">
        <f t="shared" si="60"/>
        <v>0.64</v>
      </c>
      <c r="AC199" s="133">
        <f t="shared" si="60"/>
        <v>0.64</v>
      </c>
      <c r="AD199" s="133">
        <f t="shared" si="60"/>
        <v>0.64</v>
      </c>
      <c r="AE199" s="133">
        <f t="shared" si="60"/>
        <v>0.64</v>
      </c>
      <c r="AF199" s="133">
        <f t="shared" si="60"/>
        <v>0.64</v>
      </c>
      <c r="AG199" s="134">
        <v>0.66</v>
      </c>
      <c r="AH199" s="55"/>
      <c r="AI199" s="56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1">SUM(D194:D199)</f>
        <v>3.54</v>
      </c>
      <c r="E200" s="136">
        <f t="shared" si="61"/>
        <v>3.54</v>
      </c>
      <c r="F200" s="136">
        <f t="shared" si="61"/>
        <v>3.54</v>
      </c>
      <c r="G200" s="136">
        <f t="shared" si="61"/>
        <v>3.54</v>
      </c>
      <c r="H200" s="136">
        <f t="shared" si="61"/>
        <v>3.54</v>
      </c>
      <c r="I200" s="136">
        <f t="shared" si="61"/>
        <v>3.54</v>
      </c>
      <c r="J200" s="136">
        <f t="shared" si="61"/>
        <v>3.54</v>
      </c>
      <c r="K200" s="136">
        <f t="shared" si="61"/>
        <v>3.54</v>
      </c>
      <c r="L200" s="136">
        <f t="shared" si="61"/>
        <v>3.54</v>
      </c>
      <c r="M200" s="136">
        <f>SUM(M194:M199)</f>
        <v>3.54</v>
      </c>
      <c r="N200" s="136">
        <f t="shared" ref="N200:S200" si="62">SUM(N194:N199)</f>
        <v>3.54</v>
      </c>
      <c r="O200" s="136">
        <f t="shared" si="62"/>
        <v>3.54</v>
      </c>
      <c r="P200" s="136">
        <f t="shared" si="62"/>
        <v>3.54</v>
      </c>
      <c r="Q200" s="136">
        <f t="shared" si="62"/>
        <v>3.54</v>
      </c>
      <c r="R200" s="136">
        <f t="shared" si="62"/>
        <v>3.54</v>
      </c>
      <c r="S200" s="136">
        <f t="shared" si="62"/>
        <v>3.54</v>
      </c>
      <c r="T200" s="136">
        <f>SUM(T194:T199)</f>
        <v>3.54</v>
      </c>
      <c r="U200" s="136">
        <f t="shared" ref="U200:AG200" si="63">SUM(U194:U199)</f>
        <v>3.54</v>
      </c>
      <c r="V200" s="136">
        <f t="shared" si="63"/>
        <v>3.54</v>
      </c>
      <c r="W200" s="136">
        <f t="shared" si="63"/>
        <v>3.54</v>
      </c>
      <c r="X200" s="136">
        <f t="shared" si="63"/>
        <v>3.54</v>
      </c>
      <c r="Y200" s="136">
        <f t="shared" si="63"/>
        <v>3.54</v>
      </c>
      <c r="Z200" s="136">
        <f t="shared" si="63"/>
        <v>3.54</v>
      </c>
      <c r="AA200" s="136">
        <f t="shared" si="63"/>
        <v>3.54</v>
      </c>
      <c r="AB200" s="136">
        <f t="shared" si="63"/>
        <v>3.54</v>
      </c>
      <c r="AC200" s="136">
        <f t="shared" si="63"/>
        <v>3.54</v>
      </c>
      <c r="AD200" s="136">
        <f t="shared" si="63"/>
        <v>3.54</v>
      </c>
      <c r="AE200" s="136">
        <f t="shared" si="63"/>
        <v>3.54</v>
      </c>
      <c r="AF200" s="136">
        <f t="shared" si="63"/>
        <v>3.54</v>
      </c>
      <c r="AG200" s="137">
        <f t="shared" si="63"/>
        <v>8.56</v>
      </c>
      <c r="AH200" s="55"/>
      <c r="AI200" s="56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204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5"/>
      <c r="AI202" s="56"/>
    </row>
    <row r="203" spans="1:37" x14ac:dyDescent="0.25">
      <c r="A203" s="140" t="s">
        <v>205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5"/>
      <c r="AI203" s="56"/>
    </row>
    <row r="204" spans="1:37" x14ac:dyDescent="0.25">
      <c r="A204" s="92" t="s">
        <v>206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5"/>
      <c r="AI204" s="56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5"/>
      <c r="AI205" s="56"/>
    </row>
    <row r="206" spans="1:37" ht="15.75" thickBot="1" x14ac:dyDescent="0.3">
      <c r="A206" s="146" t="s">
        <v>208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5"/>
      <c r="AI206" s="56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209</v>
      </c>
      <c r="B209" s="150">
        <f>MAX(G75:N75)</f>
        <v>3.54</v>
      </c>
      <c r="C209" s="151">
        <f>INDEX(G9:N9,1,MATCH(MAX(G75:N75),G75:N75,0))</f>
        <v>0.20833333333333301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Sample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8" t="s">
        <v>210</v>
      </c>
      <c r="B211" s="198"/>
      <c r="C211" s="47"/>
      <c r="D211" s="152" t="e">
        <f ca="1">"Pie Chart of Daily Peak Demand(Inclusive of Export) of Nepal ("&amp;A4&amp;" "&amp;B4&amp;")"</f>
        <v>#VALUE!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e">
        <f ca="1">"Daily Load Curve(Excluding of Export) of Nepal ("&amp;A4&amp;" "&amp;B4&amp;")"</f>
        <v>#VALUE!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211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212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213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214</v>
      </c>
      <c r="T214" s="161">
        <f t="shared" ref="T214:AX214" si="64">B75</f>
        <v>3.54</v>
      </c>
      <c r="U214" s="161">
        <f t="shared" si="64"/>
        <v>3.54</v>
      </c>
      <c r="V214" s="161">
        <f t="shared" si="64"/>
        <v>3.54</v>
      </c>
      <c r="W214" s="161">
        <f t="shared" si="64"/>
        <v>3.54</v>
      </c>
      <c r="X214" s="161">
        <f t="shared" si="64"/>
        <v>3.54</v>
      </c>
      <c r="Y214" s="161">
        <f t="shared" si="64"/>
        <v>3.54</v>
      </c>
      <c r="Z214" s="161">
        <f t="shared" si="64"/>
        <v>3.54</v>
      </c>
      <c r="AA214" s="161">
        <f t="shared" si="64"/>
        <v>3.54</v>
      </c>
      <c r="AB214" s="161">
        <f t="shared" si="64"/>
        <v>3.54</v>
      </c>
      <c r="AC214" s="161">
        <f t="shared" si="64"/>
        <v>3.54</v>
      </c>
      <c r="AD214" s="161">
        <f t="shared" si="64"/>
        <v>3.54</v>
      </c>
      <c r="AE214" s="161">
        <f t="shared" si="64"/>
        <v>3.54</v>
      </c>
      <c r="AF214" s="161">
        <f t="shared" si="64"/>
        <v>3.54</v>
      </c>
      <c r="AG214" s="161">
        <f t="shared" si="64"/>
        <v>3.54</v>
      </c>
      <c r="AH214" s="161">
        <f t="shared" si="64"/>
        <v>3.54</v>
      </c>
      <c r="AI214" s="161">
        <f t="shared" si="64"/>
        <v>3.54</v>
      </c>
      <c r="AJ214" s="161">
        <f t="shared" si="64"/>
        <v>3.54</v>
      </c>
      <c r="AK214" s="161">
        <f t="shared" si="64"/>
        <v>3.54</v>
      </c>
      <c r="AL214" s="161">
        <f t="shared" si="64"/>
        <v>3.54</v>
      </c>
      <c r="AM214" s="161">
        <f t="shared" si="64"/>
        <v>3.54</v>
      </c>
      <c r="AN214" s="161">
        <f t="shared" si="64"/>
        <v>3.54</v>
      </c>
      <c r="AO214" s="161">
        <f t="shared" si="64"/>
        <v>3.54</v>
      </c>
      <c r="AP214" s="161">
        <f t="shared" si="64"/>
        <v>3.54</v>
      </c>
      <c r="AQ214" s="161">
        <f t="shared" si="64"/>
        <v>3.54</v>
      </c>
      <c r="AR214" s="161">
        <f t="shared" si="64"/>
        <v>3.54</v>
      </c>
      <c r="AS214" s="161">
        <f t="shared" si="64"/>
        <v>3.54</v>
      </c>
      <c r="AT214" s="161">
        <f t="shared" si="64"/>
        <v>3.54</v>
      </c>
      <c r="AU214" s="161">
        <f t="shared" si="64"/>
        <v>3.54</v>
      </c>
      <c r="AV214" s="161">
        <f t="shared" si="64"/>
        <v>3.54</v>
      </c>
      <c r="AW214" s="161">
        <f t="shared" si="64"/>
        <v>3.54</v>
      </c>
      <c r="AX214" s="161">
        <f t="shared" si="64"/>
        <v>3.54</v>
      </c>
    </row>
    <row r="215" spans="1:50" x14ac:dyDescent="0.25">
      <c r="A215" s="153" t="s">
        <v>215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204</v>
      </c>
      <c r="B235" s="164">
        <f t="shared" ref="B235:AE235" si="65">C199</f>
        <v>0.64</v>
      </c>
      <c r="C235" s="164">
        <f t="shared" si="65"/>
        <v>0.64</v>
      </c>
      <c r="D235" s="164">
        <f t="shared" si="65"/>
        <v>0.64</v>
      </c>
      <c r="E235" s="164">
        <f t="shared" si="65"/>
        <v>0.64</v>
      </c>
      <c r="F235" s="164">
        <f t="shared" si="65"/>
        <v>0.64</v>
      </c>
      <c r="G235" s="164">
        <f t="shared" si="65"/>
        <v>0.64</v>
      </c>
      <c r="H235" s="164">
        <f t="shared" si="65"/>
        <v>0.64</v>
      </c>
      <c r="I235" s="164">
        <f t="shared" si="65"/>
        <v>0.64</v>
      </c>
      <c r="J235" s="164">
        <f t="shared" si="65"/>
        <v>0.64</v>
      </c>
      <c r="K235" s="164">
        <f t="shared" si="65"/>
        <v>0.64</v>
      </c>
      <c r="L235" s="164">
        <f t="shared" si="65"/>
        <v>0.64</v>
      </c>
      <c r="M235" s="164">
        <f t="shared" si="65"/>
        <v>0.64</v>
      </c>
      <c r="N235" s="164">
        <f t="shared" si="65"/>
        <v>0.64</v>
      </c>
      <c r="O235" s="164">
        <f t="shared" si="65"/>
        <v>0.64</v>
      </c>
      <c r="P235" s="164">
        <f t="shared" si="65"/>
        <v>0.64</v>
      </c>
      <c r="Q235" s="164">
        <f t="shared" si="65"/>
        <v>0.64</v>
      </c>
      <c r="R235" s="164">
        <f t="shared" si="65"/>
        <v>0.64</v>
      </c>
      <c r="S235" s="164">
        <f t="shared" si="65"/>
        <v>0.64</v>
      </c>
      <c r="T235" s="164">
        <f t="shared" si="65"/>
        <v>0.64</v>
      </c>
      <c r="U235" s="164">
        <f t="shared" si="65"/>
        <v>0.64</v>
      </c>
      <c r="V235" s="164">
        <f t="shared" si="65"/>
        <v>0.64</v>
      </c>
      <c r="W235" s="164">
        <f t="shared" si="65"/>
        <v>0.64</v>
      </c>
      <c r="X235" s="164">
        <f t="shared" si="65"/>
        <v>0.64</v>
      </c>
      <c r="Y235" s="164">
        <f t="shared" si="65"/>
        <v>0.64</v>
      </c>
      <c r="Z235" s="164">
        <f t="shared" si="65"/>
        <v>0.64</v>
      </c>
      <c r="AA235" s="164">
        <f t="shared" si="65"/>
        <v>0.64</v>
      </c>
      <c r="AB235" s="164">
        <f t="shared" si="65"/>
        <v>0.64</v>
      </c>
      <c r="AC235" s="164">
        <f t="shared" si="65"/>
        <v>0.64</v>
      </c>
      <c r="AD235" s="164">
        <f t="shared" si="65"/>
        <v>0.64</v>
      </c>
      <c r="AE235" s="164">
        <f t="shared" si="6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6">IF(C203&lt;100,"",C203-520)</f>
        <v/>
      </c>
      <c r="D236" s="107" t="str">
        <f t="shared" si="66"/>
        <v/>
      </c>
      <c r="E236" s="107" t="str">
        <f t="shared" si="66"/>
        <v/>
      </c>
      <c r="F236" s="107" t="str">
        <f t="shared" si="66"/>
        <v/>
      </c>
      <c r="G236" s="107" t="str">
        <f t="shared" si="66"/>
        <v/>
      </c>
      <c r="H236" s="107" t="str">
        <f t="shared" si="66"/>
        <v/>
      </c>
      <c r="I236" s="107" t="str">
        <f t="shared" si="66"/>
        <v/>
      </c>
      <c r="J236" s="107" t="str">
        <f t="shared" si="66"/>
        <v/>
      </c>
      <c r="K236" s="107" t="str">
        <f t="shared" si="66"/>
        <v/>
      </c>
      <c r="L236" s="107" t="str">
        <f t="shared" si="66"/>
        <v/>
      </c>
      <c r="M236" s="107" t="str">
        <f t="shared" si="66"/>
        <v/>
      </c>
      <c r="N236" s="107" t="str">
        <f t="shared" si="66"/>
        <v/>
      </c>
      <c r="O236" s="107" t="str">
        <f t="shared" si="66"/>
        <v/>
      </c>
      <c r="P236" s="107" t="str">
        <f t="shared" si="66"/>
        <v/>
      </c>
      <c r="Q236" s="107" t="str">
        <f t="shared" si="66"/>
        <v/>
      </c>
      <c r="R236" s="107" t="str">
        <f t="shared" si="66"/>
        <v/>
      </c>
      <c r="S236" s="107" t="str">
        <f t="shared" si="66"/>
        <v/>
      </c>
      <c r="T236" s="107" t="str">
        <f t="shared" si="66"/>
        <v/>
      </c>
      <c r="U236" s="107" t="str">
        <f t="shared" si="66"/>
        <v/>
      </c>
      <c r="V236" s="107" t="str">
        <f t="shared" si="66"/>
        <v/>
      </c>
      <c r="W236" s="107" t="str">
        <f t="shared" si="66"/>
        <v/>
      </c>
      <c r="X236" s="107" t="str">
        <f t="shared" si="66"/>
        <v/>
      </c>
      <c r="Y236" s="107" t="str">
        <f t="shared" si="66"/>
        <v/>
      </c>
      <c r="Z236" s="107" t="str">
        <f t="shared" si="66"/>
        <v/>
      </c>
      <c r="AA236" s="107" t="str">
        <f t="shared" si="66"/>
        <v/>
      </c>
      <c r="AB236" s="107" t="str">
        <f t="shared" si="66"/>
        <v/>
      </c>
      <c r="AC236" s="107" t="str">
        <f t="shared" si="66"/>
        <v/>
      </c>
      <c r="AD236" s="107" t="str">
        <f t="shared" si="66"/>
        <v/>
      </c>
      <c r="AE236" s="107" t="str">
        <f t="shared" si="66"/>
        <v/>
      </c>
      <c r="AF236" s="107" t="str">
        <f t="shared" si="6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7">IF(B204&lt;100,"",B204-620)</f>
        <v/>
      </c>
      <c r="C237" s="107" t="str">
        <f t="shared" si="67"/>
        <v/>
      </c>
      <c r="D237" s="107" t="str">
        <f t="shared" si="67"/>
        <v/>
      </c>
      <c r="E237" s="107" t="str">
        <f t="shared" si="67"/>
        <v/>
      </c>
      <c r="F237" s="107" t="str">
        <f t="shared" si="67"/>
        <v/>
      </c>
      <c r="G237" s="107" t="str">
        <f t="shared" si="67"/>
        <v/>
      </c>
      <c r="H237" s="107" t="str">
        <f t="shared" si="67"/>
        <v/>
      </c>
      <c r="I237" s="107" t="str">
        <f t="shared" si="67"/>
        <v/>
      </c>
      <c r="J237" s="107" t="str">
        <f t="shared" si="67"/>
        <v/>
      </c>
      <c r="K237" s="107" t="str">
        <f t="shared" si="67"/>
        <v/>
      </c>
      <c r="L237" s="107" t="str">
        <f t="shared" si="67"/>
        <v/>
      </c>
      <c r="M237" s="107" t="str">
        <f t="shared" si="67"/>
        <v/>
      </c>
      <c r="N237" s="107" t="str">
        <f t="shared" si="67"/>
        <v/>
      </c>
      <c r="O237" s="107" t="str">
        <f t="shared" si="67"/>
        <v/>
      </c>
      <c r="P237" s="107" t="str">
        <f t="shared" si="67"/>
        <v/>
      </c>
      <c r="Q237" s="107" t="str">
        <f t="shared" si="67"/>
        <v/>
      </c>
      <c r="R237" s="107" t="str">
        <f t="shared" si="67"/>
        <v/>
      </c>
      <c r="S237" s="107" t="str">
        <f t="shared" si="67"/>
        <v/>
      </c>
      <c r="T237" s="107" t="str">
        <f t="shared" si="67"/>
        <v/>
      </c>
      <c r="U237" s="107" t="str">
        <f t="shared" si="67"/>
        <v/>
      </c>
      <c r="V237" s="107" t="str">
        <f t="shared" si="67"/>
        <v/>
      </c>
      <c r="W237" s="107" t="str">
        <f t="shared" si="67"/>
        <v/>
      </c>
      <c r="X237" s="107" t="str">
        <f t="shared" si="67"/>
        <v/>
      </c>
      <c r="Y237" s="107" t="str">
        <f t="shared" si="67"/>
        <v/>
      </c>
      <c r="Z237" s="107" t="str">
        <f t="shared" si="67"/>
        <v/>
      </c>
      <c r="AA237" s="107" t="str">
        <f t="shared" si="67"/>
        <v/>
      </c>
      <c r="AB237" s="107" t="str">
        <f t="shared" si="67"/>
        <v/>
      </c>
      <c r="AC237" s="107" t="str">
        <f t="shared" si="67"/>
        <v/>
      </c>
      <c r="AD237" s="107" t="str">
        <f t="shared" si="67"/>
        <v/>
      </c>
      <c r="AE237" s="107" t="str">
        <f t="shared" si="67"/>
        <v/>
      </c>
      <c r="AF237" s="107" t="str">
        <f t="shared" si="6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8">IF(B205&lt;100,"",B205-330)</f>
        <v/>
      </c>
      <c r="C238" s="107" t="str">
        <f t="shared" si="68"/>
        <v/>
      </c>
      <c r="D238" s="107" t="str">
        <f t="shared" si="68"/>
        <v/>
      </c>
      <c r="E238" s="107" t="str">
        <f t="shared" si="68"/>
        <v/>
      </c>
      <c r="F238" s="107" t="str">
        <f t="shared" si="68"/>
        <v/>
      </c>
      <c r="G238" s="107" t="str">
        <f t="shared" si="68"/>
        <v/>
      </c>
      <c r="H238" s="107" t="str">
        <f t="shared" si="68"/>
        <v/>
      </c>
      <c r="I238" s="107" t="str">
        <f t="shared" si="68"/>
        <v/>
      </c>
      <c r="J238" s="107" t="str">
        <f t="shared" si="68"/>
        <v/>
      </c>
      <c r="K238" s="107" t="str">
        <f t="shared" si="68"/>
        <v/>
      </c>
      <c r="L238" s="107" t="str">
        <f t="shared" si="68"/>
        <v/>
      </c>
      <c r="M238" s="107" t="str">
        <f t="shared" si="68"/>
        <v/>
      </c>
      <c r="N238" s="107" t="str">
        <f t="shared" si="68"/>
        <v/>
      </c>
      <c r="O238" s="107" t="str">
        <f t="shared" si="68"/>
        <v/>
      </c>
      <c r="P238" s="107" t="str">
        <f t="shared" si="68"/>
        <v/>
      </c>
      <c r="Q238" s="107" t="str">
        <f t="shared" si="68"/>
        <v/>
      </c>
      <c r="R238" s="107" t="str">
        <f t="shared" si="68"/>
        <v/>
      </c>
      <c r="S238" s="107" t="str">
        <f t="shared" si="68"/>
        <v/>
      </c>
      <c r="T238" s="107" t="str">
        <f t="shared" si="68"/>
        <v/>
      </c>
      <c r="U238" s="107" t="str">
        <f t="shared" si="68"/>
        <v/>
      </c>
      <c r="V238" s="107" t="str">
        <f t="shared" si="68"/>
        <v/>
      </c>
      <c r="W238" s="107" t="str">
        <f t="shared" si="68"/>
        <v/>
      </c>
      <c r="X238" s="107" t="str">
        <f t="shared" si="68"/>
        <v/>
      </c>
      <c r="Y238" s="107" t="str">
        <f t="shared" si="68"/>
        <v/>
      </c>
      <c r="Z238" s="107" t="str">
        <f t="shared" si="68"/>
        <v/>
      </c>
      <c r="AA238" s="107" t="str">
        <f t="shared" si="68"/>
        <v/>
      </c>
      <c r="AB238" s="107" t="str">
        <f t="shared" si="68"/>
        <v/>
      </c>
      <c r="AC238" s="107" t="str">
        <f t="shared" si="68"/>
        <v/>
      </c>
      <c r="AD238" s="107" t="str">
        <f t="shared" si="68"/>
        <v/>
      </c>
      <c r="AE238" s="107" t="str">
        <f t="shared" si="68"/>
        <v/>
      </c>
      <c r="AF238" s="107" t="str">
        <f t="shared" si="6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9">IF(C206&lt;100,"",C206-1500)</f>
        <v/>
      </c>
      <c r="D239" s="107" t="str">
        <f t="shared" si="69"/>
        <v/>
      </c>
      <c r="E239" s="107" t="str">
        <f t="shared" si="69"/>
        <v/>
      </c>
      <c r="F239" s="107" t="str">
        <f t="shared" si="69"/>
        <v/>
      </c>
      <c r="G239" s="107" t="str">
        <f t="shared" si="69"/>
        <v/>
      </c>
      <c r="H239" s="107" t="str">
        <f t="shared" si="69"/>
        <v/>
      </c>
      <c r="I239" s="107" t="str">
        <f t="shared" si="69"/>
        <v/>
      </c>
      <c r="J239" s="107" t="str">
        <f t="shared" si="69"/>
        <v/>
      </c>
      <c r="K239" s="107" t="str">
        <f t="shared" si="69"/>
        <v/>
      </c>
      <c r="L239" s="107" t="str">
        <f t="shared" si="69"/>
        <v/>
      </c>
      <c r="M239" s="107" t="str">
        <f t="shared" si="69"/>
        <v/>
      </c>
      <c r="N239" s="107" t="str">
        <f t="shared" si="69"/>
        <v/>
      </c>
      <c r="O239" s="107" t="str">
        <f t="shared" si="69"/>
        <v/>
      </c>
      <c r="P239" s="107" t="str">
        <f t="shared" si="69"/>
        <v/>
      </c>
      <c r="Q239" s="107" t="str">
        <f t="shared" si="69"/>
        <v/>
      </c>
      <c r="R239" s="107" t="str">
        <f t="shared" si="69"/>
        <v/>
      </c>
      <c r="S239" s="107" t="str">
        <f t="shared" si="69"/>
        <v/>
      </c>
      <c r="T239" s="107" t="str">
        <f t="shared" si="69"/>
        <v/>
      </c>
      <c r="U239" s="107" t="str">
        <f t="shared" si="69"/>
        <v/>
      </c>
      <c r="V239" s="107" t="str">
        <f t="shared" si="69"/>
        <v/>
      </c>
      <c r="W239" s="107" t="str">
        <f t="shared" si="69"/>
        <v/>
      </c>
      <c r="X239" s="107" t="str">
        <f t="shared" si="69"/>
        <v/>
      </c>
      <c r="Y239" s="107" t="str">
        <f t="shared" si="69"/>
        <v/>
      </c>
      <c r="Z239" s="107" t="str">
        <f t="shared" si="69"/>
        <v/>
      </c>
      <c r="AA239" s="107" t="str">
        <f t="shared" si="69"/>
        <v/>
      </c>
      <c r="AB239" s="107" t="str">
        <f t="shared" si="69"/>
        <v/>
      </c>
      <c r="AC239" s="107" t="str">
        <f t="shared" si="69"/>
        <v/>
      </c>
      <c r="AD239" s="107" t="str">
        <f t="shared" si="69"/>
        <v/>
      </c>
      <c r="AE239" s="107" t="str">
        <f t="shared" si="69"/>
        <v/>
      </c>
      <c r="AF239" s="107" t="str">
        <f t="shared" si="6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94:AF100 T11:AF11">
    <cfRule type="expression" dxfId="226" priority="211">
      <formula>B$9&gt;=20/24</formula>
    </cfRule>
    <cfRule type="expression" dxfId="225" priority="212">
      <formula>AND(B$9&gt;=14/24,B$9&lt;20/24)</formula>
    </cfRule>
    <cfRule type="expression" dxfId="224" priority="213">
      <formula>AND(B$9&gt;=8/24,B$9&lt;14/24)</formula>
    </cfRule>
    <cfRule type="expression" dxfId="223" priority="214">
      <formula>B$9&lt;8/24</formula>
    </cfRule>
  </conditionalFormatting>
  <conditionalFormatting sqref="AL4:AL6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22" priority="206">
      <formula>S$9&gt;=20/24</formula>
    </cfRule>
    <cfRule type="expression" dxfId="221" priority="207">
      <formula>AND(S$9&gt;=14/24,S$9&lt;20/24)</formula>
    </cfRule>
    <cfRule type="expression" dxfId="220" priority="208">
      <formula>AND(S$9&gt;=8/24,S$9&lt;14/24)</formula>
    </cfRule>
    <cfRule type="expression" dxfId="219" priority="209">
      <formula>S$9&lt;8/24</formula>
    </cfRule>
  </conditionalFormatting>
  <conditionalFormatting sqref="AG51 S37:AF37 J11:AF11 O12:AF16 C11:D16 E16:N16 B12:B16">
    <cfRule type="expression" dxfId="218" priority="205">
      <formula>B11&gt;$AG11</formula>
    </cfRule>
  </conditionalFormatting>
  <conditionalFormatting sqref="A101:A157 A84:A97 A11:A14 A45:A72 A80:A82 A74:A78 A35:A43 A170:A200 A16:A32">
    <cfRule type="expression" dxfId="217" priority="204">
      <formula>$AH11=0</formula>
    </cfRule>
  </conditionalFormatting>
  <conditionalFormatting sqref="A98">
    <cfRule type="expression" dxfId="216" priority="203">
      <formula>$AH98=0</formula>
    </cfRule>
  </conditionalFormatting>
  <conditionalFormatting sqref="AL32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15" priority="201">
      <formula>$AH34=0</formula>
    </cfRule>
  </conditionalFormatting>
  <conditionalFormatting sqref="A83">
    <cfRule type="expression" dxfId="214" priority="200">
      <formula>$AH83=0</formula>
    </cfRule>
  </conditionalFormatting>
  <conditionalFormatting sqref="A15">
    <cfRule type="expression" dxfId="213" priority="199">
      <formula>$AH15=0</formula>
    </cfRule>
  </conditionalFormatting>
  <conditionalFormatting sqref="A164:A169">
    <cfRule type="expression" dxfId="212" priority="198">
      <formula>$AH164=0</formula>
    </cfRule>
  </conditionalFormatting>
  <conditionalFormatting sqref="A158:A163">
    <cfRule type="expression" dxfId="211" priority="197">
      <formula>$AH158=0</formula>
    </cfRule>
  </conditionalFormatting>
  <conditionalFormatting sqref="A44">
    <cfRule type="expression" dxfId="210" priority="196">
      <formula>$AH44=0</formula>
    </cfRule>
  </conditionalFormatting>
  <conditionalFormatting sqref="A79">
    <cfRule type="expression" dxfId="209" priority="195">
      <formula>$AH79=0</formula>
    </cfRule>
  </conditionalFormatting>
  <conditionalFormatting sqref="A73">
    <cfRule type="expression" dxfId="208" priority="194">
      <formula>$AH73=0</formula>
    </cfRule>
  </conditionalFormatting>
  <conditionalFormatting sqref="AL34:AL35 AL7:AL31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07" priority="190">
      <formula>C$9&gt;=20/24</formula>
    </cfRule>
    <cfRule type="expression" dxfId="206" priority="191">
      <formula>AND(C$9&gt;=14/24,C$9&lt;20/24)</formula>
    </cfRule>
    <cfRule type="expression" dxfId="205" priority="192">
      <formula>AND(C$9&gt;=8/24,C$9&lt;14/24)</formula>
    </cfRule>
    <cfRule type="expression" dxfId="204" priority="193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03" priority="218">
      <formula>C$9&gt;=20/24</formula>
    </cfRule>
    <cfRule type="expression" dxfId="202" priority="219">
      <formula>AND(C$9&gt;=14/24,C$9&lt;20/24)</formula>
    </cfRule>
    <cfRule type="expression" dxfId="201" priority="220">
      <formula>AND(C$9&gt;=8/24,C$9&lt;14/24)</formula>
    </cfRule>
    <cfRule type="expression" dxfId="200" priority="221">
      <formula>C$9&lt;8/24</formula>
    </cfRule>
  </conditionalFormatting>
  <conditionalFormatting sqref="A201">
    <cfRule type="expression" dxfId="199" priority="222">
      <formula>$AH201=0</formula>
    </cfRule>
  </conditionalFormatting>
  <conditionalFormatting sqref="AG213">
    <cfRule type="expression" dxfId="198" priority="223">
      <formula>B$9&gt;=20/24</formula>
    </cfRule>
    <cfRule type="expression" dxfId="197" priority="224">
      <formula>AND(B$9&gt;=14/24,B$9&lt;20/24)</formula>
    </cfRule>
    <cfRule type="expression" dxfId="196" priority="225">
      <formula>AND(B$9&gt;=8/24,B$9&lt;14/24)</formula>
    </cfRule>
    <cfRule type="expression" dxfId="195" priority="226">
      <formula>B$9&lt;8/24</formula>
    </cfRule>
  </conditionalFormatting>
  <conditionalFormatting sqref="S8">
    <cfRule type="expression" dxfId="194" priority="184">
      <formula>U$9&gt;=20/24</formula>
    </cfRule>
    <cfRule type="expression" dxfId="193" priority="185">
      <formula>AND(U$9&gt;=14/24,U$9&lt;20/24)</formula>
    </cfRule>
    <cfRule type="expression" dxfId="192" priority="186">
      <formula>AND(U$9&gt;=8/24,U$9&lt;14/24)</formula>
    </cfRule>
    <cfRule type="expression" dxfId="191" priority="187">
      <formula>U$9&lt;8/24</formula>
    </cfRule>
  </conditionalFormatting>
  <conditionalFormatting sqref="AB8">
    <cfRule type="expression" dxfId="190" priority="180">
      <formula>AD$9&gt;=20/24</formula>
    </cfRule>
    <cfRule type="expression" dxfId="189" priority="181">
      <formula>AND(AD$9&gt;=14/24,AD$9&lt;20/24)</formula>
    </cfRule>
    <cfRule type="expression" dxfId="188" priority="182">
      <formula>AND(AD$9&gt;=8/24,AD$9&lt;14/24)</formula>
    </cfRule>
    <cfRule type="expression" dxfId="187" priority="183">
      <formula>AD$9&lt;8/24</formula>
    </cfRule>
  </conditionalFormatting>
  <conditionalFormatting sqref="AH213:AX213">
    <cfRule type="expression" dxfId="186" priority="227">
      <formula>AG$9&gt;=20/24</formula>
    </cfRule>
    <cfRule type="expression" dxfId="185" priority="228">
      <formula>AND(AG$9&gt;=14/24,AG$9&lt;20/24)</formula>
    </cfRule>
    <cfRule type="expression" dxfId="184" priority="229">
      <formula>AND(AG$9&gt;=8/24,AG$9&lt;14/24)</formula>
    </cfRule>
    <cfRule type="expression" dxfId="183" priority="230">
      <formula>AG$9&lt;8/24</formula>
    </cfRule>
  </conditionalFormatting>
  <conditionalFormatting sqref="T213">
    <cfRule type="expression" dxfId="182" priority="231">
      <formula>AX$9&gt;=20/24</formula>
    </cfRule>
    <cfRule type="expression" dxfId="181" priority="232">
      <formula>AND(AX$9&gt;=14/24,AX$9&lt;20/24)</formula>
    </cfRule>
    <cfRule type="expression" dxfId="180" priority="233">
      <formula>AND(AX$9&gt;=8/24,AX$9&lt;14/24)</formula>
    </cfRule>
    <cfRule type="expression" dxfId="179" priority="234">
      <formula>AX$9&lt;8/24</formula>
    </cfRule>
  </conditionalFormatting>
  <conditionalFormatting sqref="A99:A100">
    <cfRule type="expression" dxfId="178" priority="179">
      <formula>$AH99=0</formula>
    </cfRule>
  </conditionalFormatting>
  <conditionalFormatting sqref="E11:I11 E40:L41 S40:W41 Y40:AF41 Z36:AF36 C57:AF57">
    <cfRule type="expression" dxfId="177" priority="175">
      <formula>C$9&gt;=20/24</formula>
    </cfRule>
    <cfRule type="expression" dxfId="176" priority="176">
      <formula>AND(C$9&gt;=14/24,C$9&lt;20/24)</formula>
    </cfRule>
    <cfRule type="expression" dxfId="175" priority="177">
      <formula>AND(C$9&gt;=8/24,C$9&lt;14/24)</formula>
    </cfRule>
    <cfRule type="expression" dxfId="174" priority="178">
      <formula>C$9&lt;8/24</formula>
    </cfRule>
  </conditionalFormatting>
  <conditionalFormatting sqref="E39:L39 S39:W39 Y39:AF39">
    <cfRule type="expression" dxfId="173" priority="171">
      <formula>E$9&gt;=20/24</formula>
    </cfRule>
    <cfRule type="expression" dxfId="172" priority="172">
      <formula>AND(E$9&gt;=14/24,E$9&lt;20/24)</formula>
    </cfRule>
    <cfRule type="expression" dxfId="171" priority="173">
      <formula>AND(E$9&gt;=8/24,E$9&lt;14/24)</formula>
    </cfRule>
    <cfRule type="expression" dxfId="170" priority="174">
      <formula>E$9&lt;8/24</formula>
    </cfRule>
  </conditionalFormatting>
  <conditionalFormatting sqref="E11:I11 E39:L41 S39:W41 Y39:AF41 Z36:AF36">
    <cfRule type="expression" dxfId="169" priority="170">
      <formula>E11&gt;$AG11</formula>
    </cfRule>
  </conditionalFormatting>
  <conditionalFormatting sqref="M11:R11 C36:Y36 C81:AF81 C58:AE59 C69:AF72 M64:M66 C67:M67 C62:M63 N62:O67 C61:O61 P61:W67 C60:W60 C85:AF91 X60:AE67 E12:AF14 M16:AF16 M28:AF31 M18:AF22 M24:AF26 C53:AF56 AF58:AF67 M37:R37">
    <cfRule type="expression" dxfId="168" priority="166">
      <formula>C$9&gt;=20/24</formula>
    </cfRule>
    <cfRule type="expression" dxfId="167" priority="167">
      <formula>AND(C$9&gt;=14/24,C$9&lt;20/24)</formula>
    </cfRule>
    <cfRule type="expression" dxfId="166" priority="168">
      <formula>AND(C$9&gt;=8/24,C$9&lt;14/24)</formula>
    </cfRule>
    <cfRule type="expression" dxfId="165" priority="169">
      <formula>C$9&lt;8/24</formula>
    </cfRule>
  </conditionalFormatting>
  <conditionalFormatting sqref="M32:AF32">
    <cfRule type="expression" dxfId="164" priority="162">
      <formula>M$9&gt;=20/24</formula>
    </cfRule>
    <cfRule type="expression" dxfId="163" priority="163">
      <formula>AND(M$9&gt;=14/24,M$9&lt;20/24)</formula>
    </cfRule>
    <cfRule type="expression" dxfId="162" priority="164">
      <formula>AND(M$9&gt;=8/24,M$9&lt;14/24)</formula>
    </cfRule>
    <cfRule type="expression" dxfId="161" priority="165">
      <formula>M$9&lt;8/24</formula>
    </cfRule>
  </conditionalFormatting>
  <conditionalFormatting sqref="M35:AF35">
    <cfRule type="expression" dxfId="160" priority="158">
      <formula>M$9&gt;=20/24</formula>
    </cfRule>
    <cfRule type="expression" dxfId="159" priority="159">
      <formula>AND(M$9&gt;=14/24,M$9&lt;20/24)</formula>
    </cfRule>
    <cfRule type="expression" dxfId="158" priority="160">
      <formula>AND(M$9&gt;=8/24,M$9&lt;14/24)</formula>
    </cfRule>
    <cfRule type="expression" dxfId="157" priority="161">
      <formula>M$9&lt;8/24</formula>
    </cfRule>
  </conditionalFormatting>
  <conditionalFormatting sqref="E42:G43 M11:R11 C36:Y36 F44:G44 E12:N15 H42:L44 AB42:AF43 M34:AF35 M18:AF22 M24:AF32 C51:AF51 C53:AF56 C37:R37">
    <cfRule type="expression" dxfId="156" priority="157">
      <formula>C11&gt;$AG11</formula>
    </cfRule>
  </conditionalFormatting>
  <conditionalFormatting sqref="M34:AF34">
    <cfRule type="expression" dxfId="155" priority="153">
      <formula>M$9&gt;=20/24</formula>
    </cfRule>
    <cfRule type="expression" dxfId="154" priority="154">
      <formula>AND(M$9&gt;=14/24,M$9&lt;20/24)</formula>
    </cfRule>
    <cfRule type="expression" dxfId="153" priority="155">
      <formula>AND(M$9&gt;=8/24,M$9&lt;14/24)</formula>
    </cfRule>
    <cfRule type="expression" dxfId="152" priority="156">
      <formula>M$9&lt;8/24</formula>
    </cfRule>
  </conditionalFormatting>
  <conditionalFormatting sqref="E15:AF15">
    <cfRule type="expression" dxfId="151" priority="149">
      <formula>E$9&gt;=20/24</formula>
    </cfRule>
    <cfRule type="expression" dxfId="150" priority="150">
      <formula>AND(E$9&gt;=14/24,E$9&lt;20/24)</formula>
    </cfRule>
    <cfRule type="expression" dxfId="149" priority="151">
      <formula>AND(E$9&gt;=8/24,E$9&lt;14/24)</formula>
    </cfRule>
    <cfRule type="expression" dxfId="148" priority="152">
      <formula>E$9&lt;8/24</formula>
    </cfRule>
  </conditionalFormatting>
  <conditionalFormatting sqref="M33:AF33">
    <cfRule type="expression" dxfId="147" priority="145">
      <formula>M$9&gt;=20/24</formula>
    </cfRule>
    <cfRule type="expression" dxfId="146" priority="146">
      <formula>AND(M$9&gt;=14/24,M$9&lt;20/24)</formula>
    </cfRule>
    <cfRule type="expression" dxfId="145" priority="147">
      <formula>AND(M$9&gt;=8/24,M$9&lt;14/24)</formula>
    </cfRule>
    <cfRule type="expression" dxfId="144" priority="148">
      <formula>M$9&lt;8/24</formula>
    </cfRule>
  </conditionalFormatting>
  <conditionalFormatting sqref="M33:AF33">
    <cfRule type="expression" dxfId="143" priority="144">
      <formula>M33&gt;$AG33</formula>
    </cfRule>
  </conditionalFormatting>
  <conditionalFormatting sqref="S11">
    <cfRule type="expression" dxfId="142" priority="140">
      <formula>S$9&gt;=20/24</formula>
    </cfRule>
    <cfRule type="expression" dxfId="141" priority="141">
      <formula>AND(S$9&gt;=14/24,S$9&lt;20/24)</formula>
    </cfRule>
    <cfRule type="expression" dxfId="140" priority="142">
      <formula>AND(S$9&gt;=8/24,S$9&lt;14/24)</formula>
    </cfRule>
    <cfRule type="expression" dxfId="139" priority="143">
      <formula>S$9&lt;8/24</formula>
    </cfRule>
  </conditionalFormatting>
  <conditionalFormatting sqref="V42:AA43 AB44:AF50">
    <cfRule type="expression" dxfId="138" priority="136">
      <formula>V$9&gt;=20/24</formula>
    </cfRule>
    <cfRule type="expression" dxfId="137" priority="137">
      <formula>AND(V$9&gt;=14/24,V$9&lt;20/24)</formula>
    </cfRule>
    <cfRule type="expression" dxfId="136" priority="138">
      <formula>AND(V$9&gt;=8/24,V$9&lt;14/24)</formula>
    </cfRule>
    <cfRule type="expression" dxfId="135" priority="139">
      <formula>V$9&lt;8/24</formula>
    </cfRule>
  </conditionalFormatting>
  <conditionalFormatting sqref="V42:AA43 AB44:AF50">
    <cfRule type="expression" dxfId="134" priority="135">
      <formula>V42&gt;$AG42</formula>
    </cfRule>
  </conditionalFormatting>
  <conditionalFormatting sqref="M39:R50 S42:U50 V44:AA50">
    <cfRule type="expression" dxfId="133" priority="131">
      <formula>M$9&gt;=20/24</formula>
    </cfRule>
    <cfRule type="expression" dxfId="132" priority="132">
      <formula>AND(M$9&gt;=14/24,M$9&lt;20/24)</formula>
    </cfRule>
    <cfRule type="expression" dxfId="131" priority="133">
      <formula>AND(M$9&gt;=8/24,M$9&lt;14/24)</formula>
    </cfRule>
    <cfRule type="expression" dxfId="130" priority="134">
      <formula>M$9&lt;8/24</formula>
    </cfRule>
  </conditionalFormatting>
  <conditionalFormatting sqref="M39:R50 S42:U50 V44:AA50">
    <cfRule type="expression" dxfId="129" priority="130">
      <formula>M39&gt;$AG39</formula>
    </cfRule>
  </conditionalFormatting>
  <conditionalFormatting sqref="M27:AF27">
    <cfRule type="expression" dxfId="128" priority="126">
      <formula>M$9&gt;=20/24</formula>
    </cfRule>
    <cfRule type="expression" dxfId="127" priority="127">
      <formula>AND(M$9&gt;=14/24,M$9&lt;20/24)</formula>
    </cfRule>
    <cfRule type="expression" dxfId="126" priority="128">
      <formula>AND(M$9&gt;=8/24,M$9&lt;14/24)</formula>
    </cfRule>
    <cfRule type="expression" dxfId="125" priority="129">
      <formula>M$9&lt;8/24</formula>
    </cfRule>
  </conditionalFormatting>
  <conditionalFormatting sqref="C11:D14 C16:L16 C18:L22 C24:L31 C17:AF17 C23:AF23">
    <cfRule type="expression" dxfId="124" priority="122">
      <formula>C$9&gt;=20/24</formula>
    </cfRule>
    <cfRule type="expression" dxfId="123" priority="123">
      <formula>AND(C$9&gt;=14/24,C$9&lt;20/24)</formula>
    </cfRule>
    <cfRule type="expression" dxfId="122" priority="124">
      <formula>AND(C$9&gt;=8/24,C$9&lt;14/24)</formula>
    </cfRule>
    <cfRule type="expression" dxfId="121" priority="125">
      <formula>C$9&lt;8/24</formula>
    </cfRule>
  </conditionalFormatting>
  <conditionalFormatting sqref="C32:L32">
    <cfRule type="expression" dxfId="120" priority="118">
      <formula>C$9&gt;=20/24</formula>
    </cfRule>
    <cfRule type="expression" dxfId="119" priority="119">
      <formula>AND(C$9&gt;=14/24,C$9&lt;20/24)</formula>
    </cfRule>
    <cfRule type="expression" dxfId="118" priority="120">
      <formula>AND(C$9&gt;=8/24,C$9&lt;14/24)</formula>
    </cfRule>
    <cfRule type="expression" dxfId="117" priority="121">
      <formula>C$9&lt;8/24</formula>
    </cfRule>
  </conditionalFormatting>
  <conditionalFormatting sqref="C35:L35">
    <cfRule type="expression" dxfId="116" priority="114">
      <formula>C$9&gt;=20/24</formula>
    </cfRule>
    <cfRule type="expression" dxfId="115" priority="115">
      <formula>AND(C$9&gt;=14/24,C$9&lt;20/24)</formula>
    </cfRule>
    <cfRule type="expression" dxfId="114" priority="116">
      <formula>AND(C$9&gt;=8/24,C$9&lt;14/24)</formula>
    </cfRule>
    <cfRule type="expression" dxfId="113" priority="117">
      <formula>C$9&lt;8/24</formula>
    </cfRule>
  </conditionalFormatting>
  <conditionalFormatting sqref="C34:L35 C18:L22 C24:L32 C17:AF17 C23:AF23">
    <cfRule type="expression" dxfId="112" priority="113">
      <formula>C17&gt;$AG17</formula>
    </cfRule>
  </conditionalFormatting>
  <conditionalFormatting sqref="C34:L34">
    <cfRule type="expression" dxfId="111" priority="109">
      <formula>C$9&gt;=20/24</formula>
    </cfRule>
    <cfRule type="expression" dxfId="110" priority="110">
      <formula>AND(C$9&gt;=14/24,C$9&lt;20/24)</formula>
    </cfRule>
    <cfRule type="expression" dxfId="109" priority="111">
      <formula>AND(C$9&gt;=8/24,C$9&lt;14/24)</formula>
    </cfRule>
    <cfRule type="expression" dxfId="108" priority="112">
      <formula>C$9&lt;8/24</formula>
    </cfRule>
  </conditionalFormatting>
  <conditionalFormatting sqref="C15:D15">
    <cfRule type="expression" dxfId="107" priority="105">
      <formula>C$9&gt;=20/24</formula>
    </cfRule>
    <cfRule type="expression" dxfId="106" priority="106">
      <formula>AND(C$9&gt;=14/24,C$9&lt;20/24)</formula>
    </cfRule>
    <cfRule type="expression" dxfId="105" priority="107">
      <formula>AND(C$9&gt;=8/24,C$9&lt;14/24)</formula>
    </cfRule>
    <cfRule type="expression" dxfId="104" priority="108">
      <formula>C$9&lt;8/24</formula>
    </cfRule>
  </conditionalFormatting>
  <conditionalFormatting sqref="C33:L33">
    <cfRule type="expression" dxfId="103" priority="101">
      <formula>C$9&gt;=20/24</formula>
    </cfRule>
    <cfRule type="expression" dxfId="102" priority="102">
      <formula>AND(C$9&gt;=14/24,C$9&lt;20/24)</formula>
    </cfRule>
    <cfRule type="expression" dxfId="101" priority="103">
      <formula>AND(C$9&gt;=8/24,C$9&lt;14/24)</formula>
    </cfRule>
    <cfRule type="expression" dxfId="100" priority="104">
      <formula>C$9&lt;8/24</formula>
    </cfRule>
  </conditionalFormatting>
  <conditionalFormatting sqref="C33:L33">
    <cfRule type="expression" dxfId="99" priority="100">
      <formula>C33&gt;$AG33</formula>
    </cfRule>
  </conditionalFormatting>
  <conditionalFormatting sqref="C40:D41">
    <cfRule type="expression" dxfId="98" priority="96">
      <formula>C$9&gt;=20/24</formula>
    </cfRule>
    <cfRule type="expression" dxfId="97" priority="97">
      <formula>AND(C$9&gt;=14/24,C$9&lt;20/24)</formula>
    </cfRule>
    <cfRule type="expression" dxfId="96" priority="98">
      <formula>AND(C$9&gt;=8/24,C$9&lt;14/24)</formula>
    </cfRule>
    <cfRule type="expression" dxfId="95" priority="99">
      <formula>C$9&lt;8/24</formula>
    </cfRule>
  </conditionalFormatting>
  <conditionalFormatting sqref="C39:D39">
    <cfRule type="expression" dxfId="94" priority="92">
      <formula>C$9&gt;=20/24</formula>
    </cfRule>
    <cfRule type="expression" dxfId="93" priority="93">
      <formula>AND(C$9&gt;=14/24,C$9&lt;20/24)</formula>
    </cfRule>
    <cfRule type="expression" dxfId="92" priority="94">
      <formula>AND(C$9&gt;=8/24,C$9&lt;14/24)</formula>
    </cfRule>
    <cfRule type="expression" dxfId="91" priority="95">
      <formula>C$9&lt;8/24</formula>
    </cfRule>
  </conditionalFormatting>
  <conditionalFormatting sqref="C39:D41">
    <cfRule type="expression" dxfId="90" priority="91">
      <formula>C39&gt;$AG39</formula>
    </cfRule>
  </conditionalFormatting>
  <conditionalFormatting sqref="C64:L66">
    <cfRule type="expression" dxfId="89" priority="87">
      <formula>C$9&gt;=20/24</formula>
    </cfRule>
    <cfRule type="expression" dxfId="88" priority="88">
      <formula>AND(C$9&gt;=14/24,C$9&lt;20/24)</formula>
    </cfRule>
    <cfRule type="expression" dxfId="87" priority="89">
      <formula>AND(C$9&gt;=8/24,C$9&lt;14/24)</formula>
    </cfRule>
    <cfRule type="expression" dxfId="86" priority="90">
      <formula>C$9&lt;8/24</formula>
    </cfRule>
  </conditionalFormatting>
  <conditionalFormatting sqref="C42:D43">
    <cfRule type="expression" dxfId="85" priority="86">
      <formula>C42&gt;$AG42</formula>
    </cfRule>
  </conditionalFormatting>
  <conditionalFormatting sqref="C44:E50 F45:L50">
    <cfRule type="expression" dxfId="84" priority="82">
      <formula>C$9&gt;=20/24</formula>
    </cfRule>
    <cfRule type="expression" dxfId="83" priority="83">
      <formula>AND(C$9&gt;=14/24,C$9&lt;20/24)</formula>
    </cfRule>
    <cfRule type="expression" dxfId="82" priority="84">
      <formula>AND(C$9&gt;=8/24,C$9&lt;14/24)</formula>
    </cfRule>
    <cfRule type="expression" dxfId="81" priority="85">
      <formula>C$9&lt;8/24</formula>
    </cfRule>
  </conditionalFormatting>
  <conditionalFormatting sqref="C44:E50 F45:L50">
    <cfRule type="expression" dxfId="80" priority="81">
      <formula>C44&gt;$AG44</formula>
    </cfRule>
  </conditionalFormatting>
  <conditionalFormatting sqref="X40:X41">
    <cfRule type="expression" dxfId="79" priority="77">
      <formula>X$9&gt;=20/24</formula>
    </cfRule>
    <cfRule type="expression" dxfId="78" priority="78">
      <formula>AND(X$9&gt;=14/24,X$9&lt;20/24)</formula>
    </cfRule>
    <cfRule type="expression" dxfId="77" priority="79">
      <formula>AND(X$9&gt;=8/24,X$9&lt;14/24)</formula>
    </cfRule>
    <cfRule type="expression" dxfId="76" priority="80">
      <formula>X$9&lt;8/24</formula>
    </cfRule>
  </conditionalFormatting>
  <conditionalFormatting sqref="X39">
    <cfRule type="expression" dxfId="75" priority="73">
      <formula>X$9&gt;=20/24</formula>
    </cfRule>
    <cfRule type="expression" dxfId="74" priority="74">
      <formula>AND(X$9&gt;=14/24,X$9&lt;20/24)</formula>
    </cfRule>
    <cfRule type="expression" dxfId="73" priority="75">
      <formula>AND(X$9&gt;=8/24,X$9&lt;14/24)</formula>
    </cfRule>
    <cfRule type="expression" dxfId="72" priority="76">
      <formula>X$9&lt;8/24</formula>
    </cfRule>
  </conditionalFormatting>
  <conditionalFormatting sqref="X39:X41">
    <cfRule type="expression" dxfId="71" priority="72">
      <formula>X39&gt;$AG39</formula>
    </cfRule>
  </conditionalFormatting>
  <conditionalFormatting sqref="B94:B100 B11 B74:AF74 B82:AF82">
    <cfRule type="expression" dxfId="70" priority="68">
      <formula>B$9&gt;=20/24</formula>
    </cfRule>
    <cfRule type="expression" dxfId="69" priority="69">
      <formula>AND(B$9&gt;=14/24,B$9&lt;20/24)</formula>
    </cfRule>
    <cfRule type="expression" dxfId="68" priority="70">
      <formula>AND(B$9&gt;=8/24,B$9&lt;14/24)</formula>
    </cfRule>
    <cfRule type="expression" dxfId="67" priority="71">
      <formula>B$9&lt;8/24</formula>
    </cfRule>
  </conditionalFormatting>
  <conditionalFormatting sqref="B37">
    <cfRule type="expression" dxfId="66" priority="64">
      <formula>B$9&gt;=20/24</formula>
    </cfRule>
    <cfRule type="expression" dxfId="65" priority="65">
      <formula>AND(B$9&gt;=14/24,B$9&lt;20/24)</formula>
    </cfRule>
    <cfRule type="expression" dxfId="64" priority="66">
      <formula>AND(B$9&gt;=8/24,B$9&lt;14/24)</formula>
    </cfRule>
    <cfRule type="expression" dxfId="63" priority="67">
      <formula>B$9&lt;8/24</formula>
    </cfRule>
  </conditionalFormatting>
  <conditionalFormatting sqref="B37 B11">
    <cfRule type="expression" dxfId="62" priority="63">
      <formula>B11&gt;$AG11</formula>
    </cfRule>
  </conditionalFormatting>
  <conditionalFormatting sqref="B84">
    <cfRule type="expression" dxfId="61" priority="59">
      <formula>B$9&gt;=20/24</formula>
    </cfRule>
    <cfRule type="expression" dxfId="60" priority="60">
      <formula>AND(B$9&gt;=14/24,B$9&lt;20/24)</formula>
    </cfRule>
    <cfRule type="expression" dxfId="59" priority="61">
      <formula>AND(B$9&gt;=8/24,B$9&lt;14/24)</formula>
    </cfRule>
    <cfRule type="expression" dxfId="58" priority="62">
      <formula>B$9&lt;8/24</formula>
    </cfRule>
  </conditionalFormatting>
  <conditionalFormatting sqref="B40:B41 B36 B57">
    <cfRule type="expression" dxfId="57" priority="55">
      <formula>B$9&gt;=20/24</formula>
    </cfRule>
    <cfRule type="expression" dxfId="56" priority="56">
      <formula>AND(B$9&gt;=14/24,B$9&lt;20/24)</formula>
    </cfRule>
    <cfRule type="expression" dxfId="55" priority="57">
      <formula>AND(B$9&gt;=8/24,B$9&lt;14/24)</formula>
    </cfRule>
    <cfRule type="expression" dxfId="54" priority="58">
      <formula>B$9&lt;8/24</formula>
    </cfRule>
  </conditionalFormatting>
  <conditionalFormatting sqref="B39">
    <cfRule type="expression" dxfId="53" priority="51">
      <formula>B$9&gt;=20/24</formula>
    </cfRule>
    <cfRule type="expression" dxfId="52" priority="52">
      <formula>AND(B$9&gt;=14/24,B$9&lt;20/24)</formula>
    </cfRule>
    <cfRule type="expression" dxfId="51" priority="53">
      <formula>AND(B$9&gt;=8/24,B$9&lt;14/24)</formula>
    </cfRule>
    <cfRule type="expression" dxfId="50" priority="54">
      <formula>B$9&lt;8/24</formula>
    </cfRule>
  </conditionalFormatting>
  <conditionalFormatting sqref="B39:B41 B36">
    <cfRule type="expression" dxfId="49" priority="50">
      <formula>B36&gt;$AG36</formula>
    </cfRule>
  </conditionalFormatting>
  <conditionalFormatting sqref="B85:B91 B12:B14 B16 B28:B31 B18:B22 B24:B26 B53:B56 B58:B67 B69:B73 B75:AF75 C73:AF73 B81 B83:AF83">
    <cfRule type="expression" dxfId="48" priority="46">
      <formula>B$9&gt;=20/24</formula>
    </cfRule>
    <cfRule type="expression" dxfId="47" priority="47">
      <formula>AND(B$9&gt;=14/24,B$9&lt;20/24)</formula>
    </cfRule>
    <cfRule type="expression" dxfId="46" priority="48">
      <formula>AND(B$9&gt;=8/24,B$9&lt;14/24)</formula>
    </cfRule>
    <cfRule type="expression" dxfId="45" priority="49">
      <formula>B$9&lt;8/24</formula>
    </cfRule>
  </conditionalFormatting>
  <conditionalFormatting sqref="B32">
    <cfRule type="expression" dxfId="44" priority="42">
      <formula>B$9&gt;=20/24</formula>
    </cfRule>
    <cfRule type="expression" dxfId="43" priority="43">
      <formula>AND(B$9&gt;=14/24,B$9&lt;20/24)</formula>
    </cfRule>
    <cfRule type="expression" dxfId="42" priority="44">
      <formula>AND(B$9&gt;=8/24,B$9&lt;14/24)</formula>
    </cfRule>
    <cfRule type="expression" dxfId="41" priority="45">
      <formula>B$9&lt;8/24</formula>
    </cfRule>
  </conditionalFormatting>
  <conditionalFormatting sqref="B35">
    <cfRule type="expression" dxfId="40" priority="38">
      <formula>B$9&gt;=20/24</formula>
    </cfRule>
    <cfRule type="expression" dxfId="39" priority="39">
      <formula>AND(B$9&gt;=14/24,B$9&lt;20/24)</formula>
    </cfRule>
    <cfRule type="expression" dxfId="38" priority="40">
      <formula>AND(B$9&gt;=8/24,B$9&lt;14/24)</formula>
    </cfRule>
    <cfRule type="expression" dxfId="37" priority="41">
      <formula>B$9&lt;8/24</formula>
    </cfRule>
  </conditionalFormatting>
  <conditionalFormatting sqref="B42:B43 B34:B35 B18:B22 B24:B32 B51:B56 C52:AF52 B38:AF38">
    <cfRule type="expression" dxfId="36" priority="37">
      <formula>B18&gt;$AG18</formula>
    </cfRule>
  </conditionalFormatting>
  <conditionalFormatting sqref="B34">
    <cfRule type="expression" dxfId="35" priority="33">
      <formula>B$9&gt;=20/24</formula>
    </cfRule>
    <cfRule type="expression" dxfId="34" priority="34">
      <formula>AND(B$9&gt;=14/24,B$9&lt;20/24)</formula>
    </cfRule>
    <cfRule type="expression" dxfId="33" priority="35">
      <formula>AND(B$9&gt;=8/24,B$9&lt;14/24)</formula>
    </cfRule>
    <cfRule type="expression" dxfId="32" priority="36">
      <formula>B$9&lt;8/24</formula>
    </cfRule>
  </conditionalFormatting>
  <conditionalFormatting sqref="B15">
    <cfRule type="expression" dxfId="31" priority="29">
      <formula>B$9&gt;=20/24</formula>
    </cfRule>
    <cfRule type="expression" dxfId="30" priority="30">
      <formula>AND(B$9&gt;=14/24,B$9&lt;20/24)</formula>
    </cfRule>
    <cfRule type="expression" dxfId="29" priority="31">
      <formula>AND(B$9&gt;=8/24,B$9&lt;14/24)</formula>
    </cfRule>
    <cfRule type="expression" dxfId="28" priority="32">
      <formula>B$9&lt;8/24</formula>
    </cfRule>
  </conditionalFormatting>
  <conditionalFormatting sqref="B33">
    <cfRule type="expression" dxfId="27" priority="25">
      <formula>B$9&gt;=20/24</formula>
    </cfRule>
    <cfRule type="expression" dxfId="26" priority="26">
      <formula>AND(B$9&gt;=14/24,B$9&lt;20/24)</formula>
    </cfRule>
    <cfRule type="expression" dxfId="25" priority="27">
      <formula>AND(B$9&gt;=8/24,B$9&lt;14/24)</formula>
    </cfRule>
    <cfRule type="expression" dxfId="24" priority="28">
      <formula>B$9&lt;8/24</formula>
    </cfRule>
  </conditionalFormatting>
  <conditionalFormatting sqref="B33">
    <cfRule type="expression" dxfId="23" priority="24">
      <formula>B33&gt;$AG33</formula>
    </cfRule>
  </conditionalFormatting>
  <conditionalFormatting sqref="B44:B50">
    <cfRule type="expression" dxfId="22" priority="20">
      <formula>B$9&gt;=20/24</formula>
    </cfRule>
    <cfRule type="expression" dxfId="21" priority="21">
      <formula>AND(B$9&gt;=14/24,B$9&lt;20/24)</formula>
    </cfRule>
    <cfRule type="expression" dxfId="20" priority="22">
      <formula>AND(B$9&gt;=8/24,B$9&lt;14/24)</formula>
    </cfRule>
    <cfRule type="expression" dxfId="19" priority="23">
      <formula>B$9&lt;8/24</formula>
    </cfRule>
  </conditionalFormatting>
  <conditionalFormatting sqref="B44:B50">
    <cfRule type="expression" dxfId="18" priority="19">
      <formula>B44&gt;$AG44</formula>
    </cfRule>
  </conditionalFormatting>
  <conditionalFormatting sqref="B27">
    <cfRule type="expression" dxfId="17" priority="15">
      <formula>B$9&gt;=20/24</formula>
    </cfRule>
    <cfRule type="expression" dxfId="16" priority="16">
      <formula>AND(B$9&gt;=14/24,B$9&lt;20/24)</formula>
    </cfRule>
    <cfRule type="expression" dxfId="15" priority="17">
      <formula>AND(B$9&gt;=8/24,B$9&lt;14/24)</formula>
    </cfRule>
    <cfRule type="expression" dxfId="14" priority="18">
      <formula>B$9&lt;8/24</formula>
    </cfRule>
  </conditionalFormatting>
  <conditionalFormatting sqref="B17 B23">
    <cfRule type="expression" dxfId="13" priority="11">
      <formula>B$9&gt;=20/24</formula>
    </cfRule>
    <cfRule type="expression" dxfId="12" priority="12">
      <formula>AND(B$9&gt;=14/24,B$9&lt;20/24)</formula>
    </cfRule>
    <cfRule type="expression" dxfId="11" priority="13">
      <formula>AND(B$9&gt;=8/24,B$9&lt;14/24)</formula>
    </cfRule>
    <cfRule type="expression" dxfId="10" priority="14">
      <formula>B$9&lt;8/24</formula>
    </cfRule>
  </conditionalFormatting>
  <conditionalFormatting sqref="B17 B23">
    <cfRule type="expression" dxfId="9" priority="10">
      <formula>B17&gt;$AG17</formula>
    </cfRule>
  </conditionalFormatting>
  <conditionalFormatting sqref="A33">
    <cfRule type="expression" dxfId="8" priority="9">
      <formula>$AH33=0</formula>
    </cfRule>
  </conditionalFormatting>
  <conditionalFormatting sqref="B68:AF68">
    <cfRule type="expression" dxfId="7" priority="5">
      <formula>B$9&gt;=20/24</formula>
    </cfRule>
    <cfRule type="expression" dxfId="6" priority="6">
      <formula>AND(B$9&gt;=14/24,B$9&lt;20/24)</formula>
    </cfRule>
    <cfRule type="expression" dxfId="5" priority="7">
      <formula>AND(B$9&gt;=8/24,B$9&lt;14/24)</formula>
    </cfRule>
    <cfRule type="expression" dxfId="4" priority="8">
      <formula>B$9&lt;8/24</formula>
    </cfRule>
  </conditionalFormatting>
  <conditionalFormatting sqref="B76:AF80">
    <cfRule type="expression" dxfId="3" priority="1">
      <formula>B$9&gt;=20/24</formula>
    </cfRule>
    <cfRule type="expression" dxfId="2" priority="2">
      <formula>AND(B$9&gt;=14/24,B$9&lt;20/24)</formula>
    </cfRule>
    <cfRule type="expression" dxfId="1" priority="3">
      <formula>AND(B$9&gt;=8/24,B$9&lt;14/24)</formula>
    </cfRule>
    <cfRule type="expression" dxfId="0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Sample (2)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Sample</vt:lpstr>
      <vt:lpstr>Sheet2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Data Server</cp:lastModifiedBy>
  <dcterms:created xsi:type="dcterms:W3CDTF">2022-06-14T03:43:02Z</dcterms:created>
  <dcterms:modified xsi:type="dcterms:W3CDTF">2023-03-15T08:33:15Z</dcterms:modified>
</cp:coreProperties>
</file>